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wmf" ContentType="image/x-wmf"/>
  <Default Extension="xml" ContentType="application/xml"/>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Override ContentType="application/vnd.openxmlformats-officedocument.spreadsheetml.worksheet+xml" PartName="/xl/worksheets/sheet9.xml"/>
  <Override ContentType="application/vnd.openxmlformats-officedocument.spreadsheetml.worksheet+xml" PartName="/xl/worksheets/sheet10.xml"/>
  <Override ContentType="application/vnd.openxmlformats-officedocument.spreadsheetml.worksheet+xml" PartName="/xl/worksheets/sheet11.xml"/>
  <Override ContentType="application/vnd.openxmlformats-officedocument.spreadsheetml.worksheet+xml" PartName="/xl/worksheets/sheet12.xml"/>
  <Override ContentType="application/vnd.openxmlformats-officedocument.spreadsheetml.worksheet+xml" PartName="/xl/worksheets/sheet13.xml"/>
  <Override ContentType="application/vnd.openxmlformats-officedocument.spreadsheetml.worksheet+xml" PartName="/xl/worksheets/sheet14.xml"/>
  <Override ContentType="application/vnd.openxmlformats-officedocument.theme+xml" PartName="/xl/theme/theme1.xml"/>
  <Override ContentType="application/vnd.openxmlformats-officedocument.spreadsheetml.styles+xml" PartName="/xl/styles.xml"/>
  <Override ContentType="application/vnd.openxmlformats-officedocument.spreadsheetml.sharedStrings+xml" PartName="/xl/sharedStrings.xml"/>
  <Override ContentType="application/vnd.openxmlformats-officedocument.drawing+xml" PartName="/xl/drawings/drawing1.xml"/>
  <Override ContentType="application/vnd.openxmlformats-officedocument.spreadsheetml.comments+xml" PartName="/xl/comments1.xml"/>
  <Override ContentType="application/vnd.openxmlformats-officedocument.spreadsheetml.comments+xml" PartName="/xl/comments2.xml"/>
  <Override ContentType="application/vnd.openxmlformats-officedocument.spreadsheetml.comments+xml" PartName="/xl/comments3.xml"/>
  <Override ContentType="application/vnd.openxmlformats-officedocument.drawing+xml" PartName="/xl/drawings/drawing2.xml"/>
  <Override ContentType="application/vnd.openxmlformats-officedocument.oleObject" PartName="/xl/embeddings/oleObject1.bin"/>
  <Override ContentType="application/vnd.openxmlformats-officedocument.spreadsheetml.comments+xml" PartName="/xl/comments4.xml"/>
  <Override ContentType="application/vnd.openxmlformats-officedocument.drawingml.chart+xml" PartName="/xl/charts/chart1.xml"/>
  <Override ContentType="application/vnd.openxmlformats-officedocument.drawing+xml" PartName="/xl/drawings/drawing3.xml"/>
  <Override ContentType="application/vnd.openxmlformats-officedocument.oleObject" PartName="/xl/embeddings/oleObject2.bin"/>
  <Override ContentType="application/vnd.openxmlformats-officedocument.spreadsheetml.comments+xml" PartName="/xl/comments5.xml"/>
  <Override ContentType="application/vnd.openxmlformats-officedocument.drawingml.chart+xml" PartName="/xl/charts/chart2.xml"/>
  <Override ContentType="application/vnd.openxmlformats-officedocument.drawing+xml" PartName="/xl/drawings/drawing4.xml"/>
  <Override ContentType="application/vnd.openxmlformats-officedocument.oleObject" PartName="/xl/embeddings/oleObject3.bin"/>
  <Override ContentType="application/vnd.openxmlformats-officedocument.spreadsheetml.comments+xml" PartName="/xl/comments6.xml"/>
  <Override ContentType="application/vnd.openxmlformats-officedocument.drawing+xml" PartName="/xl/drawings/drawing5.xml"/>
  <Override ContentType="application/vnd.openxmlformats-officedocument.oleObject" PartName="/xl/embeddings/oleObject4.bin"/>
  <Override ContentType="application/vnd.openxmlformats-officedocument.spreadsheetml.comments+xml" PartName="/xl/comments7.xml"/>
  <Override ContentType="application/vnd.openxmlformats-officedocument.drawingml.chart+xml" PartName="/xl/charts/chart3.xml"/>
  <Override ContentType="application/vnd.openxmlformats-officedocument.drawingml.chart+xml" PartName="/xl/charts/chart4.xml"/>
  <Override ContentType="application/vnd.openxmlformats-officedocument.drawingml.chart+xml" PartName="/xl/charts/chart5.xml"/>
  <Override ContentType="application/vnd.openxmlformats-officedocument.drawing+xml" PartName="/xl/drawings/drawing6.xml"/>
  <Override ContentType="application/vnd.openxmlformats-officedocument.drawingml.chart+xml" PartName="/xl/charts/chart6.xml"/>
  <Override ContentType="application/vnd.openxmlformats-officedocument.drawingml.chart+xml" PartName="/xl/charts/chart7.xml"/>
  <Override ContentType="application/vnd.openxmlformats-officedocument.drawingml.chart+xml" PartName="/xl/charts/chart8.xml"/>
  <Override ContentType="application/vnd.openxmlformats-officedocument.drawingml.chart+xml" PartName="/xl/charts/chart9.xml"/>
  <Override ContentType="application/vnd.openxmlformats-officedocument.spreadsheetml.comments+xml" PartName="/xl/comments8.xml"/>
  <Override ContentType="application/vnd.openxmlformats-officedocument.spreadsheetml.comments+xml" PartName="/xl/comments9.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Types>
</file>

<file path=_rels/.rels><?xml version="1.0" encoding="UTF-8"?><Relationships xmlns="http://schemas.openxmlformats.org/package/2006/relationships"><Relationship Target="docProps/app.xml" Type="http://schemas.openxmlformats.org/officeDocument/2006/relationships/extended-properties" Id="rId3"/><Relationship Target="docProps/core.xml" Type="http://schemas.openxmlformats.org/package/2006/relationships/metadata/core-properties" Id="rId2"/><Relationship Target="xl/workbook.xml" Type="http://schemas.openxmlformats.org/officeDocument/2006/relationships/officeDocument" Id="rId1"/></Relationships>
</file>

<file path=xl/workbook.xml><?xml version="1.0" encoding="utf-8"?>
<workbook xmlns:r="http://schemas.openxmlformats.org/officeDocument/2006/relationships" xmlns="http://schemas.openxmlformats.org/spreadsheetml/2006/main"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5928" codeName="{AE6600E7-7A62-396C-DE95-9942FA9DD81E}"/>
  <workbookPr codeName="ThisWorkbook" defaultThemeVersion="124226"/>
  <mc:AlternateContent xmlns:mc="http://schemas.openxmlformats.org/markup-compatibility/2006">
    <mc:Choice Requires="x15">
      <x15ac:absPath xmlns:x15ac="http://schemas.microsoft.com/office/spreadsheetml/2010/11/ac" url="C:\Users\RDias\OneDrive - Universidade de Lisboa\SoCaLTES_task5\GREENSCOPE\CaL\"/>
    </mc:Choice>
  </mc:AlternateContent>
  <xr:revisionPtr revIDLastSave="0" documentId="13_ncr:1_{4BC0CA68-F834-4BBF-A922-4B2EA59EE2FE}" xr6:coauthVersionLast="47" xr6:coauthVersionMax="47" xr10:uidLastSave="{00000000-0000-0000-0000-000000000000}"/>
  <bookViews>
    <workbookView xWindow="-38510" yWindow="-6360" windowWidth="38620" windowHeight="21100" tabRatio="765" activeTab="1"/>
  </bookViews>
  <sheets>
    <sheet name="I. Stream &amp; Compound Data" sheetId="8" r:id="rId1"/>
    <sheet name="II. Equipment &amp; Cost Data" sheetId="7" r:id="rId2"/>
    <sheet name="III. Utility Data" sheetId="14" r:id="rId3"/>
    <sheet name="IV. Material Efficiency" sheetId="2" r:id="rId4"/>
    <sheet name="V. Environmental" sheetId="5" r:id="rId5"/>
    <sheet name="VI. Energy" sheetId="3" r:id="rId6"/>
    <sheet name="VII. Economic" sheetId="4" r:id="rId7"/>
    <sheet name="VIII. Plots" sheetId="15" r:id="rId8"/>
    <sheet name="GREENSCOPE-LCI" sheetId="16" r:id="rId9"/>
    <sheet name="Solid Estimation" sheetId="17" r:id="rId10"/>
    <sheet name="Best&amp;Worst-Economics" sheetId="12" r:id="rId11"/>
    <sheet name="Potency Factors " sheetId="10" r:id="rId12"/>
    <sheet name="Emergy" sheetId="13" r:id="rId13"/>
    <sheet name="Exergy" sheetId="11" r:id="rId14"/>
  </sheets>
  <definedNames>
    <definedName name="_r°__kg_m_3">'I. Stream &amp; Compound Data'!$BH$262:$BH$311</definedName>
    <definedName name="Compound_name">'I. Stream &amp; Compound Data'!$D$32:$D$81</definedName>
    <definedName name="Cp__kJ_kg_K">'I. Stream &amp; Compound Data'!$BF$262:$BF$311</definedName>
    <definedName name="DHv__kJ_kg">'I. Stream &amp; Compound Data'!$BG$262:$BG$311</definedName>
    <definedName name="Emergy_Transformity_MseJ_kg">'I. Stream &amp; Compound Data'!$BK$262:$BK$311</definedName>
    <definedName name="ERPG2_mg_m3">'I. Stream &amp; Compound Data'!$Y$262:$Y$311</definedName>
    <definedName name="ERPG3_mg_m3">'I. Stream &amp; Compound Data'!$Z$262:$Z$311</definedName>
    <definedName name="Ex°_ch_MJ_kmol">'I. Stream &amp; Compound Data'!$BL$262:$BL$311</definedName>
    <definedName name="H°_MJ_kg_1atm_25°C">'I. Stream &amp; Compound Data'!$BM$262:$BM$311</definedName>
    <definedName name="High_pressure">'III. Utility Data'!$F$62:$F$71</definedName>
    <definedName name="IN_Enthalpy_MJ_h">'II. Equipment &amp; Cost Data'!$L$209:$L$248</definedName>
    <definedName name="IN_Entropy_MJ_h_K">'II. Equipment &amp; Cost Data'!$M$209:$M$248</definedName>
    <definedName name="IN_flow_rates__kg_h">'II. Equipment &amp; Cost Data'!$H$209:$H$248</definedName>
    <definedName name="IN_Molar_flow__kmol_h">'II. Equipment &amp; Cost Data'!$N$209:$N$248</definedName>
    <definedName name="IN_renewab">'II. Equipment &amp; Cost Data'!$G$209:$G$248</definedName>
    <definedName name="IN_stream_number">'II. Equipment &amp; Cost Data'!$E$209:$E$248</definedName>
    <definedName name="Low_pressure">'III. Utility Data'!$H$62:$H$71</definedName>
    <definedName name="Mass_flow__kg_h">'IV. Material Efficiency'!$H$49:$AU$49</definedName>
    <definedName name="Medium_pressure">'III. Utility Data'!$G$62:$G$71</definedName>
    <definedName name="MW__kg_kmol">'I. Stream &amp; Compound Data'!$F$32:$F$81</definedName>
    <definedName name="OLE_LINK1" localSheetId="11">'Potency Factors '!#REF!</definedName>
    <definedName name="OUT_Current_flow_rate">'II. Equipment &amp; Cost Data'!$H$304:$H$343</definedName>
    <definedName name="OUT_Enthalpy__MJ_h">'II. Equipment &amp; Cost Data'!$O$304:$O$343</definedName>
    <definedName name="OUT_Entropy__MJ_K_h">'II. Equipment &amp; Cost Data'!$P$304:$P$343</definedName>
    <definedName name="OUT_Hazardous_1__nonhazardous_0">'II. Equipment &amp; Cost Data'!$L$304:$L$343</definedName>
    <definedName name="OUT_Molar_flow_kmol_h">'II. Equipment &amp; Cost Data'!$Q$304:$Q$343</definedName>
    <definedName name="OUT_Non_polluted_1__polluted_0">'II. Equipment &amp; Cost Data'!$K$304:$K$343</definedName>
    <definedName name="OUT_Pressure__kPa">'II. Equipment &amp; Cost Data'!$N$304:$N$343</definedName>
    <definedName name="OUT_Product_1__waste_0">'II. Equipment &amp; Cost Data'!$F$304:$F$343</definedName>
    <definedName name="OUT_renewability">'II. Equipment &amp; Cost Data'!$G$304:$G$343</definedName>
    <definedName name="OUT_stream_Num">'II. Equipment &amp; Cost Data'!$E$304:$E$343</definedName>
    <definedName name="OUT_Temperature__°C">'II. Equipment &amp; Cost Data'!$M$304:$M$343</definedName>
    <definedName name="OUT_Vapor_fraction">'II. Equipment &amp; Cost Data'!$J$304:$J$343</definedName>
    <definedName name="OUT_Volumetric_flow__m_3_h">'II. Equipment &amp; Cost Data'!$I$304:$I$343</definedName>
    <definedName name="S°_MJ_kg_K_1atm_25°C">'I. Stream &amp; Compound Data'!$BN$262:$BN$311</definedName>
    <definedName name="solver_adj" localSheetId="6" hidden="true">'VII. Economic'!$I$9</definedName>
    <definedName name="solver_cvg" localSheetId="6" hidden="true">0.0001</definedName>
    <definedName name="solver_drv" localSheetId="6" hidden="true">1</definedName>
    <definedName name="solver_eng" localSheetId="6" hidden="true">1</definedName>
    <definedName name="solver_est" localSheetId="6" hidden="true">1</definedName>
    <definedName name="solver_itr" localSheetId="6" hidden="true">100</definedName>
    <definedName name="solver_lhs1" localSheetId="6" hidden="true">'VII. Economic'!$I$9</definedName>
    <definedName name="solver_lhs2" localSheetId="6" hidden="true">'VII. Economic'!$I$9</definedName>
    <definedName name="solver_lin" localSheetId="6" hidden="true">2</definedName>
    <definedName name="solver_mip" localSheetId="6" hidden="true">2147483647</definedName>
    <definedName name="solver_mni" localSheetId="6" hidden="true">30</definedName>
    <definedName name="solver_mrt" localSheetId="6" hidden="true">0.075</definedName>
    <definedName name="solver_msl" localSheetId="6" hidden="true">2</definedName>
    <definedName name="solver_neg" localSheetId="6" hidden="true">1</definedName>
    <definedName name="solver_nod" localSheetId="6" hidden="true">2147483647</definedName>
    <definedName name="solver_num" localSheetId="6" hidden="true">2</definedName>
    <definedName name="solver_nwt" localSheetId="6" hidden="true">1</definedName>
    <definedName name="solver_opt" localSheetId="6" hidden="true">'VII. Economic'!$L$153</definedName>
    <definedName name="solver_pre" localSheetId="6" hidden="true">0.0001</definedName>
    <definedName name="solver_rbv" localSheetId="6" hidden="true">1</definedName>
    <definedName name="solver_rel1" localSheetId="6" hidden="true">3</definedName>
    <definedName name="solver_rel2" localSheetId="6" hidden="true">1</definedName>
    <definedName name="solver_rhs1" localSheetId="6" hidden="true">'VII. Economic'!$F$140</definedName>
    <definedName name="solver_rhs2" localSheetId="6" hidden="true">1</definedName>
    <definedName name="solver_rlx" localSheetId="6" hidden="true">1</definedName>
    <definedName name="solver_rsd" localSheetId="6" hidden="true">0</definedName>
    <definedName name="solver_scl" localSheetId="6" hidden="true">2</definedName>
    <definedName name="solver_sho" localSheetId="6" hidden="true">2</definedName>
    <definedName name="solver_ssz" localSheetId="6" hidden="true">100</definedName>
    <definedName name="solver_tim" localSheetId="6" hidden="true">100</definedName>
    <definedName name="solver_tol" localSheetId="6" hidden="true">0.05</definedName>
    <definedName name="solver_typ" localSheetId="6" hidden="true">3</definedName>
    <definedName name="solver_val" localSheetId="6" hidden="true">0</definedName>
    <definedName name="solver_ver" localSheetId="6" hidden="true">3</definedName>
    <definedName name="Tb__°C">'I. Stream &amp; Compound Data'!$AY$262:$AY$311</definedName>
  </definedNames>
  <calcPr calcId="191029" fullCalcOnLoad="true"/>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authors>
    <author>ctsuser</author>
    <author>Ricardo Dias</author>
  </authors>
  <commentList>
    <comment ref="E19" authorId="0">
      <text>
        <r>
          <rPr>
            <sz val="12"/>
            <color indexed="81"/>
            <rFont val="Tahoma"/>
            <family val="2"/>
          </rPr>
          <t xml:space="preserve">This value can be selected from the temperature value at which the most relevant reaction occurs. If reaction stage is not present into the process, process higher temperature value can be chosen. </t>
        </r>
      </text>
    </comment>
    <comment ref="H91" authorId="0">
      <text>
        <r>
          <rPr>
            <sz val="12"/>
            <color indexed="81"/>
            <rFont val="Tahoma"/>
            <family val="2"/>
          </rPr>
          <t>Li et al., I&amp;EC research 
2011, 50, (5), 2981-2993.
$0.83*0.7</t>
        </r>
      </text>
    </comment>
    <comment ref="K91" authorId="0">
      <text>
        <r>
          <rPr>
            <sz val="10"/>
            <color indexed="81"/>
            <rFont val="Tahoma"/>
            <family val="2"/>
          </rPr>
          <t xml:space="preserve">http://www.methanex.com/products/methanolprice.html
</t>
        </r>
      </text>
    </comment>
    <comment ref="N91" authorId="0">
      <text>
        <r>
          <rPr>
            <sz val="12"/>
            <color indexed="81"/>
            <rFont val="Tahoma"/>
            <family val="2"/>
          </rPr>
          <t xml:space="preserve">ICIS pricing report October 2011
</t>
        </r>
      </text>
    </comment>
    <comment ref="Q91" authorId="0">
      <text>
        <r>
          <rPr>
            <sz val="10"/>
            <color indexed="81"/>
            <rFont val="Tahoma"/>
            <family val="2"/>
          </rPr>
          <t xml:space="preserve">High-purity water for process use, Table 8.3 in Turton et al. 2008
</t>
        </r>
      </text>
    </comment>
    <comment ref="T91" authorId="0">
      <text>
        <r>
          <rPr>
            <sz val="10"/>
            <color indexed="81"/>
            <rFont val="Tahoma"/>
            <family val="2"/>
          </rPr>
          <t>http://www.alibaba.com/products/industrial_grade_phosphoric_acid.html</t>
        </r>
        <r>
          <rPr>
            <sz val="8"/>
            <color indexed="81"/>
            <rFont val="Tahoma"/>
            <family val="2"/>
          </rPr>
          <t xml:space="preserve">
</t>
        </r>
      </text>
    </comment>
    <comment ref="W91" authorId="0">
      <text>
        <r>
          <rPr>
            <sz val="12"/>
            <color indexed="81"/>
            <rFont val="Tahoma"/>
            <family val="2"/>
          </rPr>
          <t>http://www.icis.com/chemicals/channel-info-chemicals-a-z/</t>
        </r>
      </text>
    </comment>
    <comment ref="Z91" authorId="0">
      <text>
        <r>
          <rPr>
            <sz val="12"/>
            <color indexed="81"/>
            <rFont val="Tahoma"/>
            <family val="2"/>
          </rPr>
          <t>http://www.icispricing.com/il_shared/Samples/SubPage170.asp
$0.4*2.2</t>
        </r>
      </text>
    </comment>
    <comment ref="F109" authorId="0">
      <text>
        <r>
          <rPr>
            <sz val="12"/>
            <color indexed="81"/>
            <rFont val="Tahoma"/>
            <family val="2"/>
          </rPr>
          <t>This can be calculated automatically.</t>
        </r>
      </text>
    </comment>
    <comment ref="I179" authorId="0">
      <text>
        <r>
          <rPr>
            <sz val="11"/>
            <color indexed="81"/>
            <rFont val="Tahoma"/>
            <family val="2"/>
          </rPr>
          <t>If this is a product stream, type 1. Otherwise zero for waste.</t>
        </r>
      </text>
    </comment>
    <comment ref="L179" authorId="0">
      <text>
        <r>
          <rPr>
            <sz val="11"/>
            <color indexed="81"/>
            <rFont val="Tahoma"/>
            <family val="2"/>
          </rPr>
          <t>If this is a product stream, type 1. Otherwise zero for waste.</t>
        </r>
      </text>
    </comment>
    <comment ref="O179" authorId="0">
      <text>
        <r>
          <rPr>
            <sz val="11"/>
            <color indexed="81"/>
            <rFont val="Tahoma"/>
            <family val="2"/>
          </rPr>
          <t>If this is a product stream, type 1. Otherwise zero for waste.</t>
        </r>
      </text>
    </comment>
    <comment ref="R179" authorId="0">
      <text>
        <r>
          <rPr>
            <sz val="11"/>
            <color indexed="81"/>
            <rFont val="Tahoma"/>
            <family val="2"/>
          </rPr>
          <t>If this is a product stream, type 1. Otherwise zero for waste.</t>
        </r>
      </text>
    </comment>
    <comment ref="U179" authorId="0">
      <text>
        <r>
          <rPr>
            <sz val="11"/>
            <color indexed="81"/>
            <rFont val="Tahoma"/>
            <family val="2"/>
          </rPr>
          <t>If this is a product stream, type 1. Otherwise zero for waste.</t>
        </r>
      </text>
    </comment>
    <comment ref="X179" authorId="0">
      <text>
        <r>
          <rPr>
            <sz val="11"/>
            <color indexed="81"/>
            <rFont val="Tahoma"/>
            <family val="2"/>
          </rPr>
          <t>If this is a product stream, type 1. Otherwise zero for waste.</t>
        </r>
      </text>
    </comment>
    <comment ref="AA179" authorId="0">
      <text>
        <r>
          <rPr>
            <sz val="11"/>
            <color indexed="81"/>
            <rFont val="Tahoma"/>
            <family val="2"/>
          </rPr>
          <t>If this is a product stream, type 1. Otherwise zero for waste.</t>
        </r>
      </text>
    </comment>
    <comment ref="AD179" authorId="0">
      <text>
        <r>
          <rPr>
            <sz val="11"/>
            <color indexed="81"/>
            <rFont val="Tahoma"/>
            <family val="2"/>
          </rPr>
          <t>If this is a product stream, type 1. Otherwise zero for waste.</t>
        </r>
      </text>
    </comment>
    <comment ref="AG179" authorId="0">
      <text>
        <r>
          <rPr>
            <sz val="11"/>
            <color indexed="81"/>
            <rFont val="Tahoma"/>
            <family val="2"/>
          </rPr>
          <t>If this is a product stream, type 1. Otherwise zero for waste.</t>
        </r>
      </text>
    </comment>
    <comment ref="AJ179" authorId="0">
      <text>
        <r>
          <rPr>
            <sz val="11"/>
            <color indexed="81"/>
            <rFont val="Tahoma"/>
            <family val="2"/>
          </rPr>
          <t>If this is a product stream, type 1. Otherwise zero for waste.</t>
        </r>
      </text>
    </comment>
    <comment ref="AM179" authorId="0">
      <text>
        <r>
          <rPr>
            <sz val="11"/>
            <color indexed="81"/>
            <rFont val="Tahoma"/>
            <family val="2"/>
          </rPr>
          <t>If this is a product stream, type 1. Otherwise zero for waste.</t>
        </r>
      </text>
    </comment>
    <comment ref="AP179" authorId="0">
      <text>
        <r>
          <rPr>
            <sz val="11"/>
            <color indexed="81"/>
            <rFont val="Tahoma"/>
            <family val="2"/>
          </rPr>
          <t>If this is a product stream, type 1. Otherwise zero for waste.</t>
        </r>
      </text>
    </comment>
    <comment ref="AS179" authorId="0">
      <text>
        <r>
          <rPr>
            <sz val="11"/>
            <color indexed="81"/>
            <rFont val="Tahoma"/>
            <family val="2"/>
          </rPr>
          <t>If this is a product stream, type 1. Otherwise zero for waste.</t>
        </r>
      </text>
    </comment>
    <comment ref="AV179" authorId="0">
      <text>
        <r>
          <rPr>
            <sz val="11"/>
            <color indexed="81"/>
            <rFont val="Tahoma"/>
            <family val="2"/>
          </rPr>
          <t>If this is a product stream, type 1. Otherwise zero for waste.</t>
        </r>
      </text>
    </comment>
    <comment ref="AY179" authorId="0">
      <text>
        <r>
          <rPr>
            <sz val="11"/>
            <color indexed="81"/>
            <rFont val="Tahoma"/>
            <family val="2"/>
          </rPr>
          <t>If this is a product stream, type 1. Otherwise zero for waste.</t>
        </r>
      </text>
    </comment>
    <comment ref="BB179" authorId="0">
      <text>
        <r>
          <rPr>
            <sz val="11"/>
            <color indexed="81"/>
            <rFont val="Tahoma"/>
            <family val="2"/>
          </rPr>
          <t>If this is a product stream, type 1. Otherwise zero for waste.</t>
        </r>
      </text>
    </comment>
    <comment ref="BE179" authorId="0">
      <text>
        <r>
          <rPr>
            <sz val="11"/>
            <color indexed="81"/>
            <rFont val="Tahoma"/>
            <family val="2"/>
          </rPr>
          <t>If this is a product stream, type 1. Otherwise zero for waste.</t>
        </r>
      </text>
    </comment>
    <comment ref="BH179" authorId="0">
      <text>
        <r>
          <rPr>
            <sz val="11"/>
            <color indexed="81"/>
            <rFont val="Tahoma"/>
            <family val="2"/>
          </rPr>
          <t>If this is a product stream, type 1. Otherwise zero for waste.</t>
        </r>
      </text>
    </comment>
    <comment ref="BK179" authorId="0">
      <text>
        <r>
          <rPr>
            <sz val="11"/>
            <color indexed="81"/>
            <rFont val="Tahoma"/>
            <family val="2"/>
          </rPr>
          <t>If this is a product stream, type 1. Otherwise zero for waste.</t>
        </r>
      </text>
    </comment>
    <comment ref="BN179" authorId="0">
      <text>
        <r>
          <rPr>
            <sz val="11"/>
            <color indexed="81"/>
            <rFont val="Tahoma"/>
            <family val="2"/>
          </rPr>
          <t>If this is a product stream, type 1. Otherwise zero for waste.</t>
        </r>
      </text>
    </comment>
    <comment ref="BQ179" authorId="0">
      <text>
        <r>
          <rPr>
            <sz val="11"/>
            <color indexed="81"/>
            <rFont val="Tahoma"/>
            <family val="2"/>
          </rPr>
          <t>If this is a product stream, type 1. Otherwise zero for waste.</t>
        </r>
      </text>
    </comment>
    <comment ref="BT179" authorId="0">
      <text>
        <r>
          <rPr>
            <sz val="11"/>
            <color indexed="81"/>
            <rFont val="Tahoma"/>
            <family val="2"/>
          </rPr>
          <t>If this is a product stream, type 1. Otherwise zero for waste.</t>
        </r>
      </text>
    </comment>
    <comment ref="BW179" authorId="0">
      <text>
        <r>
          <rPr>
            <sz val="11"/>
            <color indexed="81"/>
            <rFont val="Tahoma"/>
            <family val="2"/>
          </rPr>
          <t>If this is a product stream, type 1. Otherwise zero for waste.</t>
        </r>
      </text>
    </comment>
    <comment ref="BZ179" authorId="0">
      <text>
        <r>
          <rPr>
            <sz val="11"/>
            <color indexed="81"/>
            <rFont val="Tahoma"/>
            <family val="2"/>
          </rPr>
          <t>If this is a product stream, type 1. Otherwise zero for waste.</t>
        </r>
      </text>
    </comment>
    <comment ref="CC179" authorId="0">
      <text>
        <r>
          <rPr>
            <sz val="11"/>
            <color indexed="81"/>
            <rFont val="Tahoma"/>
            <family val="2"/>
          </rPr>
          <t>If this is a product stream, type 1. Otherwise zero for waste.</t>
        </r>
      </text>
    </comment>
    <comment ref="CF179" authorId="0">
      <text>
        <r>
          <rPr>
            <sz val="11"/>
            <color indexed="81"/>
            <rFont val="Tahoma"/>
            <family val="2"/>
          </rPr>
          <t>If this is a product stream, type 1. Otherwise zero for waste.</t>
        </r>
      </text>
    </comment>
    <comment ref="CI179" authorId="0">
      <text>
        <r>
          <rPr>
            <sz val="11"/>
            <color indexed="81"/>
            <rFont val="Tahoma"/>
            <family val="2"/>
          </rPr>
          <t>If this is a product stream, type 1. Otherwise zero for waste.</t>
        </r>
      </text>
    </comment>
    <comment ref="CL179" authorId="0">
      <text>
        <r>
          <rPr>
            <sz val="11"/>
            <color indexed="81"/>
            <rFont val="Tahoma"/>
            <family val="2"/>
          </rPr>
          <t>If this is a product stream, type 1. Otherwise zero for waste.</t>
        </r>
      </text>
    </comment>
    <comment ref="CO179" authorId="0">
      <text>
        <r>
          <rPr>
            <sz val="11"/>
            <color indexed="81"/>
            <rFont val="Tahoma"/>
            <family val="2"/>
          </rPr>
          <t>If this is a product stream, type 1. Otherwise zero for waste.</t>
        </r>
      </text>
    </comment>
    <comment ref="CR179" authorId="0">
      <text>
        <r>
          <rPr>
            <sz val="11"/>
            <color indexed="81"/>
            <rFont val="Tahoma"/>
            <family val="2"/>
          </rPr>
          <t>If this is a product stream, type 1. Otherwise zero for waste.</t>
        </r>
      </text>
    </comment>
    <comment ref="CU179" authorId="0">
      <text>
        <r>
          <rPr>
            <sz val="11"/>
            <color indexed="81"/>
            <rFont val="Tahoma"/>
            <family val="2"/>
          </rPr>
          <t>If this is a product stream, type 1. Otherwise zero for waste.</t>
        </r>
      </text>
    </comment>
    <comment ref="CX179" authorId="0">
      <text>
        <r>
          <rPr>
            <sz val="11"/>
            <color indexed="81"/>
            <rFont val="Tahoma"/>
            <family val="2"/>
          </rPr>
          <t>If this is a product stream, type 1. Otherwise zero for waste.</t>
        </r>
      </text>
    </comment>
    <comment ref="DA179" authorId="0">
      <text>
        <r>
          <rPr>
            <sz val="11"/>
            <color indexed="81"/>
            <rFont val="Tahoma"/>
            <family val="2"/>
          </rPr>
          <t>If this is a product stream, type 1. Otherwise zero for waste.</t>
        </r>
      </text>
    </comment>
    <comment ref="DD179" authorId="0">
      <text>
        <r>
          <rPr>
            <sz val="11"/>
            <color indexed="81"/>
            <rFont val="Tahoma"/>
            <family val="2"/>
          </rPr>
          <t>If this is a product stream, type 1. Otherwise zero for waste.</t>
        </r>
      </text>
    </comment>
    <comment ref="DG179" authorId="0">
      <text>
        <r>
          <rPr>
            <sz val="11"/>
            <color indexed="81"/>
            <rFont val="Tahoma"/>
            <family val="2"/>
          </rPr>
          <t>If this is a product stream, type 1. Otherwise zero for waste.</t>
        </r>
      </text>
    </comment>
    <comment ref="DJ179" authorId="0">
      <text>
        <r>
          <rPr>
            <sz val="11"/>
            <color indexed="81"/>
            <rFont val="Tahoma"/>
            <family val="2"/>
          </rPr>
          <t>If this is a product stream, type 1. Otherwise zero for waste.</t>
        </r>
      </text>
    </comment>
    <comment ref="DM179" authorId="0">
      <text>
        <r>
          <rPr>
            <sz val="11"/>
            <color indexed="81"/>
            <rFont val="Tahoma"/>
            <family val="2"/>
          </rPr>
          <t>If this is a product stream, type 1. Otherwise zero for waste.</t>
        </r>
      </text>
    </comment>
    <comment ref="DP179" authorId="0">
      <text>
        <r>
          <rPr>
            <sz val="11"/>
            <color indexed="81"/>
            <rFont val="Tahoma"/>
            <family val="2"/>
          </rPr>
          <t>If this is a product stream, type 1. Otherwise zero for waste.</t>
        </r>
      </text>
    </comment>
    <comment ref="DS179" authorId="0">
      <text>
        <r>
          <rPr>
            <sz val="11"/>
            <color indexed="81"/>
            <rFont val="Tahoma"/>
            <family val="2"/>
          </rPr>
          <t>If this is a product stream, type 1. Otherwise zero for waste.</t>
        </r>
      </text>
    </comment>
    <comment ref="DV179" authorId="0">
      <text>
        <r>
          <rPr>
            <sz val="11"/>
            <color indexed="81"/>
            <rFont val="Tahoma"/>
            <family val="2"/>
          </rPr>
          <t>If this is a product stream, type 1. Otherwise zero for waste.</t>
        </r>
      </text>
    </comment>
    <comment ref="H182" authorId="0">
      <text>
        <r>
          <rPr>
            <sz val="11"/>
            <color indexed="81"/>
            <rFont val="Tahoma"/>
            <family val="2"/>
          </rPr>
          <t xml:space="preserve">Just for waste streams.
</t>
        </r>
      </text>
    </comment>
    <comment ref="K182" authorId="0">
      <text>
        <r>
          <rPr>
            <sz val="11"/>
            <color indexed="81"/>
            <rFont val="Tahoma"/>
            <family val="2"/>
          </rPr>
          <t xml:space="preserve">Just for waste streams.
</t>
        </r>
      </text>
    </comment>
    <comment ref="N182" authorId="0">
      <text>
        <r>
          <rPr>
            <sz val="11"/>
            <color indexed="81"/>
            <rFont val="Tahoma"/>
            <family val="2"/>
          </rPr>
          <t xml:space="preserve">Just for waste streams.
</t>
        </r>
      </text>
    </comment>
    <comment ref="Q182" authorId="0">
      <text>
        <r>
          <rPr>
            <sz val="11"/>
            <color indexed="81"/>
            <rFont val="Tahoma"/>
            <family val="2"/>
          </rPr>
          <t xml:space="preserve">Just for waste streams.
</t>
        </r>
      </text>
    </comment>
    <comment ref="T182" authorId="0">
      <text>
        <r>
          <rPr>
            <sz val="11"/>
            <color indexed="81"/>
            <rFont val="Tahoma"/>
            <family val="2"/>
          </rPr>
          <t xml:space="preserve">Just for waste streams.
</t>
        </r>
      </text>
    </comment>
    <comment ref="W182" authorId="0">
      <text>
        <r>
          <rPr>
            <sz val="11"/>
            <color indexed="81"/>
            <rFont val="Tahoma"/>
            <family val="2"/>
          </rPr>
          <t xml:space="preserve">Just for waste streams.
</t>
        </r>
      </text>
    </comment>
    <comment ref="Z182" authorId="0">
      <text>
        <r>
          <rPr>
            <sz val="11"/>
            <color indexed="81"/>
            <rFont val="Tahoma"/>
            <family val="2"/>
          </rPr>
          <t xml:space="preserve">Just for waste streams.
</t>
        </r>
      </text>
    </comment>
    <comment ref="AC182" authorId="0">
      <text>
        <r>
          <rPr>
            <sz val="12"/>
            <color indexed="81"/>
            <rFont val="Tahoma"/>
            <family val="2"/>
          </rPr>
          <t xml:space="preserve">Just for waste streams.
</t>
        </r>
      </text>
    </comment>
    <comment ref="AF182" authorId="0">
      <text>
        <r>
          <rPr>
            <sz val="11"/>
            <color indexed="81"/>
            <rFont val="Tahoma"/>
            <family val="2"/>
          </rPr>
          <t xml:space="preserve">Just for waste streams.
</t>
        </r>
      </text>
    </comment>
    <comment ref="AI182" authorId="0">
      <text>
        <r>
          <rPr>
            <sz val="11"/>
            <color indexed="81"/>
            <rFont val="Tahoma"/>
            <family val="2"/>
          </rPr>
          <t xml:space="preserve">Just for waste streams.
</t>
        </r>
      </text>
    </comment>
    <comment ref="AL182" authorId="0">
      <text>
        <r>
          <rPr>
            <sz val="11"/>
            <color indexed="81"/>
            <rFont val="Tahoma"/>
            <family val="2"/>
          </rPr>
          <t xml:space="preserve">Just for waste streams.
</t>
        </r>
      </text>
    </comment>
    <comment ref="AO182" authorId="0">
      <text>
        <r>
          <rPr>
            <sz val="11"/>
            <color indexed="81"/>
            <rFont val="Tahoma"/>
            <family val="2"/>
          </rPr>
          <t xml:space="preserve">Just for waste streams.
</t>
        </r>
      </text>
    </comment>
    <comment ref="AR182" authorId="0">
      <text>
        <r>
          <rPr>
            <sz val="11"/>
            <color indexed="81"/>
            <rFont val="Tahoma"/>
            <family val="2"/>
          </rPr>
          <t xml:space="preserve">Just for waste streams.
</t>
        </r>
      </text>
    </comment>
    <comment ref="AU182" authorId="0">
      <text>
        <r>
          <rPr>
            <sz val="11"/>
            <color indexed="81"/>
            <rFont val="Tahoma"/>
            <family val="2"/>
          </rPr>
          <t xml:space="preserve">Just for waste streams.
</t>
        </r>
      </text>
    </comment>
    <comment ref="AX182" authorId="0">
      <text>
        <r>
          <rPr>
            <sz val="11"/>
            <color indexed="81"/>
            <rFont val="Tahoma"/>
            <family val="2"/>
          </rPr>
          <t xml:space="preserve">Just for waste streams.
</t>
        </r>
      </text>
    </comment>
    <comment ref="BA182" authorId="0">
      <text>
        <r>
          <rPr>
            <sz val="11"/>
            <color indexed="81"/>
            <rFont val="Tahoma"/>
            <family val="2"/>
          </rPr>
          <t xml:space="preserve">Just for waste streams.
</t>
        </r>
      </text>
    </comment>
    <comment ref="BD182" authorId="0">
      <text>
        <r>
          <rPr>
            <sz val="11"/>
            <color indexed="81"/>
            <rFont val="Tahoma"/>
            <family val="2"/>
          </rPr>
          <t xml:space="preserve">Just for waste streams.
</t>
        </r>
      </text>
    </comment>
    <comment ref="BG182" authorId="0">
      <text>
        <r>
          <rPr>
            <sz val="11"/>
            <color indexed="81"/>
            <rFont val="Tahoma"/>
            <family val="2"/>
          </rPr>
          <t xml:space="preserve">Just for waste streams.
</t>
        </r>
      </text>
    </comment>
    <comment ref="BJ182" authorId="0">
      <text>
        <r>
          <rPr>
            <sz val="11"/>
            <color indexed="81"/>
            <rFont val="Tahoma"/>
            <family val="2"/>
          </rPr>
          <t xml:space="preserve">Just for waste streams.
</t>
        </r>
      </text>
    </comment>
    <comment ref="BM182" authorId="0">
      <text>
        <r>
          <rPr>
            <sz val="11"/>
            <color indexed="81"/>
            <rFont val="Tahoma"/>
            <family val="2"/>
          </rPr>
          <t xml:space="preserve">Just for waste streams.
</t>
        </r>
      </text>
    </comment>
    <comment ref="BP182" authorId="0">
      <text>
        <r>
          <rPr>
            <sz val="11"/>
            <color indexed="81"/>
            <rFont val="Tahoma"/>
            <family val="2"/>
          </rPr>
          <t xml:space="preserve">Just for waste streams.
</t>
        </r>
      </text>
    </comment>
    <comment ref="BS182" authorId="0">
      <text>
        <r>
          <rPr>
            <sz val="11"/>
            <color indexed="81"/>
            <rFont val="Tahoma"/>
            <family val="2"/>
          </rPr>
          <t xml:space="preserve">Just for waste streams.
</t>
        </r>
      </text>
    </comment>
    <comment ref="BV182" authorId="0">
      <text>
        <r>
          <rPr>
            <sz val="11"/>
            <color indexed="81"/>
            <rFont val="Tahoma"/>
            <family val="2"/>
          </rPr>
          <t xml:space="preserve">Just for waste streams.
</t>
        </r>
      </text>
    </comment>
    <comment ref="BY182" authorId="0">
      <text>
        <r>
          <rPr>
            <sz val="11"/>
            <color indexed="81"/>
            <rFont val="Tahoma"/>
            <family val="2"/>
          </rPr>
          <t xml:space="preserve">Just for waste streams.
</t>
        </r>
      </text>
    </comment>
    <comment ref="CB182" authorId="0">
      <text>
        <r>
          <rPr>
            <sz val="11"/>
            <color indexed="81"/>
            <rFont val="Tahoma"/>
            <family val="2"/>
          </rPr>
          <t xml:space="preserve">Just for waste streams.
</t>
        </r>
      </text>
    </comment>
    <comment ref="CE182" authorId="0">
      <text>
        <r>
          <rPr>
            <sz val="11"/>
            <color indexed="81"/>
            <rFont val="Tahoma"/>
            <family val="2"/>
          </rPr>
          <t xml:space="preserve">Just for waste streams.
</t>
        </r>
      </text>
    </comment>
    <comment ref="CH182" authorId="0">
      <text>
        <r>
          <rPr>
            <sz val="11"/>
            <color indexed="81"/>
            <rFont val="Tahoma"/>
            <family val="2"/>
          </rPr>
          <t xml:space="preserve">Just for waste streams.
</t>
        </r>
      </text>
    </comment>
    <comment ref="CK182" authorId="0">
      <text>
        <r>
          <rPr>
            <sz val="11"/>
            <color indexed="81"/>
            <rFont val="Tahoma"/>
            <family val="2"/>
          </rPr>
          <t xml:space="preserve">Just for waste streams.
</t>
        </r>
      </text>
    </comment>
    <comment ref="CN182" authorId="0">
      <text>
        <r>
          <rPr>
            <sz val="11"/>
            <color indexed="81"/>
            <rFont val="Tahoma"/>
            <family val="2"/>
          </rPr>
          <t xml:space="preserve">Just for waste streams.
</t>
        </r>
      </text>
    </comment>
    <comment ref="CQ182" authorId="0">
      <text>
        <r>
          <rPr>
            <sz val="11"/>
            <color indexed="81"/>
            <rFont val="Tahoma"/>
            <family val="2"/>
          </rPr>
          <t xml:space="preserve">Just for waste streams.
</t>
        </r>
      </text>
    </comment>
    <comment ref="CT182" authorId="0">
      <text>
        <r>
          <rPr>
            <sz val="11"/>
            <color indexed="81"/>
            <rFont val="Tahoma"/>
            <family val="2"/>
          </rPr>
          <t xml:space="preserve">Just for waste streams.
</t>
        </r>
      </text>
    </comment>
    <comment ref="CW182" authorId="0">
      <text>
        <r>
          <rPr>
            <sz val="11"/>
            <color indexed="81"/>
            <rFont val="Tahoma"/>
            <family val="2"/>
          </rPr>
          <t xml:space="preserve">Just for waste streams.
</t>
        </r>
      </text>
    </comment>
    <comment ref="CZ182" authorId="0">
      <text>
        <r>
          <rPr>
            <sz val="11"/>
            <color indexed="81"/>
            <rFont val="Tahoma"/>
            <family val="2"/>
          </rPr>
          <t xml:space="preserve">Just for waste streams.
</t>
        </r>
      </text>
    </comment>
    <comment ref="DC182" authorId="0">
      <text>
        <r>
          <rPr>
            <sz val="11"/>
            <color indexed="81"/>
            <rFont val="Tahoma"/>
            <family val="2"/>
          </rPr>
          <t xml:space="preserve">Just for waste streams.
</t>
        </r>
      </text>
    </comment>
    <comment ref="DF182" authorId="0">
      <text>
        <r>
          <rPr>
            <sz val="11"/>
            <color indexed="81"/>
            <rFont val="Tahoma"/>
            <family val="2"/>
          </rPr>
          <t xml:space="preserve">Just for waste streams.
</t>
        </r>
      </text>
    </comment>
    <comment ref="DI182" authorId="0">
      <text>
        <r>
          <rPr>
            <sz val="11"/>
            <color indexed="81"/>
            <rFont val="Tahoma"/>
            <family val="2"/>
          </rPr>
          <t xml:space="preserve">Just for waste streams.
</t>
        </r>
      </text>
    </comment>
    <comment ref="DL182" authorId="0">
      <text>
        <r>
          <rPr>
            <sz val="11"/>
            <color indexed="81"/>
            <rFont val="Tahoma"/>
            <family val="2"/>
          </rPr>
          <t xml:space="preserve">Just for waste streams.
</t>
        </r>
      </text>
    </comment>
    <comment ref="DO182" authorId="0">
      <text>
        <r>
          <rPr>
            <sz val="11"/>
            <color indexed="81"/>
            <rFont val="Tahoma"/>
            <family val="2"/>
          </rPr>
          <t xml:space="preserve">Just for waste streams.
</t>
        </r>
      </text>
    </comment>
    <comment ref="DR182" authorId="0">
      <text>
        <r>
          <rPr>
            <sz val="11"/>
            <color indexed="81"/>
            <rFont val="Tahoma"/>
            <family val="2"/>
          </rPr>
          <t xml:space="preserve">Just for waste streams.
</t>
        </r>
      </text>
    </comment>
    <comment ref="DU182" authorId="0">
      <text>
        <r>
          <rPr>
            <sz val="11"/>
            <color indexed="81"/>
            <rFont val="Tahoma"/>
            <family val="2"/>
          </rPr>
          <t xml:space="preserve">Just for waste streams.
</t>
        </r>
      </text>
    </comment>
    <comment ref="H183" authorId="0">
      <text>
        <r>
          <rPr>
            <sz val="11"/>
            <color indexed="81"/>
            <rFont val="Tahoma"/>
            <family val="2"/>
          </rPr>
          <t xml:space="preserve">Just for product streams.
</t>
        </r>
      </text>
    </comment>
    <comment ref="K183" authorId="0">
      <text>
        <r>
          <rPr>
            <sz val="11"/>
            <color indexed="81"/>
            <rFont val="Tahoma"/>
            <family val="2"/>
          </rPr>
          <t xml:space="preserve">Just for product streams.
</t>
        </r>
      </text>
    </comment>
    <comment ref="N183" authorId="0">
      <text>
        <r>
          <rPr>
            <sz val="11"/>
            <color indexed="81"/>
            <rFont val="Tahoma"/>
            <family val="2"/>
          </rPr>
          <t xml:space="preserve">Just for product streams.
</t>
        </r>
      </text>
    </comment>
    <comment ref="Q183" authorId="0">
      <text>
        <r>
          <rPr>
            <sz val="11"/>
            <color indexed="81"/>
            <rFont val="Tahoma"/>
            <family val="2"/>
          </rPr>
          <t xml:space="preserve">Just for product streams.
</t>
        </r>
      </text>
    </comment>
    <comment ref="T183" authorId="0">
      <text>
        <r>
          <rPr>
            <sz val="11"/>
            <color indexed="81"/>
            <rFont val="Tahoma"/>
            <family val="2"/>
          </rPr>
          <t xml:space="preserve">Just for product streams.
</t>
        </r>
      </text>
    </comment>
    <comment ref="W183" authorId="0">
      <text>
        <r>
          <rPr>
            <sz val="11"/>
            <color indexed="81"/>
            <rFont val="Tahoma"/>
            <family val="2"/>
          </rPr>
          <t xml:space="preserve">Just for product streams.
</t>
        </r>
      </text>
    </comment>
    <comment ref="Z183" authorId="0">
      <text>
        <r>
          <rPr>
            <sz val="11"/>
            <color indexed="81"/>
            <rFont val="Tahoma"/>
            <family val="2"/>
          </rPr>
          <t xml:space="preserve">Just for product streams.
</t>
        </r>
      </text>
    </comment>
    <comment ref="AC183" authorId="0">
      <text>
        <r>
          <rPr>
            <sz val="11"/>
            <color indexed="81"/>
            <rFont val="Tahoma"/>
            <family val="2"/>
          </rPr>
          <t xml:space="preserve">Just for product streams.
</t>
        </r>
      </text>
    </comment>
    <comment ref="AF183" authorId="0">
      <text>
        <r>
          <rPr>
            <sz val="11"/>
            <color indexed="81"/>
            <rFont val="Tahoma"/>
            <family val="2"/>
          </rPr>
          <t xml:space="preserve">Just for product streams.
</t>
        </r>
      </text>
    </comment>
    <comment ref="AI183" authorId="0">
      <text>
        <r>
          <rPr>
            <sz val="11"/>
            <color indexed="81"/>
            <rFont val="Tahoma"/>
            <family val="2"/>
          </rPr>
          <t xml:space="preserve">Just for product streams.
</t>
        </r>
      </text>
    </comment>
    <comment ref="AL183" authorId="0">
      <text>
        <r>
          <rPr>
            <sz val="11"/>
            <color indexed="81"/>
            <rFont val="Tahoma"/>
            <family val="2"/>
          </rPr>
          <t xml:space="preserve">Just for product streams.
</t>
        </r>
      </text>
    </comment>
    <comment ref="AO183" authorId="0">
      <text>
        <r>
          <rPr>
            <sz val="11"/>
            <color indexed="81"/>
            <rFont val="Tahoma"/>
            <family val="2"/>
          </rPr>
          <t xml:space="preserve">Just for product streams.
</t>
        </r>
      </text>
    </comment>
    <comment ref="AR183" authorId="0">
      <text>
        <r>
          <rPr>
            <sz val="11"/>
            <color indexed="81"/>
            <rFont val="Tahoma"/>
            <family val="2"/>
          </rPr>
          <t xml:space="preserve">Just for product streams.
</t>
        </r>
      </text>
    </comment>
    <comment ref="AU183" authorId="0">
      <text>
        <r>
          <rPr>
            <sz val="11"/>
            <color indexed="81"/>
            <rFont val="Tahoma"/>
            <family val="2"/>
          </rPr>
          <t xml:space="preserve">Just for product streams.
</t>
        </r>
      </text>
    </comment>
    <comment ref="AX183" authorId="0">
      <text>
        <r>
          <rPr>
            <sz val="11"/>
            <color indexed="81"/>
            <rFont val="Tahoma"/>
            <family val="2"/>
          </rPr>
          <t xml:space="preserve">Just for product streams.
</t>
        </r>
      </text>
    </comment>
    <comment ref="BA183" authorId="0">
      <text>
        <r>
          <rPr>
            <sz val="11"/>
            <color indexed="81"/>
            <rFont val="Tahoma"/>
            <family val="2"/>
          </rPr>
          <t xml:space="preserve">Just for product streams.
</t>
        </r>
      </text>
    </comment>
    <comment ref="BD183" authorId="0">
      <text>
        <r>
          <rPr>
            <sz val="11"/>
            <color indexed="81"/>
            <rFont val="Tahoma"/>
            <family val="2"/>
          </rPr>
          <t xml:space="preserve">Just for product streams.
</t>
        </r>
      </text>
    </comment>
    <comment ref="BG183" authorId="0">
      <text>
        <r>
          <rPr>
            <sz val="11"/>
            <color indexed="81"/>
            <rFont val="Tahoma"/>
            <family val="2"/>
          </rPr>
          <t xml:space="preserve">Just for product streams.
</t>
        </r>
      </text>
    </comment>
    <comment ref="BJ183" authorId="0">
      <text>
        <r>
          <rPr>
            <sz val="11"/>
            <color indexed="81"/>
            <rFont val="Tahoma"/>
            <family val="2"/>
          </rPr>
          <t xml:space="preserve">Just for product streams.
</t>
        </r>
      </text>
    </comment>
    <comment ref="BM183" authorId="0">
      <text>
        <r>
          <rPr>
            <sz val="11"/>
            <color indexed="81"/>
            <rFont val="Tahoma"/>
            <family val="2"/>
          </rPr>
          <t xml:space="preserve">Just for product streams.
</t>
        </r>
      </text>
    </comment>
    <comment ref="BP183" authorId="0">
      <text>
        <r>
          <rPr>
            <sz val="11"/>
            <color indexed="81"/>
            <rFont val="Tahoma"/>
            <family val="2"/>
          </rPr>
          <t xml:space="preserve">Just for product streams.
</t>
        </r>
      </text>
    </comment>
    <comment ref="BS183" authorId="0">
      <text>
        <r>
          <rPr>
            <sz val="11"/>
            <color indexed="81"/>
            <rFont val="Tahoma"/>
            <family val="2"/>
          </rPr>
          <t xml:space="preserve">Just for product streams.
</t>
        </r>
      </text>
    </comment>
    <comment ref="BV183" authorId="0">
      <text>
        <r>
          <rPr>
            <sz val="11"/>
            <color indexed="81"/>
            <rFont val="Tahoma"/>
            <family val="2"/>
          </rPr>
          <t xml:space="preserve">Just for product streams.
</t>
        </r>
      </text>
    </comment>
    <comment ref="BY183" authorId="0">
      <text>
        <r>
          <rPr>
            <sz val="11"/>
            <color indexed="81"/>
            <rFont val="Tahoma"/>
            <family val="2"/>
          </rPr>
          <t xml:space="preserve">Just for product streams.
</t>
        </r>
      </text>
    </comment>
    <comment ref="CB183" authorId="0">
      <text>
        <r>
          <rPr>
            <sz val="11"/>
            <color indexed="81"/>
            <rFont val="Tahoma"/>
            <family val="2"/>
          </rPr>
          <t xml:space="preserve">Just for product streams.
</t>
        </r>
      </text>
    </comment>
    <comment ref="CE183" authorId="0">
      <text>
        <r>
          <rPr>
            <sz val="11"/>
            <color indexed="81"/>
            <rFont val="Tahoma"/>
            <family val="2"/>
          </rPr>
          <t xml:space="preserve">Just for product streams.
</t>
        </r>
      </text>
    </comment>
    <comment ref="CH183" authorId="0">
      <text>
        <r>
          <rPr>
            <sz val="11"/>
            <color indexed="81"/>
            <rFont val="Tahoma"/>
            <family val="2"/>
          </rPr>
          <t xml:space="preserve">Just for product streams.
</t>
        </r>
      </text>
    </comment>
    <comment ref="CK183" authorId="0">
      <text>
        <r>
          <rPr>
            <sz val="11"/>
            <color indexed="81"/>
            <rFont val="Tahoma"/>
            <family val="2"/>
          </rPr>
          <t xml:space="preserve">Just for product streams.
</t>
        </r>
      </text>
    </comment>
    <comment ref="CN183" authorId="0">
      <text>
        <r>
          <rPr>
            <sz val="11"/>
            <color indexed="81"/>
            <rFont val="Tahoma"/>
            <family val="2"/>
          </rPr>
          <t xml:space="preserve">Just for product streams.
</t>
        </r>
      </text>
    </comment>
    <comment ref="CQ183" authorId="0">
      <text>
        <r>
          <rPr>
            <sz val="11"/>
            <color indexed="81"/>
            <rFont val="Tahoma"/>
            <family val="2"/>
          </rPr>
          <t xml:space="preserve">Just for product streams.
</t>
        </r>
      </text>
    </comment>
    <comment ref="CT183" authorId="0">
      <text>
        <r>
          <rPr>
            <sz val="11"/>
            <color indexed="81"/>
            <rFont val="Tahoma"/>
            <family val="2"/>
          </rPr>
          <t xml:space="preserve">Just for product streams.
</t>
        </r>
      </text>
    </comment>
    <comment ref="CW183" authorId="0">
      <text>
        <r>
          <rPr>
            <sz val="11"/>
            <color indexed="81"/>
            <rFont val="Tahoma"/>
            <family val="2"/>
          </rPr>
          <t xml:space="preserve">Just for product streams.
</t>
        </r>
      </text>
    </comment>
    <comment ref="CZ183" authorId="0">
      <text>
        <r>
          <rPr>
            <sz val="11"/>
            <color indexed="81"/>
            <rFont val="Tahoma"/>
            <family val="2"/>
          </rPr>
          <t xml:space="preserve">Just for product streams.
</t>
        </r>
      </text>
    </comment>
    <comment ref="DC183" authorId="0">
      <text>
        <r>
          <rPr>
            <sz val="11"/>
            <color indexed="81"/>
            <rFont val="Tahoma"/>
            <family val="2"/>
          </rPr>
          <t xml:space="preserve">Just for product streams.
</t>
        </r>
      </text>
    </comment>
    <comment ref="DF183" authorId="0">
      <text>
        <r>
          <rPr>
            <sz val="11"/>
            <color indexed="81"/>
            <rFont val="Tahoma"/>
            <family val="2"/>
          </rPr>
          <t xml:space="preserve">Just for product streams.
</t>
        </r>
      </text>
    </comment>
    <comment ref="DI183" authorId="0">
      <text>
        <r>
          <rPr>
            <sz val="11"/>
            <color indexed="81"/>
            <rFont val="Tahoma"/>
            <family val="2"/>
          </rPr>
          <t xml:space="preserve">Just for product streams.
</t>
        </r>
      </text>
    </comment>
    <comment ref="DL183" authorId="0">
      <text>
        <r>
          <rPr>
            <sz val="11"/>
            <color indexed="81"/>
            <rFont val="Tahoma"/>
            <family val="2"/>
          </rPr>
          <t xml:space="preserve">Just for product streams.
</t>
        </r>
      </text>
    </comment>
    <comment ref="DO183" authorId="0">
      <text>
        <r>
          <rPr>
            <sz val="11"/>
            <color indexed="81"/>
            <rFont val="Tahoma"/>
            <family val="2"/>
          </rPr>
          <t xml:space="preserve">Just for product streams.
</t>
        </r>
      </text>
    </comment>
    <comment ref="DR183" authorId="0">
      <text>
        <r>
          <rPr>
            <sz val="11"/>
            <color indexed="81"/>
            <rFont val="Tahoma"/>
            <family val="2"/>
          </rPr>
          <t xml:space="preserve">Just for product streams.
</t>
        </r>
      </text>
    </comment>
    <comment ref="DU183" authorId="0">
      <text>
        <r>
          <rPr>
            <sz val="11"/>
            <color indexed="81"/>
            <rFont val="Tahoma"/>
            <family val="2"/>
          </rPr>
          <t xml:space="preserve">Just for product streams.
</t>
        </r>
      </text>
    </comment>
    <comment ref="H184" authorId="0">
      <text>
        <r>
          <rPr>
            <sz val="11"/>
            <color indexed="81"/>
            <rFont val="Tahoma"/>
            <family val="2"/>
          </rPr>
          <t xml:space="preserve">Just for waste streams.
</t>
        </r>
      </text>
    </comment>
    <comment ref="K184" authorId="0">
      <text>
        <r>
          <rPr>
            <sz val="11"/>
            <color indexed="81"/>
            <rFont val="Tahoma"/>
            <family val="2"/>
          </rPr>
          <t xml:space="preserve">Just for waste streams.
</t>
        </r>
      </text>
    </comment>
    <comment ref="N184" authorId="0">
      <text>
        <r>
          <rPr>
            <sz val="11"/>
            <color indexed="81"/>
            <rFont val="Tahoma"/>
            <family val="2"/>
          </rPr>
          <t xml:space="preserve">Just for waste streams.
</t>
        </r>
      </text>
    </comment>
    <comment ref="Q184" authorId="0">
      <text>
        <r>
          <rPr>
            <sz val="11"/>
            <color indexed="81"/>
            <rFont val="Tahoma"/>
            <family val="2"/>
          </rPr>
          <t xml:space="preserve">Just for waste streams.
</t>
        </r>
      </text>
    </comment>
    <comment ref="T184" authorId="0">
      <text>
        <r>
          <rPr>
            <sz val="11"/>
            <color indexed="81"/>
            <rFont val="Tahoma"/>
            <family val="2"/>
          </rPr>
          <t xml:space="preserve">Just for waste streams.
</t>
        </r>
      </text>
    </comment>
    <comment ref="W184" authorId="0">
      <text>
        <r>
          <rPr>
            <sz val="11"/>
            <color indexed="81"/>
            <rFont val="Tahoma"/>
            <family val="2"/>
          </rPr>
          <t xml:space="preserve">Just for waste streams.
</t>
        </r>
      </text>
    </comment>
    <comment ref="Z184" authorId="0">
      <text>
        <r>
          <rPr>
            <sz val="11"/>
            <color indexed="81"/>
            <rFont val="Tahoma"/>
            <family val="2"/>
          </rPr>
          <t xml:space="preserve">Just for waste streams.
</t>
        </r>
      </text>
    </comment>
    <comment ref="AC184" authorId="0">
      <text>
        <r>
          <rPr>
            <sz val="11"/>
            <color indexed="81"/>
            <rFont val="Tahoma"/>
            <family val="2"/>
          </rPr>
          <t xml:space="preserve">Just for waste streams.
</t>
        </r>
      </text>
    </comment>
    <comment ref="AF184" authorId="0">
      <text>
        <r>
          <rPr>
            <sz val="11"/>
            <color indexed="81"/>
            <rFont val="Tahoma"/>
            <family val="2"/>
          </rPr>
          <t xml:space="preserve">Just for waste streams.
</t>
        </r>
      </text>
    </comment>
    <comment ref="AI184" authorId="0">
      <text>
        <r>
          <rPr>
            <sz val="11"/>
            <color indexed="81"/>
            <rFont val="Tahoma"/>
            <family val="2"/>
          </rPr>
          <t xml:space="preserve">Just for waste streams.
</t>
        </r>
      </text>
    </comment>
    <comment ref="AL184" authorId="0">
      <text>
        <r>
          <rPr>
            <sz val="11"/>
            <color indexed="81"/>
            <rFont val="Tahoma"/>
            <family val="2"/>
          </rPr>
          <t xml:space="preserve">Just for waste streams.
</t>
        </r>
      </text>
    </comment>
    <comment ref="AO184" authorId="0">
      <text>
        <r>
          <rPr>
            <sz val="11"/>
            <color indexed="81"/>
            <rFont val="Tahoma"/>
            <family val="2"/>
          </rPr>
          <t xml:space="preserve">Just for waste streams.
</t>
        </r>
      </text>
    </comment>
    <comment ref="AR184" authorId="0">
      <text>
        <r>
          <rPr>
            <sz val="11"/>
            <color indexed="81"/>
            <rFont val="Tahoma"/>
            <family val="2"/>
          </rPr>
          <t xml:space="preserve">Just for waste streams.
</t>
        </r>
      </text>
    </comment>
    <comment ref="AU184" authorId="0">
      <text>
        <r>
          <rPr>
            <sz val="11"/>
            <color indexed="81"/>
            <rFont val="Tahoma"/>
            <family val="2"/>
          </rPr>
          <t xml:space="preserve">Just for waste streams.
</t>
        </r>
      </text>
    </comment>
    <comment ref="AX184" authorId="0">
      <text>
        <r>
          <rPr>
            <sz val="11"/>
            <color indexed="81"/>
            <rFont val="Tahoma"/>
            <family val="2"/>
          </rPr>
          <t xml:space="preserve">Just for waste streams.
</t>
        </r>
      </text>
    </comment>
    <comment ref="BA184" authorId="0">
      <text>
        <r>
          <rPr>
            <sz val="11"/>
            <color indexed="81"/>
            <rFont val="Tahoma"/>
            <family val="2"/>
          </rPr>
          <t xml:space="preserve">Just for waste streams.
</t>
        </r>
      </text>
    </comment>
    <comment ref="BD184" authorId="0">
      <text>
        <r>
          <rPr>
            <sz val="11"/>
            <color indexed="81"/>
            <rFont val="Tahoma"/>
            <family val="2"/>
          </rPr>
          <t xml:space="preserve">Just for waste streams.
</t>
        </r>
      </text>
    </comment>
    <comment ref="BG184" authorId="0">
      <text>
        <r>
          <rPr>
            <sz val="11"/>
            <color indexed="81"/>
            <rFont val="Tahoma"/>
            <family val="2"/>
          </rPr>
          <t xml:space="preserve">Just for waste streams.
</t>
        </r>
      </text>
    </comment>
    <comment ref="BJ184" authorId="0">
      <text>
        <r>
          <rPr>
            <sz val="11"/>
            <color indexed="81"/>
            <rFont val="Tahoma"/>
            <family val="2"/>
          </rPr>
          <t xml:space="preserve">Just for waste streams.
</t>
        </r>
      </text>
    </comment>
    <comment ref="BM184" authorId="0">
      <text>
        <r>
          <rPr>
            <sz val="11"/>
            <color indexed="81"/>
            <rFont val="Tahoma"/>
            <family val="2"/>
          </rPr>
          <t xml:space="preserve">Just for waste streams.
</t>
        </r>
      </text>
    </comment>
    <comment ref="BP184" authorId="0">
      <text>
        <r>
          <rPr>
            <sz val="11"/>
            <color indexed="81"/>
            <rFont val="Tahoma"/>
            <family val="2"/>
          </rPr>
          <t xml:space="preserve">Just for waste streams.
</t>
        </r>
      </text>
    </comment>
    <comment ref="BS184" authorId="0">
      <text>
        <r>
          <rPr>
            <sz val="11"/>
            <color indexed="81"/>
            <rFont val="Tahoma"/>
            <family val="2"/>
          </rPr>
          <t xml:space="preserve">Just for waste streams.
</t>
        </r>
      </text>
    </comment>
    <comment ref="BV184" authorId="0">
      <text>
        <r>
          <rPr>
            <sz val="11"/>
            <color indexed="81"/>
            <rFont val="Tahoma"/>
            <family val="2"/>
          </rPr>
          <t xml:space="preserve">Just for waste streams.
</t>
        </r>
      </text>
    </comment>
    <comment ref="BY184" authorId="0">
      <text>
        <r>
          <rPr>
            <sz val="11"/>
            <color indexed="81"/>
            <rFont val="Tahoma"/>
            <family val="2"/>
          </rPr>
          <t xml:space="preserve">Just for waste streams.
</t>
        </r>
      </text>
    </comment>
    <comment ref="CB184" authorId="0">
      <text>
        <r>
          <rPr>
            <sz val="11"/>
            <color indexed="81"/>
            <rFont val="Tahoma"/>
            <family val="2"/>
          </rPr>
          <t xml:space="preserve">Just for waste streams.
</t>
        </r>
      </text>
    </comment>
    <comment ref="CE184" authorId="0">
      <text>
        <r>
          <rPr>
            <sz val="11"/>
            <color indexed="81"/>
            <rFont val="Tahoma"/>
            <family val="2"/>
          </rPr>
          <t xml:space="preserve">Just for waste streams.
</t>
        </r>
      </text>
    </comment>
    <comment ref="CH184" authorId="0">
      <text>
        <r>
          <rPr>
            <sz val="11"/>
            <color indexed="81"/>
            <rFont val="Tahoma"/>
            <family val="2"/>
          </rPr>
          <t xml:space="preserve">Just for waste streams.
</t>
        </r>
      </text>
    </comment>
    <comment ref="CK184" authorId="0">
      <text>
        <r>
          <rPr>
            <sz val="11"/>
            <color indexed="81"/>
            <rFont val="Tahoma"/>
            <family val="2"/>
          </rPr>
          <t xml:space="preserve">Just for waste streams.
</t>
        </r>
      </text>
    </comment>
    <comment ref="CN184" authorId="0">
      <text>
        <r>
          <rPr>
            <sz val="11"/>
            <color indexed="81"/>
            <rFont val="Tahoma"/>
            <family val="2"/>
          </rPr>
          <t xml:space="preserve">Just for waste streams.
</t>
        </r>
      </text>
    </comment>
    <comment ref="CQ184" authorId="0">
      <text>
        <r>
          <rPr>
            <sz val="11"/>
            <color indexed="81"/>
            <rFont val="Tahoma"/>
            <family val="2"/>
          </rPr>
          <t xml:space="preserve">Just for waste streams.
</t>
        </r>
      </text>
    </comment>
    <comment ref="CT184" authorId="0">
      <text>
        <r>
          <rPr>
            <sz val="11"/>
            <color indexed="81"/>
            <rFont val="Tahoma"/>
            <family val="2"/>
          </rPr>
          <t xml:space="preserve">Just for waste streams.
</t>
        </r>
      </text>
    </comment>
    <comment ref="CW184" authorId="0">
      <text>
        <r>
          <rPr>
            <sz val="11"/>
            <color indexed="81"/>
            <rFont val="Tahoma"/>
            <family val="2"/>
          </rPr>
          <t xml:space="preserve">Just for waste streams.
</t>
        </r>
      </text>
    </comment>
    <comment ref="CZ184" authorId="0">
      <text>
        <r>
          <rPr>
            <sz val="11"/>
            <color indexed="81"/>
            <rFont val="Tahoma"/>
            <family val="2"/>
          </rPr>
          <t xml:space="preserve">Just for waste streams.
</t>
        </r>
      </text>
    </comment>
    <comment ref="DC184" authorId="0">
      <text>
        <r>
          <rPr>
            <sz val="11"/>
            <color indexed="81"/>
            <rFont val="Tahoma"/>
            <family val="2"/>
          </rPr>
          <t xml:space="preserve">Just for waste streams.
</t>
        </r>
      </text>
    </comment>
    <comment ref="DF184" authorId="0">
      <text>
        <r>
          <rPr>
            <sz val="11"/>
            <color indexed="81"/>
            <rFont val="Tahoma"/>
            <family val="2"/>
          </rPr>
          <t xml:space="preserve">Just for waste streams.
</t>
        </r>
      </text>
    </comment>
    <comment ref="DI184" authorId="0">
      <text>
        <r>
          <rPr>
            <sz val="11"/>
            <color indexed="81"/>
            <rFont val="Tahoma"/>
            <family val="2"/>
          </rPr>
          <t xml:space="preserve">Just for waste streams.
</t>
        </r>
      </text>
    </comment>
    <comment ref="DL184" authorId="0">
      <text>
        <r>
          <rPr>
            <sz val="11"/>
            <color indexed="81"/>
            <rFont val="Tahoma"/>
            <family val="2"/>
          </rPr>
          <t xml:space="preserve">Just for waste streams.
</t>
        </r>
      </text>
    </comment>
    <comment ref="DO184" authorId="0">
      <text>
        <r>
          <rPr>
            <sz val="11"/>
            <color indexed="81"/>
            <rFont val="Tahoma"/>
            <family val="2"/>
          </rPr>
          <t xml:space="preserve">Just for waste streams.
</t>
        </r>
      </text>
    </comment>
    <comment ref="DR184" authorId="0">
      <text>
        <r>
          <rPr>
            <sz val="11"/>
            <color indexed="81"/>
            <rFont val="Tahoma"/>
            <family val="2"/>
          </rPr>
          <t xml:space="preserve">Just for waste streams.
</t>
        </r>
      </text>
    </comment>
    <comment ref="DU184" authorId="0">
      <text>
        <r>
          <rPr>
            <sz val="11"/>
            <color indexed="81"/>
            <rFont val="Tahoma"/>
            <family val="2"/>
          </rPr>
          <t xml:space="preserve">Just for waste streams.
</t>
        </r>
      </text>
    </comment>
    <comment ref="H246" authorId="0">
      <text>
        <r>
          <rPr>
            <sz val="12"/>
            <color indexed="81"/>
            <rFont val="Tahoma"/>
            <family val="2"/>
          </rPr>
          <t xml:space="preserve">US DOE price report, Jan 2012 and density value from: http://path.web.ua.pt/file/ef2002124.pdf
Price: $1.275 + $0.4
</t>
        </r>
      </text>
    </comment>
    <comment ref="K246" authorId="0">
      <text>
        <r>
          <rPr>
            <sz val="10"/>
            <color indexed="81"/>
            <rFont val="Tahoma"/>
            <family val="2"/>
          </rPr>
          <t>ICIS pricing report October 2011</t>
        </r>
      </text>
    </comment>
    <comment ref="T260" authorId="0">
      <text>
        <r>
          <rPr>
            <sz val="12"/>
            <color indexed="81"/>
            <rFont val="Tahoma"/>
            <family val="2"/>
          </rPr>
          <t>If an output substance is categorized as waste, a percentage of recovery should be specified here. Otherwise, 0% recovery is assumed by default.</t>
        </r>
      </text>
    </comment>
    <comment ref="U260" authorId="0">
      <text>
        <r>
          <rPr>
            <sz val="12"/>
            <color indexed="81"/>
            <rFont val="Tahoma"/>
            <family val="2"/>
          </rPr>
          <t>Fats and oils are categorized as solid waste for landfill.</t>
        </r>
      </text>
    </comment>
    <comment ref="AA260" authorId="0">
      <text>
        <r>
          <rPr>
            <sz val="12"/>
            <color indexed="81"/>
            <rFont val="Tahoma"/>
            <family val="2"/>
          </rPr>
          <t>It is not required if ERPG-3, ECclass, GK, or R-phrase are known.</t>
        </r>
      </text>
    </comment>
    <comment ref="AC260" authorId="0">
      <text>
        <r>
          <rPr>
            <sz val="12"/>
            <color indexed="81"/>
            <rFont val="Tahoma"/>
            <family val="2"/>
          </rPr>
          <t xml:space="preserve">Half-life value for inorganic substances is 0. You need to input just one of these two values, Half-life or OECD28d
</t>
        </r>
      </text>
    </comment>
    <comment ref="AD260" authorId="0">
      <text>
        <r>
          <rPr>
            <sz val="12"/>
            <color indexed="81"/>
            <rFont val="Tahoma"/>
            <family val="2"/>
          </rPr>
          <t xml:space="preserve">You need to input just one of these two values, Half-life or OECD28d
</t>
        </r>
      </text>
    </comment>
    <comment ref="AE260" authorId="0">
      <text>
        <r>
          <rPr>
            <sz val="12"/>
            <color indexed="81"/>
            <rFont val="Tahoma"/>
            <family val="2"/>
          </rPr>
          <t>You need to input just one of these two values, BCF or Log Kow</t>
        </r>
        <r>
          <rPr>
            <sz val="8"/>
            <color indexed="81"/>
            <rFont val="Tahoma"/>
            <family val="2"/>
          </rPr>
          <t xml:space="preserve">
</t>
        </r>
      </text>
    </comment>
    <comment ref="AF260" authorId="0">
      <text>
        <r>
          <rPr>
            <sz val="12"/>
            <color indexed="81"/>
            <rFont val="Tahoma"/>
            <family val="2"/>
          </rPr>
          <t>You need to input just one of these two values, BCF or Log Kow</t>
        </r>
      </text>
    </comment>
    <comment ref="AI260" authorId="0">
      <text>
        <r>
          <rPr>
            <b/>
            <sz val="8"/>
            <color indexed="81"/>
            <rFont val="Tahoma"/>
            <family val="2"/>
          </rPr>
          <t>Rat</t>
        </r>
        <r>
          <rPr>
            <sz val="8"/>
            <color indexed="81"/>
            <rFont val="Tahoma"/>
            <family val="2"/>
          </rPr>
          <t xml:space="preserve">
</t>
        </r>
      </text>
    </comment>
    <comment ref="AP260" authorId="0">
      <text>
        <r>
          <rPr>
            <sz val="12"/>
            <color indexed="81"/>
            <rFont val="Tahoma"/>
            <family val="2"/>
          </rPr>
          <t>If data is not input by the user, a value can be approximated.</t>
        </r>
      </text>
    </comment>
    <comment ref="AQ260" authorId="0">
      <text>
        <r>
          <rPr>
            <sz val="12"/>
            <color indexed="81"/>
            <rFont val="Tahoma"/>
            <family val="2"/>
          </rPr>
          <t xml:space="preserve">T &amp; R23/24/25: C </t>
        </r>
        <r>
          <rPr>
            <sz val="12"/>
            <color indexed="81"/>
            <rFont val="Symbol"/>
            <family val="1"/>
            <charset val="2"/>
          </rPr>
          <t xml:space="preserve">³ </t>
        </r>
        <r>
          <rPr>
            <sz val="12"/>
            <color indexed="81"/>
            <rFont val="Tahoma"/>
            <family val="2"/>
          </rPr>
          <t>20%
Xn &amp; R20/21/22: 3%</t>
        </r>
        <r>
          <rPr>
            <sz val="12"/>
            <color indexed="81"/>
            <rFont val="Symbol"/>
            <family val="1"/>
            <charset val="2"/>
          </rPr>
          <t>£</t>
        </r>
        <r>
          <rPr>
            <sz val="12"/>
            <color indexed="81"/>
            <rFont val="Tahoma"/>
            <family val="2"/>
          </rPr>
          <t xml:space="preserve">C&lt;20%
T &amp; R39/23/24/25: C </t>
        </r>
        <r>
          <rPr>
            <sz val="12"/>
            <color indexed="81"/>
            <rFont val="Symbol"/>
            <family val="1"/>
            <charset val="2"/>
          </rPr>
          <t>³</t>
        </r>
        <r>
          <rPr>
            <sz val="12"/>
            <color indexed="81"/>
            <rFont val="Tahoma"/>
            <family val="2"/>
          </rPr>
          <t xml:space="preserve"> 10%
Xn &amp; R68/20/21/22: 3% </t>
        </r>
        <r>
          <rPr>
            <sz val="12"/>
            <color indexed="81"/>
            <rFont val="Symbol"/>
            <family val="1"/>
            <charset val="2"/>
          </rPr>
          <t>£</t>
        </r>
        <r>
          <rPr>
            <sz val="12"/>
            <color indexed="81"/>
            <rFont val="Tahoma"/>
            <family val="2"/>
          </rPr>
          <t xml:space="preserve">C&lt;10%
C &amp; R34: C </t>
        </r>
        <r>
          <rPr>
            <sz val="12"/>
            <color indexed="81"/>
            <rFont val="Symbol"/>
            <family val="1"/>
            <charset val="2"/>
          </rPr>
          <t>³</t>
        </r>
        <r>
          <rPr>
            <sz val="12"/>
            <color indexed="81"/>
            <rFont val="Tahoma"/>
            <family val="2"/>
          </rPr>
          <t xml:space="preserve"> 25%
Xi &amp; R36/38: 10%</t>
        </r>
        <r>
          <rPr>
            <sz val="12"/>
            <color indexed="81"/>
            <rFont val="Symbol"/>
            <family val="1"/>
            <charset val="2"/>
          </rPr>
          <t>£</t>
        </r>
        <r>
          <rPr>
            <sz val="12"/>
            <color indexed="81"/>
            <rFont val="Tahoma"/>
            <family val="2"/>
          </rPr>
          <t xml:space="preserve">C&lt;25%
C &amp; R35: C </t>
        </r>
        <r>
          <rPr>
            <sz val="12"/>
            <color indexed="81"/>
            <rFont val="Symbol"/>
            <family val="1"/>
            <charset val="2"/>
          </rPr>
          <t>³</t>
        </r>
        <r>
          <rPr>
            <sz val="12"/>
            <color indexed="81"/>
            <rFont val="Tahoma"/>
            <family val="2"/>
          </rPr>
          <t xml:space="preserve"> 5%
C &amp; R34: 2%</t>
        </r>
        <r>
          <rPr>
            <sz val="12"/>
            <color indexed="81"/>
            <rFont val="Symbol"/>
            <family val="1"/>
            <charset val="2"/>
          </rPr>
          <t>£</t>
        </r>
        <r>
          <rPr>
            <sz val="12"/>
            <color indexed="81"/>
            <rFont val="Tahoma"/>
            <family val="2"/>
          </rPr>
          <t xml:space="preserve">C&lt;5%
Xi &amp; R36/38: 0.5% </t>
        </r>
        <r>
          <rPr>
            <sz val="12"/>
            <color indexed="81"/>
            <rFont val="Symbol"/>
            <family val="1"/>
            <charset val="2"/>
          </rPr>
          <t>£</t>
        </r>
        <r>
          <rPr>
            <sz val="12"/>
            <color indexed="81"/>
            <rFont val="Tahoma"/>
            <family val="2"/>
          </rPr>
          <t>C&lt;2%</t>
        </r>
      </text>
    </comment>
    <comment ref="AR260" authorId="0">
      <text>
        <r>
          <rPr>
            <sz val="12"/>
            <color indexed="81"/>
            <rFont val="Tahoma"/>
            <family val="2"/>
          </rPr>
          <t>If data is not input by the user, a value can be approximated.</t>
        </r>
      </text>
    </comment>
    <comment ref="AS260" authorId="0">
      <text>
        <r>
          <rPr>
            <sz val="12"/>
            <color indexed="81"/>
            <rFont val="Tahoma"/>
            <family val="2"/>
          </rPr>
          <t xml:space="preserve">T &amp; R23/24/25: C </t>
        </r>
        <r>
          <rPr>
            <sz val="12"/>
            <color indexed="81"/>
            <rFont val="Symbol"/>
            <family val="1"/>
            <charset val="2"/>
          </rPr>
          <t xml:space="preserve">³ </t>
        </r>
        <r>
          <rPr>
            <sz val="12"/>
            <color indexed="81"/>
            <rFont val="Tahoma"/>
            <family val="2"/>
          </rPr>
          <t>20%
Xn &amp; R20/21/22: 3%</t>
        </r>
        <r>
          <rPr>
            <sz val="12"/>
            <color indexed="81"/>
            <rFont val="Symbol"/>
            <family val="1"/>
            <charset val="2"/>
          </rPr>
          <t>£</t>
        </r>
        <r>
          <rPr>
            <sz val="12"/>
            <color indexed="81"/>
            <rFont val="Tahoma"/>
            <family val="2"/>
          </rPr>
          <t xml:space="preserve">C&lt;20%
T &amp; R39/23/24/25: C </t>
        </r>
        <r>
          <rPr>
            <sz val="12"/>
            <color indexed="81"/>
            <rFont val="Symbol"/>
            <family val="1"/>
            <charset val="2"/>
          </rPr>
          <t>³</t>
        </r>
        <r>
          <rPr>
            <sz val="12"/>
            <color indexed="81"/>
            <rFont val="Tahoma"/>
            <family val="2"/>
          </rPr>
          <t xml:space="preserve"> 10%
Xn &amp; R68/20/21/22: 3% </t>
        </r>
        <r>
          <rPr>
            <sz val="12"/>
            <color indexed="81"/>
            <rFont val="Symbol"/>
            <family val="1"/>
            <charset val="2"/>
          </rPr>
          <t>£</t>
        </r>
        <r>
          <rPr>
            <sz val="12"/>
            <color indexed="81"/>
            <rFont val="Tahoma"/>
            <family val="2"/>
          </rPr>
          <t xml:space="preserve">C&lt;10%
C &amp; R34: C </t>
        </r>
        <r>
          <rPr>
            <sz val="12"/>
            <color indexed="81"/>
            <rFont val="Symbol"/>
            <family val="1"/>
            <charset val="2"/>
          </rPr>
          <t>³</t>
        </r>
        <r>
          <rPr>
            <sz val="12"/>
            <color indexed="81"/>
            <rFont val="Tahoma"/>
            <family val="2"/>
          </rPr>
          <t xml:space="preserve"> 25%
Xi &amp; R36/38: 10%</t>
        </r>
        <r>
          <rPr>
            <sz val="12"/>
            <color indexed="81"/>
            <rFont val="Symbol"/>
            <family val="1"/>
            <charset val="2"/>
          </rPr>
          <t>£</t>
        </r>
        <r>
          <rPr>
            <sz val="12"/>
            <color indexed="81"/>
            <rFont val="Tahoma"/>
            <family val="2"/>
          </rPr>
          <t xml:space="preserve">C&lt;25%
C &amp; R35: C </t>
        </r>
        <r>
          <rPr>
            <sz val="12"/>
            <color indexed="81"/>
            <rFont val="Symbol"/>
            <family val="1"/>
            <charset val="2"/>
          </rPr>
          <t>³</t>
        </r>
        <r>
          <rPr>
            <sz val="12"/>
            <color indexed="81"/>
            <rFont val="Tahoma"/>
            <family val="2"/>
          </rPr>
          <t xml:space="preserve"> 5%
C &amp; R34: 2%</t>
        </r>
        <r>
          <rPr>
            <sz val="12"/>
            <color indexed="81"/>
            <rFont val="Symbol"/>
            <family val="1"/>
            <charset val="2"/>
          </rPr>
          <t>£</t>
        </r>
        <r>
          <rPr>
            <sz val="12"/>
            <color indexed="81"/>
            <rFont val="Tahoma"/>
            <family val="2"/>
          </rPr>
          <t xml:space="preserve">C&lt;5%
Xi &amp; R36/38: 0.5% </t>
        </r>
        <r>
          <rPr>
            <sz val="12"/>
            <color indexed="81"/>
            <rFont val="Symbol"/>
            <family val="1"/>
            <charset val="2"/>
          </rPr>
          <t>£</t>
        </r>
        <r>
          <rPr>
            <sz val="12"/>
            <color indexed="81"/>
            <rFont val="Tahoma"/>
            <family val="2"/>
          </rPr>
          <t>C&lt;2%</t>
        </r>
      </text>
    </comment>
    <comment ref="AT260" authorId="0">
      <text>
        <r>
          <rPr>
            <sz val="12"/>
            <color indexed="81"/>
            <rFont val="Tahoma"/>
            <family val="2"/>
          </rPr>
          <t>If data is not input by the user, a value can be approximated.</t>
        </r>
      </text>
    </comment>
    <comment ref="AU260" authorId="0">
      <text>
        <r>
          <rPr>
            <sz val="12"/>
            <color indexed="81"/>
            <rFont val="Tahoma"/>
            <family val="2"/>
          </rPr>
          <t>http://igs.naz.ch/igsmain/
If It's not described in the database, then, The Office bases its classification on the following acute oral lethal dose thresholds, determined on various animals, usually rats
- toxicity class 1: up to 5 mg/kg
- toxicity class 2: 5- 50 mg/kg
- toxicity class 3: 50- 500 mg/kg
- toxicity class 4: 500-2000 mg/kg
- toxicity class 5: 2000-5000 mg/kg</t>
        </r>
      </text>
    </comment>
    <comment ref="AV260" authorId="0">
      <text>
        <r>
          <rPr>
            <sz val="12"/>
            <color indexed="81"/>
            <rFont val="Tahoma"/>
            <family val="2"/>
          </rPr>
          <t xml:space="preserve">AIHA data-source
Hazard rating: 0 - Minimal; 1 - Slight; 2 - Moderate; 3 - Serious; 4 - Severe
</t>
        </r>
      </text>
    </comment>
    <comment ref="AW260" authorId="0">
      <text>
        <r>
          <rPr>
            <sz val="12"/>
            <color indexed="81"/>
            <rFont val="Tahoma"/>
            <family val="2"/>
          </rPr>
          <t xml:space="preserve">AIHA data-source
Hazard rating: 0 - Minimal; 1 - Slight; 2 - Moderate; 3 - Serious; 4 - Severe
</t>
        </r>
      </text>
    </comment>
    <comment ref="AX260" authorId="0">
      <text>
        <r>
          <rPr>
            <sz val="12"/>
            <color indexed="81"/>
            <rFont val="Tahoma"/>
            <family val="2"/>
          </rPr>
          <t>WGK is not needed if LC50 is known.
nwg: non-hazardous to water
WGK 3: severe hazard to waters,
WGK 2: hazard to waters,
WGK 1: low hazard to waters.</t>
        </r>
      </text>
    </comment>
    <comment ref="BA260" authorId="0">
      <text>
        <r>
          <rPr>
            <sz val="12"/>
            <color indexed="81"/>
            <rFont val="Tahoma"/>
            <family val="2"/>
          </rPr>
          <t>Tflash is not needed if NFPA-f is known.</t>
        </r>
      </text>
    </comment>
    <comment ref="BC260" authorId="0">
      <text>
        <r>
          <rPr>
            <sz val="12"/>
            <color indexed="81"/>
            <rFont val="Tahoma"/>
            <family val="2"/>
          </rPr>
          <t xml:space="preserve">Tdec is not needed if NFPA-r is known.
</t>
        </r>
      </text>
    </comment>
    <comment ref="BD260" authorId="0">
      <text>
        <r>
          <rPr>
            <sz val="12"/>
            <color indexed="81"/>
            <rFont val="Tahoma"/>
            <family val="2"/>
          </rPr>
          <t xml:space="preserve">You need to input just one of these 3 values, </t>
        </r>
        <r>
          <rPr>
            <sz val="12"/>
            <color indexed="81"/>
            <rFont val="Symbol"/>
            <family val="1"/>
            <charset val="2"/>
          </rPr>
          <t>D</t>
        </r>
        <r>
          <rPr>
            <sz val="12"/>
            <color indexed="81"/>
            <rFont val="Tahoma"/>
            <family val="2"/>
          </rPr>
          <t xml:space="preserve">Hdecom, </t>
        </r>
        <r>
          <rPr>
            <sz val="12"/>
            <color indexed="81"/>
            <rFont val="Symbol"/>
            <family val="1"/>
            <charset val="2"/>
          </rPr>
          <t>D</t>
        </r>
        <r>
          <rPr>
            <sz val="12"/>
            <color indexed="81"/>
            <rFont val="Tahoma"/>
            <family val="2"/>
          </rPr>
          <t>Hr, or NFPA-r</t>
        </r>
      </text>
    </comment>
    <comment ref="BE260" authorId="0">
      <text>
        <r>
          <rPr>
            <sz val="12"/>
            <color indexed="81"/>
            <rFont val="Tahoma"/>
            <family val="2"/>
          </rPr>
          <t xml:space="preserve">You need to input just one of these 3 values, </t>
        </r>
        <r>
          <rPr>
            <sz val="12"/>
            <color indexed="81"/>
            <rFont val="Symbol"/>
            <family val="1"/>
            <charset val="2"/>
          </rPr>
          <t>D</t>
        </r>
        <r>
          <rPr>
            <sz val="12"/>
            <color indexed="81"/>
            <rFont val="Tahoma"/>
            <family val="2"/>
          </rPr>
          <t xml:space="preserve">Hdecom, </t>
        </r>
        <r>
          <rPr>
            <sz val="12"/>
            <color indexed="81"/>
            <rFont val="Symbol"/>
            <family val="1"/>
            <charset val="2"/>
          </rPr>
          <t>D</t>
        </r>
        <r>
          <rPr>
            <sz val="12"/>
            <color indexed="81"/>
            <rFont val="Tahoma"/>
            <family val="2"/>
          </rPr>
          <t>Hr, or NFPA-r</t>
        </r>
      </text>
    </comment>
    <comment ref="BO260" authorId="0">
      <text>
        <r>
          <rPr>
            <sz val="12"/>
            <color indexed="81"/>
            <rFont val="Tahoma"/>
            <family val="2"/>
          </rPr>
          <t xml:space="preserve">If data is not input by the user, a value can be found in the internal database.
</t>
        </r>
      </text>
    </comment>
    <comment ref="BQ260" authorId="0">
      <text>
        <r>
          <rPr>
            <sz val="12"/>
            <color indexed="81"/>
            <rFont val="Tahoma"/>
            <family val="2"/>
          </rPr>
          <t xml:space="preserve">If data is not input by the user, a value can be found in the internal database.
</t>
        </r>
      </text>
    </comment>
    <comment ref="BS260" authorId="0">
      <text>
        <r>
          <rPr>
            <sz val="12"/>
            <color indexed="81"/>
            <rFont val="Tahoma"/>
            <family val="2"/>
          </rPr>
          <t>If data is not input by the user, a value can be found in the internal database.</t>
        </r>
      </text>
    </comment>
    <comment ref="BU260" authorId="0">
      <text>
        <r>
          <rPr>
            <sz val="12"/>
            <color indexed="81"/>
            <rFont val="Tahoma"/>
            <family val="2"/>
          </rPr>
          <t xml:space="preserve">If data is not input by the user, a value can be found in the internal database.
</t>
        </r>
      </text>
    </comment>
    <comment ref="CD260" authorId="0">
      <text>
        <r>
          <rPr>
            <sz val="12"/>
            <color indexed="81"/>
            <rFont val="Tahoma"/>
            <family val="2"/>
          </rPr>
          <t>If data is not input by the user, a value can be found in the internal database.</t>
        </r>
      </text>
    </comment>
    <comment ref="CF260" authorId="0">
      <text>
        <r>
          <rPr>
            <sz val="12"/>
            <color indexed="81"/>
            <rFont val="Tahoma"/>
            <family val="2"/>
          </rPr>
          <t>If data is not input by the user, a value can be found in the internal database.</t>
        </r>
      </text>
    </comment>
    <comment ref="CQ260" authorId="0">
      <text>
        <r>
          <rPr>
            <sz val="12"/>
            <color indexed="81"/>
            <rFont val="Tahoma"/>
            <family val="2"/>
          </rPr>
          <t>If data is not input by the user, a value can be found in the internal database.</t>
        </r>
      </text>
    </comment>
    <comment ref="CS260" authorId="0">
      <text>
        <r>
          <rPr>
            <sz val="12"/>
            <color indexed="81"/>
            <rFont val="Tahoma"/>
            <family val="2"/>
          </rPr>
          <t>If data is not input by the user, a value can be found in the internal database.</t>
        </r>
      </text>
    </comment>
    <comment ref="AG262" authorId="1">
      <text>
        <r>
          <rPr>
            <b/>
            <sz val="9"/>
            <color indexed="81"/>
            <rFont val="Tahoma"/>
            <family val="2"/>
          </rPr>
          <t>Ricardo Dias:</t>
        </r>
        <r>
          <rPr>
            <sz val="9"/>
            <color indexed="81"/>
            <rFont val="Tahoma"/>
            <family val="2"/>
          </rPr>
          <t xml:space="preserve">
90minutes mouse
http://westliberty.edu/health-and-safety/files/2010/02/Carbon-Dioxide-Gas.pdf</t>
        </r>
      </text>
    </comment>
    <comment ref="AI262" authorId="0">
      <text>
        <r>
          <rPr>
            <b/>
            <sz val="8"/>
            <color indexed="81"/>
            <rFont val="Tahoma"/>
            <family val="2"/>
          </rPr>
          <t>&gt;5000</t>
        </r>
      </text>
    </comment>
    <comment ref="AK262" authorId="0">
      <text>
        <r>
          <rPr>
            <b/>
            <sz val="8"/>
            <color indexed="81"/>
            <rFont val="Tahoma"/>
            <family val="2"/>
          </rPr>
          <t>&gt;5000 on rabbit</t>
        </r>
      </text>
    </comment>
    <comment ref="AR262" authorId="1">
      <text>
        <r>
          <rPr>
            <b/>
            <sz val="9"/>
            <color indexed="81"/>
            <rFont val="Tahoma"/>
            <family val="2"/>
          </rPr>
          <t>Ricardo Dias:</t>
        </r>
        <r>
          <rPr>
            <sz val="9"/>
            <color indexed="81"/>
            <rFont val="Tahoma"/>
            <family val="2"/>
          </rPr>
          <t xml:space="preserve">
http://www.igs-cymaco.be/pdf/39_en.pdf</t>
        </r>
      </text>
    </comment>
    <comment ref="AV262" authorId="1">
      <text>
        <r>
          <rPr>
            <b/>
            <sz val="9"/>
            <color indexed="81"/>
            <rFont val="Tahoma"/>
            <family val="2"/>
          </rPr>
          <t>Ricardo Dias:</t>
        </r>
        <r>
          <rPr>
            <sz val="9"/>
            <color indexed="81"/>
            <rFont val="Tahoma"/>
            <family val="2"/>
          </rPr>
          <t xml:space="preserve">
https://amp.generalair.com/MsdsDocs/PA4574S.pdf</t>
        </r>
      </text>
    </comment>
    <comment ref="AX262" authorId="1">
      <text>
        <r>
          <rPr>
            <b/>
            <sz val="9"/>
            <color indexed="81"/>
            <rFont val="Tahoma"/>
            <family val="2"/>
          </rPr>
          <t>Ricardo Dias:</t>
        </r>
        <r>
          <rPr>
            <sz val="9"/>
            <color indexed="81"/>
            <rFont val="Tahoma"/>
            <family val="2"/>
          </rPr>
          <t xml:space="preserve">
https://bruusgaard.no/wp-content/uploads/2021/05/MB10012-Cal.-Gas-Z-Cal-gas-IG-14-CO2-in-N2-12L1L-Btl-2.pdf</t>
        </r>
      </text>
    </comment>
    <comment ref="AY262" authorId="1">
      <text>
        <r>
          <rPr>
            <b/>
            <sz val="9"/>
            <color indexed="81"/>
            <rFont val="Tahoma"/>
            <family val="2"/>
          </rPr>
          <t>Ricardo Dias:</t>
        </r>
        <r>
          <rPr>
            <sz val="9"/>
            <color indexed="81"/>
            <rFont val="Tahoma"/>
            <family val="2"/>
          </rPr>
          <t xml:space="preserve">
https://pubchem.ncbi.nlm.nih.gov/compound/Carbon-dioxide</t>
        </r>
      </text>
    </comment>
    <comment ref="BF262" authorId="1">
      <text>
        <r>
          <rPr>
            <b/>
            <sz val="9"/>
            <color indexed="81"/>
            <rFont val="Tahoma"/>
            <family val="2"/>
          </rPr>
          <t>Ricardo Dias:</t>
        </r>
        <r>
          <rPr>
            <sz val="9"/>
            <color indexed="81"/>
            <rFont val="Tahoma"/>
            <family val="2"/>
          </rPr>
          <t xml:space="preserve">
https://pubchem.ncbi.nlm.nih.gov/compound/Carbon-dioxide#section=Kovats-Retention-Index</t>
        </r>
      </text>
    </comment>
    <comment ref="BG262" authorId="1">
      <text>
        <r>
          <rPr>
            <b/>
            <sz val="9"/>
            <color indexed="81"/>
            <rFont val="Tahoma"/>
            <family val="2"/>
          </rPr>
          <t>Ricardo Dias:</t>
        </r>
        <r>
          <rPr>
            <sz val="9"/>
            <color indexed="81"/>
            <rFont val="Tahoma"/>
            <family val="2"/>
          </rPr>
          <t xml:space="preserve">
https://webbook.nist.gov/cgi/cbook.cgi?ID=C124389&amp;Mask=4</t>
        </r>
      </text>
    </comment>
    <comment ref="BH262" authorId="1">
      <text>
        <r>
          <rPr>
            <b/>
            <sz val="9"/>
            <color indexed="81"/>
            <rFont val="Tahoma"/>
            <family val="2"/>
          </rPr>
          <t>Ricardo Dias:</t>
        </r>
        <r>
          <rPr>
            <sz val="9"/>
            <color indexed="81"/>
            <rFont val="Tahoma"/>
            <family val="2"/>
          </rPr>
          <t xml:space="preserve">
https://pubchem.ncbi.nlm.nih.gov/compound/Carbon-dioxide#section=Density
</t>
        </r>
      </text>
    </comment>
    <comment ref="BI262" authorId="1">
      <text>
        <r>
          <rPr>
            <b/>
            <sz val="9"/>
            <color indexed="81"/>
            <rFont val="Tahoma"/>
            <family val="2"/>
          </rPr>
          <t>Ricardo Dias:</t>
        </r>
        <r>
          <rPr>
            <sz val="9"/>
            <color indexed="81"/>
            <rFont val="Tahoma"/>
            <family val="2"/>
          </rPr>
          <t xml:space="preserve">
https://pubchem.ncbi.nlm.nih.gov/compound/Carbon-dioxide#section=Vapor-Pressure</t>
        </r>
      </text>
    </comment>
    <comment ref="BK262" authorId="1">
      <text>
        <r>
          <rPr>
            <b/>
            <sz val="9"/>
            <color indexed="81"/>
            <rFont val="Tahoma"/>
            <family val="2"/>
          </rPr>
          <t>Ricardo Dias:</t>
        </r>
        <r>
          <rPr>
            <sz val="9"/>
            <color indexed="81"/>
            <rFont val="Tahoma"/>
            <family val="2"/>
          </rPr>
          <t xml:space="preserve">
https://www.mdpi.com/2071-1050/13/9/5236/pdf</t>
        </r>
      </text>
    </comment>
    <comment ref="BL262" authorId="1">
      <text>
        <r>
          <rPr>
            <b/>
            <sz val="9"/>
            <color indexed="81"/>
            <rFont val="Tahoma"/>
            <family val="2"/>
          </rPr>
          <t>Ricardo Dias:</t>
        </r>
        <r>
          <rPr>
            <sz val="9"/>
            <color indexed="81"/>
            <rFont val="Tahoma"/>
            <family val="2"/>
          </rPr>
          <t xml:space="preserve">
https://www.baskent.edu.tr/~lcolak/ENE558/Chpt_13_Slides_Chemical_Exergy.pdf</t>
        </r>
      </text>
    </comment>
    <comment ref="BM262" authorId="1">
      <text>
        <r>
          <rPr>
            <b/>
            <sz val="9"/>
            <color indexed="81"/>
            <rFont val="Tahoma"/>
            <family val="2"/>
          </rPr>
          <t>Ricardo Dias:</t>
        </r>
        <r>
          <rPr>
            <sz val="9"/>
            <color indexed="81"/>
            <rFont val="Tahoma"/>
            <family val="2"/>
          </rPr>
          <t xml:space="preserve">
https://webbook.nist.gov/cgi/cbook.cgi?ID=C124389&amp;Mask=1</t>
        </r>
      </text>
    </comment>
    <comment ref="BN262" authorId="1">
      <text>
        <r>
          <rPr>
            <b/>
            <sz val="9"/>
            <color indexed="81"/>
            <rFont val="Tahoma"/>
            <family val="2"/>
          </rPr>
          <t>Ricardo Dias:</t>
        </r>
        <r>
          <rPr>
            <sz val="9"/>
            <color indexed="81"/>
            <rFont val="Tahoma"/>
            <family val="2"/>
          </rPr>
          <t xml:space="preserve">
https://webbook.nist.gov/cgi/cbook.cgi?ID=C124389&amp;Mask=1</t>
        </r>
      </text>
    </comment>
    <comment ref="AI263" authorId="0">
      <text>
        <r>
          <rPr>
            <b/>
            <sz val="8"/>
            <color indexed="81"/>
            <rFont val="Tahoma"/>
            <family val="2"/>
          </rPr>
          <t>From: http://www.sciencelab.com/msds.php?msdsId=9927321</t>
        </r>
        <r>
          <rPr>
            <sz val="8"/>
            <color indexed="81"/>
            <rFont val="Tahoma"/>
            <family val="2"/>
          </rPr>
          <t xml:space="preserve">
</t>
        </r>
      </text>
    </comment>
    <comment ref="AK263" authorId="0">
      <text>
        <r>
          <rPr>
            <b/>
            <sz val="8"/>
            <color indexed="81"/>
            <rFont val="Tahoma"/>
            <family val="2"/>
          </rPr>
          <t>&gt;21900 on rat</t>
        </r>
      </text>
    </comment>
    <comment ref="AE264" authorId="1">
      <text>
        <r>
          <rPr>
            <b/>
            <sz val="9"/>
            <color indexed="81"/>
            <rFont val="Tahoma"/>
            <family val="2"/>
          </rPr>
          <t>Ricardo Dias:</t>
        </r>
        <r>
          <rPr>
            <sz val="9"/>
            <color indexed="81"/>
            <rFont val="Tahoma"/>
            <family val="2"/>
          </rPr>
          <t xml:space="preserve">
https://materion.com/api/materion/Msds/Download?fileName=153_CALCIUM%20OXIDE_PIS-EU_EU%20English.pdf</t>
        </r>
      </text>
    </comment>
    <comment ref="AF264" authorId="1">
      <text>
        <r>
          <rPr>
            <b/>
            <sz val="9"/>
            <color indexed="81"/>
            <rFont val="Tahoma"/>
            <family val="2"/>
          </rPr>
          <t>Ricardo Dias:</t>
        </r>
        <r>
          <rPr>
            <sz val="9"/>
            <color indexed="81"/>
            <rFont val="Tahoma"/>
            <family val="2"/>
          </rPr>
          <t xml:space="preserve">
https://www.carlroth.com/medias/SDB-CN88-MT-EN.pdf?context=bWFzdGVyfHNlY3VyaXR5RGF0YXNoZWV0c3wyNzcwNDd8YXBwbGljYXRpb24vcGRmfHNlY3VyaXR5RGF0YXNoZWV0cy9oYTEvaDdlLzg5NzcwMDg5MTg1NTgucGRmfDFjNGRkMTE4ODU2ODNlNjU5MjA4YTU2YjE4NmI3NTNjZTYxY2M5NWZlYmMxOTNkMzlmOThkYWJkMTJmYzgyMjM</t>
        </r>
      </text>
    </comment>
    <comment ref="AG264" authorId="1">
      <text>
        <r>
          <rPr>
            <b/>
            <sz val="9"/>
            <color indexed="81"/>
            <rFont val="Tahoma"/>
            <family val="2"/>
          </rPr>
          <t>Ricardo Dias:</t>
        </r>
        <r>
          <rPr>
            <sz val="9"/>
            <color indexed="81"/>
            <rFont val="Tahoma"/>
            <family val="2"/>
          </rPr>
          <t xml:space="preserve">
96h fish
https://www.carlroth.com/medias/SDB-CN88-MT-EN.pdf?context=bWFzdGVyfHNlY3VyaXR5RGF0YXNoZWV0c3wyNzcwNDd8YXBwbGljYXRpb24vcGRmfHNlY3VyaXR5RGF0YXNoZWV0cy9oYTEvaDdlLzg5NzcwMDg5MTg1NTgucGRmfDFjNGRkMTE4ODU2ODNlNjU5MjA4YTU2YjE4NmI3NTNjZTYxY2M5NWZlYmMxOTNkMzlmOThkYWJkMTJmYzgyMjM</t>
        </r>
      </text>
    </comment>
    <comment ref="AI264" authorId="1">
      <text>
        <r>
          <rPr>
            <b/>
            <sz val="9"/>
            <color indexed="81"/>
            <rFont val="Tahoma"/>
            <family val="2"/>
          </rPr>
          <t>Ricardo Dias:</t>
        </r>
        <r>
          <rPr>
            <sz val="9"/>
            <color indexed="81"/>
            <rFont val="Tahoma"/>
            <family val="2"/>
          </rPr>
          <t xml:space="preserve">
greater than, rat
https://www.carlroth.com/medias/SDB-CN88-MT-EN.pdf?context=bWFzdGVyfHNlY3VyaXR5RGF0YXNoZWV0c3wyNzcwNDd8YXBwbGljYXRpb24vcGRmfHNlY3VyaXR5RGF0YXNoZWV0cy9oYTEvaDdlLzg5NzcwMDg5MTg1NTgucGRmfDFjNGRkMTE4ODU2ODNlNjU5MjA4YTU2YjE4NmI3NTNjZTYxY2M5NWZlYmMxOTNkMzlmOThkYWJkMTJmYzgyMjM</t>
        </r>
      </text>
    </comment>
    <comment ref="AK264" authorId="1">
      <text>
        <r>
          <rPr>
            <sz val="9"/>
            <color indexed="81"/>
            <rFont val="Tahoma"/>
            <family val="2"/>
          </rPr>
          <t>greater than, chinese hamster
https://www.carlroth.com/medias/SDB-CN88-MT-EN.pdf?context=bWFzdGVyfHNlY3VyaXR5RGF0YXNoZWV0c3wyNzcwNDd8YXBwbGljYXRpb24vcGRmfHNlY3VyaXR5RGF0YXNoZWV0cy9oYTEvaDdlLzg5NzcwMDg5MTg1NTgucGRmfDFjNGRkMTE4ODU2ODNlNjU5MjA4YTU2YjE4NmI3NTNjZTYxY2M5NWZlYmMxOTNkMzlmOThkYWJkMTJmYzgyMjM</t>
        </r>
      </text>
    </comment>
    <comment ref="AR264" authorId="1">
      <text>
        <r>
          <rPr>
            <b/>
            <sz val="9"/>
            <color indexed="81"/>
            <rFont val="Tahoma"/>
            <family val="2"/>
          </rPr>
          <t>Ricardo Dias:</t>
        </r>
        <r>
          <rPr>
            <sz val="9"/>
            <color indexed="81"/>
            <rFont val="Tahoma"/>
            <family val="2"/>
          </rPr>
          <t xml:space="preserve">
https://www.carlroth.com/medias/SDB-CN88-AU-EN.pdf?context=bWFzdGVyfHNlY3VyaXR5RGF0YXNoZWV0c3wyNzM1MjF8YXBwbGljYXRpb24vcGRmfHNlY3VyaXR5RGF0YXNoZWV0cy9oNzIvaGE4Lzg5NzcwMDg5ODQwOTQucGRmfGQ3MDY0NmNiZTU1M2NjMGNlODFkOWU1NTliNzNhYjBjODNiZjYyZTNhZjI3NGUxM2Y0MzliZTM1NjRiN2RmMmQ</t>
        </r>
      </text>
    </comment>
    <comment ref="AV264" authorId="1">
      <text>
        <r>
          <rPr>
            <b/>
            <sz val="9"/>
            <color indexed="81"/>
            <rFont val="Tahoma"/>
            <family val="2"/>
          </rPr>
          <t>Ricardo Dias:</t>
        </r>
        <r>
          <rPr>
            <sz val="9"/>
            <color indexed="81"/>
            <rFont val="Tahoma"/>
            <family val="2"/>
          </rPr>
          <t xml:space="preserve">
https://cameochemicals.noaa.gov/chemical/311
</t>
        </r>
      </text>
    </comment>
    <comment ref="AX264" authorId="1">
      <text>
        <r>
          <rPr>
            <b/>
            <sz val="9"/>
            <color indexed="81"/>
            <rFont val="Tahoma"/>
            <family val="2"/>
          </rPr>
          <t>Ricardo Dias:</t>
        </r>
        <r>
          <rPr>
            <sz val="9"/>
            <color indexed="81"/>
            <rFont val="Tahoma"/>
            <family val="2"/>
          </rPr>
          <t xml:space="preserve">
https://www.sigmaaldrich.com/PT/en/product/aldrich/229539</t>
        </r>
      </text>
    </comment>
    <comment ref="AY264" authorId="1">
      <text>
        <r>
          <rPr>
            <b/>
            <sz val="9"/>
            <color indexed="81"/>
            <rFont val="Tahoma"/>
            <family val="2"/>
          </rPr>
          <t>Ricardo Dias:</t>
        </r>
        <r>
          <rPr>
            <sz val="9"/>
            <color indexed="81"/>
            <rFont val="Tahoma"/>
            <family val="2"/>
          </rPr>
          <t xml:space="preserve">
https://pubchem.ncbi.nlm.nih.gov/compound/Calcium-oxide</t>
        </r>
      </text>
    </comment>
    <comment ref="BF264" authorId="1">
      <text>
        <r>
          <rPr>
            <b/>
            <sz val="9"/>
            <color indexed="81"/>
            <rFont val="Tahoma"/>
            <family val="2"/>
          </rPr>
          <t>Ricardo Dias:</t>
        </r>
        <r>
          <rPr>
            <sz val="9"/>
            <color indexed="81"/>
            <rFont val="Tahoma"/>
            <family val="2"/>
          </rPr>
          <t xml:space="preserve">
https://webbook.nist.gov/cgi/cbook.cgi?ID=C1305788&amp;Mask=2</t>
        </r>
      </text>
    </comment>
    <comment ref="BH264" authorId="1">
      <text>
        <r>
          <rPr>
            <b/>
            <sz val="9"/>
            <color indexed="81"/>
            <rFont val="Tahoma"/>
            <family val="2"/>
          </rPr>
          <t>Ricardo Dias:</t>
        </r>
        <r>
          <rPr>
            <sz val="9"/>
            <color indexed="81"/>
            <rFont val="Tahoma"/>
            <family val="2"/>
          </rPr>
          <t xml:space="preserve">
https://pubchem.ncbi.nlm.nih.gov/compound/Calcium-oxide#section=Density</t>
        </r>
      </text>
    </comment>
    <comment ref="AA265" authorId="0">
      <text>
        <r>
          <rPr>
            <sz val="11"/>
            <color indexed="81"/>
            <rFont val="Tahoma"/>
            <family val="2"/>
          </rPr>
          <t xml:space="preserve">TOXNET/HSDB
</t>
        </r>
      </text>
    </comment>
    <comment ref="AE265" authorId="1">
      <text>
        <r>
          <rPr>
            <b/>
            <sz val="9"/>
            <color indexed="81"/>
            <rFont val="Tahoma"/>
            <family val="2"/>
          </rPr>
          <t>Ricardo Dias:</t>
        </r>
        <r>
          <rPr>
            <sz val="9"/>
            <color indexed="81"/>
            <rFont val="Tahoma"/>
            <family val="2"/>
          </rPr>
          <t xml:space="preserve">
https://efsa.onlinelibrary.wiley.com/doi/pdf/10.2903/j.efsa.2011.2299</t>
        </r>
      </text>
    </comment>
    <comment ref="AG265" authorId="1">
      <text>
        <r>
          <rPr>
            <b/>
            <sz val="9"/>
            <color indexed="81"/>
            <rFont val="Tahoma"/>
            <family val="2"/>
          </rPr>
          <t>Ricardo Dias:</t>
        </r>
        <r>
          <rPr>
            <sz val="9"/>
            <color indexed="81"/>
            <rFont val="Tahoma"/>
            <family val="2"/>
          </rPr>
          <t xml:space="preserve">
4h, Rat
https://www.fishersci.com/store/msds?partNumber=C633&amp;productDescription=CALCIUM+CARBONATE+USP%2FFCC+3KG&amp;vendorId=VN00033897&amp;countryCode=US&amp;language=en</t>
        </r>
      </text>
    </comment>
    <comment ref="AI265" authorId="1">
      <text>
        <r>
          <rPr>
            <b/>
            <sz val="9"/>
            <color indexed="81"/>
            <rFont val="Tahoma"/>
            <family val="2"/>
          </rPr>
          <t>Ricardo Dias:</t>
        </r>
        <r>
          <rPr>
            <sz val="9"/>
            <color indexed="81"/>
            <rFont val="Tahoma"/>
            <family val="2"/>
          </rPr>
          <t xml:space="preserve">
Rat
https://www.fishersci.com/store/msds?partNumber=C633&amp;productDescription=CALCIUM+CARBONATE+USP%2FFCC+3KG&amp;vendorId=VN00033897&amp;countryCode=US&amp;language=en</t>
        </r>
      </text>
    </comment>
    <comment ref="AK265" authorId="1">
      <text>
        <r>
          <rPr>
            <b/>
            <sz val="9"/>
            <color indexed="81"/>
            <rFont val="Tahoma"/>
            <family val="2"/>
          </rPr>
          <t>Ricardo Dias:</t>
        </r>
        <r>
          <rPr>
            <sz val="9"/>
            <color indexed="81"/>
            <rFont val="Tahoma"/>
            <family val="2"/>
          </rPr>
          <t xml:space="preserve">
Rat
https://www.fishersci.com/store/msds?partNumber=C633&amp;productDescription=CALCIUM+CARBONATE+USP%2FFCC+3KG&amp;vendorId=VN00033897&amp;countryCode=US&amp;language=en</t>
        </r>
      </text>
    </comment>
    <comment ref="AP265" authorId="1">
      <text>
        <r>
          <rPr>
            <b/>
            <sz val="9"/>
            <color indexed="81"/>
            <rFont val="Tahoma"/>
            <family val="2"/>
          </rPr>
          <t>Ricardo Dias:</t>
        </r>
        <r>
          <rPr>
            <sz val="9"/>
            <color indexed="81"/>
            <rFont val="Tahoma"/>
            <family val="2"/>
          </rPr>
          <t xml:space="preserve">
https://www.eclass.eu/en/standard/search-in-eclass.html?tx_eclasssearch_ecsearch%5Baction%5D=show&amp;tx_eclasssearch_ecsearch%5Bcontroller%5D=Release&amp;tx_eclasssearch_ecsearch%5Bdischarge%5D=0&amp;tx_eclasssearch_ecsearch%5Bid%5D=38020210&amp;tx_eclasssearch_ecsearch%5Blanguage%5D=2&amp;tx_eclasssearch_ecsearch%5Bversion%5D=12.0&amp;cHash=5348189229c462b679abaaab07d7cf86</t>
        </r>
      </text>
    </comment>
    <comment ref="AR265" authorId="1">
      <text>
        <r>
          <rPr>
            <b/>
            <sz val="9"/>
            <color indexed="81"/>
            <rFont val="Tahoma"/>
            <family val="2"/>
          </rPr>
          <t>Ricardo Dias:</t>
        </r>
        <r>
          <rPr>
            <sz val="9"/>
            <color indexed="81"/>
            <rFont val="Tahoma"/>
            <family val="2"/>
          </rPr>
          <t xml:space="preserve">
https://fscimage.fishersci.com/msds/03880.htm</t>
        </r>
      </text>
    </comment>
    <comment ref="AV265" authorId="1">
      <text>
        <r>
          <rPr>
            <b/>
            <sz val="9"/>
            <color indexed="81"/>
            <rFont val="Tahoma"/>
            <family val="2"/>
          </rPr>
          <t>Ricardo Dias:</t>
        </r>
        <r>
          <rPr>
            <sz val="9"/>
            <color indexed="81"/>
            <rFont val="Tahoma"/>
            <family val="2"/>
          </rPr>
          <t xml:space="preserve">
https://fscimage.fishersci.com/msds/03880.htm</t>
        </r>
      </text>
    </comment>
    <comment ref="AX265" authorId="1">
      <text>
        <r>
          <rPr>
            <b/>
            <sz val="9"/>
            <color indexed="81"/>
            <rFont val="Tahoma"/>
            <family val="2"/>
          </rPr>
          <t>Ricardo Dias:</t>
        </r>
        <r>
          <rPr>
            <sz val="9"/>
            <color indexed="81"/>
            <rFont val="Tahoma"/>
            <family val="2"/>
          </rPr>
          <t xml:space="preserve">
https://www.sigmaaldrich.com/PT/en/product/aldrich/202932</t>
        </r>
      </text>
    </comment>
    <comment ref="BH265" authorId="1">
      <text>
        <r>
          <rPr>
            <b/>
            <sz val="9"/>
            <color indexed="81"/>
            <rFont val="Tahoma"/>
            <family val="2"/>
          </rPr>
          <t>Ricardo Dias:</t>
        </r>
        <r>
          <rPr>
            <sz val="9"/>
            <color indexed="81"/>
            <rFont val="Tahoma"/>
            <family val="2"/>
          </rPr>
          <t xml:space="preserve">
https://pubchem.ncbi.nlm.nih.gov/compound/Calcium-carbonate#section=Density</t>
        </r>
      </text>
    </comment>
    <comment ref="CA265" authorId="0">
      <text>
        <r>
          <rPr>
            <b/>
            <sz val="8"/>
            <color indexed="81"/>
            <rFont val="Tahoma"/>
            <family val="2"/>
          </rPr>
          <t>PO4(3−)</t>
        </r>
      </text>
    </comment>
    <comment ref="AG266" authorId="0">
      <text>
        <r>
          <rPr>
            <b/>
            <sz val="8"/>
            <color indexed="81"/>
            <rFont val="Tahoma"/>
            <family val="2"/>
          </rPr>
          <t>LC0 on goldorfen fish, 48 h
ESIS IUCLID</t>
        </r>
      </text>
    </comment>
    <comment ref="AI266" authorId="0">
      <text>
        <r>
          <rPr>
            <b/>
            <sz val="8"/>
            <color indexed="81"/>
            <rFont val="Tahoma"/>
            <family val="2"/>
          </rPr>
          <t>&gt;2000 on rat ESIS-IUCLID</t>
        </r>
      </text>
    </comment>
    <comment ref="AK266" authorId="0">
      <text>
        <r>
          <rPr>
            <b/>
            <sz val="8"/>
            <color indexed="81"/>
            <rFont val="Tahoma"/>
            <family val="2"/>
          </rPr>
          <t>&gt;=2 mg/kg On rabbit, ESIS-IUCLID</t>
        </r>
      </text>
    </comment>
    <comment ref="AX266" authorId="0">
      <text>
        <r>
          <rPr>
            <b/>
            <sz val="8"/>
            <color indexed="81"/>
            <rFont val="Tahoma"/>
            <family val="2"/>
          </rPr>
          <t>from http://webrigoletto.uba.de/rigoletto/public/searchRequest.do?event=request</t>
        </r>
        <r>
          <rPr>
            <sz val="8"/>
            <color indexed="81"/>
            <rFont val="Tahoma"/>
            <family val="2"/>
          </rPr>
          <t xml:space="preserve">
</t>
        </r>
      </text>
    </comment>
    <comment ref="AY266" authorId="0">
      <text>
        <r>
          <rPr>
            <b/>
            <sz val="8"/>
            <color indexed="81"/>
            <rFont val="Tahoma"/>
            <family val="2"/>
          </rPr>
          <t>decomposes</t>
        </r>
        <r>
          <rPr>
            <sz val="8"/>
            <color indexed="81"/>
            <rFont val="Tahoma"/>
            <family val="2"/>
          </rPr>
          <t xml:space="preserve">
</t>
        </r>
      </text>
    </comment>
    <comment ref="AZ266" authorId="0">
      <text>
        <r>
          <rPr>
            <b/>
            <sz val="8"/>
            <color indexed="81"/>
            <rFont val="Tahoma"/>
            <family val="2"/>
          </rPr>
          <t>http://www.inchem.org/documents/icsc/icsc/eics1178.htm</t>
        </r>
        <r>
          <rPr>
            <sz val="8"/>
            <color indexed="81"/>
            <rFont val="Tahoma"/>
            <family val="2"/>
          </rPr>
          <t xml:space="preserve">
</t>
        </r>
      </text>
    </comment>
    <comment ref="BC266" authorId="0">
      <text>
        <r>
          <rPr>
            <b/>
            <sz val="8"/>
            <color indexed="81"/>
            <rFont val="Tahoma"/>
            <family val="2"/>
          </rPr>
          <t>The Thermal Decomposition of Sodium Triphosphate Hexahydrate
A. C. Zettlemoyer, C. H. Schneider, H. V. Anderson, and R. J. Fuchs
The Journal of Physical Chemistry 1957 61 (7), 991-994</t>
        </r>
      </text>
    </comment>
    <comment ref="BD266" authorId="0">
      <text>
        <r>
          <rPr>
            <b/>
            <sz val="8"/>
            <color indexed="81"/>
            <rFont val="Tahoma"/>
            <family val="2"/>
          </rPr>
          <t>The Thermal Decomposition of Sodium Triphosphate Hexahydrate
A. C. Zettlemoyer, C. H. Schneider, H. V. Anderson, and R. J. Fuchs
The Journal of Physical Chemistry 1957 61 (7), 991-994</t>
        </r>
      </text>
    </comment>
    <comment ref="BH266" authorId="0">
      <text>
        <r>
          <rPr>
            <sz val="11"/>
            <color indexed="81"/>
            <rFont val="Tahoma"/>
            <family val="2"/>
          </rPr>
          <t>TOXNET-HSDB
Or 400-1000 kg/m^3 @ 20 °C ESIS IUCLID</t>
        </r>
      </text>
    </comment>
    <comment ref="BI266" authorId="0">
      <text>
        <r>
          <rPr>
            <b/>
            <sz val="8"/>
            <color indexed="81"/>
            <rFont val="Tahoma"/>
            <family val="2"/>
          </rPr>
          <t>It's not applicable since it does not volatilize</t>
        </r>
        <r>
          <rPr>
            <sz val="8"/>
            <color indexed="81"/>
            <rFont val="Tahoma"/>
            <family val="2"/>
          </rPr>
          <t xml:space="preserve">
</t>
        </r>
      </text>
    </comment>
    <comment ref="BJ266" authorId="0">
      <text>
        <r>
          <rPr>
            <sz val="12"/>
            <color indexed="81"/>
            <rFont val="Tahoma"/>
            <family val="2"/>
          </rPr>
          <t>@ 10 g/l, 20 °C
ESIS IUCLID</t>
        </r>
      </text>
    </comment>
    <comment ref="BK266" authorId="0">
      <text>
        <r>
          <rPr>
            <sz val="10"/>
            <color indexed="81"/>
            <rFont val="Tahoma"/>
            <family val="2"/>
          </rPr>
          <t>Zhang &amp; Long, 2010. Energy Policy 38, 2948-2955. It is assumed as equal value than H3PO4.</t>
        </r>
      </text>
    </comment>
    <comment ref="CA266" authorId="0">
      <text>
        <r>
          <rPr>
            <sz val="11"/>
            <color indexed="81"/>
            <rFont val="Tahoma"/>
            <family val="2"/>
          </rPr>
          <t xml:space="preserve">Na3PO4
</t>
        </r>
      </text>
    </comment>
    <comment ref="AF267" authorId="0">
      <text>
        <r>
          <rPr>
            <sz val="11"/>
            <color indexed="81"/>
            <rFont val="Tahoma"/>
            <family val="2"/>
          </rPr>
          <t>ACToR/UK Pesticide Properties Database</t>
        </r>
      </text>
    </comment>
    <comment ref="AI267" authorId="0">
      <text>
        <r>
          <rPr>
            <b/>
            <sz val="8"/>
            <color indexed="81"/>
            <rFont val="Tahoma"/>
            <family val="2"/>
          </rPr>
          <t>ftp://ftp.state.pa.us/pub/lipatts/msds/017364.pdf</t>
        </r>
      </text>
    </comment>
    <comment ref="AK267" authorId="0">
      <text>
        <r>
          <rPr>
            <sz val="12"/>
            <color indexed="81"/>
            <rFont val="Tahoma"/>
            <family val="2"/>
          </rPr>
          <t>&gt;20000 mg/kg on rabbit
ftp://ftp.state.pa.us/pub/lipatts/msds/017364.pdf</t>
        </r>
      </text>
    </comment>
    <comment ref="AW267" authorId="0">
      <text>
        <r>
          <rPr>
            <b/>
            <sz val="8"/>
            <color indexed="81"/>
            <rFont val="Tahoma"/>
            <family val="2"/>
          </rPr>
          <t>from http://www.sciencelab.com/msds.php?msdsId=9925064</t>
        </r>
        <r>
          <rPr>
            <sz val="8"/>
            <color indexed="81"/>
            <rFont val="Tahoma"/>
            <family val="2"/>
          </rPr>
          <t xml:space="preserve">
</t>
        </r>
      </text>
    </comment>
    <comment ref="AX267" authorId="0">
      <text>
        <r>
          <rPr>
            <b/>
            <sz val="8"/>
            <color indexed="81"/>
            <rFont val="Tahoma"/>
            <family val="2"/>
          </rPr>
          <t>from http://www.folkecenter.net/default.asp?id=9227t</t>
        </r>
        <r>
          <rPr>
            <sz val="8"/>
            <color indexed="81"/>
            <rFont val="Tahoma"/>
            <family val="2"/>
          </rPr>
          <t xml:space="preserve">
</t>
        </r>
      </text>
    </comment>
    <comment ref="BA267" authorId="0">
      <text>
        <r>
          <rPr>
            <b/>
            <sz val="8"/>
            <color indexed="81"/>
            <rFont val="Tahoma"/>
            <family val="2"/>
          </rPr>
          <t>from http://www.sciencelab.com/msds.php?msdsId=9925064</t>
        </r>
        <r>
          <rPr>
            <sz val="8"/>
            <color indexed="81"/>
            <rFont val="Tahoma"/>
            <family val="2"/>
          </rPr>
          <t xml:space="preserve">
</t>
        </r>
      </text>
    </comment>
    <comment ref="BB267" authorId="0">
      <text>
        <r>
          <rPr>
            <b/>
            <sz val="8"/>
            <color indexed="81"/>
            <rFont val="Tahoma"/>
            <family val="2"/>
          </rPr>
          <t>From http://webbook.nist.gov/cgi/cbook.cgi?ID=C122327&amp;Units=SI&amp;Mask=2#Thermo-Condensed</t>
        </r>
      </text>
    </comment>
    <comment ref="BD267" authorId="0">
      <text>
        <r>
          <rPr>
            <b/>
            <sz val="8"/>
            <color indexed="81"/>
            <rFont val="Tahoma"/>
            <family val="2"/>
          </rPr>
          <t>From NIST Chemistry WebBook</t>
        </r>
        <r>
          <rPr>
            <sz val="8"/>
            <color indexed="81"/>
            <rFont val="Tahoma"/>
            <family val="2"/>
          </rPr>
          <t xml:space="preserve">
reaction enthalpy</t>
        </r>
      </text>
    </comment>
    <comment ref="BG267" authorId="0">
      <text>
        <r>
          <rPr>
            <b/>
            <sz val="8"/>
            <color indexed="81"/>
            <rFont val="Tahoma"/>
            <family val="2"/>
          </rPr>
          <t>from CHEMCAD
476 °C&lt;T&lt;971.2 °C</t>
        </r>
      </text>
    </comment>
    <comment ref="AE268" authorId="0">
      <text>
        <r>
          <rPr>
            <sz val="12"/>
            <color indexed="81"/>
            <rFont val="Tahoma"/>
            <family val="2"/>
          </rPr>
          <t>ACToR/UK Pesticide Properties Database</t>
        </r>
      </text>
    </comment>
    <comment ref="AI268" authorId="0">
      <text>
        <r>
          <rPr>
            <b/>
            <sz val="8"/>
            <color indexed="81"/>
            <rFont val="Tahoma"/>
            <family val="2"/>
          </rPr>
          <t>From: http://www.sciencelab.com/msds.php?msdsId=9927321</t>
        </r>
        <r>
          <rPr>
            <sz val="8"/>
            <color indexed="81"/>
            <rFont val="Tahoma"/>
            <family val="2"/>
          </rPr>
          <t xml:space="preserve">
</t>
        </r>
      </text>
    </comment>
    <comment ref="AW268" authorId="0">
      <text>
        <r>
          <rPr>
            <b/>
            <sz val="8"/>
            <color indexed="81"/>
            <rFont val="Tahoma"/>
            <family val="2"/>
          </rPr>
          <t>From: http://www.sciencelab.com/msds.php?msdsId=9927321</t>
        </r>
        <r>
          <rPr>
            <sz val="8"/>
            <color indexed="81"/>
            <rFont val="Tahoma"/>
            <family val="2"/>
          </rPr>
          <t xml:space="preserve">
</t>
        </r>
      </text>
    </comment>
    <comment ref="AX268" authorId="0">
      <text>
        <r>
          <rPr>
            <b/>
            <sz val="8"/>
            <color indexed="81"/>
            <rFont val="Tahoma"/>
            <family val="2"/>
          </rPr>
          <t>from http://www.folkecenter.net/default.asp?id=9227t</t>
        </r>
        <r>
          <rPr>
            <sz val="8"/>
            <color indexed="81"/>
            <rFont val="Tahoma"/>
            <family val="2"/>
          </rPr>
          <t xml:space="preserve">
</t>
        </r>
      </text>
    </comment>
    <comment ref="AA269" authorId="0">
      <text>
        <r>
          <rPr>
            <sz val="11"/>
            <color indexed="81"/>
            <rFont val="Tahoma"/>
            <family val="2"/>
          </rPr>
          <t xml:space="preserve">from MSDS
http://avogadro.chem.iastate.edu/MSDS/NaOH.htm
</t>
        </r>
      </text>
    </comment>
    <comment ref="AB269" authorId="0">
      <text>
        <r>
          <rPr>
            <b/>
            <sz val="8"/>
            <color indexed="81"/>
            <rFont val="Tahoma"/>
            <family val="2"/>
          </rPr>
          <t>ESIS/IUCLID</t>
        </r>
      </text>
    </comment>
    <comment ref="AD269" authorId="0">
      <text>
        <r>
          <rPr>
            <b/>
            <sz val="8"/>
            <color indexed="81"/>
            <rFont val="Tahoma"/>
            <family val="2"/>
          </rPr>
          <t>ESIS/IUCLID</t>
        </r>
      </text>
    </comment>
    <comment ref="AF269" authorId="0">
      <text>
        <r>
          <rPr>
            <b/>
            <sz val="8"/>
            <color indexed="81"/>
            <rFont val="Tahoma"/>
            <family val="2"/>
          </rPr>
          <t>TOXNET/HSDB</t>
        </r>
        <r>
          <rPr>
            <sz val="8"/>
            <color indexed="81"/>
            <rFont val="Tahoma"/>
            <family val="2"/>
          </rPr>
          <t xml:space="preserve">
Kow is  too low to be measured (or possibly virtually 0)</t>
        </r>
      </text>
    </comment>
    <comment ref="AG269" authorId="0">
      <text>
        <r>
          <rPr>
            <b/>
            <sz val="8"/>
            <color indexed="81"/>
            <rFont val="Tahoma"/>
            <family val="2"/>
          </rPr>
          <t>LC50 on carassius auratus, 24h
ESIS/IUCLID</t>
        </r>
      </text>
    </comment>
    <comment ref="AI269" authorId="0">
      <text>
        <r>
          <rPr>
            <b/>
            <sz val="8"/>
            <color indexed="81"/>
            <rFont val="Tahoma"/>
            <family val="2"/>
          </rPr>
          <t>from MSDS
http://avogadro.chem.iastate.edu/MSDS/NaOH.htm</t>
        </r>
        <r>
          <rPr>
            <sz val="8"/>
            <color indexed="81"/>
            <rFont val="Tahoma"/>
            <family val="2"/>
          </rPr>
          <t xml:space="preserve">
</t>
        </r>
      </text>
    </comment>
    <comment ref="AK269" authorId="0">
      <text>
        <r>
          <rPr>
            <b/>
            <sz val="8"/>
            <color indexed="81"/>
            <rFont val="Tahoma"/>
            <family val="2"/>
          </rPr>
          <t>On rabbit, ESIS-IUCLID</t>
        </r>
      </text>
    </comment>
    <comment ref="AW269" authorId="0">
      <text>
        <r>
          <rPr>
            <b/>
            <sz val="8"/>
            <color indexed="81"/>
            <rFont val="Tahoma"/>
            <family val="2"/>
          </rPr>
          <t>From: http://www.sciencelab.com/msds.php?msdsId=9927321</t>
        </r>
        <r>
          <rPr>
            <sz val="8"/>
            <color indexed="81"/>
            <rFont val="Tahoma"/>
            <family val="2"/>
          </rPr>
          <t xml:space="preserve">
</t>
        </r>
      </text>
    </comment>
    <comment ref="AX269" authorId="0">
      <text>
        <r>
          <rPr>
            <b/>
            <sz val="8"/>
            <color indexed="81"/>
            <rFont val="Tahoma"/>
            <family val="2"/>
          </rPr>
          <t>from http://www.folkecenter.net/default.asp?id=9227t</t>
        </r>
        <r>
          <rPr>
            <sz val="8"/>
            <color indexed="81"/>
            <rFont val="Tahoma"/>
            <family val="2"/>
          </rPr>
          <t xml:space="preserve">
</t>
        </r>
      </text>
    </comment>
    <comment ref="BA269" authorId="0">
      <text>
        <r>
          <rPr>
            <sz val="12"/>
            <color indexed="81"/>
            <rFont val="Tahoma"/>
            <family val="2"/>
          </rPr>
          <t>from MSDS
http://avogadro.chem.iastate.edu/MSDS/NaOH.htm</t>
        </r>
        <r>
          <rPr>
            <sz val="8"/>
            <color indexed="81"/>
            <rFont val="Tahoma"/>
            <family val="2"/>
          </rPr>
          <t xml:space="preserve">
</t>
        </r>
      </text>
    </comment>
    <comment ref="BC269" authorId="0">
      <text>
        <r>
          <rPr>
            <b/>
            <sz val="8"/>
            <color indexed="81"/>
            <rFont val="Tahoma"/>
            <family val="2"/>
          </rPr>
          <t>N/Available
from MSDS
http://avogadro.chem.iastate.edu/MSDS/NaOH.htm</t>
        </r>
        <r>
          <rPr>
            <sz val="8"/>
            <color indexed="81"/>
            <rFont val="Tahoma"/>
            <family val="2"/>
          </rPr>
          <t xml:space="preserve">
</t>
        </r>
      </text>
    </comment>
    <comment ref="BG269" authorId="0">
      <text>
        <r>
          <rPr>
            <b/>
            <sz val="8"/>
            <color indexed="81"/>
            <rFont val="Tahoma"/>
            <family val="2"/>
          </rPr>
          <t>@ 1388 °C
TOXNET/HSDB</t>
        </r>
      </text>
    </comment>
    <comment ref="BJ269" authorId="0">
      <text>
        <r>
          <rPr>
            <b/>
            <sz val="8"/>
            <color indexed="81"/>
            <rFont val="Tahoma"/>
            <family val="2"/>
          </rPr>
          <t>from MSDS
http://avogadro.chem.iastate.edu/MSDS/NaOH.htm</t>
        </r>
        <r>
          <rPr>
            <sz val="8"/>
            <color indexed="81"/>
            <rFont val="Tahoma"/>
            <family val="2"/>
          </rPr>
          <t xml:space="preserve">
</t>
        </r>
      </text>
    </comment>
    <comment ref="BK269" authorId="0">
      <text>
        <r>
          <rPr>
            <sz val="10"/>
            <color indexed="81"/>
            <rFont val="Tahoma"/>
            <family val="2"/>
          </rPr>
          <t>Zhang &amp; Long, 2010. Energy Policy 38, 2948-2955.</t>
        </r>
      </text>
    </comment>
    <comment ref="CA269" authorId="0">
      <text>
        <r>
          <rPr>
            <b/>
            <sz val="8"/>
            <color indexed="81"/>
            <rFont val="Tahoma"/>
            <family val="2"/>
          </rPr>
          <t>Na(+)</t>
        </r>
        <r>
          <rPr>
            <sz val="8"/>
            <color indexed="81"/>
            <rFont val="Tahoma"/>
            <family val="2"/>
          </rPr>
          <t xml:space="preserve">
</t>
        </r>
      </text>
    </comment>
    <comment ref="AW270" authorId="0">
      <text>
        <r>
          <rPr>
            <b/>
            <sz val="8"/>
            <color indexed="81"/>
            <rFont val="Tahoma"/>
            <family val="2"/>
          </rPr>
          <t>From: http://www.sciencelab.com/msds.php?msdsId=9927321</t>
        </r>
        <r>
          <rPr>
            <sz val="8"/>
            <color indexed="81"/>
            <rFont val="Tahoma"/>
            <family val="2"/>
          </rPr>
          <t xml:space="preserve">
</t>
        </r>
      </text>
    </comment>
    <comment ref="BK270" authorId="0">
      <text>
        <r>
          <rPr>
            <sz val="12"/>
            <color indexed="81"/>
            <rFont val="Tahoma"/>
            <family val="2"/>
          </rPr>
          <t>Ruganib PhD Thesis 2010</t>
        </r>
      </text>
    </comment>
    <comment ref="AC271" authorId="0">
      <text>
        <r>
          <rPr>
            <sz val="12"/>
            <color indexed="81"/>
            <rFont val="Tahoma"/>
            <family val="2"/>
          </rPr>
          <t>TOXNET/HSDB</t>
        </r>
      </text>
    </comment>
    <comment ref="BL271" authorId="0">
      <text>
        <r>
          <rPr>
            <sz val="12"/>
            <color indexed="81"/>
            <rFont val="Tahoma"/>
            <family val="2"/>
          </rPr>
          <t xml:space="preserve">Sorguven and Ozilgen. Energy 40 (2012) 214-225.
</t>
        </r>
      </text>
    </comment>
    <comment ref="BK272" authorId="0">
      <text>
        <r>
          <rPr>
            <sz val="12"/>
            <color indexed="81"/>
            <rFont val="Tahoma"/>
            <family val="2"/>
          </rPr>
          <t xml:space="preserve">Ruganib PhD Thesis 2010
</t>
        </r>
      </text>
    </comment>
    <comment ref="AX273" authorId="0">
      <text>
        <r>
          <rPr>
            <b/>
            <sz val="8"/>
            <color indexed="81"/>
            <rFont val="Tahoma"/>
            <family val="2"/>
          </rPr>
          <t>from http://www.folkecenter.net/default.asp?id=9227t</t>
        </r>
        <r>
          <rPr>
            <sz val="8"/>
            <color indexed="81"/>
            <rFont val="Tahoma"/>
            <family val="2"/>
          </rPr>
          <t xml:space="preserve">
</t>
        </r>
      </text>
    </comment>
  </commentList>
</comments>
</file>

<file path=xl/comments2.xml><?xml version="1.0" encoding="utf-8"?>
<comments xmlns="http://schemas.openxmlformats.org/spreadsheetml/2006/main">
  <authors>
    <author>ctsuser</author>
    <author>gruizmer</author>
  </authors>
  <commentList>
    <comment ref="D17" authorId="0">
      <text>
        <r>
          <rPr>
            <sz val="12"/>
            <color indexed="81"/>
            <rFont val="Tahoma"/>
            <family val="2"/>
          </rPr>
          <t xml:space="preserve">Just one of these two values is required
</t>
        </r>
      </text>
    </comment>
    <comment ref="D19" authorId="0">
      <text>
        <r>
          <rPr>
            <sz val="11"/>
            <color indexed="81"/>
            <rFont val="Tahoma"/>
            <family val="2"/>
          </rPr>
          <t xml:space="preserve">It can be approximated to 1.68 times the Bare module cost.
</t>
        </r>
      </text>
    </comment>
    <comment ref="D32" authorId="0">
      <text>
        <r>
          <rPr>
            <sz val="12"/>
            <color indexed="81"/>
            <rFont val="Tahoma"/>
            <family val="2"/>
          </rPr>
          <t xml:space="preserve">Just one of these two values is required.
</t>
        </r>
      </text>
    </comment>
    <comment ref="D34" authorId="0">
      <text>
        <r>
          <rPr>
            <sz val="12"/>
            <color indexed="81"/>
            <rFont val="Tahoma"/>
            <family val="2"/>
          </rPr>
          <t xml:space="preserve">It can be approximated to 1.68 times the Bare module cost.
</t>
        </r>
      </text>
    </comment>
    <comment ref="D48" authorId="0">
      <text>
        <r>
          <rPr>
            <sz val="12"/>
            <color indexed="81"/>
            <rFont val="Tahoma"/>
            <family val="2"/>
          </rPr>
          <t xml:space="preserve">Just one of these two values is required
</t>
        </r>
      </text>
    </comment>
    <comment ref="D50" authorId="0">
      <text>
        <r>
          <rPr>
            <sz val="11"/>
            <color indexed="81"/>
            <rFont val="Tahoma"/>
            <family val="2"/>
          </rPr>
          <t xml:space="preserve">It can be approximated to 1.68 times the Bare module cost.
</t>
        </r>
      </text>
    </comment>
    <comment ref="D63" authorId="0">
      <text>
        <r>
          <rPr>
            <sz val="12"/>
            <color indexed="81"/>
            <rFont val="Tahoma"/>
            <family val="2"/>
          </rPr>
          <t xml:space="preserve">Just one of these two values is required
</t>
        </r>
      </text>
    </comment>
    <comment ref="D65" authorId="0">
      <text>
        <r>
          <rPr>
            <sz val="11"/>
            <color indexed="81"/>
            <rFont val="Tahoma"/>
            <family val="2"/>
          </rPr>
          <t xml:space="preserve">It can be approximated to 1.68 times the Bare module cost.
</t>
        </r>
      </text>
    </comment>
    <comment ref="D78" authorId="0">
      <text>
        <r>
          <rPr>
            <sz val="12"/>
            <color indexed="81"/>
            <rFont val="Tahoma"/>
            <family val="2"/>
          </rPr>
          <t xml:space="preserve">Just one of these two values is required
</t>
        </r>
      </text>
    </comment>
    <comment ref="D80" authorId="0">
      <text>
        <r>
          <rPr>
            <sz val="11"/>
            <color indexed="81"/>
            <rFont val="Tahoma"/>
            <family val="2"/>
          </rPr>
          <t xml:space="preserve">It can be approximated to 1.68 times the Bare module cost.
</t>
        </r>
      </text>
    </comment>
    <comment ref="D93" authorId="0">
      <text>
        <r>
          <rPr>
            <sz val="12"/>
            <color indexed="81"/>
            <rFont val="Tahoma"/>
            <family val="2"/>
          </rPr>
          <t xml:space="preserve">Just one of these two values is required
</t>
        </r>
      </text>
    </comment>
    <comment ref="D95" authorId="0">
      <text>
        <r>
          <rPr>
            <sz val="11"/>
            <color indexed="81"/>
            <rFont val="Tahoma"/>
            <family val="2"/>
          </rPr>
          <t xml:space="preserve">It can be approximated to 1.68 times the Bare module cost.
</t>
        </r>
      </text>
    </comment>
    <comment ref="D109" authorId="0">
      <text>
        <r>
          <rPr>
            <sz val="12"/>
            <color indexed="81"/>
            <rFont val="Tahoma"/>
            <family val="2"/>
          </rPr>
          <t xml:space="preserve">Just one of these two values is required
</t>
        </r>
      </text>
    </comment>
    <comment ref="D111" authorId="0">
      <text>
        <r>
          <rPr>
            <sz val="11"/>
            <color indexed="81"/>
            <rFont val="Tahoma"/>
            <family val="2"/>
          </rPr>
          <t xml:space="preserve">It can be approximated to 1.68 times the Bare module cost.
</t>
        </r>
      </text>
    </comment>
    <comment ref="D124" authorId="0">
      <text>
        <r>
          <rPr>
            <sz val="12"/>
            <color indexed="81"/>
            <rFont val="Tahoma"/>
            <family val="2"/>
          </rPr>
          <t xml:space="preserve">Just one of these two values is required
</t>
        </r>
      </text>
    </comment>
    <comment ref="D126" authorId="0">
      <text>
        <r>
          <rPr>
            <sz val="11"/>
            <color indexed="81"/>
            <rFont val="Tahoma"/>
            <family val="2"/>
          </rPr>
          <t xml:space="preserve">It can be approximated to 1.68 times the Bare module cost.
</t>
        </r>
      </text>
    </comment>
    <comment ref="D155" authorId="0">
      <text>
        <r>
          <rPr>
            <sz val="12"/>
            <color indexed="81"/>
            <rFont val="Tahoma"/>
            <family val="2"/>
          </rPr>
          <t xml:space="preserve">The number of processing steps involving the handling of particulate solids (e.g., transportation and distribution). In general, P=0.
</t>
        </r>
      </text>
    </comment>
    <comment ref="D158" authorId="0">
      <text>
        <r>
          <rPr>
            <sz val="12"/>
            <color indexed="81"/>
            <rFont val="Tahoma"/>
            <family val="2"/>
          </rPr>
          <t xml:space="preserve">After startup
</t>
        </r>
      </text>
    </comment>
    <comment ref="D163" authorId="0">
      <text>
        <r>
          <rPr>
            <sz val="12"/>
            <color indexed="81"/>
            <rFont val="Tahoma"/>
            <family val="2"/>
          </rPr>
          <t>It is recovered from the working capital, land value, and the sale of physical assets evaluated at the end of the plant life. Often this salvage value is neglected.</t>
        </r>
      </text>
    </comment>
    <comment ref="D167" authorId="0">
      <text>
        <r>
          <rPr>
            <sz val="11"/>
            <color indexed="81"/>
            <rFont val="Tahoma"/>
            <family val="2"/>
          </rPr>
          <t xml:space="preserve">The selected present worth factor, from Table 7-3, 7-4, or 7-5 in Peters et. al. 2003 or Table 9.1 in Tourton et al. 2009.
</t>
        </r>
      </text>
    </comment>
    <comment ref="D168" authorId="0">
      <text>
        <r>
          <rPr>
            <sz val="12"/>
            <color indexed="81"/>
            <rFont val="Tahoma"/>
            <family val="2"/>
          </rPr>
          <t xml:space="preserve">Table 8-1 Peters et al. 2003.
</t>
        </r>
      </text>
    </comment>
    <comment ref="E175" authorId="0">
      <text>
        <r>
          <rPr>
            <sz val="11"/>
            <color indexed="81"/>
            <rFont val="Tahoma"/>
            <family val="2"/>
          </rPr>
          <t xml:space="preserve">Optional
</t>
        </r>
      </text>
    </comment>
    <comment ref="F175" authorId="0">
      <text>
        <r>
          <rPr>
            <sz val="11"/>
            <color indexed="81"/>
            <rFont val="Tahoma"/>
            <family val="2"/>
          </rPr>
          <t xml:space="preserve">By default, the compound with a lower ERPG is selected for the CEI analysis. 
</t>
        </r>
      </text>
    </comment>
    <comment ref="E176" authorId="0">
      <text>
        <r>
          <rPr>
            <sz val="11"/>
            <color indexed="81"/>
            <rFont val="Tahoma"/>
            <family val="2"/>
          </rPr>
          <t xml:space="preserve">By default, a 10 Ton capacity liquid is assumed. </t>
        </r>
      </text>
    </comment>
    <comment ref="E177" authorId="0">
      <text>
        <r>
          <rPr>
            <sz val="12"/>
            <color indexed="81"/>
            <rFont val="Tahoma"/>
            <family val="2"/>
          </rPr>
          <t xml:space="preserve">Choose the Stream number which have the higher amount of the substance under study for this evaluation. 
</t>
        </r>
      </text>
    </comment>
    <comment ref="E180" authorId="1">
      <text>
        <r>
          <rPr>
            <sz val="12"/>
            <color indexed="81"/>
            <rFont val="Tahoma"/>
            <family val="2"/>
          </rPr>
          <t xml:space="preserve">Optional values
</t>
        </r>
      </text>
    </comment>
    <comment ref="G192" authorId="0">
      <text>
        <r>
          <rPr>
            <sz val="10"/>
            <color indexed="81"/>
            <rFont val="Tahoma"/>
            <family val="2"/>
          </rPr>
          <t xml:space="preserve">If a total installed cost is not provided, then, the total installed cost is equal to 1.68 times the bare module cost (Tourton et al., 2009; page 211)
</t>
        </r>
      </text>
    </comment>
    <comment ref="K303" authorId="0">
      <text>
        <r>
          <rPr>
            <sz val="11"/>
            <color indexed="81"/>
            <rFont val="Tahoma"/>
            <family val="2"/>
          </rPr>
          <t xml:space="preserve">Just for waste streams.
</t>
        </r>
      </text>
    </comment>
    <comment ref="L303" authorId="0">
      <text>
        <r>
          <rPr>
            <sz val="12"/>
            <color indexed="81"/>
            <rFont val="Tahoma"/>
            <family val="2"/>
          </rPr>
          <t xml:space="preserve">Just for waste streams.
</t>
        </r>
      </text>
    </comment>
  </commentList>
</comments>
</file>

<file path=xl/comments3.xml><?xml version="1.0" encoding="utf-8"?>
<comments xmlns="http://schemas.openxmlformats.org/spreadsheetml/2006/main">
  <authors>
    <author>ctsuser</author>
  </authors>
  <commentList>
    <comment ref="G9" authorId="0">
      <text>
        <r>
          <rPr>
            <sz val="12"/>
            <color indexed="81"/>
            <rFont val="Tahoma"/>
            <family val="2"/>
          </rPr>
          <t xml:space="preserve">These are default values. The user can change them for getting a more accurate evaluation. 
</t>
        </r>
      </text>
    </comment>
    <comment ref="H9" authorId="0">
      <text>
        <r>
          <rPr>
            <sz val="12"/>
            <color indexed="81"/>
            <rFont val="Tahoma"/>
            <family val="2"/>
          </rPr>
          <t xml:space="preserve">These are default values. The user can change them for getting a more accurate evaluation. </t>
        </r>
      </text>
    </comment>
    <comment ref="E21" authorId="0">
      <text>
        <r>
          <rPr>
            <sz val="12"/>
            <color indexed="81"/>
            <rFont val="Tahoma"/>
            <family val="2"/>
          </rPr>
          <t xml:space="preserve">filtration
</t>
        </r>
      </text>
    </comment>
    <comment ref="E22" authorId="0">
      <text>
        <r>
          <rPr>
            <sz val="12"/>
            <color indexed="81"/>
            <rFont val="Tahoma"/>
            <family val="2"/>
          </rPr>
          <t xml:space="preserve">filtration + activated sludge
</t>
        </r>
      </text>
    </comment>
    <comment ref="E23" authorId="0">
      <text>
        <r>
          <rPr>
            <sz val="12"/>
            <color indexed="81"/>
            <rFont val="Tahoma"/>
            <family val="2"/>
          </rPr>
          <t xml:space="preserve">filtration + activated sludge + chemical processing
</t>
        </r>
      </text>
    </comment>
    <comment ref="J44" authorId="0">
      <text>
        <r>
          <rPr>
            <sz val="11"/>
            <color indexed="81"/>
            <rFont val="Tahoma"/>
            <family val="2"/>
          </rPr>
          <t xml:space="preserve">Q•/[H1 (Sat vapor184 °C &amp; 11 bar) - H2 (saturaded liquid 184 °C &amp; 11 bar)] </t>
        </r>
      </text>
    </comment>
    <comment ref="J45" authorId="0">
      <text>
        <r>
          <rPr>
            <sz val="11"/>
            <color indexed="81"/>
            <rFont val="Tahoma"/>
            <family val="2"/>
          </rPr>
          <t xml:space="preserve">Q•/[H1 (5 °C &amp; 4 bar) - H2 ( 15 °C &amp; 4 bar)] 
</t>
        </r>
      </text>
    </comment>
    <comment ref="E58" authorId="0">
      <text>
        <r>
          <rPr>
            <sz val="11"/>
            <color indexed="81"/>
            <rFont val="Tahoma"/>
            <family val="2"/>
          </rPr>
          <t xml:space="preserve">http://www.eia.gov/energyexplained/index.cfm?page=about_energy_conversion_calculator#natgascalc
</t>
        </r>
      </text>
    </comment>
    <comment ref="E59" authorId="0">
      <text>
        <r>
          <rPr>
            <sz val="10"/>
            <color indexed="81"/>
            <rFont val="Tahoma"/>
            <family val="2"/>
          </rPr>
          <t>Cao &amp; Feng, 2007.</t>
        </r>
      </text>
    </comment>
    <comment ref="E66" authorId="0">
      <text>
        <r>
          <rPr>
            <sz val="11"/>
            <color indexed="81"/>
            <rFont val="Tahoma"/>
            <family val="2"/>
          </rPr>
          <t xml:space="preserve">See pg 243 Turton et al. 2009
</t>
        </r>
      </text>
    </comment>
    <comment ref="E68" authorId="0">
      <text>
        <r>
          <rPr>
            <sz val="11"/>
            <color indexed="81"/>
            <rFont val="Tahoma"/>
            <family val="2"/>
          </rPr>
          <t>Szargut et al. 1988 Table I Appendix</t>
        </r>
      </text>
    </comment>
    <comment ref="E85" authorId="0">
      <text>
        <r>
          <rPr>
            <sz val="12"/>
            <color indexed="81"/>
            <rFont val="Tahoma"/>
            <family val="2"/>
          </rPr>
          <t>Szargut et al. 1988 Table I Appendix</t>
        </r>
      </text>
    </comment>
    <comment ref="E86" authorId="0">
      <text>
        <r>
          <rPr>
            <sz val="11"/>
            <color indexed="81"/>
            <rFont val="Symbol"/>
            <family val="1"/>
            <charset val="2"/>
          </rPr>
          <t>D</t>
        </r>
        <r>
          <rPr>
            <sz val="11"/>
            <color indexed="81"/>
            <rFont val="Tahoma"/>
            <family val="2"/>
          </rPr>
          <t xml:space="preserve">H=h(T)-hl(25°C)
</t>
        </r>
      </text>
    </comment>
    <comment ref="E87" authorId="0">
      <text>
        <r>
          <rPr>
            <sz val="11"/>
            <color indexed="81"/>
            <rFont val="Symbol"/>
            <family val="1"/>
            <charset val="2"/>
          </rPr>
          <t>D</t>
        </r>
        <r>
          <rPr>
            <sz val="11"/>
            <color indexed="81"/>
            <rFont val="Tahoma"/>
            <family val="2"/>
          </rPr>
          <t>S=s(T)-sl(25°C)</t>
        </r>
      </text>
    </comment>
    <comment ref="E88" authorId="0">
      <text>
        <r>
          <rPr>
            <sz val="12"/>
            <color indexed="81"/>
            <rFont val="Tahoma"/>
            <family val="2"/>
          </rPr>
          <t>Ex(ph)=</t>
        </r>
        <r>
          <rPr>
            <sz val="12"/>
            <color indexed="81"/>
            <rFont val="Symbol"/>
            <family val="1"/>
            <charset val="2"/>
          </rPr>
          <t>D</t>
        </r>
        <r>
          <rPr>
            <sz val="12"/>
            <color indexed="81"/>
            <rFont val="Tahoma"/>
            <family val="2"/>
          </rPr>
          <t>H-T0*</t>
        </r>
        <r>
          <rPr>
            <sz val="12"/>
            <color indexed="81"/>
            <rFont val="Symbol"/>
            <family val="1"/>
            <charset val="2"/>
          </rPr>
          <t>D</t>
        </r>
        <r>
          <rPr>
            <sz val="12"/>
            <color indexed="81"/>
            <rFont val="Tahoma"/>
            <family val="2"/>
          </rPr>
          <t xml:space="preserve">S
</t>
        </r>
      </text>
    </comment>
    <comment ref="E89" authorId="0">
      <text>
        <r>
          <rPr>
            <sz val="10"/>
            <color indexed="81"/>
            <rFont val="Tahoma"/>
            <family val="2"/>
          </rPr>
          <t>Combined cycle cooling water. Zhang &amp; Long, 2010. Energy Policy 38, 2948-2955.</t>
        </r>
      </text>
    </comment>
    <comment ref="E96" authorId="0">
      <text>
        <r>
          <rPr>
            <sz val="10"/>
            <color indexed="81"/>
            <rFont val="Tahoma"/>
            <family val="2"/>
          </rPr>
          <t>9760 BTU/kWh
Annual Energy Review 2010, DOE/EIA
http://205.254.135.24/totalenergy/data/annual/pdf/aer.pdf</t>
        </r>
      </text>
    </comment>
    <comment ref="E98" authorId="0">
      <text>
        <r>
          <rPr>
            <sz val="10"/>
            <color indexed="81"/>
            <rFont val="Tahoma"/>
            <family val="2"/>
          </rPr>
          <t xml:space="preserve">Szargut et al. 1988 Table 5.2
</t>
        </r>
      </text>
    </comment>
    <comment ref="E99" authorId="0">
      <text>
        <r>
          <rPr>
            <sz val="10"/>
            <color indexed="81"/>
            <rFont val="Tahoma"/>
            <family val="2"/>
          </rPr>
          <t>Cao &amp; Feng, 2007.</t>
        </r>
      </text>
    </comment>
    <comment ref="F108" authorId="0">
      <text>
        <r>
          <rPr>
            <sz val="12"/>
            <color indexed="81"/>
            <rFont val="Tahoma"/>
            <family val="2"/>
          </rPr>
          <t>See pg 243 Turton et al. 2009</t>
        </r>
      </text>
    </comment>
    <comment ref="E109" authorId="0">
      <text>
        <r>
          <rPr>
            <sz val="12"/>
            <color indexed="81"/>
            <rFont val="Tahoma"/>
            <family val="2"/>
          </rPr>
          <t>As a primary energy equivalent</t>
        </r>
      </text>
    </comment>
    <comment ref="F113" authorId="0">
      <text>
        <r>
          <rPr>
            <sz val="12"/>
            <color indexed="81"/>
            <rFont val="Tahoma"/>
            <family val="2"/>
          </rPr>
          <t xml:space="preserve">http://www.eia.gov/energyexplained/index.cfm?page=about_energy_conversion_calculator#natgascalc
</t>
        </r>
      </text>
    </comment>
    <comment ref="E124" authorId="0">
      <text>
        <r>
          <rPr>
            <sz val="12"/>
            <color indexed="81"/>
            <rFont val="Tahoma"/>
            <family val="2"/>
          </rPr>
          <t>1 MJ of electricity supplied by either hydroelectric or nuclears is accounted for as equivalent to 3 MJ of the primary energy source used as reference (Giampietro 2006; http://205.254.135.24/totalenergy/data/annual/pdf/sec17.pdf).</t>
        </r>
      </text>
    </comment>
    <comment ref="E125" authorId="0">
      <text>
        <r>
          <rPr>
            <sz val="10"/>
            <color indexed="81"/>
            <rFont val="Tahoma"/>
            <family val="2"/>
          </rPr>
          <t>9760 BTU/kWh
Annual Energy Review 2010, DOE/EIA
http://205.254.135.24/totalenergy/data/annual/pdf/aer.pdf</t>
        </r>
      </text>
    </comment>
    <comment ref="E127" authorId="0">
      <text>
        <r>
          <rPr>
            <sz val="10"/>
            <color indexed="81"/>
            <rFont val="Tahoma"/>
            <family val="2"/>
          </rPr>
          <t xml:space="preserve">As a primary energy equivalent
</t>
        </r>
      </text>
    </comment>
    <comment ref="E136" authorId="0">
      <text>
        <r>
          <rPr>
            <sz val="12"/>
            <color indexed="81"/>
            <rFont val="Tahoma"/>
            <family val="2"/>
          </rPr>
          <t>1 MJ of electricity supplied by either hydroelectric or nuclears is accounted for as equivalent to 3 MJ of the primary energy source used as reference (Giampietro 2006; http://205.254.135.24/totalenergy/data/annual/pdf/sec17.pdf).</t>
        </r>
      </text>
    </comment>
    <comment ref="E138" authorId="0">
      <text>
        <r>
          <rPr>
            <sz val="10"/>
            <color indexed="81"/>
            <rFont val="Tahoma"/>
            <family val="2"/>
          </rPr>
          <t>9760 BTU/kWh
Annual Energy Review 2010, DOE/EIA
http://205.254.135.24/totalenergy/data/annual/pdf/aer.pdf</t>
        </r>
      </text>
    </comment>
    <comment ref="E139" authorId="0">
      <text>
        <r>
          <rPr>
            <sz val="12"/>
            <color indexed="81"/>
            <rFont val="Tahoma"/>
            <family val="2"/>
          </rPr>
          <t xml:space="preserve">As a primary energy equivalent
</t>
        </r>
      </text>
    </comment>
  </commentList>
</comments>
</file>

<file path=xl/comments4.xml><?xml version="1.0" encoding="utf-8"?>
<comments xmlns="http://schemas.openxmlformats.org/spreadsheetml/2006/main">
  <authors>
    <author>gruizmer</author>
    <author>ctsuser</author>
  </authors>
  <commentList>
    <comment ref="O5" authorId="0">
      <text>
        <r>
          <rPr>
            <sz val="12"/>
            <color indexed="81"/>
            <rFont val="Tahoma"/>
            <family val="2"/>
          </rPr>
          <t>The user can modify the assumed best case reference value by entry a new value here.</t>
        </r>
      </text>
    </comment>
    <comment ref="Q5" authorId="0">
      <text>
        <r>
          <rPr>
            <sz val="12"/>
            <color indexed="81"/>
            <rFont val="Tahoma"/>
            <family val="2"/>
          </rPr>
          <t>The user can modify the assumed worst case reference value by entry a new value here.</t>
        </r>
      </text>
    </comment>
    <comment ref="N28" authorId="1">
      <text>
        <r>
          <rPr>
            <b/>
            <sz val="10"/>
            <color indexed="81"/>
            <rFont val="Tahoma"/>
            <family val="2"/>
          </rPr>
          <t>0 or the consumer water is part of the valuable product</t>
        </r>
        <r>
          <rPr>
            <sz val="10"/>
            <color indexed="81"/>
            <rFont val="Tahoma"/>
            <family val="2"/>
          </rPr>
          <t xml:space="preserve">
</t>
        </r>
      </text>
    </comment>
    <comment ref="P28" authorId="0">
      <text>
        <r>
          <rPr>
            <sz val="12"/>
            <color indexed="81"/>
            <rFont val="Tahoma"/>
            <family val="2"/>
          </rPr>
          <t>Total water content in the input streams, m^3/h.</t>
        </r>
      </text>
    </comment>
    <comment ref="N29" authorId="1">
      <text>
        <r>
          <rPr>
            <b/>
            <sz val="10"/>
            <color indexed="81"/>
            <rFont val="Tahoma"/>
            <family val="2"/>
          </rPr>
          <t>0 or the consumer water is part of the valuable product</t>
        </r>
        <r>
          <rPr>
            <sz val="10"/>
            <color indexed="81"/>
            <rFont val="Tahoma"/>
            <family val="2"/>
          </rPr>
          <t xml:space="preserve">
</t>
        </r>
      </text>
    </comment>
    <comment ref="N31" authorId="1">
      <text>
        <r>
          <rPr>
            <sz val="11"/>
            <color indexed="81"/>
            <rFont val="Tahoma"/>
            <family val="2"/>
          </rPr>
          <t xml:space="preserve">because </t>
        </r>
        <r>
          <rPr>
            <i/>
            <sz val="11"/>
            <color indexed="81"/>
            <rFont val="Tahoma"/>
            <family val="2"/>
          </rPr>
          <t>V</t>
        </r>
        <r>
          <rPr>
            <sz val="11"/>
            <color indexed="81"/>
            <rFont val="Tahoma"/>
            <family val="2"/>
          </rPr>
          <t xml:space="preserve">water, tot. </t>
        </r>
        <r>
          <rPr>
            <sz val="11"/>
            <color indexed="81"/>
            <rFont val="Times New Roman"/>
            <family val="1"/>
          </rPr>
          <t>≠</t>
        </r>
        <r>
          <rPr>
            <sz val="11"/>
            <color indexed="81"/>
            <rFont val="Tahoma"/>
            <family val="2"/>
          </rPr>
          <t xml:space="preserve">0, then </t>
        </r>
        <r>
          <rPr>
            <i/>
            <sz val="11"/>
            <color indexed="81"/>
            <rFont val="Symbol"/>
            <family val="1"/>
            <charset val="2"/>
          </rPr>
          <t>F</t>
        </r>
        <r>
          <rPr>
            <i/>
            <sz val="11"/>
            <color indexed="81"/>
            <rFont val="Arial"/>
            <family val="2"/>
          </rPr>
          <t xml:space="preserve"> </t>
        </r>
        <r>
          <rPr>
            <sz val="11"/>
            <color indexed="81"/>
            <rFont val="Tahoma"/>
            <family val="2"/>
          </rPr>
          <t>is</t>
        </r>
        <r>
          <rPr>
            <b/>
            <sz val="11"/>
            <color indexed="81"/>
            <rFont val="Tahoma"/>
            <family val="2"/>
          </rPr>
          <t xml:space="preserve">  </t>
        </r>
        <r>
          <rPr>
            <sz val="11"/>
            <color indexed="81"/>
            <rFont val="Tahoma"/>
            <family val="2"/>
          </rPr>
          <t xml:space="preserve">
used instead of </t>
        </r>
        <r>
          <rPr>
            <sz val="11"/>
            <color indexed="81"/>
            <rFont val="Symbol"/>
            <family val="1"/>
            <charset val="2"/>
          </rPr>
          <t>F</t>
        </r>
        <r>
          <rPr>
            <sz val="9.35"/>
            <color indexed="81"/>
            <rFont val="Tahoma"/>
            <family val="2"/>
          </rPr>
          <t>^-1</t>
        </r>
      </text>
    </comment>
    <comment ref="H373" authorId="1">
      <text>
        <r>
          <rPr>
            <sz val="11"/>
            <color indexed="81"/>
            <rFont val="Tahoma"/>
            <family val="2"/>
          </rPr>
          <t xml:space="preserve">If there is a downstream recovery initiative, a % of recovery efficiency of the total material content in the output streams is assumed
</t>
        </r>
      </text>
    </comment>
    <comment ref="O386" authorId="1">
      <text>
        <r>
          <rPr>
            <sz val="11"/>
            <color indexed="81"/>
            <rFont val="Tahoma"/>
            <family val="2"/>
          </rPr>
          <t>If an output substance is categorized as waste, a percentage of recovery should be specified here. Otherwise, 0% recovery is assumed by default.</t>
        </r>
      </text>
    </comment>
    <comment ref="H387" authorId="0">
      <text>
        <r>
          <rPr>
            <b/>
            <sz val="11"/>
            <color indexed="81"/>
            <rFont val="Tahoma"/>
            <family val="2"/>
          </rPr>
          <t>gruizmer:
Calculation by DIPPR105 Equation</t>
        </r>
        <r>
          <rPr>
            <sz val="11"/>
            <color indexed="81"/>
            <rFont val="Tahoma"/>
            <family val="2"/>
          </rPr>
          <t xml:space="preserve">
http://ddbonline.ddbst.de/DIPPR105DensityCalculation/DIPPR105CalculationCGI.exe?component=Water</t>
        </r>
      </text>
    </comment>
    <comment ref="H389" authorId="1">
      <text>
        <r>
          <rPr>
            <sz val="12"/>
            <color indexed="81"/>
            <rFont val="Tahoma"/>
            <family val="2"/>
          </rPr>
          <t xml:space="preserve">If there is a downstream recovery initiative, a % of recovery efficiency of the total water content in the output streams is assumed.
</t>
        </r>
      </text>
    </comment>
  </commentList>
</comments>
</file>

<file path=xl/comments5.xml><?xml version="1.0" encoding="utf-8"?>
<comments xmlns="http://schemas.openxmlformats.org/spreadsheetml/2006/main">
  <authors>
    <author>gruizmer</author>
    <author>ctsuser</author>
    <author>Richard Gowland</author>
  </authors>
  <commentList>
    <comment ref="O5" authorId="0">
      <text>
        <r>
          <rPr>
            <sz val="12"/>
            <color indexed="81"/>
            <rFont val="Tahoma"/>
            <family val="2"/>
          </rPr>
          <t>The user can modify the assumed best case reference value by entry a new value here.</t>
        </r>
        <r>
          <rPr>
            <sz val="8"/>
            <color indexed="81"/>
            <rFont val="Tahoma"/>
            <family val="2"/>
          </rPr>
          <t xml:space="preserve">
</t>
        </r>
      </text>
    </comment>
    <comment ref="Q5" authorId="0">
      <text>
        <r>
          <rPr>
            <sz val="12"/>
            <color indexed="81"/>
            <rFont val="Tahoma"/>
            <family val="2"/>
          </rPr>
          <t xml:space="preserve">The user can modify the assumed worst case reference value by entry a new value here.
</t>
        </r>
      </text>
    </comment>
    <comment ref="L6" authorId="1">
      <text>
        <r>
          <rPr>
            <b/>
            <sz val="16"/>
            <color indexed="81"/>
            <rFont val="Tahoma"/>
            <family val="2"/>
          </rPr>
          <t xml:space="preserve">Toxic Release Inventory , </t>
        </r>
        <r>
          <rPr>
            <i/>
            <sz val="16"/>
            <color indexed="81"/>
            <rFont val="Times New Roman"/>
            <family val="1"/>
          </rPr>
          <t>TRI</t>
        </r>
        <r>
          <rPr>
            <b/>
            <sz val="16"/>
            <color indexed="81"/>
            <rFont val="Tahoma"/>
            <family val="2"/>
          </rPr>
          <t xml:space="preserve">. The inventory system has not been updated since 1995.
</t>
        </r>
      </text>
    </comment>
    <comment ref="L13" authorId="1">
      <text>
        <r>
          <rPr>
            <b/>
            <sz val="8"/>
            <color indexed="81"/>
            <rFont val="Tahoma"/>
            <family val="2"/>
          </rPr>
          <t>Also potency factor (</t>
        </r>
        <r>
          <rPr>
            <sz val="8"/>
            <color indexed="81"/>
            <rFont val="Times New Roman"/>
            <family val="1"/>
          </rPr>
          <t>PF</t>
        </r>
        <r>
          <rPr>
            <b/>
            <sz val="8"/>
            <color indexed="81"/>
            <rFont val="Tahoma"/>
            <family val="2"/>
          </rPr>
          <t>) from IChemE for this category should be known.</t>
        </r>
        <r>
          <rPr>
            <sz val="8"/>
            <color indexed="81"/>
            <rFont val="Tahoma"/>
            <family val="2"/>
          </rPr>
          <t xml:space="preserve">
</t>
        </r>
      </text>
    </comment>
    <comment ref="L19" authorId="1">
      <text>
        <r>
          <rPr>
            <b/>
            <sz val="8"/>
            <color indexed="81"/>
            <rFont val="Tahoma"/>
            <family val="2"/>
          </rPr>
          <t xml:space="preserve">The evaluation of this category requires the index values of the reference substance at its specific subcategory (persistency, air hazard, water hazard, solid waste, bioaccumulation) and the environmental weighting factor at the aggregation step. </t>
        </r>
      </text>
    </comment>
    <comment ref="P21" authorId="0">
      <text>
        <r>
          <rPr>
            <sz val="12"/>
            <color indexed="81"/>
            <rFont val="Tahoma"/>
            <family val="2"/>
          </rPr>
          <t>A worst E factor value (39) times a 500 value for Q_worst.</t>
        </r>
      </text>
    </comment>
    <comment ref="N50" authorId="1">
      <text>
        <r>
          <rPr>
            <sz val="11"/>
            <color indexed="81"/>
            <rFont val="Tahoma"/>
            <family val="2"/>
          </rPr>
          <t xml:space="preserve">Product emergy/ current product rate.
</t>
        </r>
      </text>
    </comment>
    <comment ref="P50" authorId="1">
      <text>
        <r>
          <rPr>
            <sz val="11"/>
            <color indexed="81"/>
            <rFont val="Tahoma"/>
            <family val="2"/>
          </rPr>
          <t>10 times Product emergy/ current product rate.</t>
        </r>
      </text>
    </comment>
    <comment ref="N51" authorId="1">
      <text>
        <r>
          <rPr>
            <sz val="11"/>
            <color indexed="81"/>
            <rFont val="Tahoma"/>
            <family val="2"/>
          </rPr>
          <t>Product emergy/ current sales revenue</t>
        </r>
      </text>
    </comment>
    <comment ref="P51" authorId="1">
      <text>
        <r>
          <rPr>
            <sz val="11"/>
            <color indexed="81"/>
            <rFont val="Tahoma"/>
            <family val="2"/>
          </rPr>
          <t>10 times product emergy/ Annual sales.</t>
        </r>
      </text>
    </comment>
    <comment ref="N52" authorId="1">
      <text>
        <r>
          <rPr>
            <sz val="11"/>
            <color indexed="81"/>
            <rFont val="Tahoma"/>
            <family val="2"/>
          </rPr>
          <t>Cao &amp; Feng 2007. A ELR less or equal to 2 means low environmental impact or there is a large area to dissipate the negative impact.</t>
        </r>
      </text>
    </comment>
    <comment ref="P52" authorId="1">
      <text>
        <r>
          <rPr>
            <sz val="11"/>
            <color indexed="81"/>
            <rFont val="Tahoma"/>
            <family val="2"/>
          </rPr>
          <t>Cao &amp; Feng 2007. A ELR  greater than or equal to 10 means a high  environmental impact.</t>
        </r>
      </text>
    </comment>
    <comment ref="N54" authorId="1">
      <text>
        <r>
          <rPr>
            <sz val="11"/>
            <color indexed="81"/>
            <rFont val="Tahoma"/>
            <family val="2"/>
          </rPr>
          <t>Cao &amp; Feng 2007. Processes
with EIS&gt;=5 can be considered sustainable in the long term.</t>
        </r>
      </text>
    </comment>
    <comment ref="P54" authorId="1">
      <text>
        <r>
          <rPr>
            <sz val="11"/>
            <color indexed="81"/>
            <rFont val="Tahoma"/>
            <family val="2"/>
          </rPr>
          <t>Cao &amp; Feng 2007. When EIS &lt;=1,
products and processes are not sustainable in a long term.</t>
        </r>
      </text>
    </comment>
    <comment ref="P57" authorId="0">
      <text>
        <r>
          <rPr>
            <sz val="12"/>
            <color indexed="81"/>
            <rFont val="Times New Roman"/>
            <family val="1"/>
          </rPr>
          <t>This is assuming that at least all releases having Tm&gt;=25°C or are land-filled have potency factor equal to 1.</t>
        </r>
      </text>
    </comment>
    <comment ref="N59" authorId="0">
      <text>
        <r>
          <rPr>
            <sz val="12"/>
            <color indexed="81"/>
            <rFont val="Tahoma"/>
            <family val="2"/>
          </rPr>
          <t xml:space="preserve">This is assuming that all the solid waste is released.
</t>
        </r>
      </text>
    </comment>
    <comment ref="P60" authorId="0">
      <text>
        <r>
          <rPr>
            <sz val="12"/>
            <color indexed="81"/>
            <rFont val="Tahoma"/>
            <family val="2"/>
          </rPr>
          <t xml:space="preserve">This is assuming that all the solid waste is released.
</t>
        </r>
      </text>
    </comment>
    <comment ref="V141" authorId="1">
      <text>
        <r>
          <rPr>
            <sz val="12"/>
            <color indexed="81"/>
            <rFont val="Tahoma"/>
            <family val="2"/>
          </rPr>
          <t xml:space="preserve">Maximum value between input/output flow rates.
</t>
        </r>
      </text>
    </comment>
    <comment ref="W141" authorId="1">
      <text>
        <r>
          <rPr>
            <sz val="12"/>
            <color indexed="81"/>
            <rFont val="Tahoma"/>
            <family val="2"/>
          </rPr>
          <t xml:space="preserve">Maximum value between input/output flow rates.
</t>
        </r>
      </text>
    </comment>
    <comment ref="R199" authorId="1">
      <text>
        <r>
          <rPr>
            <sz val="12"/>
            <color indexed="81"/>
            <rFont val="Tahoma"/>
            <family val="2"/>
          </rPr>
          <t xml:space="preserve">Maximum value between input/output flow rates
</t>
        </r>
      </text>
    </comment>
    <comment ref="S199" authorId="1">
      <text>
        <r>
          <rPr>
            <sz val="12"/>
            <color indexed="81"/>
            <rFont val="Tahoma"/>
            <family val="2"/>
          </rPr>
          <t xml:space="preserve">Maximum value between input/output flow rates
</t>
        </r>
      </text>
    </comment>
    <comment ref="O258" authorId="1">
      <text>
        <r>
          <rPr>
            <sz val="12"/>
            <color indexed="81"/>
            <rFont val="Tahoma"/>
            <family val="2"/>
          </rPr>
          <t xml:space="preserve">Maximum value between input/output flow rates
</t>
        </r>
      </text>
    </comment>
    <comment ref="R318" authorId="1">
      <text>
        <r>
          <rPr>
            <sz val="12"/>
            <color indexed="81"/>
            <rFont val="Tahoma"/>
            <family val="2"/>
          </rPr>
          <t xml:space="preserve">Maximum value between input/output flow rates
</t>
        </r>
      </text>
    </comment>
    <comment ref="P377" authorId="1">
      <text>
        <r>
          <rPr>
            <sz val="12"/>
            <color indexed="81"/>
            <rFont val="Tahoma"/>
            <family val="2"/>
          </rPr>
          <t xml:space="preserve">Maximum value between input/output flow rates
</t>
        </r>
      </text>
    </comment>
    <comment ref="Q377" authorId="1">
      <text>
        <r>
          <rPr>
            <sz val="12"/>
            <color indexed="81"/>
            <rFont val="Tahoma"/>
            <family val="2"/>
          </rPr>
          <t xml:space="preserve">SUM(P(i)/n) = 1
</t>
        </r>
      </text>
    </comment>
    <comment ref="R435" authorId="1">
      <text>
        <r>
          <rPr>
            <sz val="11"/>
            <color indexed="81"/>
            <rFont val="Tahoma"/>
            <family val="2"/>
          </rPr>
          <t xml:space="preserve">Maximum value between input/output flow rates
</t>
        </r>
      </text>
    </comment>
    <comment ref="T493" authorId="1">
      <text>
        <r>
          <rPr>
            <sz val="12"/>
            <color indexed="81"/>
            <rFont val="Tahoma"/>
            <family val="2"/>
          </rPr>
          <t xml:space="preserve">Maximum value between input/output flow rates
</t>
        </r>
      </text>
    </comment>
    <comment ref="U493" authorId="1">
      <text>
        <r>
          <rPr>
            <sz val="12"/>
            <color indexed="81"/>
            <rFont val="Tahoma"/>
            <family val="2"/>
          </rPr>
          <t xml:space="preserve">Maximum value between input/output flow rates
</t>
        </r>
      </text>
    </comment>
    <comment ref="L551" authorId="1">
      <text>
        <r>
          <rPr>
            <sz val="12"/>
            <color indexed="81"/>
            <rFont val="Tahoma"/>
            <family val="2"/>
          </rPr>
          <t>This is assuming that all releases are (water is not included) have a benzene potency factor equal to 1.</t>
        </r>
      </text>
    </comment>
    <comment ref="L609" authorId="1">
      <text>
        <r>
          <rPr>
            <sz val="12"/>
            <color indexed="81"/>
            <rFont val="Tahoma"/>
            <family val="2"/>
          </rPr>
          <t>This is assuming that all releases (water is not included) have a benzene potency factor equal to 1</t>
        </r>
      </text>
    </comment>
    <comment ref="L899" authorId="1">
      <text>
        <r>
          <rPr>
            <b/>
            <sz val="10"/>
            <color indexed="81"/>
            <rFont val="Tahoma"/>
            <family val="2"/>
          </rPr>
          <t>This is assuming that all releases have a CO2 potency factor equal to 1</t>
        </r>
      </text>
    </comment>
    <comment ref="L957" authorId="1">
      <text>
        <r>
          <rPr>
            <sz val="12"/>
            <color indexed="81"/>
            <rFont val="Tahoma"/>
            <family val="2"/>
          </rPr>
          <t>This is assuming that all releases have a CFC-11 potency factor equal to 1</t>
        </r>
      </text>
    </comment>
    <comment ref="L1015" authorId="1">
      <text>
        <r>
          <rPr>
            <sz val="12"/>
            <color indexed="81"/>
            <rFont val="Tahoma"/>
            <family val="2"/>
          </rPr>
          <t>This is assuming that all releases have a ethylene potency factor equal to 1</t>
        </r>
      </text>
    </comment>
    <comment ref="L1073" authorId="1">
      <text>
        <r>
          <rPr>
            <b/>
            <sz val="10"/>
            <color indexed="81"/>
            <rFont val="Tahoma"/>
            <family val="2"/>
          </rPr>
          <t>This is assuming that all releases have a SO2 potency factor equal to 1</t>
        </r>
      </text>
    </comment>
    <comment ref="L1131" authorId="1">
      <text>
        <r>
          <rPr>
            <b/>
            <sz val="10"/>
            <color indexed="81"/>
            <rFont val="Tahoma"/>
            <family val="2"/>
          </rPr>
          <t>This is assuming that all releases have a H+ potency factor equal to 1</t>
        </r>
      </text>
    </comment>
    <comment ref="L1189" authorId="1">
      <text>
        <r>
          <rPr>
            <b/>
            <sz val="10"/>
            <color indexed="81"/>
            <rFont val="Tahoma"/>
            <family val="2"/>
          </rPr>
          <t>This is assuming that all releases have a OH- potency factor equal to 1</t>
        </r>
      </text>
    </comment>
    <comment ref="L1247" authorId="1">
      <text>
        <r>
          <rPr>
            <sz val="12"/>
            <color indexed="81"/>
            <rFont val="Tahoma"/>
            <family val="2"/>
          </rPr>
          <t>This is assuming that all releases have a salt-forming ions potency factor equal to 1</t>
        </r>
      </text>
    </comment>
    <comment ref="L1305" authorId="1">
      <text>
        <r>
          <rPr>
            <b/>
            <sz val="10"/>
            <color indexed="81"/>
            <rFont val="Tahoma"/>
            <family val="2"/>
          </rPr>
          <t>This is assuming that at least all releases have a Oxygen potency factor equal to 1</t>
        </r>
      </text>
    </comment>
    <comment ref="L1363" authorId="1">
      <text>
        <r>
          <rPr>
            <b/>
            <sz val="10"/>
            <color indexed="81"/>
            <rFont val="Tahoma"/>
            <family val="2"/>
          </rPr>
          <t>This is assuming that at least all releases have a Formaldehyde potency factor equal to 1</t>
        </r>
      </text>
    </comment>
    <comment ref="L1421" authorId="1">
      <text>
        <r>
          <rPr>
            <b/>
            <sz val="10"/>
            <color indexed="81"/>
            <rFont val="Tahoma"/>
            <family val="2"/>
          </rPr>
          <t>This is assuming that at least all releases have a copper potency factor equal to 1</t>
        </r>
      </text>
    </comment>
    <comment ref="L1479" authorId="1">
      <text>
        <r>
          <rPr>
            <b/>
            <sz val="10"/>
            <color indexed="81"/>
            <rFont val="Tahoma"/>
            <family val="2"/>
          </rPr>
          <t>This is assuming that at least all releases have a phosphate potency factor equal to 1</t>
        </r>
      </text>
    </comment>
    <comment ref="J1640" authorId="2">
      <text>
        <r>
          <rPr>
            <sz val="8"/>
            <color indexed="81"/>
            <rFont val="Tahoma"/>
            <family val="2"/>
          </rPr>
          <t>CEIs &gt; 1000 should be treated as extreme and the figure of &gt; 1000 used</t>
        </r>
      </text>
    </comment>
    <comment ref="K1640" authorId="2">
      <text>
        <r>
          <rPr>
            <sz val="8"/>
            <color indexed="81"/>
            <rFont val="Tahoma"/>
            <family val="2"/>
          </rPr>
          <t>CEIs &gt; 1000 should be treated as extreme and the figure of &gt; 1000 used</t>
        </r>
      </text>
    </comment>
    <comment ref="J1643" authorId="2">
      <text>
        <r>
          <rPr>
            <sz val="8"/>
            <color indexed="81"/>
            <rFont val="Tahoma"/>
            <family val="2"/>
          </rPr>
          <t xml:space="preserve">If the theoretical release rate exhausts inventory in 5 minutes or less, the CEI logic assumes that the effect is equivalent to the total inventory being released over a 5 minute period at an even rate.  
If the inventory is not exhausted after 15 minutes at the theorectical release rate, the CEI logic is that the release is stopped by intervention at 15 minutes 
l </t>
        </r>
      </text>
    </comment>
    <comment ref="J1660" authorId="2">
      <text>
        <r>
          <rPr>
            <sz val="8"/>
            <color indexed="81"/>
            <rFont val="Tahoma"/>
            <family val="2"/>
          </rPr>
          <t>CEIs &gt; 1000 should be treated as extreme and the figure of &gt; 1000 used</t>
        </r>
      </text>
    </comment>
    <comment ref="K1660" authorId="2">
      <text>
        <r>
          <rPr>
            <sz val="8"/>
            <color indexed="81"/>
            <rFont val="Tahoma"/>
            <family val="2"/>
          </rPr>
          <t>CEIs &gt; 1000 should be treated as extreme and the figure of &gt; 1000 used</t>
        </r>
      </text>
    </comment>
    <comment ref="J1663" authorId="2">
      <text>
        <r>
          <rPr>
            <sz val="8"/>
            <color indexed="81"/>
            <rFont val="Tahoma"/>
            <family val="2"/>
          </rPr>
          <t xml:space="preserve">If the theoretical release rate exhausts inventory in 5 minutes or less, the CEI logic assumes that the effect is equivalent to the total inventory being released over a 5 minute period at an even rate.  
If the inventory is not exhausted after 15 minutes at the theorectical release rate, the CEI logic is that the release is stopped by intervention at 15 minutes 
</t>
        </r>
      </text>
    </comment>
  </commentList>
</comments>
</file>

<file path=xl/comments6.xml><?xml version="1.0" encoding="utf-8"?>
<comments xmlns="http://schemas.openxmlformats.org/spreadsheetml/2006/main">
  <authors>
    <author>gruizmer</author>
    <author>ctsuser</author>
  </authors>
  <commentList>
    <comment ref="M5" authorId="0">
      <text>
        <r>
          <rPr>
            <sz val="12"/>
            <color indexed="81"/>
            <rFont val="Tahoma"/>
            <family val="2"/>
          </rPr>
          <t>The user can modify the assumed best case reference value by entry a new value here.</t>
        </r>
        <r>
          <rPr>
            <sz val="8"/>
            <color indexed="81"/>
            <rFont val="Tahoma"/>
            <family val="2"/>
          </rPr>
          <t xml:space="preserve">
</t>
        </r>
      </text>
    </comment>
    <comment ref="O5" authorId="0">
      <text>
        <r>
          <rPr>
            <sz val="12"/>
            <color indexed="81"/>
            <rFont val="Tahoma"/>
            <family val="2"/>
          </rPr>
          <t xml:space="preserve">The user can modify the assumed worst case reference value by entry a new value here.
</t>
        </r>
      </text>
    </comment>
    <comment ref="L6" authorId="1">
      <text>
        <r>
          <rPr>
            <b/>
            <sz val="10"/>
            <color indexed="81"/>
            <rFont val="Tahoma"/>
            <family val="2"/>
          </rPr>
          <t>This is the total caloric value of all valuable products</t>
        </r>
        <r>
          <rPr>
            <sz val="10"/>
            <color indexed="81"/>
            <rFont val="Tahoma"/>
            <family val="2"/>
          </rPr>
          <t xml:space="preserve">
</t>
        </r>
      </text>
    </comment>
    <comment ref="N6" authorId="1">
      <text>
        <r>
          <rPr>
            <sz val="12"/>
            <color indexed="81"/>
            <rFont val="Tahoma"/>
            <family val="2"/>
          </rPr>
          <t xml:space="preserve">10 times de energy content of the product
</t>
        </r>
      </text>
    </comment>
    <comment ref="N9" authorId="1">
      <text>
        <r>
          <rPr>
            <sz val="10"/>
            <color indexed="81"/>
            <rFont val="Tahoma"/>
            <family val="2"/>
          </rPr>
          <t>10 % of the total energy consumption</t>
        </r>
      </text>
    </comment>
    <comment ref="L11" authorId="1">
      <text>
        <r>
          <rPr>
            <sz val="10"/>
            <color indexed="81"/>
            <rFont val="Tahoma"/>
            <family val="2"/>
          </rPr>
          <t xml:space="preserve">Total calorific energy of inputs is equal to the calorific energy of products
</t>
        </r>
      </text>
    </comment>
    <comment ref="N11" authorId="1">
      <text>
        <r>
          <rPr>
            <sz val="10"/>
            <color indexed="81"/>
            <rFont val="Tahoma"/>
            <family val="2"/>
          </rPr>
          <t xml:space="preserve">Total calorific energy input goes to infinity compared to the energy of products
</t>
        </r>
      </text>
    </comment>
    <comment ref="H14" authorId="1">
      <text>
        <r>
          <rPr>
            <sz val="10"/>
            <color indexed="81"/>
            <rFont val="Tahoma"/>
            <family val="2"/>
          </rPr>
          <t xml:space="preserve">It should be per mass of product 
</t>
        </r>
      </text>
    </comment>
    <comment ref="K14" authorId="1">
      <text>
        <r>
          <rPr>
            <sz val="10"/>
            <color indexed="81"/>
            <rFont val="Tahoma"/>
            <family val="2"/>
          </rPr>
          <t xml:space="preserve">It should be per mass of product 
</t>
        </r>
      </text>
    </comment>
    <comment ref="N14" authorId="1">
      <text>
        <r>
          <rPr>
            <sz val="10"/>
            <color indexed="81"/>
            <rFont val="Tahoma"/>
            <family val="2"/>
          </rPr>
          <t>10 % of the total energy consumption</t>
        </r>
      </text>
    </comment>
    <comment ref="L16" authorId="1">
      <text>
        <r>
          <rPr>
            <sz val="11"/>
            <color indexed="81"/>
            <rFont val="Tahoma"/>
            <family val="2"/>
          </rPr>
          <t>Ex(product)/m(product) and Ex(lost)=0</t>
        </r>
      </text>
    </comment>
    <comment ref="N16" authorId="1">
      <text>
        <r>
          <rPr>
            <sz val="12"/>
            <color indexed="81"/>
            <rFont val="Tahoma"/>
            <family val="2"/>
          </rPr>
          <t>5*Ex(product)/m(product) and Ex(lost) = 0.5*Ex(product)</t>
        </r>
      </text>
    </comment>
    <comment ref="L17" authorId="1">
      <text>
        <r>
          <rPr>
            <sz val="10"/>
            <color indexed="81"/>
            <rFont val="Tahoma"/>
            <family val="2"/>
          </rPr>
          <t xml:space="preserve">Total exergy input is equal to the exergy products
</t>
        </r>
      </text>
    </comment>
    <comment ref="N17" authorId="1">
      <text>
        <r>
          <rPr>
            <sz val="10"/>
            <color indexed="81"/>
            <rFont val="Tahoma"/>
            <family val="2"/>
          </rPr>
          <t xml:space="preserve">Total exergy input goes to infinity compared to the exergy products
</t>
        </r>
      </text>
    </comment>
    <comment ref="J69" authorId="1">
      <text>
        <r>
          <rPr>
            <sz val="11"/>
            <color indexed="81"/>
            <rFont val="Tahoma"/>
            <family val="2"/>
          </rPr>
          <t xml:space="preserve">Q•/[H1 (Sat vapor184 °C &amp; 11 bar) - H2 (saturaded liquid 184 °C &amp; 11 bar)] </t>
        </r>
      </text>
    </comment>
    <comment ref="J70" authorId="1">
      <text>
        <r>
          <rPr>
            <sz val="11"/>
            <color indexed="81"/>
            <rFont val="Tahoma"/>
            <family val="2"/>
          </rPr>
          <t xml:space="preserve">Q•/[H1 (5 °C &amp; 4 bar) - H2 ( 15 °C &amp; 4 bar)] 
</t>
        </r>
      </text>
    </comment>
    <comment ref="F78" authorId="1">
      <text>
        <r>
          <rPr>
            <sz val="12"/>
            <color indexed="81"/>
            <rFont val="Tahoma"/>
            <family val="2"/>
          </rPr>
          <t>See pg 243 Turton et al. 2009</t>
        </r>
      </text>
    </comment>
    <comment ref="E79" authorId="1">
      <text>
        <r>
          <rPr>
            <sz val="12"/>
            <color indexed="81"/>
            <rFont val="Tahoma"/>
            <family val="2"/>
          </rPr>
          <t>As a primary energy equivalent</t>
        </r>
      </text>
    </comment>
    <comment ref="E92" authorId="1">
      <text>
        <r>
          <rPr>
            <sz val="10"/>
            <color indexed="81"/>
            <rFont val="Tahoma"/>
            <family val="2"/>
          </rPr>
          <t>1 MJ of electricity supplied by either hydroelectric or nuclears is accounted for as equivalent to 3 MJ of the primary energy source used as reference (Giampietro 2006; http://205.254.135.24/totalenergy/data/annual/pdf/sec17.pdf).</t>
        </r>
      </text>
    </comment>
    <comment ref="E93" authorId="1">
      <text>
        <r>
          <rPr>
            <sz val="10"/>
            <color indexed="81"/>
            <rFont val="Tahoma"/>
            <family val="2"/>
          </rPr>
          <t>9760 BTU/kWh
Annual Energy Review 2010, DOE/EIA
http://205.254.135.24/totalenergy/data/annual/pdf/aer.pdf</t>
        </r>
      </text>
    </comment>
    <comment ref="E94" authorId="1">
      <text>
        <r>
          <rPr>
            <sz val="10"/>
            <color indexed="81"/>
            <rFont val="Tahoma"/>
            <family val="2"/>
          </rPr>
          <t xml:space="preserve">As a primary energy equivalent
</t>
        </r>
      </text>
    </comment>
    <comment ref="E103" authorId="1">
      <text>
        <r>
          <rPr>
            <sz val="10"/>
            <color indexed="81"/>
            <rFont val="Tahoma"/>
            <family val="2"/>
          </rPr>
          <t>1 MJ of electricity supplied by either hydroelectric or nuclears is accounted for as equivalent to 3 MJ of the primary energy source used as reference (Giampietro 2006; http://205.254.135.24/totalenergy/data/annual/pdf/sec17.pdf).</t>
        </r>
      </text>
    </comment>
    <comment ref="E104" authorId="1">
      <text>
        <r>
          <rPr>
            <sz val="10"/>
            <color indexed="81"/>
            <rFont val="Tahoma"/>
            <family val="2"/>
          </rPr>
          <t>9760 BTU/kWh
Annual Energy Review 2010, DOE/EIA
http://205.254.135.24/totalenergy/data/annual/pdf/aer.pdf</t>
        </r>
      </text>
    </comment>
    <comment ref="E105" authorId="1">
      <text>
        <r>
          <rPr>
            <sz val="12"/>
            <color indexed="81"/>
            <rFont val="Tahoma"/>
            <family val="2"/>
          </rPr>
          <t xml:space="preserve">As a primary energy equivalent
</t>
        </r>
      </text>
    </comment>
  </commentList>
</comments>
</file>

<file path=xl/comments7.xml><?xml version="1.0" encoding="utf-8"?>
<comments xmlns="http://schemas.openxmlformats.org/spreadsheetml/2006/main">
  <authors>
    <author>gruizmer</author>
    <author>ctsuser</author>
  </authors>
  <commentList>
    <comment ref="M5" authorId="0">
      <text>
        <r>
          <rPr>
            <sz val="12"/>
            <color indexed="81"/>
            <rFont val="Tahoma"/>
            <family val="2"/>
          </rPr>
          <t xml:space="preserve">The user can modify the assumed best case reference value by entry a new value here.
</t>
        </r>
      </text>
    </comment>
    <comment ref="O5" authorId="0">
      <text>
        <r>
          <rPr>
            <sz val="12"/>
            <color indexed="81"/>
            <rFont val="Tahoma"/>
            <family val="2"/>
          </rPr>
          <t xml:space="preserve">The user can modify the assumed worst case reference value by entry a new value here.
</t>
        </r>
      </text>
    </comment>
    <comment ref="L6" authorId="0">
      <text>
        <r>
          <rPr>
            <sz val="12"/>
            <color indexed="81"/>
            <rFont val="Tahoma"/>
            <family val="2"/>
          </rPr>
          <t>This a NPV calculated by employing an rd = 0%.</t>
        </r>
      </text>
    </comment>
    <comment ref="N6" authorId="0">
      <text>
        <r>
          <rPr>
            <sz val="12"/>
            <color indexed="81"/>
            <rFont val="Tahoma"/>
            <family val="2"/>
          </rPr>
          <t xml:space="preserve">This is a NPV calculated by assuming an rd = 40%.
</t>
        </r>
      </text>
    </comment>
    <comment ref="L7" authorId="0">
      <text>
        <r>
          <rPr>
            <sz val="12"/>
            <color indexed="81"/>
            <rFont val="Tahoma"/>
            <family val="2"/>
          </rPr>
          <t xml:space="preserve">This is a PVR calculated by employing an rd = 0%.
</t>
        </r>
      </text>
    </comment>
    <comment ref="I9" authorId="1">
      <text>
        <r>
          <rPr>
            <sz val="12"/>
            <color indexed="81"/>
            <rFont val="Tahoma"/>
            <family val="2"/>
          </rPr>
          <t xml:space="preserve">This is calculated by using Excel solver applied on NPV cell of Trial NPV=0 column, last row (cell K151). You have to run the the nonlinear equation solver every time you make changes to the variables or parameters affecting this indicator. Select this cell (I7), go to Data tab, click on Solver tool, click on Solve button. 
</t>
        </r>
      </text>
    </comment>
    <comment ref="L10" authorId="1">
      <text>
        <r>
          <rPr>
            <sz val="11"/>
            <color indexed="81"/>
            <rFont val="Tahoma"/>
            <family val="2"/>
          </rPr>
          <t xml:space="preserve">The equivalency of a project with a high risk that can guarantee DCFROR (Douglas, 1988, page 61
</t>
        </r>
      </text>
    </comment>
    <comment ref="L15" authorId="0">
      <text>
        <r>
          <rPr>
            <sz val="12"/>
            <color indexed="81"/>
            <rFont val="Tahoma"/>
            <family val="2"/>
          </rPr>
          <t>A value equal to the project’s FCIL.</t>
        </r>
      </text>
    </comment>
    <comment ref="L20" authorId="0">
      <text>
        <r>
          <rPr>
            <sz val="12"/>
            <color indexed="81"/>
            <rFont val="Tahoma"/>
            <family val="2"/>
          </rPr>
          <t>Ceq calculated with a COM = 0.38*TPC and a TCI = 0.60*FCI.</t>
        </r>
      </text>
    </comment>
    <comment ref="N20" authorId="0">
      <text>
        <r>
          <rPr>
            <sz val="12"/>
            <color indexed="81"/>
            <rFont val="Tahoma"/>
            <family val="2"/>
          </rPr>
          <t xml:space="preserve">Ceq obtained with a COM = 1.7*TPC and a TCI = 1.25*FCI. 
</t>
        </r>
      </text>
    </comment>
    <comment ref="L21" authorId="0">
      <text>
        <r>
          <rPr>
            <sz val="12"/>
            <color indexed="81"/>
            <rFont val="Tahoma"/>
            <family val="2"/>
          </rPr>
          <t xml:space="preserve">TPC = 1.4*COM (best-case)
</t>
        </r>
      </text>
    </comment>
    <comment ref="N21" authorId="0">
      <text>
        <r>
          <rPr>
            <sz val="12"/>
            <color indexed="81"/>
            <rFont val="Tahoma"/>
            <family val="2"/>
          </rPr>
          <t>TPC = 1.2*COM (worst-case)</t>
        </r>
      </text>
    </comment>
    <comment ref="L22" authorId="0">
      <text>
        <r>
          <rPr>
            <sz val="12"/>
            <color indexed="81"/>
            <rFont val="Tahoma"/>
            <family val="2"/>
          </rPr>
          <t xml:space="preserve">Epc calculated with a CRM = 0.1*TPCbest-case, CWT = 0.05*TPCbest-case, and a COL = 0.05*TPCbest-case.
</t>
        </r>
      </text>
    </comment>
    <comment ref="N22" authorId="0">
      <text>
        <r>
          <rPr>
            <sz val="12"/>
            <color indexed="81"/>
            <rFont val="Tahoma"/>
            <family val="2"/>
          </rPr>
          <t xml:space="preserve">Epc calculated with a CRM = 0.8*TPCworst-case, CWT = 0.4*TPCworst-case, and a COL = 0.4*TPCworst-case.
</t>
        </r>
      </text>
    </comment>
    <comment ref="L23" authorId="0">
      <text>
        <r>
          <rPr>
            <sz val="12"/>
            <color indexed="81"/>
            <rFont val="Tahoma"/>
            <family val="2"/>
          </rPr>
          <t xml:space="preserve">Purchase equipment cost = 0.15*FCI and  TCI = 0.60*FCI.
</t>
        </r>
      </text>
    </comment>
    <comment ref="N23" authorId="0">
      <text>
        <r>
          <rPr>
            <sz val="12"/>
            <color indexed="81"/>
            <rFont val="Tahoma"/>
            <family val="2"/>
          </rPr>
          <t xml:space="preserve">Purchase equipment cost = 0.4*FCI and TCI = 1.25*FCI.
</t>
        </r>
      </text>
    </comment>
    <comment ref="L25" authorId="0">
      <text>
        <r>
          <rPr>
            <sz val="12"/>
            <color indexed="81"/>
            <rFont val="Tahoma"/>
            <family val="2"/>
          </rPr>
          <t xml:space="preserve">CSRM = 0.1*TPCbest-case.
</t>
        </r>
      </text>
    </comment>
    <comment ref="N25" authorId="0">
      <text>
        <r>
          <rPr>
            <sz val="12"/>
            <color indexed="81"/>
            <rFont val="Tahoma"/>
            <family val="2"/>
          </rPr>
          <t xml:space="preserve">CSRM = 0.8*TPCworst-case.
</t>
        </r>
      </text>
    </comment>
    <comment ref="L26" authorId="0">
      <text>
        <r>
          <rPr>
            <sz val="12"/>
            <color indexed="81"/>
            <rFont val="Tahoma"/>
            <family val="2"/>
          </rPr>
          <t xml:space="preserve">CSRM = 0.1*TPCbest-case.
</t>
        </r>
      </text>
    </comment>
    <comment ref="N26" authorId="0">
      <text>
        <r>
          <rPr>
            <sz val="12"/>
            <color indexed="81"/>
            <rFont val="Tahoma"/>
            <family val="2"/>
          </rPr>
          <t>CSRM = 0.8*TPCworst-case.</t>
        </r>
      </text>
    </comment>
    <comment ref="L27" authorId="0">
      <text>
        <r>
          <rPr>
            <sz val="12"/>
            <color indexed="81"/>
            <rFont val="Tahoma"/>
            <family val="2"/>
          </rPr>
          <t>Only consumed energy is from cheapest source (coal) @ $1.72x10^-6/kJ.</t>
        </r>
      </text>
    </comment>
    <comment ref="N27" authorId="0">
      <text>
        <r>
          <rPr>
            <sz val="12"/>
            <color indexed="81"/>
            <rFont val="Tahoma"/>
            <family val="2"/>
          </rPr>
          <t xml:space="preserve">Only consumed energy is from expensive source (electricity) @ $1.68*10^-5/kJ.
</t>
        </r>
      </text>
    </comment>
    <comment ref="L28" authorId="0">
      <text>
        <r>
          <rPr>
            <sz val="12"/>
            <color indexed="81"/>
            <rFont val="Tahoma"/>
            <family val="2"/>
          </rPr>
          <t xml:space="preserve">Only consumed energy is from cheapest source (coal) @ $1.72x10^-6/kJ divided by TPCbest-case.
</t>
        </r>
      </text>
    </comment>
    <comment ref="N28" authorId="0">
      <text>
        <r>
          <rPr>
            <sz val="12"/>
            <color indexed="81"/>
            <rFont val="Tahoma"/>
            <family val="2"/>
          </rPr>
          <t xml:space="preserve">Only consumed energy is from expensive source (electricity) @ $1.68*10^-5/kJ divided by TPCworst-case.
</t>
        </r>
      </text>
    </comment>
    <comment ref="L29" authorId="0">
      <text>
        <r>
          <rPr>
            <sz val="12"/>
            <color indexed="81"/>
            <rFont val="Tahoma"/>
            <family val="2"/>
          </rPr>
          <t>CE, source is equal to the cost from cheapest source (coal) @ $1.72x10^-6/kJ.</t>
        </r>
      </text>
    </comment>
    <comment ref="N29" authorId="0">
      <text>
        <r>
          <rPr>
            <sz val="12"/>
            <color indexed="81"/>
            <rFont val="Tahoma"/>
            <family val="2"/>
          </rPr>
          <t>CE, source is equal to the cost from expensive source (electricity) @ $1.68x10^-5/kJ.</t>
        </r>
      </text>
    </comment>
    <comment ref="L30" authorId="0">
      <text>
        <r>
          <rPr>
            <sz val="12"/>
            <color indexed="81"/>
            <rFont val="Tahoma"/>
            <family val="2"/>
          </rPr>
          <t>Consumed water is from cheapest source (process use water) @ $0.067 $/m^3.</t>
        </r>
      </text>
    </comment>
    <comment ref="N30" authorId="1">
      <text>
        <r>
          <rPr>
            <sz val="12"/>
            <color indexed="81"/>
            <rFont val="Tahoma"/>
            <family val="2"/>
          </rPr>
          <t>Consumed water is from expensive source (deionized water) @ $1.0 $/m^3.</t>
        </r>
      </text>
    </comment>
    <comment ref="N32" authorId="1">
      <text>
        <r>
          <rPr>
            <sz val="12"/>
            <color indexed="81"/>
            <rFont val="Tahoma"/>
            <family val="2"/>
          </rPr>
          <t>All water needs require deionized water</t>
        </r>
      </text>
    </comment>
    <comment ref="N33" authorId="1">
      <text>
        <r>
          <rPr>
            <sz val="12"/>
            <color indexed="81"/>
            <rFont val="Tahoma"/>
            <family val="2"/>
          </rPr>
          <t>All solid waste is categorized as hazardous at $2/kg</t>
        </r>
      </text>
    </comment>
    <comment ref="N34" authorId="1">
      <text>
        <r>
          <rPr>
            <sz val="12"/>
            <color indexed="81"/>
            <rFont val="Tahoma"/>
            <family val="2"/>
          </rPr>
          <t xml:space="preserve">Worst total solid waste cost / worst total product cost
</t>
        </r>
      </text>
    </comment>
    <comment ref="N35" authorId="0">
      <text>
        <r>
          <rPr>
            <sz val="12"/>
            <color indexed="81"/>
            <rFont val="Tahoma"/>
            <family val="2"/>
          </rPr>
          <t xml:space="preserve">When all liquid waste is categorizes as hazardous with a Cs tot. unit cost of $2/kg.
</t>
        </r>
      </text>
    </comment>
    <comment ref="N36" authorId="1">
      <text>
        <r>
          <rPr>
            <sz val="12"/>
            <color indexed="81"/>
            <rFont val="Tahoma"/>
            <family val="2"/>
          </rPr>
          <t xml:space="preserve">Worst total liquid waste cost / worst total product cost
</t>
        </r>
      </text>
    </comment>
    <comment ref="N37" authorId="1">
      <text>
        <r>
          <rPr>
            <sz val="12"/>
            <color indexed="81"/>
            <rFont val="Tahoma"/>
            <family val="2"/>
          </rPr>
          <t>All air emissions are categorized as hazardous at $2/kg</t>
        </r>
      </text>
    </comment>
    <comment ref="E54" authorId="1">
      <text>
        <r>
          <rPr>
            <sz val="11"/>
            <color indexed="81"/>
            <rFont val="Tahoma"/>
            <family val="2"/>
          </rPr>
          <t xml:space="preserve">the number of processing steps involving the handling of particulate solids (e.g., transportation and distribution). In general, P=0.
</t>
        </r>
      </text>
    </comment>
    <comment ref="E57" authorId="1">
      <text>
        <r>
          <rPr>
            <sz val="11"/>
            <color indexed="81"/>
            <rFont val="Tahoma"/>
            <family val="2"/>
          </rPr>
          <t xml:space="preserve">After startup
</t>
        </r>
      </text>
    </comment>
    <comment ref="E66" authorId="1">
      <text>
        <r>
          <rPr>
            <sz val="11"/>
            <color indexed="81"/>
            <rFont val="Tahoma"/>
            <family val="2"/>
          </rPr>
          <t>It includes compression, heating and cooling, mixing, and reaction</t>
        </r>
      </text>
    </comment>
    <comment ref="E71" authorId="1">
      <text>
        <r>
          <rPr>
            <sz val="10"/>
            <color indexed="81"/>
            <rFont val="Tahoma"/>
            <family val="2"/>
          </rPr>
          <t xml:space="preserve">typical values for the WC are between 15% and 20% of the FCIL </t>
        </r>
      </text>
    </comment>
    <comment ref="E74" authorId="1">
      <text>
        <r>
          <rPr>
            <sz val="12"/>
            <color indexed="81"/>
            <rFont val="Tahoma"/>
            <family val="2"/>
          </rPr>
          <t xml:space="preserve">Here, it is assumed as 10% of the FCIL evaluated in year m, however it can be estimated by different methods.
</t>
        </r>
      </text>
    </comment>
    <comment ref="E75" authorId="1">
      <text>
        <r>
          <rPr>
            <sz val="11"/>
            <color indexed="81"/>
            <rFont val="Tahoma"/>
            <family val="2"/>
          </rPr>
          <t>It is recovered from the working capital, land value, and the sale of physical assets evaluated at the end of the plant life. Often this salvage value is neglected.</t>
        </r>
      </text>
    </comment>
    <comment ref="E77" authorId="1">
      <text>
        <r>
          <rPr>
            <sz val="11"/>
            <color indexed="81"/>
            <rFont val="Tahoma"/>
            <family val="2"/>
          </rPr>
          <t xml:space="preserve">The selected present worth factor, from Table 7-3, 7-4, or 7-5 in Peters et. al. 2003 or Table 9.1 in Tourton et al. 2009.
</t>
        </r>
      </text>
    </comment>
    <comment ref="E79" authorId="1">
      <text>
        <r>
          <rPr>
            <sz val="11"/>
            <color indexed="81"/>
            <rFont val="Tahoma"/>
            <family val="2"/>
          </rPr>
          <t xml:space="preserve">Table 8-1 Peters et al. 2003.
</t>
        </r>
      </text>
    </comment>
    <comment ref="G83" authorId="1">
      <text>
        <r>
          <rPr>
            <sz val="11"/>
            <color indexed="81"/>
            <rFont val="Tahoma"/>
            <family val="2"/>
          </rPr>
          <t>FCI</t>
        </r>
        <r>
          <rPr>
            <sz val="9"/>
            <color indexed="81"/>
            <rFont val="Tahoma"/>
            <family val="2"/>
          </rPr>
          <t>L</t>
        </r>
        <r>
          <rPr>
            <sz val="11"/>
            <color indexed="81"/>
            <rFont val="Tahoma"/>
            <family val="2"/>
          </rPr>
          <t xml:space="preserve">/n
</t>
        </r>
      </text>
    </comment>
    <comment ref="F84" authorId="1">
      <text>
        <r>
          <rPr>
            <sz val="12"/>
            <color indexed="81"/>
            <rFont val="Tahoma"/>
            <family val="2"/>
          </rPr>
          <t xml:space="preserve">CLand
</t>
        </r>
      </text>
    </comment>
    <comment ref="F85" authorId="1">
      <text>
        <r>
          <rPr>
            <sz val="12"/>
            <color indexed="81"/>
            <rFont val="Tahoma"/>
            <family val="2"/>
          </rPr>
          <t xml:space="preserve">FCI + WC @ plant start-up year
</t>
        </r>
      </text>
    </comment>
    <comment ref="F95" authorId="1">
      <text>
        <r>
          <rPr>
            <sz val="11"/>
            <color indexed="81"/>
            <rFont val="Tahoma"/>
            <family val="2"/>
          </rPr>
          <t xml:space="preserve">rec + WC
</t>
        </r>
      </text>
    </comment>
    <comment ref="E160" authorId="1">
      <text>
        <r>
          <rPr>
            <sz val="11"/>
            <color indexed="81"/>
            <rFont val="Tahoma"/>
            <family val="2"/>
          </rPr>
          <t xml:space="preserve">After startup
</t>
        </r>
      </text>
    </comment>
    <comment ref="E178" authorId="1">
      <text>
        <r>
          <rPr>
            <sz val="11"/>
            <color indexed="81"/>
            <rFont val="Tahoma"/>
            <family val="2"/>
          </rPr>
          <t xml:space="preserve">After startup
</t>
        </r>
      </text>
    </comment>
    <comment ref="E213" authorId="1">
      <text>
        <r>
          <rPr>
            <sz val="11"/>
            <color indexed="81"/>
            <rFont val="Tahoma"/>
            <family val="2"/>
          </rPr>
          <t xml:space="preserve">After startup
</t>
        </r>
      </text>
    </comment>
    <comment ref="E245" authorId="1">
      <text>
        <r>
          <rPr>
            <sz val="11"/>
            <color indexed="81"/>
            <rFont val="Tahoma"/>
            <family val="2"/>
          </rPr>
          <t xml:space="preserve">After startup
</t>
        </r>
      </text>
    </comment>
    <comment ref="E249" authorId="1">
      <text>
        <r>
          <rPr>
            <sz val="11"/>
            <color indexed="81"/>
            <rFont val="Tahoma"/>
            <family val="2"/>
          </rPr>
          <t xml:space="preserve">See Eq. 9.14, Table 9.1, page 273 in Turton et al. 2009
</t>
        </r>
      </text>
    </comment>
    <comment ref="F308" authorId="1">
      <text>
        <r>
          <rPr>
            <sz val="11"/>
            <color indexed="81"/>
            <rFont val="Tahoma"/>
            <family val="2"/>
          </rPr>
          <t xml:space="preserve">Check if pure water is a feedstock input stream and them get its mass flow rate
</t>
        </r>
      </text>
    </comment>
  </commentList>
</comments>
</file>

<file path=xl/comments8.xml><?xml version="1.0" encoding="utf-8"?>
<comments xmlns="http://schemas.openxmlformats.org/spreadsheetml/2006/main">
  <authors>
    <author>ctsuser</author>
  </authors>
  <commentList>
    <comment ref="R4" authorId="0">
      <text>
        <r>
          <rPr>
            <sz val="11"/>
            <color indexed="81"/>
            <rFont val="Tahoma"/>
            <family val="2"/>
          </rPr>
          <t>This is assuming that at least all releases having Tm&gt;=25°C or that are landfilled have potency factor equal to 1.</t>
        </r>
      </text>
    </comment>
    <comment ref="N62" authorId="0">
      <text>
        <r>
          <rPr>
            <sz val="12"/>
            <color indexed="81"/>
            <rFont val="Tahoma"/>
            <family val="2"/>
          </rPr>
          <t>This is assuming that all the solid waste is released.</t>
        </r>
      </text>
    </comment>
    <comment ref="I128" authorId="0">
      <text>
        <r>
          <rPr>
            <sz val="12"/>
            <color indexed="81"/>
            <rFont val="Tahoma"/>
            <family val="2"/>
          </rPr>
          <t xml:space="preserve">Just for waste streams.
</t>
        </r>
      </text>
    </comment>
  </commentList>
</comments>
</file>

<file path=xl/comments9.xml><?xml version="1.0" encoding="utf-8"?>
<comments xmlns="http://schemas.openxmlformats.org/spreadsheetml/2006/main">
  <authors>
    <author>ctsuser</author>
    <author>gruizmer</author>
  </authors>
  <commentList>
    <comment ref="T6" authorId="0">
      <text>
        <r>
          <rPr>
            <sz val="11"/>
            <color indexed="81"/>
            <rFont val="Tahoma"/>
            <family val="2"/>
          </rPr>
          <t>It is recovered from the working capital, land value, and the sale of physical assets evaluated at the end of the plant life. Often this salvage value is neglected.</t>
        </r>
      </text>
    </comment>
    <comment ref="T8" authorId="0">
      <text>
        <r>
          <rPr>
            <sz val="11"/>
            <color indexed="81"/>
            <rFont val="Tahoma"/>
            <family val="2"/>
          </rPr>
          <t xml:space="preserve">After startup
</t>
        </r>
      </text>
    </comment>
    <comment ref="K15" authorId="1">
      <text>
        <r>
          <rPr>
            <sz val="12"/>
            <color indexed="81"/>
            <rFont val="Tahoma"/>
            <family val="2"/>
          </rPr>
          <t>These values can be customized by the user.</t>
        </r>
      </text>
    </comment>
    <comment ref="N15" authorId="1">
      <text>
        <r>
          <rPr>
            <sz val="12"/>
            <color indexed="81"/>
            <rFont val="Tahoma"/>
            <family val="2"/>
          </rPr>
          <t xml:space="preserve">These values can be customized by the user.
</t>
        </r>
      </text>
    </comment>
    <comment ref="T19" authorId="0">
      <text>
        <r>
          <rPr>
            <sz val="11"/>
            <color indexed="81"/>
            <rFont val="Tahoma"/>
            <family val="2"/>
          </rPr>
          <t>It is recovered from the working capital, land value, and the sale of physical assets evaluated at the end of the plant life. Often this salvage value is neglected.</t>
        </r>
      </text>
    </comment>
    <comment ref="T21" authorId="0">
      <text>
        <r>
          <rPr>
            <sz val="11"/>
            <color indexed="81"/>
            <rFont val="Tahoma"/>
            <family val="2"/>
          </rPr>
          <t xml:space="preserve">After startup
</t>
        </r>
      </text>
    </comment>
    <comment ref="T32" authorId="0">
      <text>
        <r>
          <rPr>
            <sz val="11"/>
            <color indexed="81"/>
            <rFont val="Tahoma"/>
            <family val="2"/>
          </rPr>
          <t xml:space="preserve">After startup
</t>
        </r>
      </text>
    </comment>
    <comment ref="T42" authorId="0">
      <text>
        <r>
          <rPr>
            <sz val="11"/>
            <color indexed="81"/>
            <rFont val="Tahoma"/>
            <family val="2"/>
          </rPr>
          <t xml:space="preserve">After startup
</t>
        </r>
      </text>
    </comment>
    <comment ref="T46" authorId="0">
      <text>
        <r>
          <rPr>
            <sz val="11"/>
            <color indexed="81"/>
            <rFont val="Tahoma"/>
            <family val="2"/>
          </rPr>
          <t xml:space="preserve">See Eq. 9.14, Table 9.1, page 273 in Turton et al. 2009
</t>
        </r>
      </text>
    </comment>
    <comment ref="K51" authorId="1">
      <text>
        <r>
          <rPr>
            <sz val="12"/>
            <color indexed="81"/>
            <rFont val="Tahoma"/>
            <family val="2"/>
          </rPr>
          <t xml:space="preserve">These values can be customized by the user.
</t>
        </r>
      </text>
    </comment>
    <comment ref="N51" authorId="1">
      <text>
        <r>
          <rPr>
            <sz val="12"/>
            <color indexed="81"/>
            <rFont val="Tahoma"/>
            <family val="2"/>
          </rPr>
          <t xml:space="preserve">These values can be customized by the user.
</t>
        </r>
      </text>
    </comment>
    <comment ref="M56" authorId="0">
      <text>
        <r>
          <rPr>
            <b/>
            <sz val="8"/>
            <color indexed="81"/>
            <rFont val="Tahoma"/>
            <family val="2"/>
          </rPr>
          <t>% FCI</t>
        </r>
        <r>
          <rPr>
            <sz val="8"/>
            <color indexed="81"/>
            <rFont val="Tahoma"/>
            <family val="2"/>
          </rPr>
          <t xml:space="preserve">
</t>
        </r>
      </text>
    </comment>
    <comment ref="P56" authorId="0">
      <text>
        <r>
          <rPr>
            <b/>
            <sz val="8"/>
            <color indexed="81"/>
            <rFont val="Tahoma"/>
            <family val="2"/>
          </rPr>
          <t>% FCI</t>
        </r>
        <r>
          <rPr>
            <sz val="8"/>
            <color indexed="81"/>
            <rFont val="Tahoma"/>
            <family val="2"/>
          </rPr>
          <t xml:space="preserve">
</t>
        </r>
      </text>
    </comment>
    <comment ref="M57" authorId="0">
      <text>
        <r>
          <rPr>
            <b/>
            <sz val="8"/>
            <color indexed="81"/>
            <rFont val="Tahoma"/>
            <family val="2"/>
          </rPr>
          <t>% FCI</t>
        </r>
        <r>
          <rPr>
            <sz val="8"/>
            <color indexed="81"/>
            <rFont val="Tahoma"/>
            <family val="2"/>
          </rPr>
          <t xml:space="preserve">
</t>
        </r>
      </text>
    </comment>
    <comment ref="P57" authorId="0">
      <text>
        <r>
          <rPr>
            <b/>
            <sz val="8"/>
            <color indexed="81"/>
            <rFont val="Tahoma"/>
            <family val="2"/>
          </rPr>
          <t>% FCI</t>
        </r>
        <r>
          <rPr>
            <sz val="8"/>
            <color indexed="81"/>
            <rFont val="Tahoma"/>
            <family val="2"/>
          </rPr>
          <t xml:space="preserve">
</t>
        </r>
      </text>
    </comment>
    <comment ref="U57" authorId="1">
      <text>
        <r>
          <rPr>
            <sz val="12"/>
            <color indexed="81"/>
            <rFont val="Tahoma"/>
            <family val="2"/>
          </rPr>
          <t>These values can be customized by the user.</t>
        </r>
      </text>
    </comment>
    <comment ref="V57" authorId="1">
      <text>
        <r>
          <rPr>
            <sz val="12"/>
            <color indexed="81"/>
            <rFont val="Tahoma"/>
            <family val="2"/>
          </rPr>
          <t>These values can be customized by the user.</t>
        </r>
      </text>
    </comment>
    <comment ref="M75" authorId="0">
      <text>
        <r>
          <rPr>
            <b/>
            <sz val="8"/>
            <color indexed="81"/>
            <rFont val="Tahoma"/>
            <family val="2"/>
          </rPr>
          <t>Part of TPC as % FCI</t>
        </r>
        <r>
          <rPr>
            <sz val="8"/>
            <color indexed="81"/>
            <rFont val="Tahoma"/>
            <family val="2"/>
          </rPr>
          <t xml:space="preserve">
</t>
        </r>
      </text>
    </comment>
    <comment ref="P75" authorId="0">
      <text>
        <r>
          <rPr>
            <b/>
            <sz val="8"/>
            <color indexed="81"/>
            <rFont val="Tahoma"/>
            <family val="2"/>
          </rPr>
          <t>Part of TPC as % FCI</t>
        </r>
        <r>
          <rPr>
            <sz val="8"/>
            <color indexed="81"/>
            <rFont val="Tahoma"/>
            <family val="2"/>
          </rPr>
          <t xml:space="preserve">
</t>
        </r>
      </text>
    </comment>
    <comment ref="M77" authorId="0">
      <text>
        <r>
          <rPr>
            <b/>
            <sz val="8"/>
            <color indexed="81"/>
            <rFont val="Tahoma"/>
            <family val="2"/>
          </rPr>
          <t>Part of TPC as % FCI</t>
        </r>
        <r>
          <rPr>
            <sz val="8"/>
            <color indexed="81"/>
            <rFont val="Tahoma"/>
            <family val="2"/>
          </rPr>
          <t xml:space="preserve">
</t>
        </r>
      </text>
    </comment>
    <comment ref="P77" authorId="0">
      <text>
        <r>
          <rPr>
            <b/>
            <sz val="8"/>
            <color indexed="81"/>
            <rFont val="Tahoma"/>
            <family val="2"/>
          </rPr>
          <t>Part of TPC as % FCI</t>
        </r>
        <r>
          <rPr>
            <sz val="8"/>
            <color indexed="81"/>
            <rFont val="Tahoma"/>
            <family val="2"/>
          </rPr>
          <t xml:space="preserve">
</t>
        </r>
      </text>
    </comment>
  </commentList>
</comments>
</file>

<file path=xl/sharedStrings.xml><?xml version="1.0" encoding="utf-8"?>
<sst xmlns="http://schemas.openxmlformats.org/spreadsheetml/2006/main" count="4499" uniqueCount="2541">
  <si>
    <t>Considered aspects:
volatile substances and generation of a new phase.</t>
  </si>
  <si>
    <t>Considered aspects:
fuel, ignition source, and oxygen source</t>
  </si>
  <si>
    <t>Considered aspects:
thermal stability, incompatible to air, water, acid, metal, organic substances, and exothermic reaction.</t>
  </si>
  <si>
    <t>Acute toxicity to humans and animals.</t>
  </si>
  <si>
    <t>Carcinogenicity, mutagenicity, reproductive toxicity, sensitization to humans and environment.</t>
  </si>
  <si>
    <t>Accumulation in food chain, in soil, and organic matter.</t>
  </si>
  <si>
    <t xml:space="preserve">The atmospheric impact of this subcategory is based on the potential of each substance to deplete ozone relative to chlorofluorocarbon-11, ODP- the ozone depletion potential.  This gives the total mass of CFC-11 equivalent of the process. </t>
  </si>
  <si>
    <t xml:space="preserve">The atmospheric impact of this subcategory is based on the potential of each substance to create ozone relative to the photochemical ozone creation from ethylene .  This gives the total mass of ethylene equivalent of the process. </t>
  </si>
  <si>
    <t xml:space="preserve">The atmospheric impact of this subcategory is based on the potential of some substances to form acid rain and acids to water. The sulphur dioxide capacity to form atmospheric acidification is used as reference unit.  This gives the total mass of sulphur dioxide equivalent of the process producing atmospheric acidification. </t>
  </si>
  <si>
    <t>Reaction yield</t>
  </si>
  <si>
    <t>This is the mass fraction of product that can be recovered for reuse or recycling per mass of product.</t>
  </si>
  <si>
    <t>The implementation of this economic evaluation indicator requires that process equipments are sized based in physical models. It can provide a better measurement in the evaluation of different design proposals. NPV is computed by adding the present values of all incomes subtracted by the summation of the present values of all investments.</t>
  </si>
  <si>
    <t xml:space="preserve">This indicator includes evaporation and misting losses from cooling water (7% of cooling water usage is the default if no data are available), water vapor vented to the atmosphere, water lost through waste treatment or disposal, water lost through deep-well injection, and excluding rainwater. </t>
  </si>
  <si>
    <t xml:space="preserve">This indicator is determined for all types of water or rather quality of the consumed water, such as drinking water and raw water (surface, well, lake, river, or rain water).  </t>
  </si>
  <si>
    <t>It is the total material input of goods and services to the process or process unit.</t>
  </si>
  <si>
    <t>This is the amount of material input from recyclable source.</t>
  </si>
  <si>
    <t>The aquatic impact of this subcategory is based on the potential of substances to release H+ ion modifying the H2O pH drastically.  The total mass of released  H+ ions by unit mass of acid is the unit of this environmental burden. In other words quantifying the exceedance of critical loads of PH in water.</t>
  </si>
  <si>
    <t>The aquatic impact of this subcategory is based on the potential of substances to release OH- ion modifying the H2O pH drastically.  The total mass of released OH- ions by unit mass of base is the unit of this environmental burden. In other words quantifying the exceedance of critical loads of PH in water.</t>
  </si>
  <si>
    <t xml:space="preserve">This is the total mass of carbon dioxide equivalents emitted per unit output. This complementary metric includes CO2 equivalents emitted from the treatment of waste streams and the burning of fuel needed to generate the energy for the process. The CO2 emissions resulting from the generation of electricity and steam are included in this metric, even though the electricity or steam is purchased rather than generated onsite. </t>
  </si>
  <si>
    <t>The aquatic impact of this subcategory is based on the amount of dissolved organic and inorganic salts in the water. The total mass of released Na, Cl, K, Ca, Mg, and SO4 ions by unit mass of base is the unit of this environmental burden. In other words quantifying the exceedance of critical loads of PH in water.</t>
  </si>
  <si>
    <t xml:space="preserve">The stoichiometric oxygen demand ,StOD, represents the maximum potential of emissions to water to remove dissolved O2 that could support aquiatic life. This indicator is expressed as mass of O2 required per mass of substance. </t>
  </si>
  <si>
    <t xml:space="preserve">The aquatic impact of this subcategory is based on the reciprocal of the Environmental Quality Standar (EQS) of the metal over the reciprocal of the EQS of copper. </t>
  </si>
  <si>
    <t>The impact of this subcategory is defined as the potential for over-fertilization of water and soil, resulting in increase thre growth of biomass in the water. The phosphate capacity to generate eutrophication is used as reference unit.</t>
  </si>
  <si>
    <t>Emergy intensity describes quantitatively the amount of exergy consumed by ecological processes to generate the raw materials, emissions dissipation, and the industrial process in order to deliver a product.</t>
  </si>
  <si>
    <t>Indicator</t>
  </si>
  <si>
    <t>ESI is defined as the ratio of the EYR to the ELR, who indicates if a process provides a suitable contribution to the user with a low environmental pressure. This index can be used to maximize the process yield at the lowest environmental loading (minimizing the usage of nonrenewable resources).</t>
  </si>
  <si>
    <t>kg OH- released/time</t>
  </si>
  <si>
    <t>Range</t>
  </si>
  <si>
    <t>Renewable</t>
  </si>
  <si>
    <t>Value</t>
  </si>
  <si>
    <t>Input</t>
  </si>
  <si>
    <t>unit</t>
  </si>
  <si>
    <t>mass flows</t>
  </si>
  <si>
    <t>fraction</t>
  </si>
  <si>
    <t>scalar</t>
  </si>
  <si>
    <t>kg/kg prod</t>
  </si>
  <si>
    <t>kg/h</t>
  </si>
  <si>
    <t>scalar, 0 to ∞+</t>
  </si>
  <si>
    <t>US $/ mass of product</t>
  </si>
  <si>
    <t>Equation</t>
  </si>
  <si>
    <t>MW of all reaction component, reagents, product, byproducts</t>
  </si>
  <si>
    <t>dimensionless</t>
  </si>
  <si>
    <t>Definition</t>
  </si>
  <si>
    <t>kg/$</t>
  </si>
  <si>
    <t>Symbol</t>
  </si>
  <si>
    <t>Atom Economy</t>
  </si>
  <si>
    <t>Mass fraction of products from recyclable materials</t>
  </si>
  <si>
    <t>Mass fraction of products designed for disassembly, reuse or recycling</t>
  </si>
  <si>
    <t>Total water consumption</t>
  </si>
  <si>
    <t>Volume fraction of water type</t>
  </si>
  <si>
    <t>Water intensity</t>
  </si>
  <si>
    <t>Effective Mass Yield</t>
  </si>
  <si>
    <t>Carbon Efficiency</t>
  </si>
  <si>
    <t>Environmental Factor based on molecular weight</t>
  </si>
  <si>
    <t>Mass Loss Index</t>
  </si>
  <si>
    <t>Environmental Factor</t>
  </si>
  <si>
    <t>Material Recovery Parameter</t>
  </si>
  <si>
    <t>Solvent and Catalyst Environmental impact Parameter</t>
  </si>
  <si>
    <t>Physical Return on Investment</t>
  </si>
  <si>
    <t>Renewability-Material Index</t>
  </si>
  <si>
    <t>Mass Productivity</t>
  </si>
  <si>
    <t>Value mass intensity</t>
  </si>
  <si>
    <t>Mass intensity</t>
  </si>
  <si>
    <t>Total material consumption</t>
  </si>
  <si>
    <t>Reaction Mass Efficiency</t>
  </si>
  <si>
    <t>Stoichiometric Factor</t>
  </si>
  <si>
    <t>Actual Atom Economy</t>
  </si>
  <si>
    <t>Fractional water consumption</t>
  </si>
  <si>
    <t>kg/kg</t>
  </si>
  <si>
    <t>kg/kmol / kg/kmol</t>
  </si>
  <si>
    <t>kg</t>
  </si>
  <si>
    <t xml:space="preserve">kg/kg </t>
  </si>
  <si>
    <t>kmol/kmol</t>
  </si>
  <si>
    <t>Best case</t>
  </si>
  <si>
    <t>Worst case</t>
  </si>
  <si>
    <t>Vapor fraction</t>
  </si>
  <si>
    <t>Stream</t>
  </si>
  <si>
    <t>Water</t>
  </si>
  <si>
    <t>MJ/h</t>
  </si>
  <si>
    <t>kmol/h</t>
  </si>
  <si>
    <t>Base component</t>
  </si>
  <si>
    <t>Name</t>
  </si>
  <si>
    <t>Component Separator Summary</t>
  </si>
  <si>
    <t>Extractor Summary</t>
  </si>
  <si>
    <t>Heat Exchanger Summary</t>
  </si>
  <si>
    <t>Pump Summary</t>
  </si>
  <si>
    <t>Mixer Summary</t>
  </si>
  <si>
    <t>H2O</t>
  </si>
  <si>
    <t>Total</t>
  </si>
  <si>
    <t>Power Generated</t>
  </si>
  <si>
    <t>Power Added</t>
  </si>
  <si>
    <t>Total Cooling</t>
  </si>
  <si>
    <t>Total Heating</t>
  </si>
  <si>
    <t>Feed Streams</t>
  </si>
  <si>
    <t>Output</t>
  </si>
  <si>
    <t>Overall Energy Balance</t>
  </si>
  <si>
    <t>MW</t>
  </si>
  <si>
    <t>Percent Score</t>
  </si>
  <si>
    <t>Specific hazardous raw materials input</t>
  </si>
  <si>
    <t>Number of hazardous materials input</t>
  </si>
  <si>
    <t>Mass of hazardous materials input</t>
  </si>
  <si>
    <t>Number of hazardous substances fed to the process</t>
  </si>
  <si>
    <t>Total mass of substances that have persistency, bio-accumulative and toxic (PBT) properties used by the process</t>
  </si>
  <si>
    <t>Total mass of persistent, bio-accumulative and toxic chemicals used</t>
  </si>
  <si>
    <t>Total mass of hazardous substances fed to the process</t>
  </si>
  <si>
    <t>Total mass of hazardous substances fed to the process per unit of valuable product</t>
  </si>
  <si>
    <t>CEI</t>
  </si>
  <si>
    <t>Chemical Exposure Index</t>
  </si>
  <si>
    <t xml:space="preserve">The Chemical Exposure Index (CEI) provides a simple method of rating the relative acute health hazard potential to people in neighboring plants or communities from possible chemical release incidents. </t>
  </si>
  <si>
    <t>Health hazard, irritation factor</t>
  </si>
  <si>
    <t>Health hazard, chronic toxicity factor</t>
  </si>
  <si>
    <t>Safety hazard, mobility</t>
  </si>
  <si>
    <t>Safety hazard, fire/explosion</t>
  </si>
  <si>
    <t>Safety hazard, reaction / decomposition II</t>
  </si>
  <si>
    <t>Safety hazard, reaction / decomposition I</t>
  </si>
  <si>
    <t>Safety hazard, acute toxicity</t>
  </si>
  <si>
    <t>Fault tree assessment</t>
  </si>
  <si>
    <t>Specific toxic release</t>
  </si>
  <si>
    <t>Toxic release intensity</t>
  </si>
  <si>
    <t>Human health burden, cancer effects</t>
  </si>
  <si>
    <t>Environmental hazard, air hazard</t>
  </si>
  <si>
    <t>Environmental hazard, persistency of organic substances</t>
  </si>
  <si>
    <t>Environmental hazard, water hazard</t>
  </si>
  <si>
    <t>Environmental hazard, solid waste (inorganic pollutants)</t>
  </si>
  <si>
    <t>Environmental hazard, bioaccumulation (the food chain or in soil)</t>
  </si>
  <si>
    <t>Global warming potential</t>
  </si>
  <si>
    <t>Global warming intensity</t>
  </si>
  <si>
    <t>Stratospheric ozone-depletion potential</t>
  </si>
  <si>
    <t>Stratospheric ozone-depletion intensity</t>
  </si>
  <si>
    <t>Photochemical oxidation (smog) potential</t>
  </si>
  <si>
    <t>Photochemical oxidation (smog) intensity</t>
  </si>
  <si>
    <t>Atmospheric acidification potential</t>
  </si>
  <si>
    <t>Atmospheric acidification intensity</t>
  </si>
  <si>
    <t>Aquatic acidification potential</t>
  </si>
  <si>
    <t>Aquatic acidification intensity</t>
  </si>
  <si>
    <t>Aquatic basification potential</t>
  </si>
  <si>
    <t>Aquatic basification intensity</t>
  </si>
  <si>
    <t>Aquatic salinization potential</t>
  </si>
  <si>
    <t>Aquatic salinization intensity</t>
  </si>
  <si>
    <t>Aquatic oxygen demand potential</t>
  </si>
  <si>
    <t>Aquatic oxygen demand intensity</t>
  </si>
  <si>
    <t>Ecotoxicity to aquatic life potential</t>
  </si>
  <si>
    <t>Ecotoxicity to aquatic life intensity</t>
  </si>
  <si>
    <t>Ecotoxicity to aquatic life potential by metals</t>
  </si>
  <si>
    <t>Ecotoxicity to aquatic life intensity by metals</t>
  </si>
  <si>
    <t>Eutrophication potential</t>
  </si>
  <si>
    <t>Eutrophication potential intensity</t>
  </si>
  <si>
    <t>Specific emergy intensity</t>
  </si>
  <si>
    <t>Emergy intensity</t>
  </si>
  <si>
    <t>Environmental loading ratio</t>
  </si>
  <si>
    <t xml:space="preserve">Emergy yield ratio </t>
  </si>
  <si>
    <t>Emergy sustainability Index</t>
  </si>
  <si>
    <t>Breeding factor</t>
  </si>
  <si>
    <t>Renewability index</t>
  </si>
  <si>
    <t>Total solid waste mass</t>
  </si>
  <si>
    <t>Specific solid waste mass</t>
  </si>
  <si>
    <t>Solid waste mass for recovery</t>
  </si>
  <si>
    <t>Solid waste mass for disposal</t>
  </si>
  <si>
    <t>Recycling mass fraction</t>
  </si>
  <si>
    <t>Disposal mass fraction</t>
  </si>
  <si>
    <t>Hazardous solid waste mass fraction</t>
  </si>
  <si>
    <t>Total hazardous solid waste disposal</t>
  </si>
  <si>
    <t>Specific hazardous solid waste</t>
  </si>
  <si>
    <t>Total non-hazardous solid waste disposal</t>
  </si>
  <si>
    <t>Non-hazardous solid waste intensity</t>
  </si>
  <si>
    <t>Total volume of liquid waste</t>
  </si>
  <si>
    <t>Specific liquid waste volume</t>
  </si>
  <si>
    <t>Non-polluted  liquid waste volume</t>
  </si>
  <si>
    <t>Polluted  liquid waste volume</t>
  </si>
  <si>
    <t>ELR is the ratio of nonrenewable net  emergy from purchased resources and services to renewable net emergy flows.</t>
  </si>
  <si>
    <t xml:space="preserve">This is the total mass of releases as solid state. </t>
  </si>
  <si>
    <t>This is the fraction of the total solid waste mass that is recovered for reuse in the process</t>
  </si>
  <si>
    <t>This is the fraction of the total solid waste mass that can not be recovered for reuse</t>
  </si>
  <si>
    <t>This is the fraction of the total solid waste mass that can not be recovered for reuse and is considered a hazardous waste</t>
  </si>
  <si>
    <t>This is the amount of the total solid waste mass that can not be recovered for reuse and is considered a hazardous waste</t>
  </si>
  <si>
    <t>This is the ratio between the non-hazardous solid waste mass per unit mass of the valuable product</t>
  </si>
  <si>
    <t xml:space="preserve">This is the total volume of releases as liquid state. </t>
  </si>
  <si>
    <t>This is the total volume of releases as liquid state per unit mass of deisred products</t>
  </si>
  <si>
    <t>This is the amount of the total solid waste mass that can not be recovered for reuse and is considered a non-hazardous waste</t>
  </si>
  <si>
    <t>This is the amount of the total liquid waste that can not be recovered for reuse and is considered a hazarous waste</t>
  </si>
  <si>
    <t>This is the amount of the total liquid waste that can not be recovered for reuse and is considered a non-hazardous waste</t>
  </si>
  <si>
    <t>BFM is the ratio between the total emergy process outputs over the nonrenewable emergy in the process inputs.</t>
  </si>
  <si>
    <r>
      <t>EQ</t>
    </r>
    <r>
      <rPr>
        <sz val="12"/>
        <rFont val="Calibri"/>
        <family val="2"/>
        <scheme val="minor"/>
      </rPr>
      <t xml:space="preserve"> is a characterization of  the environmental unfriendliness of the produced waste. This is computed multiplying the</t>
    </r>
    <r>
      <rPr>
        <i/>
        <sz val="12"/>
        <rFont val="Calibri"/>
        <family val="2"/>
        <scheme val="minor"/>
      </rPr>
      <t xml:space="preserve"> E</t>
    </r>
    <r>
      <rPr>
        <sz val="12"/>
        <rFont val="Calibri"/>
        <family val="2"/>
        <scheme val="minor"/>
      </rPr>
      <t xml:space="preserve"> factor by the quotient </t>
    </r>
    <r>
      <rPr>
        <i/>
        <sz val="12"/>
        <rFont val="Calibri"/>
        <family val="2"/>
        <scheme val="minor"/>
      </rPr>
      <t>Q</t>
    </r>
    <r>
      <rPr>
        <sz val="12"/>
        <rFont val="Calibri"/>
        <family val="2"/>
        <scheme val="minor"/>
      </rPr>
      <t xml:space="preserve">. </t>
    </r>
    <r>
      <rPr>
        <i/>
        <sz val="12"/>
        <rFont val="Calibri"/>
        <family val="2"/>
        <scheme val="minor"/>
      </rPr>
      <t>Q</t>
    </r>
    <r>
      <rPr>
        <sz val="12"/>
        <rFont val="Calibri"/>
        <family val="2"/>
        <scheme val="minor"/>
      </rPr>
      <t xml:space="preserve"> is an arbitrarily assigned coefficient that can be 1 if the waste is innocuous, while for toxic material such as heavy metals, </t>
    </r>
    <r>
      <rPr>
        <i/>
        <sz val="12"/>
        <rFont val="Calibri"/>
        <family val="2"/>
        <scheme val="minor"/>
      </rPr>
      <t>Q</t>
    </r>
    <r>
      <rPr>
        <sz val="12"/>
        <rFont val="Calibri"/>
        <family val="2"/>
        <scheme val="minor"/>
      </rPr>
      <t xml:space="preserve"> could be a scalar between 100-1000. In case of heterogeneous multicomponent emissions is not possible to characterize it with just one </t>
    </r>
    <r>
      <rPr>
        <i/>
        <sz val="12"/>
        <rFont val="Calibri"/>
        <family val="2"/>
        <scheme val="minor"/>
      </rPr>
      <t>Q</t>
    </r>
    <r>
      <rPr>
        <sz val="12"/>
        <rFont val="Calibri"/>
        <family val="2"/>
        <scheme val="minor"/>
      </rPr>
      <t xml:space="preserve"> factor.</t>
    </r>
  </si>
  <si>
    <r>
      <rPr>
        <i/>
        <sz val="12"/>
        <rFont val="Calibri"/>
        <family val="2"/>
        <scheme val="minor"/>
      </rPr>
      <t>RI</t>
    </r>
    <r>
      <rPr>
        <sz val="12"/>
        <rFont val="Calibri"/>
        <family val="2"/>
        <scheme val="minor"/>
      </rPr>
      <t xml:space="preserve"> is the ratio of the consumption of renewable emergy to the total emergy supplied to the process. It lies between 0 and 1.</t>
    </r>
  </si>
  <si>
    <t xml:space="preserve">Toxicity to aquatic environment. This is the volume of limit concentration water release equivalents per unit mass of desired product </t>
  </si>
  <si>
    <t>Solid waste for disposal via landfill or wastewater. It is the total mass of inorganic dry solid waste.</t>
  </si>
  <si>
    <t>CAS Number</t>
  </si>
  <si>
    <t>Hazardous; no: 0, yes: 1</t>
  </si>
  <si>
    <t>67-56-1</t>
  </si>
  <si>
    <t>7664-38-2</t>
  </si>
  <si>
    <r>
      <t>N</t>
    </r>
    <r>
      <rPr>
        <vertAlign val="subscript"/>
        <sz val="12"/>
        <rFont val="Times New Roman"/>
        <family val="1"/>
      </rPr>
      <t>haz. mat.</t>
    </r>
    <r>
      <rPr>
        <sz val="12"/>
        <rFont val="Times New Roman"/>
        <family val="1"/>
      </rPr>
      <t>=Number of hazardous substances fed to the process</t>
    </r>
  </si>
  <si>
    <t>kg SO2 equivalent/time</t>
  </si>
  <si>
    <t>kg O2 equivalent/time</t>
  </si>
  <si>
    <t>kg PO43+ equivalent/time</t>
  </si>
  <si>
    <r>
      <t>CEC</t>
    </r>
    <r>
      <rPr>
        <sz val="12"/>
        <rFont val="Times New Roman"/>
        <family val="1"/>
      </rPr>
      <t xml:space="preserve">, </t>
    </r>
    <r>
      <rPr>
        <i/>
        <sz val="12"/>
        <rFont val="Times New Roman"/>
        <family val="1"/>
      </rPr>
      <t>B</t>
    </r>
    <r>
      <rPr>
        <sz val="12"/>
        <rFont val="Times New Roman"/>
        <family val="1"/>
      </rPr>
      <t xml:space="preserve">, </t>
    </r>
    <r>
      <rPr>
        <i/>
        <sz val="12"/>
        <rFont val="Times New Roman"/>
        <family val="1"/>
      </rPr>
      <t>S</t>
    </r>
    <r>
      <rPr>
        <sz val="12"/>
        <rFont val="Times New Roman"/>
        <family val="1"/>
      </rPr>
      <t xml:space="preserve">, </t>
    </r>
    <r>
      <rPr>
        <i/>
        <sz val="12"/>
        <rFont val="Times New Roman"/>
        <family val="1"/>
      </rPr>
      <t>H</t>
    </r>
    <r>
      <rPr>
        <sz val="12"/>
        <rFont val="Times New Roman"/>
        <family val="1"/>
      </rPr>
      <t>, and m flows</t>
    </r>
  </si>
  <si>
    <r>
      <t>ELR</t>
    </r>
    <r>
      <rPr>
        <sz val="12"/>
        <rFont val="Times New Roman"/>
        <family val="1"/>
      </rPr>
      <t xml:space="preserve"> and </t>
    </r>
    <r>
      <rPr>
        <i/>
        <sz val="12"/>
        <rFont val="Times New Roman"/>
        <family val="1"/>
      </rPr>
      <t>EYR</t>
    </r>
  </si>
  <si>
    <r>
      <t xml:space="preserve">Hazardous material list; </t>
    </r>
    <r>
      <rPr>
        <i/>
        <sz val="12"/>
        <rFont val="Times New Roman"/>
        <family val="1"/>
      </rPr>
      <t>m</t>
    </r>
    <r>
      <rPr>
        <sz val="12"/>
        <rFont val="Arial"/>
        <family val="2"/>
      </rPr>
      <t>•</t>
    </r>
    <r>
      <rPr>
        <sz val="10"/>
        <rFont val="Times New Roman"/>
        <family val="1"/>
      </rPr>
      <t>in, i</t>
    </r>
  </si>
  <si>
    <t>kg hazardous input/kg product</t>
  </si>
  <si>
    <t>TRI PBT List</t>
  </si>
  <si>
    <t>TRI PBT list</t>
  </si>
  <si>
    <t>n/a</t>
  </si>
  <si>
    <t>Global Warming Air (kg CO2 eq / kg substance)</t>
  </si>
  <si>
    <t>Ozone Depletion Air (kg CFC-11 eq / kg substance)</t>
  </si>
  <si>
    <t>7732-18-5</t>
  </si>
  <si>
    <t>MW, kg/kmol</t>
  </si>
  <si>
    <t>R-phrase</t>
  </si>
  <si>
    <t xml:space="preserve"> </t>
  </si>
  <si>
    <t>Piping release or vessel nozzle release</t>
  </si>
  <si>
    <t>(Liquid Release)</t>
  </si>
  <si>
    <t>(Gas Release)</t>
  </si>
  <si>
    <t>Ratio of Cp/Hv</t>
  </si>
  <si>
    <t>Gas Releases</t>
  </si>
  <si>
    <t>Airborne Gas Release (continuous assuming large inventory)</t>
  </si>
  <si>
    <t>kg/sec</t>
  </si>
  <si>
    <t>Test for duration of release</t>
  </si>
  <si>
    <t>Airborne Gas Release (inventory exhausted within 5 minutes)</t>
  </si>
  <si>
    <t>TEST FOR RELEASES &lt; 15 MINS</t>
  </si>
  <si>
    <t>Distance travel by ERPG2 concentration</t>
  </si>
  <si>
    <t>Metres</t>
  </si>
  <si>
    <t>Distance travel by ERPG3 concentration</t>
  </si>
  <si>
    <t>Maximum Release Duration</t>
  </si>
  <si>
    <t>Minutes</t>
  </si>
  <si>
    <t>Liquid Releases</t>
  </si>
  <si>
    <t>Liquid release rate L</t>
  </si>
  <si>
    <t>Release quantity (unlimited)</t>
  </si>
  <si>
    <t>Airborne Quantity produced by the flash</t>
  </si>
  <si>
    <t>Theoretical Potential Pool area</t>
  </si>
  <si>
    <t>Sq Metres</t>
  </si>
  <si>
    <t>Actual surface area for evaporation</t>
  </si>
  <si>
    <t>Characteristic pool temperature</t>
  </si>
  <si>
    <t>Deg C</t>
  </si>
  <si>
    <t>Quantity evaporating from pool</t>
  </si>
  <si>
    <t>Total Airborne Quantity</t>
  </si>
  <si>
    <t>Distance travel by ERPG2 concentration Metres</t>
  </si>
  <si>
    <t>Distance travel by ERPG3 concentration Metres</t>
  </si>
  <si>
    <t>Distance travel by ERPG2 concentration Metres (Liquid Release)</t>
  </si>
  <si>
    <t>Distance travel by ERPG2 concentration Metres (Gas Release)</t>
  </si>
  <si>
    <t>ERPG-3, mg/m^3</t>
  </si>
  <si>
    <r>
      <t xml:space="preserve">Process flow sheet; AQ: maximum airborne quantity, kg/s; ERPG-2: emergency response planning guidelines value, mg/m3; Pa=absolute pressure, kPa; Pg=gauge pressure, kPa; MW: molecular weight of the material, kmol/kg; T: temperature, K; T_b^°: normal boiling point temperature, K; D: diameter of the hole, assumed as 50.8 mm; L: liquid flow rate, kg/s; </t>
    </r>
    <r>
      <rPr>
        <sz val="12"/>
        <rFont val="Symbol"/>
        <family val="1"/>
        <charset val="2"/>
      </rPr>
      <t>r</t>
    </r>
    <r>
      <rPr>
        <sz val="12"/>
        <rFont val="Calibri"/>
        <family val="2"/>
        <scheme val="minor"/>
      </rPr>
      <t xml:space="preserve">l: density of the liquid at operating temperature, kg/m3; </t>
    </r>
    <r>
      <rPr>
        <sz val="12"/>
        <rFont val="Symbol"/>
        <family val="1"/>
        <charset val="2"/>
      </rPr>
      <t>D</t>
    </r>
    <r>
      <rPr>
        <sz val="12"/>
        <rFont val="Calibri"/>
        <family val="2"/>
        <scheme val="minor"/>
      </rPr>
      <t xml:space="preserve">h: height of the liquid above the release point, assumed as 1 m; WT: total liquid released, kg; Cp: average heat capacity of the liquid, kJ/(kg*℃); </t>
    </r>
    <r>
      <rPr>
        <sz val="12"/>
        <rFont val="Symbol"/>
        <family val="1"/>
        <charset val="2"/>
      </rPr>
      <t>D</t>
    </r>
    <r>
      <rPr>
        <sz val="12"/>
        <rFont val="Calibri"/>
        <family val="2"/>
        <scheme val="minor"/>
      </rPr>
      <t xml:space="preserve">Hv: enthalpy of vaporization, kJ/kg; Fv: the fraction of the liquid that will flash when released; AQf: The airborne quantity produced by the flash, kg/s; AQp: The airborne quantity evaporated from the pool surface, kg/s; Wp: the total mass of liquid entering the pool, kg; Ap: pool area, 1 m2; Pv: vapor pressure of the liquid at the characteristic pool temperature, kPa; Tp: pool temperature, 298 K </t>
    </r>
  </si>
  <si>
    <t>ECclass</t>
  </si>
  <si>
    <t>MAK, mg/m^3</t>
  </si>
  <si>
    <t>WGK</t>
  </si>
  <si>
    <t>Log Kow</t>
  </si>
  <si>
    <t>pH</t>
  </si>
  <si>
    <t>OECD28d, %</t>
  </si>
  <si>
    <t>LC50, mg/l</t>
  </si>
  <si>
    <t>LD50 oral, mg/kg</t>
  </si>
  <si>
    <t>LD50 dermal, mg/kg</t>
  </si>
  <si>
    <t>NFPA-f</t>
  </si>
  <si>
    <t>NFPA-r</t>
  </si>
  <si>
    <t>BCF</t>
  </si>
  <si>
    <t>Health hazard, irritation factor data</t>
  </si>
  <si>
    <t>Substance</t>
  </si>
  <si>
    <t>IndVal_i</t>
  </si>
  <si>
    <t xml:space="preserve">IndVal </t>
  </si>
  <si>
    <t>m•, kg/h</t>
  </si>
  <si>
    <t>Vt, irr. subst [m^3/h]</t>
  </si>
  <si>
    <t>m^3/kg</t>
  </si>
  <si>
    <t>Vt, irr. subst: Total volumetric flow of substances where direct contact must be avoided, m3/h; IndVali: index value of substance i PhysVali: physical value that means a hypothetical volume of irritating substance per mass of material i, m3/kg; ECclass: European community classification of dangerous substance code, Xi: irritants, C: Corrosive substances or preparations; Rcode: Risk phrases of European community; LD50 dermal: the individual dose required to kill 50% of a population of test animals administered dermally, mg/kg</t>
  </si>
  <si>
    <t>Vt, air polluted: Total volumetric flow of air polluted to a workplace threshold value, m3/h; PhysVali: physical value that means a hypothetical volume of air polluted to a workplace threshold value per mass of material i, m3/kg; MAK-CH: workplace threshold value, these values give the maximum concentration of a chemical substance in the workplace, mg/m3 air; ECclass: European community classification of dangerous substance code, Xn: harmful, T: toxic, T+: very toxic; GK: Swiss poison class; Rcode: Risk phrases of European community</t>
  </si>
  <si>
    <t>Health hazard, chronic toxicity factor data</t>
  </si>
  <si>
    <t>GK</t>
  </si>
  <si>
    <t>Vt, air polluted [m^3/h]</t>
  </si>
  <si>
    <t>Safety hazard, mobility data</t>
  </si>
  <si>
    <r>
      <rPr>
        <i/>
        <sz val="12"/>
        <color theme="1"/>
        <rFont val="Arial"/>
        <family val="2"/>
      </rPr>
      <t>Pv</t>
    </r>
    <r>
      <rPr>
        <sz val="12"/>
        <color theme="1"/>
        <rFont val="Arial"/>
        <family val="2"/>
      </rPr>
      <t xml:space="preserve"> i, bar @ 60 °C</t>
    </r>
  </si>
  <si>
    <r>
      <t xml:space="preserve">m•_(t,air released): Total mass flow released into air in case of failure, kg/h; P_(V i): partial pressure of pure component i at process temperature, bar;  </t>
    </r>
    <r>
      <rPr>
        <sz val="12"/>
        <rFont val="Symbol"/>
        <family val="1"/>
        <charset val="2"/>
      </rPr>
      <t>D</t>
    </r>
    <r>
      <rPr>
        <sz val="12"/>
        <rFont val="Calibri"/>
        <family val="2"/>
        <scheme val="minor"/>
      </rPr>
      <t>Tb: temperature difference between standard boiling point and process temperature, ?</t>
    </r>
  </si>
  <si>
    <t>Safety hazard, fire/explosion data</t>
  </si>
  <si>
    <r>
      <rPr>
        <sz val="12"/>
        <rFont val="Symbol"/>
        <family val="1"/>
        <charset val="2"/>
      </rPr>
      <t>D</t>
    </r>
    <r>
      <rPr>
        <i/>
        <sz val="12"/>
        <rFont val="Arial"/>
        <family val="2"/>
      </rPr>
      <t>Tflash</t>
    </r>
    <r>
      <rPr>
        <sz val="12"/>
        <rFont val="Arial"/>
        <family val="2"/>
      </rPr>
      <t>, °C</t>
    </r>
  </si>
  <si>
    <r>
      <rPr>
        <sz val="12"/>
        <rFont val="Symbol"/>
        <family val="1"/>
        <charset val="2"/>
      </rPr>
      <t>D</t>
    </r>
    <r>
      <rPr>
        <i/>
        <sz val="12"/>
        <rFont val="Arial"/>
        <family val="2"/>
      </rPr>
      <t>Hcombustion</t>
    </r>
    <r>
      <rPr>
        <sz val="12"/>
        <rFont val="Arial"/>
        <family val="2"/>
      </rPr>
      <t>, kJ/kg</t>
    </r>
  </si>
  <si>
    <t>kJ/kg prod</t>
  </si>
  <si>
    <r>
      <t xml:space="preserve"> Hc: combustion enthalpy, kJ/kg; </t>
    </r>
    <r>
      <rPr>
        <sz val="12"/>
        <rFont val="Symbol"/>
        <family val="1"/>
        <charset val="2"/>
      </rPr>
      <t>D</t>
    </r>
    <r>
      <rPr>
        <sz val="12"/>
        <rFont val="Calibri"/>
        <family val="2"/>
        <scheme val="minor"/>
      </rPr>
      <t>Tflash: temperature difference between the standard flash point and process temperature, °C; Rcode: Risk phrases of European community; NFPA-f: flammability hazard class according to the U.S. NFPA</t>
    </r>
  </si>
  <si>
    <t>Safety hazard, reaction/decomposition I data</t>
  </si>
  <si>
    <r>
      <rPr>
        <sz val="12"/>
        <rFont val="Symbol"/>
        <family val="1"/>
        <charset val="2"/>
      </rPr>
      <t>D</t>
    </r>
    <r>
      <rPr>
        <i/>
        <sz val="12"/>
        <rFont val="Arial"/>
        <family val="2"/>
      </rPr>
      <t>Tdecomp</t>
    </r>
    <r>
      <rPr>
        <sz val="12"/>
        <rFont val="Arial"/>
        <family val="2"/>
      </rPr>
      <t>, °C</t>
    </r>
  </si>
  <si>
    <t>PhysVal_i, kJ/kg</t>
  </si>
  <si>
    <t>P(i)</t>
  </si>
  <si>
    <t>Total # of components</t>
  </si>
  <si>
    <r>
      <t xml:space="preserve">NFPA-r: reactivity hazard class of US NFPA; Rcode: Risk phrases of European community; </t>
    </r>
    <r>
      <rPr>
        <sz val="12"/>
        <rFont val="Symbol"/>
        <family val="1"/>
        <charset val="2"/>
      </rPr>
      <t>D</t>
    </r>
    <r>
      <rPr>
        <sz val="12"/>
        <rFont val="Times New Roman"/>
        <family val="1"/>
      </rPr>
      <t>Tdec: difference between the decomposition (auto ignition) temperature and process temperature, °C</t>
    </r>
  </si>
  <si>
    <t>Safety hazard, reaction/decomposition II data</t>
  </si>
  <si>
    <r>
      <t>m</t>
    </r>
    <r>
      <rPr>
        <vertAlign val="superscript"/>
        <sz val="12"/>
        <rFont val="Calibri"/>
        <family val="2"/>
        <scheme val="minor"/>
      </rPr>
      <t>3</t>
    </r>
    <r>
      <rPr>
        <sz val="12"/>
        <rFont val="Calibri"/>
        <family val="2"/>
        <scheme val="minor"/>
      </rPr>
      <t>/kg</t>
    </r>
  </si>
  <si>
    <r>
      <t>"-</t>
    </r>
    <r>
      <rPr>
        <sz val="12"/>
        <rFont val="Symbol"/>
        <family val="1"/>
        <charset val="2"/>
      </rPr>
      <t>D</t>
    </r>
    <r>
      <rPr>
        <i/>
        <sz val="12"/>
        <rFont val="Arial"/>
        <family val="2"/>
      </rPr>
      <t>Hreaction</t>
    </r>
    <r>
      <rPr>
        <sz val="12"/>
        <rFont val="Arial"/>
        <family val="2"/>
      </rPr>
      <t>, kJ/kg"</t>
    </r>
  </si>
  <si>
    <r>
      <t>"-</t>
    </r>
    <r>
      <rPr>
        <sz val="12"/>
        <rFont val="Symbol"/>
        <family val="1"/>
        <charset val="2"/>
      </rPr>
      <t>D</t>
    </r>
    <r>
      <rPr>
        <sz val="12"/>
        <rFont val="Arial"/>
        <family val="2"/>
      </rPr>
      <t>Hdecomp, kJ/kg"</t>
    </r>
  </si>
  <si>
    <r>
      <t>"-</t>
    </r>
    <r>
      <rPr>
        <sz val="12"/>
        <rFont val="Symbol"/>
        <family val="1"/>
        <charset val="2"/>
      </rPr>
      <t>D</t>
    </r>
    <r>
      <rPr>
        <i/>
        <sz val="12"/>
        <rFont val="Arial"/>
        <family val="2"/>
      </rPr>
      <t>Hpotential</t>
    </r>
    <r>
      <rPr>
        <sz val="12"/>
        <rFont val="Arial"/>
        <family val="2"/>
      </rPr>
      <t>, kJ/kg"</t>
    </r>
  </si>
  <si>
    <r>
      <rPr>
        <sz val="11"/>
        <rFont val="Arial"/>
        <family val="2"/>
      </rPr>
      <t>Energy•</t>
    </r>
    <r>
      <rPr>
        <sz val="11"/>
        <rFont val="Calibri"/>
        <family val="2"/>
        <scheme val="minor"/>
      </rPr>
      <t>t, potential [kJ/h]</t>
    </r>
  </si>
  <si>
    <r>
      <t xml:space="preserve">Worst case </t>
    </r>
    <r>
      <rPr>
        <sz val="11"/>
        <rFont val="Arial"/>
        <family val="2"/>
      </rPr>
      <t>Energy•</t>
    </r>
    <r>
      <rPr>
        <sz val="11"/>
        <rFont val="Calibri"/>
        <family val="2"/>
        <scheme val="minor"/>
      </rPr>
      <t>t, potential [kJ/h]</t>
    </r>
  </si>
  <si>
    <r>
      <rPr>
        <sz val="12"/>
        <rFont val="Symbol"/>
        <family val="1"/>
        <charset val="2"/>
      </rPr>
      <t>D</t>
    </r>
    <r>
      <rPr>
        <sz val="12"/>
        <rFont val="Calibri"/>
        <family val="2"/>
        <scheme val="minor"/>
      </rPr>
      <t xml:space="preserve">Hdecomp: decomposition enthalpy, kJ/kg; </t>
    </r>
    <r>
      <rPr>
        <sz val="12"/>
        <rFont val="Symbol"/>
        <family val="1"/>
        <charset val="2"/>
      </rPr>
      <t>D</t>
    </r>
    <r>
      <rPr>
        <sz val="12"/>
        <rFont val="Calibri"/>
        <family val="2"/>
        <scheme val="minor"/>
      </rPr>
      <t>Hr: reaction enthalpy, kJ/kg; NFPA-r: reactivity hazard class according to the U.S. NFPA</t>
    </r>
  </si>
  <si>
    <t>Safety hazard, acute toxicity factor data</t>
  </si>
  <si>
    <t>IDLH, mg/m^3</t>
  </si>
  <si>
    <t>IDLH: Immediately dangerous to life and health concentarion, mg/m^3; ERPG-3: Emergency response planning guidelines value, mg/m3; ECclass: European community classification of dangerous substance code, Xn: harmful, T: toxic, T+: very toxic; GK: Swiss poison class; Rcode: Risk phrases of European community</t>
  </si>
  <si>
    <t>Specific toxic release data</t>
  </si>
  <si>
    <t>m•out, kg/h</t>
  </si>
  <si>
    <t>TRI Chemical List, yes=1 &amp; no=0</t>
  </si>
  <si>
    <t>m•out TRI, kg/h</t>
  </si>
  <si>
    <t>worst case value, kg/h</t>
  </si>
  <si>
    <r>
      <t>Product mass flow and cost, m</t>
    </r>
    <r>
      <rPr>
        <sz val="12"/>
        <rFont val="Arial"/>
        <family val="2"/>
      </rPr>
      <t>•</t>
    </r>
    <r>
      <rPr>
        <sz val="12"/>
        <rFont val="Times New Roman"/>
        <family val="1"/>
      </rPr>
      <t>product, Cproduct. m</t>
    </r>
    <r>
      <rPr>
        <sz val="12"/>
        <rFont val="Arial"/>
        <family val="2"/>
      </rPr>
      <t>•</t>
    </r>
    <r>
      <rPr>
        <i/>
        <sz val="12"/>
        <rFont val="Times New Roman"/>
        <family val="1"/>
      </rPr>
      <t>i</t>
    </r>
    <r>
      <rPr>
        <sz val="12"/>
        <rFont val="Times New Roman"/>
        <family val="1"/>
      </rPr>
      <t xml:space="preserve"> out, Sm </t>
    </r>
    <r>
      <rPr>
        <i/>
        <sz val="12"/>
        <rFont val="Times New Roman"/>
        <family val="1"/>
      </rPr>
      <t>i</t>
    </r>
  </si>
  <si>
    <t xml:space="preserve">Acrylamide </t>
  </si>
  <si>
    <t xml:space="preserve">Acrylonitrile </t>
  </si>
  <si>
    <t xml:space="preserve">107-13-1 </t>
  </si>
  <si>
    <t xml:space="preserve">Antimony &amp; compounds except stibine, as Sb </t>
  </si>
  <si>
    <t xml:space="preserve">7440-36-0 </t>
  </si>
  <si>
    <t xml:space="preserve">Arsenic &amp; compounds except arsine, as As </t>
  </si>
  <si>
    <t xml:space="preserve">7440-38-0 </t>
  </si>
  <si>
    <t xml:space="preserve">Azodicarbonate </t>
  </si>
  <si>
    <t xml:space="preserve">123-77-3 </t>
  </si>
  <si>
    <t xml:space="preserve">Benzene </t>
  </si>
  <si>
    <t xml:space="preserve">71-43-2 </t>
  </si>
  <si>
    <t xml:space="preserve">Berylium &amp; Compounds </t>
  </si>
  <si>
    <t xml:space="preserve">Bis (chloromethyl) ether </t>
  </si>
  <si>
    <t xml:space="preserve">542-88-1 </t>
  </si>
  <si>
    <t xml:space="preserve">Buta-1,3-diene </t>
  </si>
  <si>
    <t xml:space="preserve">106-99-0 </t>
  </si>
  <si>
    <t xml:space="preserve">Cadmium &amp; Compounds </t>
  </si>
  <si>
    <t xml:space="preserve">Cadmium oxide fume </t>
  </si>
  <si>
    <t xml:space="preserve">1306-19-0 </t>
  </si>
  <si>
    <t xml:space="preserve">Carbon disulphide </t>
  </si>
  <si>
    <t>136-23-6</t>
  </si>
  <si>
    <t xml:space="preserve">1-Chloro-2,3-epoxypropane </t>
  </si>
  <si>
    <t xml:space="preserve">106-89-8 </t>
  </si>
  <si>
    <t xml:space="preserve">Chromium (VI) compounds </t>
  </si>
  <si>
    <t xml:space="preserve">Cobalt &amp; Compounds </t>
  </si>
  <si>
    <t xml:space="preserve">Cotton dust </t>
  </si>
  <si>
    <t xml:space="preserve">1,2-dibromoethane </t>
  </si>
  <si>
    <t xml:space="preserve">1,2-dichloroethane </t>
  </si>
  <si>
    <t xml:space="preserve">107-06-2 </t>
  </si>
  <si>
    <t xml:space="preserve">Dichloromethane </t>
  </si>
  <si>
    <t xml:space="preserve">75-09-2 </t>
  </si>
  <si>
    <t xml:space="preserve">2-2’-Dichloro-4,4’-methylene dianiline (MbOCA) </t>
  </si>
  <si>
    <t xml:space="preserve">101-14-4 </t>
  </si>
  <si>
    <t xml:space="preserve">Diethyl sulphate </t>
  </si>
  <si>
    <t xml:space="preserve">64-67-5 </t>
  </si>
  <si>
    <t xml:space="preserve">Dimethyl sulphate </t>
  </si>
  <si>
    <t xml:space="preserve">77-78-1 </t>
  </si>
  <si>
    <t xml:space="preserve">2-Ethoxyethanol </t>
  </si>
  <si>
    <t xml:space="preserve">110-80-5 </t>
  </si>
  <si>
    <t xml:space="preserve">2-Ethoxyethyl acetate </t>
  </si>
  <si>
    <t xml:space="preserve">111-15-9 </t>
  </si>
  <si>
    <t xml:space="preserve">Ethylene oxide </t>
  </si>
  <si>
    <t xml:space="preserve">75-21-8 </t>
  </si>
  <si>
    <t xml:space="preserve">Formaldehyde </t>
  </si>
  <si>
    <t xml:space="preserve">50-00-0 </t>
  </si>
  <si>
    <t xml:space="preserve">Grain dust </t>
  </si>
  <si>
    <t xml:space="preserve">Hardwood dust </t>
  </si>
  <si>
    <t xml:space="preserve">Hydrazine </t>
  </si>
  <si>
    <t xml:space="preserve">30-07-2 </t>
  </si>
  <si>
    <t xml:space="preserve">Iodomethane </t>
  </si>
  <si>
    <t xml:space="preserve">74-88-4 </t>
  </si>
  <si>
    <t xml:space="preserve">Isocyanates, all </t>
  </si>
  <si>
    <t xml:space="preserve">Maleic anhydride </t>
  </si>
  <si>
    <t xml:space="preserve">108-31-6 </t>
  </si>
  <si>
    <t xml:space="preserve">Man-made mineral fibre </t>
  </si>
  <si>
    <t xml:space="preserve">2-Methoxyethanol </t>
  </si>
  <si>
    <t xml:space="preserve">109-86-4 </t>
  </si>
  <si>
    <t xml:space="preserve">2-Methoxyethyl acetate </t>
  </si>
  <si>
    <t xml:space="preserve">110-49-6 </t>
  </si>
  <si>
    <t xml:space="preserve">4-4’-methylenedianiline </t>
  </si>
  <si>
    <t xml:space="preserve">101-77-9 </t>
  </si>
  <si>
    <t xml:space="preserve">Nickel &amp; inorganic compounds </t>
  </si>
  <si>
    <t xml:space="preserve">2-Nitropropane </t>
  </si>
  <si>
    <t xml:space="preserve">79-46-9 </t>
  </si>
  <si>
    <t xml:space="preserve">Phthalic anhydride </t>
  </si>
  <si>
    <t xml:space="preserve">85-44-9 </t>
  </si>
  <si>
    <t xml:space="preserve">Polychlorinated biphenyls (PCB) </t>
  </si>
  <si>
    <t xml:space="preserve">1336-36-3 </t>
  </si>
  <si>
    <t xml:space="preserve">Propylene oxide </t>
  </si>
  <si>
    <t xml:space="preserve">75-56-9 </t>
  </si>
  <si>
    <t xml:space="preserve">Rubber fume </t>
  </si>
  <si>
    <t xml:space="preserve">Rubber process dust </t>
  </si>
  <si>
    <t xml:space="preserve">Silica respirable crystalline </t>
  </si>
  <si>
    <t xml:space="preserve">Softwood dust </t>
  </si>
  <si>
    <t xml:space="preserve">Triglycidyl isocyanurate (TGIC) </t>
  </si>
  <si>
    <t xml:space="preserve">2451-62-9 </t>
  </si>
  <si>
    <t xml:space="preserve">Trimellite anhydride </t>
  </si>
  <si>
    <t xml:space="preserve">552-30-7 </t>
  </si>
  <si>
    <t xml:space="preserve">Vinylidene chloride </t>
  </si>
  <si>
    <t xml:space="preserve">75-35-4 </t>
  </si>
  <si>
    <t xml:space="preserve">Wool process dust </t>
  </si>
  <si>
    <t>CAS #</t>
  </si>
  <si>
    <t xml:space="preserve">Styrene  </t>
  </si>
  <si>
    <t>100-42-5</t>
  </si>
  <si>
    <t>106-93-4</t>
  </si>
  <si>
    <t>79-06-1</t>
  </si>
  <si>
    <t>115-85-6</t>
  </si>
  <si>
    <t>Please introduce the CAS #</t>
  </si>
  <si>
    <t xml:space="preserve">PF value (0 if it is not found) </t>
  </si>
  <si>
    <t>Human health burden, cancer effects data</t>
  </si>
  <si>
    <t xml:space="preserve">Potency Factor, kg benzene/kg I (0 if it is not found) </t>
  </si>
  <si>
    <t>m•out Benzene equiv., kg/h</t>
  </si>
  <si>
    <t>worst case value, kg benzene equiv./h</t>
  </si>
  <si>
    <t>Environmental Hazard, persistency of organic substances data</t>
  </si>
  <si>
    <t>half-life</t>
  </si>
  <si>
    <t>half-life, days</t>
  </si>
  <si>
    <r>
      <t>m</t>
    </r>
    <r>
      <rPr>
        <sz val="11"/>
        <rFont val="Arial"/>
        <family val="2"/>
      </rPr>
      <t>•</t>
    </r>
    <r>
      <rPr>
        <sz val="11"/>
        <rFont val="Calibri"/>
        <family val="2"/>
        <scheme val="minor"/>
      </rPr>
      <t>, org. subst. released [kg/h]</t>
    </r>
  </si>
  <si>
    <r>
      <t>Product mass flow, m</t>
    </r>
    <r>
      <rPr>
        <sz val="12"/>
        <rFont val="Arial"/>
        <family val="2"/>
      </rPr>
      <t>•</t>
    </r>
    <r>
      <rPr>
        <sz val="12"/>
        <rFont val="Times New Roman"/>
        <family val="1"/>
      </rPr>
      <t>product; persistency, days; half-life, days; OECD28d, %; m</t>
    </r>
    <r>
      <rPr>
        <sz val="12"/>
        <rFont val="Arial"/>
        <family val="2"/>
      </rPr>
      <t>•</t>
    </r>
    <r>
      <rPr>
        <i/>
        <sz val="12"/>
        <rFont val="Times New Roman"/>
        <family val="1"/>
      </rPr>
      <t>i</t>
    </r>
    <r>
      <rPr>
        <sz val="12"/>
        <rFont val="Times New Roman"/>
        <family val="1"/>
      </rPr>
      <t xml:space="preserve"> out</t>
    </r>
  </si>
  <si>
    <t>See Inputs for Health hazard, Chronic toxicity</t>
  </si>
  <si>
    <t>Environmental Hazard, water hazard data</t>
  </si>
  <si>
    <t>nwg</t>
  </si>
  <si>
    <t>Vt, lim. conc. water release eq. [m^3/h]</t>
  </si>
  <si>
    <t>PhysVal_i, m^3/kg</t>
  </si>
  <si>
    <t>LC50: substance aqueous concentration that causes 50% mortality of fatheadminnow after 96 h, mg/L; Rcode risk phrase of European community codes; WGK: German water hazard class</t>
  </si>
  <si>
    <t>Environmental Hazard, solid waste data</t>
  </si>
  <si>
    <t>organic or water (yes=1 &amp; no=0)</t>
  </si>
  <si>
    <t xml:space="preserve">Solid state @ 25°C (yes=1 &amp; no=0) </t>
  </si>
  <si>
    <t>PhysVal_i, kg/kg</t>
  </si>
  <si>
    <r>
      <t>m</t>
    </r>
    <r>
      <rPr>
        <sz val="11"/>
        <rFont val="Arial"/>
        <family val="2"/>
      </rPr>
      <t>•</t>
    </r>
    <r>
      <rPr>
        <sz val="11"/>
        <rFont val="Calibri"/>
        <family val="2"/>
        <scheme val="minor"/>
      </rPr>
      <t>, inorganic solid waste released [kg/h]</t>
    </r>
  </si>
  <si>
    <t xml:space="preserve">ouput mass flows; physical state </t>
  </si>
  <si>
    <t>Environmental Hazard, bioaccumulation data</t>
  </si>
  <si>
    <t>Log BCF</t>
  </si>
  <si>
    <t>ouput mass flows; bioconcentration factor, BCF; water partition coefficient, Kow</t>
  </si>
  <si>
    <t>Global warming potential data</t>
  </si>
  <si>
    <t>m•out CO2 equiv., kg/h</t>
  </si>
  <si>
    <t>worst case value, kg CO2 equiv./h</t>
  </si>
  <si>
    <t>kg CO2 equivalent/kg prod</t>
  </si>
  <si>
    <r>
      <t>Product mass flow and cost, m</t>
    </r>
    <r>
      <rPr>
        <sz val="12"/>
        <rFont val="Arial"/>
        <family val="2"/>
      </rPr>
      <t>•</t>
    </r>
    <r>
      <rPr>
        <sz val="12"/>
        <rFont val="Times New Roman"/>
        <family val="1"/>
      </rPr>
      <t>product, Cproduct. m</t>
    </r>
    <r>
      <rPr>
        <sz val="12"/>
        <rFont val="Arial"/>
        <family val="2"/>
      </rPr>
      <t>•</t>
    </r>
    <r>
      <rPr>
        <i/>
        <sz val="12"/>
        <rFont val="Times New Roman"/>
        <family val="1"/>
      </rPr>
      <t>i</t>
    </r>
    <r>
      <rPr>
        <sz val="12"/>
        <rFont val="Times New Roman"/>
        <family val="1"/>
      </rPr>
      <t xml:space="preserve"> out, Sm </t>
    </r>
    <r>
      <rPr>
        <i/>
        <sz val="12"/>
        <rFont val="Times New Roman"/>
        <family val="1"/>
      </rPr>
      <t xml:space="preserve">i, </t>
    </r>
    <r>
      <rPr>
        <sz val="12"/>
        <rFont val="Times New Roman"/>
        <family val="1"/>
      </rPr>
      <t>PF</t>
    </r>
    <r>
      <rPr>
        <i/>
        <sz val="12"/>
        <rFont val="Times New Roman"/>
        <family val="1"/>
      </rPr>
      <t xml:space="preserve">i </t>
    </r>
    <r>
      <rPr>
        <sz val="12"/>
        <rFont val="Times New Roman"/>
        <family val="1"/>
      </rPr>
      <t>Benzene</t>
    </r>
  </si>
  <si>
    <r>
      <t>Product mass flow and cost, m</t>
    </r>
    <r>
      <rPr>
        <sz val="12"/>
        <rFont val="Arial"/>
        <family val="2"/>
      </rPr>
      <t>•</t>
    </r>
    <r>
      <rPr>
        <sz val="12"/>
        <rFont val="Times New Roman"/>
        <family val="1"/>
      </rPr>
      <t>product, Cproduct; m</t>
    </r>
    <r>
      <rPr>
        <sz val="12"/>
        <rFont val="Arial"/>
        <family val="2"/>
      </rPr>
      <t>•</t>
    </r>
    <r>
      <rPr>
        <i/>
        <sz val="12"/>
        <rFont val="Times New Roman"/>
        <family val="1"/>
      </rPr>
      <t>i</t>
    </r>
    <r>
      <rPr>
        <sz val="12"/>
        <rFont val="Times New Roman"/>
        <family val="1"/>
      </rPr>
      <t xml:space="preserve"> out, Sm </t>
    </r>
    <r>
      <rPr>
        <i/>
        <sz val="12"/>
        <rFont val="Times New Roman"/>
        <family val="1"/>
      </rPr>
      <t xml:space="preserve">i, </t>
    </r>
    <r>
      <rPr>
        <sz val="12"/>
        <rFont val="Times New Roman"/>
        <family val="1"/>
      </rPr>
      <t>PF</t>
    </r>
    <r>
      <rPr>
        <i/>
        <sz val="12"/>
        <rFont val="Times New Roman"/>
        <family val="1"/>
      </rPr>
      <t xml:space="preserve">i </t>
    </r>
    <r>
      <rPr>
        <sz val="12"/>
        <rFont val="Times New Roman"/>
        <family val="1"/>
      </rPr>
      <t>CO2</t>
    </r>
  </si>
  <si>
    <r>
      <t>Product mass flow and cost, m</t>
    </r>
    <r>
      <rPr>
        <sz val="12"/>
        <rFont val="Arial"/>
        <family val="2"/>
      </rPr>
      <t>•</t>
    </r>
    <r>
      <rPr>
        <sz val="12"/>
        <rFont val="Times New Roman"/>
        <family val="1"/>
      </rPr>
      <t>product, m</t>
    </r>
    <r>
      <rPr>
        <sz val="12"/>
        <rFont val="Arial"/>
        <family val="2"/>
      </rPr>
      <t>•</t>
    </r>
    <r>
      <rPr>
        <i/>
        <sz val="12"/>
        <rFont val="Times New Roman"/>
        <family val="1"/>
      </rPr>
      <t>i</t>
    </r>
    <r>
      <rPr>
        <sz val="12"/>
        <rFont val="Times New Roman"/>
        <family val="1"/>
      </rPr>
      <t xml:space="preserve"> out, Sm </t>
    </r>
    <r>
      <rPr>
        <i/>
        <sz val="12"/>
        <rFont val="Times New Roman"/>
        <family val="1"/>
      </rPr>
      <t xml:space="preserve">i, </t>
    </r>
    <r>
      <rPr>
        <sz val="12"/>
        <rFont val="Times New Roman"/>
        <family val="1"/>
      </rPr>
      <t>PF</t>
    </r>
    <r>
      <rPr>
        <i/>
        <sz val="12"/>
        <rFont val="Times New Roman"/>
        <family val="1"/>
      </rPr>
      <t xml:space="preserve">i </t>
    </r>
    <r>
      <rPr>
        <sz val="12"/>
        <rFont val="Times New Roman"/>
        <family val="1"/>
      </rPr>
      <t>CO2</t>
    </r>
  </si>
  <si>
    <t>kg CO2 equivalent/$</t>
  </si>
  <si>
    <t>Stratospheric ozone-depletion potential data</t>
  </si>
  <si>
    <r>
      <t xml:space="preserve">Potency Factor, kg CFC-11/kg </t>
    </r>
    <r>
      <rPr>
        <i/>
        <sz val="12"/>
        <color theme="1"/>
        <rFont val="Arial"/>
        <family val="2"/>
      </rPr>
      <t>i</t>
    </r>
    <r>
      <rPr>
        <sz val="12"/>
        <color theme="1"/>
        <rFont val="Arial"/>
        <family val="2"/>
      </rPr>
      <t xml:space="preserve"> (0 if it is not found) </t>
    </r>
  </si>
  <si>
    <r>
      <t xml:space="preserve">Potency Factor, kg CO2/kg </t>
    </r>
    <r>
      <rPr>
        <i/>
        <sz val="12"/>
        <color theme="1"/>
        <rFont val="Arial"/>
        <family val="2"/>
      </rPr>
      <t>i</t>
    </r>
    <r>
      <rPr>
        <sz val="12"/>
        <color theme="1"/>
        <rFont val="Arial"/>
        <family val="2"/>
      </rPr>
      <t xml:space="preserve"> (0 if it is not found) </t>
    </r>
  </si>
  <si>
    <t>m•out CFC-11 equiv., kg/h</t>
  </si>
  <si>
    <t>worst case value, kg CFC-11 equiv./h</t>
  </si>
  <si>
    <r>
      <t>Product mass flow and cost, m</t>
    </r>
    <r>
      <rPr>
        <sz val="12"/>
        <rFont val="Arial"/>
        <family val="2"/>
      </rPr>
      <t>•</t>
    </r>
    <r>
      <rPr>
        <sz val="12"/>
        <rFont val="Times New Roman"/>
        <family val="1"/>
      </rPr>
      <t>product, m</t>
    </r>
    <r>
      <rPr>
        <sz val="12"/>
        <rFont val="Arial"/>
        <family val="2"/>
      </rPr>
      <t>•</t>
    </r>
    <r>
      <rPr>
        <i/>
        <sz val="12"/>
        <rFont val="Times New Roman"/>
        <family val="1"/>
      </rPr>
      <t>i</t>
    </r>
    <r>
      <rPr>
        <sz val="12"/>
        <rFont val="Times New Roman"/>
        <family val="1"/>
      </rPr>
      <t xml:space="preserve"> out, Sm </t>
    </r>
    <r>
      <rPr>
        <i/>
        <sz val="12"/>
        <rFont val="Times New Roman"/>
        <family val="1"/>
      </rPr>
      <t xml:space="preserve">i, </t>
    </r>
    <r>
      <rPr>
        <sz val="12"/>
        <rFont val="Times New Roman"/>
        <family val="1"/>
      </rPr>
      <t>PF</t>
    </r>
    <r>
      <rPr>
        <i/>
        <sz val="12"/>
        <rFont val="Times New Roman"/>
        <family val="1"/>
      </rPr>
      <t xml:space="preserve">i </t>
    </r>
    <r>
      <rPr>
        <sz val="12"/>
        <rFont val="Times New Roman"/>
        <family val="1"/>
      </rPr>
      <t>CFC-11</t>
    </r>
  </si>
  <si>
    <r>
      <t>Product mass flow and cost, m</t>
    </r>
    <r>
      <rPr>
        <sz val="12"/>
        <rFont val="Arial"/>
        <family val="2"/>
      </rPr>
      <t>•</t>
    </r>
    <r>
      <rPr>
        <sz val="12"/>
        <rFont val="Times New Roman"/>
        <family val="1"/>
      </rPr>
      <t>product, Cproduct; m</t>
    </r>
    <r>
      <rPr>
        <sz val="12"/>
        <rFont val="Arial"/>
        <family val="2"/>
      </rPr>
      <t>•</t>
    </r>
    <r>
      <rPr>
        <i/>
        <sz val="12"/>
        <rFont val="Times New Roman"/>
        <family val="1"/>
      </rPr>
      <t>i</t>
    </r>
    <r>
      <rPr>
        <sz val="12"/>
        <rFont val="Times New Roman"/>
        <family val="1"/>
      </rPr>
      <t xml:space="preserve"> out, Sm </t>
    </r>
    <r>
      <rPr>
        <i/>
        <sz val="12"/>
        <rFont val="Times New Roman"/>
        <family val="1"/>
      </rPr>
      <t xml:space="preserve">i, </t>
    </r>
    <r>
      <rPr>
        <sz val="12"/>
        <rFont val="Times New Roman"/>
        <family val="1"/>
      </rPr>
      <t>PF</t>
    </r>
    <r>
      <rPr>
        <i/>
        <sz val="12"/>
        <rFont val="Times New Roman"/>
        <family val="1"/>
      </rPr>
      <t xml:space="preserve">i </t>
    </r>
    <r>
      <rPr>
        <sz val="12"/>
        <rFont val="Times New Roman"/>
        <family val="1"/>
      </rPr>
      <t>CFC-11</t>
    </r>
  </si>
  <si>
    <t>kg CFC-11 equivalent/kg prod</t>
  </si>
  <si>
    <t>kg CFC-11 equivalent/$</t>
  </si>
  <si>
    <t>Photochemical oxidation (smog) potential data</t>
  </si>
  <si>
    <r>
      <t xml:space="preserve">Potency Factor, kg ethylene/kg </t>
    </r>
    <r>
      <rPr>
        <i/>
        <sz val="12"/>
        <color theme="1"/>
        <rFont val="Arial"/>
        <family val="2"/>
      </rPr>
      <t>i</t>
    </r>
    <r>
      <rPr>
        <sz val="12"/>
        <color theme="1"/>
        <rFont val="Arial"/>
        <family val="2"/>
      </rPr>
      <t xml:space="preserve"> (0 if it is not found) </t>
    </r>
  </si>
  <si>
    <t>m•out ethylene equiv., kg/h</t>
  </si>
  <si>
    <t>worst case value, kg ethylene equiv./h</t>
  </si>
  <si>
    <t xml:space="preserve">Methane </t>
  </si>
  <si>
    <t>74-82-8</t>
  </si>
  <si>
    <t>Ethane</t>
  </si>
  <si>
    <t>74-84-0</t>
  </si>
  <si>
    <t xml:space="preserve">Propane </t>
  </si>
  <si>
    <t>74-98-6</t>
  </si>
  <si>
    <t>n-Butane</t>
  </si>
  <si>
    <t>106-97-8</t>
  </si>
  <si>
    <t>i-Butane</t>
  </si>
  <si>
    <t>75-28-5</t>
  </si>
  <si>
    <t>n-Pentane</t>
  </si>
  <si>
    <t>109-66-0</t>
  </si>
  <si>
    <t xml:space="preserve">i-Pentane </t>
  </si>
  <si>
    <t>78-78-4</t>
  </si>
  <si>
    <t xml:space="preserve">n-Hexane </t>
  </si>
  <si>
    <t>110-54-3</t>
  </si>
  <si>
    <t xml:space="preserve">2-Methylpentane </t>
  </si>
  <si>
    <t>107-83-5</t>
  </si>
  <si>
    <t xml:space="preserve">3-Methylpentane </t>
  </si>
  <si>
    <t>96-14-0</t>
  </si>
  <si>
    <t xml:space="preserve">2,2-Dimethylbutane </t>
  </si>
  <si>
    <t>75-83-2</t>
  </si>
  <si>
    <t xml:space="preserve">2,3-Dimethylbutane </t>
  </si>
  <si>
    <t>79-29-8</t>
  </si>
  <si>
    <t xml:space="preserve">n-heptane </t>
  </si>
  <si>
    <t>142-82-5</t>
  </si>
  <si>
    <t xml:space="preserve">2-Methylhexane </t>
  </si>
  <si>
    <t>591-76-4</t>
  </si>
  <si>
    <t xml:space="preserve">3-Methylhexane </t>
  </si>
  <si>
    <t>589.34-4</t>
  </si>
  <si>
    <t xml:space="preserve">n-Octane </t>
  </si>
  <si>
    <t>111-65-9</t>
  </si>
  <si>
    <t xml:space="preserve">2-Methylheptane </t>
  </si>
  <si>
    <t>592-27-8</t>
  </si>
  <si>
    <t xml:space="preserve">n-Nonane </t>
  </si>
  <si>
    <t>111-84-2</t>
  </si>
  <si>
    <t xml:space="preserve">2-Methyloctane </t>
  </si>
  <si>
    <t>3221-61-2</t>
  </si>
  <si>
    <t xml:space="preserve">n-Decane </t>
  </si>
  <si>
    <t>124-18-5</t>
  </si>
  <si>
    <t xml:space="preserve">2-Methylnonane </t>
  </si>
  <si>
    <t>871-83-0</t>
  </si>
  <si>
    <t xml:space="preserve">n-Undecane </t>
  </si>
  <si>
    <t>1120-21-4</t>
  </si>
  <si>
    <t xml:space="preserve">n-Dodecane </t>
  </si>
  <si>
    <t>112-40-3</t>
  </si>
  <si>
    <t xml:space="preserve">Cyclohexane </t>
  </si>
  <si>
    <t>110-82-7</t>
  </si>
  <si>
    <t xml:space="preserve">Methyl cyclohexane </t>
  </si>
  <si>
    <t>108-87-2</t>
  </si>
  <si>
    <t xml:space="preserve">Ethylene </t>
  </si>
  <si>
    <t>74-85-1</t>
  </si>
  <si>
    <t xml:space="preserve">Propylene </t>
  </si>
  <si>
    <t>115-07-1</t>
  </si>
  <si>
    <t xml:space="preserve">1-Butene </t>
  </si>
  <si>
    <t>106-98-9</t>
  </si>
  <si>
    <t xml:space="preserve">2-Butene </t>
  </si>
  <si>
    <t>107-01-7</t>
  </si>
  <si>
    <t xml:space="preserve">2-Pentene </t>
  </si>
  <si>
    <t>109-68-2</t>
  </si>
  <si>
    <t xml:space="preserve">1-Pentene </t>
  </si>
  <si>
    <t>109.67-1</t>
  </si>
  <si>
    <t xml:space="preserve">2-Methylbut-1-ene </t>
  </si>
  <si>
    <t>26760-64-5</t>
  </si>
  <si>
    <t xml:space="preserve">3-Methylbut-1-ene </t>
  </si>
  <si>
    <t>563-45-1</t>
  </si>
  <si>
    <t xml:space="preserve">2-Methylbut-2-ene </t>
  </si>
  <si>
    <t> 513-35-9</t>
  </si>
  <si>
    <t xml:space="preserve">Butylene </t>
  </si>
  <si>
    <t>9003-28-5</t>
  </si>
  <si>
    <t xml:space="preserve">Isoprene </t>
  </si>
  <si>
    <t>78-79-5</t>
  </si>
  <si>
    <t xml:space="preserve">Styrene </t>
  </si>
  <si>
    <t>9003-53-6</t>
  </si>
  <si>
    <t xml:space="preserve">Acetylene </t>
  </si>
  <si>
    <t>74-86-2</t>
  </si>
  <si>
    <t>71-43-2</t>
  </si>
  <si>
    <t xml:space="preserve">Toluene </t>
  </si>
  <si>
    <t>108-88-3</t>
  </si>
  <si>
    <t xml:space="preserve">o- Xylene </t>
  </si>
  <si>
    <t>95-47-6</t>
  </si>
  <si>
    <t xml:space="preserve">m-Xylene </t>
  </si>
  <si>
    <t>108-38-3</t>
  </si>
  <si>
    <t xml:space="preserve">p- Xylene </t>
  </si>
  <si>
    <t>106-42-3</t>
  </si>
  <si>
    <t xml:space="preserve">Ethylbenzene </t>
  </si>
  <si>
    <t>100-41-4</t>
  </si>
  <si>
    <t xml:space="preserve">n-Propylbenzene </t>
  </si>
  <si>
    <t>103-65-1</t>
  </si>
  <si>
    <t xml:space="preserve">i-Propylbenzene </t>
  </si>
  <si>
    <t>98-82-8</t>
  </si>
  <si>
    <t xml:space="preserve">1,2,3-Trimethylbenzene </t>
  </si>
  <si>
    <t>526-73-8</t>
  </si>
  <si>
    <t xml:space="preserve">1,2,4- Trimethylbenzene </t>
  </si>
  <si>
    <t>95-63-6</t>
  </si>
  <si>
    <t xml:space="preserve">1,3,5- Trimethylbenzene </t>
  </si>
  <si>
    <t>108-67-8</t>
  </si>
  <si>
    <t xml:space="preserve">o-Ethyltoluene </t>
  </si>
  <si>
    <t>611-14-3</t>
  </si>
  <si>
    <t xml:space="preserve">m-Ethyltoluene </t>
  </si>
  <si>
    <t>620-14-4</t>
  </si>
  <si>
    <t xml:space="preserve">p-Ethyltoluene </t>
  </si>
  <si>
    <t>622-96-8</t>
  </si>
  <si>
    <t xml:space="preserve">3,5-Dimethylethylbenzene </t>
  </si>
  <si>
    <t>29224-55-3</t>
  </si>
  <si>
    <t xml:space="preserve">3,5-Diethyltoluene </t>
  </si>
  <si>
    <t>25550-13-4</t>
  </si>
  <si>
    <t xml:space="preserve">Formalhyde </t>
  </si>
  <si>
    <t>50-00-0</t>
  </si>
  <si>
    <t xml:space="preserve">Acetaldehyde </t>
  </si>
  <si>
    <t>75-07-0</t>
  </si>
  <si>
    <t xml:space="preserve">Propionaldehyde </t>
  </si>
  <si>
    <t>123-38-6</t>
  </si>
  <si>
    <t xml:space="preserve">Butyraldehyde </t>
  </si>
  <si>
    <t>123-72-8</t>
  </si>
  <si>
    <t xml:space="preserve">i-Butyraldehyde </t>
  </si>
  <si>
    <t>78-84-2</t>
  </si>
  <si>
    <t xml:space="preserve">Valeraldehyde </t>
  </si>
  <si>
    <t>110-62-3</t>
  </si>
  <si>
    <t xml:space="preserve">Benzaldehyde </t>
  </si>
  <si>
    <t>100-52-7</t>
  </si>
  <si>
    <t xml:space="preserve">Acetone </t>
  </si>
  <si>
    <t>67-64-1</t>
  </si>
  <si>
    <t xml:space="preserve">Methylethylketone </t>
  </si>
  <si>
    <t>78-93-3</t>
  </si>
  <si>
    <t xml:space="preserve">Methyl-i-butylketone </t>
  </si>
  <si>
    <t>108-10-1</t>
  </si>
  <si>
    <t xml:space="preserve">Cyclohexanone </t>
  </si>
  <si>
    <t>108-94-1</t>
  </si>
  <si>
    <t xml:space="preserve">Methyl alcohol </t>
  </si>
  <si>
    <t xml:space="preserve">Ethyl alcohol </t>
  </si>
  <si>
    <t>64-17-5</t>
  </si>
  <si>
    <t xml:space="preserve">i-Propanol </t>
  </si>
  <si>
    <t>67-63-0</t>
  </si>
  <si>
    <t xml:space="preserve">n-Butanol </t>
  </si>
  <si>
    <t>71-36-3</t>
  </si>
  <si>
    <t xml:space="preserve">i-Butanol </t>
  </si>
  <si>
    <t>78-83-1</t>
  </si>
  <si>
    <t xml:space="preserve">s-Butanol </t>
  </si>
  <si>
    <t>78-92-2</t>
  </si>
  <si>
    <t xml:space="preserve">t-Butanol </t>
  </si>
  <si>
    <t>75-65-0</t>
  </si>
  <si>
    <t xml:space="preserve">Diacetone alcohol </t>
  </si>
  <si>
    <t>123-42-2</t>
  </si>
  <si>
    <t xml:space="preserve">Cyclohexanol </t>
  </si>
  <si>
    <t>108-93-0</t>
  </si>
  <si>
    <t xml:space="preserve">Methyl acetate </t>
  </si>
  <si>
    <t>79-20-9</t>
  </si>
  <si>
    <t xml:space="preserve">Ethyl acetate </t>
  </si>
  <si>
    <t>141-78-6</t>
  </si>
  <si>
    <t xml:space="preserve">n-Propyl acetate </t>
  </si>
  <si>
    <t>109-60-4</t>
  </si>
  <si>
    <t xml:space="preserve">i-Propyl acetate </t>
  </si>
  <si>
    <t>108-21-4</t>
  </si>
  <si>
    <t xml:space="preserve">n-Butyl acetate </t>
  </si>
  <si>
    <t>123-86-4</t>
  </si>
  <si>
    <t xml:space="preserve">s-Butyl acetate </t>
  </si>
  <si>
    <t>105-46-4</t>
  </si>
  <si>
    <t xml:space="preserve">Formic acid </t>
  </si>
  <si>
    <t>64-18-6</t>
  </si>
  <si>
    <t xml:space="preserve">Acetic acid </t>
  </si>
  <si>
    <t>64-19-7</t>
  </si>
  <si>
    <t xml:space="preserve">Propionic acid </t>
  </si>
  <si>
    <t>79-09-4</t>
  </si>
  <si>
    <t xml:space="preserve">Butyl glycol </t>
  </si>
  <si>
    <t>111-76-2</t>
  </si>
  <si>
    <t xml:space="preserve">Propylene glycol methyl ether </t>
  </si>
  <si>
    <t>107-98-2</t>
  </si>
  <si>
    <t xml:space="preserve">Dimethyl ether </t>
  </si>
  <si>
    <t>115-10-6</t>
  </si>
  <si>
    <t xml:space="preserve">Methyl- t -butyl ether </t>
  </si>
  <si>
    <t>1634-04-4</t>
  </si>
  <si>
    <t xml:space="preserve">Methyl chloride </t>
  </si>
  <si>
    <t>74-87-3</t>
  </si>
  <si>
    <t xml:space="preserve">Methylene chloride </t>
  </si>
  <si>
    <t>75-09-2</t>
  </si>
  <si>
    <t xml:space="preserve">Methylchloroform </t>
  </si>
  <si>
    <t>71-55-6</t>
  </si>
  <si>
    <t xml:space="preserve">Tetrachloroethylene </t>
  </si>
  <si>
    <t>127-18-4</t>
  </si>
  <si>
    <t xml:space="preserve">Trichloroethylene </t>
  </si>
  <si>
    <t>79-01-6</t>
  </si>
  <si>
    <t xml:space="preserve">Vinyl chloride </t>
  </si>
  <si>
    <t>75-01-4</t>
  </si>
  <si>
    <t xml:space="preserve">1,1-Dichloroethylene </t>
  </si>
  <si>
    <t>75-35-4</t>
  </si>
  <si>
    <t xml:space="preserve">cis 1,2- Dichloroethylene </t>
  </si>
  <si>
    <t>156-59-2</t>
  </si>
  <si>
    <t xml:space="preserve">trans 1,2- Dichloroethylene </t>
  </si>
  <si>
    <t>156-60-5</t>
  </si>
  <si>
    <t xml:space="preserve">Nitric oxide </t>
  </si>
  <si>
    <t>10102-43-9</t>
  </si>
  <si>
    <t xml:space="preserve">Nitrogen dioxide </t>
  </si>
  <si>
    <t>10102-44-0</t>
  </si>
  <si>
    <t xml:space="preserve">Sulphur dioxide </t>
  </si>
  <si>
    <t xml:space="preserve">Carbon monoxide </t>
  </si>
  <si>
    <t>630-08-0</t>
  </si>
  <si>
    <t>7446-09-5</t>
  </si>
  <si>
    <t xml:space="preserve">Potency Factor, kg ethylene/kg i (0 if it is not found) </t>
  </si>
  <si>
    <r>
      <t>Product mass flow and cost, m</t>
    </r>
    <r>
      <rPr>
        <sz val="12"/>
        <rFont val="Arial"/>
        <family val="2"/>
      </rPr>
      <t>•</t>
    </r>
    <r>
      <rPr>
        <sz val="12"/>
        <rFont val="Times New Roman"/>
        <family val="1"/>
      </rPr>
      <t>product, Cproduct; m</t>
    </r>
    <r>
      <rPr>
        <sz val="12"/>
        <rFont val="Arial"/>
        <family val="2"/>
      </rPr>
      <t>•</t>
    </r>
    <r>
      <rPr>
        <i/>
        <sz val="12"/>
        <rFont val="Times New Roman"/>
        <family val="1"/>
      </rPr>
      <t>i</t>
    </r>
    <r>
      <rPr>
        <sz val="12"/>
        <rFont val="Times New Roman"/>
        <family val="1"/>
      </rPr>
      <t xml:space="preserve"> out, Sm </t>
    </r>
    <r>
      <rPr>
        <i/>
        <sz val="12"/>
        <rFont val="Times New Roman"/>
        <family val="1"/>
      </rPr>
      <t xml:space="preserve">i, </t>
    </r>
    <r>
      <rPr>
        <sz val="12"/>
        <rFont val="Times New Roman"/>
        <family val="1"/>
      </rPr>
      <t>PF</t>
    </r>
    <r>
      <rPr>
        <i/>
        <sz val="12"/>
        <rFont val="Times New Roman"/>
        <family val="1"/>
      </rPr>
      <t xml:space="preserve">i </t>
    </r>
    <r>
      <rPr>
        <sz val="12"/>
        <rFont val="Times New Roman"/>
        <family val="1"/>
      </rPr>
      <t>Ethylene</t>
    </r>
  </si>
  <si>
    <r>
      <t>Product mass flow and cost, m</t>
    </r>
    <r>
      <rPr>
        <sz val="12"/>
        <rFont val="Arial"/>
        <family val="2"/>
      </rPr>
      <t>•</t>
    </r>
    <r>
      <rPr>
        <sz val="12"/>
        <rFont val="Times New Roman"/>
        <family val="1"/>
      </rPr>
      <t>product, m</t>
    </r>
    <r>
      <rPr>
        <sz val="12"/>
        <rFont val="Arial"/>
        <family val="2"/>
      </rPr>
      <t>•</t>
    </r>
    <r>
      <rPr>
        <i/>
        <sz val="12"/>
        <rFont val="Times New Roman"/>
        <family val="1"/>
      </rPr>
      <t>i</t>
    </r>
    <r>
      <rPr>
        <sz val="12"/>
        <rFont val="Times New Roman"/>
        <family val="1"/>
      </rPr>
      <t xml:space="preserve"> out, Sm </t>
    </r>
    <r>
      <rPr>
        <i/>
        <sz val="12"/>
        <rFont val="Times New Roman"/>
        <family val="1"/>
      </rPr>
      <t xml:space="preserve">i, </t>
    </r>
    <r>
      <rPr>
        <sz val="12"/>
        <rFont val="Times New Roman"/>
        <family val="1"/>
      </rPr>
      <t>PF</t>
    </r>
    <r>
      <rPr>
        <i/>
        <sz val="12"/>
        <rFont val="Times New Roman"/>
        <family val="1"/>
      </rPr>
      <t xml:space="preserve">i </t>
    </r>
    <r>
      <rPr>
        <sz val="12"/>
        <rFont val="Times New Roman"/>
        <family val="1"/>
      </rPr>
      <t>Ethylene</t>
    </r>
  </si>
  <si>
    <t>kg Ethylene equivalent/kg prod</t>
  </si>
  <si>
    <t>kg Ethylene equivalent/$</t>
  </si>
  <si>
    <t>Atmospheric acidification potential data</t>
  </si>
  <si>
    <r>
      <t xml:space="preserve">Potency Factor, kg SO2/kg </t>
    </r>
    <r>
      <rPr>
        <i/>
        <sz val="12"/>
        <color theme="1"/>
        <rFont val="Arial"/>
        <family val="2"/>
      </rPr>
      <t>i</t>
    </r>
    <r>
      <rPr>
        <sz val="12"/>
        <color theme="1"/>
        <rFont val="Arial"/>
        <family val="2"/>
      </rPr>
      <t xml:space="preserve"> (0 if it is not found) </t>
    </r>
  </si>
  <si>
    <t>worst case value, kg SO2 equiv./h</t>
  </si>
  <si>
    <t xml:space="preserve">Potency Factor, kg SO2/kg i (0 if it is not found) </t>
  </si>
  <si>
    <t>SO2</t>
  </si>
  <si>
    <t>Ammonia</t>
  </si>
  <si>
    <t>7664-41-7</t>
  </si>
  <si>
    <t>HCl</t>
  </si>
  <si>
    <t>7647-01-0</t>
  </si>
  <si>
    <t>HF</t>
  </si>
  <si>
    <t>7664-39-3</t>
  </si>
  <si>
    <t>NO2</t>
  </si>
  <si>
    <t>H2SO4 mist</t>
  </si>
  <si>
    <t>7664-93-9</t>
  </si>
  <si>
    <t>m•out SO2 equiv., kg/h</t>
  </si>
  <si>
    <r>
      <t>Product mass flow and cost, m</t>
    </r>
    <r>
      <rPr>
        <sz val="12"/>
        <rFont val="Arial"/>
        <family val="2"/>
      </rPr>
      <t>•</t>
    </r>
    <r>
      <rPr>
        <sz val="12"/>
        <rFont val="Times New Roman"/>
        <family val="1"/>
      </rPr>
      <t>product, m</t>
    </r>
    <r>
      <rPr>
        <sz val="12"/>
        <rFont val="Arial"/>
        <family val="2"/>
      </rPr>
      <t>•</t>
    </r>
    <r>
      <rPr>
        <i/>
        <sz val="12"/>
        <rFont val="Times New Roman"/>
        <family val="1"/>
      </rPr>
      <t>i</t>
    </r>
    <r>
      <rPr>
        <sz val="12"/>
        <rFont val="Times New Roman"/>
        <family val="1"/>
      </rPr>
      <t xml:space="preserve"> out, Sm </t>
    </r>
    <r>
      <rPr>
        <i/>
        <sz val="12"/>
        <rFont val="Times New Roman"/>
        <family val="1"/>
      </rPr>
      <t xml:space="preserve">i, </t>
    </r>
    <r>
      <rPr>
        <sz val="12"/>
        <rFont val="Times New Roman"/>
        <family val="1"/>
      </rPr>
      <t>PF</t>
    </r>
    <r>
      <rPr>
        <i/>
        <sz val="12"/>
        <rFont val="Times New Roman"/>
        <family val="1"/>
      </rPr>
      <t xml:space="preserve">i </t>
    </r>
    <r>
      <rPr>
        <sz val="12"/>
        <rFont val="Times New Roman"/>
        <family val="1"/>
      </rPr>
      <t>SO2</t>
    </r>
  </si>
  <si>
    <r>
      <t>Product mass flow and cost, m</t>
    </r>
    <r>
      <rPr>
        <sz val="12"/>
        <rFont val="Arial"/>
        <family val="2"/>
      </rPr>
      <t>•</t>
    </r>
    <r>
      <rPr>
        <sz val="12"/>
        <rFont val="Times New Roman"/>
        <family val="1"/>
      </rPr>
      <t>product, Cproduct; m</t>
    </r>
    <r>
      <rPr>
        <sz val="12"/>
        <rFont val="Arial"/>
        <family val="2"/>
      </rPr>
      <t>•</t>
    </r>
    <r>
      <rPr>
        <i/>
        <sz val="12"/>
        <rFont val="Times New Roman"/>
        <family val="1"/>
      </rPr>
      <t>i</t>
    </r>
    <r>
      <rPr>
        <sz val="12"/>
        <rFont val="Times New Roman"/>
        <family val="1"/>
      </rPr>
      <t xml:space="preserve"> out, Sm </t>
    </r>
    <r>
      <rPr>
        <i/>
        <sz val="12"/>
        <rFont val="Times New Roman"/>
        <family val="1"/>
      </rPr>
      <t xml:space="preserve">i, </t>
    </r>
    <r>
      <rPr>
        <sz val="12"/>
        <rFont val="Times New Roman"/>
        <family val="1"/>
      </rPr>
      <t>PF</t>
    </r>
    <r>
      <rPr>
        <i/>
        <sz val="12"/>
        <rFont val="Times New Roman"/>
        <family val="1"/>
      </rPr>
      <t xml:space="preserve">i </t>
    </r>
    <r>
      <rPr>
        <sz val="12"/>
        <rFont val="Times New Roman"/>
        <family val="1"/>
      </rPr>
      <t>SO2</t>
    </r>
  </si>
  <si>
    <t>kg SO2 equivalent/$</t>
  </si>
  <si>
    <t>PF Acidification water (kg H+ moles eq / kg substance)</t>
  </si>
  <si>
    <t># of H+ ions released</t>
  </si>
  <si>
    <t>Aquatic acidification potential data</t>
  </si>
  <si>
    <t>m•out kg H+ moles eq, kg/h</t>
  </si>
  <si>
    <t>worst case value, kg H+ moles equiv./h</t>
  </si>
  <si>
    <r>
      <t>Product mass flow and cost, m</t>
    </r>
    <r>
      <rPr>
        <sz val="12"/>
        <rFont val="Arial"/>
        <family val="2"/>
      </rPr>
      <t>•</t>
    </r>
    <r>
      <rPr>
        <sz val="12"/>
        <rFont val="Times New Roman"/>
        <family val="1"/>
      </rPr>
      <t>product, m</t>
    </r>
    <r>
      <rPr>
        <sz val="12"/>
        <rFont val="Arial"/>
        <family val="2"/>
      </rPr>
      <t>•</t>
    </r>
    <r>
      <rPr>
        <i/>
        <sz val="12"/>
        <rFont val="Times New Roman"/>
        <family val="1"/>
      </rPr>
      <t>i</t>
    </r>
    <r>
      <rPr>
        <sz val="12"/>
        <rFont val="Times New Roman"/>
        <family val="1"/>
      </rPr>
      <t xml:space="preserve"> out, Sm </t>
    </r>
    <r>
      <rPr>
        <i/>
        <sz val="12"/>
        <rFont val="Times New Roman"/>
        <family val="1"/>
      </rPr>
      <t xml:space="preserve">i, </t>
    </r>
    <r>
      <rPr>
        <sz val="12"/>
        <rFont val="Times New Roman"/>
        <family val="1"/>
      </rPr>
      <t>PF</t>
    </r>
    <r>
      <rPr>
        <i/>
        <sz val="12"/>
        <rFont val="Times New Roman"/>
        <family val="1"/>
      </rPr>
      <t xml:space="preserve">i </t>
    </r>
    <r>
      <rPr>
        <sz val="12"/>
        <rFont val="Times New Roman"/>
        <family val="1"/>
      </rPr>
      <t>H+</t>
    </r>
  </si>
  <si>
    <t>kg H+ equivalent/time</t>
  </si>
  <si>
    <t>kg H+ equivalent/$</t>
  </si>
  <si>
    <t>Aquatic basification potential data</t>
  </si>
  <si>
    <t>PF basification water (kg OH- moles eq / kg substance)</t>
  </si>
  <si>
    <t>m•out kg OH- moles eq, kg/h</t>
  </si>
  <si>
    <t>worst case value, kg OH- moles equiv./h</t>
  </si>
  <si>
    <t># of OH- ions released</t>
  </si>
  <si>
    <t>PF Basification water (kg OH- moles eq / kg substance)</t>
  </si>
  <si>
    <r>
      <t>Product mass flow and cost, m</t>
    </r>
    <r>
      <rPr>
        <sz val="12"/>
        <rFont val="Arial"/>
        <family val="2"/>
      </rPr>
      <t>•</t>
    </r>
    <r>
      <rPr>
        <sz val="12"/>
        <rFont val="Times New Roman"/>
        <family val="1"/>
      </rPr>
      <t>product, m</t>
    </r>
    <r>
      <rPr>
        <sz val="12"/>
        <rFont val="Arial"/>
        <family val="2"/>
      </rPr>
      <t>•</t>
    </r>
    <r>
      <rPr>
        <i/>
        <sz val="12"/>
        <rFont val="Times New Roman"/>
        <family val="1"/>
      </rPr>
      <t>i</t>
    </r>
    <r>
      <rPr>
        <sz val="12"/>
        <rFont val="Times New Roman"/>
        <family val="1"/>
      </rPr>
      <t xml:space="preserve"> out, Sm </t>
    </r>
    <r>
      <rPr>
        <i/>
        <sz val="12"/>
        <rFont val="Times New Roman"/>
        <family val="1"/>
      </rPr>
      <t xml:space="preserve">i, </t>
    </r>
    <r>
      <rPr>
        <sz val="12"/>
        <rFont val="Times New Roman"/>
        <family val="1"/>
      </rPr>
      <t>PF</t>
    </r>
    <r>
      <rPr>
        <i/>
        <sz val="12"/>
        <rFont val="Times New Roman"/>
        <family val="1"/>
      </rPr>
      <t xml:space="preserve">i </t>
    </r>
    <r>
      <rPr>
        <sz val="12"/>
        <rFont val="Times New Roman"/>
        <family val="1"/>
      </rPr>
      <t>OH-</t>
    </r>
  </si>
  <si>
    <t>PF salinization water (kg salt-forming ions moles eq / kg substance)</t>
  </si>
  <si>
    <t>Aquatic salinization potential data</t>
  </si>
  <si>
    <t>m•out salt-forming ions moles eq, kg/h</t>
  </si>
  <si>
    <t>worst case value, salt-forming ions moles equiv./h</t>
  </si>
  <si>
    <r>
      <t>Product mass flow and cost, m</t>
    </r>
    <r>
      <rPr>
        <sz val="12"/>
        <rFont val="Arial"/>
        <family val="2"/>
      </rPr>
      <t>•</t>
    </r>
    <r>
      <rPr>
        <sz val="12"/>
        <rFont val="Times New Roman"/>
        <family val="1"/>
      </rPr>
      <t>product, m</t>
    </r>
    <r>
      <rPr>
        <sz val="12"/>
        <rFont val="Arial"/>
        <family val="2"/>
      </rPr>
      <t>•</t>
    </r>
    <r>
      <rPr>
        <i/>
        <sz val="12"/>
        <rFont val="Times New Roman"/>
        <family val="1"/>
      </rPr>
      <t>i</t>
    </r>
    <r>
      <rPr>
        <sz val="12"/>
        <rFont val="Times New Roman"/>
        <family val="1"/>
      </rPr>
      <t xml:space="preserve"> out, Sm </t>
    </r>
    <r>
      <rPr>
        <i/>
        <sz val="12"/>
        <rFont val="Times New Roman"/>
        <family val="1"/>
      </rPr>
      <t xml:space="preserve">i, </t>
    </r>
    <r>
      <rPr>
        <sz val="12"/>
        <rFont val="Times New Roman"/>
        <family val="1"/>
      </rPr>
      <t>PF</t>
    </r>
    <r>
      <rPr>
        <i/>
        <sz val="12"/>
        <rFont val="Times New Roman"/>
        <family val="1"/>
      </rPr>
      <t>i</t>
    </r>
    <r>
      <rPr>
        <sz val="12"/>
        <rFont val="Times New Roman"/>
        <family val="1"/>
      </rPr>
      <t xml:space="preserve"> Salt-forming ion</t>
    </r>
  </si>
  <si>
    <t>kg OH- released/$</t>
  </si>
  <si>
    <t>kg  Salt-forming ion equivalent/time</t>
  </si>
  <si>
    <t>kg  Salt-forming ion equivalent/$</t>
  </si>
  <si>
    <t>Aquatic oxygen demand potential data</t>
  </si>
  <si>
    <t>67-6-1</t>
  </si>
  <si>
    <t xml:space="preserve">Ammonium nitrate in solution </t>
  </si>
  <si>
    <t>6484-52-2</t>
  </si>
  <si>
    <t xml:space="preserve">Ammonium sulphate in solution </t>
  </si>
  <si>
    <t>7783-20-2</t>
  </si>
  <si>
    <t xml:space="preserve">Chlorotrifluoroethane </t>
  </si>
  <si>
    <t>431-07-2</t>
  </si>
  <si>
    <t xml:space="preserve">1,2 – Dichloroethane (EDC) </t>
  </si>
  <si>
    <t>107-06-2</t>
  </si>
  <si>
    <t xml:space="preserve">Ethylene glycol </t>
  </si>
  <si>
    <t>107-21-1</t>
  </si>
  <si>
    <t xml:space="preserve">Ferrous ion </t>
  </si>
  <si>
    <t>15438-31-0</t>
  </si>
  <si>
    <t xml:space="preserve">Methanol </t>
  </si>
  <si>
    <t xml:space="preserve">Methyl methacrylate </t>
  </si>
  <si>
    <t>80-62-6</t>
  </si>
  <si>
    <t xml:space="preserve">Methylene Chloride </t>
  </si>
  <si>
    <t xml:space="preserve">Phenol </t>
  </si>
  <si>
    <t>108-95-2</t>
  </si>
  <si>
    <t># of C</t>
  </si>
  <si>
    <t># of H</t>
  </si>
  <si>
    <t># of N</t>
  </si>
  <si>
    <t># of Cl</t>
  </si>
  <si>
    <t># of Na</t>
  </si>
  <si>
    <t># of O</t>
  </si>
  <si>
    <t># of P</t>
  </si>
  <si>
    <t># of S</t>
  </si>
  <si>
    <t>PF Stoichiometric Oxygen demand kg O2 / kg</t>
  </si>
  <si>
    <t>PF Stoichiometric Oxygen demand kg O2 / kg substance)</t>
  </si>
  <si>
    <t>m•out Oxygen demand kg O2, kg/h</t>
  </si>
  <si>
    <t>worst case value, Oxygen demand kg O2/h</t>
  </si>
  <si>
    <r>
      <t>Product mass flow and cost, m</t>
    </r>
    <r>
      <rPr>
        <sz val="12"/>
        <rFont val="Arial"/>
        <family val="2"/>
      </rPr>
      <t>•</t>
    </r>
    <r>
      <rPr>
        <sz val="12"/>
        <rFont val="Times New Roman"/>
        <family val="1"/>
      </rPr>
      <t>product, m</t>
    </r>
    <r>
      <rPr>
        <sz val="12"/>
        <rFont val="Arial"/>
        <family val="2"/>
      </rPr>
      <t>•</t>
    </r>
    <r>
      <rPr>
        <i/>
        <sz val="12"/>
        <rFont val="Times New Roman"/>
        <family val="1"/>
      </rPr>
      <t>i</t>
    </r>
    <r>
      <rPr>
        <sz val="12"/>
        <rFont val="Times New Roman"/>
        <family val="1"/>
      </rPr>
      <t xml:space="preserve"> out, Sm </t>
    </r>
    <r>
      <rPr>
        <i/>
        <sz val="12"/>
        <rFont val="Times New Roman"/>
        <family val="1"/>
      </rPr>
      <t xml:space="preserve">i, </t>
    </r>
    <r>
      <rPr>
        <sz val="12"/>
        <rFont val="Times New Roman"/>
        <family val="1"/>
      </rPr>
      <t>PF</t>
    </r>
    <r>
      <rPr>
        <i/>
        <sz val="12"/>
        <rFont val="Times New Roman"/>
        <family val="1"/>
      </rPr>
      <t>i</t>
    </r>
    <r>
      <rPr>
        <sz val="12"/>
        <rFont val="Times New Roman"/>
        <family val="1"/>
      </rPr>
      <t xml:space="preserve"> Stoichiometric O2 demand</t>
    </r>
  </si>
  <si>
    <t>kg O2 equivalent/$</t>
  </si>
  <si>
    <t>1,1,1-Trichloroethane</t>
  </si>
  <si>
    <t>79-00-5</t>
  </si>
  <si>
    <t>1,1,2-Trichloroethane</t>
  </si>
  <si>
    <t>1,2-Dichloroethane</t>
  </si>
  <si>
    <t>94-75-7</t>
  </si>
  <si>
    <t>2,4-D ((2,4-Dichlorophenoxy)acetic Acid)</t>
  </si>
  <si>
    <t>120-83-2</t>
  </si>
  <si>
    <t>2,4-Dichlorophenol</t>
  </si>
  <si>
    <t>95-57-8</t>
  </si>
  <si>
    <t>2-Chlorophenol</t>
  </si>
  <si>
    <t>108-43-0</t>
  </si>
  <si>
    <t>3-Chlorophenol</t>
  </si>
  <si>
    <t>59-50-7</t>
  </si>
  <si>
    <t>4-Chloro-3-methylphenol</t>
  </si>
  <si>
    <t>106-48-9</t>
  </si>
  <si>
    <t>4-Chlorophenol</t>
  </si>
  <si>
    <t>71751-41-2</t>
  </si>
  <si>
    <t>Abamectin</t>
  </si>
  <si>
    <t>15972-60-8</t>
  </si>
  <si>
    <t>Alachlor</t>
  </si>
  <si>
    <t>309-00-2</t>
  </si>
  <si>
    <t>Aldrin</t>
  </si>
  <si>
    <t>7440-38-2</t>
  </si>
  <si>
    <t>Arsenic</t>
  </si>
  <si>
    <t>1912-24-9</t>
  </si>
  <si>
    <t>Atrazine</t>
  </si>
  <si>
    <t>35575-96-3</t>
  </si>
  <si>
    <t>Azamethiphos</t>
  </si>
  <si>
    <t>86-50-0</t>
  </si>
  <si>
    <t>Azinphos-methyl</t>
  </si>
  <si>
    <t>85-68-7</t>
  </si>
  <si>
    <t>BBP (Butyl Benzyl Phthalate)</t>
  </si>
  <si>
    <t>25057-89-0</t>
  </si>
  <si>
    <t>Bentazone</t>
  </si>
  <si>
    <t>Benzene</t>
  </si>
  <si>
    <t>92-52-4</t>
  </si>
  <si>
    <t>Biphenyl</t>
  </si>
  <si>
    <t>7440-42-8</t>
  </si>
  <si>
    <t>Boron</t>
  </si>
  <si>
    <t>7726-95-6</t>
  </si>
  <si>
    <t>Bromine</t>
  </si>
  <si>
    <t>1689-84-5</t>
  </si>
  <si>
    <t>Bromoxynil</t>
  </si>
  <si>
    <t>85535-84-8</t>
  </si>
  <si>
    <t>C10-C13 Chloroalkanes</t>
  </si>
  <si>
    <t>7440-43-9</t>
  </si>
  <si>
    <t>Cadmium</t>
  </si>
  <si>
    <t>10605-21-7</t>
  </si>
  <si>
    <t>Carbendazim</t>
  </si>
  <si>
    <t>470-90-6</t>
  </si>
  <si>
    <t>Chlorfenvinphos</t>
  </si>
  <si>
    <t>16887-00-6</t>
  </si>
  <si>
    <t>Chloride</t>
  </si>
  <si>
    <t>7782-50-5</t>
  </si>
  <si>
    <t>Chlorine</t>
  </si>
  <si>
    <t>67-66-3</t>
  </si>
  <si>
    <t>Chloroform</t>
  </si>
  <si>
    <t>25567-68-4</t>
  </si>
  <si>
    <t>Chloronitrotoluenes</t>
  </si>
  <si>
    <t>1897-45-6</t>
  </si>
  <si>
    <t>Chlorothalonil</t>
  </si>
  <si>
    <t>15545-48-9</t>
  </si>
  <si>
    <t>Chlorotoluron</t>
  </si>
  <si>
    <t>101-21-3</t>
  </si>
  <si>
    <t>Chlorpropham</t>
  </si>
  <si>
    <t>2921-88-2</t>
  </si>
  <si>
    <t>Chlorpyrifos</t>
  </si>
  <si>
    <t>7440-47-3</t>
  </si>
  <si>
    <t>Chromium</t>
  </si>
  <si>
    <t>7440-48-4</t>
  </si>
  <si>
    <t>Cobalt</t>
  </si>
  <si>
    <t>7440-50-8</t>
  </si>
  <si>
    <t>Copper</t>
  </si>
  <si>
    <t>56-72-4</t>
  </si>
  <si>
    <t>Coumaphos</t>
  </si>
  <si>
    <t>57-12-5</t>
  </si>
  <si>
    <t>68359-37-5</t>
  </si>
  <si>
    <t>Cyfluthrin</t>
  </si>
  <si>
    <t>52315-07-8</t>
  </si>
  <si>
    <t>Cypermethrin</t>
  </si>
  <si>
    <t>84-74-2</t>
  </si>
  <si>
    <t>DBP (Dibutyl Phthalate)</t>
  </si>
  <si>
    <t>DDT (Dichlorodiphenyltrichloroethane)</t>
  </si>
  <si>
    <t>117-81-7</t>
  </si>
  <si>
    <t>8065-48-3</t>
  </si>
  <si>
    <t>Demetons</t>
  </si>
  <si>
    <t>84-66-2</t>
  </si>
  <si>
    <t>DEP (Diethyl Phthalate)</t>
  </si>
  <si>
    <t>333-41-5</t>
  </si>
  <si>
    <t>Diazinon</t>
  </si>
  <si>
    <t>25321-22-6</t>
  </si>
  <si>
    <t>Dichlorobenzene</t>
  </si>
  <si>
    <t>Dichloromethane</t>
  </si>
  <si>
    <t>62-73-7</t>
  </si>
  <si>
    <t>Dichlorvos</t>
  </si>
  <si>
    <t>60-57-1</t>
  </si>
  <si>
    <t>Dieldrin</t>
  </si>
  <si>
    <t>35367-38-5</t>
  </si>
  <si>
    <t>Diflubenzuron</t>
  </si>
  <si>
    <t>60-51-5</t>
  </si>
  <si>
    <t>Dimethoate</t>
  </si>
  <si>
    <t>330-54-1</t>
  </si>
  <si>
    <t>Diuron</t>
  </si>
  <si>
    <t>131-11-3</t>
  </si>
  <si>
    <t>DMP (Dimethyl Phthalate)</t>
  </si>
  <si>
    <t>DOPs (Dioctyl Phthalates)</t>
  </si>
  <si>
    <t>117704-25-3</t>
  </si>
  <si>
    <t>Doramectin</t>
  </si>
  <si>
    <t>60-00-4</t>
  </si>
  <si>
    <t>EDTA (Edetic Acid)</t>
  </si>
  <si>
    <t>115-29-7</t>
  </si>
  <si>
    <t>Endosulfan</t>
  </si>
  <si>
    <t>72-20-8</t>
  </si>
  <si>
    <t>Endrin</t>
  </si>
  <si>
    <t>Ethylbenzene</t>
  </si>
  <si>
    <t>299-84-3</t>
  </si>
  <si>
    <t>Fenchlorphos</t>
  </si>
  <si>
    <t>122-14-5</t>
  </si>
  <si>
    <t>Fenitrothion</t>
  </si>
  <si>
    <t>370-50-3</t>
  </si>
  <si>
    <t>Flucofuron</t>
  </si>
  <si>
    <t>206-44-0</t>
  </si>
  <si>
    <t>Fluoranthene</t>
  </si>
  <si>
    <t>16984-48-8</t>
  </si>
  <si>
    <t>Fluoride</t>
  </si>
  <si>
    <t>Formaldehyde</t>
  </si>
  <si>
    <t>118-74-1</t>
  </si>
  <si>
    <t>Hexachlorobenzene</t>
  </si>
  <si>
    <t>87-68-3</t>
  </si>
  <si>
    <t>Hexachlorobutadiene</t>
  </si>
  <si>
    <t>608-73-1</t>
  </si>
  <si>
    <t>Hexachlorocyclohexane</t>
  </si>
  <si>
    <t>Hydrogen Sulphide</t>
  </si>
  <si>
    <t>1689-83-4</t>
  </si>
  <si>
    <t>Ioxynil</t>
  </si>
  <si>
    <t>7439-89-6</t>
  </si>
  <si>
    <t>Iron</t>
  </si>
  <si>
    <t>465-73-6</t>
  </si>
  <si>
    <t>Isodrin</t>
  </si>
  <si>
    <t>34123-59-6</t>
  </si>
  <si>
    <t>Isoproturon</t>
  </si>
  <si>
    <t>70288-86-7</t>
  </si>
  <si>
    <t>Ivermectin</t>
  </si>
  <si>
    <t>7439-92-1</t>
  </si>
  <si>
    <t>Lead</t>
  </si>
  <si>
    <t>330-55-2</t>
  </si>
  <si>
    <t>Linuron</t>
  </si>
  <si>
    <t>2437-29-8</t>
  </si>
  <si>
    <t>Malachite Green</t>
  </si>
  <si>
    <t>121-75-5</t>
  </si>
  <si>
    <t>Malathion</t>
  </si>
  <si>
    <t>Mancozeb</t>
  </si>
  <si>
    <t>12427-38-2</t>
  </si>
  <si>
    <t>Maneb</t>
  </si>
  <si>
    <t>7439-96-5</t>
  </si>
  <si>
    <t>Manganese</t>
  </si>
  <si>
    <t>94-74-6</t>
  </si>
  <si>
    <t>MCPA ((4-Chloro-2-methylphenoxy)acetic Acid)</t>
  </si>
  <si>
    <t>93-65-2</t>
  </si>
  <si>
    <t>Mecoprop</t>
  </si>
  <si>
    <t>7439-97-6</t>
  </si>
  <si>
    <t>Mercury</t>
  </si>
  <si>
    <t>2032-65-7</t>
  </si>
  <si>
    <t>Methiocarb</t>
  </si>
  <si>
    <t>91-20-3</t>
  </si>
  <si>
    <t>Naphthalene</t>
  </si>
  <si>
    <t>7440-02-0</t>
  </si>
  <si>
    <t>Nickel</t>
  </si>
  <si>
    <t>25154-52-3</t>
  </si>
  <si>
    <t>Nonylphenol</t>
  </si>
  <si>
    <t>139-13-9</t>
  </si>
  <si>
    <t>NTA (Nitrilotriacetic Acid)</t>
  </si>
  <si>
    <t>1806-26-4</t>
  </si>
  <si>
    <t>Octylphenol</t>
  </si>
  <si>
    <t>1113-02-6</t>
  </si>
  <si>
    <t>Omethoate</t>
  </si>
  <si>
    <t>50-29-3</t>
  </si>
  <si>
    <t>40487-42-1</t>
  </si>
  <si>
    <t>Pendimethalin</t>
  </si>
  <si>
    <t>32534-81-9</t>
  </si>
  <si>
    <t>penta-BDPE (Pentabromodiphenyl Ether)</t>
  </si>
  <si>
    <t>87-86-5</t>
  </si>
  <si>
    <t>Pentachlorophenol</t>
  </si>
  <si>
    <t>52645-53-1</t>
  </si>
  <si>
    <t>Permethrin</t>
  </si>
  <si>
    <t>Phenol</t>
  </si>
  <si>
    <t>23103-98-2</t>
  </si>
  <si>
    <t>Pirimicarb</t>
  </si>
  <si>
    <t>29232-93-7</t>
  </si>
  <si>
    <t>Pirimiphos-methyl</t>
  </si>
  <si>
    <t>67747-09-5</t>
  </si>
  <si>
    <t>Prochloraz</t>
  </si>
  <si>
    <t>31218-83-4</t>
  </si>
  <si>
    <t>Propetamphos</t>
  </si>
  <si>
    <t>23950-58-5</t>
  </si>
  <si>
    <t>Propyzamide</t>
  </si>
  <si>
    <t>7440-22-4</t>
  </si>
  <si>
    <t>Silver</t>
  </si>
  <si>
    <t>122-34-9</t>
  </si>
  <si>
    <t>Simazine</t>
  </si>
  <si>
    <t>Styrene</t>
  </si>
  <si>
    <t>Sulcofuron</t>
  </si>
  <si>
    <t>14808-79-8</t>
  </si>
  <si>
    <t>Sulphate</t>
  </si>
  <si>
    <t>117-18-0</t>
  </si>
  <si>
    <t>Tecnazene</t>
  </si>
  <si>
    <t>Tetrachloroethene (Perchloroethene)</t>
  </si>
  <si>
    <t>56-23-5</t>
  </si>
  <si>
    <t>Tetrachloromethane (Carbon Tetrachloride)</t>
  </si>
  <si>
    <t>148-79-8</t>
  </si>
  <si>
    <t>Thiabendazole</t>
  </si>
  <si>
    <t>7440-31-5</t>
  </si>
  <si>
    <t>Tin</t>
  </si>
  <si>
    <t>Toluene</t>
  </si>
  <si>
    <t>2303-17-5</t>
  </si>
  <si>
    <t>Triallate</t>
  </si>
  <si>
    <t>24017-47-8</t>
  </si>
  <si>
    <t>Triazophos</t>
  </si>
  <si>
    <t>126-73-8</t>
  </si>
  <si>
    <t>Tributyl Phosphate</t>
  </si>
  <si>
    <t>56573-85-4</t>
  </si>
  <si>
    <t>Tributyltin</t>
  </si>
  <si>
    <t>12002-48-1</t>
  </si>
  <si>
    <t>Trichlorobenzene</t>
  </si>
  <si>
    <t>Trichloroethene (Trichloroethylene)</t>
  </si>
  <si>
    <t>1582-09-8</t>
  </si>
  <si>
    <t>Trifluralin</t>
  </si>
  <si>
    <t>668-34-8</t>
  </si>
  <si>
    <t>Triphenyltin and Its Derivatives</t>
  </si>
  <si>
    <t>7440-62-2</t>
  </si>
  <si>
    <t>Vanadium</t>
  </si>
  <si>
    <t>1330-20-7</t>
  </si>
  <si>
    <t>7440-66-6</t>
  </si>
  <si>
    <t>Zinc</t>
  </si>
  <si>
    <t>Cyanide</t>
  </si>
  <si>
    <t>m-Methylphenol</t>
  </si>
  <si>
    <t>o-Methylphenol</t>
  </si>
  <si>
    <t>p-Methylphenol</t>
  </si>
  <si>
    <t>Xylene</t>
  </si>
  <si>
    <t>1,2-dimethylbenzene</t>
  </si>
  <si>
    <t>1,3-dimethylbenzene</t>
  </si>
  <si>
    <t>1,4-dimethylbenzene</t>
  </si>
  <si>
    <t>108-39-4</t>
  </si>
  <si>
    <t>95-48-7</t>
  </si>
  <si>
    <t>106-44-5</t>
  </si>
  <si>
    <t>ECS, ug/l</t>
  </si>
  <si>
    <t>6.0 - 8.5</t>
  </si>
  <si>
    <t>94-11-1</t>
  </si>
  <si>
    <t>2,4-D ESTERS (ester form)</t>
  </si>
  <si>
    <t>7783-06-4</t>
  </si>
  <si>
    <t>8018-01-7</t>
  </si>
  <si>
    <t>3567-25-7</t>
  </si>
  <si>
    <t>Metal</t>
  </si>
  <si>
    <t xml:space="preserve">o-Toluidine </t>
  </si>
  <si>
    <t xml:space="preserve">95-53-4 </t>
  </si>
  <si>
    <t xml:space="preserve">Potency Factor, kg Cu / kg i (0 if it is not found) </t>
  </si>
  <si>
    <t>Ecotoxicity to aquatic life potential data</t>
  </si>
  <si>
    <t>PF kg formaldehyde equivalent / kg substance)</t>
  </si>
  <si>
    <t>m•out kg formaldehyde equivalent, kg/h</t>
  </si>
  <si>
    <t>worst case value, kg formaldehyde equivalent/h</t>
  </si>
  <si>
    <r>
      <t>Product mass flow and cost, m</t>
    </r>
    <r>
      <rPr>
        <sz val="12"/>
        <rFont val="Arial"/>
        <family val="2"/>
      </rPr>
      <t>•</t>
    </r>
    <r>
      <rPr>
        <sz val="12"/>
        <rFont val="Times New Roman"/>
        <family val="1"/>
      </rPr>
      <t>product, m</t>
    </r>
    <r>
      <rPr>
        <sz val="12"/>
        <rFont val="Arial"/>
        <family val="2"/>
      </rPr>
      <t>•</t>
    </r>
    <r>
      <rPr>
        <i/>
        <sz val="12"/>
        <rFont val="Times New Roman"/>
        <family val="1"/>
      </rPr>
      <t>i</t>
    </r>
    <r>
      <rPr>
        <sz val="12"/>
        <rFont val="Times New Roman"/>
        <family val="1"/>
      </rPr>
      <t xml:space="preserve"> out, Sm </t>
    </r>
    <r>
      <rPr>
        <i/>
        <sz val="12"/>
        <rFont val="Times New Roman"/>
        <family val="1"/>
      </rPr>
      <t xml:space="preserve">i, </t>
    </r>
    <r>
      <rPr>
        <sz val="12"/>
        <rFont val="Times New Roman"/>
        <family val="1"/>
      </rPr>
      <t>PF</t>
    </r>
    <r>
      <rPr>
        <i/>
        <sz val="12"/>
        <rFont val="Times New Roman"/>
        <family val="1"/>
      </rPr>
      <t>i</t>
    </r>
    <r>
      <rPr>
        <sz val="12"/>
        <rFont val="Times New Roman"/>
        <family val="1"/>
      </rPr>
      <t xml:space="preserve"> Formaldehyde</t>
    </r>
  </si>
  <si>
    <t>kg formaldehyde equivalent/time</t>
  </si>
  <si>
    <t>kg formaldehyde equivalent/$</t>
  </si>
  <si>
    <t>Ecotoxicity to aquatic life potential (by metals) data</t>
  </si>
  <si>
    <t>PF kg Copper equivalent / kg substance)</t>
  </si>
  <si>
    <t>m•out kg copper equivalent, kg/h</t>
  </si>
  <si>
    <t>worst case value, kg copper equivalent/h</t>
  </si>
  <si>
    <r>
      <t>Product mass flow and cost, m</t>
    </r>
    <r>
      <rPr>
        <sz val="12"/>
        <rFont val="Arial"/>
        <family val="2"/>
      </rPr>
      <t>•</t>
    </r>
    <r>
      <rPr>
        <sz val="12"/>
        <rFont val="Times New Roman"/>
        <family val="1"/>
      </rPr>
      <t>product, m</t>
    </r>
    <r>
      <rPr>
        <sz val="12"/>
        <rFont val="Arial"/>
        <family val="2"/>
      </rPr>
      <t>•</t>
    </r>
    <r>
      <rPr>
        <i/>
        <sz val="12"/>
        <rFont val="Times New Roman"/>
        <family val="1"/>
      </rPr>
      <t>i</t>
    </r>
    <r>
      <rPr>
        <sz val="12"/>
        <rFont val="Times New Roman"/>
        <family val="1"/>
      </rPr>
      <t xml:space="preserve"> out, Sm </t>
    </r>
    <r>
      <rPr>
        <i/>
        <sz val="12"/>
        <rFont val="Times New Roman"/>
        <family val="1"/>
      </rPr>
      <t xml:space="preserve">i, </t>
    </r>
    <r>
      <rPr>
        <sz val="12"/>
        <rFont val="Times New Roman"/>
        <family val="1"/>
      </rPr>
      <t>PF</t>
    </r>
    <r>
      <rPr>
        <i/>
        <sz val="12"/>
        <rFont val="Times New Roman"/>
        <family val="1"/>
      </rPr>
      <t>i</t>
    </r>
    <r>
      <rPr>
        <sz val="12"/>
        <rFont val="Times New Roman"/>
        <family val="1"/>
      </rPr>
      <t xml:space="preserve"> Copper</t>
    </r>
  </si>
  <si>
    <t>kg Cu equivalent/time</t>
  </si>
  <si>
    <t>11104-93-1</t>
  </si>
  <si>
    <t xml:space="preserve">Nitrogen </t>
  </si>
  <si>
    <t>93037-13-9</t>
  </si>
  <si>
    <t>98059-61-1</t>
  </si>
  <si>
    <t xml:space="preserve">Phosphorus </t>
  </si>
  <si>
    <t>7723-14-0</t>
  </si>
  <si>
    <t>NO2, nitrogen oxide</t>
  </si>
  <si>
    <t xml:space="preserve">NO, nitric oxide </t>
  </si>
  <si>
    <t>NITRATE, NO3-</t>
  </si>
  <si>
    <t>14797-55-8</t>
  </si>
  <si>
    <t>Nitric acid</t>
  </si>
  <si>
    <t>Phosphoric acid</t>
  </si>
  <si>
    <t>Chemical oxygen demand</t>
  </si>
  <si>
    <t>COD</t>
  </si>
  <si>
    <t>Biological oxygen demand</t>
  </si>
  <si>
    <t>BOD</t>
  </si>
  <si>
    <t>PHOSPHORUS PENTOXIDE</t>
  </si>
  <si>
    <t>1314-56-3</t>
  </si>
  <si>
    <t>7697-37-2</t>
  </si>
  <si>
    <t>Eutrophication Water (kg Phosphate eq / kg substance)</t>
  </si>
  <si>
    <t>Eutrophication potential data</t>
  </si>
  <si>
    <t>PF kg Phosphate equivalent / kg substance)</t>
  </si>
  <si>
    <t>m•out kg phosphate equivalent, kg/h</t>
  </si>
  <si>
    <t>worst case value, kg phosphate equivalent/h</t>
  </si>
  <si>
    <r>
      <t>Product mass flow and cost, m</t>
    </r>
    <r>
      <rPr>
        <sz val="12"/>
        <rFont val="Arial"/>
        <family val="2"/>
      </rPr>
      <t>•</t>
    </r>
    <r>
      <rPr>
        <sz val="12"/>
        <rFont val="Times New Roman"/>
        <family val="1"/>
      </rPr>
      <t>product, m</t>
    </r>
    <r>
      <rPr>
        <sz val="12"/>
        <rFont val="Arial"/>
        <family val="2"/>
      </rPr>
      <t>•</t>
    </r>
    <r>
      <rPr>
        <i/>
        <sz val="12"/>
        <rFont val="Times New Roman"/>
        <family val="1"/>
      </rPr>
      <t>i</t>
    </r>
    <r>
      <rPr>
        <sz val="12"/>
        <rFont val="Times New Roman"/>
        <family val="1"/>
      </rPr>
      <t xml:space="preserve"> out, Sm </t>
    </r>
    <r>
      <rPr>
        <i/>
        <sz val="12"/>
        <rFont val="Times New Roman"/>
        <family val="1"/>
      </rPr>
      <t xml:space="preserve">i, </t>
    </r>
    <r>
      <rPr>
        <sz val="12"/>
        <rFont val="Times New Roman"/>
        <family val="1"/>
      </rPr>
      <t>PF</t>
    </r>
    <r>
      <rPr>
        <i/>
        <sz val="12"/>
        <rFont val="Times New Roman"/>
        <family val="1"/>
      </rPr>
      <t>i</t>
    </r>
    <r>
      <rPr>
        <sz val="12"/>
        <rFont val="Times New Roman"/>
        <family val="1"/>
      </rPr>
      <t xml:space="preserve"> Phosphate</t>
    </r>
  </si>
  <si>
    <t>kg PO43+ equivalent/$</t>
  </si>
  <si>
    <t xml:space="preserve">Solid state (yes=1 &amp; no=0) </t>
  </si>
  <si>
    <t>Total solid waste mass data</t>
  </si>
  <si>
    <t>categorized as solid waste for lanfill (yes=1 &amp; no=0)</t>
  </si>
  <si>
    <t>Net output waste, kg/h</t>
  </si>
  <si>
    <t>worst case value, kg solid waste released/h</t>
  </si>
  <si>
    <t>Solid waste mass for recovery data</t>
  </si>
  <si>
    <t>The amount of solid waste that cannot be recovered.</t>
  </si>
  <si>
    <r>
      <t>m</t>
    </r>
    <r>
      <rPr>
        <sz val="12"/>
        <rFont val="Arial"/>
        <family val="2"/>
      </rPr>
      <t>•</t>
    </r>
    <r>
      <rPr>
        <i/>
        <sz val="12"/>
        <rFont val="Times New Roman"/>
        <family val="1"/>
      </rPr>
      <t>i</t>
    </r>
    <r>
      <rPr>
        <sz val="12"/>
        <rFont val="Times New Roman"/>
        <family val="1"/>
      </rPr>
      <t xml:space="preserve"> solid out; % solid recovery; Hazardous material list</t>
    </r>
  </si>
  <si>
    <r>
      <t>m</t>
    </r>
    <r>
      <rPr>
        <sz val="12"/>
        <rFont val="Arial"/>
        <family val="2"/>
      </rPr>
      <t>•</t>
    </r>
    <r>
      <rPr>
        <i/>
        <sz val="12"/>
        <rFont val="Times New Roman"/>
        <family val="1"/>
      </rPr>
      <t>i</t>
    </r>
    <r>
      <rPr>
        <sz val="12"/>
        <rFont val="Times New Roman"/>
        <family val="1"/>
      </rPr>
      <t xml:space="preserve"> solid out; Physical state and waste category for landfill</t>
    </r>
  </si>
  <si>
    <r>
      <t>Product mass flow, m</t>
    </r>
    <r>
      <rPr>
        <sz val="12"/>
        <rFont val="Arial"/>
        <family val="2"/>
      </rPr>
      <t>•</t>
    </r>
    <r>
      <rPr>
        <sz val="12"/>
        <rFont val="Times New Roman"/>
        <family val="1"/>
      </rPr>
      <t>product; m</t>
    </r>
    <r>
      <rPr>
        <sz val="12"/>
        <rFont val="Arial"/>
        <family val="2"/>
      </rPr>
      <t>•</t>
    </r>
    <r>
      <rPr>
        <i/>
        <sz val="12"/>
        <rFont val="Times New Roman"/>
        <family val="1"/>
      </rPr>
      <t>i</t>
    </r>
    <r>
      <rPr>
        <sz val="12"/>
        <rFont val="Times New Roman"/>
        <family val="1"/>
      </rPr>
      <t xml:space="preserve"> solid out; Physical state and waste category for landfill</t>
    </r>
  </si>
  <si>
    <r>
      <t>m</t>
    </r>
    <r>
      <rPr>
        <sz val="12"/>
        <rFont val="Arial"/>
        <family val="2"/>
      </rPr>
      <t>•</t>
    </r>
    <r>
      <rPr>
        <i/>
        <sz val="12"/>
        <rFont val="Times New Roman"/>
        <family val="1"/>
      </rPr>
      <t>i</t>
    </r>
    <r>
      <rPr>
        <sz val="12"/>
        <rFont val="Times New Roman"/>
        <family val="1"/>
      </rPr>
      <t xml:space="preserve"> solid out; % solid recovery</t>
    </r>
  </si>
  <si>
    <t>Hazardous solid waste released, kg/h</t>
  </si>
  <si>
    <t>worst case value, kg solid waste generated/h</t>
  </si>
  <si>
    <t>Hazardous solid waste generated, kg/h</t>
  </si>
  <si>
    <r>
      <t>m</t>
    </r>
    <r>
      <rPr>
        <sz val="12"/>
        <rFont val="Arial"/>
        <family val="2"/>
      </rPr>
      <t>•</t>
    </r>
    <r>
      <rPr>
        <i/>
        <sz val="12"/>
        <rFont val="Times New Roman"/>
        <family val="1"/>
      </rPr>
      <t>i</t>
    </r>
    <r>
      <rPr>
        <sz val="12"/>
        <rFont val="Times New Roman"/>
        <family val="1"/>
      </rPr>
      <t xml:space="preserve"> solid out; % solid recovery; Hazardous material list; Product mass flow, m•product</t>
    </r>
  </si>
  <si>
    <t>kg hazard solid/kg solid releases</t>
  </si>
  <si>
    <t>kg non-hazard solid/kg prod</t>
  </si>
  <si>
    <t>kg non-hazardous solid</t>
  </si>
  <si>
    <t>kg non-hazardous solid/$</t>
  </si>
  <si>
    <r>
      <t>Product mass flow and cost, m</t>
    </r>
    <r>
      <rPr>
        <sz val="12"/>
        <rFont val="Arial"/>
        <family val="2"/>
      </rPr>
      <t>•</t>
    </r>
    <r>
      <rPr>
        <sz val="12"/>
        <rFont val="Times New Roman"/>
        <family val="1"/>
      </rPr>
      <t xml:space="preserve">product, Sm </t>
    </r>
    <r>
      <rPr>
        <i/>
        <sz val="12"/>
        <rFont val="Times New Roman"/>
        <family val="1"/>
      </rPr>
      <t>i;</t>
    </r>
    <r>
      <rPr>
        <sz val="12"/>
        <rFont val="Times New Roman"/>
        <family val="1"/>
      </rPr>
      <t>m</t>
    </r>
    <r>
      <rPr>
        <i/>
        <sz val="12"/>
        <rFont val="Times New Roman"/>
        <family val="1"/>
      </rPr>
      <t xml:space="preserve">•i </t>
    </r>
    <r>
      <rPr>
        <sz val="12"/>
        <rFont val="Times New Roman"/>
        <family val="1"/>
      </rPr>
      <t>out</t>
    </r>
    <r>
      <rPr>
        <i/>
        <sz val="12"/>
        <rFont val="Times New Roman"/>
        <family val="1"/>
      </rPr>
      <t xml:space="preserve">; </t>
    </r>
    <r>
      <rPr>
        <sz val="12"/>
        <rFont val="Times New Roman"/>
        <family val="1"/>
      </rPr>
      <t>PF</t>
    </r>
    <r>
      <rPr>
        <i/>
        <sz val="12"/>
        <rFont val="Times New Roman"/>
        <family val="1"/>
      </rPr>
      <t>i</t>
    </r>
    <r>
      <rPr>
        <sz val="12"/>
        <rFont val="Times New Roman"/>
        <family val="1"/>
      </rPr>
      <t xml:space="preserve"> Phosphate</t>
    </r>
  </si>
  <si>
    <r>
      <t>m</t>
    </r>
    <r>
      <rPr>
        <sz val="12"/>
        <rFont val="Arial"/>
        <family val="2"/>
      </rPr>
      <t>•</t>
    </r>
    <r>
      <rPr>
        <i/>
        <sz val="12"/>
        <rFont val="Times New Roman"/>
        <family val="1"/>
      </rPr>
      <t>i</t>
    </r>
    <r>
      <rPr>
        <sz val="12"/>
        <rFont val="Times New Roman"/>
        <family val="1"/>
      </rPr>
      <t xml:space="preserve"> solid out; % solid recovery; Hazardous material list; product mass flow and cost, m•product, Sm i</t>
    </r>
  </si>
  <si>
    <t>Net product flow, kg/h</t>
  </si>
  <si>
    <t>kg/kg solid releases</t>
  </si>
  <si>
    <t>kg hazardous solid releases</t>
  </si>
  <si>
    <t>% of waste recovery (mass)</t>
  </si>
  <si>
    <t>Liquid waste data</t>
  </si>
  <si>
    <t>Nonpolluted liquid waste flow, m^3/h</t>
  </si>
  <si>
    <t>m^3</t>
  </si>
  <si>
    <r>
      <t>Product mass flow, m</t>
    </r>
    <r>
      <rPr>
        <sz val="12"/>
        <rFont val="Arial"/>
        <family val="2"/>
      </rPr>
      <t>•</t>
    </r>
    <r>
      <rPr>
        <sz val="12"/>
        <rFont val="Times New Roman"/>
        <family val="1"/>
      </rPr>
      <t>product, m</t>
    </r>
    <r>
      <rPr>
        <sz val="12"/>
        <rFont val="Arial"/>
        <family val="2"/>
      </rPr>
      <t>•</t>
    </r>
    <r>
      <rPr>
        <i/>
        <sz val="12"/>
        <rFont val="Times New Roman"/>
        <family val="1"/>
      </rPr>
      <t>i</t>
    </r>
    <r>
      <rPr>
        <sz val="12"/>
        <rFont val="Times New Roman"/>
        <family val="1"/>
      </rPr>
      <t xml:space="preserve"> out or </t>
    </r>
    <r>
      <rPr>
        <i/>
        <sz val="12"/>
        <rFont val="Times New Roman"/>
        <family val="1"/>
      </rPr>
      <t>V</t>
    </r>
    <r>
      <rPr>
        <sz val="12"/>
        <rFont val="Times New Roman"/>
        <family val="1"/>
      </rPr>
      <t xml:space="preserve">•i out; </t>
    </r>
    <r>
      <rPr>
        <sz val="12"/>
        <rFont val="Symbol"/>
        <family val="1"/>
        <charset val="2"/>
      </rPr>
      <t>r</t>
    </r>
    <r>
      <rPr>
        <sz val="12"/>
        <rFont val="Times New Roman"/>
        <family val="1"/>
      </rPr>
      <t xml:space="preserve">j; </t>
    </r>
    <r>
      <rPr>
        <sz val="12"/>
        <rFont val="Times New Roman"/>
        <family val="1"/>
      </rPr>
      <t>m</t>
    </r>
    <r>
      <rPr>
        <i/>
        <sz val="12"/>
        <rFont val="Times New Roman"/>
        <family val="1"/>
      </rPr>
      <t xml:space="preserve">•i </t>
    </r>
    <r>
      <rPr>
        <sz val="12"/>
        <rFont val="Times New Roman"/>
        <family val="1"/>
      </rPr>
      <t>out</t>
    </r>
  </si>
  <si>
    <r>
      <t>Product mass flow, m</t>
    </r>
    <r>
      <rPr>
        <sz val="12"/>
        <rFont val="Arial"/>
        <family val="2"/>
      </rPr>
      <t>•</t>
    </r>
    <r>
      <rPr>
        <sz val="12"/>
        <rFont val="Times New Roman"/>
        <family val="1"/>
      </rPr>
      <t>product, m</t>
    </r>
    <r>
      <rPr>
        <sz val="12"/>
        <rFont val="Arial"/>
        <family val="2"/>
      </rPr>
      <t>•</t>
    </r>
    <r>
      <rPr>
        <i/>
        <sz val="12"/>
        <rFont val="Times New Roman"/>
        <family val="1"/>
      </rPr>
      <t>i</t>
    </r>
    <r>
      <rPr>
        <sz val="12"/>
        <rFont val="Times New Roman"/>
        <family val="1"/>
      </rPr>
      <t xml:space="preserve"> out or </t>
    </r>
    <r>
      <rPr>
        <i/>
        <sz val="12"/>
        <rFont val="Times New Roman"/>
        <family val="1"/>
      </rPr>
      <t>V</t>
    </r>
    <r>
      <rPr>
        <sz val="12"/>
        <rFont val="Times New Roman"/>
        <family val="1"/>
      </rPr>
      <t xml:space="preserve">•i out; </t>
    </r>
    <r>
      <rPr>
        <sz val="12"/>
        <rFont val="Symbol"/>
        <family val="1"/>
        <charset val="2"/>
      </rPr>
      <t>r</t>
    </r>
    <r>
      <rPr>
        <sz val="12"/>
        <rFont val="Times New Roman"/>
        <family val="1"/>
      </rPr>
      <t>j;</t>
    </r>
    <r>
      <rPr>
        <i/>
        <sz val="12"/>
        <rFont val="Times New Roman"/>
        <family val="1"/>
      </rPr>
      <t xml:space="preserve"> </t>
    </r>
    <r>
      <rPr>
        <sz val="12"/>
        <rFont val="Times New Roman"/>
        <family val="1"/>
      </rPr>
      <t>m</t>
    </r>
    <r>
      <rPr>
        <i/>
        <sz val="12"/>
        <rFont val="Times New Roman"/>
        <family val="1"/>
      </rPr>
      <t xml:space="preserve">•i </t>
    </r>
    <r>
      <rPr>
        <sz val="12"/>
        <rFont val="Times New Roman"/>
        <family val="1"/>
      </rPr>
      <t>out</t>
    </r>
  </si>
  <si>
    <t>m^3/kg prod</t>
  </si>
  <si>
    <t>Total energy consumption</t>
  </si>
  <si>
    <t>Specific energy intensity</t>
  </si>
  <si>
    <t>Energy intensity</t>
  </si>
  <si>
    <t>Waste treatment energy</t>
  </si>
  <si>
    <t>Solvent recovery energy</t>
  </si>
  <si>
    <t>Resource-energy efficiency</t>
  </si>
  <si>
    <t>Renewability-energy index</t>
  </si>
  <si>
    <t>Breeding-energy factor</t>
  </si>
  <si>
    <t>Energy for recycling</t>
  </si>
  <si>
    <t>Exergy consumption</t>
  </si>
  <si>
    <t>Exergy intensity</t>
  </si>
  <si>
    <t>Resource-exergy efficiency</t>
  </si>
  <si>
    <t>Renewability-exergy index</t>
  </si>
  <si>
    <t>Breeding-exergy factor</t>
  </si>
  <si>
    <t>Total energy consumed by the process or process unit as primary fuel equivalent</t>
  </si>
  <si>
    <t>Total energy consumed by the process or process operating unit  as primary fuel equivalent per unit mass of product</t>
  </si>
  <si>
    <t xml:space="preserve">This is the net amount of energy required by the process to recover and reuse solvents per mass of product </t>
  </si>
  <si>
    <r>
      <t>The ratio of the physical “value” of the products (</t>
    </r>
    <r>
      <rPr>
        <i/>
        <sz val="12"/>
        <rFont val="Times New Roman"/>
        <family val="1"/>
      </rPr>
      <t>Y</t>
    </r>
    <r>
      <rPr>
        <sz val="12"/>
        <rFont val="Times New Roman"/>
        <family val="1"/>
      </rPr>
      <t xml:space="preserve">E) to the total resource use in the same energetic unit. </t>
    </r>
    <r>
      <rPr>
        <i/>
        <sz val="12"/>
        <rFont val="Times New Roman"/>
        <family val="1"/>
      </rPr>
      <t>Y</t>
    </r>
    <r>
      <rPr>
        <sz val="12"/>
        <rFont val="Times New Roman"/>
        <family val="1"/>
      </rPr>
      <t>E is the quantity of the raw materials energy remains in the desired product</t>
    </r>
  </si>
  <si>
    <t>It describes quantitatively the amount of resources in exergy units in order to deliver a product per unit mass of product</t>
  </si>
  <si>
    <t>The ratio of the consumption of renewable energy to total energy consumption</t>
  </si>
  <si>
    <t>It describes quantitatively the amount of resources in exergy units in order to deliver a product</t>
  </si>
  <si>
    <r>
      <rPr>
        <sz val="12"/>
        <rFont val="Symbol"/>
        <family val="1"/>
        <charset val="2"/>
      </rPr>
      <t>h</t>
    </r>
    <r>
      <rPr>
        <sz val="10"/>
        <rFont val="Times New Roman"/>
        <family val="1"/>
      </rPr>
      <t>Ex</t>
    </r>
    <r>
      <rPr>
        <sz val="12"/>
        <rFont val="Times New Roman"/>
        <family val="1"/>
      </rPr>
      <t xml:space="preserve"> is the ratio of the exergy value of the products to the total exergy fed to the process</t>
    </r>
  </si>
  <si>
    <r>
      <rPr>
        <sz val="12"/>
        <rFont val="Times New Roman"/>
        <family val="1"/>
      </rPr>
      <t>RI</t>
    </r>
    <r>
      <rPr>
        <sz val="10"/>
        <rFont val="Times New Roman"/>
        <family val="1"/>
      </rPr>
      <t>Ex</t>
    </r>
    <r>
      <rPr>
        <sz val="12"/>
        <rFont val="Times New Roman"/>
        <family val="1"/>
      </rPr>
      <t xml:space="preserve"> is the ratio between the renewable exergy fed to the process and the total exergy entering to the process</t>
    </r>
  </si>
  <si>
    <r>
      <rPr>
        <sz val="12"/>
        <rFont val="Times New Roman"/>
        <family val="1"/>
      </rPr>
      <t>BF</t>
    </r>
    <r>
      <rPr>
        <sz val="10"/>
        <rFont val="Times New Roman"/>
        <family val="1"/>
      </rPr>
      <t>Ex</t>
    </r>
    <r>
      <rPr>
        <sz val="12"/>
        <rFont val="Times New Roman"/>
        <family val="1"/>
      </rPr>
      <t xml:space="preserve"> is the total exergy content of the product leaving the process divided by the non-renewable exergy input</t>
    </r>
  </si>
  <si>
    <r>
      <t xml:space="preserve">Ex•in: total exergy flow input to the process or process unit, kJ/h; m•j: total mass flow rate of the stream </t>
    </r>
    <r>
      <rPr>
        <i/>
        <sz val="12"/>
        <rFont val="Calibri"/>
        <family val="2"/>
      </rPr>
      <t>j</t>
    </r>
    <r>
      <rPr>
        <sz val="12"/>
        <rFont val="Calibri"/>
        <family val="2"/>
      </rPr>
      <t xml:space="preserve">, kg/h; </t>
    </r>
    <r>
      <rPr>
        <sz val="12"/>
        <rFont val="Symbol"/>
        <family val="1"/>
        <charset val="2"/>
      </rPr>
      <t>D</t>
    </r>
    <r>
      <rPr>
        <i/>
        <sz val="12"/>
        <rFont val="Calibri"/>
        <family val="2"/>
      </rPr>
      <t>H</t>
    </r>
    <r>
      <rPr>
        <i/>
        <vertAlign val="subscript"/>
        <sz val="12"/>
        <rFont val="Calibri"/>
        <family val="2"/>
      </rPr>
      <t>j</t>
    </r>
    <r>
      <rPr>
        <sz val="12"/>
        <rFont val="Calibri"/>
        <family val="2"/>
      </rPr>
      <t xml:space="preserve">: mass enthalpy of the stream </t>
    </r>
    <r>
      <rPr>
        <i/>
        <sz val="12"/>
        <rFont val="Calibri"/>
        <family val="2"/>
      </rPr>
      <t>j</t>
    </r>
    <r>
      <rPr>
        <sz val="12"/>
        <rFont val="Calibri"/>
        <family val="2"/>
      </rPr>
      <t xml:space="preserve">, kJ/kg; </t>
    </r>
    <r>
      <rPr>
        <i/>
        <sz val="12"/>
        <rFont val="Calibri"/>
        <family val="2"/>
      </rPr>
      <t>T</t>
    </r>
    <r>
      <rPr>
        <vertAlign val="subscript"/>
        <sz val="12"/>
        <rFont val="Calibri"/>
        <family val="2"/>
      </rPr>
      <t>0</t>
    </r>
    <r>
      <rPr>
        <sz val="12"/>
        <rFont val="Calibri"/>
        <family val="2"/>
      </rPr>
      <t xml:space="preserve">: temperature of reference, </t>
    </r>
    <r>
      <rPr>
        <i/>
        <sz val="12"/>
        <rFont val="Calibri"/>
        <family val="2"/>
      </rPr>
      <t>T</t>
    </r>
    <r>
      <rPr>
        <vertAlign val="subscript"/>
        <sz val="12"/>
        <rFont val="Calibri"/>
        <family val="2"/>
      </rPr>
      <t>0</t>
    </r>
    <r>
      <rPr>
        <sz val="12"/>
        <rFont val="Calibri"/>
        <family val="2"/>
      </rPr>
      <t xml:space="preserve">=298 K; </t>
    </r>
    <r>
      <rPr>
        <sz val="12"/>
        <rFont val="Symbol"/>
        <family val="1"/>
        <charset val="2"/>
      </rPr>
      <t>D</t>
    </r>
    <r>
      <rPr>
        <i/>
        <sz val="12"/>
        <rFont val="Calibri"/>
        <family val="2"/>
      </rPr>
      <t>Sj</t>
    </r>
    <r>
      <rPr>
        <sz val="12"/>
        <rFont val="Calibri"/>
        <family val="2"/>
      </rPr>
      <t xml:space="preserve">: mass entropy of the stream </t>
    </r>
    <r>
      <rPr>
        <i/>
        <sz val="12"/>
        <rFont val="Calibri"/>
        <family val="2"/>
      </rPr>
      <t>j</t>
    </r>
    <r>
      <rPr>
        <sz val="12"/>
        <rFont val="Calibri"/>
        <family val="2"/>
      </rPr>
      <t>, kJ/(kg K); n•</t>
    </r>
    <r>
      <rPr>
        <i/>
        <sz val="12"/>
        <rFont val="Calibri"/>
        <family val="2"/>
      </rPr>
      <t>i</t>
    </r>
    <r>
      <rPr>
        <sz val="12"/>
        <rFont val="Calibri"/>
        <family val="2"/>
      </rPr>
      <t xml:space="preserve">: molar flow rate of substance </t>
    </r>
    <r>
      <rPr>
        <i/>
        <sz val="12"/>
        <rFont val="Calibri"/>
        <family val="2"/>
      </rPr>
      <t>i</t>
    </r>
    <r>
      <rPr>
        <sz val="12"/>
        <rFont val="Calibri"/>
        <family val="2"/>
      </rPr>
      <t xml:space="preserve">, kmol/h; Exi°ch: standard chemical exergy of substance </t>
    </r>
    <r>
      <rPr>
        <i/>
        <sz val="12"/>
        <rFont val="Calibri"/>
        <family val="2"/>
      </rPr>
      <t>i</t>
    </r>
    <r>
      <rPr>
        <sz val="12"/>
        <rFont val="Calibri"/>
        <family val="2"/>
      </rPr>
      <t xml:space="preserve">, kJ/kmol; </t>
    </r>
    <r>
      <rPr>
        <i/>
        <sz val="12"/>
        <rFont val="Calibri"/>
        <family val="2"/>
      </rPr>
      <t>R</t>
    </r>
    <r>
      <rPr>
        <sz val="12"/>
        <rFont val="Calibri"/>
        <family val="2"/>
      </rPr>
      <t xml:space="preserve">: the gas constant, </t>
    </r>
    <r>
      <rPr>
        <i/>
        <sz val="12"/>
        <rFont val="Calibri"/>
        <family val="2"/>
      </rPr>
      <t>R</t>
    </r>
    <r>
      <rPr>
        <sz val="12"/>
        <rFont val="Calibri"/>
        <family val="2"/>
      </rPr>
      <t xml:space="preserve">= 8.314 kJ/(kmol K); </t>
    </r>
    <r>
      <rPr>
        <i/>
        <sz val="12"/>
        <rFont val="Calibri"/>
        <family val="2"/>
      </rPr>
      <t>x</t>
    </r>
    <r>
      <rPr>
        <vertAlign val="subscript"/>
        <sz val="12"/>
        <rFont val="Calibri"/>
        <family val="2"/>
      </rPr>
      <t>i</t>
    </r>
    <r>
      <rPr>
        <sz val="12"/>
        <rFont val="Calibri"/>
        <family val="2"/>
      </rPr>
      <t xml:space="preserve">: molar fraction of specie </t>
    </r>
    <r>
      <rPr>
        <i/>
        <sz val="12"/>
        <rFont val="Calibri"/>
        <family val="2"/>
      </rPr>
      <t>i</t>
    </r>
    <r>
      <rPr>
        <sz val="12"/>
        <rFont val="Calibri"/>
        <family val="2"/>
      </rPr>
      <t xml:space="preserve">; </t>
    </r>
    <r>
      <rPr>
        <i/>
        <sz val="12"/>
        <rFont val="Calibri"/>
        <family val="2"/>
      </rPr>
      <t>W</t>
    </r>
    <r>
      <rPr>
        <sz val="12"/>
        <rFont val="Calibri"/>
        <family val="2"/>
      </rPr>
      <t>•</t>
    </r>
    <r>
      <rPr>
        <i/>
        <sz val="12"/>
        <rFont val="Calibri"/>
        <family val="2"/>
      </rPr>
      <t>k</t>
    </r>
    <r>
      <rPr>
        <sz val="12"/>
        <rFont val="Calibri"/>
        <family val="2"/>
      </rPr>
      <t xml:space="preserve">: energy flow </t>
    </r>
    <r>
      <rPr>
        <i/>
        <sz val="12"/>
        <rFont val="Calibri"/>
        <family val="2"/>
      </rPr>
      <t>k</t>
    </r>
    <r>
      <rPr>
        <sz val="12"/>
        <rFont val="Calibri"/>
        <family val="2"/>
      </rPr>
      <t xml:space="preserve"> for power needs, kWh/h; </t>
    </r>
    <r>
      <rPr>
        <i/>
        <sz val="12"/>
        <rFont val="Calibri"/>
        <family val="2"/>
      </rPr>
      <t>Q</t>
    </r>
    <r>
      <rPr>
        <sz val="12"/>
        <rFont val="Calibri"/>
        <family val="2"/>
      </rPr>
      <t>•</t>
    </r>
    <r>
      <rPr>
        <i/>
        <sz val="12"/>
        <rFont val="Calibri"/>
        <family val="2"/>
      </rPr>
      <t>k</t>
    </r>
    <r>
      <rPr>
        <sz val="12"/>
        <rFont val="Calibri"/>
        <family val="2"/>
      </rPr>
      <t xml:space="preserve">: heat flow stream </t>
    </r>
    <r>
      <rPr>
        <i/>
        <sz val="12"/>
        <rFont val="Calibri"/>
        <family val="2"/>
      </rPr>
      <t>k</t>
    </r>
    <r>
      <rPr>
        <sz val="12"/>
        <rFont val="Calibri"/>
        <family val="2"/>
      </rPr>
      <t xml:space="preserve">, kJ/h; </t>
    </r>
    <r>
      <rPr>
        <i/>
        <sz val="12"/>
        <rFont val="Calibri"/>
        <family val="2"/>
      </rPr>
      <t>T</t>
    </r>
    <r>
      <rPr>
        <vertAlign val="subscript"/>
        <sz val="12"/>
        <rFont val="Calibri"/>
        <family val="2"/>
      </rPr>
      <t>*k</t>
    </r>
    <r>
      <rPr>
        <sz val="12"/>
        <rFont val="Calibri"/>
        <family val="2"/>
      </rPr>
      <t xml:space="preserve">: temperature at which a heat flow stream </t>
    </r>
    <r>
      <rPr>
        <i/>
        <sz val="12"/>
        <rFont val="Calibri"/>
        <family val="2"/>
      </rPr>
      <t>k</t>
    </r>
    <r>
      <rPr>
        <sz val="12"/>
        <rFont val="Calibri"/>
        <family val="2"/>
      </rPr>
      <t xml:space="preserve"> is supplied, K; S•generated: generated entropy because the irreversibility of the system, kJ/(h K); </t>
    </r>
    <r>
      <rPr>
        <sz val="12"/>
        <rFont val="Symbol"/>
        <family val="1"/>
        <charset val="2"/>
      </rPr>
      <t>D</t>
    </r>
    <r>
      <rPr>
        <i/>
        <sz val="12"/>
        <rFont val="Calibri"/>
        <family val="2"/>
      </rPr>
      <t>S</t>
    </r>
    <r>
      <rPr>
        <i/>
        <sz val="10"/>
        <rFont val="Calibri"/>
        <family val="2"/>
      </rPr>
      <t>f</t>
    </r>
    <r>
      <rPr>
        <i/>
        <sz val="12"/>
        <rFont val="Calibri"/>
        <family val="2"/>
      </rPr>
      <t>°j</t>
    </r>
    <r>
      <rPr>
        <sz val="12"/>
        <rFont val="Calibri"/>
        <family val="2"/>
      </rPr>
      <t>: formation entropy at standard conditions (</t>
    </r>
    <r>
      <rPr>
        <i/>
        <sz val="12"/>
        <rFont val="Calibri"/>
        <family val="2"/>
      </rPr>
      <t>T</t>
    </r>
    <r>
      <rPr>
        <vertAlign val="subscript"/>
        <sz val="12"/>
        <rFont val="Calibri"/>
        <family val="2"/>
      </rPr>
      <t>0</t>
    </r>
    <r>
      <rPr>
        <sz val="12"/>
        <rFont val="Calibri"/>
        <family val="2"/>
      </rPr>
      <t xml:space="preserve">, </t>
    </r>
    <r>
      <rPr>
        <i/>
        <sz val="12"/>
        <rFont val="Calibri"/>
        <family val="2"/>
      </rPr>
      <t>P</t>
    </r>
    <r>
      <rPr>
        <vertAlign val="subscript"/>
        <sz val="12"/>
        <rFont val="Calibri"/>
        <family val="2"/>
      </rPr>
      <t>0</t>
    </r>
    <r>
      <rPr>
        <sz val="12"/>
        <rFont val="Calibri"/>
        <family val="2"/>
      </rPr>
      <t>), kJ/(kg K)</t>
    </r>
  </si>
  <si>
    <r>
      <t xml:space="preserve">Ex•in: total exergy flow input to the process or process unit, kJ/h; m•j: total mass flow rate of the stream </t>
    </r>
    <r>
      <rPr>
        <i/>
        <sz val="12"/>
        <rFont val="Calibri"/>
        <family val="2"/>
      </rPr>
      <t>j</t>
    </r>
    <r>
      <rPr>
        <sz val="12"/>
        <rFont val="Calibri"/>
        <family val="2"/>
      </rPr>
      <t xml:space="preserve">, kg/h; </t>
    </r>
    <r>
      <rPr>
        <i/>
        <sz val="12"/>
        <rFont val="Calibri"/>
        <family val="2"/>
      </rPr>
      <t>T</t>
    </r>
    <r>
      <rPr>
        <vertAlign val="subscript"/>
        <sz val="12"/>
        <rFont val="Calibri"/>
        <family val="2"/>
      </rPr>
      <t>0</t>
    </r>
    <r>
      <rPr>
        <sz val="12"/>
        <rFont val="Calibri"/>
        <family val="2"/>
      </rPr>
      <t xml:space="preserve">: temperature of reference, </t>
    </r>
    <r>
      <rPr>
        <i/>
        <sz val="12"/>
        <rFont val="Calibri"/>
        <family val="2"/>
      </rPr>
      <t>T</t>
    </r>
    <r>
      <rPr>
        <vertAlign val="subscript"/>
        <sz val="12"/>
        <rFont val="Calibri"/>
        <family val="2"/>
      </rPr>
      <t>0</t>
    </r>
    <r>
      <rPr>
        <sz val="12"/>
        <rFont val="Calibri"/>
        <family val="2"/>
      </rPr>
      <t xml:space="preserve">=298 K; </t>
    </r>
    <r>
      <rPr>
        <sz val="12"/>
        <rFont val="Symbol"/>
        <family val="1"/>
        <charset val="2"/>
      </rPr>
      <t>D</t>
    </r>
    <r>
      <rPr>
        <i/>
        <sz val="12"/>
        <rFont val="Calibri"/>
        <family val="2"/>
      </rPr>
      <t>Sj</t>
    </r>
    <r>
      <rPr>
        <sz val="12"/>
        <rFont val="Calibri"/>
        <family val="2"/>
      </rPr>
      <t xml:space="preserve">: mass entropy of the stream </t>
    </r>
    <r>
      <rPr>
        <i/>
        <sz val="12"/>
        <rFont val="Calibri"/>
        <family val="2"/>
      </rPr>
      <t>j</t>
    </r>
    <r>
      <rPr>
        <sz val="12"/>
        <rFont val="Calibri"/>
        <family val="2"/>
      </rPr>
      <t xml:space="preserve">, kJ/(kg K); </t>
    </r>
    <r>
      <rPr>
        <i/>
        <sz val="12"/>
        <rFont val="Calibri"/>
        <family val="2"/>
      </rPr>
      <t>Q</t>
    </r>
    <r>
      <rPr>
        <sz val="12"/>
        <rFont val="Calibri"/>
        <family val="2"/>
      </rPr>
      <t>•</t>
    </r>
    <r>
      <rPr>
        <i/>
        <sz val="12"/>
        <rFont val="Calibri"/>
        <family val="2"/>
      </rPr>
      <t>k</t>
    </r>
    <r>
      <rPr>
        <sz val="12"/>
        <rFont val="Calibri"/>
        <family val="2"/>
      </rPr>
      <t xml:space="preserve">: heat flow stream </t>
    </r>
    <r>
      <rPr>
        <i/>
        <sz val="12"/>
        <rFont val="Calibri"/>
        <family val="2"/>
      </rPr>
      <t>k</t>
    </r>
    <r>
      <rPr>
        <sz val="12"/>
        <rFont val="Calibri"/>
        <family val="2"/>
      </rPr>
      <t xml:space="preserve">, kJ/h; S•generated: generated entropy because the irreversibility of the system, kJ/(h K); </t>
    </r>
    <r>
      <rPr>
        <sz val="12"/>
        <rFont val="Symbol"/>
        <family val="1"/>
        <charset val="2"/>
      </rPr>
      <t>D</t>
    </r>
    <r>
      <rPr>
        <i/>
        <sz val="12"/>
        <rFont val="Calibri"/>
        <family val="2"/>
      </rPr>
      <t>S</t>
    </r>
    <r>
      <rPr>
        <i/>
        <sz val="10"/>
        <rFont val="Calibri"/>
        <family val="2"/>
      </rPr>
      <t>f</t>
    </r>
    <r>
      <rPr>
        <i/>
        <sz val="12"/>
        <rFont val="Calibri"/>
        <family val="2"/>
      </rPr>
      <t>°j</t>
    </r>
    <r>
      <rPr>
        <sz val="12"/>
        <rFont val="Calibri"/>
        <family val="2"/>
      </rPr>
      <t>: formation entropy at standard conditions (</t>
    </r>
    <r>
      <rPr>
        <i/>
        <sz val="12"/>
        <rFont val="Calibri"/>
        <family val="2"/>
      </rPr>
      <t>T</t>
    </r>
    <r>
      <rPr>
        <vertAlign val="subscript"/>
        <sz val="12"/>
        <rFont val="Calibri"/>
        <family val="2"/>
      </rPr>
      <t>0</t>
    </r>
    <r>
      <rPr>
        <sz val="12"/>
        <rFont val="Calibri"/>
        <family val="2"/>
      </rPr>
      <t xml:space="preserve">, </t>
    </r>
    <r>
      <rPr>
        <i/>
        <sz val="12"/>
        <rFont val="Calibri"/>
        <family val="2"/>
      </rPr>
      <t>P</t>
    </r>
    <r>
      <rPr>
        <vertAlign val="subscript"/>
        <sz val="12"/>
        <rFont val="Calibri"/>
        <family val="2"/>
      </rPr>
      <t>0</t>
    </r>
    <r>
      <rPr>
        <sz val="12"/>
        <rFont val="Calibri"/>
        <family val="2"/>
      </rPr>
      <t>), kJ/(kg K)</t>
    </r>
  </si>
  <si>
    <t>See data inputs for Exergy consumption indicator</t>
  </si>
  <si>
    <t>See data inputs for Exergy consumption indicator;  utility and feedstock rates from nonrenewable sources</t>
  </si>
  <si>
    <t>See data inputs for Exergy consumption indicator;  utility and feedstock rates from renewable sources</t>
  </si>
  <si>
    <r>
      <t>E</t>
    </r>
    <r>
      <rPr>
        <vertAlign val="superscript"/>
        <sz val="12"/>
        <rFont val="Calibri"/>
        <family val="2"/>
      </rPr>
      <t>•</t>
    </r>
    <r>
      <rPr>
        <sz val="12"/>
        <rFont val="Calibri"/>
        <family val="2"/>
      </rPr>
      <t>: energy flow rate as a heat flow or power provided by utilities such as natural gas, fuel oil, steam, and electricity, kJ/h; C</t>
    </r>
    <r>
      <rPr>
        <vertAlign val="subscript"/>
        <sz val="12"/>
        <rFont val="Calibri"/>
        <family val="2"/>
      </rPr>
      <t>factor</t>
    </r>
    <r>
      <rPr>
        <sz val="12"/>
        <rFont val="Calibri"/>
        <family val="2"/>
      </rPr>
      <t xml:space="preserve">: conversion factor to fuel energy; </t>
    </r>
    <r>
      <rPr>
        <i/>
        <sz val="12"/>
        <rFont val="Calibri"/>
        <family val="2"/>
      </rPr>
      <t>Qk</t>
    </r>
    <r>
      <rPr>
        <sz val="12"/>
        <rFont val="Arial"/>
        <family val="2"/>
      </rPr>
      <t>•</t>
    </r>
    <r>
      <rPr>
        <sz val="12"/>
        <rFont val="Calibri"/>
        <family val="2"/>
      </rPr>
      <t xml:space="preserve">: heat flow stream </t>
    </r>
    <r>
      <rPr>
        <i/>
        <sz val="12"/>
        <rFont val="Calibri"/>
        <family val="2"/>
      </rPr>
      <t>k</t>
    </r>
    <r>
      <rPr>
        <sz val="12"/>
        <rFont val="Calibri"/>
        <family val="2"/>
      </rPr>
      <t xml:space="preserve">, kJ/h; </t>
    </r>
    <r>
      <rPr>
        <i/>
        <sz val="12"/>
        <rFont val="Calibri"/>
        <family val="2"/>
      </rPr>
      <t>Wk</t>
    </r>
    <r>
      <rPr>
        <sz val="12"/>
        <rFont val="Arial"/>
        <family val="2"/>
      </rPr>
      <t>•</t>
    </r>
    <r>
      <rPr>
        <sz val="12"/>
        <rFont val="Calibri"/>
        <family val="2"/>
      </rPr>
      <t xml:space="preserve">: energy flow </t>
    </r>
    <r>
      <rPr>
        <i/>
        <sz val="12"/>
        <rFont val="Calibri"/>
        <family val="2"/>
      </rPr>
      <t>k</t>
    </r>
    <r>
      <rPr>
        <sz val="12"/>
        <rFont val="Calibri"/>
        <family val="2"/>
      </rPr>
      <t xml:space="preserve"> for power needs, kWh/h; </t>
    </r>
    <r>
      <rPr>
        <i/>
        <sz val="12"/>
        <rFont val="Calibri"/>
        <family val="2"/>
      </rPr>
      <t>m</t>
    </r>
    <r>
      <rPr>
        <sz val="12"/>
        <rFont val="Arial"/>
        <family val="2"/>
      </rPr>
      <t>•product</t>
    </r>
    <r>
      <rPr>
        <sz val="12"/>
        <rFont val="Calibri"/>
        <family val="2"/>
      </rPr>
      <t>: total mass flow rate of the product stream, kg/h. All energy flows to the waste treatment section should be specified</t>
    </r>
  </si>
  <si>
    <r>
      <t>E</t>
    </r>
    <r>
      <rPr>
        <vertAlign val="superscript"/>
        <sz val="12"/>
        <rFont val="Calibri"/>
        <family val="2"/>
      </rPr>
      <t>•</t>
    </r>
    <r>
      <rPr>
        <sz val="12"/>
        <rFont val="Calibri"/>
        <family val="2"/>
      </rPr>
      <t>: energy flow rate as a heat flow or power provided by utilities such as natural gas, fuel oil, steam, and electricity, kJ/h; C</t>
    </r>
    <r>
      <rPr>
        <vertAlign val="subscript"/>
        <sz val="12"/>
        <rFont val="Calibri"/>
        <family val="2"/>
      </rPr>
      <t>factor</t>
    </r>
    <r>
      <rPr>
        <sz val="12"/>
        <rFont val="Calibri"/>
        <family val="2"/>
      </rPr>
      <t xml:space="preserve">: conversion factor to fuel energy; </t>
    </r>
    <r>
      <rPr>
        <i/>
        <sz val="12"/>
        <rFont val="Calibri"/>
        <family val="2"/>
      </rPr>
      <t>Qk</t>
    </r>
    <r>
      <rPr>
        <sz val="12"/>
        <rFont val="Arial"/>
        <family val="2"/>
      </rPr>
      <t>•</t>
    </r>
    <r>
      <rPr>
        <sz val="12"/>
        <rFont val="Calibri"/>
        <family val="2"/>
      </rPr>
      <t xml:space="preserve">: heat flow stream </t>
    </r>
    <r>
      <rPr>
        <i/>
        <sz val="12"/>
        <rFont val="Calibri"/>
        <family val="2"/>
      </rPr>
      <t>k</t>
    </r>
    <r>
      <rPr>
        <sz val="12"/>
        <rFont val="Calibri"/>
        <family val="2"/>
      </rPr>
      <t xml:space="preserve">, kJ/h; </t>
    </r>
    <r>
      <rPr>
        <i/>
        <sz val="12"/>
        <rFont val="Calibri"/>
        <family val="2"/>
      </rPr>
      <t>Wk</t>
    </r>
    <r>
      <rPr>
        <sz val="12"/>
        <rFont val="Arial"/>
        <family val="2"/>
      </rPr>
      <t>•</t>
    </r>
    <r>
      <rPr>
        <sz val="12"/>
        <rFont val="Calibri"/>
        <family val="2"/>
      </rPr>
      <t xml:space="preserve">: energy flow </t>
    </r>
    <r>
      <rPr>
        <i/>
        <sz val="12"/>
        <rFont val="Calibri"/>
        <family val="2"/>
      </rPr>
      <t>k</t>
    </r>
    <r>
      <rPr>
        <sz val="12"/>
        <rFont val="Calibri"/>
        <family val="2"/>
      </rPr>
      <t xml:space="preserve"> for power needs, kWh/h; </t>
    </r>
    <r>
      <rPr>
        <i/>
        <sz val="12"/>
        <rFont val="Calibri"/>
        <family val="2"/>
      </rPr>
      <t>m</t>
    </r>
    <r>
      <rPr>
        <sz val="12"/>
        <rFont val="Arial"/>
        <family val="2"/>
      </rPr>
      <t>•product</t>
    </r>
    <r>
      <rPr>
        <sz val="12"/>
        <rFont val="Calibri"/>
        <family val="2"/>
      </rPr>
      <t>: total mass flow rate of the product stream, kg/h. All energy flows to the solven recovery section should be specified</t>
    </r>
  </si>
  <si>
    <r>
      <t>mj</t>
    </r>
    <r>
      <rPr>
        <sz val="12"/>
        <rFont val="Arial"/>
        <family val="2"/>
      </rPr>
      <t>•</t>
    </r>
    <r>
      <rPr>
        <sz val="12"/>
        <rFont val="Calibri"/>
        <family val="2"/>
      </rPr>
      <t xml:space="preserve">in: total mass flow rate of the input stream </t>
    </r>
    <r>
      <rPr>
        <i/>
        <sz val="12"/>
        <rFont val="Calibri"/>
        <family val="2"/>
      </rPr>
      <t>j</t>
    </r>
    <r>
      <rPr>
        <sz val="12"/>
        <rFont val="Calibri"/>
        <family val="2"/>
      </rPr>
      <t xml:space="preserve">, kg/h; m•product: product flow rate, kg/h; </t>
    </r>
    <r>
      <rPr>
        <sz val="12"/>
        <rFont val="Symbol"/>
        <family val="1"/>
        <charset val="2"/>
      </rPr>
      <t>D</t>
    </r>
    <r>
      <rPr>
        <i/>
        <sz val="12"/>
        <rFont val="Calibri"/>
        <family val="2"/>
      </rPr>
      <t>H</t>
    </r>
    <r>
      <rPr>
        <i/>
        <vertAlign val="subscript"/>
        <sz val="12"/>
        <rFont val="Calibri"/>
        <family val="2"/>
      </rPr>
      <t>j</t>
    </r>
    <r>
      <rPr>
        <sz val="12"/>
        <rFont val="Calibri"/>
        <family val="2"/>
      </rPr>
      <t xml:space="preserve">: mass enthalpy of the stream </t>
    </r>
    <r>
      <rPr>
        <i/>
        <sz val="12"/>
        <rFont val="Calibri"/>
        <family val="2"/>
      </rPr>
      <t>j</t>
    </r>
    <r>
      <rPr>
        <sz val="12"/>
        <rFont val="Calibri"/>
        <family val="2"/>
      </rPr>
      <t xml:space="preserve"> in the respective phase (</t>
    </r>
    <r>
      <rPr>
        <i/>
        <sz val="12"/>
        <rFont val="Calibri"/>
        <family val="2"/>
      </rPr>
      <t>L</t>
    </r>
    <r>
      <rPr>
        <sz val="12"/>
        <rFont val="Calibri"/>
        <family val="2"/>
      </rPr>
      <t xml:space="preserve">: liquid, </t>
    </r>
    <r>
      <rPr>
        <i/>
        <sz val="12"/>
        <rFont val="Calibri"/>
        <family val="2"/>
      </rPr>
      <t>V</t>
    </r>
    <r>
      <rPr>
        <sz val="12"/>
        <rFont val="Calibri"/>
        <family val="2"/>
      </rPr>
      <t>: vapor), kJ/kg</t>
    </r>
  </si>
  <si>
    <r>
      <t>E</t>
    </r>
    <r>
      <rPr>
        <vertAlign val="superscript"/>
        <sz val="12"/>
        <rFont val="Calibri"/>
        <family val="2"/>
      </rPr>
      <t>•</t>
    </r>
    <r>
      <rPr>
        <sz val="12"/>
        <rFont val="Calibri"/>
        <family val="2"/>
      </rPr>
      <t>: energy flow rate as a heat flow or power provided by utilities such as natural gas, fuel oil, steam, and electricity, kJ/h; C</t>
    </r>
    <r>
      <rPr>
        <vertAlign val="subscript"/>
        <sz val="12"/>
        <rFont val="Calibri"/>
        <family val="2"/>
      </rPr>
      <t>factor</t>
    </r>
    <r>
      <rPr>
        <sz val="12"/>
        <rFont val="Calibri"/>
        <family val="2"/>
      </rPr>
      <t xml:space="preserve">: conversion factor to fuel energy; </t>
    </r>
    <r>
      <rPr>
        <i/>
        <sz val="12"/>
        <rFont val="Calibri"/>
        <family val="2"/>
      </rPr>
      <t>Qk</t>
    </r>
    <r>
      <rPr>
        <sz val="12"/>
        <rFont val="Arial"/>
        <family val="2"/>
      </rPr>
      <t>•</t>
    </r>
    <r>
      <rPr>
        <sz val="12"/>
        <rFont val="Calibri"/>
        <family val="2"/>
      </rPr>
      <t xml:space="preserve">: heat flow stream </t>
    </r>
    <r>
      <rPr>
        <i/>
        <sz val="12"/>
        <rFont val="Calibri"/>
        <family val="2"/>
      </rPr>
      <t>k</t>
    </r>
    <r>
      <rPr>
        <sz val="12"/>
        <rFont val="Calibri"/>
        <family val="2"/>
      </rPr>
      <t xml:space="preserve">, kJ/h; </t>
    </r>
    <r>
      <rPr>
        <i/>
        <sz val="12"/>
        <rFont val="Calibri"/>
        <family val="2"/>
      </rPr>
      <t>Wk</t>
    </r>
    <r>
      <rPr>
        <sz val="12"/>
        <rFont val="Arial"/>
        <family val="2"/>
      </rPr>
      <t>•</t>
    </r>
    <r>
      <rPr>
        <sz val="12"/>
        <rFont val="Calibri"/>
        <family val="2"/>
      </rPr>
      <t xml:space="preserve">: energy flow </t>
    </r>
    <r>
      <rPr>
        <i/>
        <sz val="12"/>
        <rFont val="Calibri"/>
        <family val="2"/>
      </rPr>
      <t>k</t>
    </r>
    <r>
      <rPr>
        <sz val="12"/>
        <rFont val="Calibri"/>
        <family val="2"/>
      </rPr>
      <t xml:space="preserve"> for power needs, kWh/h; utility rates from renewable sources</t>
    </r>
  </si>
  <si>
    <r>
      <t>mj</t>
    </r>
    <r>
      <rPr>
        <sz val="12"/>
        <rFont val="Arial"/>
        <family val="2"/>
      </rPr>
      <t>•</t>
    </r>
    <r>
      <rPr>
        <sz val="12"/>
        <rFont val="Calibri"/>
        <family val="2"/>
      </rPr>
      <t xml:space="preserve">in: total mass flow rate of the input stream </t>
    </r>
    <r>
      <rPr>
        <i/>
        <sz val="12"/>
        <rFont val="Calibri"/>
        <family val="2"/>
      </rPr>
      <t>j</t>
    </r>
    <r>
      <rPr>
        <sz val="12"/>
        <rFont val="Calibri"/>
        <family val="2"/>
      </rPr>
      <t xml:space="preserve">, kg/h; m•product: product flow rate, kg/h; </t>
    </r>
    <r>
      <rPr>
        <sz val="12"/>
        <rFont val="Symbol"/>
        <family val="1"/>
        <charset val="2"/>
      </rPr>
      <t>D</t>
    </r>
    <r>
      <rPr>
        <i/>
        <sz val="12"/>
        <rFont val="Calibri"/>
        <family val="2"/>
      </rPr>
      <t>H</t>
    </r>
    <r>
      <rPr>
        <i/>
        <vertAlign val="subscript"/>
        <sz val="12"/>
        <rFont val="Calibri"/>
        <family val="2"/>
      </rPr>
      <t>j</t>
    </r>
    <r>
      <rPr>
        <sz val="12"/>
        <rFont val="Calibri"/>
        <family val="2"/>
      </rPr>
      <t xml:space="preserve">: mass enthalpy of the stream </t>
    </r>
    <r>
      <rPr>
        <i/>
        <sz val="12"/>
        <rFont val="Calibri"/>
        <family val="2"/>
      </rPr>
      <t>j</t>
    </r>
    <r>
      <rPr>
        <sz val="12"/>
        <rFont val="Calibri"/>
        <family val="2"/>
      </rPr>
      <t xml:space="preserve"> in the respective phase (</t>
    </r>
    <r>
      <rPr>
        <i/>
        <sz val="12"/>
        <rFont val="Calibri"/>
        <family val="2"/>
      </rPr>
      <t>L</t>
    </r>
    <r>
      <rPr>
        <sz val="12"/>
        <rFont val="Calibri"/>
        <family val="2"/>
      </rPr>
      <t xml:space="preserve">: liquid, </t>
    </r>
    <r>
      <rPr>
        <i/>
        <sz val="12"/>
        <rFont val="Calibri"/>
        <family val="2"/>
      </rPr>
      <t>V</t>
    </r>
    <r>
      <rPr>
        <sz val="12"/>
        <rFont val="Calibri"/>
        <family val="2"/>
      </rPr>
      <t>: vapor), kJ/kg; utility rates from non-renewable sources</t>
    </r>
  </si>
  <si>
    <r>
      <t>E</t>
    </r>
    <r>
      <rPr>
        <vertAlign val="superscript"/>
        <sz val="12"/>
        <rFont val="Calibri"/>
        <family val="2"/>
      </rPr>
      <t>•</t>
    </r>
    <r>
      <rPr>
        <sz val="12"/>
        <rFont val="Calibri"/>
        <family val="2"/>
      </rPr>
      <t>: energy flow rate as a heat flow or power provided by utilities such as natural gas, fuel oil, steam, and electricity, kJ/h; C</t>
    </r>
    <r>
      <rPr>
        <vertAlign val="subscript"/>
        <sz val="12"/>
        <rFont val="Calibri"/>
        <family val="2"/>
      </rPr>
      <t>factor</t>
    </r>
    <r>
      <rPr>
        <sz val="12"/>
        <rFont val="Calibri"/>
        <family val="2"/>
      </rPr>
      <t xml:space="preserve">: conversion factor to fuel energy; </t>
    </r>
    <r>
      <rPr>
        <i/>
        <sz val="12"/>
        <rFont val="Calibri"/>
        <family val="2"/>
      </rPr>
      <t>Qk</t>
    </r>
    <r>
      <rPr>
        <sz val="12"/>
        <rFont val="Arial"/>
        <family val="2"/>
      </rPr>
      <t>•</t>
    </r>
    <r>
      <rPr>
        <sz val="12"/>
        <rFont val="Calibri"/>
        <family val="2"/>
      </rPr>
      <t xml:space="preserve">: heat flow stream </t>
    </r>
    <r>
      <rPr>
        <i/>
        <sz val="12"/>
        <rFont val="Calibri"/>
        <family val="2"/>
      </rPr>
      <t>k</t>
    </r>
    <r>
      <rPr>
        <sz val="12"/>
        <rFont val="Calibri"/>
        <family val="2"/>
      </rPr>
      <t xml:space="preserve">, kJ/h; </t>
    </r>
    <r>
      <rPr>
        <i/>
        <sz val="12"/>
        <rFont val="Calibri"/>
        <family val="2"/>
      </rPr>
      <t>Wk</t>
    </r>
    <r>
      <rPr>
        <sz val="12"/>
        <rFont val="Arial"/>
        <family val="2"/>
      </rPr>
      <t>•</t>
    </r>
    <r>
      <rPr>
        <sz val="12"/>
        <rFont val="Calibri"/>
        <family val="2"/>
      </rPr>
      <t xml:space="preserve">: energy flow </t>
    </r>
    <r>
      <rPr>
        <i/>
        <sz val="12"/>
        <rFont val="Calibri"/>
        <family val="2"/>
      </rPr>
      <t>k</t>
    </r>
    <r>
      <rPr>
        <sz val="12"/>
        <rFont val="Calibri"/>
        <family val="2"/>
      </rPr>
      <t xml:space="preserve"> for power needs, kWh/h. All energy flows to the recycling section should be specified</t>
    </r>
  </si>
  <si>
    <t>Total purchase cost  $</t>
  </si>
  <si>
    <t>Total purchase  $</t>
  </si>
  <si>
    <t>Total purchase cost  $ (By using CAPCOST)</t>
  </si>
  <si>
    <t>Equipment</t>
  </si>
  <si>
    <t>Energy required, MJ/kg steam produced</t>
  </si>
  <si>
    <t xml:space="preserve">Natural gas heating value, MJ/m^3  </t>
  </si>
  <si>
    <t>Total Energy required for steam demand, MJ/h</t>
  </si>
  <si>
    <t>Natural gas usage, m^3/h</t>
  </si>
  <si>
    <t>Total Energy required for electricity demand, MJ/h</t>
  </si>
  <si>
    <t>Moderately low temperature refrigerated water in @ 5°C and returned at 15°C is supplied by a combined Cooling water loop</t>
  </si>
  <si>
    <t>Total power demand per GJ of heat removed from the process, kWh/GJ</t>
  </si>
  <si>
    <t>Total power rate, kWh/h</t>
  </si>
  <si>
    <t xml:space="preserve">MJ/kg </t>
  </si>
  <si>
    <t>Power added, MJ/h</t>
  </si>
  <si>
    <t>Cooling, MJ/h</t>
  </si>
  <si>
    <t>Energy for waste treatment</t>
  </si>
  <si>
    <t>Energy for solvent recovery</t>
  </si>
  <si>
    <t>Heating, MJ/h</t>
  </si>
  <si>
    <t>Total energy requirements as a primary energy equivalent, MJ/h</t>
  </si>
  <si>
    <t>electricity, kWh/h</t>
  </si>
  <si>
    <t>Process cooling needs</t>
  </si>
  <si>
    <t>Input, MJ/h</t>
  </si>
  <si>
    <t>Output, MJ/h</t>
  </si>
  <si>
    <t>Energy consumption for specific subprocesses</t>
  </si>
  <si>
    <t>MJ/$</t>
  </si>
  <si>
    <t xml:space="preserve">This is the net amount of energy required by the recycling operating units per mass of product </t>
  </si>
  <si>
    <t>Output Streams</t>
  </si>
  <si>
    <t>Energy supplied by renewable source, MJ/h</t>
  </si>
  <si>
    <t>Energy supplied by nonrenewable source, MJ/h</t>
  </si>
  <si>
    <t>Power supplied by renewable source, kWh/h</t>
  </si>
  <si>
    <t>Power supplied by nonrenewable source, kWh/h</t>
  </si>
  <si>
    <t>Average, primary energy equivalent, MJ/kWh</t>
  </si>
  <si>
    <t>Average, all U.S. fosil fuel power plants @ 2010, MJ/kWh</t>
  </si>
  <si>
    <t>The total energy output of the process divided by the non-renewable material input energy</t>
  </si>
  <si>
    <t>Renewable, MJ/h</t>
  </si>
  <si>
    <t>Nonrenewable, MJ/h</t>
  </si>
  <si>
    <t>Total percentage of energy supplied by renewable source, %</t>
  </si>
  <si>
    <t>Present value ratio</t>
  </si>
  <si>
    <t>Discounted payback period</t>
  </si>
  <si>
    <t>Discounted cash flow rate of return</t>
  </si>
  <si>
    <t>Capital charge factors</t>
  </si>
  <si>
    <t>(Specific) Economic potential</t>
  </si>
  <si>
    <t>Rate of return on investment</t>
  </si>
  <si>
    <t>Payback period</t>
  </si>
  <si>
    <t>Cumulative cash position</t>
  </si>
  <si>
    <t>Turnover ratio</t>
  </si>
  <si>
    <t>Cumulative cash ratio</t>
  </si>
  <si>
    <t>Revenues from eco-products</t>
  </si>
  <si>
    <t>Revenue fraction of eco-products</t>
  </si>
  <si>
    <t>REV</t>
  </si>
  <si>
    <t>Equivalent annual cost</t>
  </si>
  <si>
    <t>Total product cost</t>
  </si>
  <si>
    <t>TPC</t>
  </si>
  <si>
    <t>Production cost</t>
  </si>
  <si>
    <t>Capital cost</t>
  </si>
  <si>
    <t>Manufacturing cost</t>
  </si>
  <si>
    <t>COM</t>
  </si>
  <si>
    <t>Specific raw material cost</t>
  </si>
  <si>
    <t>Total material cost</t>
  </si>
  <si>
    <t>Total energy cost</t>
  </si>
  <si>
    <t>Specific energy cost</t>
  </si>
  <si>
    <t>Average cost of energy source</t>
  </si>
  <si>
    <t>Total water cost</t>
  </si>
  <si>
    <t>Water cost fraction</t>
  </si>
  <si>
    <t>Average volume water type cost</t>
  </si>
  <si>
    <t>Total solid waste cost</t>
  </si>
  <si>
    <t>Solid waste cost fraction</t>
  </si>
  <si>
    <t>Total liquid waste cost</t>
  </si>
  <si>
    <t>Liquid waste cost fraction</t>
  </si>
  <si>
    <t>Costs of purifying air</t>
  </si>
  <si>
    <t>Fractional costs of purifying air</t>
  </si>
  <si>
    <t>Ex• (physical), MJ/h</t>
  </si>
  <si>
    <t>Ex• (chemical), MJ/h</t>
  </si>
  <si>
    <t>Ex°^(ch), MJ/kmol</t>
  </si>
  <si>
    <t>nj•, kmol/h</t>
  </si>
  <si>
    <t>Exj•, MJ/h</t>
  </si>
  <si>
    <t>Exj•, MW</t>
  </si>
  <si>
    <t>Net Product</t>
  </si>
  <si>
    <t>Total power added to the process, kWh/h</t>
  </si>
  <si>
    <t>Exergy factor for electricity, MJ/kWh</t>
  </si>
  <si>
    <t>Total Exergy from electricity delivered, MJ/h</t>
  </si>
  <si>
    <t>Total Steam demand, kg/h</t>
  </si>
  <si>
    <t>Steam chemical exergy, MJ/kg</t>
  </si>
  <si>
    <t>Steam Physical exergy, MJ/kg</t>
  </si>
  <si>
    <t>Total Exergy from steam demand, MJ/h</t>
  </si>
  <si>
    <t>Steam entropy ratio, MJ/kg/K</t>
  </si>
  <si>
    <t>Steam enthalpy ratio, MJ/kg</t>
  </si>
  <si>
    <t>Net material inputs</t>
  </si>
  <si>
    <t>Net material outputs (no products)</t>
  </si>
  <si>
    <t>Ex• lost, MJ/h</t>
  </si>
  <si>
    <t>Sgenerated, MJ/(h*K)</t>
  </si>
  <si>
    <t>no</t>
  </si>
  <si>
    <t>Renewable, yes=1 &amp; no=0</t>
  </si>
  <si>
    <t>Renewable material inputs</t>
  </si>
  <si>
    <t>Nonrenewable material inputs</t>
  </si>
  <si>
    <t>Renewable inputs, yes=1 &amp; no=0</t>
  </si>
  <si>
    <r>
      <t>E</t>
    </r>
    <r>
      <rPr>
        <vertAlign val="superscript"/>
        <sz val="12"/>
        <rFont val="Calibri"/>
        <family val="2"/>
      </rPr>
      <t>•</t>
    </r>
    <r>
      <rPr>
        <sz val="12"/>
        <rFont val="Calibri"/>
        <family val="2"/>
      </rPr>
      <t>: energy flow rate as a heat flow or power provided by utilities such as natural gas, fuel oil, steam, and electricity, MJ/h; C</t>
    </r>
    <r>
      <rPr>
        <vertAlign val="subscript"/>
        <sz val="12"/>
        <rFont val="Calibri"/>
        <family val="2"/>
      </rPr>
      <t>factor</t>
    </r>
    <r>
      <rPr>
        <sz val="12"/>
        <rFont val="Calibri"/>
        <family val="2"/>
      </rPr>
      <t xml:space="preserve">: conversion factor to fuel energy; </t>
    </r>
    <r>
      <rPr>
        <i/>
        <sz val="12"/>
        <rFont val="Calibri"/>
        <family val="2"/>
      </rPr>
      <t>Qk</t>
    </r>
    <r>
      <rPr>
        <sz val="12"/>
        <rFont val="Arial"/>
        <family val="2"/>
      </rPr>
      <t>•</t>
    </r>
    <r>
      <rPr>
        <sz val="12"/>
        <rFont val="Calibri"/>
        <family val="2"/>
      </rPr>
      <t xml:space="preserve">: heat flow stream </t>
    </r>
    <r>
      <rPr>
        <i/>
        <sz val="12"/>
        <rFont val="Calibri"/>
        <family val="2"/>
      </rPr>
      <t>k</t>
    </r>
    <r>
      <rPr>
        <sz val="12"/>
        <rFont val="Calibri"/>
        <family val="2"/>
      </rPr>
      <t xml:space="preserve">, MJ/h; </t>
    </r>
    <r>
      <rPr>
        <i/>
        <sz val="12"/>
        <rFont val="Calibri"/>
        <family val="2"/>
      </rPr>
      <t>Wk</t>
    </r>
    <r>
      <rPr>
        <sz val="12"/>
        <rFont val="Arial"/>
        <family val="2"/>
      </rPr>
      <t>•</t>
    </r>
    <r>
      <rPr>
        <sz val="12"/>
        <rFont val="Calibri"/>
        <family val="2"/>
      </rPr>
      <t xml:space="preserve">: energy flow </t>
    </r>
    <r>
      <rPr>
        <i/>
        <sz val="12"/>
        <rFont val="Calibri"/>
        <family val="2"/>
      </rPr>
      <t>k</t>
    </r>
    <r>
      <rPr>
        <sz val="12"/>
        <rFont val="Calibri"/>
        <family val="2"/>
      </rPr>
      <t xml:space="preserve"> for power needs, kWh/h; </t>
    </r>
    <r>
      <rPr>
        <i/>
        <sz val="12"/>
        <rFont val="Calibri"/>
        <family val="2"/>
      </rPr>
      <t>mj</t>
    </r>
    <r>
      <rPr>
        <sz val="12"/>
        <rFont val="Arial"/>
        <family val="2"/>
      </rPr>
      <t>•</t>
    </r>
    <r>
      <rPr>
        <sz val="12"/>
        <rFont val="Calibri"/>
        <family val="2"/>
      </rPr>
      <t xml:space="preserve">in: total mass flow rate of the input stream </t>
    </r>
    <r>
      <rPr>
        <i/>
        <sz val="12"/>
        <rFont val="Calibri"/>
        <family val="2"/>
      </rPr>
      <t>j</t>
    </r>
    <r>
      <rPr>
        <sz val="12"/>
        <rFont val="Calibri"/>
        <family val="2"/>
      </rPr>
      <t xml:space="preserve">, kg/h; mj•out: total mass flow rate of the output stream </t>
    </r>
    <r>
      <rPr>
        <i/>
        <sz val="12"/>
        <rFont val="Calibri"/>
        <family val="2"/>
      </rPr>
      <t>j</t>
    </r>
    <r>
      <rPr>
        <sz val="12"/>
        <rFont val="Calibri"/>
        <family val="2"/>
      </rPr>
      <t xml:space="preserve">, kg/h; </t>
    </r>
    <r>
      <rPr>
        <sz val="12"/>
        <rFont val="Symbol"/>
        <family val="1"/>
        <charset val="2"/>
      </rPr>
      <t>D</t>
    </r>
    <r>
      <rPr>
        <i/>
        <sz val="12"/>
        <rFont val="Calibri"/>
        <family val="2"/>
      </rPr>
      <t>H</t>
    </r>
    <r>
      <rPr>
        <i/>
        <vertAlign val="subscript"/>
        <sz val="12"/>
        <rFont val="Calibri"/>
        <family val="2"/>
      </rPr>
      <t>j</t>
    </r>
    <r>
      <rPr>
        <sz val="12"/>
        <rFont val="Calibri"/>
        <family val="2"/>
      </rPr>
      <t xml:space="preserve">: mass enthalpy of the stream </t>
    </r>
    <r>
      <rPr>
        <i/>
        <sz val="12"/>
        <rFont val="Calibri"/>
        <family val="2"/>
      </rPr>
      <t>j</t>
    </r>
    <r>
      <rPr>
        <sz val="12"/>
        <rFont val="Calibri"/>
        <family val="2"/>
      </rPr>
      <t xml:space="preserve"> in the respective phase (</t>
    </r>
    <r>
      <rPr>
        <i/>
        <sz val="12"/>
        <rFont val="Calibri"/>
        <family val="2"/>
      </rPr>
      <t>L</t>
    </r>
    <r>
      <rPr>
        <sz val="12"/>
        <rFont val="Calibri"/>
        <family val="2"/>
      </rPr>
      <t xml:space="preserve">: liquid, </t>
    </r>
    <r>
      <rPr>
        <i/>
        <sz val="12"/>
        <rFont val="Calibri"/>
        <family val="2"/>
      </rPr>
      <t>V</t>
    </r>
    <r>
      <rPr>
        <sz val="12"/>
        <rFont val="Calibri"/>
        <family val="2"/>
      </rPr>
      <t>: vapor), MJ/kg</t>
    </r>
  </si>
  <si>
    <r>
      <t>E</t>
    </r>
    <r>
      <rPr>
        <vertAlign val="superscript"/>
        <sz val="12"/>
        <rFont val="Calibri"/>
        <family val="2"/>
      </rPr>
      <t>•</t>
    </r>
    <r>
      <rPr>
        <sz val="12"/>
        <rFont val="Calibri"/>
        <family val="2"/>
      </rPr>
      <t>: energy flow rate as a heat flow or power provided by utilities such as natural gas, fuel oil, steam, and electricity, MJ/h; C</t>
    </r>
    <r>
      <rPr>
        <vertAlign val="subscript"/>
        <sz val="12"/>
        <rFont val="Calibri"/>
        <family val="2"/>
      </rPr>
      <t>factor</t>
    </r>
    <r>
      <rPr>
        <sz val="12"/>
        <rFont val="Calibri"/>
        <family val="2"/>
      </rPr>
      <t xml:space="preserve">: conversion factor to fuel energy; </t>
    </r>
    <r>
      <rPr>
        <i/>
        <sz val="12"/>
        <rFont val="Calibri"/>
        <family val="2"/>
      </rPr>
      <t>Qk</t>
    </r>
    <r>
      <rPr>
        <sz val="12"/>
        <rFont val="Arial"/>
        <family val="2"/>
      </rPr>
      <t>•</t>
    </r>
    <r>
      <rPr>
        <sz val="12"/>
        <rFont val="Calibri"/>
        <family val="2"/>
      </rPr>
      <t xml:space="preserve">: heat flow stream </t>
    </r>
    <r>
      <rPr>
        <i/>
        <sz val="12"/>
        <rFont val="Calibri"/>
        <family val="2"/>
      </rPr>
      <t>k</t>
    </r>
    <r>
      <rPr>
        <sz val="12"/>
        <rFont val="Calibri"/>
        <family val="2"/>
      </rPr>
      <t xml:space="preserve">, MJ/h; </t>
    </r>
    <r>
      <rPr>
        <i/>
        <sz val="12"/>
        <rFont val="Calibri"/>
        <family val="2"/>
      </rPr>
      <t>Wk</t>
    </r>
    <r>
      <rPr>
        <sz val="12"/>
        <rFont val="Arial"/>
        <family val="2"/>
      </rPr>
      <t>•</t>
    </r>
    <r>
      <rPr>
        <sz val="12"/>
        <rFont val="Calibri"/>
        <family val="2"/>
      </rPr>
      <t xml:space="preserve">: energy flow </t>
    </r>
    <r>
      <rPr>
        <i/>
        <sz val="12"/>
        <rFont val="Calibri"/>
        <family val="2"/>
      </rPr>
      <t>k</t>
    </r>
    <r>
      <rPr>
        <sz val="12"/>
        <rFont val="Calibri"/>
        <family val="2"/>
      </rPr>
      <t xml:space="preserve"> for power needs, kWh/h; </t>
    </r>
    <r>
      <rPr>
        <i/>
        <sz val="12"/>
        <rFont val="Calibri"/>
        <family val="2"/>
      </rPr>
      <t>m</t>
    </r>
    <r>
      <rPr>
        <sz val="12"/>
        <rFont val="Arial"/>
        <family val="2"/>
      </rPr>
      <t>•product</t>
    </r>
    <r>
      <rPr>
        <sz val="12"/>
        <rFont val="Calibri"/>
        <family val="2"/>
      </rPr>
      <t>: total mass flow rate of the product stream, kg/h</t>
    </r>
  </si>
  <si>
    <r>
      <t>E</t>
    </r>
    <r>
      <rPr>
        <vertAlign val="superscript"/>
        <sz val="12"/>
        <rFont val="Calibri"/>
        <family val="2"/>
      </rPr>
      <t>•</t>
    </r>
    <r>
      <rPr>
        <sz val="12"/>
        <rFont val="Calibri"/>
        <family val="2"/>
      </rPr>
      <t>: energy flow rate as a heat flow or power provided by utilities such as natural gas, fuel oil, steam, and electricity, MJ/h; C</t>
    </r>
    <r>
      <rPr>
        <vertAlign val="subscript"/>
        <sz val="12"/>
        <rFont val="Calibri"/>
        <family val="2"/>
      </rPr>
      <t>factor</t>
    </r>
    <r>
      <rPr>
        <sz val="12"/>
        <rFont val="Calibri"/>
        <family val="2"/>
      </rPr>
      <t xml:space="preserve">: conversion factor to fuel energy; </t>
    </r>
    <r>
      <rPr>
        <i/>
        <sz val="12"/>
        <rFont val="Calibri"/>
        <family val="2"/>
      </rPr>
      <t>Qk</t>
    </r>
    <r>
      <rPr>
        <sz val="12"/>
        <rFont val="Arial"/>
        <family val="2"/>
      </rPr>
      <t>•</t>
    </r>
    <r>
      <rPr>
        <sz val="12"/>
        <rFont val="Calibri"/>
        <family val="2"/>
      </rPr>
      <t xml:space="preserve">: heat flow stream </t>
    </r>
    <r>
      <rPr>
        <i/>
        <sz val="12"/>
        <rFont val="Calibri"/>
        <family val="2"/>
      </rPr>
      <t>k</t>
    </r>
    <r>
      <rPr>
        <sz val="12"/>
        <rFont val="Calibri"/>
        <family val="2"/>
      </rPr>
      <t xml:space="preserve">, MJ/h; </t>
    </r>
    <r>
      <rPr>
        <i/>
        <sz val="12"/>
        <rFont val="Calibri"/>
        <family val="2"/>
      </rPr>
      <t>Wk</t>
    </r>
    <r>
      <rPr>
        <sz val="12"/>
        <rFont val="Arial"/>
        <family val="2"/>
      </rPr>
      <t>•</t>
    </r>
    <r>
      <rPr>
        <sz val="12"/>
        <rFont val="Calibri"/>
        <family val="2"/>
      </rPr>
      <t xml:space="preserve">: energy flow </t>
    </r>
    <r>
      <rPr>
        <i/>
        <sz val="12"/>
        <rFont val="Calibri"/>
        <family val="2"/>
      </rPr>
      <t>k</t>
    </r>
    <r>
      <rPr>
        <sz val="12"/>
        <rFont val="Calibri"/>
        <family val="2"/>
      </rPr>
      <t xml:space="preserve"> for power needs, kWh/h; </t>
    </r>
    <r>
      <rPr>
        <i/>
        <sz val="12"/>
        <rFont val="Calibri"/>
        <family val="2"/>
      </rPr>
      <t>Sm</t>
    </r>
    <r>
      <rPr>
        <sz val="12"/>
        <rFont val="Calibri"/>
        <family val="2"/>
      </rPr>
      <t>: product cost per time unit</t>
    </r>
  </si>
  <si>
    <t>Q</t>
  </si>
  <si>
    <t xml:space="preserve">PVR is a good criterion for comparison of processes with different investment levels. A PVR =1 means a break-even scenario. If PVR&gt;1, the process is profitable, and if PVR&lt;1 it is a unprofitable design. </t>
  </si>
  <si>
    <t>See data inputs for NPV</t>
  </si>
  <si>
    <t>$/$</t>
  </si>
  <si>
    <t xml:space="preserve">See data inputs for NPV. Note that it is necessary to interpolate after finding the discrete year to find the remaining year fraction </t>
  </si>
  <si>
    <t>yr</t>
  </si>
  <si>
    <t>1/yr</t>
  </si>
  <si>
    <t xml:space="preserve">The CCF accounts the time value of money in a profitability analysis during a preliminary process design. There is a direct relationship between CCF and the DCFROR. A value of CCF=1 yr^(-1) can be considered for a high risk project. </t>
  </si>
  <si>
    <t>See data inputs for NPV; m•m, product i: annual mass flow of product i in year m, kg/yr</t>
  </si>
  <si>
    <t>$/kg product</t>
  </si>
  <si>
    <t>fraction or %</t>
  </si>
  <si>
    <t xml:space="preserve">This a faster evaluation method suitable for order of magnitude estimates. For the chemical industry as a rule of thumb, TR~0.5. </t>
  </si>
  <si>
    <t>This is the worth of the project at the end of its assumed life.</t>
  </si>
  <si>
    <r>
      <t>This non-discounted profitability criterion  is the required amount of cash flow over and above to meet the minimum acceptable rate of return</t>
    </r>
    <r>
      <rPr>
        <sz val="12"/>
        <rFont val="Times New Roman"/>
        <family val="1"/>
      </rPr>
      <t xml:space="preserve"> and recover the total capital investment.</t>
    </r>
  </si>
  <si>
    <t>See data inputs for NPV; MARR: minimum acceptable rate of return, Table 8-1 Peters et al. 2003.</t>
  </si>
  <si>
    <t>The net revenues from the sale of products categorized as eco-products</t>
  </si>
  <si>
    <t>See data inputs for NPV, eco-products categorization list</t>
  </si>
  <si>
    <t xml:space="preserve">The net revenues from the sale of products categorized as eco-products over the total sales revenue or value added </t>
  </si>
  <si>
    <t xml:space="preserve">This is the sum of the annualized investment cost (AIC) calculated with a specified discount rate and the total annual outcomes after taxes. AIC is the annuity required for the TCI to be returned over the project lifetime. The total annual outcomes are the negative cash flow values. </t>
  </si>
  <si>
    <t>TPC combines the operating costs of the plant, distribution and selling the products, administrative costs, and research and development costs.</t>
  </si>
  <si>
    <t>TPC= COM + GE</t>
  </si>
  <si>
    <t>See data inputs for NPV, GE: general expenses= administrative costs+ distribution and selling costs+ research and development costs (15-25% of the TPC), Peters et al. 2003 pg 259-274.</t>
  </si>
  <si>
    <t>The capital cost is the combination of one-time expenditures or fixed capital investments and the working capital investments.</t>
  </si>
  <si>
    <r>
      <t>C</t>
    </r>
    <r>
      <rPr>
        <i/>
        <vertAlign val="subscript"/>
        <sz val="12"/>
        <rFont val="Times New Roman"/>
        <family val="1"/>
      </rPr>
      <t>p</t>
    </r>
    <r>
      <rPr>
        <vertAlign val="superscript"/>
        <sz val="12"/>
        <rFont val="Times New Roman"/>
        <family val="1"/>
      </rPr>
      <t>°</t>
    </r>
    <r>
      <rPr>
        <sz val="12"/>
        <rFont val="Times New Roman"/>
        <family val="1"/>
      </rPr>
      <t xml:space="preserve">: purchased cost of equipment at manufacture’s site, $; </t>
    </r>
    <r>
      <rPr>
        <i/>
        <sz val="12"/>
        <rFont val="Times New Roman"/>
        <family val="1"/>
      </rPr>
      <t>C</t>
    </r>
    <r>
      <rPr>
        <vertAlign val="subscript"/>
        <sz val="12"/>
        <rFont val="Times New Roman"/>
        <family val="1"/>
      </rPr>
      <t>M</t>
    </r>
    <r>
      <rPr>
        <sz val="12"/>
        <rFont val="Times New Roman"/>
        <family val="1"/>
      </rPr>
      <t xml:space="preserve">: cost of materials required for equipment installation, $; </t>
    </r>
    <r>
      <rPr>
        <i/>
        <sz val="12"/>
        <rFont val="Times New Roman"/>
        <family val="1"/>
      </rPr>
      <t>C</t>
    </r>
    <r>
      <rPr>
        <vertAlign val="subscript"/>
        <sz val="12"/>
        <rFont val="Times New Roman"/>
        <family val="1"/>
      </rPr>
      <t>L</t>
    </r>
    <r>
      <rPr>
        <sz val="12"/>
        <rFont val="Times New Roman"/>
        <family val="1"/>
      </rPr>
      <t xml:space="preserve">: cost of labor to install equipment and material, $; </t>
    </r>
    <r>
      <rPr>
        <i/>
        <sz val="12"/>
        <rFont val="Times New Roman"/>
        <family val="1"/>
      </rPr>
      <t>C</t>
    </r>
    <r>
      <rPr>
        <vertAlign val="subscript"/>
        <sz val="12"/>
        <rFont val="Times New Roman"/>
        <family val="1"/>
      </rPr>
      <t>FIT</t>
    </r>
    <r>
      <rPr>
        <sz val="12"/>
        <rFont val="Times New Roman"/>
        <family val="1"/>
      </rPr>
      <t xml:space="preserve">: cost of freight, insurance, and taxes, $; </t>
    </r>
    <r>
      <rPr>
        <i/>
        <sz val="12"/>
        <rFont val="Times New Roman"/>
        <family val="1"/>
      </rPr>
      <t>C</t>
    </r>
    <r>
      <rPr>
        <i/>
        <vertAlign val="subscript"/>
        <sz val="12"/>
        <rFont val="Times New Roman"/>
        <family val="1"/>
      </rPr>
      <t>O</t>
    </r>
    <r>
      <rPr>
        <sz val="12"/>
        <rFont val="Times New Roman"/>
        <family val="1"/>
      </rPr>
      <t xml:space="preserve">: construction overhead, $; </t>
    </r>
    <r>
      <rPr>
        <i/>
        <sz val="12"/>
        <rFont val="Times New Roman"/>
        <family val="1"/>
      </rPr>
      <t>C</t>
    </r>
    <r>
      <rPr>
        <vertAlign val="subscript"/>
        <sz val="12"/>
        <rFont val="Times New Roman"/>
        <family val="1"/>
      </rPr>
      <t>E</t>
    </r>
    <r>
      <rPr>
        <sz val="12"/>
        <rFont val="Times New Roman"/>
        <family val="1"/>
      </rPr>
      <t xml:space="preserve">: contractor engineering expenses, $; </t>
    </r>
    <r>
      <rPr>
        <i/>
        <sz val="12"/>
        <rFont val="Times New Roman"/>
        <family val="1"/>
      </rPr>
      <t>C</t>
    </r>
    <r>
      <rPr>
        <vertAlign val="subscript"/>
        <sz val="12"/>
        <rFont val="Times New Roman"/>
        <family val="1"/>
      </rPr>
      <t>Cont</t>
    </r>
    <r>
      <rPr>
        <sz val="12"/>
        <rFont val="Times New Roman"/>
        <family val="1"/>
      </rPr>
      <t xml:space="preserve">: contingency factor, $; </t>
    </r>
    <r>
      <rPr>
        <i/>
        <sz val="12"/>
        <rFont val="Times New Roman"/>
        <family val="1"/>
      </rPr>
      <t>C</t>
    </r>
    <r>
      <rPr>
        <vertAlign val="subscript"/>
        <sz val="12"/>
        <rFont val="Times New Roman"/>
        <family val="1"/>
      </rPr>
      <t>Fee</t>
    </r>
    <r>
      <rPr>
        <sz val="12"/>
        <rFont val="Times New Roman"/>
        <family val="1"/>
      </rPr>
      <t>: contractor fee, $.</t>
    </r>
  </si>
  <si>
    <t>These are the costs related with the day-to-day operation of a manufacturing plant. This cost must be estimated in order to assess the economic feasibility of a proposed process design.</t>
  </si>
  <si>
    <r>
      <t>C</t>
    </r>
    <r>
      <rPr>
        <sz val="10"/>
        <rFont val="Times New Roman"/>
        <family val="1"/>
      </rPr>
      <t>SRM</t>
    </r>
    <r>
      <rPr>
        <sz val="12"/>
        <rFont val="Times New Roman"/>
        <family val="1"/>
      </rPr>
      <t xml:space="preserve">  could be used as economic indicator at the basic process design stage, assuming 100% reaction yield, thus the minimum raw material cost is computed. Some process design routes can be discarded when </t>
    </r>
    <r>
      <rPr>
        <i/>
        <sz val="12"/>
        <rFont val="Times New Roman"/>
        <family val="1"/>
      </rPr>
      <t xml:space="preserve">CSRM </t>
    </r>
    <r>
      <rPr>
        <sz val="12"/>
        <rFont val="Times New Roman"/>
        <family val="1"/>
      </rPr>
      <t xml:space="preserve"> exceeds the targeted product value.</t>
    </r>
  </si>
  <si>
    <t>This is the absolute cost of total material used in the process or process unit</t>
  </si>
  <si>
    <t>US $/ yr</t>
  </si>
  <si>
    <t>These are the costs related with the utility energy demand costs during the day-to-day operation of a manufacturing plant: fuels, electricity, steam, etc.</t>
  </si>
  <si>
    <r>
      <t>FCI</t>
    </r>
    <r>
      <rPr>
        <i/>
        <vertAlign val="subscript"/>
        <sz val="11"/>
        <rFont val="Times New Roman"/>
        <family val="1"/>
      </rPr>
      <t>L</t>
    </r>
    <r>
      <rPr>
        <i/>
        <sz val="11"/>
        <rFont val="Times New Roman"/>
        <family val="1"/>
      </rPr>
      <t xml:space="preserve"> </t>
    </r>
    <r>
      <rPr>
        <sz val="11"/>
        <rFont val="Times New Roman"/>
        <family val="1"/>
      </rPr>
      <t xml:space="preserve">: Fixed capital investment without including the land value; </t>
    </r>
    <r>
      <rPr>
        <i/>
        <sz val="11"/>
        <rFont val="Times New Roman"/>
        <family val="1"/>
      </rPr>
      <t>d</t>
    </r>
    <r>
      <rPr>
        <i/>
        <vertAlign val="subscript"/>
        <sz val="11"/>
        <rFont val="Times New Roman"/>
        <family val="1"/>
      </rPr>
      <t>m</t>
    </r>
    <r>
      <rPr>
        <sz val="11"/>
        <rFont val="Times New Roman"/>
        <family val="1"/>
      </rPr>
      <t xml:space="preserve">: depreciation charge. Here, it is assumed as 10% of the </t>
    </r>
    <r>
      <rPr>
        <i/>
        <sz val="11"/>
        <rFont val="Times New Roman"/>
        <family val="1"/>
      </rPr>
      <t>FCI</t>
    </r>
    <r>
      <rPr>
        <i/>
        <vertAlign val="subscript"/>
        <sz val="11"/>
        <rFont val="Times New Roman"/>
        <family val="1"/>
      </rPr>
      <t>L</t>
    </r>
    <r>
      <rPr>
        <sz val="11"/>
        <rFont val="Times New Roman"/>
        <family val="1"/>
      </rPr>
      <t xml:space="preserve"> evaluated in year </t>
    </r>
    <r>
      <rPr>
        <i/>
        <sz val="11"/>
        <rFont val="Times New Roman"/>
        <family val="1"/>
      </rPr>
      <t>m</t>
    </r>
    <r>
      <rPr>
        <sz val="11"/>
        <rFont val="Times New Roman"/>
        <family val="1"/>
      </rPr>
      <t>, however it can be estimated by different methods; F: fixed income tax rate given by the IRS (Table 9.3 in Turton et. al.); rec</t>
    </r>
    <r>
      <rPr>
        <i/>
        <vertAlign val="subscript"/>
        <sz val="11"/>
        <rFont val="Times New Roman"/>
        <family val="1"/>
      </rPr>
      <t>m</t>
    </r>
    <r>
      <rPr>
        <sz val="11"/>
        <rFont val="Times New Roman"/>
        <family val="1"/>
      </rPr>
      <t xml:space="preserve">: salvage-value recovered from the working capital, land value, and the sale of physical assets evaluated at the end of the plant life. Often this salvage value is neglected, $; </t>
    </r>
    <r>
      <rPr>
        <i/>
        <sz val="11"/>
        <rFont val="Times New Roman"/>
        <family val="1"/>
      </rPr>
      <t>b</t>
    </r>
    <r>
      <rPr>
        <sz val="11"/>
        <rFont val="Times New Roman"/>
        <family val="1"/>
      </rPr>
      <t>: the year in which the first investment is made before the startup time, which is represented as time zero; PWF</t>
    </r>
    <r>
      <rPr>
        <i/>
        <vertAlign val="subscript"/>
        <sz val="11"/>
        <rFont val="Times New Roman"/>
        <family val="1"/>
      </rPr>
      <t>v,m</t>
    </r>
    <r>
      <rPr>
        <sz val="11"/>
        <rFont val="Times New Roman"/>
        <family val="1"/>
      </rPr>
      <t xml:space="preserve">: the appropriate present worth factor for investments occurring in year </t>
    </r>
    <r>
      <rPr>
        <i/>
        <sz val="11"/>
        <rFont val="Times New Roman"/>
        <family val="1"/>
      </rPr>
      <t>m</t>
    </r>
    <r>
      <rPr>
        <sz val="11"/>
        <rFont val="Times New Roman"/>
        <family val="1"/>
      </rPr>
      <t xml:space="preserve"> (from Table 7-3, 7-4, or 7-5 in Peters et. al.); </t>
    </r>
    <r>
      <rPr>
        <i/>
        <sz val="11"/>
        <rFont val="Times New Roman"/>
        <family val="1"/>
      </rPr>
      <t>TCI</t>
    </r>
    <r>
      <rPr>
        <i/>
        <vertAlign val="subscript"/>
        <sz val="11"/>
        <rFont val="Times New Roman"/>
        <family val="1"/>
      </rPr>
      <t>m</t>
    </r>
    <r>
      <rPr>
        <sz val="11"/>
        <rFont val="Times New Roman"/>
        <family val="1"/>
      </rPr>
      <t xml:space="preserve">: the total capital investment  in year </t>
    </r>
    <r>
      <rPr>
        <i/>
        <sz val="11"/>
        <rFont val="Times New Roman"/>
        <family val="1"/>
      </rPr>
      <t>m</t>
    </r>
    <r>
      <rPr>
        <sz val="11"/>
        <rFont val="Times New Roman"/>
        <family val="1"/>
      </rPr>
      <t>; m•</t>
    </r>
    <r>
      <rPr>
        <i/>
        <sz val="11"/>
        <rFont val="Times New Roman"/>
        <family val="1"/>
      </rPr>
      <t>m</t>
    </r>
    <r>
      <rPr>
        <sz val="11"/>
        <rFont val="Times New Roman"/>
        <family val="1"/>
      </rPr>
      <t xml:space="preserve">, product </t>
    </r>
    <r>
      <rPr>
        <i/>
        <sz val="11"/>
        <rFont val="Times New Roman"/>
        <family val="1"/>
      </rPr>
      <t>i</t>
    </r>
    <r>
      <rPr>
        <sz val="11"/>
        <rFont val="Times New Roman"/>
        <family val="1"/>
      </rPr>
      <t xml:space="preserve">: annual mass flow of product </t>
    </r>
    <r>
      <rPr>
        <i/>
        <sz val="11"/>
        <rFont val="Times New Roman"/>
        <family val="1"/>
      </rPr>
      <t>i</t>
    </r>
    <r>
      <rPr>
        <sz val="11"/>
        <rFont val="Times New Roman"/>
        <family val="1"/>
      </rPr>
      <t xml:space="preserve"> in year </t>
    </r>
    <r>
      <rPr>
        <i/>
        <sz val="11"/>
        <rFont val="Times New Roman"/>
        <family val="1"/>
      </rPr>
      <t>m</t>
    </r>
    <r>
      <rPr>
        <sz val="11"/>
        <rFont val="Times New Roman"/>
        <family val="1"/>
      </rPr>
      <t xml:space="preserve">, kg/yr; </t>
    </r>
    <r>
      <rPr>
        <i/>
        <sz val="11"/>
        <rFont val="Times New Roman"/>
        <family val="1"/>
      </rPr>
      <t>C</t>
    </r>
    <r>
      <rPr>
        <i/>
        <vertAlign val="subscript"/>
        <sz val="11"/>
        <rFont val="Times New Roman"/>
        <family val="1"/>
      </rPr>
      <t>m, i</t>
    </r>
    <r>
      <rPr>
        <sz val="11"/>
        <rFont val="Times New Roman"/>
        <family val="1"/>
      </rPr>
      <t xml:space="preserve">: cost of material </t>
    </r>
    <r>
      <rPr>
        <i/>
        <sz val="11"/>
        <rFont val="Times New Roman"/>
        <family val="1"/>
      </rPr>
      <t>i</t>
    </r>
    <r>
      <rPr>
        <sz val="11"/>
        <rFont val="Times New Roman"/>
        <family val="1"/>
      </rPr>
      <t xml:space="preserve"> in year </t>
    </r>
    <r>
      <rPr>
        <i/>
        <sz val="11"/>
        <rFont val="Times New Roman"/>
        <family val="1"/>
      </rPr>
      <t>m</t>
    </r>
    <r>
      <rPr>
        <sz val="11"/>
        <rFont val="Times New Roman"/>
        <family val="1"/>
      </rPr>
      <t>, $/kg; C</t>
    </r>
    <r>
      <rPr>
        <i/>
        <vertAlign val="subscript"/>
        <sz val="11"/>
        <rFont val="Times New Roman"/>
        <family val="1"/>
      </rPr>
      <t>UT</t>
    </r>
    <r>
      <rPr>
        <sz val="11"/>
        <rFont val="Times New Roman"/>
        <family val="1"/>
      </rPr>
      <t>: cost of utilities, $; C</t>
    </r>
    <r>
      <rPr>
        <i/>
        <vertAlign val="subscript"/>
        <sz val="11"/>
        <rFont val="Times New Roman"/>
        <family val="1"/>
      </rPr>
      <t>WT</t>
    </r>
    <r>
      <rPr>
        <sz val="11"/>
        <rFont val="Times New Roman"/>
        <family val="1"/>
      </rPr>
      <t>: cost of waste treatment, $; C</t>
    </r>
    <r>
      <rPr>
        <i/>
        <vertAlign val="subscript"/>
        <sz val="11"/>
        <rFont val="Times New Roman"/>
        <family val="1"/>
      </rPr>
      <t>RM</t>
    </r>
    <r>
      <rPr>
        <sz val="11"/>
        <rFont val="Times New Roman"/>
        <family val="1"/>
      </rPr>
      <t>: cost of raw material, $; C</t>
    </r>
    <r>
      <rPr>
        <vertAlign val="subscript"/>
        <sz val="11"/>
        <rFont val="Times New Roman"/>
        <family val="1"/>
      </rPr>
      <t xml:space="preserve">Land, </t>
    </r>
    <r>
      <rPr>
        <i/>
        <vertAlign val="subscript"/>
        <sz val="11"/>
        <rFont val="Times New Roman"/>
        <family val="1"/>
      </rPr>
      <t>m</t>
    </r>
    <r>
      <rPr>
        <sz val="11"/>
        <rFont val="Times New Roman"/>
        <family val="1"/>
      </rPr>
      <t xml:space="preserve">: value of the land evaluated in year </t>
    </r>
    <r>
      <rPr>
        <i/>
        <sz val="11"/>
        <rFont val="Times New Roman"/>
        <family val="1"/>
      </rPr>
      <t>m</t>
    </r>
    <r>
      <rPr>
        <sz val="11"/>
        <rFont val="Times New Roman"/>
        <family val="1"/>
      </rPr>
      <t xml:space="preserve">, $; </t>
    </r>
    <r>
      <rPr>
        <i/>
        <sz val="11"/>
        <rFont val="Times New Roman"/>
        <family val="1"/>
      </rPr>
      <t>WC</t>
    </r>
    <r>
      <rPr>
        <sz val="11"/>
        <rFont val="Times New Roman"/>
        <family val="1"/>
      </rPr>
      <t xml:space="preserve">: working capital, typical values for the </t>
    </r>
    <r>
      <rPr>
        <i/>
        <sz val="11"/>
        <rFont val="Times New Roman"/>
        <family val="1"/>
      </rPr>
      <t>WC</t>
    </r>
    <r>
      <rPr>
        <sz val="11"/>
        <rFont val="Times New Roman"/>
        <family val="1"/>
      </rPr>
      <t xml:space="preserve"> are between 15% and 20% of the </t>
    </r>
    <r>
      <rPr>
        <i/>
        <sz val="11"/>
        <rFont val="Times New Roman"/>
        <family val="1"/>
      </rPr>
      <t>FCI</t>
    </r>
    <r>
      <rPr>
        <i/>
        <vertAlign val="subscript"/>
        <sz val="11"/>
        <rFont val="Times New Roman"/>
        <family val="1"/>
      </rPr>
      <t>L</t>
    </r>
    <r>
      <rPr>
        <sz val="11"/>
        <rFont val="Times New Roman"/>
        <family val="1"/>
      </rPr>
      <t>; C</t>
    </r>
    <r>
      <rPr>
        <i/>
        <vertAlign val="subscript"/>
        <sz val="11"/>
        <rFont val="Times New Roman"/>
        <family val="1"/>
      </rPr>
      <t>OL</t>
    </r>
    <r>
      <rPr>
        <sz val="11"/>
        <rFont val="Times New Roman"/>
        <family val="1"/>
      </rPr>
      <t xml:space="preserve">: labor cost, $; C°p,i: the purchased cost for equipment </t>
    </r>
    <r>
      <rPr>
        <i/>
        <sz val="11"/>
        <rFont val="Times New Roman"/>
        <family val="1"/>
      </rPr>
      <t>i</t>
    </r>
    <r>
      <rPr>
        <sz val="11"/>
        <rFont val="Times New Roman"/>
        <family val="1"/>
      </rPr>
      <t xml:space="preserve">, $; </t>
    </r>
    <r>
      <rPr>
        <i/>
        <sz val="11"/>
        <rFont val="Times New Roman"/>
        <family val="1"/>
      </rPr>
      <t>F</t>
    </r>
    <r>
      <rPr>
        <i/>
        <vertAlign val="subscript"/>
        <sz val="11"/>
        <rFont val="Times New Roman"/>
        <family val="1"/>
      </rPr>
      <t>BM,i</t>
    </r>
    <r>
      <rPr>
        <sz val="11"/>
        <rFont val="Times New Roman"/>
        <family val="1"/>
      </rPr>
      <t xml:space="preserve">: the bare module cost of equipment </t>
    </r>
    <r>
      <rPr>
        <i/>
        <sz val="11"/>
        <rFont val="Times New Roman"/>
        <family val="1"/>
      </rPr>
      <t>i</t>
    </r>
    <r>
      <rPr>
        <sz val="11"/>
        <rFont val="Times New Roman"/>
        <family val="1"/>
      </rPr>
      <t xml:space="preserve">, $; </t>
    </r>
    <r>
      <rPr>
        <i/>
        <sz val="11"/>
        <rFont val="Times New Roman"/>
        <family val="1"/>
      </rPr>
      <t>C</t>
    </r>
    <r>
      <rPr>
        <i/>
        <vertAlign val="subscript"/>
        <sz val="11"/>
        <rFont val="Times New Roman"/>
        <family val="1"/>
      </rPr>
      <t>TM</t>
    </r>
    <r>
      <rPr>
        <sz val="11"/>
        <rFont val="Times New Roman"/>
        <family val="1"/>
      </rPr>
      <t xml:space="preserve">: the capital cost (total module) of the plant, $; </t>
    </r>
    <r>
      <rPr>
        <i/>
        <sz val="11"/>
        <rFont val="Times New Roman"/>
        <family val="1"/>
      </rPr>
      <t>u</t>
    </r>
    <r>
      <rPr>
        <sz val="11"/>
        <rFont val="Times New Roman"/>
        <family val="1"/>
      </rPr>
      <t xml:space="preserve">: the total number of individual units; </t>
    </r>
    <r>
      <rPr>
        <i/>
        <sz val="11"/>
        <rFont val="Times New Roman"/>
        <family val="1"/>
      </rPr>
      <t>N</t>
    </r>
    <r>
      <rPr>
        <i/>
        <vertAlign val="subscript"/>
        <sz val="11"/>
        <rFont val="Times New Roman"/>
        <family val="1"/>
      </rPr>
      <t>OL</t>
    </r>
    <r>
      <rPr>
        <sz val="11"/>
        <rFont val="Times New Roman"/>
        <family val="1"/>
      </rPr>
      <t xml:space="preserve">: the number of operators per shift; </t>
    </r>
    <r>
      <rPr>
        <i/>
        <sz val="11"/>
        <rFont val="Times New Roman"/>
        <family val="1"/>
      </rPr>
      <t>P</t>
    </r>
    <r>
      <rPr>
        <sz val="11"/>
        <rFont val="Times New Roman"/>
        <family val="1"/>
      </rPr>
      <t xml:space="preserve">: the number of processing steps involving the handling of particulate solids (e.g., transportation and distribution). In general, </t>
    </r>
    <r>
      <rPr>
        <i/>
        <sz val="11"/>
        <rFont val="Times New Roman"/>
        <family val="1"/>
      </rPr>
      <t>P</t>
    </r>
    <r>
      <rPr>
        <sz val="11"/>
        <rFont val="Times New Roman"/>
        <family val="1"/>
      </rPr>
      <t xml:space="preserve">=0; </t>
    </r>
    <r>
      <rPr>
        <i/>
        <sz val="11"/>
        <rFont val="Times New Roman"/>
        <family val="1"/>
      </rPr>
      <t>Nnp</t>
    </r>
    <r>
      <rPr>
        <sz val="11"/>
        <rFont val="Times New Roman"/>
        <family val="1"/>
      </rPr>
      <t>: the number of non-particulate processing steps and includes compression, heating and cooling, mixing, and reaction.</t>
    </r>
  </si>
  <si>
    <t>These are the costs related with the utility energy demand costs during the day-to-day operation of a manufacturing plant per value unit of total production cost.</t>
  </si>
  <si>
    <t>US $/ MJ</t>
  </si>
  <si>
    <t xml:space="preserve">See data inputs for NPV; total volumetric water demand  </t>
  </si>
  <si>
    <t>US $/ m^3 water</t>
  </si>
  <si>
    <t>These are the costs related with the water demand costs during the day-to-day operation of a manufacturing plant per value unit of total production cost.</t>
  </si>
  <si>
    <r>
      <t xml:space="preserve">m•i liquid waste out, kg/h; </t>
    </r>
    <r>
      <rPr>
        <i/>
        <sz val="12"/>
        <rFont val="Times New Roman"/>
        <family val="1"/>
      </rPr>
      <t>C</t>
    </r>
    <r>
      <rPr>
        <sz val="11"/>
        <rFont val="Times New Roman"/>
        <family val="1"/>
      </rPr>
      <t>liquid treat.</t>
    </r>
    <r>
      <rPr>
        <sz val="12"/>
        <rFont val="Times New Roman"/>
        <family val="1"/>
      </rPr>
      <t>: liquid waste disposal cost, $/kg; See data inputs for NPV</t>
    </r>
  </si>
  <si>
    <r>
      <t xml:space="preserve">m•i solid waste out, kg/h; </t>
    </r>
    <r>
      <rPr>
        <i/>
        <sz val="12"/>
        <rFont val="Times New Roman"/>
        <family val="1"/>
      </rPr>
      <t>C</t>
    </r>
    <r>
      <rPr>
        <sz val="11"/>
        <rFont val="Times New Roman"/>
        <family val="1"/>
      </rPr>
      <t>solid treat.</t>
    </r>
    <r>
      <rPr>
        <sz val="12"/>
        <rFont val="Times New Roman"/>
        <family val="1"/>
      </rPr>
      <t>: solid waste disposal cost, $/kg; See data inputs for NPV</t>
    </r>
  </si>
  <si>
    <r>
      <t xml:space="preserve">m•i solid waste out, kg/h; </t>
    </r>
    <r>
      <rPr>
        <i/>
        <sz val="12"/>
        <rFont val="Times New Roman"/>
        <family val="1"/>
      </rPr>
      <t>C</t>
    </r>
    <r>
      <rPr>
        <sz val="11"/>
        <rFont val="Times New Roman"/>
        <family val="1"/>
      </rPr>
      <t>solid treat.</t>
    </r>
    <r>
      <rPr>
        <sz val="12"/>
        <rFont val="Times New Roman"/>
        <family val="1"/>
      </rPr>
      <t>: solid waste disposal cost, $/kg</t>
    </r>
  </si>
  <si>
    <r>
      <t xml:space="preserve">m•i air for purification, kg/h; </t>
    </r>
    <r>
      <rPr>
        <i/>
        <sz val="12"/>
        <rFont val="Times New Roman"/>
        <family val="1"/>
      </rPr>
      <t>C</t>
    </r>
    <r>
      <rPr>
        <sz val="12"/>
        <rFont val="Times New Roman"/>
        <family val="1"/>
      </rPr>
      <t>air pur.: air purification cost, $/kg; See data inputs for NPV</t>
    </r>
  </si>
  <si>
    <r>
      <t>See data inputs for NPV. Note that i is implicit in PWFc</t>
    </r>
    <r>
      <rPr>
        <i/>
        <sz val="12"/>
        <rFont val="Times New Roman"/>
        <family val="1"/>
      </rPr>
      <t>f,m</t>
    </r>
    <r>
      <rPr>
        <sz val="12"/>
        <rFont val="Times New Roman"/>
        <family val="1"/>
      </rPr>
      <t xml:space="preserve"> and PWF</t>
    </r>
    <r>
      <rPr>
        <i/>
        <sz val="12"/>
        <rFont val="Times New Roman"/>
        <family val="1"/>
      </rPr>
      <t>v,m</t>
    </r>
    <r>
      <rPr>
        <sz val="12"/>
        <rFont val="Times New Roman"/>
        <family val="1"/>
      </rPr>
      <t xml:space="preserve">
</t>
    </r>
  </si>
  <si>
    <t>Total module cost or total installed cost, $US</t>
  </si>
  <si>
    <t>Purchase cost, $US</t>
  </si>
  <si>
    <t>Pump</t>
  </si>
  <si>
    <t>Heat exchanger</t>
  </si>
  <si>
    <t>Extractor</t>
  </si>
  <si>
    <t>Vertical vessel</t>
  </si>
  <si>
    <t xml:space="preserve">Reactor </t>
  </si>
  <si>
    <t>TOTAL</t>
  </si>
  <si>
    <t>Utility type</t>
  </si>
  <si>
    <t>Total cost, $US/h</t>
  </si>
  <si>
    <t>Utility cost, $US/GJ</t>
  </si>
  <si>
    <t>Electricity (kWh/h)</t>
  </si>
  <si>
    <t>Utility cost, $US/kg or $US/kWh</t>
  </si>
  <si>
    <t>Current flow rate, kg/h</t>
  </si>
  <si>
    <t>P</t>
  </si>
  <si>
    <t>Total cost, $US/yr</t>
  </si>
  <si>
    <t>Annual salary, $US/yr</t>
  </si>
  <si>
    <t>Depretation method</t>
  </si>
  <si>
    <t>Straight-line</t>
  </si>
  <si>
    <r>
      <t>S</t>
    </r>
    <r>
      <rPr>
        <i/>
        <vertAlign val="subscript"/>
        <sz val="12"/>
        <rFont val="Times New Roman"/>
        <family val="1"/>
      </rPr>
      <t>m</t>
    </r>
    <r>
      <rPr>
        <sz val="12"/>
        <rFont val="Times New Roman"/>
        <family val="1"/>
      </rPr>
      <t>, total income from all sales, $/yr</t>
    </r>
  </si>
  <si>
    <r>
      <t>C</t>
    </r>
    <r>
      <rPr>
        <vertAlign val="subscript"/>
        <sz val="12"/>
        <rFont val="Times New Roman"/>
        <family val="1"/>
      </rPr>
      <t>RM</t>
    </r>
    <r>
      <rPr>
        <sz val="12"/>
        <rFont val="Times New Roman"/>
        <family val="1"/>
      </rPr>
      <t>, cost of raw material, $/yr</t>
    </r>
  </si>
  <si>
    <r>
      <t>C</t>
    </r>
    <r>
      <rPr>
        <vertAlign val="subscript"/>
        <sz val="12"/>
        <rFont val="Times New Roman"/>
        <family val="1"/>
      </rPr>
      <t>WT</t>
    </r>
    <r>
      <rPr>
        <sz val="12"/>
        <rFont val="Times New Roman"/>
        <family val="1"/>
      </rPr>
      <t>, cost of waste treatment, $/yr</t>
    </r>
  </si>
  <si>
    <r>
      <t>C</t>
    </r>
    <r>
      <rPr>
        <vertAlign val="subscript"/>
        <sz val="12"/>
        <rFont val="Times New Roman"/>
        <family val="1"/>
      </rPr>
      <t>UT</t>
    </r>
    <r>
      <rPr>
        <sz val="12"/>
        <rFont val="Times New Roman"/>
        <family val="1"/>
      </rPr>
      <t>, cost of utilities, $US/yr</t>
    </r>
  </si>
  <si>
    <r>
      <t>N</t>
    </r>
    <r>
      <rPr>
        <vertAlign val="subscript"/>
        <sz val="12"/>
        <rFont val="Times New Roman"/>
        <family val="1"/>
      </rPr>
      <t>OL</t>
    </r>
    <r>
      <rPr>
        <sz val="12"/>
        <rFont val="Times New Roman"/>
        <family val="1"/>
      </rPr>
      <t>, number of operators per shift</t>
    </r>
  </si>
  <si>
    <r>
      <t>N</t>
    </r>
    <r>
      <rPr>
        <sz val="12"/>
        <rFont val="Times New Roman"/>
        <family val="1"/>
      </rPr>
      <t>np, the number of non-particulate processing steps</t>
    </r>
  </si>
  <si>
    <r>
      <t>C</t>
    </r>
    <r>
      <rPr>
        <i/>
        <vertAlign val="subscript"/>
        <sz val="12"/>
        <rFont val="Times New Roman"/>
        <family val="1"/>
      </rPr>
      <t>OL</t>
    </r>
    <r>
      <rPr>
        <sz val="12"/>
        <rFont val="Times New Roman"/>
        <family val="1"/>
      </rPr>
      <t>, labor cost, $US/yr</t>
    </r>
  </si>
  <si>
    <r>
      <t>FCI</t>
    </r>
    <r>
      <rPr>
        <vertAlign val="subscript"/>
        <sz val="12"/>
        <rFont val="Times New Roman"/>
        <family val="1"/>
      </rPr>
      <t>L</t>
    </r>
    <r>
      <rPr>
        <sz val="12"/>
        <rFont val="Times New Roman"/>
        <family val="1"/>
      </rPr>
      <t xml:space="preserve">, fixed capital investment without including </t>
    </r>
    <r>
      <rPr>
        <i/>
        <sz val="12"/>
        <rFont val="Times New Roman"/>
        <family val="1"/>
      </rPr>
      <t>C</t>
    </r>
    <r>
      <rPr>
        <sz val="12"/>
        <rFont val="Times New Roman"/>
        <family val="1"/>
      </rPr>
      <t>land, $US</t>
    </r>
  </si>
  <si>
    <t xml:space="preserve">WC, working capital, $US </t>
  </si>
  <si>
    <r>
      <rPr>
        <sz val="12"/>
        <rFont val="Times New Roman"/>
        <family val="1"/>
      </rPr>
      <t>TCI</t>
    </r>
    <r>
      <rPr>
        <sz val="12"/>
        <rFont val="Times New Roman"/>
        <family val="1"/>
      </rPr>
      <t>, total capital investment, $US</t>
    </r>
  </si>
  <si>
    <r>
      <t>d</t>
    </r>
    <r>
      <rPr>
        <i/>
        <vertAlign val="subscript"/>
        <sz val="12"/>
        <rFont val="Times New Roman"/>
        <family val="1"/>
      </rPr>
      <t>m</t>
    </r>
    <r>
      <rPr>
        <sz val="12"/>
        <rFont val="Times New Roman"/>
        <family val="1"/>
      </rPr>
      <t xml:space="preserve">, depreciation charge, $US </t>
    </r>
  </si>
  <si>
    <r>
      <rPr>
        <sz val="12"/>
        <rFont val="Times New Roman"/>
        <family val="1"/>
      </rPr>
      <t>COM</t>
    </r>
    <r>
      <rPr>
        <i/>
        <vertAlign val="subscript"/>
        <sz val="12"/>
        <rFont val="Times New Roman"/>
        <family val="1"/>
      </rPr>
      <t>m</t>
    </r>
    <r>
      <rPr>
        <sz val="12"/>
        <rFont val="Times New Roman"/>
        <family val="1"/>
      </rPr>
      <t>, manufacturing cost without depreciation after startup, $US/yr</t>
    </r>
  </si>
  <si>
    <r>
      <t>C</t>
    </r>
    <r>
      <rPr>
        <vertAlign val="subscript"/>
        <sz val="12"/>
        <rFont val="Times New Roman"/>
        <family val="1"/>
      </rPr>
      <t>TM</t>
    </r>
    <r>
      <rPr>
        <sz val="12"/>
        <rFont val="Times New Roman"/>
        <family val="1"/>
      </rPr>
      <t>, the capital cost (total module) of the plant, $US</t>
    </r>
  </si>
  <si>
    <t>End of year, m</t>
  </si>
  <si>
    <t>Plant startup at end of year</t>
  </si>
  <si>
    <t>Investment</t>
  </si>
  <si>
    <r>
      <t xml:space="preserve">Land cost, </t>
    </r>
    <r>
      <rPr>
        <i/>
        <sz val="12"/>
        <rFont val="Times New Roman"/>
        <family val="1"/>
      </rPr>
      <t>C</t>
    </r>
    <r>
      <rPr>
        <sz val="10"/>
        <rFont val="Times New Roman"/>
        <family val="1"/>
      </rPr>
      <t>Land,</t>
    </r>
    <r>
      <rPr>
        <sz val="12"/>
        <rFont val="Times New Roman"/>
        <family val="1"/>
      </rPr>
      <t xml:space="preserve"> $US</t>
    </r>
  </si>
  <si>
    <t>Cash Flow</t>
  </si>
  <si>
    <r>
      <t>rec</t>
    </r>
    <r>
      <rPr>
        <i/>
        <vertAlign val="subscript"/>
        <sz val="12"/>
        <rFont val="Times New Roman"/>
        <family val="1"/>
      </rPr>
      <t>m</t>
    </r>
    <r>
      <rPr>
        <sz val="12"/>
        <rFont val="Times New Roman"/>
        <family val="1"/>
      </rPr>
      <t>, salvage-value, $US</t>
    </r>
  </si>
  <si>
    <t>Nondiscounted</t>
  </si>
  <si>
    <t>Discounted</t>
  </si>
  <si>
    <r>
      <t>discount rate (</t>
    </r>
    <r>
      <rPr>
        <i/>
        <sz val="12"/>
        <rFont val="Times New Roman"/>
        <family val="1"/>
      </rPr>
      <t>r</t>
    </r>
    <r>
      <rPr>
        <vertAlign val="subscript"/>
        <sz val="12"/>
        <rFont val="Times New Roman"/>
        <family val="1"/>
      </rPr>
      <t>d</t>
    </r>
    <r>
      <rPr>
        <sz val="12"/>
        <rFont val="Times New Roman"/>
        <family val="1"/>
      </rPr>
      <t>)</t>
    </r>
  </si>
  <si>
    <r>
      <t xml:space="preserve">(P/F, </t>
    </r>
    <r>
      <rPr>
        <i/>
        <sz val="12"/>
        <color theme="1"/>
        <rFont val="Times New Roman"/>
        <family val="1"/>
      </rPr>
      <t>i</t>
    </r>
    <r>
      <rPr>
        <sz val="12"/>
        <color theme="1"/>
        <rFont val="Times New Roman"/>
        <family val="1"/>
      </rPr>
      <t xml:space="preserve">, </t>
    </r>
    <r>
      <rPr>
        <i/>
        <sz val="12"/>
        <color theme="1"/>
        <rFont val="Times New Roman"/>
        <family val="1"/>
      </rPr>
      <t>m</t>
    </r>
    <r>
      <rPr>
        <sz val="12"/>
        <color theme="1"/>
        <rFont val="Times New Roman"/>
        <family val="1"/>
      </rPr>
      <t>)</t>
    </r>
  </si>
  <si>
    <t>Nondiscounted and Discounted After-Tax Cash Flows</t>
  </si>
  <si>
    <r>
      <t xml:space="preserve">Life of the plant, </t>
    </r>
    <r>
      <rPr>
        <i/>
        <sz val="12"/>
        <rFont val="Times New Roman"/>
        <family val="1"/>
      </rPr>
      <t>n</t>
    </r>
    <r>
      <rPr>
        <sz val="12"/>
        <rFont val="Times New Roman"/>
        <family val="1"/>
      </rPr>
      <t>, yr</t>
    </r>
  </si>
  <si>
    <r>
      <t xml:space="preserve">Fixed income tax rate given by the IRS, </t>
    </r>
    <r>
      <rPr>
        <sz val="12"/>
        <rFont val="Symbol"/>
        <family val="1"/>
        <charset val="2"/>
      </rPr>
      <t>F</t>
    </r>
    <r>
      <rPr>
        <sz val="12"/>
        <rFont val="Times New Roman"/>
        <family val="1"/>
      </rPr>
      <t>, % or fraction</t>
    </r>
  </si>
  <si>
    <r>
      <t xml:space="preserve">The year in which the first investment is made before the startup time, time zero, </t>
    </r>
    <r>
      <rPr>
        <i/>
        <sz val="12"/>
        <color theme="1"/>
        <rFont val="Times New Roman"/>
        <family val="1"/>
      </rPr>
      <t>b</t>
    </r>
    <r>
      <rPr>
        <sz val="12"/>
        <color theme="1"/>
        <rFont val="Times New Roman"/>
        <family val="1"/>
      </rPr>
      <t>, yr</t>
    </r>
  </si>
  <si>
    <r>
      <t>PWF</t>
    </r>
    <r>
      <rPr>
        <i/>
        <vertAlign val="subscript"/>
        <sz val="12"/>
        <rFont val="Times New Roman"/>
        <family val="1"/>
      </rPr>
      <t>cf</t>
    </r>
    <r>
      <rPr>
        <sz val="12"/>
        <rFont val="Times New Roman"/>
        <family val="1"/>
      </rPr>
      <t xml:space="preserve">, present worth factor. single payment, (1+i)^(-n) </t>
    </r>
  </si>
  <si>
    <r>
      <t>d</t>
    </r>
    <r>
      <rPr>
        <i/>
        <vertAlign val="subscript"/>
        <sz val="14"/>
        <rFont val="Times New Roman"/>
        <family val="1"/>
      </rPr>
      <t>m</t>
    </r>
  </si>
  <si>
    <r>
      <t>FCI</t>
    </r>
    <r>
      <rPr>
        <vertAlign val="subscript"/>
        <sz val="14"/>
        <rFont val="Times New Roman"/>
        <family val="1"/>
      </rPr>
      <t xml:space="preserve">L </t>
    </r>
    <r>
      <rPr>
        <sz val="14"/>
        <rFont val="Times New Roman"/>
        <family val="1"/>
      </rPr>
      <t xml:space="preserve">- </t>
    </r>
    <r>
      <rPr>
        <sz val="14"/>
        <rFont val="Symbol"/>
        <family val="1"/>
        <charset val="2"/>
      </rPr>
      <t>S</t>
    </r>
    <r>
      <rPr>
        <i/>
        <sz val="14"/>
        <rFont val="Times New Roman"/>
        <family val="1"/>
      </rPr>
      <t>dm</t>
    </r>
    <r>
      <rPr>
        <sz val="12"/>
        <rFont val="Times New Roman"/>
        <family val="1"/>
      </rPr>
      <t/>
    </r>
  </si>
  <si>
    <r>
      <t>S</t>
    </r>
    <r>
      <rPr>
        <i/>
        <vertAlign val="subscript"/>
        <sz val="14"/>
        <rFont val="Times New Roman"/>
        <family val="1"/>
      </rPr>
      <t>m</t>
    </r>
    <r>
      <rPr>
        <sz val="14"/>
        <rFont val="Times New Roman"/>
        <family val="1"/>
      </rPr>
      <t>, $/yr</t>
    </r>
  </si>
  <si>
    <r>
      <rPr>
        <sz val="14"/>
        <rFont val="Times New Roman"/>
        <family val="1"/>
      </rPr>
      <t>COM</t>
    </r>
    <r>
      <rPr>
        <i/>
        <vertAlign val="subscript"/>
        <sz val="14"/>
        <rFont val="Times New Roman"/>
        <family val="1"/>
      </rPr>
      <t>m</t>
    </r>
  </si>
  <si>
    <r>
      <t>(</t>
    </r>
    <r>
      <rPr>
        <i/>
        <sz val="14"/>
        <rFont val="Times New Roman"/>
        <family val="1"/>
      </rPr>
      <t>Sm</t>
    </r>
    <r>
      <rPr>
        <sz val="14"/>
        <rFont val="Times New Roman"/>
        <family val="1"/>
      </rPr>
      <t>-COM</t>
    </r>
    <r>
      <rPr>
        <i/>
        <sz val="14"/>
        <rFont val="Times New Roman"/>
        <family val="1"/>
      </rPr>
      <t>m</t>
    </r>
    <r>
      <rPr>
        <sz val="14"/>
        <rFont val="Times New Roman"/>
        <family val="1"/>
      </rPr>
      <t>-</t>
    </r>
    <r>
      <rPr>
        <i/>
        <sz val="14"/>
        <rFont val="Times New Roman"/>
        <family val="1"/>
      </rPr>
      <t>dm</t>
    </r>
    <r>
      <rPr>
        <sz val="14"/>
        <rFont val="Times New Roman"/>
        <family val="1"/>
      </rPr>
      <t>)*(1-</t>
    </r>
    <r>
      <rPr>
        <sz val="14"/>
        <rFont val="Symbol"/>
        <family val="1"/>
        <charset val="2"/>
      </rPr>
      <t>F</t>
    </r>
    <r>
      <rPr>
        <sz val="14"/>
        <rFont val="Times New Roman"/>
        <family val="1"/>
      </rPr>
      <t>)+</t>
    </r>
    <r>
      <rPr>
        <i/>
        <sz val="14"/>
        <rFont val="Times New Roman"/>
        <family val="1"/>
      </rPr>
      <t>dm</t>
    </r>
  </si>
  <si>
    <t>Positive cash flow values</t>
  </si>
  <si>
    <t>Negative cash flow values</t>
  </si>
  <si>
    <t>Discounted payback period, DPBP</t>
  </si>
  <si>
    <t>Discounted value of land, $US</t>
  </si>
  <si>
    <t>Value of land, $US</t>
  </si>
  <si>
    <t>Value of WC at year 1, $US</t>
  </si>
  <si>
    <t>Discounted value of WC at yr 0, $US</t>
  </si>
  <si>
    <t>Find time after startup when cumulative cash flow is, $US</t>
  </si>
  <si>
    <t>Y values (time)</t>
  </si>
  <si>
    <t>X values (cumulative cash flow)</t>
  </si>
  <si>
    <r>
      <t>Time after startup to recover FCI</t>
    </r>
    <r>
      <rPr>
        <sz val="10"/>
        <rFont val="Times New Roman"/>
        <family val="1"/>
      </rPr>
      <t>L</t>
    </r>
    <r>
      <rPr>
        <sz val="12"/>
        <rFont val="Times New Roman"/>
        <family val="1"/>
      </rPr>
      <t>, yr</t>
    </r>
  </si>
  <si>
    <t>Linear interpolation procedure</t>
  </si>
  <si>
    <t>Discounted cash flow rate of return, DCFROR</t>
  </si>
  <si>
    <r>
      <t>Actual discount rate (</t>
    </r>
    <r>
      <rPr>
        <i/>
        <sz val="12"/>
        <rFont val="Times New Roman"/>
        <family val="1"/>
      </rPr>
      <t>r</t>
    </r>
    <r>
      <rPr>
        <vertAlign val="subscript"/>
        <sz val="12"/>
        <rFont val="Times New Roman"/>
        <family val="1"/>
      </rPr>
      <t>d</t>
    </r>
    <r>
      <rPr>
        <sz val="12"/>
        <rFont val="Times New Roman"/>
        <family val="1"/>
      </rPr>
      <t>)</t>
    </r>
  </si>
  <si>
    <t>Nondiscounted Cash Flow</t>
  </si>
  <si>
    <r>
      <t>Discounted Cash Flow at current r</t>
    </r>
    <r>
      <rPr>
        <i/>
        <sz val="12"/>
        <rFont val="Times New Roman"/>
        <family val="1"/>
      </rPr>
      <t>d</t>
    </r>
  </si>
  <si>
    <t>Actual NPV</t>
  </si>
  <si>
    <t xml:space="preserve">Discounted Cash Flow </t>
  </si>
  <si>
    <t>Current</t>
  </si>
  <si>
    <t>Trial NPV=0</t>
  </si>
  <si>
    <t>Capital charge factors, CCF</t>
  </si>
  <si>
    <r>
      <rPr>
        <sz val="14"/>
        <rFont val="Times New Roman"/>
        <family val="1"/>
      </rPr>
      <t>PWFcf*(</t>
    </r>
    <r>
      <rPr>
        <i/>
        <sz val="14"/>
        <rFont val="Times New Roman"/>
        <family val="1"/>
      </rPr>
      <t>S</t>
    </r>
    <r>
      <rPr>
        <i/>
        <vertAlign val="subscript"/>
        <sz val="14"/>
        <rFont val="Times New Roman"/>
        <family val="1"/>
      </rPr>
      <t>m</t>
    </r>
    <r>
      <rPr>
        <sz val="14"/>
        <rFont val="Times New Roman"/>
        <family val="1"/>
      </rPr>
      <t xml:space="preserve"> - COM</t>
    </r>
    <r>
      <rPr>
        <i/>
        <sz val="14"/>
        <rFont val="Times New Roman"/>
        <family val="1"/>
      </rPr>
      <t>m</t>
    </r>
    <r>
      <rPr>
        <sz val="14"/>
        <rFont val="Times New Roman"/>
        <family val="1"/>
      </rPr>
      <t>)/TCI</t>
    </r>
  </si>
  <si>
    <t>Average CCF</t>
  </si>
  <si>
    <t>TCI, total capital investment, $US</t>
  </si>
  <si>
    <r>
      <rPr>
        <sz val="12"/>
        <rFont val="Times New Roman"/>
        <family val="1"/>
      </rPr>
      <t>Total PWFcf*(</t>
    </r>
    <r>
      <rPr>
        <i/>
        <sz val="12"/>
        <rFont val="Times New Roman"/>
        <family val="1"/>
      </rPr>
      <t>S</t>
    </r>
    <r>
      <rPr>
        <i/>
        <vertAlign val="subscript"/>
        <sz val="12"/>
        <rFont val="Times New Roman"/>
        <family val="1"/>
      </rPr>
      <t>m</t>
    </r>
    <r>
      <rPr>
        <sz val="12"/>
        <rFont val="Times New Roman"/>
        <family val="1"/>
      </rPr>
      <t xml:space="preserve"> - COM</t>
    </r>
    <r>
      <rPr>
        <i/>
        <sz val="12"/>
        <rFont val="Times New Roman"/>
        <family val="1"/>
      </rPr>
      <t>m</t>
    </r>
    <r>
      <rPr>
        <sz val="12"/>
        <rFont val="Times New Roman"/>
        <family val="1"/>
      </rPr>
      <t>)/TCI</t>
    </r>
  </si>
  <si>
    <t>Total product flow, kg/yr</t>
  </si>
  <si>
    <t>Economic potential, EP</t>
  </si>
  <si>
    <r>
      <t>C</t>
    </r>
    <r>
      <rPr>
        <vertAlign val="subscript"/>
        <sz val="16"/>
        <rFont val="Times New Roman"/>
        <family val="1"/>
      </rPr>
      <t>RM</t>
    </r>
    <r>
      <rPr>
        <sz val="16"/>
        <rFont val="Times New Roman"/>
        <family val="1"/>
      </rPr>
      <t>, $/yr</t>
    </r>
  </si>
  <si>
    <r>
      <t>C</t>
    </r>
    <r>
      <rPr>
        <vertAlign val="subscript"/>
        <sz val="16"/>
        <rFont val="Times New Roman"/>
        <family val="1"/>
      </rPr>
      <t>UT</t>
    </r>
    <r>
      <rPr>
        <sz val="16"/>
        <rFont val="Times New Roman"/>
        <family val="1"/>
      </rPr>
      <t>, $/yr</t>
    </r>
  </si>
  <si>
    <r>
      <t>FCI</t>
    </r>
    <r>
      <rPr>
        <vertAlign val="subscript"/>
        <sz val="14"/>
        <rFont val="Times New Roman"/>
        <family val="1"/>
      </rPr>
      <t>L</t>
    </r>
    <r>
      <rPr>
        <sz val="14"/>
        <rFont val="Times New Roman"/>
        <family val="1"/>
      </rPr>
      <t>, $US</t>
    </r>
  </si>
  <si>
    <t>Average EP</t>
  </si>
  <si>
    <r>
      <rPr>
        <sz val="14"/>
        <rFont val="Times New Roman"/>
        <family val="1"/>
      </rPr>
      <t>PWFcf*(</t>
    </r>
    <r>
      <rPr>
        <i/>
        <sz val="14"/>
        <rFont val="Times New Roman"/>
        <family val="1"/>
      </rPr>
      <t>S</t>
    </r>
    <r>
      <rPr>
        <i/>
        <vertAlign val="subscript"/>
        <sz val="14"/>
        <rFont val="Times New Roman"/>
        <family val="1"/>
      </rPr>
      <t>m</t>
    </r>
    <r>
      <rPr>
        <sz val="14"/>
        <rFont val="Times New Roman"/>
        <family val="1"/>
      </rPr>
      <t>-C</t>
    </r>
    <r>
      <rPr>
        <sz val="11"/>
        <rFont val="Times New Roman"/>
        <family val="1"/>
      </rPr>
      <t>RM</t>
    </r>
    <r>
      <rPr>
        <sz val="14"/>
        <rFont val="Times New Roman"/>
        <family val="1"/>
      </rPr>
      <t>-C</t>
    </r>
    <r>
      <rPr>
        <sz val="11"/>
        <rFont val="Times New Roman"/>
        <family val="1"/>
      </rPr>
      <t>UT</t>
    </r>
    <r>
      <rPr>
        <sz val="14"/>
        <rFont val="Times New Roman"/>
        <family val="1"/>
      </rPr>
      <t>)</t>
    </r>
  </si>
  <si>
    <t>EP (nondiscounted value)</t>
  </si>
  <si>
    <r>
      <rPr>
        <sz val="14"/>
        <rFont val="Times New Roman"/>
        <family val="1"/>
      </rPr>
      <t>Total PWFcf*(</t>
    </r>
    <r>
      <rPr>
        <i/>
        <sz val="14"/>
        <rFont val="Times New Roman"/>
        <family val="1"/>
      </rPr>
      <t>S</t>
    </r>
    <r>
      <rPr>
        <i/>
        <vertAlign val="subscript"/>
        <sz val="14"/>
        <rFont val="Times New Roman"/>
        <family val="1"/>
      </rPr>
      <t>m</t>
    </r>
    <r>
      <rPr>
        <sz val="14"/>
        <rFont val="Times New Roman"/>
        <family val="1"/>
      </rPr>
      <t xml:space="preserve"> - C</t>
    </r>
    <r>
      <rPr>
        <vertAlign val="subscript"/>
        <sz val="14"/>
        <rFont val="Times New Roman"/>
        <family val="1"/>
      </rPr>
      <t>RM</t>
    </r>
    <r>
      <rPr>
        <sz val="14"/>
        <rFont val="Times New Roman"/>
        <family val="1"/>
      </rPr>
      <t xml:space="preserve"> - C</t>
    </r>
    <r>
      <rPr>
        <vertAlign val="subscript"/>
        <sz val="14"/>
        <rFont val="Times New Roman"/>
        <family val="1"/>
      </rPr>
      <t>UT</t>
    </r>
    <r>
      <rPr>
        <sz val="14"/>
        <rFont val="Times New Roman"/>
        <family val="1"/>
      </rPr>
      <t>)</t>
    </r>
  </si>
  <si>
    <r>
      <t xml:space="preserve">Life of the plant, </t>
    </r>
    <r>
      <rPr>
        <i/>
        <sz val="14"/>
        <rFont val="Times New Roman"/>
        <family val="1"/>
      </rPr>
      <t>n</t>
    </r>
    <r>
      <rPr>
        <sz val="14"/>
        <rFont val="Times New Roman"/>
        <family val="1"/>
      </rPr>
      <t>, yr</t>
    </r>
  </si>
  <si>
    <r>
      <t>EP</t>
    </r>
    <r>
      <rPr>
        <vertAlign val="subscript"/>
        <sz val="14"/>
        <rFont val="Times New Roman"/>
        <family val="1"/>
      </rPr>
      <t>2</t>
    </r>
    <r>
      <rPr>
        <sz val="14"/>
        <rFont val="Times New Roman"/>
        <family val="1"/>
      </rPr>
      <t>, (</t>
    </r>
    <r>
      <rPr>
        <i/>
        <sz val="14"/>
        <rFont val="Times New Roman"/>
        <family val="1"/>
      </rPr>
      <t>S</t>
    </r>
    <r>
      <rPr>
        <sz val="14"/>
        <rFont val="Times New Roman"/>
        <family val="1"/>
      </rPr>
      <t>-C</t>
    </r>
    <r>
      <rPr>
        <vertAlign val="subscript"/>
        <sz val="14"/>
        <rFont val="Times New Roman"/>
        <family val="1"/>
      </rPr>
      <t>RM</t>
    </r>
    <r>
      <rPr>
        <sz val="14"/>
        <rFont val="Times New Roman"/>
        <family val="1"/>
      </rPr>
      <t>-C</t>
    </r>
    <r>
      <rPr>
        <vertAlign val="subscript"/>
        <sz val="14"/>
        <rFont val="Times New Roman"/>
        <family val="1"/>
      </rPr>
      <t>UT</t>
    </r>
    <r>
      <rPr>
        <sz val="14"/>
        <rFont val="Times New Roman"/>
        <family val="1"/>
      </rPr>
      <t>-FCI</t>
    </r>
    <r>
      <rPr>
        <vertAlign val="subscript"/>
        <sz val="14"/>
        <rFont val="Times New Roman"/>
        <family val="1"/>
      </rPr>
      <t>L</t>
    </r>
    <r>
      <rPr>
        <sz val="14"/>
        <rFont val="Times New Roman"/>
        <family val="1"/>
      </rPr>
      <t>)/mproduct</t>
    </r>
  </si>
  <si>
    <t>Value of WC, $US</t>
  </si>
  <si>
    <t>Payback period, PBP</t>
  </si>
  <si>
    <t>MARR, minimum acceptable rate of return</t>
  </si>
  <si>
    <r>
      <t>(</t>
    </r>
    <r>
      <rPr>
        <i/>
        <sz val="14"/>
        <rFont val="Times New Roman"/>
        <family val="1"/>
      </rPr>
      <t>Sm</t>
    </r>
    <r>
      <rPr>
        <sz val="14"/>
        <rFont val="Times New Roman"/>
        <family val="1"/>
      </rPr>
      <t>-COM</t>
    </r>
    <r>
      <rPr>
        <i/>
        <sz val="14"/>
        <rFont val="Times New Roman"/>
        <family val="1"/>
      </rPr>
      <t>m</t>
    </r>
    <r>
      <rPr>
        <sz val="14"/>
        <rFont val="Times New Roman"/>
        <family val="1"/>
      </rPr>
      <t>-</t>
    </r>
    <r>
      <rPr>
        <i/>
        <sz val="14"/>
        <rFont val="Times New Roman"/>
        <family val="1"/>
      </rPr>
      <t>dm</t>
    </r>
    <r>
      <rPr>
        <sz val="14"/>
        <rFont val="Times New Roman"/>
        <family val="1"/>
      </rPr>
      <t>)*(1-</t>
    </r>
    <r>
      <rPr>
        <sz val="14"/>
        <rFont val="Symbol"/>
        <family val="1"/>
        <charset val="2"/>
      </rPr>
      <t>F</t>
    </r>
    <r>
      <rPr>
        <sz val="14"/>
        <rFont val="Times New Roman"/>
        <family val="1"/>
      </rPr>
      <t>)</t>
    </r>
  </si>
  <si>
    <r>
      <rPr>
        <sz val="14"/>
        <rFont val="Symbol"/>
        <family val="1"/>
        <charset val="2"/>
      </rPr>
      <t>S(</t>
    </r>
    <r>
      <rPr>
        <sz val="14"/>
        <rFont val="Times New Roman"/>
        <family val="1"/>
      </rPr>
      <t>(</t>
    </r>
    <r>
      <rPr>
        <i/>
        <sz val="14"/>
        <rFont val="Times New Roman"/>
        <family val="1"/>
      </rPr>
      <t>Sm</t>
    </r>
    <r>
      <rPr>
        <sz val="14"/>
        <rFont val="Times New Roman"/>
        <family val="1"/>
      </rPr>
      <t>-COM</t>
    </r>
    <r>
      <rPr>
        <i/>
        <sz val="14"/>
        <rFont val="Times New Roman"/>
        <family val="1"/>
      </rPr>
      <t>m</t>
    </r>
    <r>
      <rPr>
        <sz val="14"/>
        <rFont val="Times New Roman"/>
        <family val="1"/>
      </rPr>
      <t>-</t>
    </r>
    <r>
      <rPr>
        <i/>
        <sz val="14"/>
        <rFont val="Times New Roman"/>
        <family val="1"/>
      </rPr>
      <t>dm</t>
    </r>
    <r>
      <rPr>
        <sz val="14"/>
        <rFont val="Times New Roman"/>
        <family val="1"/>
      </rPr>
      <t>)*(1-</t>
    </r>
    <r>
      <rPr>
        <sz val="14"/>
        <rFont val="Symbol"/>
        <family val="1"/>
        <charset val="2"/>
      </rPr>
      <t>F</t>
    </r>
    <r>
      <rPr>
        <sz val="14"/>
        <rFont val="Times New Roman"/>
        <family val="1"/>
      </rPr>
      <t>))</t>
    </r>
  </si>
  <si>
    <r>
      <t xml:space="preserve">Net Return, </t>
    </r>
    <r>
      <rPr>
        <i/>
        <sz val="12"/>
        <color indexed="8"/>
        <rFont val="Times New Roman"/>
        <family val="1"/>
      </rPr>
      <t>R</t>
    </r>
    <r>
      <rPr>
        <sz val="12"/>
        <color indexed="8"/>
        <rFont val="Times New Roman"/>
        <family val="1"/>
      </rPr>
      <t>n</t>
    </r>
  </si>
  <si>
    <t>Revenues from eco-products, REV</t>
  </si>
  <si>
    <t>Product name</t>
  </si>
  <si>
    <t>Annual revenue, $US/yr</t>
  </si>
  <si>
    <t>Eco-product, yes=1 &amp; no=0</t>
  </si>
  <si>
    <r>
      <t xml:space="preserve">Equivalent annual cost, </t>
    </r>
    <r>
      <rPr>
        <i/>
        <sz val="12"/>
        <color indexed="8"/>
        <rFont val="Times New Roman"/>
        <family val="1"/>
      </rPr>
      <t>C</t>
    </r>
    <r>
      <rPr>
        <sz val="12"/>
        <color indexed="8"/>
        <rFont val="Times New Roman"/>
        <family val="1"/>
      </rPr>
      <t>eq</t>
    </r>
  </si>
  <si>
    <t>Annualized TCI, $US/yr</t>
  </si>
  <si>
    <r>
      <rPr>
        <i/>
        <sz val="12"/>
        <color indexed="8"/>
        <rFont val="Times New Roman"/>
        <family val="1"/>
      </rPr>
      <t>C</t>
    </r>
    <r>
      <rPr>
        <sz val="12"/>
        <color indexed="8"/>
        <rFont val="Times New Roman"/>
        <family val="1"/>
      </rPr>
      <t>eq, $US/yr</t>
    </r>
  </si>
  <si>
    <r>
      <t>(</t>
    </r>
    <r>
      <rPr>
        <i/>
        <sz val="14"/>
        <rFont val="Times New Roman"/>
        <family val="1"/>
      </rPr>
      <t>Sm</t>
    </r>
    <r>
      <rPr>
        <sz val="14"/>
        <rFont val="Times New Roman"/>
        <family val="1"/>
      </rPr>
      <t>-COM</t>
    </r>
    <r>
      <rPr>
        <i/>
        <sz val="14"/>
        <rFont val="Times New Roman"/>
        <family val="1"/>
      </rPr>
      <t>m</t>
    </r>
    <r>
      <rPr>
        <sz val="14"/>
        <rFont val="Times New Roman"/>
        <family val="1"/>
      </rPr>
      <t>-</t>
    </r>
    <r>
      <rPr>
        <i/>
        <sz val="14"/>
        <rFont val="Times New Roman"/>
        <family val="1"/>
      </rPr>
      <t>dm</t>
    </r>
    <r>
      <rPr>
        <sz val="14"/>
        <rFont val="Times New Roman"/>
        <family val="1"/>
      </rPr>
      <t>)*(1-</t>
    </r>
    <r>
      <rPr>
        <sz val="14"/>
        <rFont val="Symbol"/>
        <family val="1"/>
        <charset val="2"/>
      </rPr>
      <t>F</t>
    </r>
    <r>
      <rPr>
        <sz val="14"/>
        <rFont val="Times New Roman"/>
        <family val="1"/>
      </rPr>
      <t>)+</t>
    </r>
    <r>
      <rPr>
        <i/>
        <sz val="14"/>
        <rFont val="Times New Roman"/>
        <family val="1"/>
      </rPr>
      <t>dm</t>
    </r>
    <r>
      <rPr>
        <sz val="14"/>
        <rFont val="Times New Roman"/>
        <family val="1"/>
      </rPr>
      <t>-Annualized TCI, $US/yr</t>
    </r>
  </si>
  <si>
    <r>
      <t>Specific raw material cost, C</t>
    </r>
    <r>
      <rPr>
        <vertAlign val="subscript"/>
        <sz val="16"/>
        <color indexed="8"/>
        <rFont val="Times New Roman"/>
        <family val="1"/>
      </rPr>
      <t>SRM</t>
    </r>
  </si>
  <si>
    <t>Feedstock name</t>
  </si>
  <si>
    <t>Annual cost, $US/yr</t>
  </si>
  <si>
    <t>Total raw material cost, $US/yr</t>
  </si>
  <si>
    <t>Total product flow rate, kg/yr</t>
  </si>
  <si>
    <r>
      <t>C</t>
    </r>
    <r>
      <rPr>
        <vertAlign val="subscript"/>
        <sz val="12"/>
        <color indexed="8"/>
        <rFont val="Times New Roman"/>
        <family val="1"/>
      </rPr>
      <t>SRM,</t>
    </r>
    <r>
      <rPr>
        <sz val="12"/>
        <color indexed="8"/>
        <rFont val="Times New Roman"/>
        <family val="1"/>
      </rPr>
      <t xml:space="preserve"> $US/kg</t>
    </r>
  </si>
  <si>
    <r>
      <t xml:space="preserve">Total energy cost </t>
    </r>
    <r>
      <rPr>
        <i/>
        <sz val="14"/>
        <color indexed="8"/>
        <rFont val="Times New Roman"/>
        <family val="1"/>
      </rPr>
      <t>C</t>
    </r>
    <r>
      <rPr>
        <i/>
        <vertAlign val="subscript"/>
        <sz val="14"/>
        <color indexed="8"/>
        <rFont val="Times New Roman"/>
        <family val="1"/>
      </rPr>
      <t>E</t>
    </r>
    <r>
      <rPr>
        <vertAlign val="subscript"/>
        <sz val="14"/>
        <color indexed="8"/>
        <rFont val="Times New Roman"/>
        <family val="1"/>
      </rPr>
      <t>, tot.</t>
    </r>
  </si>
  <si>
    <t>Energy utility type</t>
  </si>
  <si>
    <r>
      <rPr>
        <i/>
        <sz val="14"/>
        <color indexed="8"/>
        <rFont val="Times New Roman"/>
        <family val="1"/>
      </rPr>
      <t>C</t>
    </r>
    <r>
      <rPr>
        <i/>
        <vertAlign val="subscript"/>
        <sz val="14"/>
        <color indexed="8"/>
        <rFont val="Times New Roman"/>
        <family val="1"/>
      </rPr>
      <t>E</t>
    </r>
    <r>
      <rPr>
        <vertAlign val="subscript"/>
        <sz val="14"/>
        <color indexed="8"/>
        <rFont val="Times New Roman"/>
        <family val="1"/>
      </rPr>
      <t>, tot.</t>
    </r>
    <r>
      <rPr>
        <sz val="14"/>
        <color indexed="8"/>
        <rFont val="Times New Roman"/>
        <family val="1"/>
      </rPr>
      <t>, $US/yr</t>
    </r>
  </si>
  <si>
    <r>
      <t xml:space="preserve">Total water cost, </t>
    </r>
    <r>
      <rPr>
        <i/>
        <sz val="14"/>
        <color indexed="8"/>
        <rFont val="Times New Roman"/>
        <family val="1"/>
      </rPr>
      <t>C</t>
    </r>
    <r>
      <rPr>
        <vertAlign val="subscript"/>
        <sz val="14"/>
        <color indexed="8"/>
        <rFont val="Times New Roman"/>
        <family val="1"/>
      </rPr>
      <t>water tot.</t>
    </r>
  </si>
  <si>
    <t>Water utility type</t>
  </si>
  <si>
    <r>
      <rPr>
        <i/>
        <sz val="14"/>
        <color indexed="8"/>
        <rFont val="Times New Roman"/>
        <family val="1"/>
      </rPr>
      <t>C</t>
    </r>
    <r>
      <rPr>
        <vertAlign val="subscript"/>
        <sz val="14"/>
        <color indexed="8"/>
        <rFont val="Times New Roman"/>
        <family val="1"/>
      </rPr>
      <t>water, tot.</t>
    </r>
    <r>
      <rPr>
        <sz val="14"/>
        <color indexed="8"/>
        <rFont val="Times New Roman"/>
        <family val="1"/>
      </rPr>
      <t>, $US/yr</t>
    </r>
  </si>
  <si>
    <t>Water cost rate as feedstock, $US/yr</t>
  </si>
  <si>
    <r>
      <t>Annual volumetric flow rate, m</t>
    </r>
    <r>
      <rPr>
        <vertAlign val="superscript"/>
        <sz val="14"/>
        <rFont val="Times New Roman"/>
        <family val="1"/>
      </rPr>
      <t>3</t>
    </r>
    <r>
      <rPr>
        <sz val="14"/>
        <rFont val="Times New Roman"/>
        <family val="1"/>
      </rPr>
      <t>/yr</t>
    </r>
  </si>
  <si>
    <r>
      <t>Water flow rate as feedstock, m</t>
    </r>
    <r>
      <rPr>
        <vertAlign val="superscript"/>
        <sz val="14"/>
        <rFont val="Times New Roman"/>
        <family val="1"/>
      </rPr>
      <t>3</t>
    </r>
    <r>
      <rPr>
        <sz val="14"/>
        <rFont val="Times New Roman"/>
        <family val="1"/>
      </rPr>
      <t>/yr</t>
    </r>
  </si>
  <si>
    <r>
      <t>Total water flow rate needs, m</t>
    </r>
    <r>
      <rPr>
        <vertAlign val="superscript"/>
        <sz val="14"/>
        <rFont val="Times New Roman"/>
        <family val="1"/>
      </rPr>
      <t>3</t>
    </r>
    <r>
      <rPr>
        <sz val="14"/>
        <rFont val="Times New Roman"/>
        <family val="1"/>
      </rPr>
      <t>/yr</t>
    </r>
  </si>
  <si>
    <t>These are the costs related with the handle of solid waste produced during the day-to-day operation of a manufacturing plant per value unit of total production cost.</t>
  </si>
  <si>
    <r>
      <t>Best case Scenario, r</t>
    </r>
    <r>
      <rPr>
        <b/>
        <vertAlign val="subscript"/>
        <sz val="14"/>
        <rFont val="Arial"/>
        <family val="2"/>
      </rPr>
      <t>d</t>
    </r>
    <r>
      <rPr>
        <b/>
        <sz val="14"/>
        <rFont val="Arial"/>
        <family val="2"/>
      </rPr>
      <t>=0%</t>
    </r>
  </si>
  <si>
    <r>
      <t>r</t>
    </r>
    <r>
      <rPr>
        <vertAlign val="subscript"/>
        <sz val="14"/>
        <rFont val="Arial"/>
        <family val="2"/>
      </rPr>
      <t>d</t>
    </r>
  </si>
  <si>
    <t>For best case Scenario</t>
  </si>
  <si>
    <r>
      <t>ROR</t>
    </r>
    <r>
      <rPr>
        <sz val="12"/>
        <rFont val="Times New Roman"/>
        <family val="1"/>
      </rPr>
      <t xml:space="preserve"> or ROI does not consider the time value of money. It represents the nondiscontinued rate at which money is earned from the fixed capital investment. The annual net profit is an average over the life of the plant after start-up. If the plant salvage value (rec) is no-negligible, this value should be subtracted from FCI</t>
    </r>
    <r>
      <rPr>
        <sz val="10"/>
        <rFont val="Times New Roman"/>
        <family val="1"/>
      </rPr>
      <t>L</t>
    </r>
    <r>
      <rPr>
        <sz val="12"/>
        <rFont val="Times New Roman"/>
        <family val="1"/>
      </rPr>
      <t xml:space="preserve">. </t>
    </r>
  </si>
  <si>
    <r>
      <t>This is a useful indicator when several projects with different FCI</t>
    </r>
    <r>
      <rPr>
        <sz val="10"/>
        <color indexed="8"/>
        <rFont val="Times New Roman"/>
        <family val="1"/>
      </rPr>
      <t>L</t>
    </r>
    <r>
      <rPr>
        <sz val="12"/>
        <color indexed="8"/>
        <rFont val="Times New Roman"/>
        <family val="1"/>
      </rPr>
      <t xml:space="preserve"> have to be compared. By definition, it is the CCP normalized by the initial investment. If CCR&gt;1 profitable project, CCR&lt;1 unprofitable project.</t>
    </r>
  </si>
  <si>
    <r>
      <t>Utility</t>
    </r>
    <r>
      <rPr>
        <sz val="12"/>
        <rFont val="Arial"/>
        <family val="2"/>
      </rPr>
      <t>•</t>
    </r>
    <r>
      <rPr>
        <sz val="12"/>
        <rFont val="Times New Roman"/>
        <family val="1"/>
      </rPr>
      <t>: charges for utilities delivered to the battery limit of the process, $/utility flow rate; See data inputs for NPV</t>
    </r>
  </si>
  <si>
    <r>
      <t>Utility</t>
    </r>
    <r>
      <rPr>
        <sz val="12"/>
        <rFont val="Arial"/>
        <family val="2"/>
      </rPr>
      <t>•</t>
    </r>
    <r>
      <rPr>
        <sz val="12"/>
        <rFont val="Times New Roman"/>
        <family val="1"/>
      </rPr>
      <t>: charges for energy source utilities delivered to the battery limit of the process, $/utility flow rate; See data inputs for NPV</t>
    </r>
  </si>
  <si>
    <r>
      <t>Utility</t>
    </r>
    <r>
      <rPr>
        <sz val="12"/>
        <rFont val="Arial"/>
        <family val="2"/>
      </rPr>
      <t>•</t>
    </r>
    <r>
      <rPr>
        <sz val="12"/>
        <rFont val="Times New Roman"/>
        <family val="1"/>
      </rPr>
      <t xml:space="preserve">: charges for energy source utilities delivered to the battery limit of the process, $/utility flow rate; </t>
    </r>
    <r>
      <rPr>
        <i/>
        <sz val="12"/>
        <rFont val="Times New Roman"/>
        <family val="1"/>
      </rPr>
      <t>E</t>
    </r>
    <r>
      <rPr>
        <sz val="12"/>
        <rFont val="Times New Roman"/>
        <family val="1"/>
      </rPr>
      <t>total: total energy flow rate demand as a primary energy equivalent, MJ/h; See data inputs for NPV</t>
    </r>
  </si>
  <si>
    <t>Cumulative Cash Flow</t>
  </si>
  <si>
    <t>Discounted Cumulative Cash Flow</t>
  </si>
  <si>
    <t xml:space="preserve">Discounted Cumulative Cash Flow </t>
  </si>
  <si>
    <t>FCI</t>
  </si>
  <si>
    <t>Purchase equipment</t>
  </si>
  <si>
    <t>WC</t>
  </si>
  <si>
    <t>TCI</t>
  </si>
  <si>
    <t>Installation</t>
  </si>
  <si>
    <t>Pe</t>
  </si>
  <si>
    <t>I</t>
  </si>
  <si>
    <t>IA</t>
  </si>
  <si>
    <t>IA1</t>
  </si>
  <si>
    <t>IA2</t>
  </si>
  <si>
    <t>IA3</t>
  </si>
  <si>
    <t>instrumentation</t>
  </si>
  <si>
    <t>IA4</t>
  </si>
  <si>
    <t>piping</t>
  </si>
  <si>
    <t>electrical</t>
  </si>
  <si>
    <t>IA5</t>
  </si>
  <si>
    <t>IB</t>
  </si>
  <si>
    <t>Buildings, process, auxiliary</t>
  </si>
  <si>
    <t>IC</t>
  </si>
  <si>
    <t>Service facilities &amp; improvements</t>
  </si>
  <si>
    <t>ID</t>
  </si>
  <si>
    <t>Land</t>
  </si>
  <si>
    <t>II</t>
  </si>
  <si>
    <t>Indirect costs</t>
  </si>
  <si>
    <t>IIA</t>
  </si>
  <si>
    <t>Engineering and supervision</t>
  </si>
  <si>
    <t>Dc</t>
  </si>
  <si>
    <t>Direct costs, Dc</t>
  </si>
  <si>
    <t>Purchase equipment, Pe</t>
  </si>
  <si>
    <t>IIB</t>
  </si>
  <si>
    <t>Legal expenses</t>
  </si>
  <si>
    <t>IIC</t>
  </si>
  <si>
    <t>Construction expenses and contractor's fee</t>
  </si>
  <si>
    <t>IID</t>
  </si>
  <si>
    <t>Contingency</t>
  </si>
  <si>
    <t>III</t>
  </si>
  <si>
    <t>Fixed capital investment, FCI</t>
  </si>
  <si>
    <t>I+II</t>
  </si>
  <si>
    <t>IV</t>
  </si>
  <si>
    <t>V</t>
  </si>
  <si>
    <t>III+IV</t>
  </si>
  <si>
    <t>Direct production costs</t>
  </si>
  <si>
    <t>Raw materials</t>
  </si>
  <si>
    <t>Direct supervisory &amp; clerical l.</t>
  </si>
  <si>
    <t>Op</t>
  </si>
  <si>
    <t>Operating labor, Op</t>
  </si>
  <si>
    <t>Utilities</t>
  </si>
  <si>
    <t>IA6</t>
  </si>
  <si>
    <t>Operating supplies</t>
  </si>
  <si>
    <t>Maintenance and repairs, M&amp;R</t>
  </si>
  <si>
    <t>IA7</t>
  </si>
  <si>
    <t xml:space="preserve">Laboratory charges </t>
  </si>
  <si>
    <t>IA8</t>
  </si>
  <si>
    <t>Patents and royalties</t>
  </si>
  <si>
    <t>Fixed charges</t>
  </si>
  <si>
    <t>IB1</t>
  </si>
  <si>
    <t>Depretation</t>
  </si>
  <si>
    <t>Local taxes</t>
  </si>
  <si>
    <t>IB2</t>
  </si>
  <si>
    <t>IB3</t>
  </si>
  <si>
    <t>Insurance</t>
  </si>
  <si>
    <t>IB4</t>
  </si>
  <si>
    <t>Rent</t>
  </si>
  <si>
    <t>IB &amp; ID</t>
  </si>
  <si>
    <t>IB5</t>
  </si>
  <si>
    <t>Financing (interes)</t>
  </si>
  <si>
    <t>Plant overhead costs</t>
  </si>
  <si>
    <t>General expenses</t>
  </si>
  <si>
    <t>Administrative costs</t>
  </si>
  <si>
    <t>Distribution and marketing costs</t>
  </si>
  <si>
    <t>Research and development costs</t>
  </si>
  <si>
    <t>Sales</t>
  </si>
  <si>
    <t>IA+IB+IC</t>
  </si>
  <si>
    <t>% FCI</t>
  </si>
  <si>
    <t>% TPC</t>
  </si>
  <si>
    <t>% Current FCI</t>
  </si>
  <si>
    <t>Absolute value, $MUS</t>
  </si>
  <si>
    <t>Best case, $MUS</t>
  </si>
  <si>
    <t>% Current TPC</t>
  </si>
  <si>
    <t>% Best FCI</t>
  </si>
  <si>
    <t>% Best TPC</t>
  </si>
  <si>
    <t>Worst case, $MUS</t>
  </si>
  <si>
    <t>% Worst FCI</t>
  </si>
  <si>
    <t>% Worst TPC</t>
  </si>
  <si>
    <t>ESTIMATION OF BEST AND WORST CAPITAL INVESTMENT COST VALUES</t>
  </si>
  <si>
    <t>ESTIMATION OF BEST AND WORST MANUFACTURING COST VALUES</t>
  </si>
  <si>
    <r>
      <t>C</t>
    </r>
    <r>
      <rPr>
        <vertAlign val="subscript"/>
        <sz val="10"/>
        <rFont val="Arial"/>
        <family val="2"/>
      </rPr>
      <t>RM</t>
    </r>
  </si>
  <si>
    <r>
      <t>C</t>
    </r>
    <r>
      <rPr>
        <vertAlign val="subscript"/>
        <sz val="10"/>
        <rFont val="Arial"/>
        <family val="2"/>
      </rPr>
      <t>UT</t>
    </r>
  </si>
  <si>
    <r>
      <t>C</t>
    </r>
    <r>
      <rPr>
        <vertAlign val="subscript"/>
        <sz val="10"/>
        <rFont val="Arial"/>
        <family val="2"/>
      </rPr>
      <t>WT</t>
    </r>
  </si>
  <si>
    <r>
      <t>C</t>
    </r>
    <r>
      <rPr>
        <vertAlign val="subscript"/>
        <sz val="10"/>
        <rFont val="Arial"/>
        <family val="2"/>
      </rPr>
      <t>OL</t>
    </r>
  </si>
  <si>
    <t>equipment, installation, instrumentation, piping, electrical, insulation, painting</t>
  </si>
  <si>
    <r>
      <t>d</t>
    </r>
    <r>
      <rPr>
        <i/>
        <vertAlign val="subscript"/>
        <sz val="12"/>
        <rFont val="Times New Roman"/>
        <family val="1"/>
      </rPr>
      <t>m</t>
    </r>
  </si>
  <si>
    <r>
      <t>S</t>
    </r>
    <r>
      <rPr>
        <i/>
        <vertAlign val="subscript"/>
        <sz val="12"/>
        <rFont val="Times New Roman"/>
        <family val="1"/>
      </rPr>
      <t>m</t>
    </r>
    <r>
      <rPr>
        <sz val="12"/>
        <rFont val="Times New Roman"/>
        <family val="1"/>
      </rPr>
      <t>, $/yr</t>
    </r>
  </si>
  <si>
    <r>
      <rPr>
        <sz val="12"/>
        <rFont val="Times New Roman"/>
        <family val="1"/>
      </rPr>
      <t>COM</t>
    </r>
    <r>
      <rPr>
        <i/>
        <vertAlign val="subscript"/>
        <sz val="12"/>
        <rFont val="Times New Roman"/>
        <family val="1"/>
      </rPr>
      <t>m</t>
    </r>
  </si>
  <si>
    <r>
      <t>FCI</t>
    </r>
    <r>
      <rPr>
        <vertAlign val="subscript"/>
        <sz val="12"/>
        <rFont val="Times New Roman"/>
        <family val="1"/>
      </rPr>
      <t xml:space="preserve">L </t>
    </r>
    <r>
      <rPr>
        <sz val="12"/>
        <rFont val="Times New Roman"/>
        <family val="1"/>
      </rPr>
      <t xml:space="preserve">- </t>
    </r>
    <r>
      <rPr>
        <sz val="12"/>
        <rFont val="Symbol"/>
        <family val="1"/>
        <charset val="2"/>
      </rPr>
      <t>S</t>
    </r>
    <r>
      <rPr>
        <i/>
        <sz val="12"/>
        <rFont val="Times New Roman"/>
        <family val="1"/>
      </rPr>
      <t>d</t>
    </r>
    <r>
      <rPr>
        <i/>
        <vertAlign val="subscript"/>
        <sz val="12"/>
        <rFont val="Times New Roman"/>
        <family val="1"/>
      </rPr>
      <t>m</t>
    </r>
    <r>
      <rPr>
        <sz val="12"/>
        <rFont val="Times New Roman"/>
        <family val="1"/>
      </rPr>
      <t/>
    </r>
  </si>
  <si>
    <r>
      <t>(</t>
    </r>
    <r>
      <rPr>
        <i/>
        <sz val="12"/>
        <rFont val="Times New Roman"/>
        <family val="1"/>
      </rPr>
      <t>S</t>
    </r>
    <r>
      <rPr>
        <i/>
        <vertAlign val="subscript"/>
        <sz val="12"/>
        <rFont val="Times New Roman"/>
        <family val="1"/>
      </rPr>
      <t>m</t>
    </r>
    <r>
      <rPr>
        <sz val="12"/>
        <rFont val="Times New Roman"/>
        <family val="1"/>
      </rPr>
      <t>-COM</t>
    </r>
    <r>
      <rPr>
        <i/>
        <vertAlign val="subscript"/>
        <sz val="12"/>
        <rFont val="Times New Roman"/>
        <family val="1"/>
      </rPr>
      <t>m</t>
    </r>
    <r>
      <rPr>
        <sz val="12"/>
        <rFont val="Times New Roman"/>
        <family val="1"/>
      </rPr>
      <t>-</t>
    </r>
    <r>
      <rPr>
        <i/>
        <sz val="12"/>
        <rFont val="Times New Roman"/>
        <family val="1"/>
      </rPr>
      <t>d</t>
    </r>
    <r>
      <rPr>
        <i/>
        <vertAlign val="subscript"/>
        <sz val="12"/>
        <rFont val="Times New Roman"/>
        <family val="1"/>
      </rPr>
      <t>m</t>
    </r>
    <r>
      <rPr>
        <sz val="12"/>
        <rFont val="Times New Roman"/>
        <family val="1"/>
      </rPr>
      <t>)*(1-</t>
    </r>
    <r>
      <rPr>
        <sz val="12"/>
        <rFont val="Symbol"/>
        <family val="1"/>
        <charset val="2"/>
      </rPr>
      <t>F</t>
    </r>
    <r>
      <rPr>
        <sz val="12"/>
        <rFont val="Times New Roman"/>
        <family val="1"/>
      </rPr>
      <t>)+</t>
    </r>
    <r>
      <rPr>
        <i/>
        <sz val="12"/>
        <rFont val="Times New Roman"/>
        <family val="1"/>
      </rPr>
      <t>d</t>
    </r>
    <r>
      <rPr>
        <i/>
        <vertAlign val="subscript"/>
        <sz val="12"/>
        <rFont val="Times New Roman"/>
        <family val="1"/>
      </rPr>
      <t>m</t>
    </r>
  </si>
  <si>
    <t>Estimation of the Best Nondiscounted and Discounted After-Tax Cash Flow values</t>
  </si>
  <si>
    <t>Estimation of the Worst Nondiscounted and Discounted After-Tax Cash Flow values</t>
  </si>
  <si>
    <r>
      <t>(</t>
    </r>
    <r>
      <rPr>
        <i/>
        <sz val="12"/>
        <rFont val="Times New Roman"/>
        <family val="1"/>
      </rPr>
      <t>Sm</t>
    </r>
    <r>
      <rPr>
        <sz val="12"/>
        <rFont val="Times New Roman"/>
        <family val="1"/>
      </rPr>
      <t>-COM</t>
    </r>
    <r>
      <rPr>
        <i/>
        <sz val="12"/>
        <rFont val="Times New Roman"/>
        <family val="1"/>
      </rPr>
      <t>m</t>
    </r>
    <r>
      <rPr>
        <sz val="12"/>
        <rFont val="Times New Roman"/>
        <family val="1"/>
      </rPr>
      <t>-</t>
    </r>
    <r>
      <rPr>
        <i/>
        <sz val="12"/>
        <rFont val="Times New Roman"/>
        <family val="1"/>
      </rPr>
      <t>dm</t>
    </r>
    <r>
      <rPr>
        <sz val="12"/>
        <rFont val="Times New Roman"/>
        <family val="1"/>
      </rPr>
      <t>)*(1-</t>
    </r>
    <r>
      <rPr>
        <sz val="12"/>
        <rFont val="Symbol"/>
        <family val="1"/>
        <charset val="2"/>
      </rPr>
      <t>F</t>
    </r>
    <r>
      <rPr>
        <sz val="12"/>
        <rFont val="Times New Roman"/>
        <family val="1"/>
      </rPr>
      <t>)</t>
    </r>
  </si>
  <si>
    <r>
      <rPr>
        <sz val="12"/>
        <rFont val="Symbol"/>
        <family val="1"/>
        <charset val="2"/>
      </rPr>
      <t>S(</t>
    </r>
    <r>
      <rPr>
        <sz val="12"/>
        <rFont val="Times New Roman"/>
        <family val="1"/>
      </rPr>
      <t>(</t>
    </r>
    <r>
      <rPr>
        <i/>
        <sz val="12"/>
        <rFont val="Times New Roman"/>
        <family val="1"/>
      </rPr>
      <t>Sm</t>
    </r>
    <r>
      <rPr>
        <sz val="12"/>
        <rFont val="Times New Roman"/>
        <family val="1"/>
      </rPr>
      <t>-COM</t>
    </r>
    <r>
      <rPr>
        <i/>
        <sz val="12"/>
        <rFont val="Times New Roman"/>
        <family val="1"/>
      </rPr>
      <t>m</t>
    </r>
    <r>
      <rPr>
        <sz val="12"/>
        <rFont val="Times New Roman"/>
        <family val="1"/>
      </rPr>
      <t>-</t>
    </r>
    <r>
      <rPr>
        <i/>
        <sz val="12"/>
        <rFont val="Times New Roman"/>
        <family val="1"/>
      </rPr>
      <t>dm</t>
    </r>
    <r>
      <rPr>
        <sz val="12"/>
        <rFont val="Times New Roman"/>
        <family val="1"/>
      </rPr>
      <t>)*(1-</t>
    </r>
    <r>
      <rPr>
        <sz val="12"/>
        <rFont val="Symbol"/>
        <family val="1"/>
        <charset val="2"/>
      </rPr>
      <t>F</t>
    </r>
    <r>
      <rPr>
        <sz val="12"/>
        <rFont val="Times New Roman"/>
        <family val="1"/>
      </rPr>
      <t>))</t>
    </r>
  </si>
  <si>
    <t>TCI, total capital investment, $MUS</t>
  </si>
  <si>
    <t>Annualized TCI, $MUS/yr</t>
  </si>
  <si>
    <t>Cost $MUS/yr</t>
  </si>
  <si>
    <t>GJ/yr, Energy indicator 1</t>
  </si>
  <si>
    <t>Best case, coal as E source</t>
  </si>
  <si>
    <t>Worst case, electricity as E source</t>
  </si>
  <si>
    <r>
      <t>Water flow rate as utility, m</t>
    </r>
    <r>
      <rPr>
        <vertAlign val="superscript"/>
        <sz val="14"/>
        <rFont val="Times New Roman"/>
        <family val="1"/>
      </rPr>
      <t>3</t>
    </r>
    <r>
      <rPr>
        <sz val="14"/>
        <rFont val="Times New Roman"/>
        <family val="1"/>
      </rPr>
      <t>/yr</t>
    </r>
  </si>
  <si>
    <t>Water cost rate as utility, $US/yr</t>
  </si>
  <si>
    <t>Best case, process use water as the only source</t>
  </si>
  <si>
    <t>Worst case, Deionized water as the only source</t>
  </si>
  <si>
    <t>Water cost rate as in situ produced utility, $US/yr</t>
  </si>
  <si>
    <t>Transformity factor for electricity, MseJ/kWh</t>
  </si>
  <si>
    <t>Total Emergy from electricity delivered, MseJ/h</t>
  </si>
  <si>
    <t>Total Emergy from steam demand, MseJ/h</t>
  </si>
  <si>
    <r>
      <t>Natural gas usage, m</t>
    </r>
    <r>
      <rPr>
        <vertAlign val="superscript"/>
        <sz val="12"/>
        <color theme="1"/>
        <rFont val="Arial"/>
        <family val="2"/>
      </rPr>
      <t>3</t>
    </r>
    <r>
      <rPr>
        <sz val="12"/>
        <color theme="1"/>
        <rFont val="Arial"/>
        <family val="2"/>
      </rPr>
      <t>/h</t>
    </r>
  </si>
  <si>
    <t>Total cooling demand, MJ/h</t>
  </si>
  <si>
    <t>Transformity factor for cooling needs, MseJ/MJ</t>
  </si>
  <si>
    <t>Total Emergy from cooling demand, MseJ/h</t>
  </si>
  <si>
    <t>Transformity, MseJ/unit</t>
  </si>
  <si>
    <t>Emergy flow, MseJ/h</t>
  </si>
  <si>
    <t>Nonrenewable</t>
  </si>
  <si>
    <t>MseJ/kg of prod</t>
  </si>
  <si>
    <t>MseJ/ $US</t>
  </si>
  <si>
    <t>MseJ/MseJ</t>
  </si>
  <si>
    <r>
      <t xml:space="preserve">Environmental Quotient, </t>
    </r>
    <r>
      <rPr>
        <i/>
        <sz val="16"/>
        <rFont val="Calibri"/>
        <family val="2"/>
        <scheme val="minor"/>
      </rPr>
      <t>EQ</t>
    </r>
  </si>
  <si>
    <t>Notes</t>
  </si>
  <si>
    <t>Mixer</t>
  </si>
  <si>
    <t>Total purchase cost  $ (i.e., by using CAPCOST)</t>
  </si>
  <si>
    <t>Bare module cost ($) (i.e., by using CAPCOST)</t>
  </si>
  <si>
    <t>Total module cost or installed cost ($)</t>
  </si>
  <si>
    <t>Distillation Column</t>
  </si>
  <si>
    <t>Other Equipment Summary</t>
  </si>
  <si>
    <t>Other equipment</t>
  </si>
  <si>
    <t>Compound #</t>
  </si>
  <si>
    <t>Compound name</t>
  </si>
  <si>
    <t>Input streams</t>
  </si>
  <si>
    <t>T, °C</t>
  </si>
  <si>
    <t>P, kPa</t>
  </si>
  <si>
    <t>Enthalpy, MJ/h</t>
  </si>
  <si>
    <t>Entropy, MJ/K/h</t>
  </si>
  <si>
    <t>Mass flow, kg/h</t>
  </si>
  <si>
    <t>Average molecular weight, kg/kmol</t>
  </si>
  <si>
    <t>Molar flow, kmol/h</t>
  </si>
  <si>
    <r>
      <t xml:space="preserve">molar fraction, </t>
    </r>
    <r>
      <rPr>
        <i/>
        <sz val="12"/>
        <color theme="1"/>
        <rFont val="Times New Roman"/>
        <family val="1"/>
      </rPr>
      <t>x</t>
    </r>
    <r>
      <rPr>
        <i/>
        <vertAlign val="subscript"/>
        <sz val="12"/>
        <color theme="1"/>
        <rFont val="Times New Roman"/>
        <family val="1"/>
      </rPr>
      <t>i</t>
    </r>
  </si>
  <si>
    <t>Output streams</t>
  </si>
  <si>
    <t>Product=1; waste=0</t>
  </si>
  <si>
    <t>Total heating needs, MJ/h</t>
  </si>
  <si>
    <t>Total cooling needs, MJ/h</t>
  </si>
  <si>
    <t>Energy source</t>
  </si>
  <si>
    <t>Electricity, 3.6 MJ/kWh</t>
  </si>
  <si>
    <t>`</t>
  </si>
  <si>
    <t>Power needs</t>
  </si>
  <si>
    <t>Cost, $US/kg</t>
  </si>
  <si>
    <t>Total cost flow rate, $US/h</t>
  </si>
  <si>
    <t>Reactions</t>
  </si>
  <si>
    <t>Reaction #</t>
  </si>
  <si>
    <r>
      <t xml:space="preserve">Land cost, </t>
    </r>
    <r>
      <rPr>
        <i/>
        <sz val="12"/>
        <rFont val="Times New Roman"/>
        <family val="1"/>
      </rPr>
      <t>C</t>
    </r>
    <r>
      <rPr>
        <sz val="12"/>
        <rFont val="Times New Roman"/>
        <family val="1"/>
      </rPr>
      <t>Land, $US</t>
    </r>
  </si>
  <si>
    <t>Hourly earnings, $US/hr @12-2010</t>
  </si>
  <si>
    <t>Moderately low T Refrigerated water, Tin = 5 °C Tout = 15°C, 0.043 MJ/kg</t>
  </si>
  <si>
    <t>Stoichiometric coefficients</t>
  </si>
  <si>
    <t>Main product</t>
  </si>
  <si>
    <t>Main global reaction #</t>
  </si>
  <si>
    <t>Main global reaction</t>
  </si>
  <si>
    <t>Limiting reagent compound #</t>
  </si>
  <si>
    <r>
      <rPr>
        <sz val="14"/>
        <color indexed="8"/>
        <rFont val="Times New Roman"/>
        <family val="1"/>
      </rPr>
      <t>Reaction yield,</t>
    </r>
    <r>
      <rPr>
        <sz val="14"/>
        <color indexed="8"/>
        <rFont val="Symbol"/>
        <family val="1"/>
        <charset val="2"/>
      </rPr>
      <t xml:space="preserve"> e</t>
    </r>
  </si>
  <si>
    <t>Atom Economy, AE</t>
  </si>
  <si>
    <t>MW, kmol/kg</t>
  </si>
  <si>
    <r>
      <t>MW*</t>
    </r>
    <r>
      <rPr>
        <sz val="12"/>
        <rFont val="Symbol"/>
        <family val="1"/>
        <charset val="2"/>
      </rPr>
      <t>a</t>
    </r>
  </si>
  <si>
    <r>
      <rPr>
        <sz val="12"/>
        <rFont val="Symbol"/>
        <family val="1"/>
        <charset val="2"/>
      </rPr>
      <t>(</t>
    </r>
    <r>
      <rPr>
        <sz val="12"/>
        <rFont val="Times New Roman"/>
        <family val="1"/>
      </rPr>
      <t>MW</t>
    </r>
    <r>
      <rPr>
        <sz val="12"/>
        <rFont val="Symbol"/>
        <family val="1"/>
        <charset val="2"/>
      </rPr>
      <t>*b)</t>
    </r>
    <r>
      <rPr>
        <vertAlign val="subscript"/>
        <sz val="12"/>
        <rFont val="Times New Roman"/>
        <family val="1"/>
      </rPr>
      <t>product</t>
    </r>
  </si>
  <si>
    <r>
      <rPr>
        <sz val="12"/>
        <rFont val="Symbol"/>
        <family val="1"/>
        <charset val="2"/>
      </rPr>
      <t>[S(</t>
    </r>
    <r>
      <rPr>
        <sz val="12"/>
        <rFont val="Times New Roman"/>
        <family val="1"/>
      </rPr>
      <t>MW</t>
    </r>
    <r>
      <rPr>
        <sz val="12"/>
        <rFont val="Symbol"/>
        <family val="1"/>
        <charset val="2"/>
      </rPr>
      <t>*b)</t>
    </r>
    <r>
      <rPr>
        <vertAlign val="subscript"/>
        <sz val="12"/>
        <rFont val="Times New Roman"/>
        <family val="1"/>
      </rPr>
      <t>reagent</t>
    </r>
    <r>
      <rPr>
        <sz val="12"/>
        <rFont val="Times New Roman"/>
        <family val="1"/>
      </rPr>
      <t>]</t>
    </r>
  </si>
  <si>
    <t>Limiting reagent (LR) Compound #</t>
  </si>
  <si>
    <t>LR stoichiometric coefficient</t>
  </si>
  <si>
    <t>LR MW, Kmol/kg</t>
  </si>
  <si>
    <r>
      <t>m</t>
    </r>
    <r>
      <rPr>
        <vertAlign val="superscript"/>
        <sz val="12"/>
        <rFont val="Arial"/>
        <family val="2"/>
      </rPr>
      <t>•</t>
    </r>
    <r>
      <rPr>
        <vertAlign val="superscript"/>
        <sz val="12"/>
        <rFont val="Times New Roman"/>
        <family val="1"/>
      </rPr>
      <t>in</t>
    </r>
    <r>
      <rPr>
        <vertAlign val="subscript"/>
        <sz val="12"/>
        <rFont val="Times New Roman"/>
        <family val="1"/>
      </rPr>
      <t>LR</t>
    </r>
    <r>
      <rPr>
        <sz val="12"/>
        <rFont val="Times New Roman"/>
        <family val="1"/>
      </rPr>
      <t>/MW</t>
    </r>
    <r>
      <rPr>
        <vertAlign val="subscript"/>
        <sz val="12"/>
        <rFont val="Times New Roman"/>
        <family val="1"/>
      </rPr>
      <t>LR</t>
    </r>
    <r>
      <rPr>
        <sz val="12"/>
        <rFont val="Cambria"/>
        <family val="1"/>
      </rPr>
      <t>*</t>
    </r>
    <r>
      <rPr>
        <sz val="12"/>
        <rFont val="Symbol"/>
        <family val="1"/>
        <charset val="2"/>
      </rPr>
      <t>a/a</t>
    </r>
    <r>
      <rPr>
        <vertAlign val="subscript"/>
        <sz val="12"/>
        <rFont val="Times New Roman"/>
        <family val="1"/>
      </rPr>
      <t>LR</t>
    </r>
    <r>
      <rPr>
        <sz val="12"/>
        <rFont val="Times New Roman"/>
        <family val="1"/>
      </rPr>
      <t>*MW</t>
    </r>
  </si>
  <si>
    <r>
      <t>m</t>
    </r>
    <r>
      <rPr>
        <vertAlign val="superscript"/>
        <sz val="12"/>
        <rFont val="Times New Roman"/>
        <family val="1"/>
      </rPr>
      <t>•in</t>
    </r>
    <r>
      <rPr>
        <vertAlign val="subscript"/>
        <sz val="12"/>
        <rFont val="Times New Roman"/>
        <family val="1"/>
      </rPr>
      <t>R</t>
    </r>
    <r>
      <rPr>
        <sz val="12"/>
        <rFont val="Times New Roman"/>
        <family val="1"/>
      </rPr>
      <t>-m</t>
    </r>
    <r>
      <rPr>
        <vertAlign val="superscript"/>
        <sz val="12"/>
        <rFont val="Arial"/>
        <family val="2"/>
      </rPr>
      <t>•</t>
    </r>
    <r>
      <rPr>
        <vertAlign val="superscript"/>
        <sz val="12"/>
        <rFont val="Times New Roman"/>
        <family val="1"/>
      </rPr>
      <t>in</t>
    </r>
    <r>
      <rPr>
        <vertAlign val="subscript"/>
        <sz val="12"/>
        <rFont val="Times New Roman"/>
        <family val="1"/>
      </rPr>
      <t>LR</t>
    </r>
    <r>
      <rPr>
        <sz val="12"/>
        <rFont val="Times New Roman"/>
        <family val="1"/>
      </rPr>
      <t>/MW</t>
    </r>
    <r>
      <rPr>
        <vertAlign val="subscript"/>
        <sz val="12"/>
        <rFont val="Times New Roman"/>
        <family val="1"/>
      </rPr>
      <t>LR</t>
    </r>
    <r>
      <rPr>
        <sz val="12"/>
        <rFont val="Cambria"/>
        <family val="1"/>
      </rPr>
      <t>*</t>
    </r>
    <r>
      <rPr>
        <sz val="12"/>
        <rFont val="Symbol"/>
        <family val="1"/>
        <charset val="2"/>
      </rPr>
      <t>a/a</t>
    </r>
    <r>
      <rPr>
        <vertAlign val="subscript"/>
        <sz val="12"/>
        <rFont val="Times New Roman"/>
        <family val="1"/>
      </rPr>
      <t>LR</t>
    </r>
    <r>
      <rPr>
        <sz val="12"/>
        <rFont val="Times New Roman"/>
        <family val="1"/>
      </rPr>
      <t>*MW</t>
    </r>
  </si>
  <si>
    <r>
      <rPr>
        <sz val="12"/>
        <rFont val="Symbol"/>
        <family val="1"/>
        <charset val="2"/>
      </rPr>
      <t>S(</t>
    </r>
    <r>
      <rPr>
        <sz val="12"/>
        <rFont val="Times New Roman"/>
        <family val="1"/>
      </rPr>
      <t>m</t>
    </r>
    <r>
      <rPr>
        <vertAlign val="superscript"/>
        <sz val="12"/>
        <rFont val="Arial"/>
        <family val="2"/>
      </rPr>
      <t>•</t>
    </r>
    <r>
      <rPr>
        <vertAlign val="superscript"/>
        <sz val="12"/>
        <rFont val="Times New Roman"/>
        <family val="1"/>
      </rPr>
      <t>in</t>
    </r>
    <r>
      <rPr>
        <vertAlign val="subscript"/>
        <sz val="12"/>
        <rFont val="Times New Roman"/>
        <family val="1"/>
      </rPr>
      <t>LR</t>
    </r>
    <r>
      <rPr>
        <sz val="12"/>
        <rFont val="Times New Roman"/>
        <family val="1"/>
      </rPr>
      <t>/MW</t>
    </r>
    <r>
      <rPr>
        <vertAlign val="subscript"/>
        <sz val="12"/>
        <rFont val="Times New Roman"/>
        <family val="1"/>
      </rPr>
      <t>LR</t>
    </r>
    <r>
      <rPr>
        <sz val="12"/>
        <rFont val="Cambria"/>
        <family val="1"/>
      </rPr>
      <t>*</t>
    </r>
    <r>
      <rPr>
        <sz val="12"/>
        <rFont val="Symbol"/>
        <family val="1"/>
        <charset val="2"/>
      </rPr>
      <t>a/a</t>
    </r>
    <r>
      <rPr>
        <vertAlign val="subscript"/>
        <sz val="12"/>
        <rFont val="Times New Roman"/>
        <family val="1"/>
      </rPr>
      <t>LR</t>
    </r>
    <r>
      <rPr>
        <sz val="12"/>
        <rFont val="Times New Roman"/>
        <family val="1"/>
      </rPr>
      <t>*MW)</t>
    </r>
  </si>
  <si>
    <r>
      <rPr>
        <sz val="12"/>
        <rFont val="Symbol"/>
        <family val="1"/>
        <charset val="2"/>
      </rPr>
      <t>S</t>
    </r>
    <r>
      <rPr>
        <sz val="12"/>
        <rFont val="Times New Roman"/>
        <family val="1"/>
      </rPr>
      <t>(m</t>
    </r>
    <r>
      <rPr>
        <vertAlign val="superscript"/>
        <sz val="12"/>
        <rFont val="Times New Roman"/>
        <family val="1"/>
      </rPr>
      <t>•in</t>
    </r>
    <r>
      <rPr>
        <vertAlign val="subscript"/>
        <sz val="12"/>
        <rFont val="Times New Roman"/>
        <family val="1"/>
      </rPr>
      <t>R</t>
    </r>
    <r>
      <rPr>
        <sz val="12"/>
        <rFont val="Cambria"/>
        <family val="1"/>
      </rPr>
      <t xml:space="preserve"> -</t>
    </r>
    <r>
      <rPr>
        <sz val="12"/>
        <rFont val="Times New Roman"/>
        <family val="1"/>
      </rPr>
      <t xml:space="preserve"> m</t>
    </r>
    <r>
      <rPr>
        <vertAlign val="superscript"/>
        <sz val="12"/>
        <rFont val="Arial"/>
        <family val="2"/>
      </rPr>
      <t>•</t>
    </r>
    <r>
      <rPr>
        <vertAlign val="superscript"/>
        <sz val="12"/>
        <rFont val="Times New Roman"/>
        <family val="1"/>
      </rPr>
      <t>in</t>
    </r>
    <r>
      <rPr>
        <vertAlign val="subscript"/>
        <sz val="12"/>
        <rFont val="Times New Roman"/>
        <family val="1"/>
      </rPr>
      <t>LR</t>
    </r>
    <r>
      <rPr>
        <sz val="12"/>
        <rFont val="Times New Roman"/>
        <family val="1"/>
      </rPr>
      <t>/MW</t>
    </r>
    <r>
      <rPr>
        <vertAlign val="subscript"/>
        <sz val="12"/>
        <rFont val="Times New Roman"/>
        <family val="1"/>
      </rPr>
      <t>LR</t>
    </r>
    <r>
      <rPr>
        <sz val="12"/>
        <rFont val="Cambria"/>
        <family val="1"/>
      </rPr>
      <t>*</t>
    </r>
    <r>
      <rPr>
        <sz val="12"/>
        <rFont val="Symbol"/>
        <family val="1"/>
        <charset val="2"/>
      </rPr>
      <t>a/a</t>
    </r>
    <r>
      <rPr>
        <vertAlign val="subscript"/>
        <sz val="12"/>
        <rFont val="Times New Roman"/>
        <family val="1"/>
      </rPr>
      <t>LR</t>
    </r>
    <r>
      <rPr>
        <sz val="12"/>
        <rFont val="Times New Roman"/>
        <family val="1"/>
      </rPr>
      <t>*MW)</t>
    </r>
  </si>
  <si>
    <t>Reaction mass efficiency, RME</t>
  </si>
  <si>
    <t>Main global product #</t>
  </si>
  <si>
    <t>Main global product name</t>
  </si>
  <si>
    <t>Main global product stoichiometric coefficient</t>
  </si>
  <si>
    <t>Main global product MW, Kmol/kg</t>
  </si>
  <si>
    <t>Main global product</t>
  </si>
  <si>
    <t>Stoichiometric factor, SF</t>
  </si>
  <si>
    <t>Stream #</t>
  </si>
  <si>
    <r>
      <t>Value mass intensity, VM</t>
    </r>
    <r>
      <rPr>
        <vertAlign val="subscript"/>
        <sz val="12"/>
        <rFont val="Times New Roman"/>
        <family val="1"/>
      </rPr>
      <t>I</t>
    </r>
  </si>
  <si>
    <t>Total material inputs, kg/h</t>
  </si>
  <si>
    <t>Annual sales, $US/yr</t>
  </si>
  <si>
    <t>Annual sales, $US/h</t>
  </si>
  <si>
    <t>Total product streams flowrate, kg/h</t>
  </si>
  <si>
    <t>Total waste outputs (no water), kg/h</t>
  </si>
  <si>
    <t>Total water content in waste streams, kg/h</t>
  </si>
  <si>
    <r>
      <t xml:space="preserve">Product mass flow, </t>
    </r>
    <r>
      <rPr>
        <i/>
        <sz val="12"/>
        <rFont val="Times New Roman"/>
        <family val="1"/>
      </rPr>
      <t>m</t>
    </r>
    <r>
      <rPr>
        <sz val="12"/>
        <rFont val="Arial"/>
        <family val="2"/>
      </rPr>
      <t>•</t>
    </r>
    <r>
      <rPr>
        <vertAlign val="subscript"/>
        <sz val="12"/>
        <rFont val="Times New Roman"/>
        <family val="1"/>
      </rPr>
      <t>product</t>
    </r>
    <r>
      <rPr>
        <sz val="12"/>
        <rFont val="Times New Roman"/>
        <family val="1"/>
      </rPr>
      <t xml:space="preserve">. Total mass flow in, </t>
    </r>
    <r>
      <rPr>
        <sz val="12"/>
        <rFont val="Symbol"/>
        <family val="1"/>
        <charset val="2"/>
      </rPr>
      <t>S</t>
    </r>
    <r>
      <rPr>
        <i/>
        <sz val="12"/>
        <rFont val="Times New Roman"/>
        <family val="1"/>
      </rPr>
      <t>m</t>
    </r>
    <r>
      <rPr>
        <i/>
        <vertAlign val="subscript"/>
        <sz val="12"/>
        <rFont val="Times New Roman"/>
        <family val="1"/>
      </rPr>
      <t>i</t>
    </r>
    <r>
      <rPr>
        <vertAlign val="subscript"/>
        <sz val="12"/>
        <rFont val="Times New Roman"/>
        <family val="1"/>
      </rPr>
      <t>, in</t>
    </r>
  </si>
  <si>
    <r>
      <t xml:space="preserve">Environmental factor based on molecular weight, </t>
    </r>
    <r>
      <rPr>
        <i/>
        <sz val="12"/>
        <rFont val="Times New Roman"/>
        <family val="1"/>
      </rPr>
      <t>E</t>
    </r>
    <r>
      <rPr>
        <vertAlign val="subscript"/>
        <sz val="12"/>
        <rFont val="Times New Roman"/>
        <family val="1"/>
      </rPr>
      <t>mw</t>
    </r>
  </si>
  <si>
    <r>
      <t>(MW*</t>
    </r>
    <r>
      <rPr>
        <sz val="12"/>
        <rFont val="Symbol"/>
        <family val="1"/>
        <charset val="2"/>
      </rPr>
      <t>b)</t>
    </r>
    <r>
      <rPr>
        <vertAlign val="subscript"/>
        <sz val="12"/>
        <rFont val="Times New Roman"/>
        <family val="1"/>
      </rPr>
      <t>waste</t>
    </r>
  </si>
  <si>
    <r>
      <rPr>
        <sz val="12"/>
        <rFont val="Symbol"/>
        <family val="1"/>
        <charset val="2"/>
      </rPr>
      <t>S</t>
    </r>
    <r>
      <rPr>
        <sz val="12"/>
        <rFont val="Times New Roman"/>
        <family val="1"/>
      </rPr>
      <t>(MWx</t>
    </r>
    <r>
      <rPr>
        <sz val="12"/>
        <rFont val="Symbol"/>
        <family val="1"/>
        <charset val="2"/>
      </rPr>
      <t>b</t>
    </r>
    <r>
      <rPr>
        <sz val="12"/>
        <rFont val="Times New Roman"/>
        <family val="1"/>
      </rPr>
      <t>)</t>
    </r>
    <r>
      <rPr>
        <vertAlign val="subscript"/>
        <sz val="12"/>
        <rFont val="Times New Roman"/>
        <family val="1"/>
      </rPr>
      <t>by-product</t>
    </r>
  </si>
  <si>
    <r>
      <t>(MWx</t>
    </r>
    <r>
      <rPr>
        <sz val="12"/>
        <rFont val="Symbol"/>
        <family val="1"/>
        <charset val="2"/>
      </rPr>
      <t>b</t>
    </r>
    <r>
      <rPr>
        <sz val="12"/>
        <rFont val="Times New Roman"/>
        <family val="1"/>
      </rPr>
      <t>)</t>
    </r>
    <r>
      <rPr>
        <vertAlign val="subscript"/>
        <sz val="12"/>
        <rFont val="Times New Roman"/>
        <family val="1"/>
      </rPr>
      <t>product</t>
    </r>
  </si>
  <si>
    <t>Mass flow inputs, kg/h</t>
  </si>
  <si>
    <t>Hazardous inputs material flow, kg/h</t>
  </si>
  <si>
    <r>
      <t>m</t>
    </r>
    <r>
      <rPr>
        <vertAlign val="subscript"/>
        <sz val="12"/>
        <rFont val="Times New Roman"/>
        <family val="1"/>
      </rPr>
      <t>in</t>
    </r>
    <r>
      <rPr>
        <sz val="12"/>
        <rFont val="Times New Roman"/>
        <family val="1"/>
      </rPr>
      <t xml:space="preserve">, </t>
    </r>
    <r>
      <rPr>
        <i/>
        <sz val="12"/>
        <rFont val="Times New Roman"/>
        <family val="1"/>
      </rPr>
      <t>m</t>
    </r>
    <r>
      <rPr>
        <vertAlign val="subscript"/>
        <sz val="12"/>
        <rFont val="Times New Roman"/>
        <family val="1"/>
      </rPr>
      <t>product</t>
    </r>
    <r>
      <rPr>
        <sz val="12"/>
        <rFont val="Times New Roman"/>
        <family val="1"/>
      </rPr>
      <t>, hazardous categorization lists</t>
    </r>
  </si>
  <si>
    <t>Carbon efficiency, CE</t>
  </si>
  <si>
    <r>
      <t># of "</t>
    </r>
    <r>
      <rPr>
        <i/>
        <sz val="12"/>
        <rFont val="Times New Roman"/>
        <family val="1"/>
      </rPr>
      <t>C</t>
    </r>
    <r>
      <rPr>
        <sz val="12"/>
        <rFont val="Times New Roman"/>
        <family val="1"/>
      </rPr>
      <t>" in main global product</t>
    </r>
  </si>
  <si>
    <r>
      <t xml:space="preserve">(m•/MW x # of </t>
    </r>
    <r>
      <rPr>
        <i/>
        <sz val="12"/>
        <color theme="1"/>
        <rFont val="Times New Roman"/>
        <family val="1"/>
      </rPr>
      <t>C</t>
    </r>
    <r>
      <rPr>
        <sz val="12"/>
        <color theme="1"/>
        <rFont val="Times New Roman"/>
        <family val="1"/>
      </rPr>
      <t>)</t>
    </r>
    <r>
      <rPr>
        <vertAlign val="subscript"/>
        <sz val="12"/>
        <color theme="1"/>
        <rFont val="Times New Roman"/>
        <family val="1"/>
      </rPr>
      <t>reagent</t>
    </r>
    <r>
      <rPr>
        <sz val="12"/>
        <color theme="1"/>
        <rFont val="Times New Roman"/>
        <family val="1"/>
      </rPr>
      <t xml:space="preserve"> </t>
    </r>
  </si>
  <si>
    <r>
      <t xml:space="preserve">(m•/MW x # of </t>
    </r>
    <r>
      <rPr>
        <i/>
        <sz val="12"/>
        <color theme="1"/>
        <rFont val="Times New Roman"/>
        <family val="1"/>
      </rPr>
      <t>C</t>
    </r>
    <r>
      <rPr>
        <sz val="12"/>
        <color theme="1"/>
        <rFont val="Times New Roman"/>
        <family val="1"/>
      </rPr>
      <t>)</t>
    </r>
    <r>
      <rPr>
        <vertAlign val="subscript"/>
        <sz val="12"/>
        <color theme="1"/>
        <rFont val="Times New Roman"/>
        <family val="1"/>
      </rPr>
      <t>main product</t>
    </r>
    <r>
      <rPr>
        <sz val="12"/>
        <color theme="1"/>
        <rFont val="Times New Roman"/>
        <family val="1"/>
      </rPr>
      <t xml:space="preserve"> </t>
    </r>
  </si>
  <si>
    <r>
      <rPr>
        <sz val="12"/>
        <rFont val="Symbol"/>
        <family val="1"/>
        <charset val="2"/>
      </rPr>
      <t>S</t>
    </r>
    <r>
      <rPr>
        <sz val="12"/>
        <rFont val="Times New Roman"/>
        <family val="1"/>
      </rPr>
      <t>(m•/MW x # of C)</t>
    </r>
    <r>
      <rPr>
        <vertAlign val="subscript"/>
        <sz val="12"/>
        <rFont val="Times New Roman"/>
        <family val="1"/>
      </rPr>
      <t xml:space="preserve">reagent </t>
    </r>
  </si>
  <si>
    <t>MP is defined as the ratio between the mass of the desired product over the total mass fed to the unit.</t>
  </si>
  <si>
    <t>MLI is defined as the ratio between the total mass fed to the unit over the mass of the desired product.</t>
  </si>
  <si>
    <t>CE is the percentage of carbon in the reactants remaining in the final product.</t>
  </si>
  <si>
    <t>MRP takes into account all material used in reaction and separation operation units and subprocesses such as reaction and separation solvents, catalysts, additives, drying agents. MRP indicates the amount of these materials which are  recovered or eliminated per mass material used. MRP=1 if all purification, solvents, and catalyst materials are recovered, recycled, and/or eliminated, otherwise, 0&lt; MRP &lt; 1.</t>
  </si>
  <si>
    <t>Material recovery parameter, MRP</t>
  </si>
  <si>
    <r>
      <t xml:space="preserve">Environmental factor, </t>
    </r>
    <r>
      <rPr>
        <i/>
        <sz val="12"/>
        <rFont val="Times New Roman"/>
        <family val="1"/>
      </rPr>
      <t>E</t>
    </r>
  </si>
  <si>
    <t>Total solvent &amp; catalyst recovered or used, kg/h</t>
  </si>
  <si>
    <t>Total process mass input, kg/h</t>
  </si>
  <si>
    <t>Recicable, yes=1 &amp; no=0</t>
  </si>
  <si>
    <t>Main global product stream #</t>
  </si>
  <si>
    <t>Recycled material fraction</t>
  </si>
  <si>
    <r>
      <rPr>
        <sz val="12"/>
        <rFont val="Symbol"/>
        <family val="1"/>
        <charset val="2"/>
      </rPr>
      <t>S</t>
    </r>
    <r>
      <rPr>
        <sz val="12"/>
        <rFont val="Times New Roman"/>
        <family val="1"/>
      </rPr>
      <t>(m</t>
    </r>
    <r>
      <rPr>
        <vertAlign val="superscript"/>
        <sz val="12"/>
        <rFont val="Times New Roman"/>
        <family val="1"/>
      </rPr>
      <t>•in</t>
    </r>
    <r>
      <rPr>
        <vertAlign val="subscript"/>
        <sz val="12"/>
        <rFont val="Times New Roman"/>
        <family val="1"/>
      </rPr>
      <t>renewable</t>
    </r>
    <r>
      <rPr>
        <sz val="12"/>
        <rFont val="Times New Roman"/>
        <family val="1"/>
      </rPr>
      <t>), kg/h</t>
    </r>
  </si>
  <si>
    <r>
      <rPr>
        <sz val="12"/>
        <rFont val="Symbol"/>
        <family val="1"/>
        <charset val="2"/>
      </rPr>
      <t>S</t>
    </r>
    <r>
      <rPr>
        <sz val="12"/>
        <rFont val="Times New Roman"/>
        <family val="1"/>
      </rPr>
      <t>(m</t>
    </r>
    <r>
      <rPr>
        <vertAlign val="superscript"/>
        <sz val="12"/>
        <rFont val="Times New Roman"/>
        <family val="1"/>
      </rPr>
      <t>•in</t>
    </r>
    <r>
      <rPr>
        <vertAlign val="subscript"/>
        <sz val="12"/>
        <rFont val="Times New Roman"/>
        <family val="1"/>
      </rPr>
      <t>hazardous</t>
    </r>
    <r>
      <rPr>
        <sz val="12"/>
        <rFont val="Times New Roman"/>
        <family val="1"/>
      </rPr>
      <t>), kg/h</t>
    </r>
  </si>
  <si>
    <t>Total water content in the input streams, kg/h</t>
  </si>
  <si>
    <r>
      <t>Water density, kg/m</t>
    </r>
    <r>
      <rPr>
        <vertAlign val="superscript"/>
        <sz val="12"/>
        <rFont val="Times New Roman"/>
        <family val="1"/>
      </rPr>
      <t>3</t>
    </r>
    <r>
      <rPr>
        <sz val="12"/>
        <rFont val="Times New Roman"/>
        <family val="1"/>
      </rPr>
      <t>,</t>
    </r>
  </si>
  <si>
    <r>
      <t>Liquid water density, kg/m</t>
    </r>
    <r>
      <rPr>
        <vertAlign val="superscript"/>
        <sz val="12"/>
        <rFont val="Times New Roman"/>
        <family val="1"/>
      </rPr>
      <t>3</t>
    </r>
  </si>
  <si>
    <t>Water flow inputs, recovered water flow rates</t>
  </si>
  <si>
    <r>
      <rPr>
        <sz val="12"/>
        <rFont val="Symbol"/>
        <family val="1"/>
        <charset val="2"/>
      </rPr>
      <t>S</t>
    </r>
    <r>
      <rPr>
        <sz val="12"/>
        <rFont val="Times New Roman"/>
        <family val="1"/>
      </rPr>
      <t>(m</t>
    </r>
    <r>
      <rPr>
        <vertAlign val="superscript"/>
        <sz val="12"/>
        <rFont val="Times New Roman"/>
        <family val="1"/>
      </rPr>
      <t>•</t>
    </r>
    <r>
      <rPr>
        <vertAlign val="subscript"/>
        <sz val="12"/>
        <rFont val="Times New Roman"/>
        <family val="1"/>
      </rPr>
      <t>water</t>
    </r>
    <r>
      <rPr>
        <sz val="12"/>
        <rFont val="Times New Roman"/>
        <family val="1"/>
      </rPr>
      <t>)</t>
    </r>
    <r>
      <rPr>
        <vertAlign val="subscript"/>
        <sz val="12"/>
        <rFont val="Times New Roman"/>
        <family val="1"/>
      </rPr>
      <t>recyclable</t>
    </r>
    <r>
      <rPr>
        <sz val="12"/>
        <rFont val="Times New Roman"/>
        <family val="1"/>
      </rPr>
      <t>, kg/h</t>
    </r>
  </si>
  <si>
    <t>Total water content in the output streams, kg/h</t>
  </si>
  <si>
    <t>Product mass flow, water flow input</t>
  </si>
  <si>
    <t>Water flow inputs</t>
  </si>
  <si>
    <r>
      <t>m</t>
    </r>
    <r>
      <rPr>
        <sz val="12"/>
        <rFont val="Times New Roman"/>
        <family val="1"/>
      </rPr>
      <t xml:space="preserve">in, </t>
    </r>
    <r>
      <rPr>
        <i/>
        <sz val="12"/>
        <rFont val="Times New Roman"/>
        <family val="1"/>
      </rPr>
      <t>m</t>
    </r>
    <r>
      <rPr>
        <sz val="12"/>
        <rFont val="Times New Roman"/>
        <family val="1"/>
      </rPr>
      <t>out, stoich coeff, MW, of each reaction component</t>
    </r>
  </si>
  <si>
    <r>
      <t xml:space="preserve">Product mass flow, mproduct. Reagents total mass flow in, </t>
    </r>
    <r>
      <rPr>
        <sz val="12"/>
        <rFont val="Symbol"/>
        <family val="1"/>
        <charset val="2"/>
      </rPr>
      <t>S</t>
    </r>
    <r>
      <rPr>
        <i/>
        <sz val="12"/>
        <rFont val="Times New Roman"/>
        <family val="1"/>
      </rPr>
      <t>mi</t>
    </r>
    <r>
      <rPr>
        <sz val="12"/>
        <rFont val="Times New Roman"/>
        <family val="1"/>
      </rPr>
      <t>, in</t>
    </r>
  </si>
  <si>
    <r>
      <t xml:space="preserve">Total mass flow in, </t>
    </r>
    <r>
      <rPr>
        <sz val="12"/>
        <rFont val="Symbol"/>
        <family val="1"/>
        <charset val="2"/>
      </rPr>
      <t>S</t>
    </r>
    <r>
      <rPr>
        <i/>
        <sz val="12"/>
        <rFont val="Times New Roman"/>
        <family val="1"/>
      </rPr>
      <t>mi</t>
    </r>
    <r>
      <rPr>
        <sz val="12"/>
        <rFont val="Times New Roman"/>
        <family val="1"/>
      </rPr>
      <t>, in</t>
    </r>
  </si>
  <si>
    <r>
      <t xml:space="preserve">Product mass flow, </t>
    </r>
    <r>
      <rPr>
        <i/>
        <sz val="12"/>
        <rFont val="Times New Roman"/>
        <family val="1"/>
      </rPr>
      <t>m</t>
    </r>
    <r>
      <rPr>
        <sz val="12"/>
        <rFont val="Times New Roman"/>
        <family val="1"/>
      </rPr>
      <t xml:space="preserve">product. Total mass flow in, </t>
    </r>
    <r>
      <rPr>
        <sz val="12"/>
        <rFont val="Symbol"/>
        <family val="1"/>
        <charset val="2"/>
      </rPr>
      <t>S</t>
    </r>
    <r>
      <rPr>
        <i/>
        <sz val="12"/>
        <rFont val="Times New Roman"/>
        <family val="1"/>
      </rPr>
      <t>mi</t>
    </r>
    <r>
      <rPr>
        <sz val="12"/>
        <rFont val="Times New Roman"/>
        <family val="1"/>
      </rPr>
      <t>, in</t>
    </r>
  </si>
  <si>
    <r>
      <t xml:space="preserve">Product mass flow, mproduct. Total waste mass flow, </t>
    </r>
    <r>
      <rPr>
        <sz val="12"/>
        <rFont val="Symbol"/>
        <family val="1"/>
        <charset val="2"/>
      </rPr>
      <t>S</t>
    </r>
    <r>
      <rPr>
        <sz val="12"/>
        <rFont val="Times New Roman"/>
        <family val="1"/>
      </rPr>
      <t>mwaste</t>
    </r>
  </si>
  <si>
    <r>
      <t xml:space="preserve">Product MW, MWproduct. Summation of waste MW, </t>
    </r>
    <r>
      <rPr>
        <sz val="12"/>
        <rFont val="Symbol"/>
        <family val="1"/>
        <charset val="2"/>
      </rPr>
      <t>S</t>
    </r>
    <r>
      <rPr>
        <sz val="12"/>
        <rFont val="Times New Roman"/>
        <family val="1"/>
      </rPr>
      <t>MWwaste</t>
    </r>
  </si>
  <si>
    <r>
      <t>m</t>
    </r>
    <r>
      <rPr>
        <sz val="12"/>
        <rFont val="Times New Roman"/>
        <family val="1"/>
      </rPr>
      <t xml:space="preserve">in, </t>
    </r>
    <r>
      <rPr>
        <i/>
        <sz val="12"/>
        <rFont val="Times New Roman"/>
        <family val="1"/>
      </rPr>
      <t>m</t>
    </r>
    <r>
      <rPr>
        <sz val="12"/>
        <rFont val="Times New Roman"/>
        <family val="1"/>
      </rPr>
      <t>out, stoich coeff, and MW of each reaction component</t>
    </r>
  </si>
  <si>
    <r>
      <t>m</t>
    </r>
    <r>
      <rPr>
        <sz val="12"/>
        <rFont val="Times New Roman"/>
        <family val="1"/>
      </rPr>
      <t xml:space="preserve">prod, </t>
    </r>
    <r>
      <rPr>
        <i/>
        <sz val="12"/>
        <rFont val="Times New Roman"/>
        <family val="1"/>
      </rPr>
      <t>m</t>
    </r>
    <r>
      <rPr>
        <sz val="12"/>
        <rFont val="Times New Roman"/>
        <family val="1"/>
      </rPr>
      <t xml:space="preserve">solvent, </t>
    </r>
    <r>
      <rPr>
        <i/>
        <sz val="12"/>
        <rFont val="Times New Roman"/>
        <family val="1"/>
      </rPr>
      <t>m</t>
    </r>
    <r>
      <rPr>
        <sz val="12"/>
        <rFont val="Times New Roman"/>
        <family val="1"/>
      </rPr>
      <t>catalyst used and recovered in reaction and separation subprocesses</t>
    </r>
  </si>
  <si>
    <r>
      <t>m</t>
    </r>
    <r>
      <rPr>
        <sz val="12"/>
        <rFont val="Times New Roman"/>
        <family val="1"/>
      </rPr>
      <t xml:space="preserve">prod, </t>
    </r>
    <r>
      <rPr>
        <i/>
        <sz val="12"/>
        <rFont val="Times New Roman"/>
        <family val="1"/>
      </rPr>
      <t>m</t>
    </r>
    <r>
      <rPr>
        <sz val="12"/>
        <rFont val="Times New Roman"/>
        <family val="1"/>
      </rPr>
      <t xml:space="preserve">solvent, </t>
    </r>
    <r>
      <rPr>
        <i/>
        <sz val="12"/>
        <rFont val="Times New Roman"/>
        <family val="1"/>
      </rPr>
      <t>m</t>
    </r>
    <r>
      <rPr>
        <sz val="12"/>
        <rFont val="Times New Roman"/>
        <family val="1"/>
      </rPr>
      <t>catalyst used in reaction and separation subprocesses</t>
    </r>
  </si>
  <si>
    <r>
      <t xml:space="preserve">Renewable material list, Total and individual mass flow in, </t>
    </r>
    <r>
      <rPr>
        <sz val="12"/>
        <rFont val="Symbol"/>
        <family val="1"/>
        <charset val="2"/>
      </rPr>
      <t>S</t>
    </r>
    <r>
      <rPr>
        <i/>
        <sz val="12"/>
        <rFont val="Times New Roman"/>
        <family val="1"/>
      </rPr>
      <t>mi</t>
    </r>
    <r>
      <rPr>
        <sz val="12"/>
        <rFont val="Times New Roman"/>
        <family val="1"/>
      </rPr>
      <t>, in</t>
    </r>
  </si>
  <si>
    <r>
      <t>m</t>
    </r>
    <r>
      <rPr>
        <vertAlign val="superscript"/>
        <sz val="12"/>
        <rFont val="Times New Roman"/>
        <family val="1"/>
      </rPr>
      <t>3</t>
    </r>
    <r>
      <rPr>
        <sz val="12"/>
        <rFont val="Times New Roman"/>
        <family val="1"/>
      </rPr>
      <t>/h</t>
    </r>
  </si>
  <si>
    <r>
      <t>m</t>
    </r>
    <r>
      <rPr>
        <vertAlign val="superscript"/>
        <sz val="12"/>
        <rFont val="Times New Roman"/>
        <family val="1"/>
      </rPr>
      <t>3</t>
    </r>
    <r>
      <rPr>
        <sz val="12"/>
        <rFont val="Times New Roman"/>
        <family val="1"/>
      </rPr>
      <t xml:space="preserve">/kg </t>
    </r>
  </si>
  <si>
    <r>
      <t>m</t>
    </r>
    <r>
      <rPr>
        <vertAlign val="superscript"/>
        <sz val="12"/>
        <rFont val="Times New Roman"/>
        <family val="1"/>
      </rPr>
      <t>3</t>
    </r>
    <r>
      <rPr>
        <sz val="12"/>
        <rFont val="Times New Roman"/>
        <family val="1"/>
      </rPr>
      <t>/$</t>
    </r>
  </si>
  <si>
    <t>m•in, kg/h</t>
  </si>
  <si>
    <t>m•t, air released [kg/h]</t>
  </si>
  <si>
    <r>
      <rPr>
        <sz val="12"/>
        <rFont val="Arial"/>
        <family val="2"/>
      </rPr>
      <t>Energy•</t>
    </r>
    <r>
      <rPr>
        <sz val="12"/>
        <rFont val="Calibri"/>
        <family val="2"/>
        <scheme val="minor"/>
      </rPr>
      <t>t, released [kJ/h]</t>
    </r>
  </si>
  <si>
    <r>
      <t xml:space="preserve">Worst case </t>
    </r>
    <r>
      <rPr>
        <sz val="12"/>
        <rFont val="Arial"/>
        <family val="2"/>
      </rPr>
      <t>Energy•</t>
    </r>
    <r>
      <rPr>
        <sz val="12"/>
        <rFont val="Calibri"/>
        <family val="2"/>
        <scheme val="minor"/>
      </rPr>
      <t>t, released [kJ/h]</t>
    </r>
  </si>
  <si>
    <t>m•, solid waste generated [kg/h]</t>
  </si>
  <si>
    <t>% of recovery (mass)</t>
  </si>
  <si>
    <t>Net output recovered, kg/h</t>
  </si>
  <si>
    <t>m•, solid waste recovered [kg/h]</t>
  </si>
  <si>
    <t>m•, solid waste for disposal [kg/h]</t>
  </si>
  <si>
    <t>Liquid waste: yes=1, no=0</t>
  </si>
  <si>
    <t>Non-polluted=1; polluted=0</t>
  </si>
  <si>
    <r>
      <t>Volumetric flow, m</t>
    </r>
    <r>
      <rPr>
        <vertAlign val="superscript"/>
        <sz val="12"/>
        <rFont val="Arial"/>
        <family val="2"/>
      </rPr>
      <t>3</t>
    </r>
    <r>
      <rPr>
        <sz val="12"/>
        <rFont val="Arial"/>
        <family val="2"/>
      </rPr>
      <t>/h</t>
    </r>
  </si>
  <si>
    <t>Total output waste, m^3/h</t>
  </si>
  <si>
    <t>Total output waste, kg/h</t>
  </si>
  <si>
    <r>
      <t>volumetric flow, m</t>
    </r>
    <r>
      <rPr>
        <vertAlign val="superscript"/>
        <sz val="12"/>
        <rFont val="Arial"/>
        <family val="2"/>
      </rPr>
      <t>3</t>
    </r>
    <r>
      <rPr>
        <sz val="12"/>
        <rFont val="Arial"/>
        <family val="2"/>
      </rPr>
      <t>/h</t>
    </r>
  </si>
  <si>
    <t>m•xQ</t>
  </si>
  <si>
    <t>Volumetric flow, m^3/h</t>
  </si>
  <si>
    <t>Liquid-Solid homogeneous phase waste (no vapor): yes=1, no=0</t>
  </si>
  <si>
    <t>m^3/h</t>
  </si>
  <si>
    <t>Fault tree assessment, FTA</t>
  </si>
  <si>
    <t>mass/energy flows, transformity values, products cost</t>
  </si>
  <si>
    <t>Considered aspects: Aquatic: biodegradation and hydrolysis, Air: photolysis, Soil: biodegradation. Hypotetical value representing the mass of organic substances at steady state conditions per unit mass of desired product.</t>
  </si>
  <si>
    <t>This indicator combines the potential factor for human health of chemical compounds in terms of their carcinogenic effects. This is accounted as a total mass of benzene equivalents per sales revenue or value added.</t>
  </si>
  <si>
    <t>Total product enthalpy, MJ/h</t>
  </si>
  <si>
    <t>Total material inputs, kg/yr</t>
  </si>
  <si>
    <t>Total product streams flowrate, kg/yr</t>
  </si>
  <si>
    <t>Current flow rate, kg/yr</t>
  </si>
  <si>
    <t>Hazardous=1; nonhazardous=0</t>
  </si>
  <si>
    <t>Total hazardous output waste, kg/h</t>
  </si>
  <si>
    <t>Total liquid waste, kg/h</t>
  </si>
  <si>
    <t>Total output vapor waste, m^3/h</t>
  </si>
  <si>
    <r>
      <t>Total waste (non-vapor) volumetric flow, m</t>
    </r>
    <r>
      <rPr>
        <vertAlign val="superscript"/>
        <sz val="12"/>
        <rFont val="Calibri"/>
        <family val="2"/>
        <scheme val="minor"/>
      </rPr>
      <t>3</t>
    </r>
    <r>
      <rPr>
        <sz val="12"/>
        <rFont val="Calibri"/>
        <family val="2"/>
        <scheme val="minor"/>
      </rPr>
      <t>/h</t>
    </r>
  </si>
  <si>
    <r>
      <t>Total waste (vapor) volumetric flow, m</t>
    </r>
    <r>
      <rPr>
        <vertAlign val="superscript"/>
        <sz val="12"/>
        <rFont val="Calibri"/>
        <family val="2"/>
        <scheme val="minor"/>
      </rPr>
      <t>3</t>
    </r>
    <r>
      <rPr>
        <sz val="12"/>
        <rFont val="Calibri"/>
        <family val="2"/>
        <scheme val="minor"/>
      </rPr>
      <t>/h</t>
    </r>
  </si>
  <si>
    <r>
      <t>Utility flow rate needs, kg/yr, m</t>
    </r>
    <r>
      <rPr>
        <vertAlign val="superscript"/>
        <sz val="12"/>
        <color theme="1"/>
        <rFont val="Arial"/>
        <family val="2"/>
      </rPr>
      <t>3</t>
    </r>
    <r>
      <rPr>
        <sz val="12"/>
        <color theme="1"/>
        <rFont val="Arial"/>
        <family val="2"/>
      </rPr>
      <t>/yr MJ/yr, or kWh/yr</t>
    </r>
  </si>
  <si>
    <t>Medium pressure steam @10 barg 184°C, 1/kg</t>
  </si>
  <si>
    <t>Moderately low T Refrigerated water, Tin = 5 °C Tout = 15°C, 1/kg</t>
  </si>
  <si>
    <t>Water for process use, makeup cooling tower, washing,etc. 1/kg</t>
  </si>
  <si>
    <t>Boiler feed water, 1/kg</t>
  </si>
  <si>
    <t>Potable (drinking) water, 1/kg</t>
  </si>
  <si>
    <t>Deionized water, 1/kg</t>
  </si>
  <si>
    <t>Waste disposal nonHazard, solid, 1/kg</t>
  </si>
  <si>
    <t>Waste disposal nonhazard, liquid, 1/kg</t>
  </si>
  <si>
    <t>Waste disposal hazard, solid, 1/kg</t>
  </si>
  <si>
    <t>Waste disposal hazard, liquid,1/kg</t>
  </si>
  <si>
    <t>Waste water treatment 1st, 1/kg</t>
  </si>
  <si>
    <t>Waste water treatment 2nd, 1/kg</t>
  </si>
  <si>
    <t>Waste water treatment 3rd, 1/kg</t>
  </si>
  <si>
    <t>Air purification,  1/m^3</t>
  </si>
  <si>
    <t>Breeding-material factor</t>
  </si>
  <si>
    <r>
      <t>Q factors;Product mass flow, m</t>
    </r>
    <r>
      <rPr>
        <sz val="12"/>
        <rFont val="Arial"/>
        <family val="2"/>
      </rPr>
      <t>•</t>
    </r>
    <r>
      <rPr>
        <sz val="12"/>
        <rFont val="Times New Roman"/>
        <family val="1"/>
      </rPr>
      <t>product; m</t>
    </r>
    <r>
      <rPr>
        <sz val="12"/>
        <rFont val="Arial"/>
        <family val="2"/>
      </rPr>
      <t>•</t>
    </r>
    <r>
      <rPr>
        <i/>
        <sz val="12"/>
        <rFont val="Times New Roman"/>
        <family val="1"/>
      </rPr>
      <t>i</t>
    </r>
    <r>
      <rPr>
        <sz val="12"/>
        <rFont val="Times New Roman"/>
        <family val="1"/>
      </rPr>
      <t xml:space="preserve"> out</t>
    </r>
  </si>
  <si>
    <t>Net Product emergy, MseJ/h</t>
  </si>
  <si>
    <t>Renewable material inputs, MseJ/h</t>
  </si>
  <si>
    <t>Nonrenewable material inputs, MseJ/h</t>
  </si>
  <si>
    <t>Net material inputs, MseJ/h</t>
  </si>
  <si>
    <t>Net material outputs (no products), MseJ/h</t>
  </si>
  <si>
    <t>R, MJ/(kmol*K)</t>
  </si>
  <si>
    <t>LN(xi)</t>
  </si>
  <si>
    <t>Energy needs</t>
  </si>
  <si>
    <t>Process direct heating needs</t>
  </si>
  <si>
    <r>
      <t>Water T</t>
    </r>
    <r>
      <rPr>
        <vertAlign val="subscript"/>
        <sz val="12"/>
        <rFont val="Arial"/>
        <family val="2"/>
      </rPr>
      <t>in</t>
    </r>
    <r>
      <rPr>
        <sz val="12"/>
        <rFont val="Arial"/>
        <family val="2"/>
      </rPr>
      <t>, °C</t>
    </r>
  </si>
  <si>
    <r>
      <t>Water T</t>
    </r>
    <r>
      <rPr>
        <vertAlign val="subscript"/>
        <sz val="12"/>
        <rFont val="Arial"/>
        <family val="2"/>
      </rPr>
      <t>out</t>
    </r>
    <r>
      <rPr>
        <sz val="12"/>
        <rFont val="Arial"/>
        <family val="2"/>
      </rPr>
      <t>, °C</t>
    </r>
  </si>
  <si>
    <t>Exergy, MJ/h</t>
  </si>
  <si>
    <t>Temperature, K</t>
  </si>
  <si>
    <t>Power added, kWh/h</t>
  </si>
  <si>
    <t>Utility flow, kg/h, kWh/h</t>
  </si>
  <si>
    <t>Power supplied by renewable source, MJ/h</t>
  </si>
  <si>
    <t>Power supplied by nonrenewable source, MJ/h</t>
  </si>
  <si>
    <t>Total Cooling water demand, kg/h</t>
  </si>
  <si>
    <t>Cooling water chemical exergy, MJ/kg</t>
  </si>
  <si>
    <t>Cooling water enthalpy ratio, MJ/kg</t>
  </si>
  <si>
    <t>Cooling water entropy ratio, MJ/kg/K</t>
  </si>
  <si>
    <t>Cooling water physical exergy, MJ/kg</t>
  </si>
  <si>
    <t>Total Exergy from cooling water demand, MJ/h</t>
  </si>
  <si>
    <t xml:space="preserve">refrigeration cycle as described in Turton et al. 2008 pages 232-238 </t>
  </si>
  <si>
    <t>Depreciation method</t>
  </si>
  <si>
    <t>Environmental quotient</t>
  </si>
  <si>
    <t>3. AAE</t>
  </si>
  <si>
    <t>4. SF</t>
  </si>
  <si>
    <t>5. RME</t>
  </si>
  <si>
    <t>9. MP</t>
  </si>
  <si>
    <t>11. MLI</t>
  </si>
  <si>
    <t>13. EMY</t>
  </si>
  <si>
    <t>14. CE</t>
  </si>
  <si>
    <t>15. MRP</t>
  </si>
  <si>
    <t>24. FWC</t>
  </si>
  <si>
    <t>25. WI</t>
  </si>
  <si>
    <r>
      <t xml:space="preserve">1. </t>
    </r>
    <r>
      <rPr>
        <i/>
        <sz val="16"/>
        <rFont val="Times New Roman"/>
        <family val="1"/>
      </rPr>
      <t>N</t>
    </r>
    <r>
      <rPr>
        <vertAlign val="subscript"/>
        <sz val="16"/>
        <rFont val="Times New Roman"/>
        <family val="1"/>
      </rPr>
      <t>haz. mat.</t>
    </r>
  </si>
  <si>
    <r>
      <t xml:space="preserve">2. </t>
    </r>
    <r>
      <rPr>
        <i/>
        <sz val="16"/>
        <rFont val="Times New Roman"/>
        <family val="1"/>
      </rPr>
      <t>m</t>
    </r>
    <r>
      <rPr>
        <vertAlign val="subscript"/>
        <sz val="16"/>
        <rFont val="Times New Roman"/>
        <family val="1"/>
      </rPr>
      <t>haz. mat.</t>
    </r>
  </si>
  <si>
    <r>
      <t xml:space="preserve">3. </t>
    </r>
    <r>
      <rPr>
        <i/>
        <sz val="16"/>
        <rFont val="Times New Roman"/>
        <family val="1"/>
      </rPr>
      <t>m</t>
    </r>
    <r>
      <rPr>
        <vertAlign val="subscript"/>
        <sz val="16"/>
        <rFont val="Times New Roman"/>
        <family val="1"/>
      </rPr>
      <t>haz. mat. spec.</t>
    </r>
  </si>
  <si>
    <r>
      <t xml:space="preserve">4. </t>
    </r>
    <r>
      <rPr>
        <i/>
        <sz val="16"/>
        <rFont val="Times New Roman"/>
        <family val="1"/>
      </rPr>
      <t>m</t>
    </r>
    <r>
      <rPr>
        <vertAlign val="subscript"/>
        <sz val="16"/>
        <rFont val="Times New Roman"/>
        <family val="1"/>
      </rPr>
      <t>PBT mat.</t>
    </r>
  </si>
  <si>
    <t>5. CEI</t>
  </si>
  <si>
    <r>
      <t>6. HH</t>
    </r>
    <r>
      <rPr>
        <vertAlign val="subscript"/>
        <sz val="16"/>
        <rFont val="Times New Roman"/>
        <family val="1"/>
      </rPr>
      <t>irritation</t>
    </r>
  </si>
  <si>
    <r>
      <t>7. HH</t>
    </r>
    <r>
      <rPr>
        <vertAlign val="subscript"/>
        <sz val="16"/>
        <rFont val="Times New Roman"/>
        <family val="1"/>
      </rPr>
      <t>chronic toxicity</t>
    </r>
  </si>
  <si>
    <r>
      <t>8. SH</t>
    </r>
    <r>
      <rPr>
        <vertAlign val="subscript"/>
        <sz val="16"/>
        <rFont val="Times New Roman"/>
        <family val="1"/>
      </rPr>
      <t>mobility</t>
    </r>
  </si>
  <si>
    <r>
      <t>9. SH</t>
    </r>
    <r>
      <rPr>
        <vertAlign val="subscript"/>
        <sz val="16"/>
        <rFont val="Times New Roman"/>
        <family val="1"/>
      </rPr>
      <t>fire/explosion</t>
    </r>
  </si>
  <si>
    <r>
      <t>10. SH</t>
    </r>
    <r>
      <rPr>
        <vertAlign val="subscript"/>
        <sz val="16"/>
        <rFont val="Times New Roman"/>
        <family val="1"/>
      </rPr>
      <t>reac/dec I</t>
    </r>
  </si>
  <si>
    <r>
      <t>11. SH</t>
    </r>
    <r>
      <rPr>
        <vertAlign val="subscript"/>
        <sz val="16"/>
        <rFont val="Times New Roman"/>
        <family val="1"/>
      </rPr>
      <t>reac/dec II</t>
    </r>
  </si>
  <si>
    <r>
      <t>12. SH</t>
    </r>
    <r>
      <rPr>
        <vertAlign val="subscript"/>
        <sz val="16"/>
        <rFont val="Times New Roman"/>
        <family val="1"/>
      </rPr>
      <t>acute tox.</t>
    </r>
  </si>
  <si>
    <t>13. FTA</t>
  </si>
  <si>
    <r>
      <t>14. TR</t>
    </r>
    <r>
      <rPr>
        <vertAlign val="subscript"/>
        <sz val="16"/>
        <rFont val="Times New Roman"/>
        <family val="1"/>
      </rPr>
      <t>s</t>
    </r>
  </si>
  <si>
    <t>15. TR</t>
  </si>
  <si>
    <t>16. EQ</t>
  </si>
  <si>
    <r>
      <t>17. EB</t>
    </r>
    <r>
      <rPr>
        <vertAlign val="subscript"/>
        <sz val="16"/>
        <rFont val="Times New Roman"/>
        <family val="1"/>
      </rPr>
      <t>cancer eff.</t>
    </r>
  </si>
  <si>
    <r>
      <t>18. EH</t>
    </r>
    <r>
      <rPr>
        <vertAlign val="subscript"/>
        <sz val="16"/>
        <rFont val="Times New Roman"/>
        <family val="1"/>
      </rPr>
      <t>degradation</t>
    </r>
  </si>
  <si>
    <r>
      <t>19. EH</t>
    </r>
    <r>
      <rPr>
        <vertAlign val="subscript"/>
        <sz val="16"/>
        <rFont val="Times New Roman"/>
        <family val="1"/>
      </rPr>
      <t>air</t>
    </r>
  </si>
  <si>
    <r>
      <t>20. EH</t>
    </r>
    <r>
      <rPr>
        <vertAlign val="subscript"/>
        <sz val="16"/>
        <rFont val="Times New Roman"/>
        <family val="1"/>
      </rPr>
      <t>water</t>
    </r>
  </si>
  <si>
    <r>
      <t>21. EH</t>
    </r>
    <r>
      <rPr>
        <vertAlign val="subscript"/>
        <sz val="16"/>
        <rFont val="Times New Roman"/>
        <family val="1"/>
      </rPr>
      <t>solid</t>
    </r>
  </si>
  <si>
    <r>
      <t>22. EH</t>
    </r>
    <r>
      <rPr>
        <vertAlign val="subscript"/>
        <sz val="16"/>
        <rFont val="Times New Roman"/>
        <family val="1"/>
      </rPr>
      <t>bioacc.</t>
    </r>
  </si>
  <si>
    <t>23. GWP</t>
  </si>
  <si>
    <t>24. GWI</t>
  </si>
  <si>
    <t>25. ODP</t>
  </si>
  <si>
    <t>26. ODI</t>
  </si>
  <si>
    <t>27. PCOP</t>
  </si>
  <si>
    <t>28. PCOI</t>
  </si>
  <si>
    <t>29. AP</t>
  </si>
  <si>
    <t>30. API</t>
  </si>
  <si>
    <r>
      <t>31. WP</t>
    </r>
    <r>
      <rPr>
        <vertAlign val="subscript"/>
        <sz val="16"/>
        <rFont val="Times New Roman"/>
        <family val="1"/>
      </rPr>
      <t>acid. water</t>
    </r>
  </si>
  <si>
    <r>
      <t>32. WPI</t>
    </r>
    <r>
      <rPr>
        <vertAlign val="subscript"/>
        <sz val="16"/>
        <rFont val="Times New Roman"/>
        <family val="1"/>
      </rPr>
      <t>acid. water</t>
    </r>
  </si>
  <si>
    <r>
      <t>33. WP</t>
    </r>
    <r>
      <rPr>
        <vertAlign val="subscript"/>
        <sz val="16"/>
        <rFont val="Times New Roman"/>
        <family val="1"/>
      </rPr>
      <t>basi. water</t>
    </r>
  </si>
  <si>
    <r>
      <t>34. WPI</t>
    </r>
    <r>
      <rPr>
        <vertAlign val="subscript"/>
        <sz val="16"/>
        <rFont val="Times New Roman"/>
        <family val="1"/>
      </rPr>
      <t>basi. water</t>
    </r>
  </si>
  <si>
    <r>
      <t>35. WP</t>
    </r>
    <r>
      <rPr>
        <vertAlign val="subscript"/>
        <sz val="16"/>
        <rFont val="Times New Roman"/>
        <family val="1"/>
      </rPr>
      <t>salinity</t>
    </r>
  </si>
  <si>
    <r>
      <t>36. WPI</t>
    </r>
    <r>
      <rPr>
        <vertAlign val="subscript"/>
        <sz val="16"/>
        <rFont val="Times New Roman"/>
        <family val="1"/>
      </rPr>
      <t>salinity</t>
    </r>
  </si>
  <si>
    <r>
      <t>37. WP</t>
    </r>
    <r>
      <rPr>
        <vertAlign val="subscript"/>
        <sz val="16"/>
        <rFont val="Times New Roman"/>
        <family val="1"/>
      </rPr>
      <t>O2 dem.</t>
    </r>
  </si>
  <si>
    <r>
      <t>38. WPI</t>
    </r>
    <r>
      <rPr>
        <vertAlign val="subscript"/>
        <sz val="16"/>
        <rFont val="Times New Roman"/>
        <family val="1"/>
      </rPr>
      <t>O2 dem.</t>
    </r>
  </si>
  <si>
    <r>
      <t>39. WP</t>
    </r>
    <r>
      <rPr>
        <vertAlign val="subscript"/>
        <sz val="16"/>
        <rFont val="Times New Roman"/>
        <family val="1"/>
      </rPr>
      <t>tox. other</t>
    </r>
  </si>
  <si>
    <r>
      <t>40. WPI</t>
    </r>
    <r>
      <rPr>
        <vertAlign val="subscript"/>
        <sz val="16"/>
        <rFont val="Times New Roman"/>
        <family val="1"/>
      </rPr>
      <t>tox. other</t>
    </r>
  </si>
  <si>
    <r>
      <t>41. WP</t>
    </r>
    <r>
      <rPr>
        <vertAlign val="subscript"/>
        <sz val="16"/>
        <rFont val="Times New Roman"/>
        <family val="1"/>
      </rPr>
      <t>tox. metal</t>
    </r>
  </si>
  <si>
    <r>
      <t>42. WPI</t>
    </r>
    <r>
      <rPr>
        <vertAlign val="subscript"/>
        <sz val="16"/>
        <rFont val="Times New Roman"/>
        <family val="1"/>
      </rPr>
      <t>tox. metal</t>
    </r>
  </si>
  <si>
    <t>43. EP</t>
  </si>
  <si>
    <t>44. EPI</t>
  </si>
  <si>
    <r>
      <t>45. SMI</t>
    </r>
    <r>
      <rPr>
        <vertAlign val="subscript"/>
        <sz val="16"/>
        <rFont val="Times New Roman"/>
        <family val="1"/>
      </rPr>
      <t>M</t>
    </r>
  </si>
  <si>
    <r>
      <t>46. MI</t>
    </r>
    <r>
      <rPr>
        <vertAlign val="subscript"/>
        <sz val="16"/>
        <rFont val="Times New Roman"/>
        <family val="1"/>
      </rPr>
      <t>M</t>
    </r>
  </si>
  <si>
    <t>47. ELR</t>
  </si>
  <si>
    <t>48. EYR</t>
  </si>
  <si>
    <t>49. ESI</t>
  </si>
  <si>
    <r>
      <t>50. BF</t>
    </r>
    <r>
      <rPr>
        <vertAlign val="subscript"/>
        <sz val="16"/>
        <rFont val="Times New Roman"/>
        <family val="1"/>
      </rPr>
      <t>M</t>
    </r>
  </si>
  <si>
    <t>51. RI</t>
  </si>
  <si>
    <r>
      <t xml:space="preserve">52. </t>
    </r>
    <r>
      <rPr>
        <i/>
        <sz val="16"/>
        <rFont val="Times New Roman"/>
        <family val="1"/>
      </rPr>
      <t>m</t>
    </r>
    <r>
      <rPr>
        <vertAlign val="subscript"/>
        <sz val="16"/>
        <rFont val="Times New Roman"/>
        <family val="1"/>
      </rPr>
      <t>s, tot.</t>
    </r>
  </si>
  <si>
    <r>
      <t xml:space="preserve">53. </t>
    </r>
    <r>
      <rPr>
        <i/>
        <sz val="16"/>
        <rFont val="Times New Roman"/>
        <family val="1"/>
      </rPr>
      <t>m</t>
    </r>
    <r>
      <rPr>
        <vertAlign val="subscript"/>
        <sz val="16"/>
        <rFont val="Times New Roman"/>
        <family val="1"/>
      </rPr>
      <t>s, spec.</t>
    </r>
  </si>
  <si>
    <r>
      <t xml:space="preserve">54. </t>
    </r>
    <r>
      <rPr>
        <i/>
        <sz val="16"/>
        <rFont val="Times New Roman"/>
        <family val="1"/>
      </rPr>
      <t>m</t>
    </r>
    <r>
      <rPr>
        <vertAlign val="subscript"/>
        <sz val="16"/>
        <rFont val="Times New Roman"/>
        <family val="1"/>
      </rPr>
      <t>s, recov.</t>
    </r>
  </si>
  <si>
    <r>
      <t xml:space="preserve">55. </t>
    </r>
    <r>
      <rPr>
        <i/>
        <sz val="16"/>
        <rFont val="Times New Roman"/>
        <family val="1"/>
      </rPr>
      <t>m</t>
    </r>
    <r>
      <rPr>
        <vertAlign val="subscript"/>
        <sz val="16"/>
        <rFont val="Times New Roman"/>
        <family val="1"/>
      </rPr>
      <t>s, disp.</t>
    </r>
  </si>
  <si>
    <r>
      <t xml:space="preserve">56. </t>
    </r>
    <r>
      <rPr>
        <i/>
        <sz val="16"/>
        <rFont val="Times New Roman"/>
        <family val="1"/>
      </rPr>
      <t>w</t>
    </r>
    <r>
      <rPr>
        <vertAlign val="subscript"/>
        <sz val="16"/>
        <rFont val="Times New Roman"/>
        <family val="1"/>
      </rPr>
      <t>s, recycl.</t>
    </r>
    <r>
      <rPr>
        <sz val="16"/>
        <rFont val="Times New Roman"/>
        <family val="1"/>
      </rPr>
      <t xml:space="preserve"> </t>
    </r>
  </si>
  <si>
    <r>
      <t xml:space="preserve">57. </t>
    </r>
    <r>
      <rPr>
        <i/>
        <sz val="16"/>
        <rFont val="Times New Roman"/>
        <family val="1"/>
      </rPr>
      <t>w</t>
    </r>
    <r>
      <rPr>
        <vertAlign val="subscript"/>
        <sz val="16"/>
        <rFont val="Times New Roman"/>
        <family val="1"/>
      </rPr>
      <t>s, non-recycl.</t>
    </r>
  </si>
  <si>
    <r>
      <t xml:space="preserve">58. </t>
    </r>
    <r>
      <rPr>
        <i/>
        <sz val="16"/>
        <rFont val="Times New Roman"/>
        <family val="1"/>
      </rPr>
      <t>w</t>
    </r>
    <r>
      <rPr>
        <vertAlign val="subscript"/>
        <sz val="16"/>
        <rFont val="Times New Roman"/>
        <family val="1"/>
      </rPr>
      <t>s, haz.</t>
    </r>
  </si>
  <si>
    <r>
      <t xml:space="preserve">59. </t>
    </r>
    <r>
      <rPr>
        <i/>
        <sz val="16"/>
        <rFont val="Times New Roman"/>
        <family val="1"/>
      </rPr>
      <t>m</t>
    </r>
    <r>
      <rPr>
        <vertAlign val="subscript"/>
        <sz val="16"/>
        <rFont val="Times New Roman"/>
        <family val="1"/>
      </rPr>
      <t>s, haz.</t>
    </r>
  </si>
  <si>
    <r>
      <t xml:space="preserve">60. </t>
    </r>
    <r>
      <rPr>
        <i/>
        <sz val="16"/>
        <rFont val="Times New Roman"/>
        <family val="1"/>
      </rPr>
      <t>m</t>
    </r>
    <r>
      <rPr>
        <vertAlign val="subscript"/>
        <sz val="16"/>
        <rFont val="Times New Roman"/>
        <family val="1"/>
      </rPr>
      <t>s, haz. spec.</t>
    </r>
  </si>
  <si>
    <r>
      <t xml:space="preserve">61. </t>
    </r>
    <r>
      <rPr>
        <i/>
        <sz val="16"/>
        <rFont val="Times New Roman"/>
        <family val="1"/>
      </rPr>
      <t>m</t>
    </r>
    <r>
      <rPr>
        <vertAlign val="subscript"/>
        <sz val="16"/>
        <rFont val="Times New Roman"/>
        <family val="1"/>
      </rPr>
      <t>s,n-haz.</t>
    </r>
  </si>
  <si>
    <r>
      <t xml:space="preserve">62. </t>
    </r>
    <r>
      <rPr>
        <i/>
        <sz val="16"/>
        <rFont val="Times New Roman"/>
        <family val="1"/>
      </rPr>
      <t>m</t>
    </r>
    <r>
      <rPr>
        <vertAlign val="subscript"/>
        <sz val="16"/>
        <rFont val="Times New Roman"/>
        <family val="1"/>
      </rPr>
      <t>s, n-haz.spec.</t>
    </r>
    <r>
      <rPr>
        <sz val="16"/>
        <rFont val="Times New Roman"/>
        <family val="1"/>
      </rPr>
      <t xml:space="preserve"> </t>
    </r>
  </si>
  <si>
    <r>
      <t xml:space="preserve">63. </t>
    </r>
    <r>
      <rPr>
        <i/>
        <sz val="16"/>
        <rFont val="Times New Roman"/>
        <family val="1"/>
      </rPr>
      <t>V</t>
    </r>
    <r>
      <rPr>
        <vertAlign val="subscript"/>
        <sz val="16"/>
        <rFont val="Times New Roman"/>
        <family val="1"/>
      </rPr>
      <t>l, tot.</t>
    </r>
  </si>
  <si>
    <r>
      <t xml:space="preserve">64. </t>
    </r>
    <r>
      <rPr>
        <i/>
        <sz val="16"/>
        <rFont val="Times New Roman"/>
        <family val="1"/>
      </rPr>
      <t>V</t>
    </r>
    <r>
      <rPr>
        <vertAlign val="subscript"/>
        <sz val="16"/>
        <rFont val="Times New Roman"/>
        <family val="1"/>
      </rPr>
      <t>l, spec.</t>
    </r>
    <r>
      <rPr>
        <sz val="16"/>
        <rFont val="Times New Roman"/>
        <family val="1"/>
      </rPr>
      <t xml:space="preserve"> </t>
    </r>
  </si>
  <si>
    <r>
      <t xml:space="preserve">65. </t>
    </r>
    <r>
      <rPr>
        <i/>
        <sz val="16"/>
        <rFont val="Times New Roman"/>
        <family val="1"/>
      </rPr>
      <t>V</t>
    </r>
    <r>
      <rPr>
        <vertAlign val="subscript"/>
        <sz val="16"/>
        <rFont val="Times New Roman"/>
        <family val="1"/>
      </rPr>
      <t>l, non-poll.</t>
    </r>
  </si>
  <si>
    <r>
      <t xml:space="preserve">66. </t>
    </r>
    <r>
      <rPr>
        <i/>
        <sz val="16"/>
        <rFont val="Times New Roman"/>
        <family val="1"/>
      </rPr>
      <t>V</t>
    </r>
    <r>
      <rPr>
        <vertAlign val="subscript"/>
        <sz val="16"/>
        <rFont val="Times New Roman"/>
        <family val="1"/>
      </rPr>
      <t>l, poll.</t>
    </r>
  </si>
  <si>
    <t>4. WTE</t>
  </si>
  <si>
    <t>5. SRE</t>
  </si>
  <si>
    <t>1. NPV</t>
  </si>
  <si>
    <t>2. PVR</t>
  </si>
  <si>
    <t>3. DPBP</t>
  </si>
  <si>
    <t>4. DCFROR</t>
  </si>
  <si>
    <t>5. CCF</t>
  </si>
  <si>
    <t>6. EP</t>
  </si>
  <si>
    <t>7. ROI</t>
  </si>
  <si>
    <t>8. PBP</t>
  </si>
  <si>
    <t>9. TR</t>
  </si>
  <si>
    <t>10. CCP</t>
  </si>
  <si>
    <t>11. CCR</t>
  </si>
  <si>
    <r>
      <t xml:space="preserve">12. </t>
    </r>
    <r>
      <rPr>
        <i/>
        <sz val="16"/>
        <color indexed="8"/>
        <rFont val="Times New Roman"/>
        <family val="1"/>
      </rPr>
      <t>R</t>
    </r>
    <r>
      <rPr>
        <sz val="16"/>
        <color indexed="8"/>
        <rFont val="Times New Roman"/>
        <family val="1"/>
      </rPr>
      <t>n</t>
    </r>
  </si>
  <si>
    <t>13. REV</t>
  </si>
  <si>
    <t>14. REVeco-prod</t>
  </si>
  <si>
    <r>
      <t xml:space="preserve">15. </t>
    </r>
    <r>
      <rPr>
        <i/>
        <sz val="16"/>
        <color indexed="8"/>
        <rFont val="Times New Roman"/>
        <family val="1"/>
      </rPr>
      <t>C</t>
    </r>
    <r>
      <rPr>
        <sz val="16"/>
        <color indexed="8"/>
        <rFont val="Times New Roman"/>
        <family val="1"/>
      </rPr>
      <t>eq</t>
    </r>
  </si>
  <si>
    <t>16. TPC</t>
  </si>
  <si>
    <r>
      <t xml:space="preserve">17. </t>
    </r>
    <r>
      <rPr>
        <i/>
        <sz val="16"/>
        <color indexed="8"/>
        <rFont val="Times New Roman"/>
        <family val="1"/>
      </rPr>
      <t>E</t>
    </r>
    <r>
      <rPr>
        <sz val="16"/>
        <color indexed="8"/>
        <rFont val="Times New Roman"/>
        <family val="1"/>
      </rPr>
      <t>pc</t>
    </r>
  </si>
  <si>
    <r>
      <t xml:space="preserve">18. </t>
    </r>
    <r>
      <rPr>
        <i/>
        <sz val="16"/>
        <color indexed="8"/>
        <rFont val="Times New Roman"/>
        <family val="1"/>
      </rPr>
      <t>C</t>
    </r>
    <r>
      <rPr>
        <vertAlign val="subscript"/>
        <sz val="16"/>
        <color indexed="8"/>
        <rFont val="Times New Roman"/>
        <family val="1"/>
      </rPr>
      <t>TM</t>
    </r>
  </si>
  <si>
    <t>19. COM</t>
  </si>
  <si>
    <r>
      <t xml:space="preserve">20. </t>
    </r>
    <r>
      <rPr>
        <i/>
        <sz val="16"/>
        <color indexed="8"/>
        <rFont val="Times New Roman"/>
        <family val="1"/>
      </rPr>
      <t>C</t>
    </r>
    <r>
      <rPr>
        <vertAlign val="subscript"/>
        <sz val="16"/>
        <color indexed="8"/>
        <rFont val="Times New Roman"/>
        <family val="1"/>
      </rPr>
      <t>SRM</t>
    </r>
  </si>
  <si>
    <r>
      <t xml:space="preserve">21. </t>
    </r>
    <r>
      <rPr>
        <i/>
        <sz val="16"/>
        <color indexed="8"/>
        <rFont val="Times New Roman"/>
        <family val="1"/>
      </rPr>
      <t>C</t>
    </r>
    <r>
      <rPr>
        <vertAlign val="subscript"/>
        <sz val="16"/>
        <color indexed="8"/>
        <rFont val="Times New Roman"/>
        <family val="1"/>
      </rPr>
      <t>mat, tot.</t>
    </r>
  </si>
  <si>
    <r>
      <t xml:space="preserve">22. </t>
    </r>
    <r>
      <rPr>
        <i/>
        <sz val="16"/>
        <color indexed="8"/>
        <rFont val="Times New Roman"/>
        <family val="1"/>
      </rPr>
      <t>C</t>
    </r>
    <r>
      <rPr>
        <vertAlign val="subscript"/>
        <sz val="16"/>
        <color indexed="8"/>
        <rFont val="Times New Roman"/>
        <family val="1"/>
      </rPr>
      <t>E, tot.</t>
    </r>
  </si>
  <si>
    <r>
      <t xml:space="preserve">23. </t>
    </r>
    <r>
      <rPr>
        <i/>
        <sz val="16"/>
        <color indexed="8"/>
        <rFont val="Times New Roman"/>
        <family val="1"/>
      </rPr>
      <t>C</t>
    </r>
    <r>
      <rPr>
        <i/>
        <vertAlign val="subscript"/>
        <sz val="16"/>
        <color indexed="8"/>
        <rFont val="Times New Roman"/>
        <family val="1"/>
      </rPr>
      <t>E</t>
    </r>
    <r>
      <rPr>
        <vertAlign val="subscript"/>
        <sz val="16"/>
        <color indexed="8"/>
        <rFont val="Times New Roman"/>
        <family val="1"/>
      </rPr>
      <t>, spec.</t>
    </r>
  </si>
  <si>
    <r>
      <t xml:space="preserve">24. </t>
    </r>
    <r>
      <rPr>
        <i/>
        <sz val="16"/>
        <color indexed="8"/>
        <rFont val="Times New Roman"/>
        <family val="1"/>
      </rPr>
      <t>C</t>
    </r>
    <r>
      <rPr>
        <i/>
        <vertAlign val="subscript"/>
        <sz val="16"/>
        <color indexed="8"/>
        <rFont val="Times New Roman"/>
        <family val="1"/>
      </rPr>
      <t>E</t>
    </r>
    <r>
      <rPr>
        <vertAlign val="subscript"/>
        <sz val="16"/>
        <color indexed="8"/>
        <rFont val="Times New Roman"/>
        <family val="1"/>
      </rPr>
      <t>, source</t>
    </r>
  </si>
  <si>
    <r>
      <t xml:space="preserve">25. </t>
    </r>
    <r>
      <rPr>
        <i/>
        <sz val="16"/>
        <color indexed="8"/>
        <rFont val="Times New Roman"/>
        <family val="1"/>
      </rPr>
      <t>C</t>
    </r>
    <r>
      <rPr>
        <vertAlign val="subscript"/>
        <sz val="16"/>
        <color indexed="8"/>
        <rFont val="Times New Roman"/>
        <family val="1"/>
      </rPr>
      <t>water tot.</t>
    </r>
  </si>
  <si>
    <r>
      <t xml:space="preserve">26. </t>
    </r>
    <r>
      <rPr>
        <i/>
        <sz val="16"/>
        <color indexed="8"/>
        <rFont val="Times New Roman"/>
        <family val="1"/>
      </rPr>
      <t>C</t>
    </r>
    <r>
      <rPr>
        <vertAlign val="subscript"/>
        <sz val="16"/>
        <color indexed="8"/>
        <rFont val="Times New Roman"/>
        <family val="1"/>
      </rPr>
      <t>water spec.</t>
    </r>
  </si>
  <si>
    <r>
      <t>27.</t>
    </r>
    <r>
      <rPr>
        <i/>
        <sz val="16"/>
        <color indexed="8"/>
        <rFont val="Times New Roman"/>
        <family val="1"/>
      </rPr>
      <t>C</t>
    </r>
    <r>
      <rPr>
        <vertAlign val="subscript"/>
        <sz val="16"/>
        <color indexed="8"/>
        <rFont val="Times New Roman"/>
        <family val="1"/>
      </rPr>
      <t>water type</t>
    </r>
  </si>
  <si>
    <r>
      <t>28.</t>
    </r>
    <r>
      <rPr>
        <i/>
        <sz val="16"/>
        <color indexed="8"/>
        <rFont val="Times New Roman"/>
        <family val="1"/>
      </rPr>
      <t xml:space="preserve"> C</t>
    </r>
    <r>
      <rPr>
        <vertAlign val="subscript"/>
        <sz val="16"/>
        <color indexed="8"/>
        <rFont val="Times New Roman"/>
        <family val="1"/>
      </rPr>
      <t>s tot.</t>
    </r>
  </si>
  <si>
    <r>
      <t xml:space="preserve">29. </t>
    </r>
    <r>
      <rPr>
        <i/>
        <sz val="16"/>
        <color indexed="8"/>
        <rFont val="Times New Roman"/>
        <family val="1"/>
      </rPr>
      <t>C</t>
    </r>
    <r>
      <rPr>
        <vertAlign val="subscript"/>
        <sz val="16"/>
        <color indexed="8"/>
        <rFont val="Times New Roman"/>
        <family val="1"/>
      </rPr>
      <t>s, spec.</t>
    </r>
  </si>
  <si>
    <r>
      <t xml:space="preserve">30. </t>
    </r>
    <r>
      <rPr>
        <i/>
        <sz val="16"/>
        <color indexed="8"/>
        <rFont val="Times New Roman"/>
        <family val="1"/>
      </rPr>
      <t>C</t>
    </r>
    <r>
      <rPr>
        <vertAlign val="subscript"/>
        <sz val="16"/>
        <color indexed="8"/>
        <rFont val="Times New Roman"/>
        <family val="1"/>
      </rPr>
      <t>l tot.</t>
    </r>
  </si>
  <si>
    <r>
      <t xml:space="preserve">31. </t>
    </r>
    <r>
      <rPr>
        <i/>
        <sz val="16"/>
        <color indexed="8"/>
        <rFont val="Times New Roman"/>
        <family val="1"/>
      </rPr>
      <t>C</t>
    </r>
    <r>
      <rPr>
        <vertAlign val="subscript"/>
        <sz val="16"/>
        <color indexed="8"/>
        <rFont val="Times New Roman"/>
        <family val="1"/>
      </rPr>
      <t>l, spec.</t>
    </r>
  </si>
  <si>
    <r>
      <t xml:space="preserve">32. </t>
    </r>
    <r>
      <rPr>
        <i/>
        <sz val="16"/>
        <color indexed="8"/>
        <rFont val="Times New Roman"/>
        <family val="1"/>
      </rPr>
      <t>C</t>
    </r>
    <r>
      <rPr>
        <vertAlign val="subscript"/>
        <sz val="16"/>
        <color indexed="8"/>
        <rFont val="Times New Roman"/>
        <family val="1"/>
      </rPr>
      <t>pur. air</t>
    </r>
  </si>
  <si>
    <r>
      <t xml:space="preserve">33. </t>
    </r>
    <r>
      <rPr>
        <i/>
        <sz val="16"/>
        <color indexed="8"/>
        <rFont val="Times New Roman"/>
        <family val="1"/>
      </rPr>
      <t>C</t>
    </r>
    <r>
      <rPr>
        <vertAlign val="subscript"/>
        <sz val="16"/>
        <color indexed="8"/>
        <rFont val="Times New Roman"/>
        <family val="1"/>
      </rPr>
      <t>pur. air fract.</t>
    </r>
  </si>
  <si>
    <t>"N/A"</t>
  </si>
  <si>
    <t>Equipment for Waste Treatment (1), Solvent Recovery (2), Recycling (3)</t>
  </si>
  <si>
    <t>Energy for waste treatment (1)</t>
  </si>
  <si>
    <t>Energy for solvent recovery (2)</t>
  </si>
  <si>
    <t>Energy for recycling (3)</t>
  </si>
  <si>
    <t>Total water needs as feedstock, kg/h</t>
  </si>
  <si>
    <t>Water cost rate, $US/kg</t>
  </si>
  <si>
    <t>Product stream name</t>
  </si>
  <si>
    <t>Eco-product, just product streams: yes=1 &amp; no=0</t>
  </si>
  <si>
    <t>Overall Equipment Energy Needs</t>
  </si>
  <si>
    <t>P, bar</t>
  </si>
  <si>
    <t>Boiler efficiency</t>
  </si>
  <si>
    <t>Steam is produced from saturated water using a natural gas-fired industrial boiler</t>
  </si>
  <si>
    <r>
      <t>h</t>
    </r>
    <r>
      <rPr>
        <vertAlign val="subscript"/>
        <sz val="12"/>
        <color theme="1"/>
        <rFont val="Arial"/>
        <family val="2"/>
      </rPr>
      <t>g</t>
    </r>
    <r>
      <rPr>
        <sz val="12"/>
        <color theme="1"/>
        <rFont val="Arial"/>
        <family val="2"/>
      </rPr>
      <t>, kJ/kg</t>
    </r>
  </si>
  <si>
    <r>
      <t>h</t>
    </r>
    <r>
      <rPr>
        <vertAlign val="subscript"/>
        <sz val="12"/>
        <color theme="1"/>
        <rFont val="Arial"/>
        <family val="2"/>
      </rPr>
      <t>l</t>
    </r>
    <r>
      <rPr>
        <sz val="12"/>
        <color theme="1"/>
        <rFont val="Arial"/>
        <family val="2"/>
      </rPr>
      <t>, kJ/kg</t>
    </r>
  </si>
  <si>
    <t>High pressure Steam</t>
  </si>
  <si>
    <t>Medium pressure steam</t>
  </si>
  <si>
    <t>Low pressure steam</t>
  </si>
  <si>
    <r>
      <rPr>
        <sz val="12"/>
        <rFont val="Symbol"/>
        <family val="1"/>
        <charset val="2"/>
      </rPr>
      <t>D</t>
    </r>
    <r>
      <rPr>
        <sz val="12"/>
        <rFont val="Arial"/>
        <family val="2"/>
      </rPr>
      <t>H</t>
    </r>
    <r>
      <rPr>
        <vertAlign val="subscript"/>
        <sz val="12"/>
        <rFont val="Arial"/>
        <family val="2"/>
      </rPr>
      <t>Tin-Tout</t>
    </r>
    <r>
      <rPr>
        <sz val="12"/>
        <rFont val="Arial"/>
        <family val="2"/>
      </rPr>
      <t>, MJ/kg</t>
    </r>
  </si>
  <si>
    <t>Energy factor for electricity, MJ/kWh</t>
  </si>
  <si>
    <t>Process direct cooling needs</t>
  </si>
  <si>
    <t>Process direct power needs</t>
  </si>
  <si>
    <r>
      <t>h</t>
    </r>
    <r>
      <rPr>
        <vertAlign val="subscript"/>
        <sz val="12"/>
        <color theme="1"/>
        <rFont val="Arial"/>
        <family val="2"/>
      </rPr>
      <t>fg</t>
    </r>
    <r>
      <rPr>
        <sz val="12"/>
        <color theme="1"/>
        <rFont val="Arial"/>
        <family val="2"/>
      </rPr>
      <t>, MJ/kg</t>
    </r>
  </si>
  <si>
    <t>Utility Factor, MJ/Kg or MJ/kWh</t>
  </si>
  <si>
    <t>Subprocess</t>
  </si>
  <si>
    <t>Net present value (worth)</t>
  </si>
  <si>
    <r>
      <t>1x10</t>
    </r>
    <r>
      <rPr>
        <vertAlign val="superscript"/>
        <sz val="12"/>
        <rFont val="Calibri"/>
        <family val="2"/>
        <scheme val="minor"/>
      </rPr>
      <t>6</t>
    </r>
    <r>
      <rPr>
        <sz val="12"/>
        <rFont val="Calibri"/>
        <family val="2"/>
        <scheme val="minor"/>
      </rPr>
      <t>US $</t>
    </r>
  </si>
  <si>
    <r>
      <t>1x10</t>
    </r>
    <r>
      <rPr>
        <vertAlign val="superscript"/>
        <sz val="12"/>
        <rFont val="Calibri"/>
        <family val="2"/>
        <scheme val="minor"/>
      </rPr>
      <t>6</t>
    </r>
    <r>
      <rPr>
        <sz val="12"/>
        <rFont val="Calibri"/>
        <family val="2"/>
        <scheme val="minor"/>
      </rPr>
      <t>US $/yr</t>
    </r>
  </si>
  <si>
    <r>
      <t>1x10</t>
    </r>
    <r>
      <rPr>
        <vertAlign val="superscript"/>
        <sz val="12"/>
        <rFont val="Calibri"/>
        <family val="2"/>
        <scheme val="minor"/>
      </rPr>
      <t>6</t>
    </r>
    <r>
      <rPr>
        <sz val="12"/>
        <rFont val="Calibri"/>
        <family val="2"/>
        <scheme val="minor"/>
      </rPr>
      <t>US $/ yr</t>
    </r>
  </si>
  <si>
    <r>
      <t xml:space="preserve">Best case: Net Return, </t>
    </r>
    <r>
      <rPr>
        <i/>
        <sz val="12"/>
        <color indexed="8"/>
        <rFont val="Times New Roman"/>
        <family val="1"/>
      </rPr>
      <t>R</t>
    </r>
    <r>
      <rPr>
        <sz val="12"/>
        <color indexed="8"/>
        <rFont val="Times New Roman"/>
        <family val="1"/>
      </rPr>
      <t>n</t>
    </r>
  </si>
  <si>
    <r>
      <t>Investment, $ 1*10</t>
    </r>
    <r>
      <rPr>
        <vertAlign val="superscript"/>
        <sz val="12"/>
        <rFont val="Times New Roman"/>
        <family val="1"/>
      </rPr>
      <t>6</t>
    </r>
    <r>
      <rPr>
        <sz val="12"/>
        <rFont val="Times New Roman"/>
        <family val="1"/>
      </rPr>
      <t xml:space="preserve"> US</t>
    </r>
  </si>
  <si>
    <r>
      <t>d</t>
    </r>
    <r>
      <rPr>
        <i/>
        <vertAlign val="subscript"/>
        <sz val="12"/>
        <rFont val="Times New Roman"/>
        <family val="1"/>
      </rPr>
      <t>m</t>
    </r>
    <r>
      <rPr>
        <vertAlign val="subscript"/>
        <sz val="12"/>
        <rFont val="Times New Roman"/>
        <family val="1"/>
      </rPr>
      <t>, $ 1*10</t>
    </r>
    <r>
      <rPr>
        <vertAlign val="superscript"/>
        <sz val="12"/>
        <rFont val="Times New Roman"/>
        <family val="1"/>
      </rPr>
      <t>6</t>
    </r>
    <r>
      <rPr>
        <vertAlign val="subscript"/>
        <sz val="12"/>
        <rFont val="Times New Roman"/>
        <family val="1"/>
      </rPr>
      <t xml:space="preserve"> US</t>
    </r>
  </si>
  <si>
    <r>
      <t>discount rate (</t>
    </r>
    <r>
      <rPr>
        <i/>
        <sz val="12"/>
        <rFont val="Times New Roman"/>
        <family val="1"/>
      </rPr>
      <t>r</t>
    </r>
    <r>
      <rPr>
        <vertAlign val="subscript"/>
        <sz val="12"/>
        <rFont val="Times New Roman"/>
        <family val="1"/>
      </rPr>
      <t>d</t>
    </r>
    <r>
      <rPr>
        <sz val="12"/>
        <rFont val="Times New Roman"/>
        <family val="1"/>
      </rPr>
      <t>), Best case</t>
    </r>
  </si>
  <si>
    <r>
      <t>discount rate (</t>
    </r>
    <r>
      <rPr>
        <i/>
        <sz val="12"/>
        <rFont val="Times New Roman"/>
        <family val="1"/>
      </rPr>
      <t>r</t>
    </r>
    <r>
      <rPr>
        <vertAlign val="subscript"/>
        <sz val="12"/>
        <rFont val="Times New Roman"/>
        <family val="1"/>
      </rPr>
      <t>d</t>
    </r>
    <r>
      <rPr>
        <sz val="12"/>
        <rFont val="Times New Roman"/>
        <family val="1"/>
      </rPr>
      <t>), Worst case</t>
    </r>
  </si>
  <si>
    <r>
      <t>Best case Scenario, r</t>
    </r>
    <r>
      <rPr>
        <b/>
        <vertAlign val="subscript"/>
        <sz val="14"/>
        <rFont val="Arial"/>
        <family val="2"/>
      </rPr>
      <t>d</t>
    </r>
  </si>
  <si>
    <r>
      <t>worst case Scenario, r</t>
    </r>
    <r>
      <rPr>
        <b/>
        <vertAlign val="subscript"/>
        <sz val="14"/>
        <rFont val="Arial"/>
        <family val="2"/>
      </rPr>
      <t>d</t>
    </r>
  </si>
  <si>
    <r>
      <t>Best case Scenario, r</t>
    </r>
    <r>
      <rPr>
        <b/>
        <vertAlign val="subscript"/>
        <sz val="14"/>
        <rFont val="Times New Roman"/>
        <family val="1"/>
      </rPr>
      <t>d</t>
    </r>
  </si>
  <si>
    <r>
      <t>worst case Scenario, r</t>
    </r>
    <r>
      <rPr>
        <b/>
        <vertAlign val="subscript"/>
        <sz val="14"/>
        <rFont val="Times New Roman"/>
        <family val="1"/>
      </rPr>
      <t>d</t>
    </r>
  </si>
  <si>
    <t>Cost $ US/GJ</t>
  </si>
  <si>
    <r>
      <rPr>
        <i/>
        <sz val="10"/>
        <rFont val="Arial"/>
        <family val="2"/>
      </rPr>
      <t>W</t>
    </r>
    <r>
      <rPr>
        <vertAlign val="subscript"/>
        <sz val="10"/>
        <rFont val="Arial"/>
        <family val="2"/>
      </rPr>
      <t>T</t>
    </r>
    <r>
      <rPr>
        <sz val="10"/>
        <rFont val="Arial"/>
        <family val="2"/>
      </rPr>
      <t>, Actual Release Quantity (limited by emergency block valve or quantity available)</t>
    </r>
  </si>
  <si>
    <r>
      <rPr>
        <i/>
        <sz val="10"/>
        <rFont val="Arial"/>
        <family val="2"/>
      </rPr>
      <t>F</t>
    </r>
    <r>
      <rPr>
        <vertAlign val="subscript"/>
        <sz val="10"/>
        <rFont val="Arial"/>
        <family val="2"/>
      </rPr>
      <t>V</t>
    </r>
    <r>
      <rPr>
        <sz val="10"/>
        <rFont val="Arial"/>
        <family val="2"/>
      </rPr>
      <t>, Fraction Flashed</t>
    </r>
  </si>
  <si>
    <t>Wp, Quantity of material entering the pool</t>
  </si>
  <si>
    <t>Molecular Weight, kg/kmol</t>
  </si>
  <si>
    <t>Boiling Point °C</t>
  </si>
  <si>
    <t>Diameter of hole, mm (used)</t>
  </si>
  <si>
    <t>Dike area, m^2</t>
  </si>
  <si>
    <t>Distance to Property or fence line, m</t>
  </si>
  <si>
    <t>Quantity of liquid available for release, kg</t>
  </si>
  <si>
    <t>Quantity of gas available for release, kg</t>
  </si>
  <si>
    <t>Temperature of released material, °C</t>
  </si>
  <si>
    <r>
      <t>Heat Capacity C</t>
    </r>
    <r>
      <rPr>
        <vertAlign val="subscript"/>
        <sz val="12"/>
        <rFont val="Times New Roman"/>
        <family val="1"/>
      </rPr>
      <t xml:space="preserve">p,  </t>
    </r>
    <r>
      <rPr>
        <sz val="12"/>
        <rFont val="Times New Roman"/>
        <family val="1"/>
      </rPr>
      <t>J/(kg °C)</t>
    </r>
  </si>
  <si>
    <r>
      <rPr>
        <i/>
        <sz val="12"/>
        <rFont val="Times New Roman"/>
        <family val="1"/>
      </rPr>
      <t>D</t>
    </r>
    <r>
      <rPr>
        <sz val="12"/>
        <rFont val="Times New Roman"/>
        <family val="1"/>
      </rPr>
      <t>, Diameter of hole, mm</t>
    </r>
  </si>
  <si>
    <t>Liquid Density kg/m^3 at storage temp, °C</t>
  </si>
  <si>
    <r>
      <t>Latent Heat of Vaporization H</t>
    </r>
    <r>
      <rPr>
        <vertAlign val="subscript"/>
        <sz val="12"/>
        <rFont val="Times New Roman"/>
        <family val="1"/>
      </rPr>
      <t xml:space="preserve">v, </t>
    </r>
    <r>
      <rPr>
        <sz val="12"/>
        <rFont val="Times New Roman"/>
        <family val="1"/>
      </rPr>
      <t>J/kg</t>
    </r>
  </si>
  <si>
    <r>
      <t>Absolute Pressure (P</t>
    </r>
    <r>
      <rPr>
        <vertAlign val="subscript"/>
        <sz val="12"/>
        <rFont val="Times New Roman"/>
        <family val="1"/>
      </rPr>
      <t>a</t>
    </r>
    <r>
      <rPr>
        <sz val="12"/>
        <rFont val="Times New Roman"/>
        <family val="1"/>
      </rPr>
      <t>),  kPa</t>
    </r>
  </si>
  <si>
    <r>
      <t>Gauge Pressure in Process (P</t>
    </r>
    <r>
      <rPr>
        <vertAlign val="subscript"/>
        <sz val="12"/>
        <rFont val="Times New Roman"/>
        <family val="1"/>
      </rPr>
      <t>g</t>
    </r>
    <r>
      <rPr>
        <sz val="12"/>
        <rFont val="Times New Roman"/>
        <family val="1"/>
      </rPr>
      <t>),</t>
    </r>
    <r>
      <rPr>
        <vertAlign val="subscript"/>
        <sz val="12"/>
        <rFont val="Times New Roman"/>
        <family val="1"/>
      </rPr>
      <t xml:space="preserve"> </t>
    </r>
    <r>
      <rPr>
        <sz val="12"/>
        <rFont val="Times New Roman"/>
        <family val="1"/>
      </rPr>
      <t>kPa</t>
    </r>
  </si>
  <si>
    <t>Temperature, °C</t>
  </si>
  <si>
    <t>ERPG2 mg/m^3, min</t>
  </si>
  <si>
    <t>ERPG3 mg/m^3, min</t>
  </si>
  <si>
    <r>
      <rPr>
        <sz val="12"/>
        <rFont val="Symbol"/>
        <family val="1"/>
        <charset val="2"/>
      </rPr>
      <t>D</t>
    </r>
    <r>
      <rPr>
        <i/>
        <sz val="12"/>
        <rFont val="Times New Roman"/>
        <family val="1"/>
      </rPr>
      <t>h</t>
    </r>
    <r>
      <rPr>
        <sz val="12"/>
        <rFont val="Times New Roman"/>
        <family val="1"/>
      </rPr>
      <t>, Height of leak above grade, m</t>
    </r>
  </si>
  <si>
    <t>Selected compound for CEI analysis</t>
  </si>
  <si>
    <t>"ERPG-2, mg/m^3"</t>
  </si>
  <si>
    <t>"ERPG-3, mg/m^3"</t>
  </si>
  <si>
    <t>"IDLH,mg/m^3"</t>
  </si>
  <si>
    <t>Process Stream</t>
  </si>
  <si>
    <t>vapor fraction</t>
  </si>
  <si>
    <t xml:space="preserve">Temperature, °C </t>
  </si>
  <si>
    <t>Pressure, kPa</t>
  </si>
  <si>
    <t>Make Entries in yellow top cell ranges only</t>
  </si>
  <si>
    <r>
      <t>T</t>
    </r>
    <r>
      <rPr>
        <vertAlign val="subscript"/>
        <sz val="12"/>
        <color theme="1"/>
        <rFont val="Arial"/>
        <family val="2"/>
      </rPr>
      <t>reference</t>
    </r>
    <r>
      <rPr>
        <sz val="12"/>
        <color theme="1"/>
        <rFont val="Arial"/>
        <family val="2"/>
      </rPr>
      <t>, °C</t>
    </r>
  </si>
  <si>
    <r>
      <t>P</t>
    </r>
    <r>
      <rPr>
        <vertAlign val="subscript"/>
        <sz val="12"/>
        <color theme="1"/>
        <rFont val="Arial"/>
        <family val="2"/>
      </rPr>
      <t>reference</t>
    </r>
    <r>
      <rPr>
        <sz val="12"/>
        <color theme="1"/>
        <rFont val="Arial"/>
        <family val="2"/>
      </rPr>
      <t>, kPa</t>
    </r>
  </si>
  <si>
    <r>
      <t>T</t>
    </r>
    <r>
      <rPr>
        <vertAlign val="subscript"/>
        <sz val="12"/>
        <color theme="1"/>
        <rFont val="Arial"/>
        <family val="2"/>
      </rPr>
      <t>process reference</t>
    </r>
    <r>
      <rPr>
        <sz val="12"/>
        <color theme="1"/>
        <rFont val="Arial"/>
        <family val="2"/>
      </rPr>
      <t>, °C</t>
    </r>
  </si>
  <si>
    <t>Potency Factor, kg benzene/kg i: internal database</t>
  </si>
  <si>
    <t>Potency Factor, kg ethylene/kg i: internal database</t>
  </si>
  <si>
    <t>Potency Factor, kg SO2/kg i: internal database</t>
  </si>
  <si>
    <t>Potency Factor, kg formaldehyde / kg i: internal database</t>
  </si>
  <si>
    <t>Potency Factor, kg Cu / kg i: internal database</t>
  </si>
  <si>
    <t>ECclass: approximation</t>
  </si>
  <si>
    <t>R-phrase: approximation</t>
  </si>
  <si>
    <r>
      <rPr>
        <sz val="12"/>
        <rFont val="Symbol"/>
        <family val="1"/>
        <charset val="2"/>
      </rPr>
      <t>D</t>
    </r>
    <r>
      <rPr>
        <i/>
        <sz val="12"/>
        <rFont val="Arial"/>
        <family val="2"/>
      </rPr>
      <t>T</t>
    </r>
    <r>
      <rPr>
        <sz val="12"/>
        <rFont val="Arial"/>
        <family val="2"/>
      </rPr>
      <t>b, °C</t>
    </r>
  </si>
  <si>
    <t>GK: approximation</t>
  </si>
  <si>
    <t/>
  </si>
  <si>
    <t xml:space="preserve">Potency Factor, kg formaldehyde /  kg i (0 if it is not found) </t>
  </si>
  <si>
    <t>Q•  MJ/h (+: heating added; -: heating removed)</t>
  </si>
  <si>
    <t>Power W•,  MJ/h  (+: power added; -: power produced)</t>
  </si>
  <si>
    <t>Power W•,  MJ/h  (+: power added; -: power produced) (Peters et al. pg 538) @ 0.2kW/m^3</t>
  </si>
  <si>
    <t>Entalphy of Rxn (MJ/h)</t>
  </si>
  <si>
    <t>Reactor Summary</t>
  </si>
  <si>
    <r>
      <t>Utility flow rate needs, kg/h, m</t>
    </r>
    <r>
      <rPr>
        <vertAlign val="superscript"/>
        <sz val="12"/>
        <color theme="1"/>
        <rFont val="Arial"/>
        <family val="2"/>
      </rPr>
      <t>3</t>
    </r>
    <r>
      <rPr>
        <sz val="12"/>
        <color theme="1"/>
        <rFont val="Arial"/>
        <family val="2"/>
      </rPr>
      <t>/h, MJ/h, or kWh/h (Manual input)</t>
    </r>
  </si>
  <si>
    <r>
      <t>Utility flow rate needs, kg/h, m</t>
    </r>
    <r>
      <rPr>
        <vertAlign val="superscript"/>
        <sz val="12"/>
        <color theme="1"/>
        <rFont val="Arial"/>
        <family val="2"/>
      </rPr>
      <t>3</t>
    </r>
    <r>
      <rPr>
        <sz val="12"/>
        <color theme="1"/>
        <rFont val="Arial"/>
        <family val="2"/>
      </rPr>
      <t>/h, MJ/h, or kWh/h (Manual &amp; Automatic inputs)</t>
    </r>
  </si>
  <si>
    <r>
      <t>Transformity factor for natural gas, MseJ/m</t>
    </r>
    <r>
      <rPr>
        <vertAlign val="superscript"/>
        <sz val="12"/>
        <rFont val="Arial"/>
        <family val="2"/>
      </rPr>
      <t>3</t>
    </r>
  </si>
  <si>
    <t>Cooling water Specifications</t>
  </si>
  <si>
    <t>Steam (latent heat only) Specifications</t>
  </si>
  <si>
    <t>Electricity Specifications</t>
  </si>
  <si>
    <t>Renewability for energy inputs</t>
  </si>
  <si>
    <t>Steam generation</t>
  </si>
  <si>
    <t>Cooling water generation</t>
  </si>
  <si>
    <t>Electricity generation</t>
  </si>
  <si>
    <r>
      <rPr>
        <sz val="12"/>
        <color theme="1"/>
        <rFont val="Symbol"/>
        <family val="1"/>
        <charset val="2"/>
      </rPr>
      <t>D</t>
    </r>
    <r>
      <rPr>
        <sz val="12"/>
        <color theme="1"/>
        <rFont val="Arial"/>
        <family val="2"/>
      </rPr>
      <t>Hreaction, MJ/h</t>
    </r>
  </si>
  <si>
    <t>Individual Compound Basic Data</t>
  </si>
  <si>
    <t>Daphia magna, 96h</t>
  </si>
  <si>
    <t>Animal reference / time</t>
  </si>
  <si>
    <t>rabbit</t>
  </si>
  <si>
    <r>
      <rPr>
        <sz val="12"/>
        <rFont val="Symbol"/>
        <family val="1"/>
        <charset val="2"/>
      </rPr>
      <t>D</t>
    </r>
    <r>
      <rPr>
        <sz val="12"/>
        <rFont val="Arial"/>
        <family val="2"/>
      </rPr>
      <t>Hj•, MJ/h</t>
    </r>
  </si>
  <si>
    <r>
      <rPr>
        <sz val="12"/>
        <rFont val="Symbol"/>
        <family val="1"/>
        <charset val="2"/>
      </rPr>
      <t>D</t>
    </r>
    <r>
      <rPr>
        <sz val="12"/>
        <rFont val="Arial"/>
        <family val="2"/>
      </rPr>
      <t>Sj•, MJ/(h*K)</t>
    </r>
  </si>
  <si>
    <r>
      <rPr>
        <sz val="12"/>
        <rFont val="Symbol"/>
        <family val="1"/>
        <charset val="2"/>
      </rPr>
      <t>S(</t>
    </r>
    <r>
      <rPr>
        <sz val="12"/>
        <rFont val="Arial"/>
        <family val="2"/>
      </rPr>
      <t>xi*Ex</t>
    </r>
    <r>
      <rPr>
        <sz val="12"/>
        <rFont val="Symbol"/>
        <family val="1"/>
        <charset val="2"/>
      </rPr>
      <t>°</t>
    </r>
    <r>
      <rPr>
        <sz val="12"/>
        <rFont val="Arial"/>
        <family val="2"/>
      </rPr>
      <t>(ch)+R*T*xi*LN(xi)), MJ/kmol</t>
    </r>
  </si>
  <si>
    <r>
      <rPr>
        <sz val="12"/>
        <rFont val="Symbol"/>
        <family val="1"/>
        <charset val="2"/>
      </rPr>
      <t>SD</t>
    </r>
    <r>
      <rPr>
        <sz val="12"/>
        <rFont val="Arial"/>
        <family val="2"/>
      </rPr>
      <t>Sj• in, MJ/(h*K)</t>
    </r>
  </si>
  <si>
    <r>
      <rPr>
        <sz val="12"/>
        <rFont val="Symbol"/>
        <family val="1"/>
        <charset val="2"/>
      </rPr>
      <t>SD</t>
    </r>
    <r>
      <rPr>
        <sz val="12"/>
        <rFont val="Arial"/>
        <family val="2"/>
      </rPr>
      <t>Sj• out, MJ/(h*K)</t>
    </r>
  </si>
  <si>
    <r>
      <rPr>
        <sz val="12"/>
        <rFont val="Symbol"/>
        <family val="1"/>
        <charset val="2"/>
      </rPr>
      <t>S</t>
    </r>
    <r>
      <rPr>
        <sz val="12"/>
        <rFont val="Arial"/>
        <family val="2"/>
      </rPr>
      <t>Qk•/Tref, MJ/(h*K)</t>
    </r>
  </si>
  <si>
    <r>
      <t>Discount rate (</t>
    </r>
    <r>
      <rPr>
        <i/>
        <sz val="12"/>
        <rFont val="Times New Roman"/>
        <family val="1"/>
      </rPr>
      <t>r</t>
    </r>
    <r>
      <rPr>
        <vertAlign val="subscript"/>
        <sz val="12"/>
        <rFont val="Times New Roman"/>
        <family val="1"/>
      </rPr>
      <t>d</t>
    </r>
    <r>
      <rPr>
        <sz val="12"/>
        <rFont val="Times New Roman"/>
        <family val="1"/>
      </rPr>
      <t>) for NPV=0, %</t>
    </r>
  </si>
  <si>
    <r>
      <t>T</t>
    </r>
    <r>
      <rPr>
        <vertAlign val="subscript"/>
        <sz val="12"/>
        <rFont val="Arial"/>
        <family val="2"/>
      </rPr>
      <t>0</t>
    </r>
    <r>
      <rPr>
        <sz val="12"/>
        <rFont val="Arial"/>
        <family val="2"/>
      </rPr>
      <t>, K</t>
    </r>
  </si>
  <si>
    <t>Substance Name</t>
  </si>
  <si>
    <t>CARBON TETRACHLORIDE</t>
  </si>
  <si>
    <t>1,1,1-TRICHLOROETHANE</t>
  </si>
  <si>
    <t>METHYL CHLOROFORM</t>
  </si>
  <si>
    <t>METHANE</t>
  </si>
  <si>
    <t>METHYL CHLORIDE</t>
  </si>
  <si>
    <t>HFC-32</t>
  </si>
  <si>
    <t>HFC-152A</t>
  </si>
  <si>
    <t>1,1-DIFLUOROETHANE</t>
  </si>
  <si>
    <t>HCFC-22</t>
  </si>
  <si>
    <t>CHLORODIFLUOROMETHANE</t>
  </si>
  <si>
    <t>HFC-23</t>
  </si>
  <si>
    <t>HALON 1301</t>
  </si>
  <si>
    <t>HCFC-142B</t>
  </si>
  <si>
    <t>CFC-11</t>
  </si>
  <si>
    <t>TRICHLOROFLUOROMETHANE</t>
  </si>
  <si>
    <t>CFC-12</t>
  </si>
  <si>
    <t>DICHLORODIFLUOROMETHANE</t>
  </si>
  <si>
    <t>CFC-13</t>
  </si>
  <si>
    <t>CARBON TETRAFLUORIDE</t>
  </si>
  <si>
    <t>PFC-14</t>
  </si>
  <si>
    <t>CFC-113</t>
  </si>
  <si>
    <t>1,1,2-TRICHLORO-1,2,2-TRIFLUOROETHANE</t>
  </si>
  <si>
    <t>CFC-114</t>
  </si>
  <si>
    <t>CFC-115</t>
  </si>
  <si>
    <t>PFC-116</t>
  </si>
  <si>
    <t>PERFLUOROETHANE</t>
  </si>
  <si>
    <t>PFC-218</t>
  </si>
  <si>
    <t>PERFLUOROPROPANE</t>
  </si>
  <si>
    <t>PERFLUOROCYCLOBUTANE</t>
  </si>
  <si>
    <t>C-C4F8</t>
  </si>
  <si>
    <t>CARBON DIOXIDE</t>
  </si>
  <si>
    <t>HALON 2402</t>
  </si>
  <si>
    <t>HCFC-123</t>
  </si>
  <si>
    <t>1,1,1-TRIFLUORO-2,2-DICHLOROETHANE</t>
  </si>
  <si>
    <t>HALON 1211</t>
  </si>
  <si>
    <t>HFC-125</t>
  </si>
  <si>
    <t>PFC-3-1-10</t>
  </si>
  <si>
    <t>PERFLUOROBUTANE</t>
  </si>
  <si>
    <t>PFC-5-1-14</t>
  </si>
  <si>
    <t>PERFLUORO-N-HEXANE</t>
  </si>
  <si>
    <t>HFC-134</t>
  </si>
  <si>
    <t>HFC-365MFC</t>
  </si>
  <si>
    <t>1,1,1,3,3-PENTAFLUOROBUTANE</t>
  </si>
  <si>
    <t>HFC-143A</t>
  </si>
  <si>
    <t>HCFC-225CA</t>
  </si>
  <si>
    <t>3,3-DICHLORO-1,1,1,2,2-PENTAFLUOROPROPANE</t>
  </si>
  <si>
    <t>CFC-211</t>
  </si>
  <si>
    <t>HFC-143</t>
  </si>
  <si>
    <t>HFC-227EA</t>
  </si>
  <si>
    <t>HFC-245FA</t>
  </si>
  <si>
    <t>1,1,1,3,3-PENTAFLUOROPROPANE</t>
  </si>
  <si>
    <t>HCFC-225CB</t>
  </si>
  <si>
    <t>1,3-DICHLORO-1,1,2,2,3-PENTAFLUOROPROPANE</t>
  </si>
  <si>
    <t>HFC-41</t>
  </si>
  <si>
    <t>PFC-4-1-12</t>
  </si>
  <si>
    <t>PERFLUOROPENTANE</t>
  </si>
  <si>
    <t>HFC-245CA</t>
  </si>
  <si>
    <t>HFC-236FA</t>
  </si>
  <si>
    <t>HFC-134A</t>
  </si>
  <si>
    <t>1,1,1,2-TETRAFLUOROETHANE</t>
  </si>
  <si>
    <t>HCFC-141B</t>
  </si>
  <si>
    <t>1,1-DICHLOROFLUOROETHANE</t>
  </si>
  <si>
    <t>SULFUR HEXAFLUORIDE</t>
  </si>
  <si>
    <t>SF6</t>
  </si>
  <si>
    <t>HCFC-124</t>
  </si>
  <si>
    <t>1-CHLORO-1,2,2,2-TETRAFLUOROETHANE</t>
  </si>
  <si>
    <t>NITROUS OXIDE</t>
  </si>
  <si>
    <t>PFC-9-1-18</t>
  </si>
  <si>
    <t>HFC-43-10MEE</t>
  </si>
  <si>
    <t>1,1,1,2,2,3,4,5,5,5-DECAFLUOROPENTANE</t>
  </si>
  <si>
    <t>HFE-134</t>
  </si>
  <si>
    <t>HFE-125</t>
  </si>
  <si>
    <t>HFE-143A</t>
  </si>
  <si>
    <t>NITROGEN TRIFLUORIDE</t>
  </si>
  <si>
    <t>NF3</t>
  </si>
  <si>
    <t>x</t>
  </si>
  <si>
    <t>HCFE-235DA2</t>
  </si>
  <si>
    <t>HFE-236CA12</t>
  </si>
  <si>
    <t>HG-10</t>
  </si>
  <si>
    <t>HFE-245CB2</t>
  </si>
  <si>
    <t>HFE-245FA2</t>
  </si>
  <si>
    <t>HFE-254CB2</t>
  </si>
  <si>
    <t>HFE-338PCC13</t>
  </si>
  <si>
    <t>HG-01</t>
  </si>
  <si>
    <t>HFE-347MCC3</t>
  </si>
  <si>
    <t>HFE-347PCF2</t>
  </si>
  <si>
    <t>HFE-356PCC3</t>
  </si>
  <si>
    <t>HFE-569SF2</t>
  </si>
  <si>
    <t>HFE-7200</t>
  </si>
  <si>
    <t>HFE-7100</t>
  </si>
  <si>
    <t>HFE-449SL</t>
  </si>
  <si>
    <t>26675-46-7</t>
  </si>
  <si>
    <t>163702-05-4</t>
  </si>
  <si>
    <t>163702-07-6</t>
  </si>
  <si>
    <t>75-10-5</t>
  </si>
  <si>
    <t>75-37-6</t>
  </si>
  <si>
    <t>75-45-6</t>
  </si>
  <si>
    <t>75-46-7</t>
  </si>
  <si>
    <t>75-63-8</t>
  </si>
  <si>
    <t>78522-47-1</t>
  </si>
  <si>
    <t>22410-44-2</t>
  </si>
  <si>
    <t>1885-48-9</t>
  </si>
  <si>
    <t>425-88-7</t>
  </si>
  <si>
    <t>188690-78-0</t>
  </si>
  <si>
    <t>28523-86-6</t>
  </si>
  <si>
    <t>406-78-0</t>
  </si>
  <si>
    <t>160620-20-2</t>
  </si>
  <si>
    <t>690-39-1</t>
  </si>
  <si>
    <t>75-68-3</t>
  </si>
  <si>
    <t>75-69-4</t>
  </si>
  <si>
    <t>75-71-8</t>
  </si>
  <si>
    <t>75-72-9</t>
  </si>
  <si>
    <t>75-73-0</t>
  </si>
  <si>
    <t>76-13-1</t>
  </si>
  <si>
    <t>76-14-2</t>
  </si>
  <si>
    <t>76-15-3</t>
  </si>
  <si>
    <t>76-16-4</t>
  </si>
  <si>
    <t>76-19-7</t>
  </si>
  <si>
    <t>115-25-3</t>
  </si>
  <si>
    <t>124-38-9</t>
  </si>
  <si>
    <t>124-73-2</t>
  </si>
  <si>
    <t>306-83-2</t>
  </si>
  <si>
    <t>353-59-3</t>
  </si>
  <si>
    <t>354-33-6</t>
  </si>
  <si>
    <t>355-25-9</t>
  </si>
  <si>
    <t>355-42-0</t>
  </si>
  <si>
    <t>359-35-3</t>
  </si>
  <si>
    <t>406-58-6</t>
  </si>
  <si>
    <t>420-46-2</t>
  </si>
  <si>
    <t>421-14-7</t>
  </si>
  <si>
    <t>422-56-0</t>
  </si>
  <si>
    <t>430-66-0</t>
  </si>
  <si>
    <t>431-89-0</t>
  </si>
  <si>
    <t>460-73-1</t>
  </si>
  <si>
    <t>507-55-1</t>
  </si>
  <si>
    <t>593-53-3</t>
  </si>
  <si>
    <t>678-26-2</t>
  </si>
  <si>
    <t>679-86-7</t>
  </si>
  <si>
    <t>811-97-2</t>
  </si>
  <si>
    <t>1691-17-4</t>
  </si>
  <si>
    <t>1717-00-6</t>
  </si>
  <si>
    <t>2551-62-4</t>
  </si>
  <si>
    <t>2837-89-0</t>
  </si>
  <si>
    <t>3822-68-2</t>
  </si>
  <si>
    <t>7783-54-2</t>
  </si>
  <si>
    <t>10024-97-2</t>
  </si>
  <si>
    <t>60433-11-6</t>
  </si>
  <si>
    <t>138495-42-8</t>
  </si>
  <si>
    <t>Potency Factor, kg CO2 eq/kg i: internal database</t>
  </si>
  <si>
    <t>METHYL BROMIDE</t>
  </si>
  <si>
    <t>BROMOCHLOROMETHANE</t>
  </si>
  <si>
    <t>CHLOROBROMOMETHANE</t>
  </si>
  <si>
    <t>HCFC-21</t>
  </si>
  <si>
    <t>C2H2F2BR2</t>
  </si>
  <si>
    <t>HCFC-133A</t>
  </si>
  <si>
    <t>1,1,1-TRIFLUORO-2-CHLOROETHANE</t>
  </si>
  <si>
    <t>CFC-112</t>
  </si>
  <si>
    <t>C3H6FBR</t>
  </si>
  <si>
    <t>1,2-DIBROMO-1,1,2-TRIFLUOROETHANE </t>
  </si>
  <si>
    <t>C2HF4BR</t>
  </si>
  <si>
    <t>HCFC-121</t>
  </si>
  <si>
    <t>HCFC-122</t>
  </si>
  <si>
    <t>CFC-111</t>
  </si>
  <si>
    <t>1,2-DIBROMO-1-FLUROETHANE </t>
  </si>
  <si>
    <t>C2H3F2BR</t>
  </si>
  <si>
    <t>HCFC-131</t>
  </si>
  <si>
    <t>BROMOFLUROMETHANE</t>
  </si>
  <si>
    <t>HCFC-261</t>
  </si>
  <si>
    <t>C2H2F3BR</t>
  </si>
  <si>
    <t>1,2,2-TRIBROMO-3,3,3-TRIFLUOROPROPANE</t>
  </si>
  <si>
    <t>HCFC-251</t>
  </si>
  <si>
    <t>HCFC-231</t>
  </si>
  <si>
    <t>HCFC-221</t>
  </si>
  <si>
    <t>HCFC-222</t>
  </si>
  <si>
    <t>HCFC-223</t>
  </si>
  <si>
    <t>HCFC-224</t>
  </si>
  <si>
    <t>CFC-217</t>
  </si>
  <si>
    <t>HCFC-234</t>
  </si>
  <si>
    <t>HCFC-271</t>
  </si>
  <si>
    <t>2,3-DIBROMO-1,1,1-TRIFLUOROPROPANE </t>
  </si>
  <si>
    <t>HCFC-226</t>
  </si>
  <si>
    <t>1,3-DIBROMO-1,1-DIFLUOROPROPANE </t>
  </si>
  <si>
    <t>3-BROMO-1,1,1-TRIFLUOROPROPANE </t>
  </si>
  <si>
    <t>HCFC-253</t>
  </si>
  <si>
    <t>HCFC-242</t>
  </si>
  <si>
    <t>HCFC-243</t>
  </si>
  <si>
    <t>HCFC-232</t>
  </si>
  <si>
    <t>HCFC-235</t>
  </si>
  <si>
    <t>HCFC-31</t>
  </si>
  <si>
    <t>CHLOROFLUOROMETHANE</t>
  </si>
  <si>
    <t>CFC-216</t>
  </si>
  <si>
    <t>HCFC-241</t>
  </si>
  <si>
    <t>1-BROMO-2-FLUOROETHANE </t>
  </si>
  <si>
    <t>HCFC-252</t>
  </si>
  <si>
    <t>BROMODIFLUOROMETHANE</t>
  </si>
  <si>
    <t>CFC-215</t>
  </si>
  <si>
    <t>HCFC-132B</t>
  </si>
  <si>
    <t>DIBROMOFLUOROMETHANE</t>
  </si>
  <si>
    <t>1-BROMO-1,1,2,3,3,3-HEXAFLUOROPROPANE </t>
  </si>
  <si>
    <t>CFC-213</t>
  </si>
  <si>
    <t>CFC-212</t>
  </si>
  <si>
    <t>HCFC-262</t>
  </si>
  <si>
    <t>HCFC-233</t>
  </si>
  <si>
    <t>CFC-214</t>
  </si>
  <si>
    <t>HCFC-244</t>
  </si>
  <si>
    <t>C2H2FBR3</t>
  </si>
  <si>
    <t>C2HF2BR3</t>
  </si>
  <si>
    <t>C2HFBR4</t>
  </si>
  <si>
    <t>C3H2F2BR4</t>
  </si>
  <si>
    <t>C3H2F4BR2</t>
  </si>
  <si>
    <t>C3H2F5BR</t>
  </si>
  <si>
    <t>C3H2FBR5</t>
  </si>
  <si>
    <t>C3H3F2BR3</t>
  </si>
  <si>
    <t>C3H3F3BR2</t>
  </si>
  <si>
    <t>C3H3F4BR</t>
  </si>
  <si>
    <t>C3H3FBR4</t>
  </si>
  <si>
    <t>C3H4F3BR</t>
  </si>
  <si>
    <t>C3H4FBR3</t>
  </si>
  <si>
    <t>C3H5F2BR</t>
  </si>
  <si>
    <t>C3H5FBR2</t>
  </si>
  <si>
    <t>C3HF2BR5</t>
  </si>
  <si>
    <t>C3HF3BR4</t>
  </si>
  <si>
    <t>C3HF4BR3</t>
  </si>
  <si>
    <t>C3HF5BR2</t>
  </si>
  <si>
    <t>C3HF6BR</t>
  </si>
  <si>
    <t>C3HFBR6</t>
  </si>
  <si>
    <t>Alternate Substance Name</t>
  </si>
  <si>
    <t>74-83-9</t>
  </si>
  <si>
    <t>74-97-5</t>
  </si>
  <si>
    <t>75-43-4</t>
  </si>
  <si>
    <t>75-82-1</t>
  </si>
  <si>
    <t>75-88-7</t>
  </si>
  <si>
    <t>76-12-0</t>
  </si>
  <si>
    <t>352-91-0</t>
  </si>
  <si>
    <t>354-04-1</t>
  </si>
  <si>
    <t>354-07-4</t>
  </si>
  <si>
    <t>354-14-3</t>
  </si>
  <si>
    <t>354-21-2</t>
  </si>
  <si>
    <t>354-56-3</t>
  </si>
  <si>
    <t>358-97-4</t>
  </si>
  <si>
    <t>359-07-9</t>
  </si>
  <si>
    <t>359-28-4</t>
  </si>
  <si>
    <t>373-52-4</t>
  </si>
  <si>
    <t>420-97-3</t>
  </si>
  <si>
    <t>421-06-7</t>
  </si>
  <si>
    <t>421-07-8</t>
  </si>
  <si>
    <t>421-41-0</t>
  </si>
  <si>
    <t>421-94-3</t>
  </si>
  <si>
    <t>422-26-4</t>
  </si>
  <si>
    <t>422-49-1</t>
  </si>
  <si>
    <t>422-52-6</t>
  </si>
  <si>
    <t>422-54-8</t>
  </si>
  <si>
    <t>422-78-6</t>
  </si>
  <si>
    <t>422-86-6</t>
  </si>
  <si>
    <t>425-94-5</t>
  </si>
  <si>
    <t>430-55-7</t>
  </si>
  <si>
    <t>431-21-0</t>
  </si>
  <si>
    <t>431-87-8</t>
  </si>
  <si>
    <t>460-25-3</t>
  </si>
  <si>
    <t>460-32-2</t>
  </si>
  <si>
    <t>460-35-5</t>
  </si>
  <si>
    <t>460-63-9</t>
  </si>
  <si>
    <t>460-69-5</t>
  </si>
  <si>
    <t>460-89-9</t>
  </si>
  <si>
    <t>460-92-4</t>
  </si>
  <si>
    <t>593-70-4</t>
  </si>
  <si>
    <t>661-97-2</t>
  </si>
  <si>
    <t>666-27-3</t>
  </si>
  <si>
    <t>762-49-2</t>
  </si>
  <si>
    <t>819-00-1</t>
  </si>
  <si>
    <t>1511-62-2</t>
  </si>
  <si>
    <t>1599-41-3</t>
  </si>
  <si>
    <t>1649-08-7</t>
  </si>
  <si>
    <t>1868-53-7</t>
  </si>
  <si>
    <t>2252-78-0</t>
  </si>
  <si>
    <t>3182-26-1</t>
  </si>
  <si>
    <t>4210-20-3</t>
  </si>
  <si>
    <t>7125-84-0</t>
  </si>
  <si>
    <t>29255-31-0</t>
  </si>
  <si>
    <t>134190-50-4</t>
  </si>
  <si>
    <r>
      <rPr>
        <sz val="12"/>
        <rFont val="Symbol"/>
        <family val="1"/>
        <charset val="2"/>
      </rPr>
      <t>S</t>
    </r>
    <r>
      <rPr>
        <sz val="12"/>
        <rFont val="Arial"/>
        <family val="2"/>
      </rPr>
      <t>Emergy</t>
    </r>
    <r>
      <rPr>
        <vertAlign val="superscript"/>
        <sz val="12"/>
        <rFont val="Arial"/>
        <family val="2"/>
      </rPr>
      <t>•</t>
    </r>
    <r>
      <rPr>
        <vertAlign val="subscript"/>
        <sz val="12"/>
        <rFont val="Arial"/>
        <family val="2"/>
      </rPr>
      <t>product</t>
    </r>
    <r>
      <rPr>
        <sz val="12"/>
        <rFont val="Arial"/>
        <family val="2"/>
      </rPr>
      <t>, MseJ/h</t>
    </r>
  </si>
  <si>
    <r>
      <rPr>
        <sz val="12"/>
        <rFont val="Symbol"/>
        <family val="1"/>
        <charset val="2"/>
      </rPr>
      <t>S</t>
    </r>
    <r>
      <rPr>
        <sz val="12"/>
        <rFont val="Arial"/>
        <family val="2"/>
      </rPr>
      <t>Emergy</t>
    </r>
    <r>
      <rPr>
        <vertAlign val="superscript"/>
        <sz val="12"/>
        <rFont val="Arial"/>
        <family val="2"/>
      </rPr>
      <t>•</t>
    </r>
    <r>
      <rPr>
        <vertAlign val="subscript"/>
        <sz val="12"/>
        <rFont val="Arial"/>
        <family val="2"/>
      </rPr>
      <t>out no-prod.</t>
    </r>
    <r>
      <rPr>
        <sz val="12"/>
        <rFont val="Arial"/>
        <family val="2"/>
      </rPr>
      <t>, MseJ/h</t>
    </r>
  </si>
  <si>
    <r>
      <rPr>
        <sz val="12"/>
        <rFont val="Symbol"/>
        <family val="1"/>
        <charset val="2"/>
      </rPr>
      <t>S</t>
    </r>
    <r>
      <rPr>
        <sz val="12"/>
        <rFont val="Arial"/>
        <family val="2"/>
      </rPr>
      <t>Emergy</t>
    </r>
    <r>
      <rPr>
        <vertAlign val="superscript"/>
        <sz val="12"/>
        <rFont val="Arial"/>
        <family val="2"/>
      </rPr>
      <t>•</t>
    </r>
    <r>
      <rPr>
        <vertAlign val="subscript"/>
        <sz val="12"/>
        <rFont val="Arial"/>
        <family val="2"/>
      </rPr>
      <t>in</t>
    </r>
    <r>
      <rPr>
        <sz val="12"/>
        <rFont val="Arial"/>
        <family val="2"/>
      </rPr>
      <t>, MseJ/h</t>
    </r>
  </si>
  <si>
    <r>
      <rPr>
        <sz val="12"/>
        <rFont val="Symbol"/>
        <family val="1"/>
        <charset val="2"/>
      </rPr>
      <t>S</t>
    </r>
    <r>
      <rPr>
        <sz val="12"/>
        <rFont val="Arial"/>
        <family val="2"/>
      </rPr>
      <t>Emergy</t>
    </r>
    <r>
      <rPr>
        <vertAlign val="superscript"/>
        <sz val="12"/>
        <rFont val="Arial"/>
        <family val="2"/>
      </rPr>
      <t>•</t>
    </r>
    <r>
      <rPr>
        <vertAlign val="subscript"/>
        <sz val="12"/>
        <rFont val="Arial"/>
        <family val="2"/>
      </rPr>
      <t>in renew.</t>
    </r>
    <r>
      <rPr>
        <sz val="12"/>
        <rFont val="Arial"/>
        <family val="2"/>
      </rPr>
      <t>, MseJ/h</t>
    </r>
  </si>
  <si>
    <r>
      <rPr>
        <sz val="12"/>
        <rFont val="Symbol"/>
        <family val="1"/>
        <charset val="2"/>
      </rPr>
      <t>S</t>
    </r>
    <r>
      <rPr>
        <sz val="12"/>
        <rFont val="Arial"/>
        <family val="2"/>
      </rPr>
      <t>Emergy</t>
    </r>
    <r>
      <rPr>
        <vertAlign val="superscript"/>
        <sz val="12"/>
        <rFont val="Arial"/>
        <family val="2"/>
      </rPr>
      <t>•</t>
    </r>
    <r>
      <rPr>
        <vertAlign val="subscript"/>
        <sz val="12"/>
        <rFont val="Arial"/>
        <family val="2"/>
      </rPr>
      <t>in nonrenew.</t>
    </r>
    <r>
      <rPr>
        <sz val="12"/>
        <rFont val="Arial"/>
        <family val="2"/>
      </rPr>
      <t>, MseJ/h</t>
    </r>
  </si>
  <si>
    <t>Molecular Formula</t>
  </si>
  <si>
    <t>Compound Name</t>
  </si>
  <si>
    <t>Fractional Conversion</t>
  </si>
  <si>
    <t>Input Streams</t>
  </si>
  <si>
    <r>
      <rPr>
        <i/>
        <sz val="14"/>
        <color theme="1"/>
        <rFont val="Times New Roman"/>
        <family val="1"/>
      </rPr>
      <t>T</t>
    </r>
    <r>
      <rPr>
        <vertAlign val="subscript"/>
        <sz val="14"/>
        <color theme="1"/>
        <rFont val="Times New Roman"/>
        <family val="1"/>
      </rPr>
      <t>m</t>
    </r>
    <r>
      <rPr>
        <sz val="14"/>
        <color theme="1"/>
        <rFont val="Times New Roman"/>
        <family val="1"/>
      </rPr>
      <t>°, °C</t>
    </r>
  </si>
  <si>
    <r>
      <t>T</t>
    </r>
    <r>
      <rPr>
        <vertAlign val="subscript"/>
        <sz val="14"/>
        <color theme="1"/>
        <rFont val="Times New Roman"/>
        <family val="1"/>
      </rPr>
      <t>flash</t>
    </r>
    <r>
      <rPr>
        <sz val="14"/>
        <color theme="1"/>
        <rFont val="Times New Roman"/>
        <family val="1"/>
      </rPr>
      <t>, °C</t>
    </r>
  </si>
  <si>
    <r>
      <rPr>
        <i/>
        <sz val="14"/>
        <color theme="1"/>
        <rFont val="Times New Roman"/>
        <family val="1"/>
      </rPr>
      <t>T</t>
    </r>
    <r>
      <rPr>
        <vertAlign val="subscript"/>
        <sz val="14"/>
        <color theme="1"/>
        <rFont val="Times New Roman"/>
        <family val="1"/>
      </rPr>
      <t>b</t>
    </r>
    <r>
      <rPr>
        <sz val="14"/>
        <color theme="1"/>
        <rFont val="Times New Roman"/>
        <family val="1"/>
      </rPr>
      <t>°, °C</t>
    </r>
  </si>
  <si>
    <r>
      <rPr>
        <sz val="14"/>
        <color theme="1"/>
        <rFont val="Symbol"/>
        <family val="1"/>
        <charset val="2"/>
      </rPr>
      <t>D</t>
    </r>
    <r>
      <rPr>
        <sz val="14"/>
        <color theme="1"/>
        <rFont val="Times New Roman"/>
        <family val="1"/>
      </rPr>
      <t>Hdecom, kJ/kmol (+)</t>
    </r>
  </si>
  <si>
    <r>
      <rPr>
        <sz val="14"/>
        <color theme="1"/>
        <rFont val="Symbol"/>
        <family val="1"/>
        <charset val="2"/>
      </rPr>
      <t>r°</t>
    </r>
    <r>
      <rPr>
        <sz val="14"/>
        <color theme="1"/>
        <rFont val="Times New Roman"/>
        <family val="1"/>
      </rPr>
      <t>, kg/m^3</t>
    </r>
  </si>
  <si>
    <r>
      <t>Potency Factor, kg benzene/kg i</t>
    </r>
    <r>
      <rPr>
        <i/>
        <sz val="14"/>
        <color theme="1"/>
        <rFont val="Times New Roman"/>
        <family val="1"/>
      </rPr>
      <t xml:space="preserve"> </t>
    </r>
    <r>
      <rPr>
        <sz val="14"/>
        <color theme="1"/>
        <rFont val="Times New Roman"/>
        <family val="1"/>
      </rPr>
      <t xml:space="preserve">(0 if it is not found) </t>
    </r>
  </si>
  <si>
    <r>
      <t>"-</t>
    </r>
    <r>
      <rPr>
        <sz val="14"/>
        <color theme="1"/>
        <rFont val="Symbol"/>
        <family val="1"/>
        <charset val="2"/>
      </rPr>
      <t>D</t>
    </r>
    <r>
      <rPr>
        <sz val="14"/>
        <color theme="1"/>
        <rFont val="Times New Roman"/>
        <family val="1"/>
      </rPr>
      <t>Hc°, kJ/kg"</t>
    </r>
  </si>
  <si>
    <t>Cp°, kJ/kg/K</t>
  </si>
  <si>
    <r>
      <rPr>
        <sz val="14"/>
        <color theme="1"/>
        <rFont val="Symbol"/>
        <family val="1"/>
        <charset val="2"/>
      </rPr>
      <t>D</t>
    </r>
    <r>
      <rPr>
        <sz val="14"/>
        <color theme="1"/>
        <rFont val="Times New Roman"/>
        <family val="1"/>
      </rPr>
      <t>H°v, kJ/kg</t>
    </r>
  </si>
  <si>
    <r>
      <rPr>
        <i/>
        <sz val="14"/>
        <color theme="1"/>
        <rFont val="Times New Roman"/>
        <family val="1"/>
      </rPr>
      <t>P°</t>
    </r>
    <r>
      <rPr>
        <sz val="14"/>
        <color theme="1"/>
        <rFont val="Times New Roman"/>
        <family val="1"/>
      </rPr>
      <t>v, bar</t>
    </r>
  </si>
  <si>
    <t># of salt-forming ions released/compound</t>
  </si>
  <si>
    <t>MW salt-forming ions moles eq, kg/kmol</t>
  </si>
  <si>
    <t>Equip. #</t>
  </si>
  <si>
    <t>Distillation Column Summary</t>
  </si>
  <si>
    <t>Condenser duty,  MJ/h</t>
  </si>
  <si>
    <t>Reboiler duty,  MJ/h</t>
  </si>
  <si>
    <t>Liquid water type utility in situ produced</t>
  </si>
  <si>
    <t xml:space="preserve">By: </t>
  </si>
  <si>
    <t>Raymond L. Smith</t>
  </si>
  <si>
    <t>Michael A. Gonzalez</t>
  </si>
  <si>
    <t>Dermal and eye irritation to humans and animals in terms of a hypothetic volume of irritating substances in the workplace per mass of valuable product.</t>
  </si>
  <si>
    <t>This is expressed as a volume of air polluted to a workplace threshold value per unit mass of valuable product. Considered aspects: carcinogenicity, mutagenicity, reproductive toxicity, sensitization immunotoxicity, other specific (liver, lung, neural) toxicity, and odor to humans and animals.</t>
  </si>
  <si>
    <t>FTA is the probability of system failure if the reliability of the individual components is known.</t>
  </si>
  <si>
    <r>
      <t>It is defined as the total mass release of toxics recognized by regulatory systems (</t>
    </r>
    <r>
      <rPr>
        <i/>
        <sz val="12"/>
        <rFont val="Calibri"/>
        <family val="2"/>
        <scheme val="minor"/>
      </rPr>
      <t>TRI</t>
    </r>
    <r>
      <rPr>
        <sz val="12"/>
        <rFont val="Calibri"/>
        <family val="2"/>
        <scheme val="minor"/>
      </rPr>
      <t xml:space="preserve">) per mass of product or Sales revenue or Value-added. Liquid and gas releases are included, under each </t>
    </r>
    <r>
      <rPr>
        <i/>
        <sz val="12"/>
        <rFont val="Calibri"/>
        <family val="2"/>
        <scheme val="minor"/>
      </rPr>
      <t>TRI</t>
    </r>
    <r>
      <rPr>
        <sz val="12"/>
        <rFont val="Calibri"/>
        <family val="2"/>
        <scheme val="minor"/>
      </rPr>
      <t xml:space="preserve"> category.</t>
    </r>
  </si>
  <si>
    <t>The aquatic impact of this subcategory is based on the reciprocal of the Environmental Quality Standard (EQS) of the substance divided by the reciprocal of the EQS of formaldehyde.</t>
  </si>
  <si>
    <t xml:space="preserve">EYR is the ratio of the emergy value from the products to the total emergy consumed by the process. </t>
  </si>
  <si>
    <t>This is the total mass of releases as solid state per unit mass of desired or valuable products</t>
  </si>
  <si>
    <t xml:space="preserve">This is the total mass of releases as solid state that can be recovered from waste streams and recycled to the process. </t>
  </si>
  <si>
    <t>This is the amount produced hazardous waste per unit mass of valuable product.</t>
  </si>
  <si>
    <t>Measurement of the net fuel-energy consumed to provide the heat and the power requirements for the process per unit of sales revenue or value added</t>
  </si>
  <si>
    <t xml:space="preserve">This is the net amount of energy required by the waste process unit per mass of product. </t>
  </si>
  <si>
    <t>Time required, after start-up, to recover the fixed capital investment, FCI, required for the project, with all cash flows discounted back to time zero.  The project with the shortest discounted payback period is the most desirable.</t>
  </si>
  <si>
    <r>
      <t>DCFROR</t>
    </r>
    <r>
      <rPr>
        <sz val="12"/>
        <rFont val="Times New Roman"/>
        <family val="1"/>
      </rPr>
      <t xml:space="preserve"> and </t>
    </r>
    <r>
      <rPr>
        <i/>
        <sz val="12"/>
        <rFont val="Times New Roman"/>
        <family val="1"/>
      </rPr>
      <t>NPV</t>
    </r>
    <r>
      <rPr>
        <sz val="12"/>
        <rFont val="Times New Roman"/>
        <family val="1"/>
      </rPr>
      <t xml:space="preserve"> can provide more appropriate profitability measurement in design alternative evaluation, both economics indicators are used together. The </t>
    </r>
    <r>
      <rPr>
        <i/>
        <sz val="12"/>
        <rFont val="Times New Roman"/>
        <family val="1"/>
      </rPr>
      <t>DCFROR</t>
    </r>
    <r>
      <rPr>
        <sz val="12"/>
        <rFont val="Times New Roman"/>
        <family val="1"/>
      </rPr>
      <t xml:space="preserve"> shows the highest, after-tax interest or discount rate at which the project can just break even. Also, it is the discount rate at which </t>
    </r>
    <r>
      <rPr>
        <i/>
        <sz val="12"/>
        <rFont val="Times New Roman"/>
        <family val="1"/>
      </rPr>
      <t>NPV</t>
    </r>
    <r>
      <rPr>
        <sz val="12"/>
        <rFont val="Times New Roman"/>
        <family val="1"/>
      </rPr>
      <t xml:space="preserve"> is equal to zero (</t>
    </r>
    <r>
      <rPr>
        <i/>
        <sz val="12"/>
        <rFont val="Times New Roman"/>
        <family val="1"/>
      </rPr>
      <t>NPV</t>
    </r>
    <r>
      <rPr>
        <sz val="12"/>
        <rFont val="Times New Roman"/>
        <family val="1"/>
      </rPr>
      <t xml:space="preserve"> eq. is equal to zero) and solving for the discount rate satisfying the resulting equation, </t>
    </r>
    <r>
      <rPr>
        <i/>
        <sz val="12"/>
        <rFont val="Times New Roman"/>
        <family val="1"/>
      </rPr>
      <t>d</t>
    </r>
    <r>
      <rPr>
        <sz val="12"/>
        <rFont val="Times New Roman"/>
        <family val="1"/>
      </rPr>
      <t xml:space="preserve">ROR. At that point, the values of interest, </t>
    </r>
    <r>
      <rPr>
        <i/>
        <sz val="12"/>
        <rFont val="Times New Roman"/>
        <family val="1"/>
      </rPr>
      <t>d</t>
    </r>
    <r>
      <rPr>
        <sz val="12"/>
        <rFont val="Times New Roman"/>
        <family val="1"/>
      </rPr>
      <t>, or here denoted as</t>
    </r>
    <r>
      <rPr>
        <i/>
        <sz val="12"/>
        <rFont val="Times New Roman"/>
        <family val="1"/>
      </rPr>
      <t xml:space="preserve"> d</t>
    </r>
    <r>
      <rPr>
        <sz val="12"/>
        <rFont val="Times New Roman"/>
        <family val="1"/>
      </rPr>
      <t xml:space="preserve">ROR, can be readily determined. This so called internal rate interest is usually determined by corporate management and represents the minimum acceptable rate of return that the company will accept for any new investment. A project that yields </t>
    </r>
    <r>
      <rPr>
        <i/>
        <sz val="12"/>
        <rFont val="Times New Roman"/>
        <family val="1"/>
      </rPr>
      <t>DCFOR</t>
    </r>
    <r>
      <rPr>
        <sz val="12"/>
        <rFont val="Times New Roman"/>
        <family val="1"/>
      </rPr>
      <t xml:space="preserve"> greater than the internal interest rate (</t>
    </r>
    <r>
      <rPr>
        <i/>
        <sz val="12"/>
        <rFont val="Times New Roman"/>
        <family val="1"/>
      </rPr>
      <t>d</t>
    </r>
    <r>
      <rPr>
        <sz val="12"/>
        <rFont val="Times New Roman"/>
        <family val="1"/>
      </rPr>
      <t>) is considered to be profitable.</t>
    </r>
  </si>
  <si>
    <t>The EP indicator can be a good approximated cost model that fits into the hierarchical conceptual process design stages. Mainly, when the input/output structure of the flowsheet accounted. The calculation shown here is set for the evaluation at the end of the first year that the plant is operating (second year).</t>
  </si>
  <si>
    <r>
      <rPr>
        <sz val="10"/>
        <rFont val="Times New Roman"/>
        <family val="1"/>
      </rPr>
      <t xml:space="preserve">PBP is the time required, after start-up to recover the fixed capital invested, FCI, for the project. A more profitable project has a shorter payback period. The </t>
    </r>
    <r>
      <rPr>
        <i/>
        <sz val="10"/>
        <rFont val="Times New Roman"/>
        <family val="1"/>
      </rPr>
      <t>FCI</t>
    </r>
    <r>
      <rPr>
        <sz val="10"/>
        <rFont val="Times New Roman"/>
        <family val="1"/>
      </rPr>
      <t xml:space="preserve"> and the annual cash flow are needed to compute the PBP.</t>
    </r>
  </si>
  <si>
    <t>Absolute value, M$</t>
  </si>
  <si>
    <t>Best case, M$</t>
  </si>
  <si>
    <t>Worst case, M$</t>
  </si>
  <si>
    <t>Net return</t>
  </si>
  <si>
    <t xml:space="preserve">Production cost can be an economic indicator if the process equipment are not sized, however all mass and energy balances are fully specified. </t>
  </si>
  <si>
    <t>These are the costs related to the water demand costs during the day-to-day operation of a manufacturing plant per unit of total consumed water.</t>
  </si>
  <si>
    <t>These are the costs related to the water demand costs during the day-to-day operation of a manufacturing plant: drinking water, process use water, boiler feed water, deionized water, etc.</t>
  </si>
  <si>
    <t>This is the average cost related to the utility energy demand costs during the day-to-day operation of a manufacturing plant per unit of consumed energy as equivalent primary energy source.</t>
  </si>
  <si>
    <t>These are the costs related to the handle and disposal of solid waste produced during the day-to-day operation of a manufacturing plant: external waste removal fees, internal storage, personnel, waste treatment, and transportation costs.</t>
  </si>
  <si>
    <t>These are the costs related to the handle of liquid waste produced during the day-to-day operation of a manufacturing plant: external waste removal fees, internal storage, personnel, waste treatment, and transportation costs.</t>
  </si>
  <si>
    <t>These are the costs related to the handle of liquid waste produced during the day-to-day operation of a manufacturing plant per value unit of total production cost.</t>
  </si>
  <si>
    <t>These are the costs related to the handle of air releases produced during the day-to-day operation of a manufacturing plant: external waste removal fees, internal storage, personnel, waste treatment, and transportation costs.</t>
  </si>
  <si>
    <t>These are the costs related to the purification of air releases produced during the day-to-day operation of a manufacturing plant per value unit of total production cost.</t>
  </si>
  <si>
    <t>7. MI</t>
  </si>
  <si>
    <t>MIv is defined as the ratio between the total mass fed to the unit over the sales revenue of valuable product.</t>
  </si>
  <si>
    <r>
      <t>Gerardo J. Ruiz-Mercado</t>
    </r>
    <r>
      <rPr>
        <b/>
        <vertAlign val="superscript"/>
        <sz val="36"/>
        <color theme="1"/>
        <rFont val="Arial"/>
        <family val="2"/>
      </rPr>
      <t>1</t>
    </r>
  </si>
  <si>
    <r>
      <rPr>
        <vertAlign val="superscript"/>
        <sz val="19"/>
        <color theme="1"/>
        <rFont val="Arial"/>
        <family val="2"/>
      </rPr>
      <t>1</t>
    </r>
    <r>
      <rPr>
        <sz val="19"/>
        <color theme="1"/>
        <rFont val="Arial"/>
        <family val="2"/>
      </rPr>
      <t xml:space="preserve"> Author to whom correspondence should be addressed; E-Mail: ruiz-mercado.gerardo@epa.gov; Tel.: 513-569-7030; Fax: 513-569-7111</t>
    </r>
  </si>
  <si>
    <t>DATA ENTRY:</t>
  </si>
  <si>
    <t>Compound Properties</t>
  </si>
  <si>
    <t xml:space="preserve"> Utility costs and Renewability</t>
  </si>
  <si>
    <t>DATA ENTRY: Equipment Summary</t>
  </si>
  <si>
    <t>Miscellaneous Data Entry: Chemical Exposure Index (CEI)</t>
  </si>
  <si>
    <t>Miscellaneous Data Entries: Water, Costs, FTA</t>
  </si>
  <si>
    <t>Chemical Exposure Index, CEI</t>
  </si>
  <si>
    <t>Vapor Pressure at Pool Temperature, kPa</t>
  </si>
  <si>
    <t>Efficiency Indicators</t>
  </si>
  <si>
    <t>Environmental Indicators</t>
  </si>
  <si>
    <t>Energy Indicators</t>
  </si>
  <si>
    <t>Economic Indicators</t>
  </si>
  <si>
    <t>LR flow rate, kg/h</t>
  </si>
  <si>
    <t>Main reaction reagent flow rate, kg/h</t>
  </si>
  <si>
    <t>Total global product flow rate (pure), kg/h</t>
  </si>
  <si>
    <t>Total reagent flow rate, kg/h</t>
  </si>
  <si>
    <t>Total product streams flow rate, kg/h</t>
  </si>
  <si>
    <t>Effective mass yield, EMY</t>
  </si>
  <si>
    <t>Main global product flow rate, kg/h</t>
  </si>
  <si>
    <t>Recyclable, yes=1 &amp; no=0</t>
  </si>
  <si>
    <t>Main global product flow rate (pure), kg/h</t>
  </si>
  <si>
    <t>Total input of  solvents and catalysts, kg/h</t>
  </si>
  <si>
    <t>Total output of  solvents and catalysts, kg/h</t>
  </si>
  <si>
    <r>
      <t>Recyclable material flow rates, mass inputs, m</t>
    </r>
    <r>
      <rPr>
        <vertAlign val="superscript"/>
        <sz val="12"/>
        <rFont val="Arial"/>
        <family val="2"/>
      </rPr>
      <t>•</t>
    </r>
    <r>
      <rPr>
        <vertAlign val="superscript"/>
        <sz val="12"/>
        <rFont val="Times New Roman"/>
        <family val="1"/>
      </rPr>
      <t>in</t>
    </r>
    <r>
      <rPr>
        <i/>
        <vertAlign val="subscript"/>
        <sz val="12"/>
        <rFont val="Times New Roman"/>
        <family val="1"/>
      </rPr>
      <t>i</t>
    </r>
  </si>
  <si>
    <t>This is the mass fraction of product from recyclable material input to the process or process unit.</t>
  </si>
  <si>
    <r>
      <t>Recyclable material flow rates, product flow, m</t>
    </r>
    <r>
      <rPr>
        <vertAlign val="superscript"/>
        <sz val="12"/>
        <rFont val="Arial"/>
        <family val="2"/>
      </rPr>
      <t>•</t>
    </r>
    <r>
      <rPr>
        <vertAlign val="subscript"/>
        <sz val="12"/>
        <rFont val="Times New Roman"/>
        <family val="1"/>
      </rPr>
      <t>product</t>
    </r>
  </si>
  <si>
    <r>
      <t>Recyclable product flow rates, product flow, m</t>
    </r>
    <r>
      <rPr>
        <vertAlign val="superscript"/>
        <sz val="12"/>
        <rFont val="Arial"/>
        <family val="2"/>
      </rPr>
      <t>•</t>
    </r>
    <r>
      <rPr>
        <vertAlign val="subscript"/>
        <sz val="12"/>
        <rFont val="Times New Roman"/>
        <family val="1"/>
      </rPr>
      <t>product</t>
    </r>
  </si>
  <si>
    <t>It is expressed as volume of fresh water , excluding rainwater, consumed per unit of product.</t>
  </si>
  <si>
    <t>Water flow inputs, recovered water flow rates, product flow rate</t>
  </si>
  <si>
    <r>
      <t>e</t>
    </r>
    <r>
      <rPr>
        <sz val="12"/>
        <rFont val="Times New Roman"/>
        <family val="1"/>
      </rPr>
      <t xml:space="preserve"> is defined as the ratio between the real </t>
    </r>
    <r>
      <rPr>
        <sz val="12"/>
        <rFont val="Symbol"/>
        <family val="1"/>
        <charset val="2"/>
      </rPr>
      <t>e</t>
    </r>
    <r>
      <rPr>
        <sz val="12"/>
        <rFont val="Times New Roman"/>
        <family val="1"/>
      </rPr>
      <t xml:space="preserve"> (mass of desired product over the mass of the limiting reagent) over the theoretical </t>
    </r>
    <r>
      <rPr>
        <sz val="12"/>
        <rFont val="Symbol"/>
        <family val="1"/>
        <charset val="2"/>
      </rPr>
      <t>e</t>
    </r>
    <r>
      <rPr>
        <sz val="12"/>
        <rFont val="Times New Roman"/>
        <family val="1"/>
      </rPr>
      <t xml:space="preserve"> (theoretical product flow over the mass of the limiting reagent).</t>
    </r>
  </si>
  <si>
    <r>
      <t>AE</t>
    </r>
    <r>
      <rPr>
        <sz val="12"/>
        <rFont val="Times New Roman"/>
        <family val="1"/>
      </rPr>
      <t xml:space="preserve"> is defined as the ratio between the summation of the molecular weight of reactants over the molecular weight of the desired product times their respective stoichiometric coefficients.</t>
    </r>
  </si>
  <si>
    <r>
      <t>AAE</t>
    </r>
    <r>
      <rPr>
        <sz val="12"/>
        <rFont val="Times New Roman"/>
        <family val="1"/>
      </rPr>
      <t xml:space="preserve"> is defined as the current atom economy considering the reaction yield . This is multiplying </t>
    </r>
    <r>
      <rPr>
        <i/>
        <sz val="12"/>
        <rFont val="Times New Roman"/>
        <family val="1"/>
      </rPr>
      <t>AE</t>
    </r>
    <r>
      <rPr>
        <sz val="12"/>
        <rFont val="Times New Roman"/>
        <family val="1"/>
      </rPr>
      <t xml:space="preserve"> times the fractional </t>
    </r>
    <r>
      <rPr>
        <sz val="12"/>
        <rFont val="Symbol"/>
        <family val="1"/>
        <charset val="2"/>
      </rPr>
      <t>e</t>
    </r>
    <r>
      <rPr>
        <sz val="12"/>
        <rFont val="Times New Roman"/>
        <family val="1"/>
      </rPr>
      <t>.</t>
    </r>
  </si>
  <si>
    <r>
      <t>SF</t>
    </r>
    <r>
      <rPr>
        <sz val="12"/>
        <rFont val="Times New Roman"/>
        <family val="1"/>
      </rPr>
      <t xml:space="preserve"> is a metric used to quantify the amount of reagent used in excess, it can be categorized as a factor to measure the deviation of a chemical reaction efficiency from a theoretical 100% efficiency symbolized by stoichiometric mass flow relationships.</t>
    </r>
  </si>
  <si>
    <r>
      <t>RME</t>
    </r>
    <r>
      <rPr>
        <sz val="12"/>
        <rFont val="Times New Roman"/>
        <family val="1"/>
      </rPr>
      <t xml:space="preserve"> is the % of the reactants mass remaining in the desired product.</t>
    </r>
  </si>
  <si>
    <r>
      <t>MI</t>
    </r>
    <r>
      <rPr>
        <sz val="12"/>
        <rFont val="Times New Roman"/>
        <family val="1"/>
      </rPr>
      <t xml:space="preserve"> is defined as the ratio between the total mass fed to the unit over the mass of the desired product.</t>
    </r>
  </si>
  <si>
    <r>
      <t>E</t>
    </r>
    <r>
      <rPr>
        <sz val="12"/>
        <rFont val="Times New Roman"/>
        <family val="1"/>
      </rPr>
      <t xml:space="preserve"> factor is the ratio of the mass of waste per unit of mass of the desired product.</t>
    </r>
  </si>
  <si>
    <r>
      <t>E</t>
    </r>
    <r>
      <rPr>
        <vertAlign val="subscript"/>
        <sz val="12"/>
        <rFont val="Times New Roman"/>
        <family val="1"/>
      </rPr>
      <t>mv</t>
    </r>
    <r>
      <rPr>
        <sz val="12"/>
        <rFont val="Times New Roman"/>
        <family val="1"/>
      </rPr>
      <t xml:space="preserve"> factor is the ratio of the MW of waste per unit of MW of the desired product.</t>
    </r>
  </si>
  <si>
    <r>
      <rPr>
        <sz val="12"/>
        <rFont val="Times New Roman"/>
        <family val="1"/>
      </rPr>
      <t>EMY is defined as the percentage of the mass of desired product relative to the mass of all non-benign materials used in its synthesis. Some substances such as byproducts, reagents or solvents that have no known environmental risk associated with them (i.e., water, low-concentration saline, dilute ethanol, autoclaved cell mass) are considered benign materials. If these ‘benign’ materials do not enter into the calculations, subjectively EMY is equal to 1/</t>
    </r>
    <r>
      <rPr>
        <i/>
        <sz val="12"/>
        <rFont val="Times New Roman"/>
        <family val="1"/>
      </rPr>
      <t>E</t>
    </r>
    <r>
      <rPr>
        <sz val="12"/>
        <rFont val="Times New Roman"/>
        <family val="1"/>
      </rPr>
      <t>.</t>
    </r>
  </si>
  <si>
    <r>
      <t>f</t>
    </r>
    <r>
      <rPr>
        <sz val="12"/>
        <rFont val="Times New Roman"/>
        <family val="1"/>
      </rPr>
      <t xml:space="preserve"> is a material efficiency metric indicating the amount of solvents and materials, and mass of catalysts employed on reaction and post reaction unit operations per mass of collected desired product. </t>
    </r>
    <r>
      <rPr>
        <i/>
        <sz val="12"/>
        <rFont val="Times New Roman"/>
        <family val="1"/>
      </rPr>
      <t>f</t>
    </r>
    <r>
      <rPr>
        <sz val="12"/>
        <rFont val="Times New Roman"/>
        <family val="1"/>
      </rPr>
      <t xml:space="preserve">=0 if all purification, solvents, and catalyst materials are recovered, recycled, and/or eliminated, otherwise, </t>
    </r>
    <r>
      <rPr>
        <i/>
        <sz val="12"/>
        <rFont val="Times New Roman"/>
        <family val="1"/>
      </rPr>
      <t>f</t>
    </r>
    <r>
      <rPr>
        <sz val="12"/>
        <rFont val="Times New Roman"/>
        <family val="1"/>
      </rPr>
      <t xml:space="preserve"> &gt; 0.</t>
    </r>
  </si>
  <si>
    <r>
      <t xml:space="preserve">It represents the ratio of the value of </t>
    </r>
    <r>
      <rPr>
        <i/>
        <sz val="12"/>
        <rFont val="Times New Roman"/>
        <family val="1"/>
      </rPr>
      <t>YM</t>
    </r>
    <r>
      <rPr>
        <sz val="12"/>
        <rFont val="Times New Roman"/>
        <family val="1"/>
      </rPr>
      <t xml:space="preserve"> to the quantity of resources needed to convert the raw materials into the product (</t>
    </r>
    <r>
      <rPr>
        <i/>
        <sz val="12"/>
        <rFont val="Times New Roman"/>
        <family val="1"/>
      </rPr>
      <t>R</t>
    </r>
    <r>
      <rPr>
        <sz val="12"/>
        <rFont val="Times New Roman"/>
        <family val="1"/>
      </rPr>
      <t>proc</t>
    </r>
    <r>
      <rPr>
        <i/>
        <sz val="12"/>
        <rFont val="Times New Roman"/>
        <family val="1"/>
      </rPr>
      <t>M</t>
    </r>
    <r>
      <rPr>
        <sz val="12"/>
        <rFont val="Times New Roman"/>
        <family val="1"/>
      </rPr>
      <t>).</t>
    </r>
  </si>
  <si>
    <r>
      <t>RI</t>
    </r>
    <r>
      <rPr>
        <sz val="12"/>
        <rFont val="Times New Roman"/>
        <family val="1"/>
      </rPr>
      <t>M is the ratio of the consumption of renewable resources to total consumption. It lies between 0 and 1.</t>
    </r>
  </si>
  <si>
    <r>
      <t>BF</t>
    </r>
    <r>
      <rPr>
        <sz val="12"/>
        <rFont val="Times New Roman"/>
        <family val="1"/>
      </rPr>
      <t>M is the total mass output of the process divided by the non-renewable mass input.</t>
    </r>
  </si>
  <si>
    <r>
      <t>WI</t>
    </r>
    <r>
      <rPr>
        <sz val="12"/>
        <rFont val="Times New Roman"/>
        <family val="1"/>
      </rPr>
      <t>= 
(Volume of fresh water used) / (Sales revenue or Value-added)</t>
    </r>
  </si>
  <si>
    <t>Reaction yield, e</t>
  </si>
  <si>
    <t>Actual Atom Economy, AAE</t>
  </si>
  <si>
    <t>Best case, manual entry</t>
  </si>
  <si>
    <t>Worst case, manual entry</t>
  </si>
  <si>
    <r>
      <t xml:space="preserve">1. </t>
    </r>
    <r>
      <rPr>
        <i/>
        <sz val="16"/>
        <rFont val="Times New Roman"/>
        <family val="1"/>
      </rPr>
      <t>ε</t>
    </r>
  </si>
  <si>
    <r>
      <t>2. AE</t>
    </r>
    <r>
      <rPr>
        <i/>
        <vertAlign val="subscript"/>
        <sz val="16"/>
        <color theme="1"/>
        <rFont val="Times New Roman"/>
        <family val="1"/>
      </rPr>
      <t>i</t>
    </r>
  </si>
  <si>
    <r>
      <t xml:space="preserve">6. </t>
    </r>
    <r>
      <rPr>
        <i/>
        <sz val="16"/>
        <color theme="1"/>
        <rFont val="Times New Roman"/>
        <family val="1"/>
      </rPr>
      <t>m</t>
    </r>
    <r>
      <rPr>
        <vertAlign val="subscript"/>
        <sz val="16"/>
        <color theme="1"/>
        <rFont val="Times New Roman"/>
        <family val="1"/>
      </rPr>
      <t>mat tot</t>
    </r>
  </si>
  <si>
    <r>
      <t>8. MI</t>
    </r>
    <r>
      <rPr>
        <vertAlign val="subscript"/>
        <sz val="16"/>
        <color theme="1"/>
        <rFont val="Times New Roman"/>
        <family val="1"/>
      </rPr>
      <t>v</t>
    </r>
  </si>
  <si>
    <r>
      <t xml:space="preserve">10. </t>
    </r>
    <r>
      <rPr>
        <i/>
        <sz val="16"/>
        <color theme="1"/>
        <rFont val="Times New Roman"/>
        <family val="1"/>
      </rPr>
      <t>E</t>
    </r>
  </si>
  <si>
    <r>
      <t>12. E</t>
    </r>
    <r>
      <rPr>
        <vertAlign val="subscript"/>
        <sz val="16"/>
        <color theme="1"/>
        <rFont val="Times New Roman"/>
        <family val="1"/>
      </rPr>
      <t>mw</t>
    </r>
  </si>
  <si>
    <r>
      <t xml:space="preserve">16. </t>
    </r>
    <r>
      <rPr>
        <i/>
        <sz val="16"/>
        <color theme="1"/>
        <rFont val="Times New Roman"/>
        <family val="1"/>
      </rPr>
      <t>f</t>
    </r>
  </si>
  <si>
    <r>
      <t>17. pROI</t>
    </r>
    <r>
      <rPr>
        <vertAlign val="subscript"/>
        <sz val="16"/>
        <color theme="1"/>
        <rFont val="Times New Roman"/>
        <family val="1"/>
      </rPr>
      <t>M</t>
    </r>
  </si>
  <si>
    <r>
      <t>18. RI</t>
    </r>
    <r>
      <rPr>
        <vertAlign val="subscript"/>
        <sz val="16"/>
        <color theme="1"/>
        <rFont val="Times New Roman"/>
        <family val="1"/>
      </rPr>
      <t>M</t>
    </r>
  </si>
  <si>
    <r>
      <t>19. BF</t>
    </r>
    <r>
      <rPr>
        <vertAlign val="subscript"/>
        <sz val="16"/>
        <color theme="1"/>
        <rFont val="Times New Roman"/>
        <family val="1"/>
      </rPr>
      <t>M</t>
    </r>
  </si>
  <si>
    <r>
      <t xml:space="preserve">20. </t>
    </r>
    <r>
      <rPr>
        <i/>
        <sz val="16"/>
        <rFont val="Times New Roman"/>
        <family val="1"/>
      </rPr>
      <t>w</t>
    </r>
    <r>
      <rPr>
        <vertAlign val="subscript"/>
        <sz val="16"/>
        <color theme="1"/>
        <rFont val="Times New Roman"/>
        <family val="1"/>
      </rPr>
      <t>recycl. mat.</t>
    </r>
  </si>
  <si>
    <r>
      <t xml:space="preserve">21. </t>
    </r>
    <r>
      <rPr>
        <i/>
        <sz val="16"/>
        <rFont val="Times New Roman"/>
        <family val="1"/>
      </rPr>
      <t>w</t>
    </r>
    <r>
      <rPr>
        <vertAlign val="subscript"/>
        <sz val="16"/>
        <color theme="1"/>
        <rFont val="Times New Roman"/>
        <family val="1"/>
      </rPr>
      <t>recycl. prod.</t>
    </r>
  </si>
  <si>
    <r>
      <t xml:space="preserve">22. </t>
    </r>
    <r>
      <rPr>
        <i/>
        <sz val="16"/>
        <rFont val="Times New Roman"/>
        <family val="1"/>
      </rPr>
      <t>w</t>
    </r>
    <r>
      <rPr>
        <vertAlign val="subscript"/>
        <sz val="16"/>
        <color theme="1"/>
        <rFont val="Times New Roman"/>
        <family val="1"/>
      </rPr>
      <t>recov. prod.</t>
    </r>
  </si>
  <si>
    <r>
      <t xml:space="preserve">23. </t>
    </r>
    <r>
      <rPr>
        <i/>
        <sz val="16"/>
        <color theme="1"/>
        <rFont val="Times New Roman"/>
        <family val="1"/>
      </rPr>
      <t>V</t>
    </r>
    <r>
      <rPr>
        <vertAlign val="subscript"/>
        <sz val="16"/>
        <color theme="1"/>
        <rFont val="Times New Roman"/>
        <family val="1"/>
      </rPr>
      <t>water, tot.</t>
    </r>
  </si>
  <si>
    <r>
      <rPr>
        <sz val="16"/>
        <color theme="1"/>
        <rFont val="Times New Roman"/>
        <family val="1"/>
      </rPr>
      <t>26.</t>
    </r>
    <r>
      <rPr>
        <vertAlign val="subscript"/>
        <sz val="16"/>
        <color theme="1"/>
        <rFont val="Times New Roman"/>
        <family val="1"/>
      </rPr>
      <t xml:space="preserve"> </t>
    </r>
    <r>
      <rPr>
        <sz val="16"/>
        <color theme="1"/>
        <rFont val="Symbol"/>
        <family val="1"/>
        <charset val="2"/>
      </rPr>
      <t>F</t>
    </r>
    <r>
      <rPr>
        <vertAlign val="subscript"/>
        <sz val="16"/>
        <color theme="1"/>
        <rFont val="Times New Roman"/>
        <family val="1"/>
      </rPr>
      <t>water type</t>
    </r>
  </si>
  <si>
    <r>
      <t xml:space="preserve">1. </t>
    </r>
    <r>
      <rPr>
        <i/>
        <sz val="16"/>
        <rFont val="Times New Roman"/>
        <family val="1"/>
      </rPr>
      <t>E</t>
    </r>
    <r>
      <rPr>
        <sz val="16"/>
        <rFont val="Times New Roman"/>
        <family val="1"/>
      </rPr>
      <t>total</t>
    </r>
  </si>
  <si>
    <r>
      <t xml:space="preserve">2. </t>
    </r>
    <r>
      <rPr>
        <i/>
        <sz val="16"/>
        <color indexed="8"/>
        <rFont val="Times New Roman"/>
        <family val="1"/>
      </rPr>
      <t>R</t>
    </r>
    <r>
      <rPr>
        <vertAlign val="subscript"/>
        <sz val="16"/>
        <color indexed="8"/>
        <rFont val="Times New Roman"/>
        <family val="1"/>
      </rPr>
      <t>SEI</t>
    </r>
  </si>
  <si>
    <r>
      <t xml:space="preserve">3. </t>
    </r>
    <r>
      <rPr>
        <i/>
        <sz val="16"/>
        <color indexed="8"/>
        <rFont val="Times New Roman"/>
        <family val="1"/>
      </rPr>
      <t>R</t>
    </r>
    <r>
      <rPr>
        <vertAlign val="subscript"/>
        <sz val="16"/>
        <color indexed="8"/>
        <rFont val="Times New Roman"/>
        <family val="1"/>
      </rPr>
      <t>EI</t>
    </r>
  </si>
  <si>
    <r>
      <t xml:space="preserve">6. </t>
    </r>
    <r>
      <rPr>
        <sz val="16"/>
        <rFont val="Calibri"/>
        <family val="2"/>
      </rPr>
      <t>η</t>
    </r>
    <r>
      <rPr>
        <vertAlign val="subscript"/>
        <sz val="16"/>
        <rFont val="Times New Roman"/>
        <family val="1"/>
      </rPr>
      <t>E</t>
    </r>
  </si>
  <si>
    <r>
      <t>7. RI</t>
    </r>
    <r>
      <rPr>
        <vertAlign val="subscript"/>
        <sz val="16"/>
        <rFont val="Times New Roman"/>
        <family val="1"/>
      </rPr>
      <t>E</t>
    </r>
  </si>
  <si>
    <r>
      <t>8. BF</t>
    </r>
    <r>
      <rPr>
        <vertAlign val="subscript"/>
        <sz val="16"/>
        <rFont val="Times New Roman"/>
        <family val="1"/>
      </rPr>
      <t>E</t>
    </r>
  </si>
  <si>
    <r>
      <t xml:space="preserve">9. </t>
    </r>
    <r>
      <rPr>
        <i/>
        <sz val="16"/>
        <color indexed="8"/>
        <rFont val="Times New Roman"/>
        <family val="1"/>
      </rPr>
      <t>E</t>
    </r>
    <r>
      <rPr>
        <vertAlign val="subscript"/>
        <sz val="16"/>
        <color indexed="8"/>
        <rFont val="Times New Roman"/>
        <family val="1"/>
      </rPr>
      <t>recycl.</t>
    </r>
  </si>
  <si>
    <r>
      <t>10. Ex</t>
    </r>
    <r>
      <rPr>
        <vertAlign val="subscript"/>
        <sz val="16"/>
        <color indexed="8"/>
        <rFont val="Times New Roman"/>
        <family val="1"/>
      </rPr>
      <t>total</t>
    </r>
  </si>
  <si>
    <r>
      <t xml:space="preserve">11. </t>
    </r>
    <r>
      <rPr>
        <i/>
        <sz val="16"/>
        <color indexed="8"/>
        <rFont val="Times New Roman"/>
        <family val="1"/>
      </rPr>
      <t>R</t>
    </r>
    <r>
      <rPr>
        <vertAlign val="subscript"/>
        <sz val="16"/>
        <color indexed="8"/>
        <rFont val="Times New Roman"/>
        <family val="1"/>
      </rPr>
      <t>Ex</t>
    </r>
  </si>
  <si>
    <r>
      <t xml:space="preserve">12. </t>
    </r>
    <r>
      <rPr>
        <sz val="16"/>
        <rFont val="Calibri"/>
        <family val="2"/>
      </rPr>
      <t>η</t>
    </r>
    <r>
      <rPr>
        <vertAlign val="subscript"/>
        <sz val="16"/>
        <rFont val="Times New Roman"/>
        <family val="1"/>
      </rPr>
      <t>Ex</t>
    </r>
  </si>
  <si>
    <r>
      <t>13. RI</t>
    </r>
    <r>
      <rPr>
        <vertAlign val="subscript"/>
        <sz val="16"/>
        <color indexed="8"/>
        <rFont val="Times New Roman"/>
        <family val="1"/>
      </rPr>
      <t>Ex</t>
    </r>
  </si>
  <si>
    <r>
      <t>14. BF</t>
    </r>
    <r>
      <rPr>
        <vertAlign val="subscript"/>
        <sz val="16"/>
        <color indexed="8"/>
        <rFont val="Times New Roman"/>
        <family val="1"/>
      </rPr>
      <t>Ex</t>
    </r>
  </si>
  <si>
    <t>Hazardous material list</t>
  </si>
  <si>
    <r>
      <t xml:space="preserve">Hazardous material list; </t>
    </r>
    <r>
      <rPr>
        <i/>
        <sz val="12"/>
        <rFont val="Times New Roman"/>
        <family val="1"/>
      </rPr>
      <t>m</t>
    </r>
    <r>
      <rPr>
        <sz val="12"/>
        <rFont val="Times New Roman"/>
        <family val="1"/>
      </rPr>
      <t>•</t>
    </r>
    <r>
      <rPr>
        <sz val="10"/>
        <rFont val="Times New Roman"/>
        <family val="1"/>
      </rPr>
      <t>in, i</t>
    </r>
    <r>
      <rPr>
        <sz val="12"/>
        <rFont val="Times New Roman"/>
        <family val="1"/>
      </rPr>
      <t xml:space="preserve">; </t>
    </r>
    <r>
      <rPr>
        <i/>
        <sz val="12"/>
        <rFont val="Times New Roman"/>
        <family val="1"/>
      </rPr>
      <t>m</t>
    </r>
    <r>
      <rPr>
        <sz val="12"/>
        <rFont val="Times New Roman"/>
        <family val="1"/>
      </rPr>
      <t>•</t>
    </r>
    <r>
      <rPr>
        <sz val="10"/>
        <rFont val="Times New Roman"/>
        <family val="1"/>
      </rPr>
      <t>product</t>
    </r>
  </si>
  <si>
    <r>
      <rPr>
        <b/>
        <sz val="12"/>
        <color theme="1"/>
        <rFont val="Symbol"/>
        <family val="1"/>
        <charset val="2"/>
      </rPr>
      <t>r°</t>
    </r>
    <r>
      <rPr>
        <b/>
        <sz val="12"/>
        <color theme="1"/>
        <rFont val="Arial"/>
        <family val="2"/>
      </rPr>
      <t>, kg/m^3</t>
    </r>
  </si>
  <si>
    <r>
      <t>volumetric flow, m</t>
    </r>
    <r>
      <rPr>
        <b/>
        <vertAlign val="superscript"/>
        <sz val="12"/>
        <rFont val="Arial"/>
        <family val="2"/>
      </rPr>
      <t>3</t>
    </r>
    <r>
      <rPr>
        <b/>
        <sz val="12"/>
        <rFont val="Arial"/>
        <family val="2"/>
      </rPr>
      <t>/h</t>
    </r>
  </si>
  <si>
    <t>TRI List; yes: 1, no: 0</t>
  </si>
  <si>
    <t>Hj•, MJ/h @ T, P</t>
  </si>
  <si>
    <t>Sj•, MJ/(h*K) @ T, P</t>
  </si>
  <si>
    <r>
      <t>Hj•, MJ/h @ T</t>
    </r>
    <r>
      <rPr>
        <vertAlign val="subscript"/>
        <sz val="12"/>
        <rFont val="Arial"/>
        <family val="2"/>
      </rPr>
      <t>0</t>
    </r>
    <r>
      <rPr>
        <sz val="12"/>
        <rFont val="Arial"/>
        <family val="2"/>
      </rPr>
      <t>, P</t>
    </r>
    <r>
      <rPr>
        <vertAlign val="subscript"/>
        <sz val="12"/>
        <rFont val="Arial"/>
        <family val="2"/>
      </rPr>
      <t>0</t>
    </r>
  </si>
  <si>
    <r>
      <t>Sj•, MJ/(h*K) @ T</t>
    </r>
    <r>
      <rPr>
        <vertAlign val="subscript"/>
        <sz val="12"/>
        <rFont val="Arial"/>
        <family val="2"/>
      </rPr>
      <t>0</t>
    </r>
    <r>
      <rPr>
        <sz val="12"/>
        <rFont val="Arial"/>
        <family val="2"/>
      </rPr>
      <t>, P</t>
    </r>
    <r>
      <rPr>
        <vertAlign val="subscript"/>
        <sz val="12"/>
        <rFont val="Arial"/>
        <family val="2"/>
      </rPr>
      <t>0</t>
    </r>
  </si>
  <si>
    <t>m, kg/h</t>
  </si>
  <si>
    <t>H°, MJ/kg, 1 atm &amp; 25 °C</t>
  </si>
  <si>
    <t>S°, MJ/(kg*K),      1 atm &amp; 25 °C</t>
  </si>
  <si>
    <r>
      <t xml:space="preserve">Potency Factor, kg benzene/kg </t>
    </r>
    <r>
      <rPr>
        <i/>
        <sz val="11"/>
        <rFont val="Calibri"/>
        <family val="2"/>
        <scheme val="minor"/>
      </rPr>
      <t>i</t>
    </r>
  </si>
  <si>
    <r>
      <t xml:space="preserve">Potency Factor, kg Ethylene/kg </t>
    </r>
    <r>
      <rPr>
        <i/>
        <sz val="11"/>
        <rFont val="Calibri"/>
        <family val="2"/>
        <scheme val="minor"/>
      </rPr>
      <t>i</t>
    </r>
  </si>
  <si>
    <r>
      <t xml:space="preserve">Potency Factor, kg SO2/kg </t>
    </r>
    <r>
      <rPr>
        <i/>
        <sz val="11"/>
        <rFont val="Calibri"/>
        <family val="2"/>
        <scheme val="minor"/>
      </rPr>
      <t>i</t>
    </r>
  </si>
  <si>
    <r>
      <t xml:space="preserve">Potency Factor, kg aquatic O2 demand/kg </t>
    </r>
    <r>
      <rPr>
        <i/>
        <sz val="11"/>
        <rFont val="Calibri"/>
        <family val="2"/>
        <scheme val="minor"/>
      </rPr>
      <t>i</t>
    </r>
  </si>
  <si>
    <r>
      <t xml:space="preserve">Potency Factor, kg formaldehyde eq./kg </t>
    </r>
    <r>
      <rPr>
        <i/>
        <sz val="11"/>
        <rFont val="Calibri"/>
        <family val="2"/>
        <scheme val="minor"/>
      </rPr>
      <t>i</t>
    </r>
  </si>
  <si>
    <r>
      <t xml:space="preserve">Potency Factor, kg Cu eq./kg </t>
    </r>
    <r>
      <rPr>
        <i/>
        <sz val="11"/>
        <rFont val="Calibri"/>
        <family val="2"/>
        <scheme val="minor"/>
      </rPr>
      <t>i</t>
    </r>
  </si>
  <si>
    <r>
      <t xml:space="preserve">Potency Factor, kg Phosphate eq./kg </t>
    </r>
    <r>
      <rPr>
        <i/>
        <sz val="11"/>
        <rFont val="Calibri"/>
        <family val="2"/>
        <scheme val="minor"/>
      </rPr>
      <t>i</t>
    </r>
  </si>
  <si>
    <t xml:space="preserve">NOx </t>
  </si>
  <si>
    <t xml:space="preserve">PO4 (III-) </t>
  </si>
  <si>
    <t>Emergy Transformity, MseJ/kg</t>
  </si>
  <si>
    <t>Potable (drinking) water, kg/h</t>
  </si>
  <si>
    <t>Output Process stream</t>
  </si>
  <si>
    <t>Main global product MW, kmol/kg</t>
  </si>
  <si>
    <t>OUTPUT STREAMS</t>
  </si>
  <si>
    <t>INPUT STREAMS</t>
  </si>
  <si>
    <r>
      <t>COM</t>
    </r>
    <r>
      <rPr>
        <vertAlign val="subscript"/>
        <sz val="12"/>
        <rFont val="Times New Roman"/>
        <family val="1"/>
      </rPr>
      <t>m</t>
    </r>
    <r>
      <rPr>
        <sz val="12"/>
        <rFont val="Times New Roman"/>
        <family val="1"/>
      </rPr>
      <t>, manufacturing cost after startup, $US/yr</t>
    </r>
  </si>
  <si>
    <t>0: Waste; 1: Product; 2: Feedstock; 3: Catalyst; 4: Global reagent/Solvent; 5: Other (drying agent, additive, solvent, washing agent, etc.)</t>
  </si>
  <si>
    <t>Stoichiometric coefficients (main global reaction)</t>
  </si>
  <si>
    <t>Mass flow inputs, kg/h:  Catalyst (3); Global reagent/Solvent (4, just the solvent amount); Other (5)</t>
  </si>
  <si>
    <t>Net output waste, kg/h:  Catalyst (3); Global reagent/Solvent (4, just the solvent amount); Other (5)</t>
  </si>
  <si>
    <t>Waste m•out, kg/h</t>
  </si>
  <si>
    <t>Reference Column number</t>
  </si>
  <si>
    <t>GREENSCOPE.xlsm Tool V1.2</t>
  </si>
  <si>
    <t>2.0</t>
  </si>
  <si>
    <t>1.0</t>
  </si>
  <si>
    <t>3.0</t>
  </si>
  <si>
    <t>4.0</t>
  </si>
  <si>
    <t>5.0</t>
  </si>
  <si>
    <r>
      <rPr>
        <sz val="20"/>
        <rFont val="Arial"/>
        <family val="2"/>
      </rPr>
      <t>5.1.</t>
    </r>
    <r>
      <rPr>
        <sz val="20"/>
        <color theme="1"/>
        <rFont val="Arial"/>
        <family val="2"/>
      </rPr>
      <t xml:space="preserve"> Mass Input-Output Summary and Categorization</t>
    </r>
  </si>
  <si>
    <t>5.2. Renewability, Recyclability, and Recovery</t>
  </si>
  <si>
    <t>5.3. Solid State</t>
  </si>
  <si>
    <t>5.4. Chemical Safety, Exposure and Handling</t>
  </si>
  <si>
    <t>5.5. Environmental Fate</t>
  </si>
  <si>
    <t>5.6. Animal Toxicity</t>
  </si>
  <si>
    <t>5.7. Classification Lists</t>
  </si>
  <si>
    <t>5.8. Chemical/Physical Properties</t>
  </si>
  <si>
    <t>5.9. Thermodynamic Properties</t>
  </si>
  <si>
    <t>5.10. Potency Factors</t>
  </si>
  <si>
    <t>6.2.</t>
  </si>
  <si>
    <t>6.1.</t>
  </si>
  <si>
    <t>6.3.</t>
  </si>
  <si>
    <t>6.4.</t>
  </si>
  <si>
    <t>6.5.</t>
  </si>
  <si>
    <t>6.6.</t>
  </si>
  <si>
    <t>6.7.</t>
  </si>
  <si>
    <t>6.8.</t>
  </si>
  <si>
    <t>6.9.</t>
  </si>
  <si>
    <t>7.0.</t>
  </si>
  <si>
    <t>8.0.</t>
  </si>
  <si>
    <t>Summary for Output Streams</t>
  </si>
  <si>
    <t>Main Global Product Stream Summary</t>
  </si>
  <si>
    <t>Product Cost Summary</t>
  </si>
  <si>
    <t>Raw Material Costs and Summary for Input Streams</t>
  </si>
  <si>
    <t>Equipment Cost Summary</t>
  </si>
  <si>
    <t>DATA ENTRY SUMMARY FOR INTERNAL CALCULATIONS ONLY</t>
  </si>
  <si>
    <t>8.1.- 8.3.</t>
  </si>
  <si>
    <t>8.4.</t>
  </si>
  <si>
    <t>UTILITY DATA ENTRY ASSUMPTIONS AND SUMMARY FOR INTERNAL CALCULATIONS ONLY</t>
  </si>
  <si>
    <t>9.0.</t>
  </si>
  <si>
    <t>DATA ENTRY SUMMARY AND INTERNAL CALCULATIONS ONLY</t>
  </si>
  <si>
    <t>GREENSCOPE Material (Efficiency) Indicator Results</t>
  </si>
  <si>
    <t>10.0.</t>
  </si>
  <si>
    <t>GREENSCOPE Environmental Indicator Results</t>
  </si>
  <si>
    <t>11.0.</t>
  </si>
  <si>
    <t>GREENSCOPE Energy Indicator Results</t>
  </si>
  <si>
    <t>12.0.</t>
  </si>
  <si>
    <t>GREENSCOPE Economic Indicator Results</t>
  </si>
  <si>
    <t>Yellow cell values can be customized by the user</t>
  </si>
  <si>
    <r>
      <t>rec</t>
    </r>
    <r>
      <rPr>
        <i/>
        <vertAlign val="subscript"/>
        <sz val="12"/>
        <rFont val="Times New Roman"/>
        <family val="1"/>
      </rPr>
      <t>m</t>
    </r>
    <r>
      <rPr>
        <sz val="12"/>
        <rFont val="Times New Roman"/>
        <family val="1"/>
      </rPr>
      <t>, salvage-value, $ 1*10</t>
    </r>
    <r>
      <rPr>
        <vertAlign val="superscript"/>
        <sz val="12"/>
        <rFont val="Times New Roman"/>
        <family val="1"/>
      </rPr>
      <t>6</t>
    </r>
    <r>
      <rPr>
        <sz val="12"/>
        <rFont val="Times New Roman"/>
        <family val="1"/>
      </rPr>
      <t xml:space="preserve"> US</t>
    </r>
  </si>
  <si>
    <r>
      <t>FCI, $ 1*10</t>
    </r>
    <r>
      <rPr>
        <vertAlign val="superscript"/>
        <sz val="12"/>
        <rFont val="Times New Roman"/>
        <family val="1"/>
      </rPr>
      <t>6</t>
    </r>
    <r>
      <rPr>
        <sz val="12"/>
        <rFont val="Times New Roman"/>
        <family val="1"/>
      </rPr>
      <t xml:space="preserve"> US</t>
    </r>
  </si>
  <si>
    <r>
      <t>S</t>
    </r>
    <r>
      <rPr>
        <i/>
        <vertAlign val="subscript"/>
        <sz val="12"/>
        <rFont val="Times New Roman"/>
        <family val="1"/>
      </rPr>
      <t>m</t>
    </r>
    <r>
      <rPr>
        <sz val="12"/>
        <rFont val="Times New Roman"/>
        <family val="1"/>
      </rPr>
      <t>, total income from all sales, $ 1*10</t>
    </r>
    <r>
      <rPr>
        <vertAlign val="superscript"/>
        <sz val="12"/>
        <rFont val="Times New Roman"/>
        <family val="1"/>
      </rPr>
      <t>6</t>
    </r>
    <r>
      <rPr>
        <sz val="12"/>
        <rFont val="Times New Roman"/>
        <family val="1"/>
      </rPr>
      <t xml:space="preserve"> US/yr</t>
    </r>
  </si>
  <si>
    <r>
      <t>COM, $ 1*10</t>
    </r>
    <r>
      <rPr>
        <vertAlign val="superscript"/>
        <sz val="12"/>
        <rFont val="Times New Roman"/>
        <family val="1"/>
      </rPr>
      <t>6</t>
    </r>
    <r>
      <rPr>
        <sz val="12"/>
        <rFont val="Times New Roman"/>
        <family val="1"/>
      </rPr>
      <t xml:space="preserve"> US</t>
    </r>
  </si>
  <si>
    <r>
      <t>WC, $ 1*10</t>
    </r>
    <r>
      <rPr>
        <vertAlign val="superscript"/>
        <sz val="12"/>
        <rFont val="Times New Roman"/>
        <family val="1"/>
      </rPr>
      <t>6</t>
    </r>
    <r>
      <rPr>
        <sz val="12"/>
        <rFont val="Times New Roman"/>
        <family val="1"/>
      </rPr>
      <t xml:space="preserve"> US</t>
    </r>
  </si>
  <si>
    <r>
      <t>TCI, total capital investment, $ 1*10</t>
    </r>
    <r>
      <rPr>
        <vertAlign val="superscript"/>
        <sz val="12"/>
        <rFont val="Times New Roman"/>
        <family val="1"/>
      </rPr>
      <t>6</t>
    </r>
    <r>
      <rPr>
        <sz val="12"/>
        <rFont val="Times New Roman"/>
        <family val="1"/>
      </rPr>
      <t xml:space="preserve"> US</t>
    </r>
  </si>
  <si>
    <r>
      <t>COM</t>
    </r>
    <r>
      <rPr>
        <vertAlign val="subscript"/>
        <sz val="12"/>
        <rFont val="Times New Roman"/>
        <family val="1"/>
      </rPr>
      <t>m</t>
    </r>
    <r>
      <rPr>
        <sz val="12"/>
        <rFont val="Times New Roman"/>
        <family val="1"/>
      </rPr>
      <t>, manufacturing cost after startup, $MUS/yr</t>
    </r>
  </si>
  <si>
    <r>
      <rPr>
        <i/>
        <sz val="12"/>
        <color indexed="8"/>
        <rFont val="Times New Roman"/>
        <family val="1"/>
      </rPr>
      <t>C</t>
    </r>
    <r>
      <rPr>
        <sz val="12"/>
        <color indexed="8"/>
        <rFont val="Times New Roman"/>
        <family val="1"/>
      </rPr>
      <t>eq, $MUS/yr</t>
    </r>
  </si>
  <si>
    <r>
      <t>(</t>
    </r>
    <r>
      <rPr>
        <i/>
        <sz val="12"/>
        <rFont val="Times New Roman"/>
        <family val="1"/>
      </rPr>
      <t>Sm</t>
    </r>
    <r>
      <rPr>
        <sz val="12"/>
        <rFont val="Times New Roman"/>
        <family val="1"/>
      </rPr>
      <t>-COM</t>
    </r>
    <r>
      <rPr>
        <i/>
        <sz val="12"/>
        <rFont val="Times New Roman"/>
        <family val="1"/>
      </rPr>
      <t>m</t>
    </r>
    <r>
      <rPr>
        <sz val="12"/>
        <rFont val="Times New Roman"/>
        <family val="1"/>
      </rPr>
      <t>-</t>
    </r>
    <r>
      <rPr>
        <i/>
        <sz val="12"/>
        <rFont val="Times New Roman"/>
        <family val="1"/>
      </rPr>
      <t>dm</t>
    </r>
    <r>
      <rPr>
        <sz val="12"/>
        <rFont val="Times New Roman"/>
        <family val="1"/>
      </rPr>
      <t>)*(1-</t>
    </r>
    <r>
      <rPr>
        <sz val="12"/>
        <rFont val="Symbol"/>
        <family val="1"/>
        <charset val="2"/>
      </rPr>
      <t>F</t>
    </r>
    <r>
      <rPr>
        <sz val="12"/>
        <rFont val="Times New Roman"/>
        <family val="1"/>
      </rPr>
      <t>)+</t>
    </r>
    <r>
      <rPr>
        <i/>
        <sz val="12"/>
        <rFont val="Times New Roman"/>
        <family val="1"/>
      </rPr>
      <t>dm</t>
    </r>
  </si>
  <si>
    <r>
      <t>(</t>
    </r>
    <r>
      <rPr>
        <i/>
        <sz val="12"/>
        <rFont val="Times New Roman"/>
        <family val="1"/>
      </rPr>
      <t>Sm</t>
    </r>
    <r>
      <rPr>
        <sz val="12"/>
        <rFont val="Times New Roman"/>
        <family val="1"/>
      </rPr>
      <t>-COM</t>
    </r>
    <r>
      <rPr>
        <i/>
        <sz val="12"/>
        <rFont val="Times New Roman"/>
        <family val="1"/>
      </rPr>
      <t>m</t>
    </r>
    <r>
      <rPr>
        <sz val="12"/>
        <rFont val="Times New Roman"/>
        <family val="1"/>
      </rPr>
      <t>-</t>
    </r>
    <r>
      <rPr>
        <i/>
        <sz val="12"/>
        <rFont val="Times New Roman"/>
        <family val="1"/>
      </rPr>
      <t>dm</t>
    </r>
    <r>
      <rPr>
        <sz val="12"/>
        <rFont val="Times New Roman"/>
        <family val="1"/>
      </rPr>
      <t>)*(1-</t>
    </r>
    <r>
      <rPr>
        <sz val="12"/>
        <rFont val="Symbol"/>
        <family val="1"/>
        <charset val="2"/>
      </rPr>
      <t>F</t>
    </r>
    <r>
      <rPr>
        <sz val="12"/>
        <rFont val="Times New Roman"/>
        <family val="1"/>
      </rPr>
      <t>)+</t>
    </r>
    <r>
      <rPr>
        <i/>
        <sz val="12"/>
        <rFont val="Times New Roman"/>
        <family val="1"/>
      </rPr>
      <t>dm</t>
    </r>
    <r>
      <rPr>
        <sz val="12"/>
        <rFont val="Times New Roman"/>
        <family val="1"/>
      </rPr>
      <t>-Annualized TCI, $US/yr</t>
    </r>
  </si>
  <si>
    <r>
      <t>Cost $1*10</t>
    </r>
    <r>
      <rPr>
        <vertAlign val="superscript"/>
        <sz val="12"/>
        <rFont val="Times New Roman"/>
        <family val="1"/>
      </rPr>
      <t>6</t>
    </r>
    <r>
      <rPr>
        <sz val="12"/>
        <rFont val="Times New Roman"/>
        <family val="1"/>
      </rPr>
      <t xml:space="preserve"> US/yr</t>
    </r>
  </si>
  <si>
    <r>
      <t xml:space="preserve">Total energy cost </t>
    </r>
    <r>
      <rPr>
        <i/>
        <sz val="12"/>
        <color indexed="8"/>
        <rFont val="Times New Roman"/>
        <family val="1"/>
      </rPr>
      <t>C</t>
    </r>
    <r>
      <rPr>
        <i/>
        <vertAlign val="subscript"/>
        <sz val="16"/>
        <color indexed="8"/>
        <rFont val="Times New Roman"/>
        <family val="1"/>
      </rPr>
      <t>E</t>
    </r>
    <r>
      <rPr>
        <vertAlign val="subscript"/>
        <sz val="16"/>
        <color indexed="8"/>
        <rFont val="Times New Roman"/>
        <family val="1"/>
      </rPr>
      <t>, tot.</t>
    </r>
  </si>
  <si>
    <r>
      <t>Water flow rate as feedstock, m</t>
    </r>
    <r>
      <rPr>
        <vertAlign val="superscript"/>
        <sz val="12"/>
        <rFont val="Times New Roman"/>
        <family val="1"/>
      </rPr>
      <t>3</t>
    </r>
    <r>
      <rPr>
        <sz val="12"/>
        <rFont val="Times New Roman"/>
        <family val="1"/>
      </rPr>
      <t>/yr</t>
    </r>
  </si>
  <si>
    <r>
      <t>Water flow rate as utility, m</t>
    </r>
    <r>
      <rPr>
        <vertAlign val="superscript"/>
        <sz val="12"/>
        <rFont val="Times New Roman"/>
        <family val="1"/>
      </rPr>
      <t>3</t>
    </r>
    <r>
      <rPr>
        <sz val="12"/>
        <rFont val="Times New Roman"/>
        <family val="1"/>
      </rPr>
      <t>/yr</t>
    </r>
  </si>
  <si>
    <r>
      <t>Total water flow rate needs, m</t>
    </r>
    <r>
      <rPr>
        <vertAlign val="superscript"/>
        <sz val="12"/>
        <rFont val="Times New Roman"/>
        <family val="1"/>
      </rPr>
      <t>3</t>
    </r>
    <r>
      <rPr>
        <sz val="12"/>
        <rFont val="Times New Roman"/>
        <family val="1"/>
      </rPr>
      <t>/yr</t>
    </r>
  </si>
  <si>
    <r>
      <rPr>
        <i/>
        <sz val="12"/>
        <color indexed="8"/>
        <rFont val="Times New Roman"/>
        <family val="1"/>
      </rPr>
      <t>C</t>
    </r>
    <r>
      <rPr>
        <vertAlign val="subscript"/>
        <sz val="12"/>
        <color indexed="8"/>
        <rFont val="Times New Roman"/>
        <family val="1"/>
      </rPr>
      <t>water, tot.</t>
    </r>
    <r>
      <rPr>
        <sz val="12"/>
        <color indexed="8"/>
        <rFont val="Times New Roman"/>
        <family val="1"/>
      </rPr>
      <t>, $US/yr</t>
    </r>
  </si>
  <si>
    <r>
      <t>Water flow rate needs, m</t>
    </r>
    <r>
      <rPr>
        <vertAlign val="superscript"/>
        <sz val="12"/>
        <rFont val="Times New Roman"/>
        <family val="1"/>
      </rPr>
      <t>3</t>
    </r>
    <r>
      <rPr>
        <sz val="12"/>
        <rFont val="Times New Roman"/>
        <family val="1"/>
      </rPr>
      <t>/yr</t>
    </r>
  </si>
  <si>
    <r>
      <t>Cost $US/m</t>
    </r>
    <r>
      <rPr>
        <vertAlign val="superscript"/>
        <sz val="12"/>
        <rFont val="Times New Roman"/>
        <family val="1"/>
      </rPr>
      <t>3</t>
    </r>
  </si>
  <si>
    <t>Coal as E source</t>
  </si>
  <si>
    <r>
      <rPr>
        <i/>
        <sz val="14"/>
        <color theme="1"/>
        <rFont val="Times New Roman"/>
        <family val="1"/>
      </rPr>
      <t>T</t>
    </r>
    <r>
      <rPr>
        <vertAlign val="subscript"/>
        <sz val="14"/>
        <color theme="1"/>
        <rFont val="Times New Roman"/>
        <family val="1"/>
      </rPr>
      <t>dec</t>
    </r>
    <r>
      <rPr>
        <sz val="14"/>
        <color theme="1"/>
        <rFont val="Times New Roman"/>
        <family val="1"/>
      </rPr>
      <t>, °C</t>
    </r>
  </si>
  <si>
    <r>
      <rPr>
        <sz val="14"/>
        <color theme="1"/>
        <rFont val="Symbol"/>
        <family val="1"/>
        <charset val="2"/>
      </rPr>
      <t>D</t>
    </r>
    <r>
      <rPr>
        <sz val="14"/>
        <color theme="1"/>
        <rFont val="Times New Roman"/>
        <family val="1"/>
      </rPr>
      <t>Hr, kJ/kg</t>
    </r>
  </si>
  <si>
    <t>DATABASE FOR SOME POTENCY FACTOR VALUES ONLY</t>
  </si>
  <si>
    <t>Total liquid waste vol flow, m^3/h</t>
  </si>
  <si>
    <t>Polluted and hazardous liquid waste flow, m^3/h</t>
  </si>
  <si>
    <t>Hazardous material waste, No= 0, Yes 1</t>
  </si>
  <si>
    <r>
      <t>Utility flow rate needs, kg/h, m</t>
    </r>
    <r>
      <rPr>
        <vertAlign val="superscript"/>
        <sz val="16"/>
        <color theme="1"/>
        <rFont val="Calibri"/>
        <family val="2"/>
        <scheme val="minor"/>
      </rPr>
      <t>3</t>
    </r>
    <r>
      <rPr>
        <sz val="16"/>
        <color theme="1"/>
        <rFont val="Calibri"/>
        <family val="2"/>
        <scheme val="minor"/>
      </rPr>
      <t>/h, MJ/h, or kWh/h</t>
    </r>
  </si>
  <si>
    <r>
      <rPr>
        <sz val="18"/>
        <rFont val="Symbol"/>
        <family val="1"/>
        <charset val="2"/>
      </rPr>
      <t>S</t>
    </r>
    <r>
      <rPr>
        <sz val="18"/>
        <rFont val="Times New Roman"/>
        <family val="1"/>
      </rPr>
      <t>(m</t>
    </r>
    <r>
      <rPr>
        <vertAlign val="superscript"/>
        <sz val="18"/>
        <rFont val="Times New Roman"/>
        <family val="1"/>
      </rPr>
      <t>•</t>
    </r>
    <r>
      <rPr>
        <vertAlign val="subscript"/>
        <sz val="18"/>
        <rFont val="Times New Roman"/>
        <family val="1"/>
      </rPr>
      <t>product</t>
    </r>
    <r>
      <rPr>
        <sz val="18"/>
        <rFont val="Times New Roman"/>
        <family val="1"/>
      </rPr>
      <t>)</t>
    </r>
    <r>
      <rPr>
        <vertAlign val="subscript"/>
        <sz val="18"/>
        <rFont val="Times New Roman"/>
        <family val="1"/>
      </rPr>
      <t>recyclable</t>
    </r>
    <r>
      <rPr>
        <sz val="18"/>
        <rFont val="Times New Roman"/>
        <family val="1"/>
      </rPr>
      <t>, kg/h</t>
    </r>
  </si>
  <si>
    <r>
      <t>Mass fraction of products designed for disassembly, reuse or recycling; w</t>
    </r>
    <r>
      <rPr>
        <vertAlign val="subscript"/>
        <sz val="14"/>
        <color indexed="8"/>
        <rFont val="Times New Roman"/>
        <family val="1"/>
      </rPr>
      <t>recov. prod.</t>
    </r>
  </si>
  <si>
    <r>
      <rPr>
        <sz val="18"/>
        <rFont val="Symbol"/>
        <family val="1"/>
        <charset val="2"/>
      </rPr>
      <t>S</t>
    </r>
    <r>
      <rPr>
        <sz val="18"/>
        <rFont val="Times New Roman"/>
        <family val="1"/>
      </rPr>
      <t>(m</t>
    </r>
    <r>
      <rPr>
        <vertAlign val="superscript"/>
        <sz val="18"/>
        <rFont val="Times New Roman"/>
        <family val="1"/>
      </rPr>
      <t>•in</t>
    </r>
    <r>
      <rPr>
        <vertAlign val="subscript"/>
        <sz val="18"/>
        <rFont val="Times New Roman"/>
        <family val="1"/>
      </rPr>
      <t>recycled</t>
    </r>
    <r>
      <rPr>
        <sz val="18"/>
        <rFont val="Times New Roman"/>
        <family val="1"/>
      </rPr>
      <t>), kg/h</t>
    </r>
  </si>
  <si>
    <r>
      <t xml:space="preserve">Recycled material fraction, </t>
    </r>
    <r>
      <rPr>
        <i/>
        <sz val="16"/>
        <rFont val="Times New Roman"/>
        <family val="1"/>
      </rPr>
      <t>w</t>
    </r>
    <r>
      <rPr>
        <vertAlign val="subscript"/>
        <sz val="16"/>
        <rFont val="Times New Roman"/>
        <family val="1"/>
      </rPr>
      <t>recycl. mat</t>
    </r>
  </si>
  <si>
    <r>
      <t>Renewability material index, RI</t>
    </r>
    <r>
      <rPr>
        <vertAlign val="subscript"/>
        <sz val="14"/>
        <rFont val="Times New Roman"/>
        <family val="1"/>
      </rPr>
      <t>M</t>
    </r>
  </si>
  <si>
    <r>
      <t xml:space="preserve">Total water consumption, </t>
    </r>
    <r>
      <rPr>
        <i/>
        <sz val="16"/>
        <rFont val="Times New Roman"/>
        <family val="1"/>
      </rPr>
      <t>V</t>
    </r>
    <r>
      <rPr>
        <vertAlign val="subscript"/>
        <sz val="16"/>
        <rFont val="Times New Roman"/>
        <family val="1"/>
      </rPr>
      <t>water, tot.</t>
    </r>
  </si>
  <si>
    <r>
      <t>kg</t>
    </r>
    <r>
      <rPr>
        <sz val="12"/>
        <rFont val="Times New Roman"/>
        <family val="1"/>
      </rPr>
      <t>/ m</t>
    </r>
    <r>
      <rPr>
        <vertAlign val="superscript"/>
        <sz val="12"/>
        <rFont val="Times New Roman"/>
        <family val="1"/>
      </rPr>
      <t>3</t>
    </r>
  </si>
  <si>
    <t xml:space="preserve">Calculations for Solid and Liquid Waste Estimation Only </t>
  </si>
  <si>
    <t>Carbon Dioxide</t>
  </si>
  <si>
    <t>Calcium Oxide</t>
  </si>
  <si>
    <t>Calcium Carbonate</t>
  </si>
  <si>
    <t>CO2</t>
  </si>
  <si>
    <t>CaO</t>
  </si>
  <si>
    <t>CaCO3</t>
  </si>
  <si>
    <t>1305-78-8</t>
  </si>
  <si>
    <t>471-34-1</t>
  </si>
  <si>
    <t>N/A</t>
  </si>
  <si>
    <t>S2</t>
  </si>
  <si>
    <t>CaCO3 rec</t>
  </si>
  <si>
    <t>G10</t>
  </si>
  <si>
    <t>CALC</t>
  </si>
  <si>
    <t>CARB</t>
  </si>
  <si>
    <t>S1-2</t>
  </si>
  <si>
    <t>yes</t>
  </si>
  <si>
    <t>0</t>
  </si>
  <si>
    <t>0</t>
  </si>
  <si>
    <t>H-COMP2</t>
  </si>
  <si>
    <t>M-COMD</t>
  </si>
  <si>
    <t>H-COMP1</t>
  </si>
  <si>
    <t>M-COMD2</t>
  </si>
  <si>
    <t>M-COMD1</t>
  </si>
  <si>
    <t>H-TURB</t>
  </si>
  <si>
    <t>M-TURB</t>
  </si>
  <si>
    <t>M-COMP2</t>
  </si>
  <si>
    <t>H-TURB2</t>
  </si>
  <si>
    <t>H-TURB1</t>
  </si>
  <si>
    <t>H-COMP4</t>
  </si>
  <si>
    <t>P1</t>
  </si>
  <si>
    <t>M-COMP1</t>
  </si>
  <si>
    <t>H-COMP3</t>
  </si>
  <si>
    <t>H-COMP</t>
  </si>
  <si>
    <t>ST</t>
  </si>
  <si>
    <t>1078700</t>
  </si>
  <si>
    <t>703700</t>
  </si>
  <si>
    <t>1799600</t>
  </si>
  <si>
    <t>776000</t>
  </si>
  <si>
    <t>960900</t>
  </si>
  <si>
    <t>197600</t>
  </si>
  <si>
    <t>0</t>
  </si>
  <si>
    <t>12991600</t>
  </si>
  <si>
    <t>179400</t>
  </si>
  <si>
    <t>193600</t>
  </si>
  <si>
    <t>1065300</t>
  </si>
  <si>
    <t>66000</t>
  </si>
  <si>
    <t>24468500</t>
  </si>
  <si>
    <t>1012600</t>
  </si>
  <si>
    <t>1355800</t>
  </si>
  <si>
    <t>0</t>
  </si>
  <si>
    <t>1316900</t>
  </si>
  <si>
    <t>896300</t>
  </si>
  <si>
    <t>2079600</t>
  </si>
  <si>
    <t>979700</t>
  </si>
  <si>
    <t>1192000</t>
  </si>
  <si>
    <t>388200</t>
  </si>
  <si>
    <t>0</t>
  </si>
  <si>
    <t>14049000</t>
  </si>
  <si>
    <t>318700</t>
  </si>
  <si>
    <t>314700</t>
  </si>
  <si>
    <t>1240900</t>
  </si>
  <si>
    <t>110500</t>
  </si>
  <si>
    <t>25758400</t>
  </si>
  <si>
    <t>1203700</t>
  </si>
  <si>
    <t>1503500</t>
  </si>
  <si>
    <t>0</t>
  </si>
  <si>
    <t>H-COMPC2</t>
  </si>
  <si>
    <t>H-1</t>
  </si>
  <si>
    <t>C-2B</t>
  </si>
  <si>
    <t>H-TURBH1</t>
  </si>
  <si>
    <t>M-COMPC1</t>
  </si>
  <si>
    <t>M-COMDC1</t>
  </si>
  <si>
    <t>M-COMPC2</t>
  </si>
  <si>
    <t>C-2</t>
  </si>
  <si>
    <t>COND</t>
  </si>
  <si>
    <t>H-COMPC4</t>
  </si>
  <si>
    <t>H-TURBH2</t>
  </si>
  <si>
    <t>C-1</t>
  </si>
  <si>
    <t>C-2A</t>
  </si>
  <si>
    <t>C-3</t>
  </si>
  <si>
    <t>H-COMPC1</t>
  </si>
  <si>
    <t>M-COMDC2</t>
  </si>
  <si>
    <t>H-COMPC3</t>
  </si>
  <si>
    <t>H-COMPC2</t>
  </si>
  <si>
    <t>H-1</t>
  </si>
  <si>
    <t>C-2B</t>
  </si>
  <si>
    <t>H-TURBH1</t>
  </si>
  <si>
    <t>M-COMPC1</t>
  </si>
  <si>
    <t>M-COMDC1</t>
  </si>
  <si>
    <t>M-COMPC2</t>
  </si>
  <si>
    <t>C-2</t>
  </si>
  <si>
    <t>COND</t>
  </si>
  <si>
    <t>H-COMPC4</t>
  </si>
  <si>
    <t>H-TURBH2</t>
  </si>
  <si>
    <t>C-1</t>
  </si>
  <si>
    <t>C-2A</t>
  </si>
  <si>
    <t>C-3</t>
  </si>
  <si>
    <t>H-COMPC1</t>
  </si>
  <si>
    <t>M-COMDC2</t>
  </si>
  <si>
    <t>H-COMPC3</t>
  </si>
  <si>
    <t>25500</t>
  </si>
  <si>
    <t>20600</t>
  </si>
  <si>
    <t>19400</t>
  </si>
  <si>
    <t>9100</t>
  </si>
  <si>
    <t>196700</t>
  </si>
  <si>
    <t>19100</t>
  </si>
  <si>
    <t>197100</t>
  </si>
  <si>
    <t>82300</t>
  </si>
  <si>
    <t>172200</t>
  </si>
  <si>
    <t>23500</t>
  </si>
  <si>
    <t>11200</t>
  </si>
  <si>
    <t>26000</t>
  </si>
  <si>
    <t>0</t>
  </si>
  <si>
    <t>251400</t>
  </si>
  <si>
    <t>37500</t>
  </si>
  <si>
    <t>19100</t>
  </si>
  <si>
    <t>19900</t>
  </si>
  <si>
    <t>125600</t>
  </si>
  <si>
    <t>108600</t>
  </si>
  <si>
    <t>101800</t>
  </si>
  <si>
    <t>64700</t>
  </si>
  <si>
    <t>380300</t>
  </si>
  <si>
    <t>101500</t>
  </si>
  <si>
    <t>380700</t>
  </si>
  <si>
    <t>217900</t>
  </si>
  <si>
    <t>344500</t>
  </si>
  <si>
    <t>110000</t>
  </si>
  <si>
    <t>76200</t>
  </si>
  <si>
    <t>121200</t>
  </si>
  <si>
    <t>0</t>
  </si>
  <si>
    <t>445100</t>
  </si>
  <si>
    <t>138700</t>
  </si>
  <si>
    <t>101500</t>
  </si>
  <si>
    <t>103000</t>
  </si>
  <si>
    <t>CALC</t>
  </si>
  <si>
    <t>CARB</t>
  </si>
  <si>
    <t>0</t>
  </si>
  <si>
    <t>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</si>
</sst>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43" formatCode="_(* #,##0.00_);_(* \(#,##0.00\);_(* &quot;-&quot;??_);_(@_)"/>
    <numFmt numFmtId="164" formatCode="0.000"/>
    <numFmt numFmtId="165" formatCode="0.0000"/>
    <numFmt numFmtId="166" formatCode="0.0000%"/>
    <numFmt numFmtId="167" formatCode="0.000%"/>
    <numFmt numFmtId="168" formatCode="0.00000"/>
    <numFmt numFmtId="169" formatCode="0.00000000"/>
    <numFmt numFmtId="170" formatCode="_(* #,##0.00000_);_(* \(#,##0.00000\);_(* &quot;-&quot;??_);_(@_)"/>
    <numFmt numFmtId="171" formatCode="0.0%"/>
  </numFmts>
  <fonts count="206" x14ac:knownFonts="1">
    <font>
      <sz val="10"/>
      <name val="Arial"/>
    </font>
    <font>
      <sz val="12"/>
      <color theme="1"/>
      <name val="Arial"/>
      <family val="2"/>
    </font>
    <font>
      <sz val="12"/>
      <color theme="1"/>
      <name val="Arial"/>
      <family val="2"/>
    </font>
    <font>
      <sz val="12"/>
      <color theme="1"/>
      <name val="Arial"/>
      <family val="2"/>
    </font>
    <font>
      <sz val="11"/>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name val="Arial"/>
      <family val="2"/>
    </font>
    <font>
      <b/>
      <sz val="14"/>
      <name val="Arial"/>
      <family val="2"/>
    </font>
    <font>
      <b/>
      <sz val="12"/>
      <name val="Arial"/>
      <family val="2"/>
    </font>
    <font>
      <sz val="12"/>
      <name val="Arial"/>
      <family val="2"/>
    </font>
    <font>
      <sz val="12"/>
      <name val="Times New Roman"/>
      <family val="1"/>
    </font>
    <font>
      <sz val="9"/>
      <name val="Arial"/>
      <family val="2"/>
    </font>
    <font>
      <b/>
      <i/>
      <sz val="12"/>
      <name val="Times New Roman"/>
      <family val="1"/>
    </font>
    <font>
      <b/>
      <sz val="12"/>
      <name val="Times New Roman"/>
      <family val="1"/>
    </font>
    <font>
      <b/>
      <sz val="12"/>
      <name val="Arial"/>
      <family val="2"/>
    </font>
    <font>
      <b/>
      <sz val="20"/>
      <name val="Arial"/>
      <family val="2"/>
    </font>
    <font>
      <i/>
      <sz val="12"/>
      <name val="Times New Roman"/>
      <family val="1"/>
    </font>
    <font>
      <sz val="10"/>
      <name val="Times New Roman"/>
      <family val="1"/>
    </font>
    <font>
      <sz val="12"/>
      <name val="Symbol"/>
      <family val="1"/>
      <charset val="2"/>
    </font>
    <font>
      <sz val="10"/>
      <name val="Arial"/>
      <family val="2"/>
    </font>
    <font>
      <i/>
      <sz val="10"/>
      <name val="Times New Roman"/>
      <family val="1"/>
    </font>
    <font>
      <b/>
      <sz val="8"/>
      <color indexed="81"/>
      <name val="Tahoma"/>
      <family val="2"/>
    </font>
    <font>
      <sz val="8"/>
      <color indexed="81"/>
      <name val="Tahoma"/>
      <family val="2"/>
    </font>
    <font>
      <sz val="8"/>
      <color indexed="81"/>
      <name val="Times New Roman"/>
      <family val="1"/>
    </font>
    <font>
      <sz val="8"/>
      <name val="Arial"/>
      <family val="2"/>
    </font>
    <font>
      <sz val="12"/>
      <name val="Arial"/>
      <family val="2"/>
    </font>
    <font>
      <i/>
      <sz val="11"/>
      <name val="Times New Roman"/>
      <family val="1"/>
    </font>
    <font>
      <sz val="11"/>
      <name val="Times New Roman"/>
      <family val="1"/>
    </font>
    <font>
      <sz val="14"/>
      <name val="Arial"/>
      <family val="2"/>
    </font>
    <font>
      <b/>
      <sz val="10"/>
      <name val="Arial"/>
      <family val="2"/>
    </font>
    <font>
      <sz val="10"/>
      <name val="Arial"/>
      <family val="2"/>
    </font>
    <font>
      <sz val="14"/>
      <name val="Symbol"/>
      <family val="1"/>
      <charset val="2"/>
    </font>
    <font>
      <b/>
      <sz val="22"/>
      <name val="Arial"/>
      <family val="2"/>
    </font>
    <font>
      <vertAlign val="superscript"/>
      <sz val="12"/>
      <name val="Times New Roman"/>
      <family val="1"/>
    </font>
    <font>
      <sz val="10"/>
      <name val="Symbol"/>
      <family val="1"/>
      <charset val="2"/>
    </font>
    <font>
      <sz val="12"/>
      <color indexed="8"/>
      <name val="Times New Roman"/>
      <family val="1"/>
    </font>
    <font>
      <i/>
      <sz val="12"/>
      <color indexed="8"/>
      <name val="Times New Roman"/>
      <family val="1"/>
    </font>
    <font>
      <sz val="12"/>
      <color theme="1"/>
      <name val="Arial"/>
      <family val="2"/>
    </font>
    <font>
      <sz val="16"/>
      <color theme="1"/>
      <name val="Arial"/>
      <family val="2"/>
    </font>
    <font>
      <sz val="11"/>
      <color indexed="81"/>
      <name val="Tahoma"/>
      <family val="2"/>
    </font>
    <font>
      <sz val="12"/>
      <color indexed="81"/>
      <name val="Tahoma"/>
      <family val="2"/>
    </font>
    <font>
      <b/>
      <sz val="11"/>
      <color indexed="81"/>
      <name val="Tahoma"/>
      <family val="2"/>
    </font>
    <font>
      <b/>
      <sz val="10"/>
      <color indexed="81"/>
      <name val="Tahoma"/>
      <family val="2"/>
    </font>
    <font>
      <sz val="10"/>
      <color indexed="81"/>
      <name val="Tahoma"/>
      <family val="2"/>
    </font>
    <font>
      <sz val="11"/>
      <color indexed="81"/>
      <name val="Symbol"/>
      <family val="1"/>
      <charset val="2"/>
    </font>
    <font>
      <sz val="9.35"/>
      <color indexed="81"/>
      <name val="Tahoma"/>
      <family val="2"/>
    </font>
    <font>
      <i/>
      <sz val="11"/>
      <color indexed="81"/>
      <name val="Tahoma"/>
      <family val="2"/>
    </font>
    <font>
      <sz val="11"/>
      <color indexed="81"/>
      <name val="Times New Roman"/>
      <family val="1"/>
    </font>
    <font>
      <i/>
      <sz val="11"/>
      <color indexed="81"/>
      <name val="Symbol"/>
      <family val="1"/>
      <charset val="2"/>
    </font>
    <font>
      <i/>
      <sz val="11"/>
      <color indexed="81"/>
      <name val="Arial"/>
      <family val="2"/>
    </font>
    <font>
      <sz val="12"/>
      <name val="Calibri"/>
      <family val="2"/>
      <scheme val="minor"/>
    </font>
    <font>
      <b/>
      <sz val="16"/>
      <name val="Calibri"/>
      <family val="2"/>
      <scheme val="minor"/>
    </font>
    <font>
      <i/>
      <sz val="12"/>
      <name val="Calibri"/>
      <family val="2"/>
      <scheme val="minor"/>
    </font>
    <font>
      <u/>
      <sz val="8"/>
      <color theme="10"/>
      <name val="Arial"/>
      <family val="2"/>
    </font>
    <font>
      <b/>
      <sz val="12"/>
      <name val="Calibri"/>
      <family val="2"/>
      <scheme val="minor"/>
    </font>
    <font>
      <vertAlign val="subscript"/>
      <sz val="12"/>
      <name val="Times New Roman"/>
      <family val="1"/>
    </font>
    <font>
      <sz val="16"/>
      <name val="Calibri"/>
      <family val="2"/>
      <scheme val="minor"/>
    </font>
    <font>
      <sz val="14"/>
      <name val="Times New Roman"/>
      <family val="1"/>
    </font>
    <font>
      <b/>
      <sz val="16"/>
      <color indexed="81"/>
      <name val="Tahoma"/>
      <family val="2"/>
    </font>
    <font>
      <i/>
      <sz val="16"/>
      <color indexed="81"/>
      <name val="Times New Roman"/>
      <family val="1"/>
    </font>
    <font>
      <b/>
      <sz val="10"/>
      <color theme="1"/>
      <name val="Arial"/>
      <family val="2"/>
    </font>
    <font>
      <b/>
      <sz val="16"/>
      <name val="Arial"/>
      <family val="2"/>
    </font>
    <font>
      <sz val="12"/>
      <color theme="1"/>
      <name val="Symbol"/>
      <family val="1"/>
      <charset val="2"/>
    </font>
    <font>
      <b/>
      <sz val="14"/>
      <color theme="1"/>
      <name val="Arial"/>
      <family val="2"/>
    </font>
    <font>
      <sz val="11"/>
      <name val="Calibri"/>
      <family val="2"/>
      <scheme val="minor"/>
    </font>
    <font>
      <i/>
      <sz val="12"/>
      <color theme="1"/>
      <name val="Arial"/>
      <family val="2"/>
    </font>
    <font>
      <vertAlign val="subscript"/>
      <sz val="10"/>
      <name val="Arial"/>
      <family val="2"/>
    </font>
    <font>
      <i/>
      <sz val="10"/>
      <name val="Arial"/>
      <family val="2"/>
    </font>
    <font>
      <sz val="14"/>
      <name val="Calibri"/>
      <family val="2"/>
      <scheme val="minor"/>
    </font>
    <font>
      <i/>
      <sz val="12"/>
      <name val="Arial"/>
      <family val="2"/>
    </font>
    <font>
      <sz val="11"/>
      <name val="Arial"/>
      <family val="2"/>
    </font>
    <font>
      <b/>
      <sz val="9"/>
      <color indexed="81"/>
      <name val="Tahoma"/>
      <family val="2"/>
    </font>
    <font>
      <sz val="12"/>
      <color theme="1"/>
      <name val="Calibri"/>
      <family val="2"/>
      <scheme val="minor"/>
    </font>
    <font>
      <sz val="10"/>
      <name val="Calibri"/>
      <family val="2"/>
      <scheme val="minor"/>
    </font>
    <font>
      <vertAlign val="superscript"/>
      <sz val="12"/>
      <name val="Calibri"/>
      <family val="2"/>
      <scheme val="minor"/>
    </font>
    <font>
      <sz val="11"/>
      <color theme="1"/>
      <name val="Arial"/>
      <family val="2"/>
    </font>
    <font>
      <sz val="10"/>
      <color rgb="FF454545"/>
      <name val="Calibri"/>
      <family val="2"/>
      <scheme val="minor"/>
    </font>
    <font>
      <sz val="9"/>
      <color rgb="FF454545"/>
      <name val="Courier New"/>
      <family val="3"/>
    </font>
    <font>
      <sz val="9"/>
      <color indexed="81"/>
      <name val="Tahoma"/>
      <family val="2"/>
    </font>
    <font>
      <sz val="16"/>
      <color indexed="8"/>
      <name val="Calibri"/>
      <family val="2"/>
      <scheme val="minor"/>
    </font>
    <font>
      <sz val="16"/>
      <color rgb="FF000000"/>
      <name val="Calibri"/>
      <family val="2"/>
      <scheme val="minor"/>
    </font>
    <font>
      <sz val="10"/>
      <color indexed="8"/>
      <name val="Times New Roman"/>
      <family val="1"/>
    </font>
    <font>
      <sz val="12"/>
      <name val="Calibri"/>
      <family val="2"/>
    </font>
    <font>
      <i/>
      <sz val="12"/>
      <name val="Calibri"/>
      <family val="2"/>
    </font>
    <font>
      <i/>
      <vertAlign val="subscript"/>
      <sz val="12"/>
      <name val="Calibri"/>
      <family val="2"/>
    </font>
    <font>
      <vertAlign val="subscript"/>
      <sz val="12"/>
      <name val="Calibri"/>
      <family val="2"/>
    </font>
    <font>
      <i/>
      <sz val="10"/>
      <name val="Calibri"/>
      <family val="2"/>
    </font>
    <font>
      <vertAlign val="superscript"/>
      <sz val="12"/>
      <name val="Calibri"/>
      <family val="2"/>
    </font>
    <font>
      <sz val="14"/>
      <color theme="1"/>
      <name val="Arial"/>
      <family val="2"/>
    </font>
    <font>
      <b/>
      <sz val="16"/>
      <color theme="1"/>
      <name val="Arial"/>
      <family val="2"/>
    </font>
    <font>
      <b/>
      <sz val="8"/>
      <color rgb="FF333333"/>
      <name val="Verdana"/>
      <family val="2"/>
    </font>
    <font>
      <sz val="10"/>
      <color rgb="FF333333"/>
      <name val="Verdana"/>
      <family val="2"/>
    </font>
    <font>
      <b/>
      <sz val="10"/>
      <color rgb="FF333333"/>
      <name val="Verdana"/>
      <family val="2"/>
    </font>
    <font>
      <sz val="16"/>
      <name val="Times New Roman"/>
      <family val="1"/>
    </font>
    <font>
      <sz val="16"/>
      <name val="Arial"/>
      <family val="2"/>
    </font>
    <font>
      <i/>
      <vertAlign val="subscript"/>
      <sz val="11"/>
      <name val="Times New Roman"/>
      <family val="1"/>
    </font>
    <font>
      <vertAlign val="subscript"/>
      <sz val="11"/>
      <name val="Times New Roman"/>
      <family val="1"/>
    </font>
    <font>
      <i/>
      <vertAlign val="subscript"/>
      <sz val="12"/>
      <name val="Times New Roman"/>
      <family val="1"/>
    </font>
    <font>
      <sz val="18"/>
      <color theme="1"/>
      <name val="Arial"/>
      <family val="2"/>
    </font>
    <font>
      <sz val="12"/>
      <color theme="1"/>
      <name val="Times New Roman"/>
      <family val="1"/>
    </font>
    <font>
      <i/>
      <sz val="12"/>
      <color theme="1"/>
      <name val="Times New Roman"/>
      <family val="1"/>
    </font>
    <font>
      <i/>
      <sz val="14"/>
      <name val="Times New Roman"/>
      <family val="1"/>
    </font>
    <font>
      <i/>
      <vertAlign val="subscript"/>
      <sz val="14"/>
      <name val="Times New Roman"/>
      <family val="1"/>
    </font>
    <font>
      <vertAlign val="subscript"/>
      <sz val="14"/>
      <name val="Times New Roman"/>
      <family val="1"/>
    </font>
    <font>
      <sz val="18"/>
      <name val="Calibri"/>
      <family val="2"/>
      <scheme val="minor"/>
    </font>
    <font>
      <vertAlign val="subscript"/>
      <sz val="16"/>
      <name val="Times New Roman"/>
      <family val="1"/>
    </font>
    <font>
      <sz val="14"/>
      <color theme="1"/>
      <name val="Times New Roman"/>
      <family val="1"/>
    </font>
    <font>
      <vertAlign val="subscript"/>
      <sz val="16"/>
      <color indexed="8"/>
      <name val="Times New Roman"/>
      <family val="1"/>
    </font>
    <font>
      <vertAlign val="subscript"/>
      <sz val="12"/>
      <color indexed="8"/>
      <name val="Times New Roman"/>
      <family val="1"/>
    </font>
    <font>
      <sz val="14"/>
      <color indexed="8"/>
      <name val="Times New Roman"/>
      <family val="1"/>
    </font>
    <font>
      <i/>
      <sz val="14"/>
      <color indexed="8"/>
      <name val="Times New Roman"/>
      <family val="1"/>
    </font>
    <font>
      <i/>
      <vertAlign val="subscript"/>
      <sz val="14"/>
      <color indexed="8"/>
      <name val="Times New Roman"/>
      <family val="1"/>
    </font>
    <font>
      <vertAlign val="subscript"/>
      <sz val="14"/>
      <color indexed="8"/>
      <name val="Times New Roman"/>
      <family val="1"/>
    </font>
    <font>
      <vertAlign val="superscript"/>
      <sz val="14"/>
      <name val="Times New Roman"/>
      <family val="1"/>
    </font>
    <font>
      <sz val="10"/>
      <color rgb="FF006100"/>
      <name val="Arial"/>
      <family val="2"/>
    </font>
    <font>
      <sz val="10"/>
      <color rgb="FF9C0006"/>
      <name val="Arial"/>
      <family val="2"/>
    </font>
    <font>
      <vertAlign val="subscript"/>
      <sz val="14"/>
      <name val="Arial"/>
      <family val="2"/>
    </font>
    <font>
      <b/>
      <vertAlign val="subscript"/>
      <sz val="14"/>
      <name val="Arial"/>
      <family val="2"/>
    </font>
    <font>
      <b/>
      <sz val="14"/>
      <color theme="1"/>
      <name val="Times New Roman"/>
      <family val="1"/>
    </font>
    <font>
      <b/>
      <sz val="14"/>
      <name val="Times New Roman"/>
      <family val="1"/>
    </font>
    <font>
      <b/>
      <vertAlign val="subscript"/>
      <sz val="14"/>
      <name val="Times New Roman"/>
      <family val="1"/>
    </font>
    <font>
      <sz val="12"/>
      <color rgb="FF006100"/>
      <name val="Arial"/>
      <family val="2"/>
    </font>
    <font>
      <sz val="12"/>
      <color rgb="FF9C0006"/>
      <name val="Arial"/>
      <family val="2"/>
    </font>
    <font>
      <vertAlign val="superscript"/>
      <sz val="12"/>
      <color theme="1"/>
      <name val="Arial"/>
      <family val="2"/>
    </font>
    <font>
      <i/>
      <sz val="16"/>
      <name val="Calibri"/>
      <family val="2"/>
      <scheme val="minor"/>
    </font>
    <font>
      <i/>
      <vertAlign val="subscript"/>
      <sz val="12"/>
      <color theme="1"/>
      <name val="Times New Roman"/>
      <family val="1"/>
    </font>
    <font>
      <sz val="10"/>
      <name val="Arial"/>
      <family val="2"/>
    </font>
    <font>
      <sz val="14"/>
      <color indexed="8"/>
      <name val="Symbol"/>
      <family val="1"/>
      <charset val="2"/>
    </font>
    <font>
      <vertAlign val="superscript"/>
      <sz val="12"/>
      <name val="Arial"/>
      <family val="2"/>
    </font>
    <font>
      <sz val="12"/>
      <name val="Cambria"/>
      <family val="1"/>
    </font>
    <font>
      <vertAlign val="subscript"/>
      <sz val="12"/>
      <color theme="1"/>
      <name val="Times New Roman"/>
      <family val="1"/>
    </font>
    <font>
      <vertAlign val="subscript"/>
      <sz val="12"/>
      <name val="Arial"/>
      <family val="2"/>
    </font>
    <font>
      <i/>
      <sz val="16"/>
      <name val="Times New Roman"/>
      <family val="1"/>
    </font>
    <font>
      <sz val="16"/>
      <color indexed="8"/>
      <name val="Times New Roman"/>
      <family val="1"/>
    </font>
    <font>
      <i/>
      <sz val="16"/>
      <color indexed="8"/>
      <name val="Times New Roman"/>
      <family val="1"/>
    </font>
    <font>
      <i/>
      <vertAlign val="subscript"/>
      <sz val="16"/>
      <color indexed="8"/>
      <name val="Times New Roman"/>
      <family val="1"/>
    </font>
    <font>
      <b/>
      <sz val="30"/>
      <color theme="1"/>
      <name val="Arial"/>
      <family val="2"/>
    </font>
    <font>
      <vertAlign val="subscript"/>
      <sz val="12"/>
      <color theme="1"/>
      <name val="Arial"/>
      <family val="2"/>
    </font>
    <font>
      <b/>
      <sz val="20"/>
      <color theme="1"/>
      <name val="Arial"/>
      <family val="2"/>
    </font>
    <font>
      <b/>
      <sz val="18"/>
      <color theme="1"/>
      <name val="Arial"/>
      <family val="2"/>
    </font>
    <font>
      <b/>
      <sz val="18"/>
      <name val="Arial"/>
      <family val="2"/>
    </font>
    <font>
      <sz val="18"/>
      <color rgb="FF00B050"/>
      <name val="Times New Roman"/>
      <family val="1"/>
    </font>
    <font>
      <sz val="18"/>
      <color rgb="FFFF0000"/>
      <name val="Times New Roman"/>
      <family val="1"/>
    </font>
    <font>
      <sz val="10"/>
      <color rgb="FFFF0000"/>
      <name val="Times New Roman"/>
      <family val="1"/>
    </font>
    <font>
      <sz val="12"/>
      <color rgb="FFFF0000"/>
      <name val="Times New Roman"/>
      <family val="1"/>
    </font>
    <font>
      <b/>
      <i/>
      <sz val="10"/>
      <name val="Arial"/>
      <family val="2"/>
    </font>
    <font>
      <b/>
      <sz val="36"/>
      <name val="Arial"/>
      <family val="2"/>
    </font>
    <font>
      <sz val="12"/>
      <color indexed="81"/>
      <name val="Symbol"/>
      <family val="1"/>
      <charset val="2"/>
    </font>
    <font>
      <b/>
      <sz val="12"/>
      <color theme="1"/>
      <name val="Arial"/>
      <family val="2"/>
    </font>
    <font>
      <sz val="20"/>
      <color theme="1"/>
      <name val="Arial"/>
      <family val="2"/>
    </font>
    <font>
      <sz val="20"/>
      <name val="Arial"/>
      <family val="2"/>
    </font>
    <font>
      <sz val="12"/>
      <color rgb="FF454545"/>
      <name val="Courier New"/>
      <family val="3"/>
    </font>
    <font>
      <sz val="10"/>
      <name val="Arial"/>
      <family val="2"/>
    </font>
    <font>
      <sz val="12"/>
      <color rgb="FF000000"/>
      <name val="Arial"/>
      <family val="2"/>
    </font>
    <font>
      <b/>
      <sz val="13"/>
      <color theme="1"/>
      <name val="Arial"/>
      <family val="2"/>
    </font>
    <font>
      <i/>
      <sz val="14"/>
      <color theme="1"/>
      <name val="Times New Roman"/>
      <family val="1"/>
    </font>
    <font>
      <vertAlign val="subscript"/>
      <sz val="14"/>
      <color theme="1"/>
      <name val="Times New Roman"/>
      <family val="1"/>
    </font>
    <font>
      <sz val="14"/>
      <color theme="1"/>
      <name val="Symbol"/>
      <family val="1"/>
      <charset val="2"/>
    </font>
    <font>
      <b/>
      <sz val="36"/>
      <color theme="1"/>
      <name val="Arial"/>
      <family val="2"/>
    </font>
    <font>
      <b/>
      <sz val="72"/>
      <color theme="1"/>
      <name val="Arial"/>
      <family val="2"/>
    </font>
    <font>
      <sz val="12"/>
      <color indexed="81"/>
      <name val="Times New Roman"/>
      <family val="1"/>
    </font>
    <font>
      <b/>
      <vertAlign val="superscript"/>
      <sz val="36"/>
      <color theme="1"/>
      <name val="Arial"/>
      <family val="2"/>
    </font>
    <font>
      <sz val="19"/>
      <color theme="1"/>
      <name val="Arial"/>
      <family val="2"/>
    </font>
    <font>
      <vertAlign val="superscript"/>
      <sz val="19"/>
      <color theme="1"/>
      <name val="Arial"/>
      <family val="2"/>
    </font>
    <font>
      <b/>
      <sz val="22"/>
      <color theme="1"/>
      <name val="Arial"/>
      <family val="2"/>
    </font>
    <font>
      <sz val="22"/>
      <color theme="1"/>
      <name val="Arial"/>
      <family val="2"/>
    </font>
    <font>
      <b/>
      <sz val="16"/>
      <color theme="1"/>
      <name val="Calibri"/>
      <family val="2"/>
      <scheme val="minor"/>
    </font>
    <font>
      <sz val="16"/>
      <color theme="1"/>
      <name val="Times New Roman"/>
      <family val="1"/>
    </font>
    <font>
      <i/>
      <vertAlign val="subscript"/>
      <sz val="16"/>
      <color theme="1"/>
      <name val="Times New Roman"/>
      <family val="1"/>
    </font>
    <font>
      <i/>
      <sz val="16"/>
      <color theme="1"/>
      <name val="Times New Roman"/>
      <family val="1"/>
    </font>
    <font>
      <vertAlign val="subscript"/>
      <sz val="16"/>
      <color theme="1"/>
      <name val="Times New Roman"/>
      <family val="1"/>
    </font>
    <font>
      <sz val="16"/>
      <color theme="1"/>
      <name val="Symbol"/>
      <family val="1"/>
      <charset val="2"/>
    </font>
    <font>
      <sz val="16"/>
      <name val="Symbol"/>
      <family val="1"/>
      <charset val="2"/>
    </font>
    <font>
      <sz val="16"/>
      <name val="Calibri"/>
      <family val="2"/>
    </font>
    <font>
      <b/>
      <sz val="12"/>
      <color theme="1"/>
      <name val="Symbol"/>
      <family val="1"/>
      <charset val="2"/>
    </font>
    <font>
      <b/>
      <vertAlign val="superscript"/>
      <sz val="12"/>
      <name val="Arial"/>
      <family val="2"/>
    </font>
    <font>
      <b/>
      <sz val="16"/>
      <name val="Times New Roman"/>
      <family val="1"/>
    </font>
    <font>
      <sz val="11"/>
      <color rgb="FF222222"/>
      <name val="Calibri"/>
      <family val="2"/>
      <scheme val="minor"/>
    </font>
    <font>
      <sz val="11"/>
      <color rgb="FF000000"/>
      <name val="Calibri"/>
      <family val="2"/>
      <scheme val="minor"/>
    </font>
    <font>
      <i/>
      <sz val="11"/>
      <name val="Calibri"/>
      <family val="2"/>
      <scheme val="minor"/>
    </font>
    <font>
      <sz val="11"/>
      <color theme="1"/>
      <name val="Calibri"/>
      <family val="2"/>
      <scheme val="minor"/>
    </font>
    <font>
      <b/>
      <sz val="24"/>
      <name val="Arial"/>
      <family val="2"/>
    </font>
    <font>
      <b/>
      <sz val="24"/>
      <color theme="1"/>
      <name val="Arial"/>
      <family val="2"/>
    </font>
    <font>
      <b/>
      <sz val="26"/>
      <color theme="1"/>
      <name val="Arial"/>
      <family val="2"/>
    </font>
    <font>
      <b/>
      <sz val="20"/>
      <name val="Times New Roman"/>
      <family val="1"/>
    </font>
    <font>
      <b/>
      <sz val="60"/>
      <name val="Times New Roman"/>
      <family val="1"/>
    </font>
    <font>
      <b/>
      <sz val="17"/>
      <name val="Arial"/>
      <family val="2"/>
    </font>
    <font>
      <b/>
      <sz val="18.7"/>
      <color theme="1"/>
      <name val="Arial"/>
      <family val="2"/>
    </font>
    <font>
      <b/>
      <sz val="28"/>
      <color theme="1"/>
      <name val="Arial"/>
      <family val="2"/>
    </font>
    <font>
      <sz val="20"/>
      <color theme="1"/>
      <name val="Calibri"/>
      <family val="2"/>
      <scheme val="minor"/>
    </font>
    <font>
      <sz val="14"/>
      <color theme="1"/>
      <name val="Calibri"/>
      <family val="2"/>
      <scheme val="minor"/>
    </font>
    <font>
      <sz val="24"/>
      <color theme="1"/>
      <name val="Calibri"/>
      <family val="2"/>
      <scheme val="minor"/>
    </font>
    <font>
      <sz val="16"/>
      <color theme="1"/>
      <name val="Calibri"/>
      <family val="2"/>
      <scheme val="minor"/>
    </font>
    <font>
      <vertAlign val="superscript"/>
      <sz val="16"/>
      <color theme="1"/>
      <name val="Calibri"/>
      <family val="2"/>
      <scheme val="minor"/>
    </font>
    <font>
      <sz val="18"/>
      <name val="Times New Roman"/>
      <family val="1"/>
    </font>
    <font>
      <sz val="18"/>
      <name val="Symbol"/>
      <family val="1"/>
      <charset val="2"/>
    </font>
    <font>
      <vertAlign val="superscript"/>
      <sz val="18"/>
      <name val="Times New Roman"/>
      <family val="1"/>
    </font>
    <font>
      <vertAlign val="subscript"/>
      <sz val="18"/>
      <name val="Times New Roman"/>
      <family val="1"/>
    </font>
  </fonts>
  <fills count="12">
    <fill>
      <patternFill patternType="none"/>
    </fill>
    <fill>
      <patternFill patternType="gray125"/>
    </fill>
    <fill>
      <patternFill patternType="solid">
        <fgColor rgb="FFFFFF00"/>
        <bgColor indexed="64"/>
      </patternFill>
    </fill>
    <fill>
      <patternFill patternType="solid">
        <fgColor theme="0"/>
        <bgColor indexed="64"/>
      </patternFill>
    </fill>
    <fill>
      <patternFill patternType="solid">
        <fgColor rgb="FFFF0000"/>
        <bgColor indexed="64"/>
      </patternFill>
    </fill>
    <fill>
      <patternFill patternType="solid">
        <fgColor rgb="FFC6EFCE"/>
      </patternFill>
    </fill>
    <fill>
      <patternFill patternType="solid">
        <fgColor rgb="FFFFC7CE"/>
      </patternFill>
    </fill>
    <fill>
      <patternFill patternType="solid">
        <fgColor rgb="FF21FF85"/>
        <bgColor indexed="64"/>
      </patternFill>
    </fill>
    <fill>
      <gradientFill degree="90">
        <stop position="0.0">
          <color rgb="FFFFFF00"/>
        </stop>
        <stop position="1">
          <color theme="0"/>
        </stop>
      </gradientFill>
    </fill>
    <fill>
      <patternFill patternType="solid">
        <fgColor theme="4" tint="0.39997558519242"/>
        <bgColor indexed="64"/>
      </patternFill>
    </fill>
    <fill>
      <patternFill patternType="solid">
        <fgColor theme="0" tint="-0.14999847407453"/>
        <bgColor indexed="64"/>
      </patternFill>
    </fill>
    <fill>
      <patternFill patternType="solid">
        <fgColor theme="4" tint="0.79995117038484"/>
        <bgColor indexed="64"/>
      </patternFill>
    </fill>
  </fills>
  <borders count="105">
    <border>
      <left/>
      <right/>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thin">
        <color indexed="64"/>
      </top>
      <bottom style="thin">
        <color indexed="64"/>
      </bottom>
      <diagonal/>
    </border>
    <border>
      <left/>
      <right style="medium">
        <color indexed="64"/>
      </right>
      <top style="medium">
        <color indexed="64"/>
      </top>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top style="medium">
        <color indexed="64"/>
      </top>
      <bottom style="medium">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medium">
        <color indexed="64"/>
      </left>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bottom style="thin">
        <color indexed="64"/>
      </bottom>
      <diagonal/>
    </border>
    <border>
      <left/>
      <right/>
      <top style="medium">
        <color indexed="64"/>
      </top>
      <bottom/>
      <diagonal/>
    </border>
    <border>
      <left style="medium">
        <color indexed="64"/>
      </left>
      <right/>
      <top/>
      <bottom/>
      <diagonal/>
    </border>
    <border>
      <left style="thin">
        <color indexed="64"/>
      </left>
      <right style="medium">
        <color indexed="64"/>
      </right>
      <top/>
      <bottom style="thin">
        <color indexed="64"/>
      </bottom>
      <diagonal/>
    </border>
    <border>
      <left/>
      <right style="thin">
        <color indexed="64"/>
      </right>
      <top style="medium">
        <color indexed="64"/>
      </top>
      <bottom style="thin">
        <color indexed="64"/>
      </bottom>
      <diagonal/>
    </border>
    <border>
      <left style="medium">
        <color indexed="64"/>
      </left>
      <right style="medium">
        <color indexed="64"/>
      </right>
      <top/>
      <bottom style="medium">
        <color indexed="64"/>
      </bottom>
      <diagonal/>
    </border>
    <border>
      <left/>
      <right/>
      <top/>
      <bottom style="medium">
        <color indexed="64"/>
      </bottom>
      <diagonal/>
    </border>
    <border>
      <left/>
      <right style="medium">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ck">
        <color indexed="64"/>
      </left>
      <right/>
      <top style="thick">
        <color indexed="64"/>
      </top>
      <bottom style="thick">
        <color indexed="64"/>
      </bottom>
      <diagonal/>
    </border>
    <border>
      <left/>
      <right style="thick">
        <color indexed="64"/>
      </right>
      <top style="thick">
        <color indexed="64"/>
      </top>
      <bottom style="thick">
        <color indexed="64"/>
      </bottom>
      <diagonal/>
    </border>
    <border>
      <left style="double">
        <color indexed="64"/>
      </left>
      <right style="double">
        <color indexed="64"/>
      </right>
      <top style="double">
        <color indexed="64"/>
      </top>
      <bottom style="double">
        <color indexed="64"/>
      </bottom>
      <diagonal/>
    </border>
    <border>
      <left style="double">
        <color indexed="64"/>
      </left>
      <right/>
      <top/>
      <bottom/>
      <diagonal/>
    </border>
    <border>
      <left/>
      <right style="medium">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style="medium">
        <color indexed="64"/>
      </left>
      <right style="thin">
        <color indexed="64"/>
      </right>
      <top/>
      <bottom style="thin">
        <color indexed="64"/>
      </bottom>
      <diagonal/>
    </border>
    <border>
      <left style="thin">
        <color indexed="64"/>
      </left>
      <right/>
      <top/>
      <bottom style="thin">
        <color indexed="64"/>
      </bottom>
      <diagonal/>
    </border>
    <border>
      <left style="medium">
        <color indexed="64"/>
      </left>
      <right style="thin">
        <color indexed="64"/>
      </right>
      <top style="medium">
        <color indexed="64"/>
      </top>
      <bottom/>
      <diagonal/>
    </border>
    <border>
      <left/>
      <right/>
      <top style="thin">
        <color indexed="64"/>
      </top>
      <bottom style="medium">
        <color indexed="64"/>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top style="thin">
        <color indexed="64"/>
      </top>
      <bottom style="thin">
        <color indexed="64"/>
      </bottom>
      <diagonal/>
    </border>
    <border>
      <left style="thin">
        <color indexed="64"/>
      </left>
      <right/>
      <top style="medium">
        <color indexed="64"/>
      </top>
      <bottom style="thin">
        <color indexed="64"/>
      </bottom>
      <diagonal/>
    </border>
    <border>
      <left style="thin">
        <color indexed="64"/>
      </left>
      <right/>
      <top style="medium">
        <color indexed="64"/>
      </top>
      <bottom style="medium">
        <color indexed="64"/>
      </bottom>
      <diagonal/>
    </border>
    <border>
      <left/>
      <right/>
      <top style="medium">
        <color indexed="64"/>
      </top>
      <bottom style="thin">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style="thin">
        <color indexed="64"/>
      </right>
      <top/>
      <bottom/>
      <diagonal/>
    </border>
    <border>
      <left style="thin">
        <color indexed="64"/>
      </left>
      <right style="medium">
        <color indexed="64"/>
      </right>
      <top/>
      <bottom/>
      <diagonal/>
    </border>
    <border>
      <left/>
      <right/>
      <top/>
      <bottom style="thin">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medium">
        <color indexed="64"/>
      </left>
      <right style="medium">
        <color indexed="64"/>
      </right>
      <top style="medium">
        <color indexed="64"/>
      </top>
      <bottom/>
      <diagonal/>
    </border>
    <border>
      <left/>
      <right/>
      <top style="thin">
        <color indexed="64"/>
      </top>
      <bottom/>
      <diagonal/>
    </border>
    <border>
      <left style="medium">
        <color indexed="64"/>
      </left>
      <right/>
      <top style="thin">
        <color indexed="64"/>
      </top>
      <bottom/>
      <diagonal/>
    </border>
    <border>
      <left/>
      <right style="medium">
        <color indexed="64"/>
      </right>
      <top style="thin">
        <color indexed="64"/>
      </top>
      <bottom/>
      <diagonal/>
    </border>
    <border>
      <left style="medium">
        <color indexed="64"/>
      </left>
      <right/>
      <top/>
      <bottom style="thin">
        <color indexed="64"/>
      </bottom>
      <diagonal/>
    </border>
    <border>
      <left/>
      <right style="medium">
        <color indexed="64"/>
      </right>
      <top/>
      <bottom style="thin">
        <color indexed="64"/>
      </bottom>
      <diagonal/>
    </border>
    <border>
      <left/>
      <right/>
      <top style="medium">
        <color indexed="64"/>
      </top>
      <bottom style="medium">
        <color indexed="64"/>
      </bottom>
      <diagonal/>
    </border>
    <border>
      <left style="thin">
        <color indexed="64"/>
      </left>
      <right style="dotted">
        <color indexed="64"/>
      </right>
      <top style="thin">
        <color indexed="64"/>
      </top>
      <bottom style="thin">
        <color indexed="64"/>
      </bottom>
      <diagonal/>
    </border>
    <border>
      <left style="medium">
        <color indexed="64"/>
      </left>
      <right style="dotted">
        <color indexed="64"/>
      </right>
      <top style="thin">
        <color indexed="64"/>
      </top>
      <bottom style="thin">
        <color indexed="64"/>
      </bottom>
      <diagonal/>
    </border>
    <border>
      <left style="medium">
        <color indexed="64"/>
      </left>
      <right style="dotted">
        <color indexed="64"/>
      </right>
      <top style="thin">
        <color indexed="64"/>
      </top>
      <bottom style="medium">
        <color indexed="64"/>
      </bottom>
      <diagonal/>
    </border>
    <border>
      <left style="thin">
        <color indexed="64"/>
      </left>
      <right style="dotted">
        <color indexed="64"/>
      </right>
      <top style="thin">
        <color indexed="64"/>
      </top>
      <bottom style="medium">
        <color indexed="64"/>
      </bottom>
      <diagonal/>
    </border>
    <border>
      <left/>
      <right style="thin">
        <color indexed="64"/>
      </right>
      <top style="medium">
        <color indexed="64"/>
      </top>
      <bottom style="medium">
        <color indexed="64"/>
      </bottom>
      <diagonal/>
    </border>
    <border>
      <left style="mediumDashed">
        <color auto="true"/>
      </left>
      <right/>
      <top style="mediumDashed">
        <color auto="true"/>
      </top>
      <bottom style="mediumDashed">
        <color auto="true"/>
      </bottom>
      <diagonal/>
    </border>
    <border>
      <left/>
      <right/>
      <top style="mediumDashed">
        <color auto="true"/>
      </top>
      <bottom style="mediumDashed">
        <color auto="true"/>
      </bottom>
      <diagonal/>
    </border>
    <border>
      <left/>
      <right style="mediumDashed">
        <color auto="true"/>
      </right>
      <top style="mediumDashed">
        <color auto="true"/>
      </top>
      <bottom style="mediumDashed">
        <color auto="true"/>
      </bottom>
      <diagonal/>
    </border>
    <border>
      <left style="thin">
        <color indexed="64"/>
      </left>
      <right/>
      <top style="medium">
        <color indexed="64"/>
      </top>
      <bottom/>
      <diagonal/>
    </border>
    <border>
      <left/>
      <right style="thin">
        <color indexed="64"/>
      </right>
      <top style="medium">
        <color indexed="64"/>
      </top>
      <bottom/>
      <diagonal/>
    </border>
    <border>
      <left style="mediumDashed">
        <color indexed="64"/>
      </left>
      <right style="mediumDashed">
        <color indexed="64"/>
      </right>
      <top style="mediumDashed">
        <color indexed="64"/>
      </top>
      <bottom style="mediumDashed">
        <color indexed="64"/>
      </bottom>
      <diagonal/>
    </border>
    <border>
      <left/>
      <right/>
      <top style="mediumDashed">
        <color indexed="64"/>
      </top>
      <bottom/>
      <diagonal/>
    </border>
    <border>
      <left/>
      <right style="mediumDashed">
        <color indexed="64"/>
      </right>
      <top style="mediumDashed">
        <color indexed="64"/>
      </top>
      <bottom/>
      <diagonal/>
    </border>
    <border>
      <left style="mediumDashed">
        <color indexed="64"/>
      </left>
      <right/>
      <top/>
      <bottom/>
      <diagonal/>
    </border>
    <border>
      <left/>
      <right style="mediumDashed">
        <color indexed="64"/>
      </right>
      <top/>
      <bottom/>
      <diagonal/>
    </border>
    <border>
      <left style="mediumDashed">
        <color indexed="64"/>
      </left>
      <right/>
      <top/>
      <bottom style="mediumDashed">
        <color indexed="64"/>
      </bottom>
      <diagonal/>
    </border>
    <border>
      <left/>
      <right/>
      <top/>
      <bottom style="mediumDashed">
        <color indexed="64"/>
      </bottom>
      <diagonal/>
    </border>
    <border>
      <left/>
      <right style="mediumDashed">
        <color indexed="64"/>
      </right>
      <top/>
      <bottom style="mediumDashed">
        <color indexed="64"/>
      </bottom>
      <diagonal/>
    </border>
    <border>
      <left style="mediumDashed">
        <color indexed="64"/>
      </left>
      <right style="mediumDashed">
        <color indexed="64"/>
      </right>
      <top style="mediumDashed">
        <color indexed="64"/>
      </top>
      <bottom/>
      <diagonal/>
    </border>
    <border>
      <left style="mediumDashed">
        <color indexed="64"/>
      </left>
      <right/>
      <top style="mediumDashed">
        <color indexed="64"/>
      </top>
      <bottom/>
      <diagonal/>
    </border>
    <border>
      <left style="double">
        <color indexed="64"/>
      </left>
      <right/>
      <top style="double">
        <color indexed="64"/>
      </top>
      <bottom style="double">
        <color indexed="64"/>
      </bottom>
      <diagonal/>
    </border>
    <border>
      <left/>
      <right/>
      <top style="double">
        <color indexed="64"/>
      </top>
      <bottom style="double">
        <color indexed="64"/>
      </bottom>
      <diagonal/>
    </border>
    <border>
      <left/>
      <right style="double">
        <color indexed="64"/>
      </right>
      <top style="double">
        <color indexed="64"/>
      </top>
      <bottom style="double">
        <color indexed="64"/>
      </bottom>
      <diagonal/>
    </border>
    <border>
      <left/>
      <right/>
      <top style="medium">
        <color indexed="64"/>
      </top>
      <bottom style="mediumDashed">
        <color indexed="64"/>
      </bottom>
      <diagonal/>
    </border>
    <border>
      <left style="mediumDashDot">
        <color indexed="64"/>
      </left>
      <right/>
      <top style="mediumDashDot">
        <color indexed="64"/>
      </top>
      <bottom/>
      <diagonal/>
    </border>
    <border>
      <left/>
      <right/>
      <top style="mediumDashDot">
        <color indexed="64"/>
      </top>
      <bottom/>
      <diagonal/>
    </border>
    <border>
      <left/>
      <right style="mediumDashDot">
        <color indexed="64"/>
      </right>
      <top style="mediumDashDot">
        <color indexed="64"/>
      </top>
      <bottom/>
      <diagonal/>
    </border>
    <border>
      <left style="mediumDashDot">
        <color indexed="64"/>
      </left>
      <right/>
      <top/>
      <bottom/>
      <diagonal/>
    </border>
    <border>
      <left/>
      <right style="mediumDashDot">
        <color indexed="64"/>
      </right>
      <top/>
      <bottom/>
      <diagonal/>
    </border>
    <border>
      <left style="mediumDashDot">
        <color indexed="64"/>
      </left>
      <right/>
      <top/>
      <bottom style="mediumDashDot">
        <color indexed="64"/>
      </bottom>
      <diagonal/>
    </border>
    <border>
      <left/>
      <right/>
      <top/>
      <bottom style="mediumDashDot">
        <color indexed="64"/>
      </bottom>
      <diagonal/>
    </border>
    <border>
      <left/>
      <right style="mediumDashDot">
        <color indexed="64"/>
      </right>
      <top/>
      <bottom style="mediumDashDot">
        <color indexed="64"/>
      </bottom>
      <diagonal/>
    </border>
    <border/>
  </borders>
  <cellStyleXfs count="8">
    <xf numFmtId="0" fontId="0" fillId="0" borderId="0"/>
    <xf numFmtId="0" fontId="13" fillId="0" borderId="0"/>
    <xf numFmtId="0" fontId="61" fillId="0" borderId="0" applyNumberFormat="false" applyFill="false" applyBorder="false" applyAlignment="false" applyProtection="false">
      <alignment vertical="top"/>
      <protection locked="false"/>
    </xf>
    <xf numFmtId="0" fontId="27" fillId="0" borderId="0"/>
    <xf numFmtId="0" fontId="122" fillId="5" borderId="0" applyNumberFormat="false" applyBorder="false" applyAlignment="false" applyProtection="false"/>
    <xf numFmtId="0" fontId="123" fillId="6" borderId="0" applyNumberFormat="false" applyBorder="false" applyAlignment="false" applyProtection="false"/>
    <xf numFmtId="43" fontId="134" fillId="0" borderId="0" applyFont="false" applyFill="false" applyBorder="false" applyAlignment="false" applyProtection="false"/>
    <xf numFmtId="0" fontId="160" fillId="0" borderId="0"/>
  </cellStyleXfs>
  <cellXfs count="2183">
    <xf numFmtId="0" fontId="0" fillId="0" borderId="0" xfId="0"/>
    <xf numFmtId="0" fontId="17" fillId="0" borderId="5" xfId="0" applyFont="true" applyBorder="true"/>
    <xf numFmtId="0" fontId="45" fillId="0" borderId="5" xfId="1" applyFont="true" applyBorder="true"/>
    <xf numFmtId="0" fontId="17" fillId="0" borderId="8" xfId="0" applyFont="true" applyBorder="true"/>
    <xf numFmtId="0" fontId="17" fillId="0" borderId="7" xfId="0" applyFont="true" applyBorder="true"/>
    <xf numFmtId="0" fontId="45" fillId="0" borderId="11" xfId="1" applyFont="true" applyBorder="true" applyAlignment="true">
      <alignment horizontal="center" vertical="center"/>
    </xf>
    <xf numFmtId="0" fontId="166" fillId="0" borderId="0" xfId="1" applyFont="true"/>
    <xf numFmtId="0" fontId="166" fillId="0" borderId="0" xfId="1" applyFont="true" applyAlignment="true">
      <alignment horizontal="center" vertical="center"/>
    </xf>
    <xf numFmtId="0" fontId="45" fillId="0" borderId="0" xfId="1" applyFont="true"/>
    <xf numFmtId="0" fontId="45" fillId="0" borderId="0" xfId="1" applyFont="true" applyAlignment="true">
      <alignment horizontal="center" vertical="center"/>
    </xf>
    <xf numFmtId="0" fontId="71" fillId="0" borderId="0" xfId="1" applyFont="true" applyAlignment="true">
      <alignment horizontal="center" vertical="center"/>
    </xf>
    <xf numFmtId="0" fontId="146" fillId="0" borderId="0" xfId="1" applyFont="true"/>
    <xf numFmtId="0" fontId="45" fillId="2" borderId="5" xfId="1" applyFont="true" applyFill="true" applyBorder="true" applyAlignment="true">
      <alignment vertical="center"/>
    </xf>
    <xf numFmtId="0" fontId="17" fillId="2" borderId="54" xfId="0" applyFont="true" applyFill="true" applyBorder="true"/>
    <xf numFmtId="0" fontId="45" fillId="8" borderId="54" xfId="1" applyFont="true" applyFill="true" applyBorder="true" applyAlignment="true">
      <alignment vertical="center" wrapText="true"/>
    </xf>
    <xf numFmtId="0" fontId="45" fillId="8" borderId="42" xfId="1" applyFont="true" applyFill="true" applyBorder="true" applyAlignment="true">
      <alignment vertical="center" wrapText="true"/>
    </xf>
    <xf numFmtId="0" fontId="17" fillId="0" borderId="55" xfId="0" applyFont="true" applyBorder="true"/>
    <xf numFmtId="0" fontId="45" fillId="2" borderId="5" xfId="1" applyFont="true" applyFill="true" applyBorder="true" applyAlignment="true">
      <alignment horizontal="left" vertical="center"/>
    </xf>
    <xf numFmtId="0" fontId="97" fillId="0" borderId="0" xfId="1" applyFont="true"/>
    <xf numFmtId="0" fontId="45" fillId="0" borderId="7" xfId="1" applyFont="true" applyBorder="true"/>
    <xf numFmtId="0" fontId="45" fillId="0" borderId="1" xfId="1" applyFont="true" applyBorder="true"/>
    <xf numFmtId="0" fontId="45" fillId="0" borderId="2" xfId="1" applyFont="true" applyBorder="true"/>
    <xf numFmtId="0" fontId="45" fillId="0" borderId="10" xfId="1" applyFont="true" applyBorder="true"/>
    <xf numFmtId="0" fontId="18" fillId="0" borderId="1" xfId="0" applyFont="true" applyBorder="true" applyAlignment="true">
      <alignment vertical="center"/>
    </xf>
    <xf numFmtId="0" fontId="18" fillId="0" borderId="5" xfId="0" applyFont="true" applyBorder="true" applyAlignment="true">
      <alignment vertical="center"/>
    </xf>
    <xf numFmtId="0" fontId="18" fillId="0" borderId="7" xfId="0" applyFont="true" applyBorder="true" applyAlignment="true">
      <alignment vertical="center"/>
    </xf>
    <xf numFmtId="0" fontId="45" fillId="2" borderId="1" xfId="1" applyFont="true" applyFill="true" applyBorder="true" applyAlignment="true">
      <alignment horizontal="left" vertical="center"/>
    </xf>
    <xf numFmtId="0" fontId="45" fillId="2" borderId="5" xfId="1" applyFont="true" applyFill="true" applyBorder="true" applyAlignment="true">
      <alignment horizontal="center" vertical="center"/>
    </xf>
    <xf numFmtId="0" fontId="45" fillId="2" borderId="22" xfId="1" applyFont="true" applyFill="true" applyBorder="true" applyAlignment="true">
      <alignment horizontal="left" vertical="center"/>
    </xf>
    <xf numFmtId="0" fontId="45" fillId="2" borderId="16" xfId="1" applyFont="true" applyFill="true" applyBorder="true" applyAlignment="true">
      <alignment horizontal="left" vertical="center"/>
    </xf>
    <xf numFmtId="0" fontId="45" fillId="2" borderId="1" xfId="1" applyFont="true" applyFill="true" applyBorder="true"/>
    <xf numFmtId="0" fontId="45" fillId="2" borderId="54" xfId="1" applyFont="true" applyFill="true" applyBorder="true"/>
    <xf numFmtId="0" fontId="45" fillId="0" borderId="5" xfId="1" applyFont="true" applyBorder="true" applyAlignment="true">
      <alignment vertical="center" wrapText="true"/>
    </xf>
    <xf numFmtId="0" fontId="45" fillId="2" borderId="3" xfId="1" applyFont="true" applyFill="true" applyBorder="true" applyAlignment="true">
      <alignment horizontal="left" vertical="center" wrapText="true"/>
    </xf>
    <xf numFmtId="0" fontId="45" fillId="2" borderId="11" xfId="1" applyFont="true" applyFill="true" applyBorder="true" applyAlignment="true">
      <alignment horizontal="left" vertical="center" wrapText="true"/>
    </xf>
    <xf numFmtId="0" fontId="45" fillId="2" borderId="1" xfId="1" applyFont="true" applyFill="true" applyBorder="true" applyAlignment="true">
      <alignment horizontal="center" vertical="center"/>
    </xf>
    <xf numFmtId="0" fontId="45" fillId="2" borderId="5" xfId="1" applyFont="true" applyFill="true" applyBorder="true" applyAlignment="true">
      <alignment horizontal="left" vertical="center" wrapText="true"/>
    </xf>
    <xf numFmtId="0" fontId="45" fillId="2" borderId="5" xfId="1" applyFont="true" applyFill="true" applyBorder="true" applyAlignment="true">
      <alignment horizontal="center" vertical="center" wrapText="true"/>
    </xf>
    <xf numFmtId="0" fontId="114" fillId="0" borderId="3" xfId="1" applyFont="true" applyBorder="true" applyAlignment="true">
      <alignment horizontal="left" vertical="center"/>
    </xf>
    <xf numFmtId="0" fontId="45" fillId="8" borderId="2" xfId="1" applyFont="true" applyFill="true" applyBorder="true" applyAlignment="true">
      <alignment vertical="center" wrapText="true"/>
    </xf>
    <xf numFmtId="0" fontId="45" fillId="2" borderId="2" xfId="1" applyFont="true" applyFill="true" applyBorder="true" applyAlignment="true">
      <alignment horizontal="left" vertical="center" wrapText="true"/>
    </xf>
    <xf numFmtId="0" fontId="45" fillId="2" borderId="10" xfId="1" applyFont="true" applyFill="true" applyBorder="true" applyAlignment="true">
      <alignment horizontal="left" vertical="center" wrapText="true"/>
    </xf>
    <xf numFmtId="0" fontId="45" fillId="2" borderId="7" xfId="1" applyFont="true" applyFill="true" applyBorder="true" applyAlignment="true">
      <alignment wrapText="true"/>
    </xf>
    <xf numFmtId="0" fontId="172" fillId="0" borderId="0" xfId="1" applyFont="true"/>
    <xf numFmtId="0" fontId="59" fillId="0" borderId="37" xfId="0" applyFont="true" applyBorder="true" applyAlignment="true">
      <alignment horizontal="center" vertical="center"/>
    </xf>
    <xf numFmtId="0" fontId="18" fillId="0" borderId="0" xfId="0" applyFont="true" applyAlignment="true">
      <alignment vertical="center"/>
    </xf>
    <xf numFmtId="0" fontId="174" fillId="0" borderId="27" xfId="1" applyFont="true" applyBorder="true" applyAlignment="true">
      <alignment horizontal="center" vertical="center" wrapText="true"/>
    </xf>
    <xf numFmtId="0" fontId="174" fillId="8" borderId="27" xfId="1" applyFont="true" applyFill="true" applyBorder="true" applyAlignment="true">
      <alignment horizontal="left" vertical="center" wrapText="true"/>
    </xf>
    <xf numFmtId="0" fontId="17" fillId="0" borderId="1" xfId="0" applyFont="true" applyBorder="true"/>
    <xf numFmtId="0" fontId="16" fillId="0" borderId="2" xfId="0" applyFont="true" applyBorder="true"/>
    <xf numFmtId="0" fontId="16" fillId="0" borderId="10" xfId="0" applyFont="true" applyBorder="true"/>
    <xf numFmtId="0" fontId="17" fillId="0" borderId="11" xfId="0" applyFont="true" applyBorder="true"/>
    <xf numFmtId="0" fontId="17" fillId="0" borderId="12" xfId="0" applyFont="true" applyBorder="true"/>
    <xf numFmtId="49" fontId="17" fillId="0" borderId="3" xfId="0" applyNumberFormat="true" applyFont="true" applyBorder="true"/>
    <xf numFmtId="49" fontId="17" fillId="0" borderId="8" xfId="0" applyNumberFormat="true" applyFont="true" applyBorder="true"/>
    <xf numFmtId="0" fontId="17" fillId="0" borderId="3" xfId="0" applyFont="true" applyBorder="true"/>
    <xf numFmtId="0" fontId="17" fillId="0" borderId="11" xfId="0" applyFont="true" applyBorder="true" applyAlignment="true">
      <alignment horizontal="left" vertical="center" wrapText="true"/>
    </xf>
    <xf numFmtId="0" fontId="17" fillId="0" borderId="12" xfId="0" applyFont="true" applyBorder="true" applyAlignment="true">
      <alignment horizontal="left" vertical="center" wrapText="true"/>
    </xf>
    <xf numFmtId="0" fontId="25" fillId="0" borderId="0" xfId="0" applyFont="true"/>
    <xf numFmtId="0" fontId="58" fillId="0" borderId="0" xfId="0" applyFont="true" applyAlignment="true">
      <alignment horizontal="center" vertical="center"/>
    </xf>
    <xf numFmtId="0" fontId="81" fillId="0" borderId="0" xfId="0" applyFont="true" applyProtection="true">
      <protection locked="false"/>
    </xf>
    <xf numFmtId="0" fontId="84" fillId="0" borderId="0" xfId="0" applyFont="true" applyProtection="true">
      <protection locked="false"/>
    </xf>
    <xf numFmtId="0" fontId="17" fillId="0" borderId="0" xfId="0" applyFont="true"/>
    <xf numFmtId="0" fontId="72" fillId="0" borderId="0" xfId="0" applyFont="true" applyProtection="true">
      <protection locked="false"/>
    </xf>
    <xf numFmtId="49" fontId="72" fillId="0" borderId="0" xfId="0" applyNumberFormat="true" applyFont="true" applyAlignment="true" applyProtection="true">
      <alignment horizontal="center" vertical="center"/>
      <protection locked="false"/>
    </xf>
    <xf numFmtId="0" fontId="45" fillId="0" borderId="3" xfId="1" applyFont="true" applyBorder="true" applyAlignment="true">
      <alignment horizontal="center" vertical="center"/>
    </xf>
    <xf numFmtId="0" fontId="45" fillId="0" borderId="0" xfId="1" applyFont="true" applyAlignment="true">
      <alignment wrapText="true"/>
    </xf>
    <xf numFmtId="0" fontId="45" fillId="0" borderId="12" xfId="1" applyFont="true" applyBorder="true"/>
    <xf numFmtId="0" fontId="45" fillId="0" borderId="11" xfId="1" applyFont="true" applyBorder="true"/>
    <xf numFmtId="0" fontId="33" fillId="0" borderId="0" xfId="0" applyFont="true" applyAlignment="true">
      <alignment horizontal="center" vertical="center"/>
    </xf>
    <xf numFmtId="0" fontId="18" fillId="0" borderId="0" xfId="0" applyFont="true" applyAlignment="true">
      <alignment horizontal="center" vertical="center"/>
    </xf>
    <xf numFmtId="0" fontId="16" fillId="3" borderId="0" xfId="0" applyFont="true" applyFill="true" applyAlignment="true">
      <alignment horizontal="center" vertical="center" wrapText="true"/>
    </xf>
    <xf numFmtId="0" fontId="33" fillId="3" borderId="0" xfId="0" applyFont="true" applyFill="true" applyAlignment="true">
      <alignment horizontal="center" vertical="center"/>
    </xf>
    <xf numFmtId="0" fontId="33" fillId="0" borderId="0" xfId="0" applyFont="true"/>
    <xf numFmtId="0" fontId="16" fillId="0" borderId="0" xfId="0" applyFont="true" applyAlignment="true">
      <alignment horizontal="center"/>
    </xf>
    <xf numFmtId="0" fontId="58" fillId="0" borderId="0" xfId="0" applyFont="true" applyAlignment="true">
      <alignment horizontal="justify" vertical="center" wrapText="true"/>
    </xf>
    <xf numFmtId="0" fontId="33" fillId="0" borderId="0" xfId="0" applyFont="true" applyAlignment="true">
      <alignment horizontal="center"/>
    </xf>
    <xf numFmtId="0" fontId="174" fillId="8" borderId="37" xfId="1" applyFont="true" applyFill="true" applyBorder="true" applyAlignment="true">
      <alignment horizontal="left" vertical="center" wrapText="true"/>
    </xf>
    <xf numFmtId="0" fontId="59" fillId="0" borderId="0" xfId="0" applyFont="true" applyAlignment="true">
      <alignment horizontal="center" vertical="center"/>
    </xf>
    <xf numFmtId="0" fontId="36" fillId="3" borderId="18" xfId="0" applyFont="true" applyFill="true" applyBorder="true" applyAlignment="true">
      <alignment horizontal="center" vertical="center"/>
    </xf>
    <xf numFmtId="0" fontId="36" fillId="3" borderId="3" xfId="0" applyFont="true" applyFill="true" applyBorder="true" applyAlignment="true">
      <alignment horizontal="center" vertical="center"/>
    </xf>
    <xf numFmtId="0" fontId="76" fillId="3" borderId="3" xfId="0" applyFont="true" applyFill="true" applyBorder="true" applyAlignment="true">
      <alignment horizontal="center" vertical="center"/>
    </xf>
    <xf numFmtId="0" fontId="33" fillId="0" borderId="0" xfId="0" applyFont="true" applyAlignment="true">
      <alignment horizontal="left"/>
    </xf>
    <xf numFmtId="11" fontId="36" fillId="3" borderId="3" xfId="0" applyNumberFormat="true" applyFont="true" applyFill="true" applyBorder="true" applyAlignment="true">
      <alignment horizontal="center" vertical="center"/>
    </xf>
    <xf numFmtId="0" fontId="65" fillId="3" borderId="3" xfId="0" applyFont="true" applyFill="true" applyBorder="true" applyAlignment="true">
      <alignment horizontal="center" vertical="center" wrapText="true"/>
    </xf>
    <xf numFmtId="0" fontId="17" fillId="3" borderId="3" xfId="0" applyFont="true" applyFill="true" applyBorder="true" applyAlignment="true">
      <alignment horizontal="center" vertical="center" wrapText="true"/>
    </xf>
    <xf numFmtId="0" fontId="65" fillId="3" borderId="3" xfId="0" applyFont="true" applyFill="true" applyBorder="true" applyAlignment="true">
      <alignment horizontal="center" vertical="center"/>
    </xf>
    <xf numFmtId="0" fontId="36" fillId="3" borderId="8" xfId="0" applyFont="true" applyFill="true" applyBorder="true" applyAlignment="true">
      <alignment horizontal="center" vertical="center"/>
    </xf>
    <xf numFmtId="0" fontId="16" fillId="0" borderId="0" xfId="0" applyFont="true" applyAlignment="true">
      <alignment horizontal="center" vertical="center"/>
    </xf>
    <xf numFmtId="0" fontId="64" fillId="0" borderId="0" xfId="0" applyFont="true" applyAlignment="true">
      <alignment horizontal="left" vertical="center" wrapText="true"/>
    </xf>
    <xf numFmtId="0" fontId="60" fillId="0" borderId="0" xfId="0" applyFont="true" applyAlignment="true">
      <alignment horizontal="center" vertical="center" wrapText="true"/>
    </xf>
    <xf numFmtId="0" fontId="18" fillId="0" borderId="0" xfId="0" applyFont="true" applyAlignment="true">
      <alignment horizontal="center" vertical="center" wrapText="true"/>
    </xf>
    <xf numFmtId="0" fontId="36" fillId="3" borderId="0" xfId="0" applyFont="true" applyFill="true" applyAlignment="true">
      <alignment horizontal="center" vertical="center"/>
    </xf>
    <xf numFmtId="0" fontId="15" fillId="0" borderId="0" xfId="0" applyFont="true" applyAlignment="true">
      <alignment horizontal="center" vertical="center"/>
    </xf>
    <xf numFmtId="0" fontId="16" fillId="0" borderId="0" xfId="0" applyFont="true" applyAlignment="true">
      <alignment horizontal="center" vertical="center" wrapText="true"/>
    </xf>
    <xf numFmtId="0" fontId="33" fillId="0" borderId="0" xfId="0" applyFont="true" applyAlignment="true">
      <alignment wrapText="true"/>
    </xf>
    <xf numFmtId="0" fontId="58" fillId="0" borderId="0" xfId="0" applyFont="true" applyAlignment="true">
      <alignment horizontal="center" vertical="center" wrapText="true"/>
    </xf>
    <xf numFmtId="0" fontId="72" fillId="0" borderId="0" xfId="0" applyFont="true" applyAlignment="true">
      <alignment horizontal="center" vertical="center" wrapText="true"/>
    </xf>
    <xf numFmtId="0" fontId="17" fillId="0" borderId="11" xfId="0" applyFont="true" applyBorder="true" applyAlignment="true">
      <alignment horizontal="center" vertical="center"/>
    </xf>
    <xf numFmtId="0" fontId="17" fillId="3" borderId="3" xfId="0" applyFont="true" applyFill="true" applyBorder="true" applyAlignment="true">
      <alignment horizontal="center" vertical="center"/>
    </xf>
    <xf numFmtId="0" fontId="78" fillId="0" borderId="0" xfId="0" applyFont="true" applyAlignment="true">
      <alignment horizontal="center" vertical="center" wrapText="true"/>
    </xf>
    <xf numFmtId="0" fontId="45" fillId="0" borderId="0" xfId="1" applyFont="true" applyAlignment="true">
      <alignment horizontal="left"/>
    </xf>
    <xf numFmtId="0" fontId="17" fillId="0" borderId="0" xfId="0" applyFont="true" applyAlignment="true">
      <alignment horizontal="center" vertical="center" wrapText="true"/>
    </xf>
    <xf numFmtId="0" fontId="64" fillId="0" borderId="0" xfId="0" applyFont="true" applyAlignment="true">
      <alignment vertical="center" wrapText="true"/>
    </xf>
    <xf numFmtId="0" fontId="46" fillId="0" borderId="52" xfId="1" applyFont="true" applyBorder="true"/>
    <xf numFmtId="0" fontId="46" fillId="0" borderId="52" xfId="1" applyFont="true" applyBorder="true" applyAlignment="true">
      <alignment vertical="center"/>
    </xf>
    <xf numFmtId="0" fontId="45" fillId="2" borderId="48" xfId="1" applyFont="true" applyFill="true" applyBorder="true" applyAlignment="true">
      <alignment vertical="center"/>
    </xf>
    <xf numFmtId="0" fontId="45" fillId="2" borderId="48" xfId="1" applyFont="true" applyFill="true" applyBorder="true"/>
    <xf numFmtId="0" fontId="45" fillId="2" borderId="48" xfId="1" applyFont="true" applyFill="true" applyBorder="true" applyAlignment="true">
      <alignment wrapText="true"/>
    </xf>
    <xf numFmtId="0" fontId="17" fillId="2" borderId="48" xfId="0" applyFont="true" applyFill="true" applyBorder="true"/>
    <xf numFmtId="0" fontId="4" fillId="2" borderId="48" xfId="1" applyFont="true" applyFill="true" applyBorder="true" applyAlignment="true">
      <alignment wrapText="true"/>
    </xf>
    <xf numFmtId="0" fontId="17" fillId="2" borderId="67" xfId="0" applyFont="true" applyFill="true" applyBorder="true"/>
    <xf numFmtId="0" fontId="45" fillId="8" borderId="67" xfId="1" applyFont="true" applyFill="true" applyBorder="true" applyAlignment="true">
      <alignment vertical="center" wrapText="true"/>
    </xf>
    <xf numFmtId="0" fontId="45" fillId="8" borderId="69" xfId="1" applyFont="true" applyFill="true" applyBorder="true" applyAlignment="true">
      <alignment vertical="center" wrapText="true"/>
    </xf>
    <xf numFmtId="0" fontId="17" fillId="0" borderId="14" xfId="0" applyFont="true" applyBorder="true"/>
    <xf numFmtId="0" fontId="97" fillId="0" borderId="38" xfId="1" applyFont="true" applyBorder="true" applyAlignment="true">
      <alignment horizontal="center"/>
    </xf>
    <xf numFmtId="0" fontId="45" fillId="2" borderId="48" xfId="1" applyFont="true" applyFill="true" applyBorder="true" applyAlignment="true">
      <alignment horizontal="left" vertical="center"/>
    </xf>
    <xf numFmtId="0" fontId="102" fillId="0" borderId="52" xfId="0" applyFont="true" applyBorder="true" applyAlignment="true">
      <alignment vertical="center"/>
    </xf>
    <xf numFmtId="0" fontId="22" fillId="0" borderId="0" xfId="0" applyFont="true" applyAlignment="true">
      <alignment horizontal="center" vertical="center"/>
    </xf>
    <xf numFmtId="0" fontId="43" fillId="0" borderId="0" xfId="0" applyFont="true" applyAlignment="true">
      <alignment horizontal="left" vertical="center" wrapText="true"/>
    </xf>
    <xf numFmtId="0" fontId="18" fillId="0" borderId="0" xfId="0" applyFont="true" applyAlignment="true">
      <alignment horizontal="justify" vertical="center" wrapText="true"/>
    </xf>
    <xf numFmtId="0" fontId="36" fillId="0" borderId="0" xfId="0" applyFont="true" applyAlignment="true">
      <alignment horizontal="center" vertical="center"/>
    </xf>
    <xf numFmtId="0" fontId="18" fillId="0" borderId="0" xfId="0" applyFont="true" applyAlignment="true">
      <alignment horizontal="left" vertical="center" wrapText="true"/>
    </xf>
    <xf numFmtId="0" fontId="162" fillId="0" borderId="2" xfId="1" applyFont="true" applyBorder="true"/>
    <xf numFmtId="0" fontId="174" fillId="0" borderId="44" xfId="1" applyFont="true" applyBorder="true" applyAlignment="true">
      <alignment horizontal="center" vertical="center" wrapText="true"/>
    </xf>
    <xf numFmtId="0" fontId="174" fillId="8" borderId="44" xfId="1" applyFont="true" applyFill="true" applyBorder="true" applyAlignment="true">
      <alignment horizontal="left" vertical="center" wrapText="true"/>
    </xf>
    <xf numFmtId="0" fontId="17" fillId="0" borderId="0" xfId="0" applyFont="true" applyAlignment="true">
      <alignment vertical="center"/>
    </xf>
    <xf numFmtId="0" fontId="17" fillId="0" borderId="8" xfId="0" applyFont="true" applyBorder="true" applyAlignment="true">
      <alignment horizontal="center" vertical="center"/>
    </xf>
    <xf numFmtId="0" fontId="17" fillId="0" borderId="0" xfId="0" applyFont="true" applyAlignment="true">
      <alignment wrapText="true"/>
    </xf>
    <xf numFmtId="0" fontId="45" fillId="0" borderId="5" xfId="1" applyFont="true" applyBorder="true" applyAlignment="true">
      <alignment horizontal="left" vertical="center" wrapText="true"/>
    </xf>
    <xf numFmtId="0" fontId="45" fillId="0" borderId="3" xfId="1" applyFont="true" applyBorder="true" applyAlignment="true">
      <alignment horizontal="right" vertical="center"/>
    </xf>
    <xf numFmtId="21" fontId="45" fillId="0" borderId="0" xfId="1" applyNumberFormat="true" applyFont="true"/>
    <xf numFmtId="0" fontId="13" fillId="0" borderId="0" xfId="1"/>
    <xf numFmtId="0" fontId="9" fillId="0" borderId="0" xfId="1" applyFont="true"/>
    <xf numFmtId="0" fontId="12" fillId="0" borderId="0" xfId="1" applyFont="true"/>
    <xf numFmtId="49" fontId="45" fillId="0" borderId="0" xfId="1" applyNumberFormat="true" applyFont="true"/>
    <xf numFmtId="0" fontId="17" fillId="0" borderId="88" xfId="0" applyFont="true" applyBorder="true"/>
    <xf numFmtId="0" fontId="45" fillId="0" borderId="88" xfId="1" applyFont="true" applyBorder="true"/>
    <xf numFmtId="0" fontId="45" fillId="0" borderId="83" xfId="1" applyFont="true" applyBorder="true"/>
    <xf numFmtId="0" fontId="17" fillId="0" borderId="83" xfId="0" applyFont="true" applyBorder="true"/>
    <xf numFmtId="0" fontId="45" fillId="3" borderId="0" xfId="1" applyFont="true" applyFill="true"/>
    <xf numFmtId="0" fontId="45" fillId="3" borderId="88" xfId="1" applyFont="true" applyFill="true" applyBorder="true"/>
    <xf numFmtId="0" fontId="45" fillId="3" borderId="83" xfId="1" applyFont="true" applyFill="true" applyBorder="true"/>
    <xf numFmtId="0" fontId="45" fillId="3" borderId="83" xfId="1" applyFont="true" applyFill="true" applyBorder="true" applyAlignment="true">
      <alignment wrapText="true"/>
    </xf>
    <xf numFmtId="0" fontId="45" fillId="3" borderId="84" xfId="1" applyFont="true" applyFill="true" applyBorder="true" applyAlignment="true">
      <alignment wrapText="true"/>
    </xf>
    <xf numFmtId="0" fontId="45" fillId="3" borderId="89" xfId="1" applyFont="true" applyFill="true" applyBorder="true"/>
    <xf numFmtId="0" fontId="45" fillId="3" borderId="86" xfId="1" applyFont="true" applyFill="true" applyBorder="true" applyAlignment="true">
      <alignment wrapText="true"/>
    </xf>
    <xf numFmtId="0" fontId="45" fillId="3" borderId="86" xfId="1" applyFont="true" applyFill="true" applyBorder="true"/>
    <xf numFmtId="0" fontId="45" fillId="3" borderId="84" xfId="1" applyFont="true" applyFill="true" applyBorder="true"/>
    <xf numFmtId="0" fontId="97" fillId="3" borderId="38" xfId="1" applyFont="true" applyFill="true" applyBorder="true" applyAlignment="true">
      <alignment horizontal="center"/>
    </xf>
    <xf numFmtId="0" fontId="13" fillId="3" borderId="86" xfId="1" applyFill="true" applyBorder="true"/>
    <xf numFmtId="0" fontId="17" fillId="3" borderId="88" xfId="0" applyFont="true" applyFill="true" applyBorder="true"/>
    <xf numFmtId="0" fontId="5" fillId="3" borderId="88" xfId="1" applyFont="true" applyFill="true" applyBorder="true"/>
    <xf numFmtId="0" fontId="13" fillId="3" borderId="88" xfId="1" applyFill="true" applyBorder="true"/>
    <xf numFmtId="0" fontId="12" fillId="3" borderId="89" xfId="1" applyFont="true" applyFill="true" applyBorder="true" applyAlignment="true">
      <alignment horizontal="center"/>
    </xf>
    <xf numFmtId="0" fontId="0" fillId="3" borderId="83" xfId="0" applyFill="true" applyBorder="true"/>
    <xf numFmtId="0" fontId="13" fillId="3" borderId="83" xfId="1" applyFill="true" applyBorder="true"/>
    <xf numFmtId="0" fontId="13" fillId="3" borderId="84" xfId="1" applyFill="true" applyBorder="true"/>
    <xf numFmtId="0" fontId="0" fillId="3" borderId="88" xfId="0" applyFill="true" applyBorder="true"/>
    <xf numFmtId="0" fontId="17" fillId="3" borderId="83" xfId="0" applyFont="true" applyFill="true" applyBorder="true"/>
    <xf numFmtId="0" fontId="190" fillId="0" borderId="0" xfId="1" applyFont="true"/>
    <xf numFmtId="0" fontId="45" fillId="3" borderId="2" xfId="1" applyFont="true" applyFill="true" applyBorder="true" applyAlignment="true">
      <alignment vertical="center" wrapText="true"/>
    </xf>
    <xf numFmtId="0" fontId="45" fillId="3" borderId="10" xfId="1" applyFont="true" applyFill="true" applyBorder="true" applyAlignment="true">
      <alignment vertical="center" wrapText="true"/>
    </xf>
    <xf numFmtId="0" fontId="45" fillId="3" borderId="11" xfId="1" applyFont="true" applyFill="true" applyBorder="true"/>
    <xf numFmtId="0" fontId="97" fillId="3" borderId="83" xfId="1" applyFont="true" applyFill="true" applyBorder="true"/>
    <xf numFmtId="0" fontId="45" fillId="3" borderId="11" xfId="1" applyFont="true" applyFill="true" applyBorder="true" applyAlignment="true">
      <alignment horizontal="right"/>
    </xf>
    <xf numFmtId="0" fontId="107" fillId="3" borderId="21" xfId="1" applyFont="true" applyFill="true" applyBorder="true" applyAlignment="true">
      <alignment vertical="center"/>
    </xf>
    <xf numFmtId="0" fontId="147" fillId="3" borderId="83" xfId="1" applyFont="true" applyFill="true" applyBorder="true"/>
    <xf numFmtId="0" fontId="17" fillId="3" borderId="3" xfId="0" applyFont="true" applyFill="true" applyBorder="true"/>
    <xf numFmtId="0" fontId="45" fillId="3" borderId="2" xfId="1" applyFont="true" applyFill="true" applyBorder="true" applyAlignment="true">
      <alignment horizontal="left" vertical="center" wrapText="true"/>
    </xf>
    <xf numFmtId="0" fontId="45" fillId="10" borderId="83" xfId="1" applyFont="true" applyFill="true" applyBorder="true"/>
    <xf numFmtId="0" fontId="45" fillId="10" borderId="84" xfId="1" applyFont="true" applyFill="true" applyBorder="true"/>
    <xf numFmtId="0" fontId="45" fillId="10" borderId="0" xfId="1" applyFont="true" applyFill="true"/>
    <xf numFmtId="0" fontId="45" fillId="10" borderId="86" xfId="1" applyFont="true" applyFill="true" applyBorder="true"/>
    <xf numFmtId="0" fontId="147" fillId="10" borderId="0" xfId="1" applyFont="true" applyFill="true"/>
    <xf numFmtId="0" fontId="45" fillId="10" borderId="0" xfId="1" applyFont="true" applyFill="true" applyAlignment="true">
      <alignment wrapText="true"/>
    </xf>
    <xf numFmtId="0" fontId="45" fillId="10" borderId="10" xfId="1" applyFont="true" applyFill="true" applyBorder="true" applyAlignment="true">
      <alignment wrapText="true"/>
    </xf>
    <xf numFmtId="0" fontId="45" fillId="10" borderId="5" xfId="1" applyFont="true" applyFill="true" applyBorder="true" applyAlignment="true">
      <alignment vertical="center"/>
    </xf>
    <xf numFmtId="0" fontId="45" fillId="10" borderId="3" xfId="1" applyFont="true" applyFill="true" applyBorder="true" applyAlignment="true">
      <alignment vertical="center"/>
    </xf>
    <xf numFmtId="0" fontId="148" fillId="10" borderId="0" xfId="1" applyFont="true" applyFill="true"/>
    <xf numFmtId="0" fontId="45" fillId="10" borderId="1" xfId="1" applyFont="true" applyFill="true" applyBorder="true"/>
    <xf numFmtId="0" fontId="45" fillId="10" borderId="2" xfId="1" applyFont="true" applyFill="true" applyBorder="true" applyAlignment="true">
      <alignment horizontal="center" vertical="center" wrapText="true"/>
    </xf>
    <xf numFmtId="0" fontId="17" fillId="10" borderId="2" xfId="0" applyFont="true" applyFill="true" applyBorder="true" applyAlignment="true">
      <alignment vertical="center"/>
    </xf>
    <xf numFmtId="0" fontId="17" fillId="10" borderId="10" xfId="0" applyFont="true" applyFill="true" applyBorder="true"/>
    <xf numFmtId="0" fontId="17" fillId="10" borderId="10" xfId="0" applyFont="true" applyFill="true" applyBorder="true" applyAlignment="true">
      <alignment vertical="center"/>
    </xf>
    <xf numFmtId="0" fontId="45" fillId="10" borderId="5" xfId="1" applyFont="true" applyFill="true" applyBorder="true"/>
    <xf numFmtId="0" fontId="45" fillId="10" borderId="3" xfId="1" applyFont="true" applyFill="true" applyBorder="true"/>
    <xf numFmtId="0" fontId="45" fillId="10" borderId="11" xfId="1" applyFont="true" applyFill="true" applyBorder="true"/>
    <xf numFmtId="0" fontId="45" fillId="10" borderId="2" xfId="1" applyFont="true" applyFill="true" applyBorder="true" applyAlignment="true">
      <alignment wrapText="true"/>
    </xf>
    <xf numFmtId="0" fontId="114" fillId="10" borderId="10" xfId="1" applyFont="true" applyFill="true" applyBorder="true" applyAlignment="true">
      <alignment horizontal="center" vertical="center"/>
    </xf>
    <xf numFmtId="0" fontId="0" fillId="10" borderId="0" xfId="0" applyFill="true"/>
    <xf numFmtId="0" fontId="45" fillId="10" borderId="2" xfId="1" applyFont="true" applyFill="true" applyBorder="true" applyAlignment="true">
      <alignment vertical="center" wrapText="true"/>
    </xf>
    <xf numFmtId="0" fontId="148" fillId="10" borderId="62" xfId="1" applyFont="true" applyFill="true" applyBorder="true"/>
    <xf numFmtId="0" fontId="45" fillId="10" borderId="0" xfId="1" applyFont="true" applyFill="true" applyAlignment="true">
      <alignment horizontal="center" vertical="center"/>
    </xf>
    <xf numFmtId="0" fontId="18" fillId="10" borderId="46" xfId="0" applyFont="true" applyFill="true" applyBorder="true" applyAlignment="true">
      <alignment vertical="center"/>
    </xf>
    <xf numFmtId="0" fontId="18" fillId="10" borderId="0" xfId="0" applyFont="true" applyFill="true" applyAlignment="true">
      <alignment vertical="center"/>
    </xf>
    <xf numFmtId="0" fontId="17" fillId="3" borderId="2" xfId="0" applyFont="true" applyFill="true" applyBorder="true" applyAlignment="true">
      <alignment horizontal="left" vertical="center"/>
    </xf>
    <xf numFmtId="0" fontId="0" fillId="3" borderId="1" xfId="0" applyFill="true" applyBorder="true"/>
    <xf numFmtId="0" fontId="17" fillId="3" borderId="2" xfId="0" applyFont="true" applyFill="true" applyBorder="true" applyAlignment="true">
      <alignment vertical="center" wrapText="true"/>
    </xf>
    <xf numFmtId="0" fontId="17" fillId="3" borderId="10" xfId="0" applyFont="true" applyFill="true" applyBorder="true" applyAlignment="true">
      <alignment vertical="center" wrapText="true"/>
    </xf>
    <xf numFmtId="0" fontId="146" fillId="10" borderId="83" xfId="1" applyFont="true" applyFill="true" applyBorder="true"/>
    <xf numFmtId="0" fontId="78" fillId="10" borderId="3" xfId="0" applyFont="true" applyFill="true" applyBorder="true"/>
    <xf numFmtId="0" fontId="17" fillId="10" borderId="3" xfId="0" applyFont="true" applyFill="true" applyBorder="true"/>
    <xf numFmtId="0" fontId="45" fillId="10" borderId="30" xfId="1" applyFont="true" applyFill="true" applyBorder="true" applyAlignment="true">
      <alignment vertical="center" wrapText="true"/>
    </xf>
    <xf numFmtId="0" fontId="45" fillId="10" borderId="31" xfId="1" applyFont="true" applyFill="true" applyBorder="true" applyAlignment="true">
      <alignment vertical="center" wrapText="true"/>
    </xf>
    <xf numFmtId="0" fontId="0" fillId="10" borderId="3" xfId="0" applyFill="true" applyBorder="true"/>
    <xf numFmtId="0" fontId="45" fillId="10" borderId="3" xfId="1" applyFont="true" applyFill="true" applyBorder="true" applyAlignment="true">
      <alignment wrapText="true"/>
    </xf>
    <xf numFmtId="11" fontId="0" fillId="10" borderId="3" xfId="0" applyNumberFormat="true" applyFill="true" applyBorder="true"/>
    <xf numFmtId="0" fontId="78" fillId="10" borderId="46" xfId="0" applyFont="true" applyFill="true" applyBorder="true" applyAlignment="true">
      <alignment horizontal="left" vertical="center" wrapText="true"/>
    </xf>
    <xf numFmtId="0" fontId="78" fillId="10" borderId="46" xfId="0" applyFont="true" applyFill="true" applyBorder="true" applyAlignment="true">
      <alignment horizontal="center" vertical="center" wrapText="true"/>
    </xf>
    <xf numFmtId="168" fontId="0" fillId="10" borderId="3" xfId="0" applyNumberFormat="true" applyFill="true" applyBorder="true"/>
    <xf numFmtId="0" fontId="17" fillId="10" borderId="1" xfId="0" applyFont="true" applyFill="true" applyBorder="true" applyAlignment="true">
      <alignment vertical="center"/>
    </xf>
    <xf numFmtId="0" fontId="45" fillId="10" borderId="10" xfId="1" applyFont="true" applyFill="true" applyBorder="true"/>
    <xf numFmtId="0" fontId="45" fillId="10" borderId="5" xfId="1" applyFont="true" applyFill="true" applyBorder="true" applyAlignment="true">
      <alignment vertical="center" wrapText="true"/>
    </xf>
    <xf numFmtId="0" fontId="45" fillId="10" borderId="7" xfId="1" applyFont="true" applyFill="true" applyBorder="true" applyAlignment="true">
      <alignment vertical="center" wrapText="true"/>
    </xf>
    <xf numFmtId="11" fontId="17" fillId="10" borderId="12" xfId="0" applyNumberFormat="true" applyFont="true" applyFill="true" applyBorder="true"/>
    <xf numFmtId="0" fontId="45" fillId="10" borderId="1" xfId="1" applyFont="true" applyFill="true" applyBorder="true" applyAlignment="true">
      <alignment wrapText="true"/>
    </xf>
    <xf numFmtId="0" fontId="45" fillId="10" borderId="5" xfId="1" applyFont="true" applyFill="true" applyBorder="true" applyAlignment="true">
      <alignment wrapText="true"/>
    </xf>
    <xf numFmtId="0" fontId="17" fillId="10" borderId="7" xfId="0" applyFont="true" applyFill="true" applyBorder="true" applyAlignment="true">
      <alignment wrapText="true"/>
    </xf>
    <xf numFmtId="0" fontId="45" fillId="10" borderId="13" xfId="1" applyFont="true" applyFill="true" applyBorder="true" applyAlignment="true">
      <alignment wrapText="true"/>
    </xf>
    <xf numFmtId="0" fontId="45" fillId="10" borderId="20" xfId="1" applyFont="true" applyFill="true" applyBorder="true" applyAlignment="true">
      <alignment wrapText="true"/>
    </xf>
    <xf numFmtId="0" fontId="45" fillId="10" borderId="14" xfId="1" applyFont="true" applyFill="true" applyBorder="true" applyAlignment="true">
      <alignment wrapText="true"/>
    </xf>
    <xf numFmtId="0" fontId="45" fillId="10" borderId="20" xfId="1" applyFont="true" applyFill="true" applyBorder="true" applyAlignment="true">
      <alignment horizontal="left" wrapText="true"/>
    </xf>
    <xf numFmtId="0" fontId="45" fillId="10" borderId="9" xfId="1" applyFont="true" applyFill="true" applyBorder="true" applyAlignment="true">
      <alignment wrapText="true"/>
    </xf>
    <xf numFmtId="0" fontId="45" fillId="10" borderId="9" xfId="1" applyFont="true" applyFill="true" applyBorder="true" applyAlignment="true">
      <alignment horizontal="left" wrapText="true"/>
    </xf>
    <xf numFmtId="0" fontId="146" fillId="10" borderId="85" xfId="1" applyFont="true" applyFill="true" applyBorder="true"/>
    <xf numFmtId="0" fontId="146" fillId="10" borderId="0" xfId="1" applyFont="true" applyFill="true"/>
    <xf numFmtId="0" fontId="15" fillId="0" borderId="88" xfId="0" applyFont="true" applyBorder="true" applyAlignment="true">
      <alignment horizontal="center" vertical="center"/>
    </xf>
    <xf numFmtId="0" fontId="59" fillId="3" borderId="28" xfId="0" applyFont="true" applyFill="true" applyBorder="true" applyAlignment="true">
      <alignment horizontal="center" vertical="center" wrapText="true"/>
    </xf>
    <xf numFmtId="0" fontId="59" fillId="3" borderId="28" xfId="0" applyFont="true" applyFill="true" applyBorder="true" applyAlignment="true">
      <alignment horizontal="center"/>
    </xf>
    <xf numFmtId="0" fontId="22" fillId="3" borderId="1" xfId="0" applyFont="true" applyFill="true" applyBorder="true" applyAlignment="true">
      <alignment horizontal="center" vertical="center"/>
    </xf>
    <xf numFmtId="49" fontId="101" fillId="3" borderId="2" xfId="0" applyNumberFormat="true" applyFont="true" applyFill="true" applyBorder="true" applyAlignment="true">
      <alignment horizontal="center" vertical="center"/>
    </xf>
    <xf numFmtId="0" fontId="26" fillId="3" borderId="22" xfId="0" applyFont="true" applyFill="true" applyBorder="true" applyAlignment="true">
      <alignment horizontal="justify" vertical="center" wrapText="true"/>
    </xf>
    <xf numFmtId="0" fontId="0" fillId="3" borderId="2" xfId="0" applyFill="true" applyBorder="true"/>
    <xf numFmtId="0" fontId="36" fillId="3" borderId="2" xfId="0" applyFont="true" applyFill="true" applyBorder="true" applyAlignment="true">
      <alignment horizontal="center" vertical="center"/>
    </xf>
    <xf numFmtId="0" fontId="24" fillId="3" borderId="2" xfId="0" applyFont="true" applyFill="true" applyBorder="true" applyAlignment="true">
      <alignment horizontal="left" vertical="center" wrapText="true"/>
    </xf>
    <xf numFmtId="0" fontId="18" fillId="3" borderId="2" xfId="0" applyFont="true" applyFill="true" applyBorder="true" applyAlignment="true">
      <alignment horizontal="center" vertical="center" wrapText="true"/>
    </xf>
    <xf numFmtId="49" fontId="175" fillId="3" borderId="18" xfId="0" applyNumberFormat="true" applyFont="true" applyFill="true" applyBorder="true" applyAlignment="true">
      <alignment horizontal="center" vertical="center"/>
    </xf>
    <xf numFmtId="0" fontId="24" fillId="3" borderId="3" xfId="0" applyFont="true" applyFill="true" applyBorder="true" applyAlignment="true">
      <alignment horizontal="justify" vertical="center" wrapText="true"/>
    </xf>
    <xf numFmtId="0" fontId="0" fillId="3" borderId="3" xfId="0" applyFill="true" applyBorder="true"/>
    <xf numFmtId="49" fontId="175" fillId="3" borderId="3" xfId="0" applyNumberFormat="true" applyFont="true" applyFill="true" applyBorder="true" applyAlignment="true">
      <alignment horizontal="center" vertical="center"/>
    </xf>
    <xf numFmtId="0" fontId="24" fillId="3" borderId="3" xfId="0" applyFont="true" applyFill="true" applyBorder="true" applyAlignment="true">
      <alignment horizontal="left" vertical="center" wrapText="true"/>
    </xf>
    <xf numFmtId="0" fontId="18" fillId="3" borderId="3" xfId="0" applyFont="true" applyFill="true" applyBorder="true" applyAlignment="true">
      <alignment horizontal="left"/>
    </xf>
    <xf numFmtId="0" fontId="18" fillId="3" borderId="3" xfId="0" applyFont="true" applyFill="true" applyBorder="true" applyAlignment="true">
      <alignment horizontal="justify" vertical="center" wrapText="true"/>
    </xf>
    <xf numFmtId="0" fontId="18" fillId="3" borderId="3" xfId="0" applyFont="true" applyFill="true" applyBorder="true" applyAlignment="true">
      <alignment vertical="center"/>
    </xf>
    <xf numFmtId="49" fontId="178" fillId="3" borderId="8" xfId="0" applyNumberFormat="true" applyFont="true" applyFill="true" applyBorder="true" applyAlignment="true">
      <alignment horizontal="center" vertical="center"/>
    </xf>
    <xf numFmtId="0" fontId="18" fillId="3" borderId="8" xfId="0" applyFont="true" applyFill="true" applyBorder="true" applyAlignment="true">
      <alignment horizontal="justify" vertical="center" wrapText="true"/>
    </xf>
    <xf numFmtId="0" fontId="18" fillId="3" borderId="8" xfId="0" applyFont="true" applyFill="true" applyBorder="true" applyAlignment="true">
      <alignment vertical="center"/>
    </xf>
    <xf numFmtId="0" fontId="18" fillId="3" borderId="8" xfId="0" applyFont="true" applyFill="true" applyBorder="true" applyAlignment="true">
      <alignment horizontal="left" vertical="center" wrapText="true"/>
    </xf>
    <xf numFmtId="0" fontId="18" fillId="3" borderId="8" xfId="0" applyFont="true" applyFill="true" applyBorder="true" applyAlignment="true">
      <alignment horizontal="center" vertical="center" wrapText="true"/>
    </xf>
    <xf numFmtId="0" fontId="22" fillId="3" borderId="88" xfId="0" applyFont="true" applyFill="true" applyBorder="true" applyAlignment="true">
      <alignment horizontal="center" vertical="center"/>
    </xf>
    <xf numFmtId="0" fontId="43" fillId="3" borderId="88" xfId="0" applyFont="true" applyFill="true" applyBorder="true" applyAlignment="true">
      <alignment horizontal="left" vertical="center" wrapText="true"/>
    </xf>
    <xf numFmtId="49" fontId="178" fillId="3" borderId="88" xfId="0" applyNumberFormat="true" applyFont="true" applyFill="true" applyBorder="true" applyAlignment="true">
      <alignment horizontal="center" vertical="center"/>
    </xf>
    <xf numFmtId="0" fontId="18" fillId="3" borderId="88" xfId="0" applyFont="true" applyFill="true" applyBorder="true" applyAlignment="true">
      <alignment horizontal="justify" vertical="center" wrapText="true"/>
    </xf>
    <xf numFmtId="0" fontId="18" fillId="3" borderId="88" xfId="0" applyFont="true" applyFill="true" applyBorder="true" applyAlignment="true">
      <alignment vertical="center"/>
    </xf>
    <xf numFmtId="0" fontId="36" fillId="3" borderId="88" xfId="0" applyFont="true" applyFill="true" applyBorder="true" applyAlignment="true">
      <alignment horizontal="center" vertical="center"/>
    </xf>
    <xf numFmtId="0" fontId="18" fillId="3" borderId="88" xfId="0" applyFont="true" applyFill="true" applyBorder="true" applyAlignment="true">
      <alignment horizontal="left" vertical="center" wrapText="true"/>
    </xf>
    <xf numFmtId="0" fontId="18" fillId="3" borderId="88" xfId="0" applyFont="true" applyFill="true" applyBorder="true" applyAlignment="true">
      <alignment horizontal="center" vertical="center" wrapText="true"/>
    </xf>
    <xf numFmtId="49" fontId="178" fillId="0" borderId="0" xfId="0" applyNumberFormat="true" applyFont="true" applyAlignment="true">
      <alignment horizontal="center" vertical="center"/>
    </xf>
    <xf numFmtId="0" fontId="15" fillId="10" borderId="83" xfId="0" applyFont="true" applyFill="true" applyBorder="true" applyAlignment="true">
      <alignment horizontal="center" vertical="center"/>
    </xf>
    <xf numFmtId="0" fontId="17" fillId="10" borderId="2" xfId="0" applyFont="true" applyFill="true" applyBorder="true" applyAlignment="true">
      <alignment horizontal="right" vertical="center"/>
    </xf>
    <xf numFmtId="0" fontId="18" fillId="10" borderId="2" xfId="0" applyFont="true" applyFill="true" applyBorder="true" applyAlignment="true">
      <alignment vertical="center"/>
    </xf>
    <xf numFmtId="0" fontId="17" fillId="10" borderId="11" xfId="0" applyFont="true" applyFill="true" applyBorder="true"/>
    <xf numFmtId="0" fontId="17" fillId="10" borderId="8" xfId="0" applyFont="true" applyFill="true" applyBorder="true"/>
    <xf numFmtId="0" fontId="18" fillId="10" borderId="2" xfId="0" applyFont="true" applyFill="true" applyBorder="true" applyAlignment="true">
      <alignment horizontal="right" vertical="center"/>
    </xf>
    <xf numFmtId="0" fontId="45" fillId="10" borderId="54" xfId="1" applyFont="true" applyFill="true" applyBorder="true" applyAlignment="true">
      <alignment wrapText="true"/>
    </xf>
    <xf numFmtId="0" fontId="45" fillId="10" borderId="1" xfId="1" applyFont="true" applyFill="true" applyBorder="true" applyAlignment="true">
      <alignment vertical="center" wrapText="true"/>
    </xf>
    <xf numFmtId="0" fontId="17" fillId="10" borderId="2" xfId="0" applyFont="true" applyFill="true" applyBorder="true" applyAlignment="true">
      <alignment horizontal="center" vertical="center"/>
    </xf>
    <xf numFmtId="0" fontId="45" fillId="10" borderId="2" xfId="1" applyFont="true" applyFill="true" applyBorder="true" applyAlignment="true">
      <alignment horizontal="left" wrapText="true"/>
    </xf>
    <xf numFmtId="0" fontId="18" fillId="10" borderId="10" xfId="0" applyFont="true" applyFill="true" applyBorder="true" applyAlignment="true">
      <alignment horizontal="center" vertical="center"/>
    </xf>
    <xf numFmtId="0" fontId="45" fillId="10" borderId="1" xfId="1" applyFont="true" applyFill="true" applyBorder="true" applyAlignment="true">
      <alignment horizontal="center" vertical="center" wrapText="true"/>
    </xf>
    <xf numFmtId="0" fontId="17" fillId="10" borderId="2" xfId="0" applyFont="true" applyFill="true" applyBorder="true" applyAlignment="true">
      <alignment wrapText="true"/>
    </xf>
    <xf numFmtId="0" fontId="72" fillId="10" borderId="2" xfId="0" applyFont="true" applyFill="true" applyBorder="true" applyAlignment="true">
      <alignment vertical="center" wrapText="true"/>
    </xf>
    <xf numFmtId="0" fontId="45" fillId="10" borderId="10" xfId="1" applyFont="true" applyFill="true" applyBorder="true" applyAlignment="true">
      <alignment horizontal="left" vertical="center" wrapText="true"/>
    </xf>
    <xf numFmtId="0" fontId="45" fillId="10" borderId="5" xfId="1" applyFont="true" applyFill="true" applyBorder="true" applyAlignment="true">
      <alignment horizontal="center" vertical="center"/>
    </xf>
    <xf numFmtId="0" fontId="107" fillId="10" borderId="10" xfId="1" applyFont="true" applyFill="true" applyBorder="true" applyAlignment="true">
      <alignment vertical="center" wrapText="true"/>
    </xf>
    <xf numFmtId="0" fontId="17" fillId="10" borderId="10" xfId="0" applyFont="true" applyFill="true" applyBorder="true" applyAlignment="true">
      <alignment horizontal="center" vertical="center"/>
    </xf>
    <xf numFmtId="0" fontId="45" fillId="10" borderId="22" xfId="1" applyFont="true" applyFill="true" applyBorder="true" applyAlignment="true">
      <alignment horizontal="center" vertical="center" wrapText="true"/>
    </xf>
    <xf numFmtId="0" fontId="45" fillId="10" borderId="2" xfId="1" applyFont="true" applyFill="true" applyBorder="true" applyAlignment="true">
      <alignment vertical="center"/>
    </xf>
    <xf numFmtId="0" fontId="33" fillId="10" borderId="0" xfId="0" applyFont="true" applyFill="true"/>
    <xf numFmtId="0" fontId="33" fillId="10" borderId="0" xfId="0" applyFont="true" applyFill="true" applyAlignment="true">
      <alignment horizontal="center" vertical="center"/>
    </xf>
    <xf numFmtId="0" fontId="18" fillId="10" borderId="0" xfId="0" applyFont="true" applyFill="true" applyAlignment="true">
      <alignment horizontal="right" vertical="center"/>
    </xf>
    <xf numFmtId="0" fontId="58" fillId="10" borderId="1" xfId="0" applyFont="true" applyFill="true" applyBorder="true" applyAlignment="true">
      <alignment horizontal="center" vertical="center"/>
    </xf>
    <xf numFmtId="0" fontId="58" fillId="10" borderId="2" xfId="0" applyFont="true" applyFill="true" applyBorder="true" applyAlignment="true">
      <alignment horizontal="center" vertical="center"/>
    </xf>
    <xf numFmtId="0" fontId="45" fillId="10" borderId="10" xfId="1" applyFont="true" applyFill="true" applyBorder="true" applyAlignment="true">
      <alignment horizontal="center" vertical="center" wrapText="true"/>
    </xf>
    <xf numFmtId="0" fontId="18" fillId="10" borderId="5" xfId="0" applyFont="true" applyFill="true" applyBorder="true" applyAlignment="true">
      <alignment horizontal="center" vertical="center"/>
    </xf>
    <xf numFmtId="0" fontId="58" fillId="10" borderId="0" xfId="0" applyFont="true" applyFill="true"/>
    <xf numFmtId="0" fontId="58" fillId="10" borderId="0" xfId="0" applyFont="true" applyFill="true" applyAlignment="true">
      <alignment horizontal="center" vertical="center"/>
    </xf>
    <xf numFmtId="0" fontId="76" fillId="10" borderId="2" xfId="0" applyFont="true" applyFill="true" applyBorder="true" applyAlignment="true">
      <alignment horizontal="center" vertical="center" wrapText="true"/>
    </xf>
    <xf numFmtId="0" fontId="72" fillId="10" borderId="10" xfId="0" applyFont="true" applyFill="true" applyBorder="true" applyAlignment="true">
      <alignment horizontal="center" vertical="center"/>
    </xf>
    <xf numFmtId="0" fontId="58" fillId="10" borderId="3" xfId="0" applyFont="true" applyFill="true" applyBorder="true" applyAlignment="true">
      <alignment horizontal="center" vertical="center" wrapText="true"/>
    </xf>
    <xf numFmtId="0" fontId="58" fillId="10" borderId="10" xfId="0" applyFont="true" applyFill="true" applyBorder="true" applyAlignment="true">
      <alignment horizontal="center" vertical="center" wrapText="true"/>
    </xf>
    <xf numFmtId="0" fontId="17" fillId="10" borderId="0" xfId="0" applyFont="true" applyFill="true" applyAlignment="true">
      <alignment horizontal="center" vertical="center"/>
    </xf>
    <xf numFmtId="0" fontId="78" fillId="10" borderId="10" xfId="0" applyFont="true" applyFill="true" applyBorder="true" applyAlignment="true">
      <alignment horizontal="center" vertical="center"/>
    </xf>
    <xf numFmtId="0" fontId="72" fillId="10" borderId="2" xfId="0" applyFont="true" applyFill="true" applyBorder="true" applyAlignment="true">
      <alignment horizontal="center" vertical="center"/>
    </xf>
    <xf numFmtId="0" fontId="72" fillId="10" borderId="10" xfId="0" applyFont="true" applyFill="true" applyBorder="true" applyAlignment="true">
      <alignment horizontal="center" vertical="center" wrapText="true"/>
    </xf>
    <xf numFmtId="0" fontId="16" fillId="10" borderId="0" xfId="0" applyFont="true" applyFill="true" applyAlignment="true">
      <alignment horizontal="center" vertical="center" wrapText="true"/>
    </xf>
    <xf numFmtId="0" fontId="16" fillId="10" borderId="0" xfId="0" applyFont="true" applyFill="true" applyAlignment="true">
      <alignment horizontal="center"/>
    </xf>
    <xf numFmtId="0" fontId="33" fillId="10" borderId="0" xfId="0" applyFont="true" applyFill="true" applyAlignment="true">
      <alignment horizontal="center"/>
    </xf>
    <xf numFmtId="0" fontId="33" fillId="10" borderId="0" xfId="0" applyFont="true" applyFill="true" applyAlignment="true">
      <alignment horizontal="left"/>
    </xf>
    <xf numFmtId="0" fontId="58" fillId="10" borderId="10" xfId="0" applyFont="true" applyFill="true" applyBorder="true" applyAlignment="true">
      <alignment horizontal="center" vertical="center"/>
    </xf>
    <xf numFmtId="0" fontId="58" fillId="10" borderId="11" xfId="0" applyFont="true" applyFill="true" applyBorder="true" applyAlignment="true">
      <alignment horizontal="center" vertical="center" wrapText="true"/>
    </xf>
    <xf numFmtId="0" fontId="33" fillId="10" borderId="0" xfId="0" applyFont="true" applyFill="true" applyAlignment="true">
      <alignment horizontal="right" vertical="center"/>
    </xf>
    <xf numFmtId="0" fontId="33" fillId="10" borderId="0" xfId="0" applyFont="true" applyFill="true" applyAlignment="true">
      <alignment wrapText="true"/>
    </xf>
    <xf numFmtId="0" fontId="58" fillId="10" borderId="0" xfId="0" applyFont="true" applyFill="true" applyAlignment="true">
      <alignment horizontal="justify" vertical="center" wrapText="true"/>
    </xf>
    <xf numFmtId="0" fontId="58" fillId="10" borderId="0" xfId="0" applyFont="true" applyFill="true" applyAlignment="true">
      <alignment horizontal="right" vertical="center"/>
    </xf>
    <xf numFmtId="0" fontId="58" fillId="10" borderId="0" xfId="0" applyFont="true" applyFill="true" applyAlignment="true">
      <alignment horizontal="center" vertical="center" wrapText="true"/>
    </xf>
    <xf numFmtId="0" fontId="72" fillId="10" borderId="0" xfId="0" applyFont="true" applyFill="true" applyAlignment="true">
      <alignment horizontal="center" vertical="center" wrapText="true"/>
    </xf>
    <xf numFmtId="0" fontId="17" fillId="10" borderId="2" xfId="0" applyFont="true" applyFill="true" applyBorder="true" applyAlignment="true">
      <alignment horizontal="center" wrapText="true"/>
    </xf>
    <xf numFmtId="0" fontId="17" fillId="10" borderId="10" xfId="0" applyFont="true" applyFill="true" applyBorder="true" applyAlignment="true">
      <alignment horizontal="center" vertical="center" wrapText="true"/>
    </xf>
    <xf numFmtId="0" fontId="58" fillId="10" borderId="5" xfId="0" applyFont="true" applyFill="true" applyBorder="true" applyAlignment="true">
      <alignment horizontal="center" vertical="center"/>
    </xf>
    <xf numFmtId="0" fontId="58" fillId="10" borderId="2" xfId="0" applyFont="true" applyFill="true" applyBorder="true" applyAlignment="true">
      <alignment horizontal="center" wrapText="true"/>
    </xf>
    <xf numFmtId="0" fontId="80" fillId="10" borderId="2" xfId="1" applyFont="true" applyFill="true" applyBorder="true" applyAlignment="true">
      <alignment horizontal="center" vertical="center"/>
    </xf>
    <xf numFmtId="0" fontId="17" fillId="10" borderId="2" xfId="0" applyFont="true" applyFill="true" applyBorder="true" applyAlignment="true">
      <alignment vertical="center" wrapText="true"/>
    </xf>
    <xf numFmtId="0" fontId="78" fillId="10" borderId="2" xfId="0" applyFont="true" applyFill="true" applyBorder="true" applyAlignment="true">
      <alignment horizontal="center" vertical="center" wrapText="true"/>
    </xf>
    <xf numFmtId="0" fontId="78" fillId="10" borderId="10" xfId="0" applyFont="true" applyFill="true" applyBorder="true" applyAlignment="true">
      <alignment horizontal="center" vertical="center" wrapText="true"/>
    </xf>
    <xf numFmtId="0" fontId="23" fillId="10" borderId="0" xfId="0" applyFont="true" applyFill="true" applyAlignment="true">
      <alignment vertical="center" wrapText="true"/>
    </xf>
    <xf numFmtId="0" fontId="25" fillId="10" borderId="0" xfId="0" applyFont="true" applyFill="true" applyAlignment="true">
      <alignment horizontal="justify" vertical="center" wrapText="true"/>
    </xf>
    <xf numFmtId="0" fontId="17" fillId="10" borderId="46" xfId="0" applyFont="true" applyFill="true" applyBorder="true" applyAlignment="true">
      <alignment horizontal="center" vertical="center"/>
    </xf>
    <xf numFmtId="0" fontId="17" fillId="10" borderId="46" xfId="0" applyFont="true" applyFill="true" applyBorder="true"/>
    <xf numFmtId="0" fontId="62" fillId="10" borderId="2" xfId="0" applyFont="true" applyFill="true" applyBorder="true" applyAlignment="true">
      <alignment horizontal="center" vertical="center" wrapText="true"/>
    </xf>
    <xf numFmtId="0" fontId="156" fillId="10" borderId="2" xfId="1" applyFont="true" applyFill="true" applyBorder="true" applyAlignment="true">
      <alignment horizontal="center" vertical="center"/>
    </xf>
    <xf numFmtId="0" fontId="62" fillId="10" borderId="2" xfId="0" applyFont="true" applyFill="true" applyBorder="true" applyAlignment="true">
      <alignment vertical="center" wrapText="true"/>
    </xf>
    <xf numFmtId="0" fontId="16" fillId="10" borderId="2" xfId="0" applyFont="true" applyFill="true" applyBorder="true" applyAlignment="true">
      <alignment horizontal="center" vertical="center" wrapText="true"/>
    </xf>
    <xf numFmtId="0" fontId="45" fillId="10" borderId="42" xfId="1" applyFont="true" applyFill="true" applyBorder="true" applyAlignment="true">
      <alignment horizontal="left" vertical="center" wrapText="true"/>
    </xf>
    <xf numFmtId="0" fontId="78" fillId="10" borderId="2" xfId="0" applyFont="true" applyFill="true" applyBorder="true" applyAlignment="true">
      <alignment vertical="center" wrapText="true"/>
    </xf>
    <xf numFmtId="0" fontId="45" fillId="10" borderId="26" xfId="1" applyFont="true" applyFill="true" applyBorder="true" applyAlignment="true">
      <alignment horizontal="left" vertical="center" wrapText="true"/>
    </xf>
    <xf numFmtId="0" fontId="58" fillId="10" borderId="0" xfId="0" applyFont="true" applyFill="true" applyAlignment="true">
      <alignment vertical="center"/>
    </xf>
    <xf numFmtId="0" fontId="45" fillId="10" borderId="0" xfId="1" applyFont="true" applyFill="true" applyAlignment="true">
      <alignment horizontal="center" vertical="center" wrapText="true"/>
    </xf>
    <xf numFmtId="0" fontId="78" fillId="10" borderId="0" xfId="1" applyFont="true" applyFill="true" applyAlignment="true">
      <alignment horizontal="center" vertical="center" wrapText="true"/>
    </xf>
    <xf numFmtId="0" fontId="45" fillId="10" borderId="0" xfId="1" applyFont="true" applyFill="true" applyAlignment="true">
      <alignment horizontal="center"/>
    </xf>
    <xf numFmtId="0" fontId="58" fillId="10" borderId="1" xfId="0" applyFont="true" applyFill="true" applyBorder="true" applyAlignment="true">
      <alignment horizontal="justify" vertical="center" wrapText="true"/>
    </xf>
    <xf numFmtId="0" fontId="14" fillId="10" borderId="5" xfId="0" applyFont="true" applyFill="true" applyBorder="true" applyAlignment="true">
      <alignment horizontal="right" vertical="center"/>
    </xf>
    <xf numFmtId="0" fontId="14" fillId="10" borderId="7" xfId="0" applyFont="true" applyFill="true" applyBorder="true" applyAlignment="true">
      <alignment horizontal="right" vertical="center"/>
    </xf>
    <xf numFmtId="0" fontId="37" fillId="10" borderId="0" xfId="0" applyFont="true" applyFill="true" applyAlignment="true">
      <alignment horizontal="center" vertical="center"/>
    </xf>
    <xf numFmtId="0" fontId="14" fillId="10" borderId="0" xfId="0" applyFont="true" applyFill="true" applyAlignment="true">
      <alignment horizontal="center" vertical="center"/>
    </xf>
    <xf numFmtId="0" fontId="14" fillId="10" borderId="0" xfId="0" applyFont="true" applyFill="true" applyAlignment="true">
      <alignment vertical="center"/>
    </xf>
    <xf numFmtId="0" fontId="37" fillId="10" borderId="0" xfId="0" applyFont="true" applyFill="true" applyAlignment="true">
      <alignment vertical="center"/>
    </xf>
    <xf numFmtId="0" fontId="153" fillId="10" borderId="34" xfId="0" applyFont="true" applyFill="true" applyBorder="true" applyAlignment="true">
      <alignment horizontal="center" vertical="center" wrapText="true"/>
    </xf>
    <xf numFmtId="0" fontId="153" fillId="10" borderId="35" xfId="0" applyFont="true" applyFill="true" applyBorder="true" applyAlignment="true">
      <alignment horizontal="center" vertical="center" wrapText="true"/>
    </xf>
    <xf numFmtId="0" fontId="14" fillId="10" borderId="0" xfId="0" applyFont="true" applyFill="true" applyAlignment="true">
      <alignment horizontal="center" vertical="center" wrapText="true"/>
    </xf>
    <xf numFmtId="0" fontId="18" fillId="10" borderId="1" xfId="0" applyFont="true" applyFill="true" applyBorder="true" applyAlignment="true">
      <alignment vertical="center"/>
    </xf>
    <xf numFmtId="0" fontId="14" fillId="10" borderId="10" xfId="0" applyFont="true" applyFill="true" applyBorder="true" applyAlignment="true">
      <alignment vertical="center"/>
    </xf>
    <xf numFmtId="0" fontId="14" fillId="10" borderId="11" xfId="0" applyFont="true" applyFill="true" applyBorder="true" applyAlignment="true">
      <alignment vertical="center"/>
    </xf>
    <xf numFmtId="0" fontId="18" fillId="10" borderId="7" xfId="0" applyFont="true" applyFill="true" applyBorder="true" applyAlignment="true">
      <alignment vertical="center"/>
    </xf>
    <xf numFmtId="0" fontId="14" fillId="10" borderId="1" xfId="0" applyFont="true" applyFill="true" applyBorder="true" applyAlignment="true">
      <alignment vertical="center" wrapText="true"/>
    </xf>
    <xf numFmtId="0" fontId="14" fillId="10" borderId="5" xfId="0" applyFont="true" applyFill="true" applyBorder="true" applyAlignment="true">
      <alignment vertical="center" wrapText="true"/>
    </xf>
    <xf numFmtId="0" fontId="14" fillId="10" borderId="5" xfId="0" applyFont="true" applyFill="true" applyBorder="true" applyAlignment="true">
      <alignment vertical="center"/>
    </xf>
    <xf numFmtId="0" fontId="14" fillId="10" borderId="0" xfId="0" applyFont="true" applyFill="true" applyAlignment="true">
      <alignment vertical="center" wrapText="true"/>
    </xf>
    <xf numFmtId="0" fontId="14" fillId="10" borderId="7" xfId="0" applyFont="true" applyFill="true" applyBorder="true" applyAlignment="true">
      <alignment vertical="center"/>
    </xf>
    <xf numFmtId="0" fontId="14" fillId="10" borderId="12" xfId="0" applyFont="true" applyFill="true" applyBorder="true" applyAlignment="true">
      <alignment vertical="center"/>
    </xf>
    <xf numFmtId="1" fontId="37" fillId="10" borderId="0" xfId="0" applyNumberFormat="true" applyFont="true" applyFill="true" applyAlignment="true">
      <alignment vertical="center"/>
    </xf>
    <xf numFmtId="0" fontId="14" fillId="10" borderId="1" xfId="0" applyFont="true" applyFill="true" applyBorder="true" applyAlignment="true">
      <alignment vertical="center"/>
    </xf>
    <xf numFmtId="0" fontId="153" fillId="10" borderId="0" xfId="0" applyFont="true" applyFill="true" applyAlignment="true">
      <alignment horizontal="center" vertical="center" wrapText="true"/>
    </xf>
    <xf numFmtId="0" fontId="14" fillId="10" borderId="7" xfId="0" applyFont="true" applyFill="true" applyBorder="true" applyAlignment="true">
      <alignment vertical="center" wrapText="true"/>
    </xf>
    <xf numFmtId="0" fontId="33" fillId="10" borderId="83" xfId="0" applyFont="true" applyFill="true" applyBorder="true"/>
    <xf numFmtId="0" fontId="33" fillId="10" borderId="83" xfId="0" applyFont="true" applyFill="true" applyBorder="true" applyAlignment="true">
      <alignment horizontal="center" vertical="center"/>
    </xf>
    <xf numFmtId="0" fontId="58" fillId="10" borderId="83" xfId="0" applyFont="true" applyFill="true" applyBorder="true"/>
    <xf numFmtId="0" fontId="16" fillId="10" borderId="83" xfId="0" applyFont="true" applyFill="true" applyBorder="true" applyAlignment="true">
      <alignment horizontal="center"/>
    </xf>
    <xf numFmtId="0" fontId="33" fillId="10" borderId="83" xfId="0" applyFont="true" applyFill="true" applyBorder="true" applyAlignment="true">
      <alignment horizontal="center"/>
    </xf>
    <xf numFmtId="0" fontId="33" fillId="10" borderId="83" xfId="0" applyFont="true" applyFill="true" applyBorder="true" applyAlignment="true">
      <alignment horizontal="left"/>
    </xf>
    <xf numFmtId="0" fontId="33" fillId="10" borderId="85" xfId="0" applyFont="true" applyFill="true" applyBorder="true"/>
    <xf numFmtId="0" fontId="18" fillId="10" borderId="0" xfId="0" applyFont="true" applyFill="true" applyAlignment="true">
      <alignment horizontal="center" vertical="center"/>
    </xf>
    <xf numFmtId="0" fontId="62" fillId="10" borderId="0" xfId="0" applyFont="true" applyFill="true" applyAlignment="true">
      <alignment horizontal="center"/>
    </xf>
    <xf numFmtId="0" fontId="58" fillId="10" borderId="0" xfId="0" applyFont="true" applyFill="true" applyAlignment="true">
      <alignment horizontal="center"/>
    </xf>
    <xf numFmtId="0" fontId="33" fillId="10" borderId="85" xfId="0" applyFont="true" applyFill="true" applyBorder="true" applyAlignment="true">
      <alignment wrapText="true"/>
    </xf>
    <xf numFmtId="0" fontId="33" fillId="10" borderId="0" xfId="0" applyFont="true" applyFill="true" applyAlignment="true">
      <alignment horizontal="center" vertical="center" wrapText="true"/>
    </xf>
    <xf numFmtId="0" fontId="16" fillId="10" borderId="0" xfId="0" applyFont="true" applyFill="true" applyAlignment="true">
      <alignment horizontal="center" wrapText="true"/>
    </xf>
    <xf numFmtId="0" fontId="33" fillId="10" borderId="0" xfId="0" applyFont="true" applyFill="true" applyAlignment="true">
      <alignment horizontal="center" wrapText="true"/>
    </xf>
    <xf numFmtId="0" fontId="33" fillId="10" borderId="0" xfId="0" applyFont="true" applyFill="true" applyAlignment="true">
      <alignment horizontal="left" wrapText="true"/>
    </xf>
    <xf numFmtId="11" fontId="58" fillId="10" borderId="0" xfId="0" applyNumberFormat="true" applyFont="true" applyFill="true" applyAlignment="true">
      <alignment horizontal="center" vertical="center"/>
    </xf>
    <xf numFmtId="0" fontId="17" fillId="10" borderId="0" xfId="0" applyFont="true" applyFill="true" applyAlignment="true">
      <alignment horizontal="justify" vertical="center" wrapText="true"/>
    </xf>
    <xf numFmtId="0" fontId="33" fillId="10" borderId="87" xfId="0" applyFont="true" applyFill="true" applyBorder="true"/>
    <xf numFmtId="0" fontId="33" fillId="10" borderId="88" xfId="0" applyFont="true" applyFill="true" applyBorder="true"/>
    <xf numFmtId="0" fontId="33" fillId="10" borderId="88" xfId="0" applyFont="true" applyFill="true" applyBorder="true" applyAlignment="true">
      <alignment horizontal="center" vertical="center"/>
    </xf>
    <xf numFmtId="0" fontId="58" fillId="10" borderId="88" xfId="0" applyFont="true" applyFill="true" applyBorder="true" applyAlignment="true">
      <alignment horizontal="center" vertical="center"/>
    </xf>
    <xf numFmtId="0" fontId="14" fillId="10" borderId="88" xfId="0" applyFont="true" applyFill="true" applyBorder="true" applyAlignment="true">
      <alignment vertical="center" wrapText="true"/>
    </xf>
    <xf numFmtId="0" fontId="14" fillId="10" borderId="88" xfId="0" applyFont="true" applyFill="true" applyBorder="true" applyAlignment="true">
      <alignment vertical="center"/>
    </xf>
    <xf numFmtId="0" fontId="33" fillId="10" borderId="88" xfId="0" applyFont="true" applyFill="true" applyBorder="true" applyAlignment="true">
      <alignment horizontal="center"/>
    </xf>
    <xf numFmtId="0" fontId="33" fillId="10" borderId="88" xfId="0" applyFont="true" applyFill="true" applyBorder="true" applyAlignment="true">
      <alignment horizontal="left"/>
    </xf>
    <xf numFmtId="0" fontId="33" fillId="0" borderId="88" xfId="0" applyFont="true" applyBorder="true"/>
    <xf numFmtId="0" fontId="33" fillId="10" borderId="84" xfId="0" applyFont="true" applyFill="true" applyBorder="true"/>
    <xf numFmtId="0" fontId="33" fillId="10" borderId="86" xfId="0" applyFont="true" applyFill="true" applyBorder="true"/>
    <xf numFmtId="0" fontId="33" fillId="10" borderId="86" xfId="0" applyFont="true" applyFill="true" applyBorder="true" applyAlignment="true">
      <alignment wrapText="true"/>
    </xf>
    <xf numFmtId="0" fontId="16" fillId="10" borderId="10" xfId="0" applyFont="true" applyFill="true" applyBorder="true" applyAlignment="true">
      <alignment horizontal="center" vertical="center" wrapText="true"/>
    </xf>
    <xf numFmtId="0" fontId="33" fillId="10" borderId="89" xfId="0" applyFont="true" applyFill="true" applyBorder="true"/>
    <xf numFmtId="0" fontId="16" fillId="3" borderId="83" xfId="0" applyFont="true" applyFill="true" applyBorder="true" applyAlignment="true">
      <alignment horizontal="center" vertical="center" wrapText="true"/>
    </xf>
    <xf numFmtId="0" fontId="33" fillId="3" borderId="83" xfId="0" applyFont="true" applyFill="true" applyBorder="true" applyAlignment="true">
      <alignment horizontal="center" vertical="center"/>
    </xf>
    <xf numFmtId="0" fontId="16" fillId="0" borderId="88" xfId="0" applyFont="true" applyBorder="true" applyAlignment="true">
      <alignment horizontal="center"/>
    </xf>
    <xf numFmtId="0" fontId="33" fillId="3" borderId="87" xfId="0" applyFont="true" applyFill="true" applyBorder="true"/>
    <xf numFmtId="0" fontId="33" fillId="3" borderId="85" xfId="0" applyFont="true" applyFill="true" applyBorder="true"/>
    <xf numFmtId="0" fontId="33" fillId="3" borderId="0" xfId="0" applyFont="true" applyFill="true"/>
    <xf numFmtId="49" fontId="101" fillId="3" borderId="18" xfId="0" applyNumberFormat="true" applyFont="true" applyFill="true" applyBorder="true" applyAlignment="true">
      <alignment horizontal="center" vertical="center"/>
    </xf>
    <xf numFmtId="0" fontId="58" fillId="3" borderId="18" xfId="0" applyFont="true" applyFill="true" applyBorder="true" applyAlignment="true">
      <alignment horizontal="left" vertical="center"/>
    </xf>
    <xf numFmtId="0" fontId="24" fillId="3" borderId="18" xfId="0" applyFont="true" applyFill="true" applyBorder="true" applyAlignment="true">
      <alignment horizontal="center" vertical="center"/>
    </xf>
    <xf numFmtId="0" fontId="18" fillId="3" borderId="18" xfId="0" applyFont="true" applyFill="true" applyBorder="true" applyAlignment="true">
      <alignment horizontal="left" vertical="center"/>
    </xf>
    <xf numFmtId="0" fontId="58" fillId="3" borderId="18" xfId="0" applyFont="true" applyFill="true" applyBorder="true" applyAlignment="true">
      <alignment horizontal="center" vertical="center"/>
    </xf>
    <xf numFmtId="49" fontId="101" fillId="3" borderId="3" xfId="0" applyNumberFormat="true" applyFont="true" applyFill="true" applyBorder="true" applyAlignment="true">
      <alignment horizontal="center" vertical="center"/>
    </xf>
    <xf numFmtId="0" fontId="18" fillId="3" borderId="3" xfId="0" applyFont="true" applyFill="true" applyBorder="true" applyAlignment="true">
      <alignment horizontal="left" vertical="center"/>
    </xf>
    <xf numFmtId="0" fontId="58" fillId="3" borderId="3" xfId="0" applyFont="true" applyFill="true" applyBorder="true" applyAlignment="true">
      <alignment horizontal="center" vertical="center"/>
    </xf>
    <xf numFmtId="0" fontId="33" fillId="3" borderId="3" xfId="0" applyFont="true" applyFill="true" applyBorder="true"/>
    <xf numFmtId="0" fontId="58" fillId="3" borderId="3" xfId="0" applyFont="true" applyFill="true" applyBorder="true" applyAlignment="true">
      <alignment horizontal="center" vertical="center" wrapText="true"/>
    </xf>
    <xf numFmtId="49" fontId="101" fillId="3" borderId="3" xfId="0" applyNumberFormat="true" applyFont="true" applyFill="true" applyBorder="true" applyAlignment="true">
      <alignment horizontal="center" vertical="center" wrapText="true"/>
    </xf>
    <xf numFmtId="11" fontId="76" fillId="3" borderId="3" xfId="0" applyNumberFormat="true" applyFont="true" applyFill="true" applyBorder="true" applyAlignment="true">
      <alignment horizontal="center" vertical="center"/>
    </xf>
    <xf numFmtId="0" fontId="18" fillId="3" borderId="3" xfId="0" applyFont="true" applyFill="true" applyBorder="true"/>
    <xf numFmtId="0" fontId="60" fillId="3" borderId="3" xfId="0" applyFont="true" applyFill="true" applyBorder="true" applyAlignment="true">
      <alignment horizontal="left" vertical="center" wrapText="true"/>
    </xf>
    <xf numFmtId="0" fontId="17" fillId="3" borderId="3" xfId="0" applyFont="true" applyFill="true" applyBorder="true" applyAlignment="true">
      <alignment horizontal="left" vertical="center" wrapText="true"/>
    </xf>
    <xf numFmtId="0" fontId="18" fillId="3" borderId="3" xfId="0" applyFont="true" applyFill="true" applyBorder="true" applyAlignment="true">
      <alignment vertical="center" wrapText="true"/>
    </xf>
    <xf numFmtId="0" fontId="24" fillId="3" borderId="3" xfId="0" applyFont="true" applyFill="true" applyBorder="true" applyAlignment="true">
      <alignment horizontal="left" vertical="center"/>
    </xf>
    <xf numFmtId="49" fontId="101" fillId="3" borderId="8" xfId="0" applyNumberFormat="true" applyFont="true" applyFill="true" applyBorder="true" applyAlignment="true">
      <alignment horizontal="center" vertical="center" wrapText="true"/>
    </xf>
    <xf numFmtId="0" fontId="58" fillId="3" borderId="8" xfId="0" applyFont="true" applyFill="true" applyBorder="true" applyAlignment="true">
      <alignment horizontal="left" vertical="center" wrapText="true"/>
    </xf>
    <xf numFmtId="0" fontId="33" fillId="3" borderId="8" xfId="0" applyFont="true" applyFill="true" applyBorder="true"/>
    <xf numFmtId="0" fontId="58" fillId="3" borderId="8" xfId="0" applyFont="true" applyFill="true" applyBorder="true" applyAlignment="true">
      <alignment horizontal="center" vertical="center"/>
    </xf>
    <xf numFmtId="0" fontId="33" fillId="3" borderId="88" xfId="0" applyFont="true" applyFill="true" applyBorder="true"/>
    <xf numFmtId="0" fontId="16" fillId="3" borderId="88" xfId="0" applyFont="true" applyFill="true" applyBorder="true" applyAlignment="true">
      <alignment horizontal="center" vertical="center"/>
    </xf>
    <xf numFmtId="0" fontId="64" fillId="3" borderId="88" xfId="0" applyFont="true" applyFill="true" applyBorder="true" applyAlignment="true">
      <alignment horizontal="left" vertical="center" wrapText="true"/>
    </xf>
    <xf numFmtId="0" fontId="60" fillId="3" borderId="88" xfId="0" applyFont="true" applyFill="true" applyBorder="true" applyAlignment="true">
      <alignment horizontal="center" vertical="center" wrapText="true"/>
    </xf>
    <xf numFmtId="0" fontId="58" fillId="3" borderId="88" xfId="0" applyFont="true" applyFill="true" applyBorder="true" applyAlignment="true">
      <alignment horizontal="justify" vertical="center" wrapText="true"/>
    </xf>
    <xf numFmtId="0" fontId="33" fillId="3" borderId="88" xfId="0" applyFont="true" applyFill="true" applyBorder="true" applyAlignment="true">
      <alignment horizontal="center" vertical="center"/>
    </xf>
    <xf numFmtId="0" fontId="58" fillId="3" borderId="88" xfId="0" applyFont="true" applyFill="true" applyBorder="true" applyAlignment="true">
      <alignment horizontal="center" vertical="center"/>
    </xf>
    <xf numFmtId="0" fontId="15" fillId="3" borderId="88" xfId="0" applyFont="true" applyFill="true" applyBorder="true" applyAlignment="true">
      <alignment horizontal="center" vertical="center"/>
    </xf>
    <xf numFmtId="0" fontId="58" fillId="3" borderId="0" xfId="0" applyFont="true" applyFill="true" applyAlignment="true">
      <alignment horizontal="center" vertical="center"/>
    </xf>
    <xf numFmtId="0" fontId="58" fillId="3" borderId="0" xfId="0" applyFont="true" applyFill="true" applyAlignment="true">
      <alignment horizontal="justify" vertical="center" wrapText="true"/>
    </xf>
    <xf numFmtId="0" fontId="18" fillId="3" borderId="0" xfId="0" applyFont="true" applyFill="true" applyAlignment="true">
      <alignment horizontal="center" vertical="center"/>
    </xf>
    <xf numFmtId="0" fontId="59" fillId="3" borderId="85" xfId="0" applyFont="true" applyFill="true" applyBorder="true" applyAlignment="true">
      <alignment horizontal="center" vertical="center"/>
    </xf>
    <xf numFmtId="0" fontId="59" fillId="3" borderId="0" xfId="0" applyFont="true" applyFill="true" applyAlignment="true">
      <alignment horizontal="center" vertical="center"/>
    </xf>
    <xf numFmtId="0" fontId="59" fillId="3" borderId="27" xfId="0" applyFont="true" applyFill="true" applyBorder="true" applyAlignment="true">
      <alignment horizontal="center" vertical="center" wrapText="true"/>
    </xf>
    <xf numFmtId="0" fontId="174" fillId="3" borderId="27" xfId="1" applyFont="true" applyFill="true" applyBorder="true" applyAlignment="true">
      <alignment horizontal="center" vertical="center" wrapText="true"/>
    </xf>
    <xf numFmtId="0" fontId="33" fillId="3" borderId="83" xfId="0" applyFont="true" applyFill="true" applyBorder="true"/>
    <xf numFmtId="0" fontId="58" fillId="3" borderId="83" xfId="0" applyFont="true" applyFill="true" applyBorder="true" applyAlignment="true">
      <alignment horizontal="center" vertical="center"/>
    </xf>
    <xf numFmtId="0" fontId="62" fillId="3" borderId="83" xfId="0" applyFont="true" applyFill="true" applyBorder="true" applyAlignment="true">
      <alignment horizontal="center" vertical="center"/>
    </xf>
    <xf numFmtId="0" fontId="16" fillId="3" borderId="83" xfId="0" applyFont="true" applyFill="true" applyBorder="true" applyAlignment="true">
      <alignment horizontal="center" vertical="center"/>
    </xf>
    <xf numFmtId="0" fontId="62" fillId="3" borderId="83" xfId="0" applyFont="true" applyFill="true" applyBorder="true" applyAlignment="true">
      <alignment horizontal="justify" vertical="center" wrapText="true"/>
    </xf>
    <xf numFmtId="0" fontId="18" fillId="3" borderId="83" xfId="0" applyFont="true" applyFill="true" applyBorder="true"/>
    <xf numFmtId="0" fontId="18" fillId="3" borderId="83" xfId="0" applyFont="true" applyFill="true" applyBorder="true" applyAlignment="true">
      <alignment horizontal="center" vertical="center"/>
    </xf>
    <xf numFmtId="0" fontId="16" fillId="3" borderId="83" xfId="0" applyFont="true" applyFill="true" applyBorder="true" applyAlignment="true">
      <alignment horizontal="center"/>
    </xf>
    <xf numFmtId="0" fontId="33" fillId="3" borderId="91" xfId="0" applyFont="true" applyFill="true" applyBorder="true"/>
    <xf numFmtId="0" fontId="33" fillId="3" borderId="83" xfId="0" applyFont="true" applyFill="true" applyBorder="true" applyAlignment="true">
      <alignment horizontal="center"/>
    </xf>
    <xf numFmtId="0" fontId="33" fillId="3" borderId="83" xfId="0" applyFont="true" applyFill="true" applyBorder="true" applyAlignment="true">
      <alignment horizontal="left"/>
    </xf>
    <xf numFmtId="0" fontId="33" fillId="3" borderId="84" xfId="0" applyFont="true" applyFill="true" applyBorder="true"/>
    <xf numFmtId="0" fontId="33" fillId="3" borderId="0" xfId="0" applyFont="true" applyFill="true" applyAlignment="true">
      <alignment horizontal="center"/>
    </xf>
    <xf numFmtId="0" fontId="33" fillId="3" borderId="0" xfId="0" applyFont="true" applyFill="true" applyAlignment="true">
      <alignment horizontal="left"/>
    </xf>
    <xf numFmtId="0" fontId="20" fillId="3" borderId="0" xfId="0" applyFont="true" applyFill="true" applyAlignment="true">
      <alignment horizontal="center"/>
    </xf>
    <xf numFmtId="0" fontId="33" fillId="3" borderId="86" xfId="0" applyFont="true" applyFill="true" applyBorder="true"/>
    <xf numFmtId="0" fontId="59" fillId="3" borderId="86" xfId="0" applyFont="true" applyFill="true" applyBorder="true" applyAlignment="true">
      <alignment horizontal="center" vertical="center"/>
    </xf>
    <xf numFmtId="0" fontId="33" fillId="3" borderId="0" xfId="0" applyFont="true" applyFill="true" applyAlignment="true">
      <alignment horizontal="right"/>
    </xf>
    <xf numFmtId="0" fontId="33" fillId="3" borderId="88" xfId="0" applyFont="true" applyFill="true" applyBorder="true" applyAlignment="true">
      <alignment horizontal="center"/>
    </xf>
    <xf numFmtId="0" fontId="33" fillId="3" borderId="88" xfId="0" applyFont="true" applyFill="true" applyBorder="true" applyAlignment="true">
      <alignment horizontal="left"/>
    </xf>
    <xf numFmtId="0" fontId="33" fillId="3" borderId="89" xfId="0" applyFont="true" applyFill="true" applyBorder="true"/>
    <xf numFmtId="0" fontId="17" fillId="10" borderId="1" xfId="0" applyFont="true" applyFill="true" applyBorder="true" applyAlignment="true">
      <alignment horizontal="right" vertical="center"/>
    </xf>
    <xf numFmtId="0" fontId="64" fillId="3" borderId="18" xfId="0" applyFont="true" applyFill="true" applyBorder="true" applyAlignment="true">
      <alignment vertical="center" wrapText="true"/>
    </xf>
    <xf numFmtId="49" fontId="141" fillId="3" borderId="18" xfId="0" applyNumberFormat="true" applyFont="true" applyFill="true" applyBorder="true" applyAlignment="true">
      <alignment horizontal="center" vertical="center" wrapText="true"/>
    </xf>
    <xf numFmtId="0" fontId="18" fillId="3" borderId="18" xfId="0" applyFont="true" applyFill="true" applyBorder="true" applyAlignment="true">
      <alignment horizontal="justify" vertical="center" wrapText="true"/>
    </xf>
    <xf numFmtId="0" fontId="0" fillId="3" borderId="18" xfId="0" applyFill="true" applyBorder="true"/>
    <xf numFmtId="0" fontId="34" fillId="3" borderId="18" xfId="0" applyFont="true" applyFill="true" applyBorder="true" applyAlignment="true">
      <alignment horizontal="left" vertical="center" wrapText="true"/>
    </xf>
    <xf numFmtId="0" fontId="87" fillId="3" borderId="3" xfId="0" applyFont="true" applyFill="true" applyBorder="true" applyAlignment="true">
      <alignment vertical="center" wrapText="true"/>
    </xf>
    <xf numFmtId="49" fontId="141" fillId="3" borderId="3" xfId="0" applyNumberFormat="true" applyFont="true" applyFill="true" applyBorder="true" applyAlignment="true">
      <alignment horizontal="center" vertical="center" wrapText="true"/>
    </xf>
    <xf numFmtId="0" fontId="43" fillId="3" borderId="3" xfId="0" applyFont="true" applyFill="true" applyBorder="true" applyAlignment="true">
      <alignment vertical="center" wrapText="true"/>
    </xf>
    <xf numFmtId="0" fontId="102" fillId="3" borderId="3" xfId="0" applyFont="true" applyFill="true" applyBorder="true" applyAlignment="true">
      <alignment horizontal="center" vertical="center"/>
    </xf>
    <xf numFmtId="0" fontId="28" fillId="3" borderId="3" xfId="0" applyFont="true" applyFill="true" applyBorder="true" applyAlignment="true">
      <alignment horizontal="justify" vertical="center" wrapText="true"/>
    </xf>
    <xf numFmtId="0" fontId="141" fillId="3" borderId="3" xfId="0" applyFont="true" applyFill="true" applyBorder="true" applyAlignment="true">
      <alignment horizontal="center" vertical="center" wrapText="true"/>
    </xf>
    <xf numFmtId="0" fontId="64" fillId="3" borderId="3" xfId="0" applyFont="true" applyFill="true" applyBorder="true" applyAlignment="true">
      <alignment vertical="center" wrapText="true"/>
    </xf>
    <xf numFmtId="0" fontId="101" fillId="3" borderId="3" xfId="0" applyFont="true" applyFill="true" applyBorder="true" applyAlignment="true">
      <alignment horizontal="center" vertical="center" wrapText="true"/>
    </xf>
    <xf numFmtId="0" fontId="25" fillId="3" borderId="3" xfId="0" applyFont="true" applyFill="true" applyBorder="true" applyAlignment="true">
      <alignment horizontal="justify" vertical="center" wrapText="true"/>
    </xf>
    <xf numFmtId="0" fontId="38" fillId="3" borderId="3" xfId="0" applyFont="true" applyFill="true" applyBorder="true" applyAlignment="true">
      <alignment horizontal="justify" vertical="center" wrapText="true"/>
    </xf>
    <xf numFmtId="0" fontId="64" fillId="3" borderId="8" xfId="0" applyFont="true" applyFill="true" applyBorder="true" applyAlignment="true">
      <alignment vertical="center" wrapText="true"/>
    </xf>
    <xf numFmtId="0" fontId="141" fillId="3" borderId="8" xfId="0" applyFont="true" applyFill="true" applyBorder="true" applyAlignment="true">
      <alignment horizontal="center" vertical="center" wrapText="true"/>
    </xf>
    <xf numFmtId="0" fontId="0" fillId="3" borderId="8" xfId="0" applyFill="true" applyBorder="true"/>
    <xf numFmtId="0" fontId="102" fillId="3" borderId="8" xfId="0" applyFont="true" applyFill="true" applyBorder="true" applyAlignment="true">
      <alignment horizontal="center" vertical="center"/>
    </xf>
    <xf numFmtId="0" fontId="18" fillId="3" borderId="8" xfId="0" applyFont="true" applyFill="true" applyBorder="true" applyAlignment="true">
      <alignment vertical="center" wrapText="true"/>
    </xf>
    <xf numFmtId="0" fontId="58" fillId="3" borderId="8" xfId="0" applyFont="true" applyFill="true" applyBorder="true" applyAlignment="true">
      <alignment horizontal="center" vertical="center" wrapText="true"/>
    </xf>
    <xf numFmtId="0" fontId="102" fillId="3" borderId="3" xfId="0" applyFont="true" applyFill="true" applyBorder="true" applyAlignment="true">
      <alignment horizontal="center" vertical="center" wrapText="true"/>
    </xf>
    <xf numFmtId="0" fontId="102" fillId="3" borderId="8" xfId="0" applyFont="true" applyFill="true" applyBorder="true" applyAlignment="true">
      <alignment horizontal="center" vertical="center" wrapText="true"/>
    </xf>
    <xf numFmtId="0" fontId="18" fillId="10" borderId="1" xfId="0" applyFont="true" applyFill="true" applyBorder="true"/>
    <xf numFmtId="0" fontId="18" fillId="10" borderId="5" xfId="0" applyFont="true" applyFill="true" applyBorder="true"/>
    <xf numFmtId="0" fontId="18" fillId="10" borderId="7" xfId="0" applyFont="true" applyFill="true" applyBorder="true"/>
    <xf numFmtId="0" fontId="36" fillId="10" borderId="1" xfId="0" applyFont="true" applyFill="true" applyBorder="true" applyAlignment="true">
      <alignment horizontal="right" vertical="center"/>
    </xf>
    <xf numFmtId="0" fontId="36" fillId="10" borderId="2" xfId="0" applyFont="true" applyFill="true" applyBorder="true" applyAlignment="true">
      <alignment horizontal="right" vertical="center"/>
    </xf>
    <xf numFmtId="0" fontId="36" fillId="10" borderId="1" xfId="0" applyFont="true" applyFill="true" applyBorder="true"/>
    <xf numFmtId="0" fontId="36" fillId="10" borderId="2" xfId="0" applyFont="true" applyFill="true" applyBorder="true"/>
    <xf numFmtId="0" fontId="109" fillId="10" borderId="2" xfId="0" applyFont="true" applyFill="true" applyBorder="true" applyAlignment="true">
      <alignment horizontal="center" vertical="center"/>
    </xf>
    <xf numFmtId="0" fontId="65" fillId="10" borderId="2" xfId="0" applyFont="true" applyFill="true" applyBorder="true" applyAlignment="true">
      <alignment horizontal="center" vertical="center"/>
    </xf>
    <xf numFmtId="0" fontId="109" fillId="10" borderId="2" xfId="0" applyFont="true" applyFill="true" applyBorder="true" applyAlignment="true">
      <alignment horizontal="center"/>
    </xf>
    <xf numFmtId="0" fontId="65" fillId="10" borderId="49" xfId="0" applyFont="true" applyFill="true" applyBorder="true" applyAlignment="true">
      <alignment horizontal="center"/>
    </xf>
    <xf numFmtId="0" fontId="46" fillId="10" borderId="5" xfId="1" applyFont="true" applyFill="true" applyBorder="true" applyAlignment="true">
      <alignment horizontal="center" vertical="center"/>
    </xf>
    <xf numFmtId="0" fontId="96" fillId="10" borderId="3" xfId="1" applyFont="true" applyFill="true" applyBorder="true" applyAlignment="true">
      <alignment horizontal="center" vertical="center" wrapText="true"/>
    </xf>
    <xf numFmtId="0" fontId="17" fillId="10" borderId="30" xfId="0" applyFont="true" applyFill="true" applyBorder="true" applyAlignment="true">
      <alignment wrapText="true"/>
    </xf>
    <xf numFmtId="0" fontId="96" fillId="10" borderId="42" xfId="1" applyFont="true" applyFill="true" applyBorder="true"/>
    <xf numFmtId="0" fontId="96" fillId="10" borderId="18" xfId="1" applyFont="true" applyFill="true" applyBorder="true" applyAlignment="true">
      <alignment vertical="center" wrapText="true"/>
    </xf>
    <xf numFmtId="0" fontId="17" fillId="10" borderId="18" xfId="0" applyFont="true" applyFill="true" applyBorder="true" applyAlignment="true">
      <alignment wrapText="true"/>
    </xf>
    <xf numFmtId="0" fontId="17" fillId="10" borderId="43" xfId="0" applyFont="true" applyFill="true" applyBorder="true" applyAlignment="true">
      <alignment wrapText="true"/>
    </xf>
    <xf numFmtId="0" fontId="96" fillId="10" borderId="5" xfId="1" applyFont="true" applyFill="true" applyBorder="true"/>
    <xf numFmtId="0" fontId="96" fillId="10" borderId="3" xfId="1" applyFont="true" applyFill="true" applyBorder="true" applyAlignment="true">
      <alignment vertical="center" wrapText="true"/>
    </xf>
    <xf numFmtId="0" fontId="96" fillId="10" borderId="3" xfId="1" applyFont="true" applyFill="true" applyBorder="true"/>
    <xf numFmtId="0" fontId="96" fillId="10" borderId="11" xfId="1" applyFont="true" applyFill="true" applyBorder="true" applyAlignment="true">
      <alignment vertical="center" wrapText="true"/>
    </xf>
    <xf numFmtId="0" fontId="17" fillId="10" borderId="5" xfId="0" applyFont="true" applyFill="true" applyBorder="true"/>
    <xf numFmtId="0" fontId="17" fillId="10" borderId="7" xfId="0" applyFont="true" applyFill="true" applyBorder="true"/>
    <xf numFmtId="0" fontId="18" fillId="10" borderId="7" xfId="0" applyFont="true" applyFill="true" applyBorder="true" applyAlignment="true">
      <alignment vertical="center" wrapText="true"/>
    </xf>
    <xf numFmtId="0" fontId="18" fillId="10" borderId="26" xfId="0" applyFont="true" applyFill="true" applyBorder="true" applyAlignment="true">
      <alignment vertical="center" wrapText="true"/>
    </xf>
    <xf numFmtId="0" fontId="101" fillId="10" borderId="5" xfId="0" applyFont="true" applyFill="true" applyBorder="true" applyAlignment="true">
      <alignment vertical="center"/>
    </xf>
    <xf numFmtId="0" fontId="18" fillId="10" borderId="38" xfId="0" applyFont="true" applyFill="true" applyBorder="true" applyAlignment="true">
      <alignment horizontal="center" vertical="center"/>
    </xf>
    <xf numFmtId="0" fontId="18" fillId="10" borderId="22" xfId="0" applyFont="true" applyFill="true" applyBorder="true" applyAlignment="true">
      <alignment horizontal="center" vertical="center"/>
    </xf>
    <xf numFmtId="0" fontId="18" fillId="10" borderId="2" xfId="0" applyFont="true" applyFill="true" applyBorder="true" applyAlignment="true">
      <alignment horizontal="center" vertical="center"/>
    </xf>
    <xf numFmtId="0" fontId="107" fillId="10" borderId="10" xfId="1" applyFont="true" applyFill="true" applyBorder="true" applyAlignment="true">
      <alignment horizontal="center" vertical="center" wrapText="true"/>
    </xf>
    <xf numFmtId="0" fontId="107" fillId="10" borderId="16" xfId="1" applyFont="true" applyFill="true" applyBorder="true" applyAlignment="true">
      <alignment vertical="center" wrapText="true"/>
    </xf>
    <xf numFmtId="0" fontId="107" fillId="10" borderId="11" xfId="1" applyFont="true" applyFill="true" applyBorder="true" applyAlignment="true">
      <alignment horizontal="center" vertical="center" wrapText="true"/>
    </xf>
    <xf numFmtId="0" fontId="15" fillId="10" borderId="65" xfId="0" applyFont="true" applyFill="true" applyBorder="true" applyAlignment="true">
      <alignment vertical="center"/>
    </xf>
    <xf numFmtId="0" fontId="18" fillId="10" borderId="1" xfId="0" applyFont="true" applyFill="true" applyBorder="true" applyAlignment="true">
      <alignment horizontal="center" vertical="center"/>
    </xf>
    <xf numFmtId="0" fontId="109" fillId="10" borderId="10" xfId="0" applyFont="true" applyFill="true" applyBorder="true" applyAlignment="true">
      <alignment horizontal="center" vertical="center"/>
    </xf>
    <xf numFmtId="0" fontId="24" fillId="10" borderId="1" xfId="0" applyFont="true" applyFill="true" applyBorder="true" applyAlignment="true">
      <alignment horizontal="left" vertical="center"/>
    </xf>
    <xf numFmtId="0" fontId="101" fillId="10" borderId="2" xfId="0" applyFont="true" applyFill="true" applyBorder="true" applyAlignment="true">
      <alignment horizontal="center" vertical="center"/>
    </xf>
    <xf numFmtId="0" fontId="65" fillId="10" borderId="1" xfId="0" applyFont="true" applyFill="true" applyBorder="true" applyAlignment="true">
      <alignment vertical="center"/>
    </xf>
    <xf numFmtId="49" fontId="65" fillId="10" borderId="5" xfId="1" applyNumberFormat="true" applyFont="true" applyFill="true" applyBorder="true" applyAlignment="true">
      <alignment horizontal="left" vertical="center"/>
    </xf>
    <xf numFmtId="0" fontId="109" fillId="10" borderId="5" xfId="0" applyFont="true" applyFill="true" applyBorder="true" applyAlignment="true">
      <alignment horizontal="left" vertical="center"/>
    </xf>
    <xf numFmtId="0" fontId="65" fillId="10" borderId="5" xfId="0" applyFont="true" applyFill="true" applyBorder="true"/>
    <xf numFmtId="0" fontId="65" fillId="10" borderId="5" xfId="0" applyFont="true" applyFill="true" applyBorder="true" applyAlignment="true">
      <alignment vertical="center"/>
    </xf>
    <xf numFmtId="0" fontId="65" fillId="10" borderId="7" xfId="0" applyFont="true" applyFill="true" applyBorder="true" applyAlignment="true">
      <alignment vertical="center"/>
    </xf>
    <xf numFmtId="0" fontId="65" fillId="10" borderId="22" xfId="0" applyFont="true" applyFill="true" applyBorder="true" applyAlignment="true">
      <alignment horizontal="center"/>
    </xf>
    <xf numFmtId="0" fontId="65" fillId="10" borderId="5" xfId="0" applyFont="true" applyFill="true" applyBorder="true" applyAlignment="true">
      <alignment horizontal="left"/>
    </xf>
    <xf numFmtId="0" fontId="101" fillId="10" borderId="26" xfId="0" applyFont="true" applyFill="true" applyBorder="true" applyAlignment="true">
      <alignment vertical="center"/>
    </xf>
    <xf numFmtId="0" fontId="65" fillId="10" borderId="22" xfId="0" applyFont="true" applyFill="true" applyBorder="true" applyAlignment="true">
      <alignment horizontal="center" vertical="center"/>
    </xf>
    <xf numFmtId="0" fontId="65" fillId="10" borderId="2" xfId="0" applyFont="true" applyFill="true" applyBorder="true" applyAlignment="true">
      <alignment horizontal="center" vertical="center" wrapText="true"/>
    </xf>
    <xf numFmtId="0" fontId="35" fillId="10" borderId="5" xfId="0" applyFont="true" applyFill="true" applyBorder="true" applyAlignment="true">
      <alignment horizontal="left" vertical="center" wrapText="true"/>
    </xf>
    <xf numFmtId="0" fontId="35" fillId="10" borderId="7" xfId="0" applyFont="true" applyFill="true" applyBorder="true" applyAlignment="true">
      <alignment horizontal="left" vertical="center" wrapText="true"/>
    </xf>
    <xf numFmtId="0" fontId="117" fillId="10" borderId="0" xfId="0" applyFont="true" applyFill="true" applyAlignment="true">
      <alignment horizontal="left" vertical="center" wrapText="true"/>
    </xf>
    <xf numFmtId="0" fontId="117" fillId="10" borderId="26" xfId="0" applyFont="true" applyFill="true" applyBorder="true" applyAlignment="true">
      <alignment horizontal="left" vertical="center" wrapText="true"/>
    </xf>
    <xf numFmtId="0" fontId="65" fillId="10" borderId="1" xfId="0" applyFont="true" applyFill="true" applyBorder="true" applyAlignment="true">
      <alignment horizontal="center" vertical="center"/>
    </xf>
    <xf numFmtId="0" fontId="65" fillId="10" borderId="10" xfId="0" applyFont="true" applyFill="true" applyBorder="true" applyAlignment="true">
      <alignment horizontal="center" vertical="center" wrapText="true"/>
    </xf>
    <xf numFmtId="0" fontId="65" fillId="10" borderId="0" xfId="0" applyFont="true" applyFill="true" applyAlignment="true">
      <alignment horizontal="center" vertical="center"/>
    </xf>
    <xf numFmtId="0" fontId="65" fillId="10" borderId="1" xfId="0" applyFont="true" applyFill="true" applyBorder="true" applyAlignment="true">
      <alignment vertical="center" wrapText="true"/>
    </xf>
    <xf numFmtId="0" fontId="65" fillId="10" borderId="5" xfId="0" applyFont="true" applyFill="true" applyBorder="true" applyAlignment="true">
      <alignment vertical="center" wrapText="true"/>
    </xf>
    <xf numFmtId="0" fontId="117" fillId="10" borderId="7" xfId="0" applyFont="true" applyFill="true" applyBorder="true" applyAlignment="true">
      <alignment horizontal="left" vertical="center" wrapText="true"/>
    </xf>
    <xf numFmtId="0" fontId="102" fillId="10" borderId="0" xfId="0" applyFont="true" applyFill="true" applyAlignment="true">
      <alignment horizontal="center" vertical="center"/>
    </xf>
    <xf numFmtId="0" fontId="17" fillId="0" borderId="3" xfId="0" applyFont="true" applyBorder="true" applyAlignment="true">
      <alignment horizontal="left" vertical="center" wrapText="true"/>
    </xf>
    <xf numFmtId="0" fontId="17" fillId="0" borderId="8" xfId="0" applyFont="true" applyBorder="true" applyAlignment="true">
      <alignment horizontal="left" vertical="center" wrapText="true"/>
    </xf>
    <xf numFmtId="0" fontId="17" fillId="0" borderId="3" xfId="0" applyFont="true" applyBorder="true" applyAlignment="true">
      <alignment wrapText="true"/>
    </xf>
    <xf numFmtId="0" fontId="17" fillId="0" borderId="8" xfId="0" applyFont="true" applyBorder="true" applyAlignment="true">
      <alignment wrapText="true"/>
    </xf>
    <xf numFmtId="10" fontId="0" fillId="0" borderId="0" xfId="0" applyNumberFormat="true"/>
    <xf numFmtId="0" fontId="0" fillId="0" borderId="0" xfId="0" applyAlignment="true">
      <alignment horizontal="center" vertical="center"/>
    </xf>
    <xf numFmtId="0" fontId="14" fillId="0" borderId="0" xfId="0" applyFont="true" applyAlignment="true">
      <alignment horizontal="center" vertical="center"/>
    </xf>
    <xf numFmtId="166" fontId="0" fillId="0" borderId="0" xfId="0" applyNumberFormat="true"/>
    <xf numFmtId="167" fontId="0" fillId="0" borderId="0" xfId="0" applyNumberFormat="true"/>
    <xf numFmtId="0" fontId="0" fillId="3" borderId="20" xfId="0" applyFill="true" applyBorder="true"/>
    <xf numFmtId="0" fontId="25" fillId="3" borderId="0" xfId="0" applyFont="true" applyFill="true"/>
    <xf numFmtId="0" fontId="14" fillId="3" borderId="11" xfId="0" applyFont="true" applyFill="true" applyBorder="true" applyAlignment="true">
      <alignment horizontal="center"/>
    </xf>
    <xf numFmtId="0" fontId="14" fillId="3" borderId="11" xfId="0" applyFont="true" applyFill="true" applyBorder="true" applyAlignment="true">
      <alignment horizontal="center" vertical="center"/>
    </xf>
    <xf numFmtId="0" fontId="0" fillId="3" borderId="49" xfId="0" applyFill="true" applyBorder="true"/>
    <xf numFmtId="0" fontId="25" fillId="3" borderId="2" xfId="0" applyFont="true" applyFill="true" applyBorder="true"/>
    <xf numFmtId="10" fontId="0" fillId="3" borderId="0" xfId="0" applyNumberFormat="true" applyFill="true"/>
    <xf numFmtId="0" fontId="25" fillId="3" borderId="3" xfId="0" applyFont="true" applyFill="true" applyBorder="true"/>
    <xf numFmtId="0" fontId="18" fillId="3" borderId="30" xfId="0" applyFont="true" applyFill="true" applyBorder="true"/>
    <xf numFmtId="0" fontId="18" fillId="3" borderId="7" xfId="0" applyFont="true" applyFill="true" applyBorder="true" applyAlignment="true">
      <alignment horizontal="center" vertical="center"/>
    </xf>
    <xf numFmtId="0" fontId="18" fillId="3" borderId="41" xfId="0" applyFont="true" applyFill="true" applyBorder="true"/>
    <xf numFmtId="0" fontId="25" fillId="3" borderId="8" xfId="0" applyFont="true" applyFill="true" applyBorder="true"/>
    <xf numFmtId="0" fontId="18" fillId="3" borderId="49" xfId="0" applyFont="true" applyFill="true" applyBorder="true"/>
    <xf numFmtId="10" fontId="0" fillId="3" borderId="20" xfId="0" applyNumberFormat="true" applyFill="true" applyBorder="true"/>
    <xf numFmtId="0" fontId="0" fillId="3" borderId="11" xfId="0" applyFill="true" applyBorder="true"/>
    <xf numFmtId="0" fontId="0" fillId="3" borderId="0" xfId="0" applyFill="true"/>
    <xf numFmtId="0" fontId="14" fillId="3" borderId="3" xfId="0" applyFont="true" applyFill="true" applyBorder="true"/>
    <xf numFmtId="0" fontId="18" fillId="3" borderId="3" xfId="0" applyFont="true" applyFill="true" applyBorder="true" applyAlignment="true">
      <alignment horizontal="center"/>
    </xf>
    <xf numFmtId="0" fontId="18" fillId="3" borderId="5" xfId="0" applyFont="true" applyFill="true" applyBorder="true"/>
    <xf numFmtId="0" fontId="0" fillId="3" borderId="86" xfId="0" applyFill="true" applyBorder="true" applyAlignment="true">
      <alignment horizontal="center" vertical="center"/>
    </xf>
    <xf numFmtId="0" fontId="14" fillId="3" borderId="86" xfId="0" applyFont="true" applyFill="true" applyBorder="true" applyAlignment="true">
      <alignment horizontal="center" vertical="center"/>
    </xf>
    <xf numFmtId="0" fontId="0" fillId="3" borderId="86" xfId="0" applyFill="true" applyBorder="true"/>
    <xf numFmtId="10" fontId="0" fillId="3" borderId="86" xfId="0" applyNumberFormat="true" applyFill="true" applyBorder="true"/>
    <xf numFmtId="166" fontId="0" fillId="3" borderId="86" xfId="0" applyNumberFormat="true" applyFill="true" applyBorder="true"/>
    <xf numFmtId="167" fontId="0" fillId="3" borderId="86" xfId="0" applyNumberFormat="true" applyFill="true" applyBorder="true"/>
    <xf numFmtId="0" fontId="17" fillId="10" borderId="1" xfId="0" applyFont="true" applyFill="true" applyBorder="true"/>
    <xf numFmtId="0" fontId="17" fillId="10" borderId="10" xfId="0" applyFont="true" applyFill="true" applyBorder="true" applyAlignment="true">
      <alignment vertical="center" wrapText="true"/>
    </xf>
    <xf numFmtId="0" fontId="106" fillId="10" borderId="0" xfId="1" applyFont="true" applyFill="true"/>
    <xf numFmtId="0" fontId="17" fillId="10" borderId="0" xfId="0" applyFont="true" applyFill="true"/>
    <xf numFmtId="0" fontId="16" fillId="10" borderId="46" xfId="0" applyFont="true" applyFill="true" applyBorder="true" applyAlignment="true">
      <alignment horizontal="left" vertical="center"/>
    </xf>
    <xf numFmtId="0" fontId="17" fillId="10" borderId="46" xfId="0" applyFont="true" applyFill="true" applyBorder="true" applyAlignment="true">
      <alignment horizontal="right" vertical="center"/>
    </xf>
    <xf numFmtId="0" fontId="17" fillId="10" borderId="7" xfId="0" applyFont="true" applyFill="true" applyBorder="true" applyAlignment="true">
      <alignment vertical="center" wrapText="true"/>
    </xf>
    <xf numFmtId="0" fontId="17" fillId="10" borderId="5" xfId="0" applyFont="true" applyFill="true" applyBorder="true" applyAlignment="true">
      <alignment wrapText="true"/>
    </xf>
    <xf numFmtId="0" fontId="17" fillId="10" borderId="58" xfId="0" applyFont="true" applyFill="true" applyBorder="true"/>
    <xf numFmtId="0" fontId="17" fillId="10" borderId="1" xfId="0" applyFont="true" applyFill="true" applyBorder="true" applyAlignment="true">
      <alignment wrapText="true"/>
    </xf>
    <xf numFmtId="0" fontId="17" fillId="10" borderId="28" xfId="0" applyFont="true" applyFill="true" applyBorder="true"/>
    <xf numFmtId="0" fontId="17" fillId="10" borderId="29" xfId="0" applyFont="true" applyFill="true" applyBorder="true"/>
    <xf numFmtId="0" fontId="17" fillId="10" borderId="60" xfId="0" applyFont="true" applyFill="true" applyBorder="true"/>
    <xf numFmtId="0" fontId="17" fillId="10" borderId="61" xfId="0" applyFont="true" applyFill="true" applyBorder="true"/>
    <xf numFmtId="0" fontId="17" fillId="10" borderId="0" xfId="0" applyFont="true" applyFill="true" applyAlignment="true">
      <alignment wrapText="true"/>
    </xf>
    <xf numFmtId="11" fontId="17" fillId="10" borderId="0" xfId="0" applyNumberFormat="true" applyFont="true" applyFill="true"/>
    <xf numFmtId="11" fontId="17" fillId="10" borderId="60" xfId="0" applyNumberFormat="true" applyFont="true" applyFill="true" applyBorder="true"/>
    <xf numFmtId="11" fontId="17" fillId="10" borderId="61" xfId="0" applyNumberFormat="true" applyFont="true" applyFill="true" applyBorder="true"/>
    <xf numFmtId="0" fontId="17" fillId="10" borderId="7" xfId="0" applyFont="true" applyFill="true" applyBorder="true" applyAlignment="true">
      <alignment vertical="center"/>
    </xf>
    <xf numFmtId="0" fontId="0" fillId="10" borderId="83" xfId="0" applyFill="true" applyBorder="true"/>
    <xf numFmtId="0" fontId="0" fillId="10" borderId="85" xfId="0" applyFill="true" applyBorder="true"/>
    <xf numFmtId="0" fontId="17" fillId="10" borderId="86" xfId="0" applyFont="true" applyFill="true" applyBorder="true"/>
    <xf numFmtId="0" fontId="0" fillId="10" borderId="87" xfId="0" applyFill="true" applyBorder="true"/>
    <xf numFmtId="0" fontId="0" fillId="10" borderId="88" xfId="0" applyFill="true" applyBorder="true"/>
    <xf numFmtId="0" fontId="17" fillId="10" borderId="88" xfId="0" applyFont="true" applyFill="true" applyBorder="true"/>
    <xf numFmtId="165" fontId="17" fillId="10" borderId="0" xfId="0" applyNumberFormat="true" applyFont="true" applyFill="true" applyAlignment="true">
      <alignment vertical="center"/>
    </xf>
    <xf numFmtId="0" fontId="16" fillId="10" borderId="1" xfId="0" applyFont="true" applyFill="true" applyBorder="true" applyAlignment="true">
      <alignment horizontal="left" vertical="center"/>
    </xf>
    <xf numFmtId="0" fontId="17" fillId="10" borderId="5" xfId="0" applyFont="true" applyFill="true" applyBorder="true" applyAlignment="true">
      <alignment horizontal="center"/>
    </xf>
    <xf numFmtId="0" fontId="17" fillId="10" borderId="83" xfId="0" applyFont="true" applyFill="true" applyBorder="true"/>
    <xf numFmtId="0" fontId="17" fillId="10" borderId="84" xfId="0" applyFont="true" applyFill="true" applyBorder="true"/>
    <xf numFmtId="0" fontId="17" fillId="10" borderId="85" xfId="0" applyFont="true" applyFill="true" applyBorder="true"/>
    <xf numFmtId="0" fontId="17" fillId="10" borderId="85" xfId="0" applyFont="true" applyFill="true" applyBorder="true" applyAlignment="true">
      <alignment wrapText="true"/>
    </xf>
    <xf numFmtId="0" fontId="17" fillId="10" borderId="86" xfId="0" applyFont="true" applyFill="true" applyBorder="true" applyAlignment="true">
      <alignment wrapText="true"/>
    </xf>
    <xf numFmtId="0" fontId="17" fillId="10" borderId="85" xfId="0" applyFont="true" applyFill="true" applyBorder="true" applyAlignment="true">
      <alignment vertical="center"/>
    </xf>
    <xf numFmtId="0" fontId="17" fillId="10" borderId="86" xfId="0" applyFont="true" applyFill="true" applyBorder="true" applyAlignment="true">
      <alignment vertical="center"/>
    </xf>
    <xf numFmtId="0" fontId="18" fillId="10" borderId="86" xfId="0" applyFont="true" applyFill="true" applyBorder="true" applyAlignment="true">
      <alignment vertical="center"/>
    </xf>
    <xf numFmtId="0" fontId="148" fillId="10" borderId="0" xfId="0" applyFont="true" applyFill="true"/>
    <xf numFmtId="0" fontId="159" fillId="10" borderId="85" xfId="0" applyFont="true" applyFill="true" applyBorder="true"/>
    <xf numFmtId="0" fontId="17" fillId="10" borderId="87" xfId="0" applyFont="true" applyFill="true" applyBorder="true"/>
    <xf numFmtId="0" fontId="17" fillId="10" borderId="89" xfId="0" applyFont="true" applyFill="true" applyBorder="true"/>
    <xf numFmtId="0" fontId="0" fillId="10" borderId="84" xfId="0" applyFill="true" applyBorder="true"/>
    <xf numFmtId="0" fontId="0" fillId="10" borderId="86" xfId="0" applyFill="true" applyBorder="true"/>
    <xf numFmtId="0" fontId="0" fillId="10" borderId="89" xfId="0" applyFill="true" applyBorder="true"/>
    <xf numFmtId="0" fontId="15" fillId="10" borderId="0" xfId="0" applyFont="true" applyFill="true" applyAlignment="true">
      <alignment horizontal="center" vertical="center" wrapText="true"/>
    </xf>
    <xf numFmtId="0" fontId="17" fillId="10" borderId="0" xfId="0" applyFont="true" applyFill="true" applyAlignment="true">
      <alignment horizontal="center"/>
    </xf>
    <xf numFmtId="0" fontId="36" fillId="10" borderId="42" xfId="0" applyFont="true" applyFill="true" applyBorder="true" applyAlignment="true">
      <alignment horizontal="right" vertical="center"/>
    </xf>
    <xf numFmtId="0" fontId="36" fillId="10" borderId="18" xfId="0" applyFont="true" applyFill="true" applyBorder="true" applyAlignment="true">
      <alignment horizontal="right" vertical="center"/>
    </xf>
    <xf numFmtId="0" fontId="24" fillId="10" borderId="2" xfId="0" applyFont="true" applyFill="true" applyBorder="true" applyAlignment="true">
      <alignment horizontal="center" vertical="center"/>
    </xf>
    <xf numFmtId="0" fontId="107" fillId="10" borderId="5" xfId="1" applyFont="true" applyFill="true" applyBorder="true" applyAlignment="true">
      <alignment horizontal="center" vertical="center"/>
    </xf>
    <xf numFmtId="0" fontId="107" fillId="10" borderId="3" xfId="1" applyFont="true" applyFill="true" applyBorder="true" applyAlignment="true">
      <alignment horizontal="center" vertical="center" wrapText="true"/>
    </xf>
    <xf numFmtId="0" fontId="18" fillId="10" borderId="3" xfId="0" applyFont="true" applyFill="true" applyBorder="true" applyAlignment="true">
      <alignment horizontal="center" vertical="center" wrapText="true"/>
    </xf>
    <xf numFmtId="0" fontId="18" fillId="10" borderId="30" xfId="0" applyFont="true" applyFill="true" applyBorder="true" applyAlignment="true">
      <alignment horizontal="center" vertical="center" wrapText="true"/>
    </xf>
    <xf numFmtId="0" fontId="107" fillId="10" borderId="42" xfId="1" applyFont="true" applyFill="true" applyBorder="true" applyAlignment="true">
      <alignment horizontal="center" vertical="center"/>
    </xf>
    <xf numFmtId="0" fontId="107" fillId="10" borderId="18" xfId="1" applyFont="true" applyFill="true" applyBorder="true" applyAlignment="true">
      <alignment horizontal="center" vertical="center" wrapText="true"/>
    </xf>
    <xf numFmtId="0" fontId="18" fillId="10" borderId="18" xfId="0" applyFont="true" applyFill="true" applyBorder="true" applyAlignment="true">
      <alignment horizontal="center" vertical="center" wrapText="true"/>
    </xf>
    <xf numFmtId="0" fontId="18" fillId="10" borderId="43" xfId="0" applyFont="true" applyFill="true" applyBorder="true" applyAlignment="true">
      <alignment horizontal="center" vertical="center" wrapText="true"/>
    </xf>
    <xf numFmtId="0" fontId="107" fillId="10" borderId="3" xfId="1" applyFont="true" applyFill="true" applyBorder="true" applyAlignment="true">
      <alignment horizontal="center" vertical="center"/>
    </xf>
    <xf numFmtId="0" fontId="0" fillId="10" borderId="0" xfId="0" applyFill="true" applyAlignment="true">
      <alignment horizontal="center" vertical="center"/>
    </xf>
    <xf numFmtId="0" fontId="101" fillId="10" borderId="0" xfId="0" applyFont="true" applyFill="true" applyAlignment="true">
      <alignment vertical="center"/>
    </xf>
    <xf numFmtId="0" fontId="38" fillId="10" borderId="0" xfId="0" applyFont="true" applyFill="true" applyAlignment="true">
      <alignment horizontal="justify" vertical="center" wrapText="true"/>
    </xf>
    <xf numFmtId="0" fontId="107" fillId="10" borderId="16" xfId="1" applyFont="true" applyFill="true" applyBorder="true" applyAlignment="true">
      <alignment horizontal="center" vertical="center"/>
    </xf>
    <xf numFmtId="0" fontId="0" fillId="10" borderId="1" xfId="0" applyFill="true" applyBorder="true"/>
    <xf numFmtId="0" fontId="18" fillId="10" borderId="10" xfId="0" applyFont="true" applyFill="true" applyBorder="true" applyAlignment="true">
      <alignment vertical="center" wrapText="true"/>
    </xf>
    <xf numFmtId="0" fontId="25" fillId="10" borderId="0" xfId="0" applyFont="true" applyFill="true"/>
    <xf numFmtId="0" fontId="14" fillId="10" borderId="0" xfId="0" applyFont="true" applyFill="true"/>
    <xf numFmtId="0" fontId="14" fillId="10" borderId="0" xfId="0" applyFont="true" applyFill="true" applyAlignment="true">
      <alignment horizontal="center"/>
    </xf>
    <xf numFmtId="0" fontId="18" fillId="10" borderId="0" xfId="0" applyFont="true" applyFill="true" applyAlignment="true">
      <alignment horizontal="center" vertical="center" wrapText="true"/>
    </xf>
    <xf numFmtId="0" fontId="146" fillId="10" borderId="83" xfId="1" applyFont="true" applyFill="true" applyBorder="true" applyAlignment="true">
      <alignment vertical="center"/>
    </xf>
    <xf numFmtId="0" fontId="25" fillId="10" borderId="85" xfId="0" applyFont="true" applyFill="true" applyBorder="true"/>
    <xf numFmtId="0" fontId="25" fillId="10" borderId="85" xfId="0" applyFont="true" applyFill="true" applyBorder="true" applyAlignment="true">
      <alignment horizontal="center" vertical="center"/>
    </xf>
    <xf numFmtId="0" fontId="0" fillId="10" borderId="86" xfId="0" applyFill="true" applyBorder="true" applyAlignment="true">
      <alignment horizontal="center" vertical="center"/>
    </xf>
    <xf numFmtId="0" fontId="0" fillId="10" borderId="85" xfId="0" applyFill="true" applyBorder="true" applyAlignment="true">
      <alignment horizontal="center" vertical="center"/>
    </xf>
    <xf numFmtId="0" fontId="14" fillId="10" borderId="85" xfId="0" applyFont="true" applyFill="true" applyBorder="true" applyAlignment="true">
      <alignment horizontal="center" vertical="center"/>
    </xf>
    <xf numFmtId="10" fontId="0" fillId="10" borderId="85" xfId="0" applyNumberFormat="true" applyFill="true" applyBorder="true"/>
    <xf numFmtId="166" fontId="0" fillId="10" borderId="85" xfId="0" applyNumberFormat="true" applyFill="true" applyBorder="true"/>
    <xf numFmtId="167" fontId="0" fillId="10" borderId="85" xfId="0" applyNumberFormat="true" applyFill="true" applyBorder="true"/>
    <xf numFmtId="0" fontId="151" fillId="10" borderId="0" xfId="0" applyFont="true" applyFill="true"/>
    <xf numFmtId="0" fontId="152" fillId="10" borderId="0" xfId="1" applyFont="true" applyFill="true"/>
    <xf numFmtId="0" fontId="25" fillId="10" borderId="87" xfId="0" applyFont="true" applyFill="true" applyBorder="true"/>
    <xf numFmtId="0" fontId="0" fillId="3" borderId="55" xfId="0" applyFill="true" applyBorder="true"/>
    <xf numFmtId="0" fontId="14" fillId="3" borderId="56" xfId="0" applyFont="true" applyFill="true" applyBorder="true"/>
    <xf numFmtId="0" fontId="25" fillId="3" borderId="56" xfId="0" applyFont="true" applyFill="true" applyBorder="true"/>
    <xf numFmtId="0" fontId="14" fillId="3" borderId="57" xfId="0" applyFont="true" applyFill="true" applyBorder="true"/>
    <xf numFmtId="0" fontId="18" fillId="3" borderId="0" xfId="0" applyFont="true" applyFill="true"/>
    <xf numFmtId="0" fontId="25" fillId="3" borderId="86" xfId="0" applyFont="true" applyFill="true" applyBorder="true"/>
    <xf numFmtId="0" fontId="15" fillId="3" borderId="86" xfId="0" applyFont="true" applyFill="true" applyBorder="true" applyAlignment="true">
      <alignment horizontal="center" vertical="center"/>
    </xf>
    <xf numFmtId="0" fontId="0" fillId="3" borderId="0" xfId="0" applyFill="true" applyAlignment="true">
      <alignment horizontal="center" vertical="center"/>
    </xf>
    <xf numFmtId="0" fontId="25" fillId="3" borderId="0" xfId="0" applyFont="true" applyFill="true" applyAlignment="true">
      <alignment horizontal="center" vertical="center"/>
    </xf>
    <xf numFmtId="0" fontId="25" fillId="3" borderId="86" xfId="0" applyFont="true" applyFill="true" applyBorder="true" applyAlignment="true">
      <alignment horizontal="center" vertical="center"/>
    </xf>
    <xf numFmtId="0" fontId="0" fillId="3" borderId="85" xfId="0" applyFill="true" applyBorder="true"/>
    <xf numFmtId="0" fontId="194" fillId="3" borderId="85" xfId="0" applyFont="true" applyFill="true" applyBorder="true"/>
    <xf numFmtId="0" fontId="194" fillId="3" borderId="0" xfId="0" applyFont="true" applyFill="true"/>
    <xf numFmtId="0" fontId="0" fillId="3" borderId="87" xfId="0" applyFill="true" applyBorder="true"/>
    <xf numFmtId="0" fontId="18" fillId="3" borderId="88" xfId="0" applyFont="true" applyFill="true" applyBorder="true"/>
    <xf numFmtId="0" fontId="25" fillId="3" borderId="88" xfId="0" applyFont="true" applyFill="true" applyBorder="true"/>
    <xf numFmtId="0" fontId="0" fillId="3" borderId="89" xfId="0" applyFill="true" applyBorder="true"/>
    <xf numFmtId="0" fontId="144" fillId="3" borderId="0" xfId="1" applyFont="true" applyFill="true" applyAlignment="true">
      <alignment horizontal="left"/>
    </xf>
    <xf numFmtId="0" fontId="45" fillId="3" borderId="3" xfId="1" applyFont="true" applyFill="true" applyBorder="true" applyAlignment="true">
      <alignment horizontal="center" vertical="center"/>
    </xf>
    <xf numFmtId="0" fontId="45" fillId="3" borderId="88" xfId="1" applyFont="true" applyFill="true" applyBorder="true" applyAlignment="true">
      <alignment horizontal="center" vertical="center"/>
    </xf>
    <xf numFmtId="0" fontId="196" fillId="3" borderId="83" xfId="1" applyFont="true" applyFill="true" applyBorder="true" applyAlignment="true">
      <alignment horizontal="left" vertical="center"/>
    </xf>
    <xf numFmtId="0" fontId="17" fillId="3" borderId="88" xfId="0" applyFont="true" applyFill="true" applyBorder="true" applyAlignment="true">
      <alignment horizontal="center"/>
    </xf>
    <xf numFmtId="49" fontId="144" fillId="9" borderId="90" xfId="1" applyNumberFormat="true" applyFont="true" applyFill="true" applyBorder="true" applyAlignment="true">
      <alignment horizontal="right" vertical="center"/>
    </xf>
    <xf numFmtId="0" fontId="17" fillId="3" borderId="0" xfId="0" applyFont="true" applyFill="true" applyAlignment="true">
      <alignment horizontal="center"/>
    </xf>
    <xf numFmtId="0" fontId="59" fillId="3" borderId="36" xfId="0" applyFont="true" applyFill="true" applyBorder="true" applyAlignment="true">
      <alignment horizontal="center" vertical="center"/>
    </xf>
    <xf numFmtId="0" fontId="18" fillId="0" borderId="0" xfId="0" applyFont="true"/>
    <xf numFmtId="0" fontId="17" fillId="0" borderId="0" xfId="0" applyFont="true" applyAlignment="true">
      <alignment horizontal="left"/>
    </xf>
    <xf numFmtId="0" fontId="17" fillId="0" borderId="0" xfId="0" applyFont="true" applyAlignment="true">
      <alignment horizontal="center" vertical="center"/>
    </xf>
    <xf numFmtId="0" fontId="38" fillId="0" borderId="0" xfId="0" applyFont="true" applyAlignment="true">
      <alignment horizontal="justify" vertical="center" wrapText="true"/>
    </xf>
    <xf numFmtId="0" fontId="17" fillId="0" borderId="0" xfId="0" applyFont="true" applyAlignment="true">
      <alignment horizontal="center"/>
    </xf>
    <xf numFmtId="0" fontId="17" fillId="0" borderId="88" xfId="0" applyFont="true" applyBorder="true" applyAlignment="true">
      <alignment horizontal="left"/>
    </xf>
    <xf numFmtId="0" fontId="22" fillId="3" borderId="83" xfId="0" applyFont="true" applyFill="true" applyBorder="true" applyAlignment="true">
      <alignment horizontal="center" vertical="center"/>
    </xf>
    <xf numFmtId="0" fontId="17" fillId="3" borderId="83" xfId="0" applyFont="true" applyFill="true" applyBorder="true" applyAlignment="true">
      <alignment horizontal="left"/>
    </xf>
    <xf numFmtId="0" fontId="17" fillId="3" borderId="83" xfId="0" applyFont="true" applyFill="true" applyBorder="true" applyAlignment="true">
      <alignment horizontal="center" vertical="center"/>
    </xf>
    <xf numFmtId="0" fontId="14" fillId="3" borderId="83" xfId="0" applyFont="true" applyFill="true" applyBorder="true" applyAlignment="true">
      <alignment horizontal="justify" vertical="center" wrapText="true"/>
    </xf>
    <xf numFmtId="0" fontId="14" fillId="3" borderId="83" xfId="0" applyFont="true" applyFill="true" applyBorder="true" applyAlignment="true">
      <alignment horizontal="center" vertical="center"/>
    </xf>
    <xf numFmtId="0" fontId="17" fillId="3" borderId="0" xfId="0" applyFont="true" applyFill="true" applyAlignment="true">
      <alignment horizontal="left"/>
    </xf>
    <xf numFmtId="0" fontId="17" fillId="3" borderId="0" xfId="0" applyFont="true" applyFill="true"/>
    <xf numFmtId="0" fontId="19" fillId="3" borderId="0" xfId="0" applyFont="true" applyFill="true" applyAlignment="true">
      <alignment horizontal="center"/>
    </xf>
    <xf numFmtId="0" fontId="17" fillId="3" borderId="86" xfId="0" applyFont="true" applyFill="true" applyBorder="true"/>
    <xf numFmtId="0" fontId="17" fillId="3" borderId="91" xfId="0" applyFont="true" applyFill="true" applyBorder="true"/>
    <xf numFmtId="0" fontId="22" fillId="3" borderId="0" xfId="0" applyFont="true" applyFill="true" applyAlignment="true">
      <alignment horizontal="center" vertical="center"/>
    </xf>
    <xf numFmtId="0" fontId="18" fillId="3" borderId="0" xfId="0" applyFont="true" applyFill="true" applyAlignment="true">
      <alignment horizontal="left"/>
    </xf>
    <xf numFmtId="0" fontId="14" fillId="3" borderId="0" xfId="0" applyFont="true" applyFill="true" applyAlignment="true">
      <alignment horizontal="justify" vertical="center" wrapText="true"/>
    </xf>
    <xf numFmtId="0" fontId="17" fillId="3" borderId="0" xfId="0" applyFont="true" applyFill="true" applyAlignment="true">
      <alignment horizontal="center" vertical="center"/>
    </xf>
    <xf numFmtId="0" fontId="14" fillId="3" borderId="0" xfId="0" applyFont="true" applyFill="true" applyAlignment="true">
      <alignment horizontal="center" vertical="center"/>
    </xf>
    <xf numFmtId="0" fontId="64" fillId="0" borderId="0" xfId="0" applyFont="true" applyAlignment="true">
      <alignment horizontal="center"/>
    </xf>
    <xf numFmtId="0" fontId="64" fillId="3" borderId="85" xfId="0" applyFont="true" applyFill="true" applyBorder="true" applyAlignment="true">
      <alignment horizontal="center"/>
    </xf>
    <xf numFmtId="0" fontId="64" fillId="3" borderId="0" xfId="0" applyFont="true" applyFill="true" applyAlignment="true">
      <alignment horizontal="center"/>
    </xf>
    <xf numFmtId="0" fontId="59" fillId="3" borderId="0" xfId="0" applyFont="true" applyFill="true" applyAlignment="true">
      <alignment horizontal="center"/>
    </xf>
    <xf numFmtId="0" fontId="64" fillId="3" borderId="86" xfId="0" applyFont="true" applyFill="true" applyBorder="true" applyAlignment="true">
      <alignment horizontal="center"/>
    </xf>
    <xf numFmtId="0" fontId="17" fillId="3" borderId="85" xfId="0" applyFont="true" applyFill="true" applyBorder="true"/>
    <xf numFmtId="0" fontId="16" fillId="3" borderId="0" xfId="0" applyFont="true" applyFill="true" applyAlignment="true">
      <alignment horizontal="center"/>
    </xf>
    <xf numFmtId="0" fontId="26" fillId="3" borderId="0" xfId="0" applyFont="true" applyFill="true"/>
    <xf numFmtId="0" fontId="17" fillId="3" borderId="87" xfId="0" applyFont="true" applyFill="true" applyBorder="true"/>
    <xf numFmtId="0" fontId="16" fillId="3" borderId="88" xfId="0" applyFont="true" applyFill="true" applyBorder="true" applyAlignment="true">
      <alignment horizontal="center"/>
    </xf>
    <xf numFmtId="0" fontId="17" fillId="3" borderId="88" xfId="0" applyFont="true" applyFill="true" applyBorder="true" applyAlignment="true">
      <alignment horizontal="left"/>
    </xf>
    <xf numFmtId="0" fontId="17" fillId="3" borderId="89" xfId="0" applyFont="true" applyFill="true" applyBorder="true"/>
    <xf numFmtId="0" fontId="17" fillId="0" borderId="86" xfId="0" applyFont="true" applyBorder="true"/>
    <xf numFmtId="0" fontId="17" fillId="10" borderId="91" xfId="0" applyFont="true" applyFill="true" applyBorder="true"/>
    <xf numFmtId="0" fontId="17" fillId="10" borderId="83" xfId="0" applyFont="true" applyFill="true" applyBorder="true" applyAlignment="true">
      <alignment horizontal="center"/>
    </xf>
    <xf numFmtId="0" fontId="17" fillId="10" borderId="83" xfId="0" applyFont="true" applyFill="true" applyBorder="true" applyAlignment="true">
      <alignment horizontal="left"/>
    </xf>
    <xf numFmtId="0" fontId="22" fillId="10" borderId="0" xfId="0" applyFont="true" applyFill="true" applyAlignment="true">
      <alignment horizontal="center" vertical="center"/>
    </xf>
    <xf numFmtId="0" fontId="17" fillId="10" borderId="0" xfId="0" applyFont="true" applyFill="true" applyAlignment="true">
      <alignment horizontal="left"/>
    </xf>
    <xf numFmtId="0" fontId="21" fillId="10" borderId="0" xfId="0" applyFont="true" applyFill="true" applyAlignment="true">
      <alignment horizontal="center" vertical="center"/>
    </xf>
    <xf numFmtId="0" fontId="18" fillId="10" borderId="24" xfId="0" applyFont="true" applyFill="true" applyBorder="true" applyAlignment="true">
      <alignment horizontal="center" vertical="center"/>
    </xf>
    <xf numFmtId="0" fontId="71" fillId="10" borderId="0" xfId="1" applyFont="true" applyFill="true" applyAlignment="true">
      <alignment horizontal="center" vertical="center"/>
    </xf>
    <xf numFmtId="0" fontId="45" fillId="10" borderId="10" xfId="1" applyFont="true" applyFill="true" applyBorder="true" applyAlignment="true">
      <alignment vertical="center" wrapText="true"/>
    </xf>
    <xf numFmtId="0" fontId="107" fillId="10" borderId="0" xfId="0" applyFont="true" applyFill="true" applyAlignment="true">
      <alignment horizontal="right" vertical="center"/>
    </xf>
    <xf numFmtId="49" fontId="17" fillId="10" borderId="0" xfId="0" applyNumberFormat="true" applyFont="true" applyFill="true"/>
    <xf numFmtId="0" fontId="22" fillId="10" borderId="88" xfId="0" applyFont="true" applyFill="true" applyBorder="true" applyAlignment="true">
      <alignment horizontal="center" vertical="center"/>
    </xf>
    <xf numFmtId="0" fontId="18" fillId="10" borderId="88" xfId="0" applyFont="true" applyFill="true" applyBorder="true"/>
    <xf numFmtId="0" fontId="17" fillId="10" borderId="88" xfId="0" applyFont="true" applyFill="true" applyBorder="true" applyAlignment="true">
      <alignment horizontal="left"/>
    </xf>
    <xf numFmtId="0" fontId="17" fillId="10" borderId="88" xfId="0" applyFont="true" applyFill="true" applyBorder="true" applyAlignment="true">
      <alignment horizontal="center" vertical="center"/>
    </xf>
    <xf numFmtId="0" fontId="38" fillId="10" borderId="88" xfId="0" applyFont="true" applyFill="true" applyBorder="true" applyAlignment="true">
      <alignment horizontal="justify" vertical="center" wrapText="true"/>
    </xf>
    <xf numFmtId="0" fontId="18" fillId="10" borderId="88" xfId="0" applyFont="true" applyFill="true" applyBorder="true" applyAlignment="true">
      <alignment horizontal="center" vertical="center"/>
    </xf>
    <xf numFmtId="0" fontId="14" fillId="10" borderId="88" xfId="0" applyFont="true" applyFill="true" applyBorder="true" applyAlignment="true">
      <alignment horizontal="center" vertical="center"/>
    </xf>
    <xf numFmtId="0" fontId="16" fillId="10" borderId="88" xfId="0" applyFont="true" applyFill="true" applyBorder="true" applyAlignment="true">
      <alignment horizontal="center"/>
    </xf>
    <xf numFmtId="0" fontId="17" fillId="10" borderId="88" xfId="0" applyFont="true" applyFill="true" applyBorder="true" applyAlignment="true">
      <alignment horizontal="center"/>
    </xf>
    <xf numFmtId="0" fontId="173" fillId="0" borderId="0" xfId="1" applyFont="true"/>
    <xf numFmtId="0" fontId="0" fillId="0" borderId="86" xfId="0" applyBorder="true"/>
    <xf numFmtId="0" fontId="0" fillId="3" borderId="84" xfId="0" applyFill="true" applyBorder="true"/>
    <xf numFmtId="0" fontId="0" fillId="0" borderId="0" xfId="0" applyAlignment="true">
      <alignment horizontal="left" vertical="center"/>
    </xf>
    <xf numFmtId="0" fontId="0" fillId="3" borderId="85" xfId="0" applyFill="true" applyBorder="true" applyAlignment="true">
      <alignment horizontal="left" vertical="center"/>
    </xf>
    <xf numFmtId="0" fontId="0" fillId="3" borderId="0" xfId="0" applyFill="true" applyAlignment="true">
      <alignment horizontal="left" vertical="center"/>
    </xf>
    <xf numFmtId="0" fontId="0" fillId="0" borderId="86" xfId="0" applyBorder="true" applyAlignment="true">
      <alignment horizontal="left" vertical="center"/>
    </xf>
    <xf numFmtId="0" fontId="0" fillId="0" borderId="91" xfId="0" applyBorder="true"/>
    <xf numFmtId="0" fontId="45" fillId="0" borderId="88" xfId="1" applyFont="true" applyBorder="true" applyAlignment="true">
      <alignment wrapText="true"/>
    </xf>
    <xf numFmtId="10" fontId="45" fillId="3" borderId="88" xfId="1" applyNumberFormat="true" applyFont="true" applyFill="true" applyBorder="true"/>
    <xf numFmtId="10" fontId="45" fillId="0" borderId="0" xfId="1" applyNumberFormat="true" applyFont="true"/>
    <xf numFmtId="10" fontId="45" fillId="10" borderId="0" xfId="1" applyNumberFormat="true" applyFont="true" applyFill="true"/>
    <xf numFmtId="0" fontId="14" fillId="10" borderId="0" xfId="0" applyFont="true" applyFill="true" applyAlignment="true">
      <alignment wrapText="true"/>
    </xf>
    <xf numFmtId="11" fontId="0" fillId="10" borderId="0" xfId="0" applyNumberFormat="true" applyFill="true"/>
    <xf numFmtId="0" fontId="14" fillId="10" borderId="0" xfId="0" applyFont="true" applyFill="true" applyAlignment="true">
      <alignment horizontal="left" vertical="center" wrapText="true"/>
    </xf>
    <xf numFmtId="0" fontId="0" fillId="10" borderId="0" xfId="0" applyFill="true" applyAlignment="true">
      <alignment horizontal="right" vertical="center"/>
    </xf>
    <xf numFmtId="0" fontId="96" fillId="10" borderId="86" xfId="1" applyFont="true" applyFill="true" applyBorder="true" applyAlignment="true">
      <alignment vertical="center"/>
    </xf>
    <xf numFmtId="0" fontId="96" fillId="0" borderId="0" xfId="1" applyFont="true" applyAlignment="true">
      <alignment vertical="center"/>
    </xf>
    <xf numFmtId="49" fontId="144" fillId="9" borderId="82" xfId="1" applyNumberFormat="true" applyFont="true" applyFill="true" applyBorder="true" applyAlignment="true">
      <alignment horizontal="right" vertical="center"/>
    </xf>
    <xf numFmtId="0" fontId="45" fillId="3" borderId="85" xfId="1" applyFont="true" applyFill="true" applyBorder="true"/>
    <xf numFmtId="0" fontId="45" fillId="3" borderId="87" xfId="1" applyFont="true" applyFill="true" applyBorder="true"/>
    <xf numFmtId="0" fontId="45" fillId="3" borderId="91" xfId="1" applyFont="true" applyFill="true" applyBorder="true"/>
    <xf numFmtId="0" fontId="13" fillId="0" borderId="0" xfId="1" applyAlignment="true">
      <alignment horizontal="left"/>
    </xf>
    <xf numFmtId="0" fontId="11" fillId="0" borderId="0" xfId="1" applyFont="true"/>
    <xf numFmtId="0" fontId="10" fillId="0" borderId="0" xfId="1" applyFont="true"/>
    <xf numFmtId="0" fontId="10" fillId="0" borderId="0" xfId="1" applyFont="true" applyAlignment="true">
      <alignment horizontal="left"/>
    </xf>
    <xf numFmtId="0" fontId="7" fillId="0" borderId="0" xfId="1" applyFont="true"/>
    <xf numFmtId="0" fontId="8" fillId="0" borderId="0" xfId="1" applyFont="true"/>
    <xf numFmtId="0" fontId="10" fillId="0" borderId="0" xfId="1" applyFont="true" applyAlignment="true">
      <alignment horizontal="left" wrapText="true"/>
    </xf>
    <xf numFmtId="0" fontId="45" fillId="10" borderId="85" xfId="1" applyFont="true" applyFill="true" applyBorder="true"/>
    <xf numFmtId="0" fontId="45" fillId="10" borderId="87" xfId="1" applyFont="true" applyFill="true" applyBorder="true"/>
    <xf numFmtId="0" fontId="45" fillId="10" borderId="88" xfId="1" applyFont="true" applyFill="true" applyBorder="true"/>
    <xf numFmtId="0" fontId="45" fillId="10" borderId="89" xfId="1" applyFont="true" applyFill="true" applyBorder="true"/>
    <xf numFmtId="0" fontId="45" fillId="0" borderId="0" xfId="1" applyFont="true" applyAlignment="true">
      <alignment horizontal="center"/>
    </xf>
    <xf numFmtId="0" fontId="83" fillId="0" borderId="0" xfId="1" applyFont="true" applyAlignment="true">
      <alignment horizontal="center" vertical="center"/>
    </xf>
    <xf numFmtId="0" fontId="71" fillId="3" borderId="83" xfId="1" applyFont="true" applyFill="true" applyBorder="true" applyAlignment="true">
      <alignment horizontal="center" vertical="center"/>
    </xf>
    <xf numFmtId="0" fontId="71" fillId="3" borderId="0" xfId="1" applyFont="true" applyFill="true" applyAlignment="true">
      <alignment horizontal="center" vertical="center"/>
    </xf>
    <xf numFmtId="49" fontId="71" fillId="3" borderId="0" xfId="1" applyNumberFormat="true" applyFont="true" applyFill="true" applyAlignment="true">
      <alignment horizontal="right" vertical="center"/>
    </xf>
    <xf numFmtId="0" fontId="71" fillId="3" borderId="88" xfId="1" applyFont="true" applyFill="true" applyBorder="true" applyAlignment="true">
      <alignment horizontal="center" vertical="center"/>
    </xf>
    <xf numFmtId="0" fontId="45" fillId="3" borderId="83" xfId="1" applyFont="true" applyFill="true" applyBorder="true" applyAlignment="true">
      <alignment horizontal="center"/>
    </xf>
    <xf numFmtId="0" fontId="83" fillId="3" borderId="83" xfId="1" applyFont="true" applyFill="true" applyBorder="true" applyAlignment="true">
      <alignment horizontal="center" vertical="center"/>
    </xf>
    <xf numFmtId="0" fontId="45" fillId="3" borderId="83" xfId="1" applyFont="true" applyFill="true" applyBorder="true" applyAlignment="true">
      <alignment horizontal="left"/>
    </xf>
    <xf numFmtId="49" fontId="144" fillId="3" borderId="0" xfId="1" applyNumberFormat="true" applyFont="true" applyFill="true" applyAlignment="true">
      <alignment horizontal="right" vertical="center"/>
    </xf>
    <xf numFmtId="0" fontId="83" fillId="3" borderId="0" xfId="1" applyFont="true" applyFill="true" applyAlignment="true">
      <alignment horizontal="center" vertical="center"/>
    </xf>
    <xf numFmtId="0" fontId="45" fillId="3" borderId="0" xfId="1" applyFont="true" applyFill="true" applyAlignment="true">
      <alignment horizontal="left"/>
    </xf>
    <xf numFmtId="0" fontId="97" fillId="3" borderId="86" xfId="1" applyFont="true" applyFill="true" applyBorder="true" applyAlignment="true">
      <alignment vertical="center"/>
    </xf>
    <xf numFmtId="0" fontId="97" fillId="0" borderId="0" xfId="1" applyFont="true" applyAlignment="true">
      <alignment vertical="center"/>
    </xf>
    <xf numFmtId="0" fontId="162" fillId="0" borderId="2" xfId="1" applyFont="true" applyBorder="true" applyAlignment="true">
      <alignment horizontal="right" vertical="center"/>
    </xf>
    <xf numFmtId="0" fontId="45" fillId="0" borderId="29" xfId="1" applyFont="true" applyBorder="true" applyAlignment="true">
      <alignment vertical="center"/>
    </xf>
    <xf numFmtId="0" fontId="45" fillId="0" borderId="61" xfId="1" applyFont="true" applyBorder="true" applyAlignment="true">
      <alignment vertical="center"/>
    </xf>
    <xf numFmtId="0" fontId="45" fillId="3" borderId="86" xfId="1" applyFont="true" applyFill="true" applyBorder="true" applyAlignment="true">
      <alignment vertical="center"/>
    </xf>
    <xf numFmtId="0" fontId="45" fillId="0" borderId="0" xfId="1" applyFont="true" applyAlignment="true">
      <alignment vertical="center"/>
    </xf>
    <xf numFmtId="0" fontId="83" fillId="3" borderId="88" xfId="1" applyFont="true" applyFill="true" applyBorder="true" applyAlignment="true">
      <alignment horizontal="center" vertical="center"/>
    </xf>
    <xf numFmtId="0" fontId="45" fillId="3" borderId="88" xfId="1" applyFont="true" applyFill="true" applyBorder="true" applyAlignment="true">
      <alignment horizontal="left"/>
    </xf>
    <xf numFmtId="0" fontId="71" fillId="0" borderId="83" xfId="1" applyFont="true" applyBorder="true" applyAlignment="true">
      <alignment horizontal="center" vertical="center"/>
    </xf>
    <xf numFmtId="14" fontId="45" fillId="0" borderId="0" xfId="1" applyNumberFormat="true" applyFont="true"/>
    <xf numFmtId="21" fontId="45" fillId="0" borderId="0" xfId="1" applyNumberFormat="true" applyFont="true" applyAlignment="true">
      <alignment horizontal="center" vertical="center"/>
    </xf>
    <xf numFmtId="0" fontId="144" fillId="3" borderId="0" xfId="1" applyFont="true" applyFill="true"/>
    <xf numFmtId="0" fontId="45" fillId="0" borderId="0" xfId="1" applyFont="true" applyAlignment="true">
      <alignment horizontal="left" vertical="center"/>
    </xf>
    <xf numFmtId="0" fontId="17" fillId="0" borderId="0" xfId="0" applyFont="true" applyAlignment="true">
      <alignment horizontal="left" vertical="center"/>
    </xf>
    <xf numFmtId="0" fontId="45" fillId="0" borderId="8" xfId="1" applyFont="true" applyBorder="true" applyAlignment="true">
      <alignment horizontal="center" vertical="center"/>
    </xf>
    <xf numFmtId="0" fontId="45" fillId="0" borderId="0" xfId="1" applyFont="true" applyAlignment="true">
      <alignment horizontal="center" vertical="center" wrapText="true"/>
    </xf>
    <xf numFmtId="0" fontId="83" fillId="0" borderId="0" xfId="1" applyFont="true" applyAlignment="true">
      <alignment horizontal="center" vertical="center" wrapText="true"/>
    </xf>
    <xf numFmtId="0" fontId="17" fillId="0" borderId="0" xfId="1" applyFont="true" applyAlignment="true">
      <alignment horizontal="center" vertical="center"/>
    </xf>
    <xf numFmtId="0" fontId="0" fillId="0" borderId="0" xfId="0" applyAlignment="true">
      <alignment horizontal="center"/>
    </xf>
    <xf numFmtId="11" fontId="17" fillId="0" borderId="0" xfId="0" applyNumberFormat="true" applyFont="true" applyAlignment="true">
      <alignment horizontal="center" vertical="center"/>
    </xf>
    <xf numFmtId="0" fontId="61" fillId="0" borderId="0" xfId="2" applyFill="true" applyBorder="true" applyAlignment="true" applyProtection="true"/>
    <xf numFmtId="1" fontId="68" fillId="0" borderId="0" xfId="0" applyNumberFormat="true" applyFont="true"/>
    <xf numFmtId="2" fontId="37" fillId="0" borderId="0" xfId="0" applyNumberFormat="true" applyFont="true"/>
    <xf numFmtId="0" fontId="68" fillId="0" borderId="0" xfId="0" applyFont="true"/>
    <xf numFmtId="0" fontId="37" fillId="0" borderId="0" xfId="0" applyFont="true"/>
    <xf numFmtId="0" fontId="101" fillId="0" borderId="0" xfId="0" applyFont="true" applyAlignment="true">
      <alignment vertical="center"/>
    </xf>
    <xf numFmtId="0" fontId="102" fillId="0" borderId="0" xfId="0" applyFont="true" applyAlignment="true">
      <alignment horizontal="center" vertical="center"/>
    </xf>
    <xf numFmtId="0" fontId="15" fillId="0" borderId="0" xfId="0" applyFont="true" applyAlignment="true">
      <alignment horizontal="center" vertical="center" wrapText="true"/>
    </xf>
    <xf numFmtId="0" fontId="64" fillId="3" borderId="83" xfId="0" applyFont="true" applyFill="true" applyBorder="true" applyAlignment="true">
      <alignment horizontal="center" vertical="center"/>
    </xf>
    <xf numFmtId="0" fontId="102" fillId="3" borderId="83" xfId="0" applyFont="true" applyFill="true" applyBorder="true" applyAlignment="true">
      <alignment horizontal="center" vertical="center"/>
    </xf>
    <xf numFmtId="0" fontId="69" fillId="3" borderId="83" xfId="0" applyFont="true" applyFill="true" applyBorder="true" applyAlignment="true">
      <alignment horizontal="center" vertical="center" wrapText="true"/>
    </xf>
    <xf numFmtId="0" fontId="36" fillId="3" borderId="83" xfId="0" applyFont="true" applyFill="true" applyBorder="true" applyAlignment="true">
      <alignment horizontal="center" vertical="center"/>
    </xf>
    <xf numFmtId="0" fontId="64" fillId="3" borderId="0" xfId="0" applyFont="true" applyFill="true" applyAlignment="true">
      <alignment horizontal="center" vertical="center"/>
    </xf>
    <xf numFmtId="0" fontId="102" fillId="3" borderId="0" xfId="0" applyFont="true" applyFill="true" applyAlignment="true">
      <alignment horizontal="center" vertical="center"/>
    </xf>
    <xf numFmtId="0" fontId="17" fillId="3" borderId="85" xfId="0" applyFont="true" applyFill="true" applyBorder="true" applyAlignment="true">
      <alignment horizontal="center"/>
    </xf>
    <xf numFmtId="0" fontId="40" fillId="3" borderId="0" xfId="0" applyFont="true" applyFill="true" applyAlignment="true">
      <alignment vertical="center" textRotation="90"/>
    </xf>
    <xf numFmtId="0" fontId="102" fillId="3" borderId="88" xfId="0" applyFont="true" applyFill="true" applyBorder="true"/>
    <xf numFmtId="0" fontId="18" fillId="3" borderId="88" xfId="0" applyFont="true" applyFill="true" applyBorder="true" applyAlignment="true">
      <alignment vertical="center" wrapText="true"/>
    </xf>
    <xf numFmtId="0" fontId="38" fillId="3" borderId="88" xfId="0" applyFont="true" applyFill="true" applyBorder="true" applyAlignment="true">
      <alignment horizontal="justify" vertical="center" wrapText="true"/>
    </xf>
    <xf numFmtId="0" fontId="102" fillId="3" borderId="88" xfId="0" applyFont="true" applyFill="true" applyBorder="true" applyAlignment="true">
      <alignment horizontal="center" vertical="center"/>
    </xf>
    <xf numFmtId="0" fontId="102" fillId="0" borderId="88" xfId="0" applyFont="true" applyBorder="true" applyAlignment="true">
      <alignment horizontal="center" vertical="center"/>
    </xf>
    <xf numFmtId="0" fontId="15" fillId="0" borderId="88" xfId="0" applyFont="true" applyBorder="true" applyAlignment="true">
      <alignment horizontal="center" vertical="center" wrapText="true"/>
    </xf>
    <xf numFmtId="0" fontId="102" fillId="0" borderId="0" xfId="0" applyFont="true"/>
    <xf numFmtId="0" fontId="18" fillId="0" borderId="0" xfId="0" applyFont="true" applyAlignment="true">
      <alignment vertical="center" wrapText="true"/>
    </xf>
    <xf numFmtId="0" fontId="17" fillId="10" borderId="83" xfId="0" applyFont="true" applyFill="true" applyBorder="true" applyAlignment="true">
      <alignment horizontal="center" vertical="center"/>
    </xf>
    <xf numFmtId="0" fontId="58" fillId="10" borderId="83" xfId="0" applyFont="true" applyFill="true" applyBorder="true" applyAlignment="true">
      <alignment horizontal="center" vertical="center"/>
    </xf>
    <xf numFmtId="0" fontId="102" fillId="10" borderId="83" xfId="0" applyFont="true" applyFill="true" applyBorder="true" applyAlignment="true">
      <alignment horizontal="center" vertical="center"/>
    </xf>
    <xf numFmtId="0" fontId="15" fillId="10" borderId="83" xfId="0" applyFont="true" applyFill="true" applyBorder="true" applyAlignment="true">
      <alignment horizontal="center" vertical="center" wrapText="true"/>
    </xf>
    <xf numFmtId="0" fontId="17" fillId="0" borderId="85" xfId="0" applyFont="true" applyBorder="true"/>
    <xf numFmtId="0" fontId="16" fillId="10" borderId="0" xfId="0" applyFont="true" applyFill="true" applyAlignment="true">
      <alignment horizontal="center" vertical="center"/>
    </xf>
    <xf numFmtId="0" fontId="102" fillId="10" borderId="0" xfId="0" applyFont="true" applyFill="true"/>
    <xf numFmtId="0" fontId="18" fillId="10" borderId="0" xfId="0" applyFont="true" applyFill="true" applyAlignment="true">
      <alignment vertical="center" wrapText="true"/>
    </xf>
    <xf numFmtId="0" fontId="77" fillId="10" borderId="0" xfId="0" applyFont="true" applyFill="true"/>
    <xf numFmtId="43" fontId="17" fillId="10" borderId="0" xfId="0" applyNumberFormat="true" applyFont="true" applyFill="true"/>
    <xf numFmtId="0" fontId="46" fillId="10" borderId="0" xfId="1" applyFont="true" applyFill="true" applyAlignment="true">
      <alignment horizontal="center" vertical="center"/>
    </xf>
    <xf numFmtId="0" fontId="96" fillId="10" borderId="0" xfId="1" applyFont="true" applyFill="true" applyAlignment="true">
      <alignment horizontal="center" vertical="center"/>
    </xf>
    <xf numFmtId="0" fontId="64" fillId="10" borderId="0" xfId="0" applyFont="true" applyFill="true" applyAlignment="true">
      <alignment horizontal="center" vertical="center"/>
    </xf>
    <xf numFmtId="0" fontId="69" fillId="10" borderId="0" xfId="0" applyFont="true" applyFill="true" applyAlignment="true">
      <alignment horizontal="center" vertical="center"/>
    </xf>
    <xf numFmtId="0" fontId="18" fillId="10" borderId="0" xfId="0" applyFont="true" applyFill="true"/>
    <xf numFmtId="0" fontId="65" fillId="10" borderId="0" xfId="0" applyFont="true" applyFill="true" applyAlignment="true">
      <alignment horizontal="center"/>
    </xf>
    <xf numFmtId="0" fontId="65" fillId="10" borderId="0" xfId="0" applyFont="true" applyFill="true" applyAlignment="true">
      <alignment horizontal="justify" vertical="center" wrapText="true"/>
    </xf>
    <xf numFmtId="0" fontId="16" fillId="10" borderId="88" xfId="0" applyFont="true" applyFill="true" applyBorder="true" applyAlignment="true">
      <alignment horizontal="center" vertical="center"/>
    </xf>
    <xf numFmtId="0" fontId="101" fillId="10" borderId="88" xfId="0" applyFont="true" applyFill="true" applyBorder="true" applyAlignment="true">
      <alignment vertical="center"/>
    </xf>
    <xf numFmtId="0" fontId="102" fillId="10" borderId="88" xfId="0" applyFont="true" applyFill="true" applyBorder="true" applyAlignment="true">
      <alignment horizontal="center" vertical="center"/>
    </xf>
    <xf numFmtId="0" fontId="15" fillId="10" borderId="88" xfId="0" applyFont="true" applyFill="true" applyBorder="true" applyAlignment="true">
      <alignment horizontal="center" vertical="center" wrapText="true"/>
    </xf>
    <xf numFmtId="0" fontId="17" fillId="0" borderId="0" xfId="0" applyFont="true" applyAlignment="true">
      <alignment horizontal="justify" vertical="center" wrapText="true"/>
    </xf>
    <xf numFmtId="0" fontId="37" fillId="0" borderId="0" xfId="0" applyFont="true" applyAlignment="true">
      <alignment horizontal="center" vertical="center" wrapText="true"/>
    </xf>
    <xf numFmtId="0" fontId="192" fillId="3" borderId="0" xfId="0" applyFont="true" applyFill="true"/>
    <xf numFmtId="0" fontId="174" fillId="0" borderId="28" xfId="1" applyFont="true" applyBorder="true" applyAlignment="true">
      <alignment horizontal="center" vertical="center" wrapText="true"/>
    </xf>
    <xf numFmtId="0" fontId="174" fillId="8" borderId="28" xfId="1" applyFont="true" applyFill="true" applyBorder="true" applyAlignment="true">
      <alignment horizontal="left" vertical="center" wrapText="true"/>
    </xf>
    <xf numFmtId="0" fontId="174" fillId="8" borderId="29" xfId="1" applyFont="true" applyFill="true" applyBorder="true" applyAlignment="true">
      <alignment horizontal="left" vertical="center" wrapText="true"/>
    </xf>
    <xf numFmtId="0" fontId="59" fillId="3" borderId="6" xfId="0" applyFont="true" applyFill="true" applyBorder="true" applyAlignment="true">
      <alignment horizontal="center" vertical="center"/>
    </xf>
    <xf numFmtId="0" fontId="16" fillId="3" borderId="1" xfId="0" applyFont="true" applyFill="true" applyBorder="true" applyAlignment="true">
      <alignment horizontal="center" vertical="center"/>
    </xf>
    <xf numFmtId="0" fontId="64" fillId="3" borderId="2" xfId="0" applyFont="true" applyFill="true" applyBorder="true" applyAlignment="true">
      <alignment horizontal="left" vertical="center" wrapText="true"/>
    </xf>
    <xf numFmtId="0" fontId="101" fillId="3" borderId="2" xfId="0" applyFont="true" applyFill="true" applyBorder="true" applyAlignment="true">
      <alignment horizontal="center" vertical="center"/>
    </xf>
    <xf numFmtId="0" fontId="18" fillId="3" borderId="2" xfId="0" applyFont="true" applyFill="true" applyBorder="true" applyAlignment="true">
      <alignment vertical="center" wrapText="true"/>
    </xf>
    <xf numFmtId="0" fontId="91" fillId="3" borderId="2" xfId="0" applyFont="true" applyFill="true" applyBorder="true" applyAlignment="true">
      <alignment horizontal="left" vertical="center" wrapText="true"/>
    </xf>
    <xf numFmtId="0" fontId="17" fillId="3" borderId="2" xfId="0" applyFont="true" applyFill="true" applyBorder="true" applyAlignment="true">
      <alignment horizontal="center" vertical="center"/>
    </xf>
    <xf numFmtId="0" fontId="17" fillId="3" borderId="86" xfId="0" applyFont="true" applyFill="true" applyBorder="true" applyAlignment="true">
      <alignment horizontal="center"/>
    </xf>
    <xf numFmtId="0" fontId="87" fillId="3" borderId="3" xfId="0" applyFont="true" applyFill="true" applyBorder="true" applyAlignment="true">
      <alignment horizontal="left" vertical="center" wrapText="true"/>
    </xf>
    <xf numFmtId="0" fontId="91" fillId="3" borderId="3" xfId="0" applyFont="true" applyFill="true" applyBorder="true" applyAlignment="true">
      <alignment horizontal="left" vertical="center" wrapText="true"/>
    </xf>
    <xf numFmtId="0" fontId="36" fillId="3" borderId="3" xfId="0" applyFont="true" applyFill="true" applyBorder="true" applyAlignment="true">
      <alignment horizontal="center" vertical="center" wrapText="true"/>
    </xf>
    <xf numFmtId="0" fontId="88" fillId="3" borderId="3" xfId="0" applyFont="true" applyFill="true" applyBorder="true" applyAlignment="true">
      <alignment horizontal="left" vertical="center"/>
    </xf>
    <xf numFmtId="0" fontId="180" fillId="3" borderId="3" xfId="0" applyFont="true" applyFill="true" applyBorder="true" applyAlignment="true">
      <alignment horizontal="center" vertical="center" wrapText="true"/>
    </xf>
    <xf numFmtId="0" fontId="90" fillId="3" borderId="3" xfId="0" applyFont="true" applyFill="true" applyBorder="true" applyAlignment="true">
      <alignment wrapText="true"/>
    </xf>
    <xf numFmtId="0" fontId="37" fillId="3" borderId="3" xfId="0" applyFont="true" applyFill="true" applyBorder="true" applyAlignment="true">
      <alignment horizontal="center" vertical="center" wrapText="true"/>
    </xf>
    <xf numFmtId="0" fontId="90" fillId="3" borderId="3" xfId="0" applyFont="true" applyFill="true" applyBorder="true" applyAlignment="true">
      <alignment vertical="center" wrapText="true"/>
    </xf>
    <xf numFmtId="0" fontId="42" fillId="3" borderId="3" xfId="0" applyFont="true" applyFill="true" applyBorder="true" applyAlignment="true">
      <alignment horizontal="justify" vertical="center" wrapText="true"/>
    </xf>
    <xf numFmtId="0" fontId="88" fillId="3" borderId="8" xfId="0" applyFont="true" applyFill="true" applyBorder="true" applyAlignment="true">
      <alignment horizontal="left" vertical="center"/>
    </xf>
    <xf numFmtId="0" fontId="25" fillId="3" borderId="8" xfId="0" applyFont="true" applyFill="true" applyBorder="true" applyAlignment="true">
      <alignment horizontal="justify" vertical="center" wrapText="true"/>
    </xf>
    <xf numFmtId="0" fontId="90" fillId="3" borderId="8" xfId="0" applyFont="true" applyFill="true" applyBorder="true" applyAlignment="true">
      <alignment vertical="center" wrapText="true"/>
    </xf>
    <xf numFmtId="0" fontId="17" fillId="3" borderId="8" xfId="0" applyFont="true" applyFill="true" applyBorder="true" applyAlignment="true">
      <alignment horizontal="center" vertical="center"/>
    </xf>
    <xf numFmtId="0" fontId="36" fillId="3" borderId="8" xfId="0" applyFont="true" applyFill="true" applyBorder="true" applyAlignment="true">
      <alignment horizontal="center" vertical="center" wrapText="true"/>
    </xf>
    <xf numFmtId="0" fontId="40" fillId="3" borderId="88" xfId="0" applyFont="true" applyFill="true" applyBorder="true" applyAlignment="true">
      <alignment vertical="center" textRotation="90"/>
    </xf>
    <xf numFmtId="0" fontId="88" fillId="3" borderId="88" xfId="0" applyFont="true" applyFill="true" applyBorder="true" applyAlignment="true">
      <alignment horizontal="left" vertical="center"/>
    </xf>
    <xf numFmtId="0" fontId="141" fillId="3" borderId="88" xfId="0" applyFont="true" applyFill="true" applyBorder="true" applyAlignment="true">
      <alignment horizontal="center" vertical="center" wrapText="true"/>
    </xf>
    <xf numFmtId="0" fontId="25" fillId="3" borderId="88" xfId="0" applyFont="true" applyFill="true" applyBorder="true" applyAlignment="true">
      <alignment horizontal="justify" vertical="center" wrapText="true"/>
    </xf>
    <xf numFmtId="0" fontId="90" fillId="3" borderId="88" xfId="0" applyFont="true" applyFill="true" applyBorder="true" applyAlignment="true">
      <alignment vertical="center" wrapText="true"/>
    </xf>
    <xf numFmtId="0" fontId="36" fillId="3" borderId="88" xfId="0" applyFont="true" applyFill="true" applyBorder="true" applyAlignment="true">
      <alignment horizontal="center" vertical="center" wrapText="true"/>
    </xf>
    <xf numFmtId="0" fontId="45" fillId="10" borderId="52" xfId="1" applyFont="true" applyFill="true" applyBorder="true" applyAlignment="true">
      <alignment horizontal="center" vertical="center"/>
    </xf>
    <xf numFmtId="0" fontId="45" fillId="10" borderId="48" xfId="1" applyFont="true" applyFill="true" applyBorder="true" applyAlignment="true">
      <alignment horizontal="center" vertical="center"/>
    </xf>
    <xf numFmtId="0" fontId="17" fillId="10" borderId="48" xfId="0" applyFont="true" applyFill="true" applyBorder="true"/>
    <xf numFmtId="0" fontId="17" fillId="10" borderId="53" xfId="0" applyFont="true" applyFill="true" applyBorder="true"/>
    <xf numFmtId="0" fontId="45" fillId="10" borderId="26" xfId="1" applyFont="true" applyFill="true" applyBorder="true" applyAlignment="true">
      <alignment horizontal="center" vertical="center"/>
    </xf>
    <xf numFmtId="0" fontId="97" fillId="10" borderId="0" xfId="1" applyFont="true" applyFill="true"/>
    <xf numFmtId="0" fontId="45" fillId="10" borderId="2" xfId="1" applyFont="true" applyFill="true" applyBorder="true"/>
    <xf numFmtId="0" fontId="45" fillId="10" borderId="54" xfId="1" applyFont="true" applyFill="true" applyBorder="true"/>
    <xf numFmtId="0" fontId="45" fillId="10" borderId="26" xfId="1" applyFont="true" applyFill="true" applyBorder="true"/>
    <xf numFmtId="0" fontId="45" fillId="10" borderId="27" xfId="1" applyFont="true" applyFill="true" applyBorder="true"/>
    <xf numFmtId="0" fontId="0" fillId="10" borderId="37" xfId="0" applyFill="true" applyBorder="true"/>
    <xf numFmtId="0" fontId="45" fillId="10" borderId="7" xfId="1" applyFont="true" applyFill="true" applyBorder="true" applyAlignment="true">
      <alignment wrapText="true"/>
    </xf>
    <xf numFmtId="0" fontId="18" fillId="10" borderId="88" xfId="0" applyFont="true" applyFill="true" applyBorder="true" applyAlignment="true">
      <alignment vertical="center"/>
    </xf>
    <xf numFmtId="0" fontId="45" fillId="10" borderId="88" xfId="1" applyFont="true" applyFill="true" applyBorder="true" applyAlignment="true">
      <alignment horizontal="center"/>
    </xf>
    <xf numFmtId="0" fontId="100" fillId="0" borderId="0" xfId="0" applyFont="true"/>
    <xf numFmtId="0" fontId="98" fillId="0" borderId="0" xfId="0" applyFont="true"/>
    <xf numFmtId="0" fontId="45" fillId="0" borderId="0" xfId="1" applyFont="true" applyAlignment="true">
      <alignment horizontal="left" vertical="center" wrapText="true"/>
    </xf>
    <xf numFmtId="0" fontId="16" fillId="0" borderId="0" xfId="0" applyFont="true"/>
    <xf numFmtId="0" fontId="0" fillId="0" borderId="88" xfId="0" applyBorder="true"/>
    <xf numFmtId="0" fontId="25" fillId="0" borderId="88" xfId="0" applyFont="true" applyBorder="true"/>
    <xf numFmtId="0" fontId="0" fillId="0" borderId="86" xfId="0" applyBorder="true" applyAlignment="true">
      <alignment horizontal="center" vertical="center"/>
    </xf>
    <xf numFmtId="0" fontId="25" fillId="0" borderId="0" xfId="0" applyFont="true" applyAlignment="true">
      <alignment horizontal="center" vertical="center"/>
    </xf>
    <xf numFmtId="0" fontId="85" fillId="0" borderId="0" xfId="0" applyFont="true"/>
    <xf numFmtId="0" fontId="159" fillId="0" borderId="0" xfId="0" applyFont="true"/>
    <xf numFmtId="168" fontId="17" fillId="0" borderId="0" xfId="0" applyNumberFormat="true" applyFont="true"/>
    <xf numFmtId="11" fontId="17" fillId="0" borderId="0" xfId="0" applyNumberFormat="true" applyFont="true"/>
    <xf numFmtId="0" fontId="72" fillId="10" borderId="1" xfId="0" applyFont="true" applyFill="true" applyBorder="true"/>
    <xf numFmtId="49" fontId="72" fillId="10" borderId="2" xfId="0" applyNumberFormat="true" applyFont="true" applyFill="true" applyBorder="true" applyAlignment="true">
      <alignment horizontal="left" vertical="center" wrapText="true"/>
    </xf>
    <xf numFmtId="0" fontId="72" fillId="10" borderId="10" xfId="0" applyFont="true" applyFill="true" applyBorder="true" applyAlignment="true">
      <alignment vertical="top" wrapText="true"/>
    </xf>
    <xf numFmtId="0" fontId="72" fillId="10" borderId="5" xfId="0" applyFont="true" applyFill="true" applyBorder="true"/>
    <xf numFmtId="49" fontId="72" fillId="10" borderId="3" xfId="0" applyNumberFormat="true" applyFont="true" applyFill="true" applyBorder="true" applyAlignment="true">
      <alignment horizontal="left" vertical="center" wrapText="true"/>
    </xf>
    <xf numFmtId="0" fontId="72" fillId="10" borderId="11" xfId="0" applyFont="true" applyFill="true" applyBorder="true" applyAlignment="true">
      <alignment vertical="top" wrapText="true"/>
    </xf>
    <xf numFmtId="49" fontId="72" fillId="10" borderId="3" xfId="0" applyNumberFormat="true" applyFont="true" applyFill="true" applyBorder="true" applyAlignment="true" applyProtection="true">
      <alignment horizontal="left" vertical="center" wrapText="true"/>
      <protection locked="false"/>
    </xf>
    <xf numFmtId="0" fontId="72" fillId="10" borderId="7" xfId="0" applyFont="true" applyFill="true" applyBorder="true"/>
    <xf numFmtId="49" fontId="72" fillId="10" borderId="8" xfId="0" applyNumberFormat="true" applyFont="true" applyFill="true" applyBorder="true" applyAlignment="true" applyProtection="true">
      <alignment horizontal="left" vertical="center" wrapText="true"/>
      <protection locked="false"/>
    </xf>
    <xf numFmtId="0" fontId="72" fillId="10" borderId="12" xfId="0" applyFont="true" applyFill="true" applyBorder="true" applyAlignment="true">
      <alignment vertical="top" wrapText="true"/>
    </xf>
    <xf numFmtId="0" fontId="72" fillId="10" borderId="1" xfId="0" applyFont="true" applyFill="true" applyBorder="true" applyAlignment="true">
      <alignment vertical="top"/>
    </xf>
    <xf numFmtId="49" fontId="72" fillId="10" borderId="2" xfId="0" applyNumberFormat="true" applyFont="true" applyFill="true" applyBorder="true" applyAlignment="true">
      <alignment horizontal="left" vertical="top" wrapText="true"/>
    </xf>
    <xf numFmtId="0" fontId="72" fillId="10" borderId="5" xfId="0" applyFont="true" applyFill="true" applyBorder="true" applyAlignment="true">
      <alignment vertical="top"/>
    </xf>
    <xf numFmtId="49" fontId="72" fillId="10" borderId="3" xfId="0" applyNumberFormat="true" applyFont="true" applyFill="true" applyBorder="true" applyAlignment="true">
      <alignment horizontal="left" vertical="top" wrapText="true"/>
    </xf>
    <xf numFmtId="49" fontId="72" fillId="10" borderId="3" xfId="0" applyNumberFormat="true" applyFont="true" applyFill="true" applyBorder="true" applyAlignment="true">
      <alignment horizontal="left"/>
    </xf>
    <xf numFmtId="0" fontId="72" fillId="10" borderId="11" xfId="0" applyFont="true" applyFill="true" applyBorder="true" applyAlignment="true">
      <alignment horizontal="right" vertical="top" wrapText="true"/>
    </xf>
    <xf numFmtId="49" fontId="72" fillId="10" borderId="8" xfId="0" applyNumberFormat="true" applyFont="true" applyFill="true" applyBorder="true" applyAlignment="true">
      <alignment horizontal="left" vertical="top" wrapText="true"/>
    </xf>
    <xf numFmtId="49" fontId="185" fillId="10" borderId="3" xfId="0" applyNumberFormat="true" applyFont="true" applyFill="true" applyBorder="true" applyAlignment="true">
      <alignment horizontal="left" vertical="center" wrapText="true"/>
    </xf>
    <xf numFmtId="0" fontId="72" fillId="10" borderId="7" xfId="0" applyFont="true" applyFill="true" applyBorder="true" applyAlignment="true">
      <alignment vertical="top"/>
    </xf>
    <xf numFmtId="49" fontId="186" fillId="10" borderId="8" xfId="0" applyNumberFormat="true" applyFont="true" applyFill="true" applyBorder="true" applyAlignment="true">
      <alignment horizontal="left" vertical="center" wrapText="true"/>
    </xf>
    <xf numFmtId="49" fontId="185" fillId="10" borderId="3" xfId="0" applyNumberFormat="true" applyFont="true" applyFill="true" applyBorder="true" applyAlignment="true">
      <alignment horizontal="left" vertical="top" wrapText="true"/>
    </xf>
    <xf numFmtId="49" fontId="185" fillId="10" borderId="8" xfId="0" applyNumberFormat="true" applyFont="true" applyFill="true" applyBorder="true" applyAlignment="true">
      <alignment horizontal="left" vertical="top" wrapText="true"/>
    </xf>
    <xf numFmtId="0" fontId="72" fillId="10" borderId="1" xfId="0" applyFont="true" applyFill="true" applyBorder="true" applyAlignment="true">
      <alignment vertical="top" wrapText="true"/>
    </xf>
    <xf numFmtId="0" fontId="72" fillId="10" borderId="2" xfId="0" applyFont="true" applyFill="true" applyBorder="true" applyAlignment="true">
      <alignment vertical="top" wrapText="true"/>
    </xf>
    <xf numFmtId="0" fontId="72" fillId="10" borderId="5" xfId="0" applyFont="true" applyFill="true" applyBorder="true" applyAlignment="true">
      <alignment vertical="top" wrapText="true"/>
    </xf>
    <xf numFmtId="0" fontId="72" fillId="10" borderId="3" xfId="0" applyFont="true" applyFill="true" applyBorder="true" applyAlignment="true">
      <alignment vertical="top" wrapText="true"/>
    </xf>
    <xf numFmtId="49" fontId="186" fillId="10" borderId="3" xfId="0" applyNumberFormat="true" applyFont="true" applyFill="true" applyBorder="true" applyAlignment="true">
      <alignment horizontal="left" vertical="top" wrapText="true"/>
    </xf>
    <xf numFmtId="0" fontId="72" fillId="10" borderId="7" xfId="0" applyFont="true" applyFill="true" applyBorder="true" applyAlignment="true">
      <alignment vertical="top" wrapText="true"/>
    </xf>
    <xf numFmtId="49" fontId="72" fillId="10" borderId="8" xfId="0" applyNumberFormat="true" applyFont="true" applyFill="true" applyBorder="true" applyAlignment="true" applyProtection="true">
      <alignment horizontal="center" vertical="top" wrapText="true"/>
      <protection locked="false"/>
    </xf>
    <xf numFmtId="0" fontId="72" fillId="10" borderId="8" xfId="0" applyFont="true" applyFill="true" applyBorder="true" applyAlignment="true">
      <alignment vertical="top" wrapText="true"/>
    </xf>
    <xf numFmtId="0" fontId="72" fillId="10" borderId="12" xfId="0" applyFont="true" applyFill="true" applyBorder="true" applyProtection="true">
      <protection locked="false"/>
    </xf>
    <xf numFmtId="0" fontId="188" fillId="10" borderId="1" xfId="0" applyFont="true" applyFill="true" applyBorder="true" applyAlignment="true">
      <alignment horizontal="center" vertical="center" wrapText="true"/>
    </xf>
    <xf numFmtId="0" fontId="188" fillId="10" borderId="2" xfId="0" applyFont="true" applyFill="true" applyBorder="true" applyAlignment="true">
      <alignment horizontal="center" vertical="center" wrapText="true"/>
    </xf>
    <xf numFmtId="0" fontId="72" fillId="10" borderId="2" xfId="0" applyFont="true" applyFill="true" applyBorder="true" applyProtection="true">
      <protection locked="false"/>
    </xf>
    <xf numFmtId="1" fontId="72" fillId="10" borderId="10" xfId="0" applyNumberFormat="true" applyFont="true" applyFill="true" applyBorder="true" applyAlignment="true">
      <alignment horizontal="center" vertical="center" wrapText="true"/>
    </xf>
    <xf numFmtId="0" fontId="188" fillId="10" borderId="5" xfId="0" applyFont="true" applyFill="true" applyBorder="true"/>
    <xf numFmtId="0" fontId="72" fillId="10" borderId="3" xfId="0" applyFont="true" applyFill="true" applyBorder="true" applyAlignment="true">
      <alignment horizontal="right"/>
    </xf>
    <xf numFmtId="0" fontId="72" fillId="10" borderId="3" xfId="0" applyFont="true" applyFill="true" applyBorder="true" applyProtection="true">
      <protection locked="false"/>
    </xf>
    <xf numFmtId="1" fontId="72" fillId="10" borderId="11" xfId="7" applyNumberFormat="true" applyFont="true" applyFill="true" applyBorder="true"/>
    <xf numFmtId="0" fontId="188" fillId="10" borderId="3" xfId="0" applyFont="true" applyFill="true" applyBorder="true" applyProtection="true">
      <protection locked="false"/>
    </xf>
    <xf numFmtId="1" fontId="72" fillId="10" borderId="11" xfId="0" applyNumberFormat="true" applyFont="true" applyFill="true" applyBorder="true"/>
    <xf numFmtId="1" fontId="188" fillId="10" borderId="11" xfId="0" applyNumberFormat="true" applyFont="true" applyFill="true" applyBorder="true"/>
    <xf numFmtId="0" fontId="72" fillId="10" borderId="5" xfId="7" applyFont="true" applyFill="true" applyBorder="true"/>
    <xf numFmtId="49" fontId="72" fillId="10" borderId="3" xfId="7" applyNumberFormat="true" applyFont="true" applyFill="true" applyBorder="true" applyProtection="true">
      <protection locked="false"/>
    </xf>
    <xf numFmtId="11" fontId="72" fillId="10" borderId="5" xfId="7" applyNumberFormat="true" applyFont="true" applyFill="true" applyBorder="true"/>
    <xf numFmtId="11" fontId="72" fillId="10" borderId="3" xfId="7" applyNumberFormat="true" applyFont="true" applyFill="true" applyBorder="true" applyProtection="true">
      <protection locked="false"/>
    </xf>
    <xf numFmtId="0" fontId="72" fillId="10" borderId="3" xfId="7" applyFont="true" applyFill="true" applyBorder="true" applyProtection="true">
      <protection locked="false"/>
    </xf>
    <xf numFmtId="0" fontId="72" fillId="10" borderId="7" xfId="7" applyFont="true" applyFill="true" applyBorder="true"/>
    <xf numFmtId="0" fontId="72" fillId="10" borderId="8" xfId="0" applyFont="true" applyFill="true" applyBorder="true" applyAlignment="true">
      <alignment horizontal="right"/>
    </xf>
    <xf numFmtId="0" fontId="72" fillId="10" borderId="8" xfId="7" applyFont="true" applyFill="true" applyBorder="true" applyProtection="true">
      <protection locked="false"/>
    </xf>
    <xf numFmtId="1" fontId="72" fillId="10" borderId="12" xfId="7" applyNumberFormat="true" applyFont="true" applyFill="true" applyBorder="true"/>
    <xf numFmtId="0" fontId="72" fillId="10" borderId="0" xfId="7" applyFont="true" applyFill="true" applyProtection="true">
      <protection locked="false"/>
    </xf>
    <xf numFmtId="0" fontId="188" fillId="10" borderId="0" xfId="0" applyFont="true" applyFill="true" applyAlignment="true" applyProtection="true">
      <alignment horizontal="right"/>
      <protection locked="false"/>
    </xf>
    <xf numFmtId="1" fontId="72" fillId="10" borderId="0" xfId="7" applyNumberFormat="true" applyFont="true" applyFill="true" applyProtection="true">
      <protection locked="false"/>
    </xf>
    <xf numFmtId="49" fontId="72" fillId="10" borderId="0" xfId="7" applyNumberFormat="true" applyFont="true" applyFill="true" applyProtection="true">
      <protection locked="false"/>
    </xf>
    <xf numFmtId="0" fontId="81" fillId="10" borderId="0" xfId="0" applyFont="true" applyFill="true" applyProtection="true">
      <protection locked="false"/>
    </xf>
    <xf numFmtId="0" fontId="72" fillId="10" borderId="0" xfId="0" applyFont="true" applyFill="true" applyProtection="true">
      <protection locked="false"/>
    </xf>
    <xf numFmtId="49" fontId="72" fillId="10" borderId="0" xfId="0" applyNumberFormat="true" applyFont="true" applyFill="true" applyAlignment="true" applyProtection="true">
      <alignment horizontal="center" vertical="center"/>
      <protection locked="false"/>
    </xf>
    <xf numFmtId="0" fontId="186" fillId="10" borderId="0" xfId="0" applyFont="true" applyFill="true" applyAlignment="true" applyProtection="true">
      <alignment vertical="top" wrapText="true"/>
      <protection locked="false"/>
    </xf>
    <xf numFmtId="0" fontId="186" fillId="10" borderId="0" xfId="0" applyFont="true" applyFill="true" applyAlignment="true" applyProtection="true">
      <alignment horizontal="right" vertical="top" wrapText="true"/>
      <protection locked="false"/>
    </xf>
    <xf numFmtId="0" fontId="186" fillId="10" borderId="0" xfId="0" applyFont="true" applyFill="true" applyAlignment="true" applyProtection="true">
      <alignment horizontal="left" vertical="top" wrapText="true"/>
      <protection locked="false"/>
    </xf>
    <xf numFmtId="0" fontId="161" fillId="10" borderId="0" xfId="0" applyFont="true" applyFill="true" applyAlignment="true" applyProtection="true">
      <alignment horizontal="right" vertical="top" wrapText="true"/>
      <protection locked="false"/>
    </xf>
    <xf numFmtId="0" fontId="188" fillId="10" borderId="1" xfId="0" applyFont="true" applyFill="true" applyBorder="true" applyAlignment="true" applyProtection="true">
      <alignment horizontal="center" vertical="center" wrapText="true"/>
      <protection locked="false"/>
    </xf>
    <xf numFmtId="0" fontId="188" fillId="10" borderId="2" xfId="0" applyFont="true" applyFill="true" applyBorder="true" applyAlignment="true" applyProtection="true">
      <alignment horizontal="center" vertical="center" wrapText="true"/>
      <protection locked="false"/>
    </xf>
    <xf numFmtId="0" fontId="72" fillId="10" borderId="2" xfId="0" applyFont="true" applyFill="true" applyBorder="true" applyAlignment="true" applyProtection="true">
      <alignment horizontal="center" vertical="center" wrapText="true"/>
      <protection locked="false"/>
    </xf>
    <xf numFmtId="0" fontId="72" fillId="10" borderId="10" xfId="0" applyFont="true" applyFill="true" applyBorder="true" applyAlignment="true" applyProtection="true">
      <alignment horizontal="center" vertical="center" wrapText="true"/>
      <protection locked="false"/>
    </xf>
    <xf numFmtId="0" fontId="188" fillId="10" borderId="5" xfId="0" applyFont="true" applyFill="true" applyBorder="true" applyProtection="true">
      <protection locked="false"/>
    </xf>
    <xf numFmtId="49" fontId="188" fillId="10" borderId="3" xfId="0" applyNumberFormat="true" applyFont="true" applyFill="true" applyBorder="true" applyAlignment="true" applyProtection="true">
      <alignment horizontal="right"/>
      <protection locked="false"/>
    </xf>
    <xf numFmtId="0" fontId="188" fillId="10" borderId="11" xfId="0" applyFont="true" applyFill="true" applyBorder="true" applyProtection="true">
      <protection locked="false"/>
    </xf>
    <xf numFmtId="0" fontId="68" fillId="10" borderId="0" xfId="0" applyFont="true" applyFill="true" applyProtection="true">
      <protection locked="false"/>
    </xf>
    <xf numFmtId="0" fontId="37" fillId="10" borderId="0" xfId="0" applyFont="true" applyFill="true" applyProtection="true">
      <protection locked="false"/>
    </xf>
    <xf numFmtId="0" fontId="161" fillId="10" borderId="0" xfId="0" applyFont="true" applyFill="true" applyAlignment="true" applyProtection="true">
      <alignment vertical="top" wrapText="true"/>
      <protection locked="false"/>
    </xf>
    <xf numFmtId="0" fontId="188" fillId="10" borderId="7" xfId="0" applyFont="true" applyFill="true" applyBorder="true" applyProtection="true">
      <protection locked="false"/>
    </xf>
    <xf numFmtId="0" fontId="188" fillId="10" borderId="8" xfId="0" applyFont="true" applyFill="true" applyBorder="true" applyProtection="true">
      <protection locked="false"/>
    </xf>
    <xf numFmtId="0" fontId="188" fillId="10" borderId="12" xfId="0" applyFont="true" applyFill="true" applyBorder="true" applyProtection="true">
      <protection locked="false"/>
    </xf>
    <xf numFmtId="0" fontId="81" fillId="10" borderId="83" xfId="0" applyFont="true" applyFill="true" applyBorder="true" applyProtection="true">
      <protection locked="false"/>
    </xf>
    <xf numFmtId="0" fontId="81" fillId="10" borderId="84" xfId="0" applyFont="true" applyFill="true" applyBorder="true" applyProtection="true">
      <protection locked="false"/>
    </xf>
    <xf numFmtId="0" fontId="81" fillId="10" borderId="85" xfId="0" applyFont="true" applyFill="true" applyBorder="true" applyProtection="true">
      <protection locked="false"/>
    </xf>
    <xf numFmtId="0" fontId="72" fillId="10" borderId="0" xfId="0" applyFont="true" applyFill="true" applyAlignment="true">
      <alignment vertical="center"/>
    </xf>
    <xf numFmtId="49" fontId="72" fillId="10" borderId="0" xfId="0" applyNumberFormat="true" applyFont="true" applyFill="true" applyAlignment="true">
      <alignment horizontal="center" vertical="center"/>
    </xf>
    <xf numFmtId="0" fontId="72" fillId="10" borderId="0" xfId="0" applyFont="true" applyFill="true" applyAlignment="true">
      <alignment wrapText="true"/>
    </xf>
    <xf numFmtId="0" fontId="81" fillId="10" borderId="86" xfId="0" applyFont="true" applyFill="true" applyBorder="true" applyProtection="true">
      <protection locked="false"/>
    </xf>
    <xf numFmtId="49" fontId="81" fillId="10" borderId="86" xfId="0" applyNumberFormat="true" applyFont="true" applyFill="true" applyBorder="true" applyProtection="true">
      <protection locked="false"/>
    </xf>
    <xf numFmtId="0" fontId="72" fillId="10" borderId="0" xfId="0" applyFont="true" applyFill="true"/>
    <xf numFmtId="0" fontId="81" fillId="10" borderId="0" xfId="0" applyFont="true" applyFill="true"/>
    <xf numFmtId="49" fontId="81" fillId="10" borderId="0" xfId="0" applyNumberFormat="true" applyFont="true" applyFill="true" applyProtection="true">
      <protection locked="false"/>
    </xf>
    <xf numFmtId="49" fontId="81" fillId="10" borderId="0" xfId="0" applyNumberFormat="true" applyFont="true" applyFill="true" applyAlignment="true" applyProtection="true">
      <alignment horizontal="center" vertical="center"/>
      <protection locked="false"/>
    </xf>
    <xf numFmtId="0" fontId="161" fillId="10" borderId="86" xfId="0" applyFont="true" applyFill="true" applyBorder="true" applyAlignment="true" applyProtection="true">
      <alignment vertical="top" wrapText="true"/>
      <protection locked="false"/>
    </xf>
    <xf numFmtId="0" fontId="81" fillId="10" borderId="87" xfId="0" applyFont="true" applyFill="true" applyBorder="true" applyProtection="true">
      <protection locked="false"/>
    </xf>
    <xf numFmtId="0" fontId="72" fillId="10" borderId="88" xfId="0" applyFont="true" applyFill="true" applyBorder="true" applyProtection="true">
      <protection locked="false"/>
    </xf>
    <xf numFmtId="49" fontId="72" fillId="10" borderId="88" xfId="0" applyNumberFormat="true" applyFont="true" applyFill="true" applyBorder="true" applyAlignment="true" applyProtection="true">
      <alignment horizontal="center" vertical="center"/>
      <protection locked="false"/>
    </xf>
    <xf numFmtId="0" fontId="81" fillId="10" borderId="88" xfId="0" applyFont="true" applyFill="true" applyBorder="true" applyProtection="true">
      <protection locked="false"/>
    </xf>
    <xf numFmtId="0" fontId="81" fillId="10" borderId="89" xfId="0" applyFont="true" applyFill="true" applyBorder="true" applyProtection="true">
      <protection locked="false"/>
    </xf>
    <xf numFmtId="0" fontId="45" fillId="10" borderId="85" xfId="1" applyFont="true" applyFill="true" applyBorder="true" applyAlignment="true">
      <alignment horizontal="left" vertical="center" wrapText="true"/>
    </xf>
    <xf numFmtId="0" fontId="45" fillId="10" borderId="0" xfId="1" applyFont="true" applyFill="true" applyAlignment="true">
      <alignment horizontal="left" vertical="center" wrapText="true"/>
    </xf>
    <xf numFmtId="0" fontId="17" fillId="10" borderId="2" xfId="0" applyFont="true" applyFill="true" applyBorder="true" applyAlignment="true">
      <alignment horizontal="left" vertical="center" wrapText="true"/>
    </xf>
    <xf numFmtId="0" fontId="14" fillId="10" borderId="2" xfId="0" applyFont="true" applyFill="true" applyBorder="true" applyAlignment="true">
      <alignment horizontal="left" vertical="center" wrapText="true"/>
    </xf>
    <xf numFmtId="0" fontId="17" fillId="10" borderId="10" xfId="0" applyFont="true" applyFill="true" applyBorder="true" applyAlignment="true">
      <alignment horizontal="left" vertical="center" wrapText="true"/>
    </xf>
    <xf numFmtId="0" fontId="0" fillId="10" borderId="0" xfId="0" applyFill="true" applyAlignment="true">
      <alignment horizontal="left" vertical="center" wrapText="true"/>
    </xf>
    <xf numFmtId="0" fontId="45" fillId="10" borderId="86" xfId="1" applyFont="true" applyFill="true" applyBorder="true" applyAlignment="true">
      <alignment horizontal="left" vertical="center" wrapText="true"/>
    </xf>
    <xf numFmtId="0" fontId="198" fillId="11" borderId="3" xfId="1" applyFont="true" applyFill="true" applyBorder="true" applyAlignment="true">
      <alignment horizontal="left" vertical="center"/>
    </xf>
    <xf numFmtId="0" fontId="58" fillId="3" borderId="3" xfId="1" applyFont="true" applyFill="true" applyBorder="true"/>
    <xf numFmtId="0" fontId="0" fillId="3" borderId="91" xfId="0" applyFill="true" applyBorder="true"/>
    <xf numFmtId="0" fontId="0" fillId="3" borderId="96" xfId="0" applyFill="true" applyBorder="true"/>
    <xf numFmtId="0" fontId="0" fillId="3" borderId="97" xfId="0" applyFill="true" applyBorder="true"/>
    <xf numFmtId="0" fontId="0" fillId="3" borderId="98" xfId="0" applyFill="true" applyBorder="true"/>
    <xf numFmtId="0" fontId="0" fillId="3" borderId="99" xfId="0" applyFill="true" applyBorder="true"/>
    <xf numFmtId="0" fontId="0" fillId="3" borderId="100" xfId="0" applyFill="true" applyBorder="true"/>
    <xf numFmtId="0" fontId="0" fillId="3" borderId="101" xfId="0" applyFill="true" applyBorder="true"/>
    <xf numFmtId="0" fontId="0" fillId="3" borderId="102" xfId="0" applyFill="true" applyBorder="true"/>
    <xf numFmtId="0" fontId="0" fillId="3" borderId="103" xfId="0" applyFill="true" applyBorder="true"/>
    <xf numFmtId="0" fontId="58" fillId="3" borderId="3" xfId="0" applyFont="true" applyFill="true" applyBorder="true"/>
    <xf numFmtId="0" fontId="58" fillId="3" borderId="5" xfId="0" applyFont="true" applyFill="true" applyBorder="true"/>
    <xf numFmtId="0" fontId="58" fillId="3" borderId="11" xfId="0" applyFont="true" applyFill="true" applyBorder="true"/>
    <xf numFmtId="0" fontId="58" fillId="3" borderId="7" xfId="0" applyFont="true" applyFill="true" applyBorder="true"/>
    <xf numFmtId="0" fontId="58" fillId="3" borderId="8" xfId="1" applyFont="true" applyFill="true" applyBorder="true"/>
    <xf numFmtId="0" fontId="58" fillId="3" borderId="8" xfId="0" applyFont="true" applyFill="true" applyBorder="true"/>
    <xf numFmtId="0" fontId="58" fillId="3" borderId="12" xfId="0" applyFont="true" applyFill="true" applyBorder="true"/>
    <xf numFmtId="171" fontId="0" fillId="3" borderId="11" xfId="0" applyNumberFormat="true" applyFill="true" applyBorder="true"/>
    <xf numFmtId="171" fontId="0" fillId="3" borderId="30" xfId="0" applyNumberFormat="true" applyFill="true" applyBorder="true"/>
    <xf numFmtId="0" fontId="45" fillId="3" borderId="11" xfId="1" applyFont="true" applyFill="true" applyBorder="true" applyAlignment="true" applyProtection="true">
      <alignment horizontal="center" vertical="center"/>
      <protection locked="false"/>
    </xf>
    <xf numFmtId="0" fontId="162" fillId="0" borderId="2" xfId="1" applyFont="true" applyBorder="true" applyAlignment="true" applyProtection="true">
      <alignment horizontal="right" vertical="center"/>
      <protection locked="false"/>
    </xf>
    <xf numFmtId="0" fontId="162" fillId="0" borderId="2" xfId="1" applyFont="true" applyBorder="true" applyAlignment="true" applyProtection="true">
      <alignment horizontal="right"/>
      <protection locked="false"/>
    </xf>
    <xf numFmtId="0" fontId="162" fillId="0" borderId="49" xfId="1" applyFont="true" applyBorder="true" applyAlignment="true" applyProtection="true">
      <alignment horizontal="right" vertical="center"/>
      <protection locked="false"/>
    </xf>
    <xf numFmtId="0" fontId="45" fillId="0" borderId="3" xfId="1" applyFont="true" applyBorder="true" applyAlignment="true" applyProtection="true">
      <alignment horizontal="right" vertical="center"/>
      <protection locked="false"/>
    </xf>
    <xf numFmtId="0" fontId="45" fillId="0" borderId="30" xfId="1" applyFont="true" applyBorder="true" applyAlignment="true" applyProtection="true">
      <alignment horizontal="right" vertical="center"/>
      <protection locked="false"/>
    </xf>
    <xf numFmtId="0" fontId="45" fillId="0" borderId="3" xfId="1" applyFont="true" applyBorder="true" applyAlignment="true" applyProtection="true">
      <alignment horizontal="center" vertical="center"/>
      <protection locked="false"/>
    </xf>
    <xf numFmtId="0" fontId="45" fillId="0" borderId="11" xfId="1" applyFont="true" applyBorder="true" applyAlignment="true" applyProtection="true">
      <alignment horizontal="center" vertical="center"/>
      <protection locked="false"/>
    </xf>
    <xf numFmtId="49" fontId="17" fillId="0" borderId="3" xfId="1" applyNumberFormat="true" applyFont="true" applyBorder="true" applyProtection="true">
      <protection locked="false"/>
    </xf>
    <xf numFmtId="49" fontId="17" fillId="0" borderId="3" xfId="1" applyNumberFormat="true" applyFont="true" applyBorder="true" applyAlignment="true" applyProtection="true">
      <alignment horizontal="center" vertical="center"/>
      <protection locked="false"/>
    </xf>
    <xf numFmtId="0" fontId="17" fillId="0" borderId="3" xfId="1" applyFont="true" applyBorder="true" applyAlignment="true" applyProtection="true">
      <alignment horizontal="center" vertical="center"/>
      <protection locked="false"/>
    </xf>
    <xf numFmtId="49" fontId="17" fillId="0" borderId="30" xfId="1" applyNumberFormat="true" applyFont="true" applyBorder="true" applyAlignment="true" applyProtection="true">
      <alignment horizontal="center" vertical="center"/>
      <protection locked="false"/>
    </xf>
    <xf numFmtId="0" fontId="17" fillId="0" borderId="5" xfId="0" applyFont="true" applyBorder="true" applyAlignment="true" applyProtection="true">
      <alignment horizontal="right"/>
      <protection locked="false"/>
    </xf>
    <xf numFmtId="0" fontId="17" fillId="0" borderId="16" xfId="0" applyFont="true" applyBorder="true" applyAlignment="true" applyProtection="true">
      <alignment horizontal="right"/>
      <protection locked="false"/>
    </xf>
    <xf numFmtId="0" fontId="45" fillId="0" borderId="3" xfId="1" applyFont="true" applyBorder="true" applyAlignment="true" applyProtection="true">
      <alignment horizontal="left"/>
      <protection locked="false"/>
    </xf>
    <xf numFmtId="0" fontId="45" fillId="0" borderId="3" xfId="1" applyFont="true" applyBorder="true" applyAlignment="true" applyProtection="true">
      <alignment horizontal="right"/>
      <protection locked="false"/>
    </xf>
    <xf numFmtId="0" fontId="45" fillId="0" borderId="10" xfId="1" applyFont="true" applyBorder="true" applyProtection="true">
      <protection locked="false"/>
    </xf>
    <xf numFmtId="0" fontId="45" fillId="0" borderId="11" xfId="1" applyFont="true" applyBorder="true" applyProtection="true">
      <protection locked="false"/>
    </xf>
    <xf numFmtId="0" fontId="45" fillId="0" borderId="47" xfId="1" applyFont="true" applyBorder="true" applyProtection="true">
      <protection locked="false"/>
    </xf>
    <xf numFmtId="0" fontId="45" fillId="0" borderId="3" xfId="1" applyFont="true" applyBorder="true" applyProtection="true">
      <protection locked="false"/>
    </xf>
    <xf numFmtId="0" fontId="45" fillId="0" borderId="3" xfId="1" applyFont="true" applyBorder="true" applyAlignment="true" applyProtection="true">
      <alignment horizontal="center"/>
      <protection locked="false"/>
    </xf>
    <xf numFmtId="0" fontId="17" fillId="0" borderId="3" xfId="0" applyFont="true" applyBorder="true" applyProtection="true">
      <protection locked="false"/>
    </xf>
    <xf numFmtId="0" fontId="45" fillId="0" borderId="46" xfId="1" applyFont="true" applyBorder="true" applyProtection="true">
      <protection locked="false"/>
    </xf>
    <xf numFmtId="0" fontId="45" fillId="0" borderId="2" xfId="1" applyFont="true" applyBorder="true" applyAlignment="true" applyProtection="true">
      <alignment horizontal="right" vertical="center"/>
      <protection locked="false"/>
    </xf>
    <xf numFmtId="0" fontId="17" fillId="0" borderId="2" xfId="0" applyFont="true" applyBorder="true" applyAlignment="true" applyProtection="true">
      <alignment horizontal="right" vertical="center"/>
      <protection locked="false"/>
    </xf>
    <xf numFmtId="0" fontId="45" fillId="0" borderId="2" xfId="1" applyFont="true" applyBorder="true" applyProtection="true">
      <protection locked="false"/>
    </xf>
    <xf numFmtId="0" fontId="45" fillId="0" borderId="2" xfId="1" applyFont="true" applyBorder="true" applyAlignment="true" applyProtection="true">
      <alignment horizontal="center"/>
      <protection locked="false"/>
    </xf>
    <xf numFmtId="0" fontId="45" fillId="0" borderId="2" xfId="1" applyFont="true" applyBorder="true" applyAlignment="true" applyProtection="true">
      <alignment horizontal="center" vertical="center"/>
      <protection locked="false"/>
    </xf>
    <xf numFmtId="0" fontId="45" fillId="0" borderId="10" xfId="1" applyFont="true" applyBorder="true" applyAlignment="true" applyProtection="true">
      <alignment horizontal="center" vertical="center"/>
      <protection locked="false"/>
    </xf>
    <xf numFmtId="0" fontId="45" fillId="0" borderId="8" xfId="1" applyFont="true" applyBorder="true" applyProtection="true">
      <protection locked="false"/>
    </xf>
    <xf numFmtId="0" fontId="45" fillId="0" borderId="5" xfId="1" applyFont="true" applyBorder="true" applyAlignment="true" applyProtection="true">
      <alignment horizontal="center" vertical="center"/>
      <protection locked="false"/>
    </xf>
    <xf numFmtId="10" fontId="17" fillId="0" borderId="30" xfId="0" applyNumberFormat="true" applyFont="true" applyBorder="true" applyAlignment="true" applyProtection="true">
      <alignment horizontal="center" vertical="center" wrapText="true"/>
      <protection locked="false"/>
    </xf>
    <xf numFmtId="0" fontId="45" fillId="0" borderId="30" xfId="1" applyFont="true" applyBorder="true" applyAlignment="true" applyProtection="true">
      <alignment horizontal="center" vertical="center"/>
      <protection locked="false"/>
    </xf>
    <xf numFmtId="0" fontId="17" fillId="0" borderId="5" xfId="1" applyFont="true" applyBorder="true" applyAlignment="true" applyProtection="true">
      <alignment horizontal="center" vertical="center"/>
      <protection locked="false"/>
    </xf>
    <xf numFmtId="0" fontId="17" fillId="0" borderId="11" xfId="1" applyFont="true" applyBorder="true" applyAlignment="true" applyProtection="true">
      <alignment horizontal="center" vertical="center"/>
      <protection locked="false"/>
    </xf>
    <xf numFmtId="0" fontId="17" fillId="0" borderId="16" xfId="1" applyFont="true" applyBorder="true" applyAlignment="true" applyProtection="true">
      <alignment horizontal="center" vertical="center"/>
      <protection locked="false"/>
    </xf>
    <xf numFmtId="49" fontId="45" fillId="0" borderId="72" xfId="1" applyNumberFormat="true" applyFont="true" applyBorder="true" applyAlignment="true" applyProtection="true">
      <alignment horizontal="center"/>
      <protection locked="false"/>
    </xf>
    <xf numFmtId="0" fontId="45" fillId="0" borderId="72" xfId="1" applyFont="true" applyBorder="true" applyAlignment="true" applyProtection="true">
      <alignment horizontal="center"/>
      <protection locked="false"/>
    </xf>
    <xf numFmtId="11" fontId="17" fillId="0" borderId="3" xfId="1" applyNumberFormat="true" applyFont="true" applyBorder="true" applyAlignment="true" applyProtection="true">
      <alignment horizontal="center" vertical="center"/>
      <protection locked="false"/>
    </xf>
    <xf numFmtId="0" fontId="17" fillId="0" borderId="3" xfId="0" applyFont="true" applyBorder="true" applyAlignment="true" applyProtection="true">
      <alignment horizontal="center" vertical="center"/>
      <protection locked="false"/>
    </xf>
    <xf numFmtId="165" fontId="17" fillId="0" borderId="3" xfId="0" applyNumberFormat="true" applyFont="true" applyBorder="true" applyAlignment="true" applyProtection="true">
      <alignment horizontal="center" vertical="center"/>
      <protection locked="false"/>
    </xf>
    <xf numFmtId="165" fontId="17" fillId="0" borderId="3" xfId="1" applyNumberFormat="true" applyFont="true" applyBorder="true" applyAlignment="true" applyProtection="true">
      <alignment horizontal="center" vertical="center"/>
      <protection locked="false"/>
    </xf>
    <xf numFmtId="11" fontId="17" fillId="0" borderId="16" xfId="0" applyNumberFormat="true" applyFont="true" applyBorder="true" applyAlignment="true" applyProtection="true">
      <alignment horizontal="center"/>
      <protection locked="false"/>
    </xf>
    <xf numFmtId="0" fontId="17" fillId="0" borderId="3" xfId="0" applyFont="true" applyBorder="true" applyAlignment="true" applyProtection="true">
      <alignment horizontal="center"/>
      <protection locked="false"/>
    </xf>
    <xf numFmtId="0" fontId="45" fillId="0" borderId="73" xfId="1" applyFont="true" applyBorder="true" applyAlignment="true" applyProtection="true">
      <alignment horizontal="center"/>
      <protection locked="false"/>
    </xf>
    <xf numFmtId="11" fontId="17" fillId="0" borderId="5" xfId="1" applyNumberFormat="true" applyFont="true" applyBorder="true" applyAlignment="true" applyProtection="true">
      <alignment horizontal="center" vertical="center"/>
      <protection locked="false"/>
    </xf>
    <xf numFmtId="0" fontId="17" fillId="0" borderId="8" xfId="1" applyFont="true" applyBorder="true" applyAlignment="true" applyProtection="true">
      <alignment horizontal="center" vertical="center"/>
      <protection locked="false"/>
    </xf>
    <xf numFmtId="0" fontId="45" fillId="0" borderId="7" xfId="1" applyFont="true" applyBorder="true" applyAlignment="true" applyProtection="true">
      <alignment horizontal="center" vertical="center"/>
      <protection locked="false"/>
    </xf>
    <xf numFmtId="0" fontId="45" fillId="0" borderId="8" xfId="1" applyFont="true" applyBorder="true" applyAlignment="true" applyProtection="true">
      <alignment horizontal="center" vertical="center"/>
      <protection locked="false"/>
    </xf>
    <xf numFmtId="10" fontId="17" fillId="0" borderId="41" xfId="0" applyNumberFormat="true" applyFont="true" applyBorder="true" applyAlignment="true" applyProtection="true">
      <alignment horizontal="center" vertical="center" wrapText="true"/>
      <protection locked="false"/>
    </xf>
    <xf numFmtId="0" fontId="45" fillId="0" borderId="41" xfId="1" applyFont="true" applyBorder="true" applyAlignment="true" applyProtection="true">
      <alignment horizontal="center" vertical="center"/>
      <protection locked="false"/>
    </xf>
    <xf numFmtId="0" fontId="17" fillId="0" borderId="12" xfId="1" applyFont="true" applyBorder="true" applyAlignment="true" applyProtection="true">
      <alignment horizontal="center" vertical="center"/>
      <protection locked="false"/>
    </xf>
    <xf numFmtId="0" fontId="17" fillId="0" borderId="17" xfId="1" applyFont="true" applyBorder="true" applyAlignment="true" applyProtection="true">
      <alignment horizontal="center" vertical="center"/>
      <protection locked="false"/>
    </xf>
    <xf numFmtId="0" fontId="17" fillId="0" borderId="7" xfId="1" applyFont="true" applyBorder="true" applyAlignment="true" applyProtection="true">
      <alignment horizontal="center" vertical="center"/>
      <protection locked="false"/>
    </xf>
    <xf numFmtId="49" fontId="45" fillId="0" borderId="75" xfId="1" applyNumberFormat="true" applyFont="true" applyBorder="true" applyAlignment="true" applyProtection="true">
      <alignment horizontal="center"/>
      <protection locked="false"/>
    </xf>
    <xf numFmtId="0" fontId="45" fillId="0" borderId="75" xfId="1" applyFont="true" applyBorder="true" applyAlignment="true" applyProtection="true">
      <alignment horizontal="center"/>
      <protection locked="false"/>
    </xf>
    <xf numFmtId="0" fontId="45" fillId="0" borderId="8" xfId="1" applyFont="true" applyBorder="true" applyAlignment="true" applyProtection="true">
      <alignment horizontal="center"/>
      <protection locked="false"/>
    </xf>
    <xf numFmtId="11" fontId="17" fillId="0" borderId="8" xfId="1" applyNumberFormat="true" applyFont="true" applyBorder="true" applyAlignment="true" applyProtection="true">
      <alignment horizontal="center" vertical="center"/>
      <protection locked="false"/>
    </xf>
    <xf numFmtId="0" fontId="17" fillId="0" borderId="8" xfId="0" applyFont="true" applyBorder="true" applyAlignment="true" applyProtection="true">
      <alignment horizontal="center" vertical="center"/>
      <protection locked="false"/>
    </xf>
    <xf numFmtId="165" fontId="17" fillId="0" borderId="8" xfId="0" applyNumberFormat="true" applyFont="true" applyBorder="true" applyAlignment="true" applyProtection="true">
      <alignment horizontal="center" vertical="center"/>
      <protection locked="false"/>
    </xf>
    <xf numFmtId="165" fontId="17" fillId="0" borderId="8" xfId="1" applyNumberFormat="true" applyFont="true" applyBorder="true" applyAlignment="true" applyProtection="true">
      <alignment horizontal="center" vertical="center"/>
      <protection locked="false"/>
    </xf>
    <xf numFmtId="11" fontId="17" fillId="0" borderId="17" xfId="0" applyNumberFormat="true" applyFont="true" applyBorder="true" applyAlignment="true" applyProtection="true">
      <alignment horizontal="center"/>
      <protection locked="false"/>
    </xf>
    <xf numFmtId="0" fontId="17" fillId="0" borderId="8" xfId="0" applyFont="true" applyBorder="true" applyAlignment="true" applyProtection="true">
      <alignment horizontal="center"/>
      <protection locked="false"/>
    </xf>
    <xf numFmtId="0" fontId="45" fillId="0" borderId="74" xfId="1" applyFont="true" applyBorder="true" applyAlignment="true" applyProtection="true">
      <alignment horizontal="center"/>
      <protection locked="false"/>
    </xf>
    <xf numFmtId="49" fontId="45" fillId="3" borderId="1" xfId="1" applyNumberFormat="true" applyFont="true" applyFill="true" applyBorder="true"/>
    <xf numFmtId="49" fontId="45" fillId="2" borderId="5" xfId="1" applyNumberFormat="true" applyFont="true" applyFill="true" applyBorder="true"/>
    <xf numFmtId="49" fontId="17" fillId="3" borderId="7" xfId="0" applyNumberFormat="true" applyFont="true" applyFill="true" applyBorder="true" applyAlignment="true">
      <alignment wrapText="true"/>
    </xf>
    <xf numFmtId="49" fontId="45" fillId="3" borderId="85" xfId="1" applyNumberFormat="true" applyFont="true" applyFill="true" applyBorder="true"/>
    <xf numFmtId="49" fontId="45" fillId="3" borderId="3" xfId="1" applyNumberFormat="true" applyFont="true" applyFill="true" applyBorder="true" applyAlignment="true">
      <alignment vertical="center" wrapText="true"/>
    </xf>
    <xf numFmtId="49" fontId="45" fillId="2" borderId="3" xfId="1" applyNumberFormat="true" applyFont="true" applyFill="true" applyBorder="true" applyAlignment="true">
      <alignment vertical="center" wrapText="true"/>
    </xf>
    <xf numFmtId="49" fontId="45" fillId="2" borderId="3" xfId="1" applyNumberFormat="true" applyFont="true" applyFill="true" applyBorder="true" applyAlignment="true">
      <alignment horizontal="center" vertical="center"/>
    </xf>
    <xf numFmtId="49" fontId="45" fillId="2" borderId="30" xfId="1" applyNumberFormat="true" applyFont="true" applyFill="true" applyBorder="true" applyAlignment="true">
      <alignment horizontal="center" vertical="center"/>
    </xf>
    <xf numFmtId="49" fontId="45" fillId="2" borderId="5" xfId="1" applyNumberFormat="true" applyFont="true" applyFill="true" applyBorder="true" applyAlignment="true">
      <alignment horizontal="center" vertical="center"/>
    </xf>
    <xf numFmtId="49" fontId="45" fillId="0" borderId="3" xfId="1" applyNumberFormat="true" applyFont="true" applyBorder="true" applyAlignment="true">
      <alignment horizontal="center" vertical="center"/>
    </xf>
    <xf numFmtId="49" fontId="45" fillId="0" borderId="11" xfId="1" applyNumberFormat="true" applyFont="true" applyBorder="true" applyAlignment="true">
      <alignment horizontal="center" vertical="center"/>
    </xf>
    <xf numFmtId="49" fontId="45" fillId="0" borderId="30" xfId="1" applyNumberFormat="true" applyFont="true" applyBorder="true" applyAlignment="true">
      <alignment horizontal="center" vertical="center"/>
    </xf>
    <xf numFmtId="49" fontId="45" fillId="2" borderId="16" xfId="1" applyNumberFormat="true" applyFont="true" applyFill="true" applyBorder="true" applyAlignment="true">
      <alignment horizontal="center" vertical="center"/>
    </xf>
    <xf numFmtId="49" fontId="45" fillId="0" borderId="21" xfId="1" applyNumberFormat="true" applyFont="true" applyBorder="true" applyAlignment="true">
      <alignment horizontal="center" vertical="center"/>
    </xf>
    <xf numFmtId="49" fontId="45" fillId="3" borderId="86" xfId="1" applyNumberFormat="true" applyFont="true" applyFill="true" applyBorder="true"/>
    <xf numFmtId="0" fontId="6" fillId="0" borderId="39" xfId="1" applyFont="true" applyBorder="true" applyAlignment="true" applyProtection="true">
      <alignment horizontal="left" vertical="center" wrapText="true"/>
      <protection locked="false"/>
    </xf>
    <xf numFmtId="49" fontId="45" fillId="0" borderId="39" xfId="1" applyNumberFormat="true" applyFont="true" applyBorder="true" applyProtection="true">
      <protection locked="false"/>
    </xf>
    <xf numFmtId="0" fontId="45" fillId="0" borderId="39" xfId="1" applyFont="true" applyBorder="true" applyProtection="true">
      <protection locked="false"/>
    </xf>
    <xf numFmtId="0" fontId="17" fillId="0" borderId="39" xfId="0" applyFont="true" applyBorder="true" applyProtection="true">
      <protection locked="false"/>
    </xf>
    <xf numFmtId="0" fontId="6" fillId="3" borderId="39" xfId="1" applyFont="true" applyFill="true" applyBorder="true" applyAlignment="true" applyProtection="true">
      <alignment horizontal="left" vertical="center" wrapText="true"/>
      <protection locked="false"/>
    </xf>
    <xf numFmtId="49" fontId="45" fillId="3" borderId="39" xfId="1" applyNumberFormat="true" applyFont="true" applyFill="true" applyBorder="true" applyProtection="true">
      <protection locked="false"/>
    </xf>
    <xf numFmtId="0" fontId="45" fillId="3" borderId="39" xfId="1" applyFont="true" applyFill="true" applyBorder="true" applyProtection="true">
      <protection locked="false"/>
    </xf>
    <xf numFmtId="0" fontId="17" fillId="3" borderId="39" xfId="0" applyFont="true" applyFill="true" applyBorder="true" applyProtection="true">
      <protection locked="false"/>
    </xf>
    <xf numFmtId="49" fontId="17" fillId="3" borderId="39" xfId="0" applyNumberFormat="true" applyFont="true" applyFill="true" applyBorder="true" applyProtection="true">
      <protection locked="false"/>
    </xf>
    <xf numFmtId="0" fontId="45" fillId="3" borderId="39" xfId="1" applyFont="true" applyFill="true" applyBorder="true" applyAlignment="true" applyProtection="true">
      <alignment wrapText="true"/>
      <protection locked="false"/>
    </xf>
    <xf numFmtId="0" fontId="17" fillId="3" borderId="39" xfId="0" applyFont="true" applyFill="true" applyBorder="true" applyAlignment="true" applyProtection="true">
      <alignment horizontal="left" vertical="center" wrapText="true"/>
      <protection locked="false"/>
    </xf>
    <xf numFmtId="0" fontId="17" fillId="3" borderId="39" xfId="0" applyFont="true" applyFill="true" applyBorder="true" applyAlignment="true" applyProtection="true">
      <alignment horizontal="center"/>
      <protection locked="false"/>
    </xf>
    <xf numFmtId="0" fontId="45" fillId="3" borderId="3" xfId="1" applyFont="true" applyFill="true" applyBorder="true" applyAlignment="true" applyProtection="true">
      <alignment wrapText="true"/>
      <protection locked="false"/>
    </xf>
    <xf numFmtId="0" fontId="45" fillId="3" borderId="3" xfId="1" applyFont="true" applyFill="true" applyBorder="true" applyProtection="true">
      <protection locked="false"/>
    </xf>
    <xf numFmtId="0" fontId="45" fillId="3" borderId="11" xfId="1" applyFont="true" applyFill="true" applyBorder="true" applyAlignment="true" applyProtection="true">
      <alignment wrapText="true"/>
      <protection locked="false"/>
    </xf>
    <xf numFmtId="0" fontId="45" fillId="8" borderId="10" xfId="1" applyFont="true" applyFill="true" applyBorder="true" applyAlignment="true" applyProtection="true">
      <alignment vertical="center" wrapText="true"/>
      <protection locked="false"/>
    </xf>
    <xf numFmtId="0" fontId="14" fillId="2" borderId="11" xfId="0" applyFont="true" applyFill="true" applyBorder="true" applyAlignment="true" applyProtection="true">
      <alignment vertical="center"/>
      <protection locked="false"/>
    </xf>
    <xf numFmtId="0" fontId="45" fillId="8" borderId="11" xfId="1" applyFont="true" applyFill="true" applyBorder="true" applyAlignment="true" applyProtection="true">
      <alignment vertical="center" wrapText="true"/>
      <protection locked="false"/>
    </xf>
    <xf numFmtId="0" fontId="45" fillId="8" borderId="12" xfId="1" applyFont="true" applyFill="true" applyBorder="true" applyAlignment="true" applyProtection="true">
      <alignment vertical="center" wrapText="true"/>
      <protection locked="false"/>
    </xf>
    <xf numFmtId="0" fontId="45" fillId="3" borderId="11" xfId="1" applyFont="true" applyFill="true" applyBorder="true" applyProtection="true">
      <protection locked="false"/>
    </xf>
    <xf numFmtId="0" fontId="17" fillId="3" borderId="12" xfId="0" applyFont="true" applyFill="true" applyBorder="true" applyAlignment="true" applyProtection="true">
      <alignment vertical="center"/>
      <protection locked="false"/>
    </xf>
    <xf numFmtId="0" fontId="45" fillId="3" borderId="47" xfId="1" applyFont="true" applyFill="true" applyBorder="true" applyProtection="true">
      <protection locked="false"/>
    </xf>
    <xf numFmtId="0" fontId="45" fillId="3" borderId="68" xfId="1" applyFont="true" applyFill="true" applyBorder="true" applyProtection="true">
      <protection locked="false"/>
    </xf>
    <xf numFmtId="0" fontId="45" fillId="3" borderId="25" xfId="1" applyFont="true" applyFill="true" applyBorder="true" applyProtection="true">
      <protection locked="false"/>
    </xf>
    <xf numFmtId="0" fontId="45" fillId="3" borderId="70" xfId="1" applyFont="true" applyFill="true" applyBorder="true" applyProtection="true">
      <protection locked="false"/>
    </xf>
    <xf numFmtId="0" fontId="45" fillId="3" borderId="10" xfId="1" applyFont="true" applyFill="true" applyBorder="true" applyProtection="true">
      <protection locked="false"/>
    </xf>
    <xf numFmtId="0" fontId="17" fillId="3" borderId="3" xfId="0" applyFont="true" applyFill="true" applyBorder="true" applyProtection="true">
      <protection locked="false"/>
    </xf>
    <xf numFmtId="0" fontId="0" fillId="3" borderId="3" xfId="0" applyFill="true" applyBorder="true" applyProtection="true">
      <protection locked="false"/>
    </xf>
    <xf numFmtId="0" fontId="17" fillId="3" borderId="8" xfId="0" applyFont="true" applyFill="true" applyBorder="true" applyProtection="true">
      <protection locked="false"/>
    </xf>
    <xf numFmtId="0" fontId="0" fillId="3" borderId="8" xfId="0" applyFill="true" applyBorder="true" applyProtection="true">
      <protection locked="false"/>
    </xf>
    <xf numFmtId="49" fontId="45" fillId="3" borderId="11" xfId="1" applyNumberFormat="true" applyFont="true" applyFill="true" applyBorder="true" applyProtection="true">
      <protection locked="false"/>
    </xf>
    <xf numFmtId="0" fontId="45" fillId="3" borderId="12" xfId="1" applyFont="true" applyFill="true" applyBorder="true" applyProtection="true">
      <protection locked="false"/>
    </xf>
    <xf numFmtId="10" fontId="45" fillId="3" borderId="8" xfId="1" applyNumberFormat="true" applyFont="true" applyFill="true" applyBorder="true" applyProtection="true">
      <protection locked="false"/>
    </xf>
    <xf numFmtId="10" fontId="45" fillId="3" borderId="12" xfId="1" applyNumberFormat="true" applyFont="true" applyFill="true" applyBorder="true" applyProtection="true">
      <protection locked="false"/>
    </xf>
    <xf numFmtId="0" fontId="17" fillId="3" borderId="2" xfId="0" applyFont="true" applyFill="true" applyBorder="true" applyProtection="true">
      <protection locked="false"/>
    </xf>
    <xf numFmtId="0" fontId="16" fillId="3" borderId="2" xfId="0" applyFont="true" applyFill="true" applyBorder="true" applyAlignment="true" applyProtection="true">
      <alignment horizontal="center"/>
      <protection locked="false"/>
    </xf>
    <xf numFmtId="0" fontId="33" fillId="3" borderId="18" xfId="0" applyFont="true" applyFill="true" applyBorder="true" applyAlignment="true" applyProtection="true">
      <alignment horizontal="center" vertical="center"/>
      <protection locked="false"/>
    </xf>
    <xf numFmtId="0" fontId="33" fillId="3" borderId="21" xfId="0" applyFont="true" applyFill="true" applyBorder="true" applyProtection="true">
      <protection locked="false"/>
    </xf>
    <xf numFmtId="0" fontId="17" fillId="10" borderId="0" xfId="0" applyFont="true" applyFill="true" applyProtection="true">
      <protection locked="false"/>
    </xf>
    <xf numFmtId="0" fontId="17" fillId="3" borderId="2" xfId="0" applyFont="true" applyFill="true" applyBorder="true" applyAlignment="true" applyProtection="true">
      <alignment horizontal="center"/>
      <protection locked="false"/>
    </xf>
    <xf numFmtId="0" fontId="15" fillId="3" borderId="18" xfId="0" applyFont="true" applyFill="true" applyBorder="true" applyAlignment="true" applyProtection="true">
      <alignment horizontal="center" vertical="center" wrapText="true"/>
      <protection locked="false"/>
    </xf>
    <xf numFmtId="0" fontId="17" fillId="3" borderId="18" xfId="0" applyFont="true" applyFill="true" applyBorder="true" applyProtection="true">
      <protection locked="false"/>
    </xf>
    <xf numFmtId="171" fontId="0" fillId="2" borderId="1" xfId="0" applyNumberFormat="true" applyFill="true" applyBorder="true" applyProtection="true">
      <protection locked="false"/>
    </xf>
    <xf numFmtId="171" fontId="0" fillId="2" borderId="5" xfId="0" applyNumberFormat="true" applyFill="true" applyBorder="true" applyProtection="true">
      <protection locked="false"/>
    </xf>
    <xf numFmtId="171" fontId="0" fillId="2" borderId="7" xfId="0" applyNumberFormat="true" applyFill="true" applyBorder="true" applyProtection="true">
      <protection locked="false"/>
    </xf>
    <xf numFmtId="171" fontId="25" fillId="2" borderId="5" xfId="0" applyNumberFormat="true" applyFont="true" applyFill="true" applyBorder="true" applyProtection="true">
      <protection locked="false"/>
    </xf>
    <xf numFmtId="171" fontId="25" fillId="2" borderId="7" xfId="0" applyNumberFormat="true" applyFont="true" applyFill="true" applyBorder="true" applyProtection="true">
      <protection locked="false"/>
    </xf>
    <xf numFmtId="0" fontId="81" fillId="10" borderId="86" xfId="0" applyFont="true" applyFill="true" applyBorder="true" applyProtection="true">
      <protection locked="false" hidden="true"/>
    </xf>
    <xf numFmtId="0" fontId="72" fillId="10" borderId="10" xfId="0" applyFont="true" applyFill="true" applyBorder="true" applyProtection="true">
      <protection hidden="true"/>
    </xf>
    <xf numFmtId="0" fontId="72" fillId="10" borderId="11" xfId="0" applyFont="true" applyFill="true" applyBorder="true" applyProtection="true">
      <protection hidden="true"/>
    </xf>
    <xf numFmtId="0" fontId="72" fillId="10" borderId="12" xfId="0" applyFont="true" applyFill="true" applyBorder="true" applyProtection="true">
      <protection hidden="true"/>
    </xf>
    <xf numFmtId="0" fontId="33" fillId="2" borderId="0" xfId="0" applyFont="true" applyFill="true"/>
    <xf numFmtId="0" fontId="45" fillId="2" borderId="7" xfId="1" applyFont="true" applyFill="true" applyBorder="true" applyAlignment="true">
      <alignment horizontal="left" vertical="center" wrapText="true"/>
    </xf>
    <xf numFmtId="0" fontId="33" fillId="2" borderId="86" xfId="0" applyFont="true" applyFill="true" applyBorder="true"/>
    <xf numFmtId="0" fontId="33" fillId="10" borderId="11" xfId="0" applyFont="true" applyFill="true" applyBorder="true" applyAlignment="true">
      <alignment horizontal="center" vertical="center"/>
    </xf>
    <xf numFmtId="0" fontId="18" fillId="10" borderId="55" xfId="0" applyFont="true" applyFill="true" applyBorder="true" applyAlignment="true">
      <alignment horizontal="center" vertical="center"/>
    </xf>
    <xf numFmtId="0" fontId="45" fillId="2" borderId="5" xfId="1" applyFont="true" applyFill="true" applyBorder="true"/>
    <xf numFmtId="0" fontId="45" fillId="2" borderId="5" xfId="1" applyFont="true" applyFill="true" applyBorder="true" applyAlignment="true">
      <alignment wrapText="true"/>
    </xf>
    <xf numFmtId="0" fontId="45" fillId="0" borderId="3" xfId="1" applyFont="true" applyBorder="true"/>
    <xf numFmtId="0" fontId="45" fillId="0" borderId="30" xfId="1" applyFont="true" applyBorder="true"/>
    <xf numFmtId="0" fontId="45" fillId="0" borderId="21" xfId="1" applyFont="true" applyBorder="true" applyAlignment="true">
      <alignment horizontal="center" vertical="center"/>
    </xf>
    <xf numFmtId="0" fontId="45" fillId="0" borderId="3" xfId="1" applyFont="true" applyBorder="true" applyAlignment="true">
      <alignment vertical="center" wrapText="true"/>
    </xf>
    <xf numFmtId="0" fontId="45" fillId="0" borderId="30" xfId="1" applyFont="true" applyBorder="true" applyAlignment="true">
      <alignment vertical="center" wrapText="true"/>
    </xf>
    <xf numFmtId="0" fontId="114" fillId="0" borderId="3" xfId="1" applyFont="true" applyBorder="true" applyAlignment="true">
      <alignment horizontal="left" vertical="center" wrapText="true"/>
    </xf>
    <xf numFmtId="0" fontId="17" fillId="2" borderId="5" xfId="0" applyFont="true" applyFill="true" applyBorder="true"/>
    <xf numFmtId="0" fontId="45" fillId="3" borderId="0" xfId="1" applyFont="true" applyFill="true" applyAlignment="true">
      <alignment horizontal="center"/>
    </xf>
    <xf numFmtId="0" fontId="45" fillId="3" borderId="88" xfId="1" applyFont="true" applyFill="true" applyBorder="true" applyAlignment="true">
      <alignment horizontal="center"/>
    </xf>
    <xf numFmtId="0" fontId="45" fillId="3" borderId="83" xfId="1" applyFont="true" applyFill="true" applyBorder="true" applyAlignment="true">
      <alignment horizontal="center" vertical="center"/>
    </xf>
    <xf numFmtId="0" fontId="45" fillId="3" borderId="0" xfId="1" applyFont="true" applyFill="true" applyAlignment="true">
      <alignment horizontal="center" vertical="center"/>
    </xf>
    <xf numFmtId="0" fontId="17" fillId="3" borderId="88" xfId="0" applyFont="true" applyFill="true" applyBorder="true" applyAlignment="true">
      <alignment horizontal="center" vertical="center"/>
    </xf>
    <xf numFmtId="0" fontId="45" fillId="10" borderId="1" xfId="1" applyFont="true" applyFill="true" applyBorder="true" applyAlignment="true">
      <alignment horizontal="center" vertical="center"/>
    </xf>
    <xf numFmtId="0" fontId="45" fillId="10" borderId="2" xfId="1" applyFont="true" applyFill="true" applyBorder="true" applyAlignment="true">
      <alignment horizontal="center" vertical="center"/>
    </xf>
    <xf numFmtId="0" fontId="172" fillId="0" borderId="0" xfId="1" applyFont="true" applyAlignment="true">
      <alignment horizontal="left"/>
    </xf>
    <xf numFmtId="0" fontId="17" fillId="10" borderId="3" xfId="0" applyFont="true" applyFill="true" applyBorder="true" applyAlignment="true">
      <alignment horizontal="center"/>
    </xf>
    <xf numFmtId="0" fontId="96" fillId="10" borderId="0" xfId="1" applyFont="true" applyFill="true" applyAlignment="true">
      <alignment vertical="center"/>
    </xf>
    <xf numFmtId="0" fontId="18" fillId="10" borderId="5" xfId="0" applyFont="true" applyFill="true" applyBorder="true" applyAlignment="true">
      <alignment vertical="center"/>
    </xf>
    <xf numFmtId="0" fontId="18" fillId="10" borderId="3" xfId="0" applyFont="true" applyFill="true" applyBorder="true" applyAlignment="true">
      <alignment vertical="center"/>
    </xf>
    <xf numFmtId="0" fontId="18" fillId="10" borderId="5" xfId="0" applyFont="true" applyFill="true" applyBorder="true" applyAlignment="true">
      <alignment vertical="center" wrapText="true"/>
    </xf>
    <xf numFmtId="0" fontId="18" fillId="10" borderId="0" xfId="0" applyFont="true" applyFill="true" applyAlignment="true">
      <alignment horizontal="left" vertical="center"/>
    </xf>
    <xf numFmtId="0" fontId="45" fillId="10" borderId="5" xfId="1" applyFont="true" applyFill="true" applyBorder="true" applyAlignment="true">
      <alignment horizontal="left" vertical="center"/>
    </xf>
    <xf numFmtId="0" fontId="45" fillId="10" borderId="3" xfId="1" applyFont="true" applyFill="true" applyBorder="true" applyAlignment="true">
      <alignment horizontal="left" vertical="center"/>
    </xf>
    <xf numFmtId="0" fontId="43" fillId="3" borderId="3" xfId="0" applyFont="true" applyFill="true" applyBorder="true" applyAlignment="true">
      <alignment horizontal="left" vertical="center" wrapText="true"/>
    </xf>
    <xf numFmtId="0" fontId="18" fillId="3" borderId="3" xfId="0" applyFont="true" applyFill="true" applyBorder="true" applyAlignment="true">
      <alignment horizontal="left" vertical="center" wrapText="true"/>
    </xf>
    <xf numFmtId="0" fontId="17" fillId="10" borderId="2" xfId="0" applyFont="true" applyFill="true" applyBorder="true" applyAlignment="true">
      <alignment horizontal="center"/>
    </xf>
    <xf numFmtId="0" fontId="18" fillId="10" borderId="5" xfId="0" applyFont="true" applyFill="true" applyBorder="true" applyAlignment="true">
      <alignment horizontal="left" vertical="center" wrapText="true"/>
    </xf>
    <xf numFmtId="0" fontId="17" fillId="3" borderId="83" xfId="0" applyFont="true" applyFill="true" applyBorder="true" applyAlignment="true">
      <alignment horizontal="center"/>
    </xf>
    <xf numFmtId="0" fontId="58" fillId="3" borderId="3" xfId="0" applyFont="true" applyFill="true" applyBorder="true" applyAlignment="true">
      <alignment horizontal="left" vertical="center" wrapText="true"/>
    </xf>
    <xf numFmtId="0" fontId="64" fillId="3" borderId="3" xfId="0" applyFont="true" applyFill="true" applyBorder="true" applyAlignment="true">
      <alignment horizontal="left" vertical="center"/>
    </xf>
    <xf numFmtId="0" fontId="0" fillId="10" borderId="2" xfId="0" applyFill="true" applyBorder="true"/>
    <xf numFmtId="0" fontId="17" fillId="10" borderId="2" xfId="0" applyFont="true" applyFill="true" applyBorder="true" applyAlignment="true">
      <alignment horizontal="center" vertical="center" wrapText="true"/>
    </xf>
    <xf numFmtId="0" fontId="17" fillId="10" borderId="2" xfId="0" applyFont="true" applyFill="true" applyBorder="true"/>
    <xf numFmtId="0" fontId="58" fillId="10" borderId="2" xfId="0" applyFont="true" applyFill="true" applyBorder="true" applyAlignment="true">
      <alignment horizontal="center" vertical="center" wrapText="true"/>
    </xf>
    <xf numFmtId="0" fontId="16" fillId="10" borderId="0" xfId="0" applyFont="true" applyFill="true" applyAlignment="true">
      <alignment vertical="center"/>
    </xf>
    <xf numFmtId="0" fontId="17" fillId="10" borderId="0" xfId="0" applyFont="true" applyFill="true" applyAlignment="true">
      <alignment vertical="center"/>
    </xf>
    <xf numFmtId="0" fontId="64" fillId="10" borderId="0" xfId="0" applyFont="true" applyFill="true" applyAlignment="true">
      <alignment horizontal="left" vertical="center" wrapText="true"/>
    </xf>
    <xf numFmtId="0" fontId="45" fillId="10" borderId="3" xfId="1" applyFont="true" applyFill="true" applyBorder="true" applyAlignment="true">
      <alignment horizontal="center" vertical="center"/>
    </xf>
    <xf numFmtId="0" fontId="59" fillId="3" borderId="28" xfId="0" applyFont="true" applyFill="true" applyBorder="true" applyAlignment="true">
      <alignment horizontal="center" vertical="center"/>
    </xf>
    <xf numFmtId="0" fontId="24" fillId="10" borderId="5" xfId="0" applyFont="true" applyFill="true" applyBorder="true" applyAlignment="true">
      <alignment horizontal="left" vertical="center"/>
    </xf>
    <xf numFmtId="0" fontId="59" fillId="3" borderId="27" xfId="0" applyFont="true" applyFill="true" applyBorder="true" applyAlignment="true">
      <alignment horizontal="center" vertical="center"/>
    </xf>
    <xf numFmtId="0" fontId="45" fillId="10" borderId="5" xfId="1" applyFont="true" applyFill="true" applyBorder="true" applyAlignment="true">
      <alignment horizontal="left" vertical="center" wrapText="true"/>
    </xf>
    <xf numFmtId="0" fontId="45" fillId="10" borderId="1" xfId="1" applyFont="true" applyFill="true" applyBorder="true" applyAlignment="true">
      <alignment horizontal="left" vertical="center" wrapText="true"/>
    </xf>
    <xf numFmtId="0" fontId="45" fillId="10" borderId="2" xfId="1" applyFont="true" applyFill="true" applyBorder="true" applyAlignment="true">
      <alignment horizontal="left" vertical="center" wrapText="true"/>
    </xf>
    <xf numFmtId="0" fontId="17" fillId="10" borderId="3" xfId="0" applyFont="true" applyFill="true" applyBorder="true" applyAlignment="true">
      <alignment horizontal="right" vertical="center"/>
    </xf>
    <xf numFmtId="0" fontId="17" fillId="10" borderId="3" xfId="0" applyFont="true" applyFill="true" applyBorder="true" applyAlignment="true">
      <alignment horizontal="right"/>
    </xf>
    <xf numFmtId="0" fontId="18" fillId="10" borderId="2" xfId="0" applyFont="true" applyFill="true" applyBorder="true" applyAlignment="true">
      <alignment vertical="center" wrapText="true"/>
    </xf>
    <xf numFmtId="0" fontId="184" fillId="10" borderId="24" xfId="0" applyFont="true" applyFill="true" applyBorder="true" applyAlignment="true">
      <alignment horizontal="left" vertical="center"/>
    </xf>
    <xf numFmtId="0" fontId="18" fillId="3" borderId="3" xfId="0" applyFont="true" applyFill="true" applyBorder="true" applyAlignment="true">
      <alignment horizontal="center" vertical="center"/>
    </xf>
    <xf numFmtId="0" fontId="0" fillId="3" borderId="30" xfId="0" applyFill="true" applyBorder="true"/>
    <xf numFmtId="0" fontId="184" fillId="10" borderId="0" xfId="0" applyFont="true" applyFill="true" applyAlignment="true">
      <alignment horizontal="left" vertical="center"/>
    </xf>
    <xf numFmtId="0" fontId="18" fillId="3" borderId="5" xfId="0" applyFont="true" applyFill="true" applyBorder="true" applyAlignment="true">
      <alignment horizontal="center" vertical="center"/>
    </xf>
    <xf numFmtId="0" fontId="14" fillId="3" borderId="30" xfId="0" applyFont="true" applyFill="true" applyBorder="true" applyAlignment="true">
      <alignment horizontal="center" vertical="center"/>
    </xf>
    <xf numFmtId="0" fontId="18" fillId="3" borderId="3" xfId="0" applyFont="true" applyFill="true" applyBorder="true" applyAlignment="true">
      <alignment horizontal="center" vertical="center" wrapText="true"/>
    </xf>
    <xf numFmtId="0" fontId="14" fillId="10" borderId="2" xfId="0" applyFont="true" applyFill="true" applyBorder="true" applyAlignment="true">
      <alignment horizontal="center" vertical="center"/>
    </xf>
    <xf numFmtId="0" fontId="18" fillId="10" borderId="3" xfId="0" applyFont="true" applyFill="true" applyBorder="true" applyAlignment="true">
      <alignment horizontal="center" vertical="center"/>
    </xf>
    <xf numFmtId="0" fontId="18" fillId="10" borderId="11" xfId="0" applyFont="true" applyFill="true" applyBorder="true" applyAlignment="true">
      <alignment horizontal="center" vertical="center"/>
    </xf>
    <xf numFmtId="0" fontId="17" fillId="10" borderId="8" xfId="0" applyFont="true" applyFill="true" applyBorder="true" applyAlignment="true">
      <alignment horizontal="center" vertical="center"/>
    </xf>
    <xf numFmtId="0" fontId="17" fillId="10" borderId="5" xfId="0" applyFont="true" applyFill="true" applyBorder="true" applyAlignment="true">
      <alignment vertical="center"/>
    </xf>
    <xf numFmtId="0" fontId="45" fillId="10" borderId="7" xfId="1" applyFont="true" applyFill="true" applyBorder="true" applyAlignment="true">
      <alignment vertical="center"/>
    </xf>
    <xf numFmtId="0" fontId="45" fillId="10" borderId="8" xfId="1" applyFont="true" applyFill="true" applyBorder="true" applyAlignment="true">
      <alignment vertical="center"/>
    </xf>
    <xf numFmtId="0" fontId="17" fillId="10" borderId="3" xfId="0" applyFont="true" applyFill="true" applyBorder="true" applyAlignment="true">
      <alignment wrapText="true"/>
    </xf>
    <xf numFmtId="0" fontId="15" fillId="0" borderId="10" xfId="0" applyFont="true" applyBorder="true" applyAlignment="true">
      <alignment horizontal="center" vertical="center"/>
    </xf>
    <xf numFmtId="0" fontId="22" fillId="3" borderId="5" xfId="0" applyFont="true" applyFill="true" applyBorder="true" applyAlignment="true">
      <alignment horizontal="center" vertical="center"/>
    </xf>
    <xf numFmtId="0" fontId="15" fillId="0" borderId="11" xfId="0" applyFont="true" applyBorder="true" applyAlignment="true">
      <alignment horizontal="center" vertical="center"/>
    </xf>
    <xf numFmtId="0" fontId="36" fillId="2" borderId="3" xfId="0" applyFont="true" applyFill="true" applyBorder="true" applyAlignment="true">
      <alignment horizontal="center" vertical="center"/>
    </xf>
    <xf numFmtId="0" fontId="22" fillId="3" borderId="7" xfId="0" applyFont="true" applyFill="true" applyBorder="true" applyAlignment="true">
      <alignment horizontal="center" vertical="center"/>
    </xf>
    <xf numFmtId="0" fontId="15" fillId="0" borderId="12" xfId="0" applyFont="true" applyBorder="true" applyAlignment="true">
      <alignment horizontal="center" vertical="center"/>
    </xf>
    <xf numFmtId="0" fontId="18" fillId="10" borderId="10" xfId="0" applyFont="true" applyFill="true" applyBorder="true" applyAlignment="true">
      <alignment vertical="center"/>
    </xf>
    <xf numFmtId="0" fontId="17" fillId="10" borderId="3" xfId="0" applyFont="true" applyFill="true" applyBorder="true" applyAlignment="true">
      <alignment horizontal="left"/>
    </xf>
    <xf numFmtId="0" fontId="17" fillId="10" borderId="8" xfId="0" applyFont="true" applyFill="true" applyBorder="true" applyAlignment="true">
      <alignment horizontal="right" vertical="center"/>
    </xf>
    <xf numFmtId="0" fontId="17" fillId="10" borderId="8" xfId="0" applyFont="true" applyFill="true" applyBorder="true" applyAlignment="true">
      <alignment horizontal="right" vertical="center" wrapText="true"/>
    </xf>
    <xf numFmtId="0" fontId="17" fillId="10" borderId="8" xfId="0" applyFont="true" applyFill="true" applyBorder="true" applyAlignment="true">
      <alignment horizontal="center"/>
    </xf>
    <xf numFmtId="0" fontId="17" fillId="10" borderId="8" xfId="0" applyFont="true" applyFill="true" applyBorder="true" applyAlignment="true">
      <alignment horizontal="left"/>
    </xf>
    <xf numFmtId="0" fontId="17" fillId="10" borderId="12" xfId="0" applyFont="true" applyFill="true" applyBorder="true"/>
    <xf numFmtId="0" fontId="25" fillId="10" borderId="2" xfId="0" applyFont="true" applyFill="true" applyBorder="true" applyAlignment="true">
      <alignment horizontal="right" vertical="center" wrapText="true"/>
    </xf>
    <xf numFmtId="0" fontId="25" fillId="10" borderId="10" xfId="0" applyFont="true" applyFill="true" applyBorder="true" applyAlignment="true">
      <alignment horizontal="right" vertical="center" wrapText="true"/>
    </xf>
    <xf numFmtId="0" fontId="17" fillId="10" borderId="11" xfId="0" applyFont="true" applyFill="true" applyBorder="true" applyAlignment="true">
      <alignment horizontal="right"/>
    </xf>
    <xf numFmtId="0" fontId="18" fillId="10" borderId="8" xfId="0" applyFont="true" applyFill="true" applyBorder="true" applyAlignment="true">
      <alignment horizontal="right" vertical="center"/>
    </xf>
    <xf numFmtId="0" fontId="17" fillId="10" borderId="8" xfId="0" applyFont="true" applyFill="true" applyBorder="true" applyAlignment="true">
      <alignment horizontal="right"/>
    </xf>
    <xf numFmtId="0" fontId="17" fillId="10" borderId="12" xfId="0" applyFont="true" applyFill="true" applyBorder="true" applyAlignment="true">
      <alignment horizontal="right"/>
    </xf>
    <xf numFmtId="0" fontId="18" fillId="10" borderId="21" xfId="0" applyFont="true" applyFill="true" applyBorder="true" applyAlignment="true">
      <alignment horizontal="right" vertical="center"/>
    </xf>
    <xf numFmtId="0" fontId="18" fillId="10" borderId="11" xfId="0" applyFont="true" applyFill="true" applyBorder="true" applyAlignment="true">
      <alignment horizontal="right" vertical="center"/>
    </xf>
    <xf numFmtId="0" fontId="35" fillId="10" borderId="11" xfId="0" applyFont="true" applyFill="true" applyBorder="true" applyAlignment="true">
      <alignment horizontal="right" vertical="center"/>
    </xf>
    <xf numFmtId="0" fontId="18" fillId="10" borderId="12" xfId="0" applyFont="true" applyFill="true" applyBorder="true" applyAlignment="true">
      <alignment horizontal="right" vertical="center"/>
    </xf>
    <xf numFmtId="0" fontId="18" fillId="10" borderId="10" xfId="0" applyFont="true" applyFill="true" applyBorder="true" applyAlignment="true">
      <alignment horizontal="right" vertical="center"/>
    </xf>
    <xf numFmtId="0" fontId="18" fillId="10" borderId="37" xfId="0" applyFont="true" applyFill="true" applyBorder="true" applyAlignment="true">
      <alignment horizontal="right" vertical="center"/>
    </xf>
    <xf numFmtId="0" fontId="45" fillId="10" borderId="47" xfId="1" applyFont="true" applyFill="true" applyBorder="true"/>
    <xf numFmtId="0" fontId="45" fillId="10" borderId="5" xfId="1" applyFont="true" applyFill="true" applyBorder="true" applyAlignment="true">
      <alignment horizontal="center"/>
    </xf>
    <xf numFmtId="0" fontId="17" fillId="10" borderId="3" xfId="0" applyFont="true" applyFill="true" applyBorder="true" applyAlignment="true">
      <alignment horizontal="center" vertical="center"/>
    </xf>
    <xf numFmtId="0" fontId="14" fillId="10" borderId="3" xfId="0" applyFont="true" applyFill="true" applyBorder="true" applyAlignment="true">
      <alignment horizontal="center" vertical="center"/>
    </xf>
    <xf numFmtId="0" fontId="33" fillId="10" borderId="3" xfId="0" applyFont="true" applyFill="true" applyBorder="true" applyAlignment="true">
      <alignment horizontal="center"/>
    </xf>
    <xf numFmtId="0" fontId="18" fillId="10" borderId="11" xfId="0" applyFont="true" applyFill="true" applyBorder="true" applyAlignment="true">
      <alignment vertical="center"/>
    </xf>
    <xf numFmtId="0" fontId="45" fillId="10" borderId="7" xfId="1" applyFont="true" applyFill="true" applyBorder="true" applyAlignment="true">
      <alignment horizontal="center"/>
    </xf>
    <xf numFmtId="0" fontId="45" fillId="10" borderId="8" xfId="1" applyFont="true" applyFill="true" applyBorder="true"/>
    <xf numFmtId="0" fontId="14" fillId="10" borderId="8" xfId="0" applyFont="true" applyFill="true" applyBorder="true" applyAlignment="true">
      <alignment horizontal="center" vertical="center"/>
    </xf>
    <xf numFmtId="0" fontId="18" fillId="10" borderId="8" xfId="0" applyFont="true" applyFill="true" applyBorder="true" applyAlignment="true">
      <alignment vertical="center"/>
    </xf>
    <xf numFmtId="0" fontId="33" fillId="10" borderId="8" xfId="0" applyFont="true" applyFill="true" applyBorder="true" applyAlignment="true">
      <alignment horizontal="center"/>
    </xf>
    <xf numFmtId="0" fontId="18" fillId="10" borderId="12" xfId="0" applyFont="true" applyFill="true" applyBorder="true" applyAlignment="true">
      <alignment vertical="center"/>
    </xf>
    <xf numFmtId="0" fontId="14" fillId="10" borderId="56" xfId="0" applyFont="true" applyFill="true" applyBorder="true" applyAlignment="true">
      <alignment horizontal="center" vertical="center"/>
    </xf>
    <xf numFmtId="0" fontId="14" fillId="10" borderId="57" xfId="0" applyFont="true" applyFill="true" applyBorder="true" applyAlignment="true">
      <alignment horizontal="center" vertical="center"/>
    </xf>
    <xf numFmtId="0" fontId="107" fillId="10" borderId="10" xfId="0" applyFont="true" applyFill="true" applyBorder="true" applyAlignment="true">
      <alignment horizontal="right" vertical="center"/>
    </xf>
    <xf numFmtId="0" fontId="107" fillId="10" borderId="41" xfId="0" applyFont="true" applyFill="true" applyBorder="true" applyAlignment="true">
      <alignment horizontal="right" vertical="center"/>
    </xf>
    <xf numFmtId="0" fontId="45" fillId="10" borderId="3" xfId="1" applyFont="true" applyFill="true" applyBorder="true" applyAlignment="true">
      <alignment vertical="center" wrapText="true"/>
    </xf>
    <xf numFmtId="0" fontId="14" fillId="10" borderId="3" xfId="0" applyFont="true" applyFill="true" applyBorder="true" applyAlignment="true">
      <alignment vertical="center" wrapText="true"/>
    </xf>
    <xf numFmtId="0" fontId="45" fillId="10" borderId="7" xfId="1" applyFont="true" applyFill="true" applyBorder="true" applyAlignment="true">
      <alignment horizontal="center" vertical="center"/>
    </xf>
    <xf numFmtId="0" fontId="45" fillId="10" borderId="8" xfId="1" applyFont="true" applyFill="true" applyBorder="true" applyAlignment="true">
      <alignment horizontal="center" vertical="center"/>
    </xf>
    <xf numFmtId="0" fontId="45" fillId="10" borderId="8" xfId="1" applyFont="true" applyFill="true" applyBorder="true" applyAlignment="true">
      <alignment vertical="center" wrapText="true"/>
    </xf>
    <xf numFmtId="0" fontId="14" fillId="10" borderId="8" xfId="0" applyFont="true" applyFill="true" applyBorder="true" applyAlignment="true">
      <alignment vertical="center" wrapText="true"/>
    </xf>
    <xf numFmtId="0" fontId="38" fillId="10" borderId="5" xfId="0" applyFont="true" applyFill="true" applyBorder="true" applyAlignment="true">
      <alignment horizontal="center" vertical="center" wrapText="true"/>
    </xf>
    <xf numFmtId="0" fontId="38" fillId="10" borderId="7" xfId="0" applyFont="true" applyFill="true" applyBorder="true" applyAlignment="true">
      <alignment horizontal="center" vertical="center" wrapText="true"/>
    </xf>
    <xf numFmtId="0" fontId="38" fillId="10" borderId="16" xfId="0" applyFont="true" applyFill="true" applyBorder="true" applyAlignment="true">
      <alignment horizontal="center" vertical="center" wrapText="true"/>
    </xf>
    <xf numFmtId="0" fontId="45" fillId="10" borderId="11" xfId="1" applyFont="true" applyFill="true" applyBorder="true" applyAlignment="true">
      <alignment vertical="center" wrapText="true"/>
    </xf>
    <xf numFmtId="0" fontId="45" fillId="10" borderId="12" xfId="1" applyFont="true" applyFill="true" applyBorder="true" applyAlignment="true">
      <alignment vertical="center" wrapText="true"/>
    </xf>
    <xf numFmtId="0" fontId="107" fillId="10" borderId="12" xfId="0" applyFont="true" applyFill="true" applyBorder="true" applyAlignment="true">
      <alignment horizontal="right" vertical="center"/>
    </xf>
    <xf numFmtId="0" fontId="17" fillId="10" borderId="11" xfId="0" applyFont="true" applyFill="true" applyBorder="true" applyAlignment="true">
      <alignment horizontal="center" vertical="center"/>
    </xf>
    <xf numFmtId="49" fontId="17" fillId="10" borderId="3" xfId="0" applyNumberFormat="true" applyFont="true" applyFill="true" applyBorder="true" applyAlignment="true">
      <alignment horizontal="center" vertical="center"/>
    </xf>
    <xf numFmtId="0" fontId="17" fillId="10" borderId="12" xfId="0" applyFont="true" applyFill="true" applyBorder="true" applyAlignment="true">
      <alignment horizontal="center" vertical="center"/>
    </xf>
    <xf numFmtId="49" fontId="17" fillId="10" borderId="8" xfId="0" applyNumberFormat="true" applyFont="true" applyFill="true" applyBorder="true" applyAlignment="true">
      <alignment horizontal="center" vertical="center"/>
    </xf>
    <xf numFmtId="0" fontId="18" fillId="10" borderId="8" xfId="0" applyFont="true" applyFill="true" applyBorder="true" applyAlignment="true">
      <alignment horizontal="center" vertical="center"/>
    </xf>
    <xf numFmtId="0" fontId="16" fillId="3" borderId="42" xfId="0" applyFont="true" applyFill="true" applyBorder="true" applyAlignment="true">
      <alignment horizontal="center" vertical="center"/>
    </xf>
    <xf numFmtId="0" fontId="33" fillId="3" borderId="18" xfId="0" applyFont="true" applyFill="true" applyBorder="true" applyAlignment="true">
      <alignment horizontal="center" vertical="center"/>
    </xf>
    <xf numFmtId="0" fontId="15" fillId="0" borderId="70" xfId="0" applyFont="true" applyBorder="true" applyAlignment="true">
      <alignment horizontal="center" vertical="center"/>
    </xf>
    <xf numFmtId="0" fontId="16" fillId="3" borderId="5" xfId="0" applyFont="true" applyFill="true" applyBorder="true" applyAlignment="true">
      <alignment horizontal="center" vertical="center"/>
    </xf>
    <xf numFmtId="0" fontId="33" fillId="3" borderId="3" xfId="0" applyFont="true" applyFill="true" applyBorder="true" applyAlignment="true">
      <alignment horizontal="center" vertical="center"/>
    </xf>
    <xf numFmtId="1" fontId="33" fillId="3" borderId="3" xfId="0" applyNumberFormat="true" applyFont="true" applyFill="true" applyBorder="true" applyAlignment="true">
      <alignment horizontal="center" vertical="center" wrapText="true"/>
    </xf>
    <xf numFmtId="11" fontId="33" fillId="3" borderId="3" xfId="0" applyNumberFormat="true" applyFont="true" applyFill="true" applyBorder="true" applyAlignment="true">
      <alignment horizontal="center" vertical="center"/>
    </xf>
    <xf numFmtId="0" fontId="16" fillId="3" borderId="7" xfId="0" applyFont="true" applyFill="true" applyBorder="true" applyAlignment="true">
      <alignment horizontal="center" vertical="center"/>
    </xf>
    <xf numFmtId="0" fontId="33" fillId="3" borderId="8" xfId="0" applyFont="true" applyFill="true" applyBorder="true" applyAlignment="true">
      <alignment horizontal="center" vertical="center"/>
    </xf>
    <xf numFmtId="0" fontId="15" fillId="0" borderId="40" xfId="0" applyFont="true" applyBorder="true" applyAlignment="true">
      <alignment horizontal="center" vertical="center"/>
    </xf>
    <xf numFmtId="0" fontId="33" fillId="10" borderId="11" xfId="0" applyFont="true" applyFill="true" applyBorder="true"/>
    <xf numFmtId="0" fontId="33" fillId="10" borderId="12" xfId="0" applyFont="true" applyFill="true" applyBorder="true"/>
    <xf numFmtId="0" fontId="18" fillId="10" borderId="37" xfId="0" applyFont="true" applyFill="true" applyBorder="true"/>
    <xf numFmtId="49" fontId="33" fillId="10" borderId="3" xfId="0" applyNumberFormat="true" applyFont="true" applyFill="true" applyBorder="true" applyAlignment="true">
      <alignment horizontal="center" vertical="center"/>
    </xf>
    <xf numFmtId="0" fontId="33" fillId="10" borderId="3" xfId="0" applyFont="true" applyFill="true" applyBorder="true" applyAlignment="true">
      <alignment horizontal="center" vertical="center"/>
    </xf>
    <xf numFmtId="0" fontId="18" fillId="10" borderId="7" xfId="0" applyFont="true" applyFill="true" applyBorder="true" applyAlignment="true">
      <alignment horizontal="center" vertical="center"/>
    </xf>
    <xf numFmtId="49" fontId="33" fillId="10" borderId="8" xfId="0" applyNumberFormat="true" applyFont="true" applyFill="true" applyBorder="true" applyAlignment="true">
      <alignment horizontal="center" vertical="center"/>
    </xf>
    <xf numFmtId="0" fontId="33" fillId="10" borderId="8" xfId="0" applyFont="true" applyFill="true" applyBorder="true" applyAlignment="true">
      <alignment horizontal="center" vertical="center"/>
    </xf>
    <xf numFmtId="0" fontId="33" fillId="10" borderId="12" xfId="0" applyFont="true" applyFill="true" applyBorder="true" applyAlignment="true">
      <alignment horizontal="center" vertical="center"/>
    </xf>
    <xf numFmtId="0" fontId="33" fillId="10" borderId="5" xfId="0" applyFont="true" applyFill="true" applyBorder="true" applyAlignment="true">
      <alignment horizontal="center" vertical="center"/>
    </xf>
    <xf numFmtId="49" fontId="80" fillId="10" borderId="3" xfId="1" applyNumberFormat="true" applyFont="true" applyFill="true" applyBorder="true"/>
    <xf numFmtId="0" fontId="58" fillId="10" borderId="3" xfId="0" applyFont="true" applyFill="true" applyBorder="true" applyAlignment="true">
      <alignment horizontal="center" vertical="center"/>
    </xf>
    <xf numFmtId="0" fontId="45" fillId="10" borderId="3" xfId="1" applyFont="true" applyFill="true" applyBorder="true" applyAlignment="true">
      <alignment horizontal="center"/>
    </xf>
    <xf numFmtId="164" fontId="33" fillId="10" borderId="3" xfId="0" applyNumberFormat="true" applyFont="true" applyFill="true" applyBorder="true" applyAlignment="true">
      <alignment horizontal="center" vertical="center"/>
    </xf>
    <xf numFmtId="0" fontId="58" fillId="10" borderId="11" xfId="0" applyFont="true" applyFill="true" applyBorder="true" applyAlignment="true">
      <alignment horizontal="center" vertical="center"/>
    </xf>
    <xf numFmtId="0" fontId="33" fillId="10" borderId="7" xfId="0" applyFont="true" applyFill="true" applyBorder="true" applyAlignment="true">
      <alignment horizontal="center" vertical="center"/>
    </xf>
    <xf numFmtId="49" fontId="80" fillId="10" borderId="8" xfId="1" applyNumberFormat="true" applyFont="true" applyFill="true" applyBorder="true"/>
    <xf numFmtId="0" fontId="58" fillId="10" borderId="8" xfId="0" applyFont="true" applyFill="true" applyBorder="true" applyAlignment="true">
      <alignment horizontal="center" vertical="center"/>
    </xf>
    <xf numFmtId="0" fontId="45" fillId="10" borderId="8" xfId="1" applyFont="true" applyFill="true" applyBorder="true" applyAlignment="true">
      <alignment horizontal="center"/>
    </xf>
    <xf numFmtId="0" fontId="58" fillId="10" borderId="8" xfId="0" applyFont="true" applyFill="true" applyBorder="true" applyAlignment="true">
      <alignment horizontal="center" vertical="center" wrapText="true"/>
    </xf>
    <xf numFmtId="164" fontId="33" fillId="10" borderId="8" xfId="0" applyNumberFormat="true" applyFont="true" applyFill="true" applyBorder="true" applyAlignment="true">
      <alignment horizontal="center" vertical="center"/>
    </xf>
    <xf numFmtId="0" fontId="58" fillId="10" borderId="12" xfId="0" applyFont="true" applyFill="true" applyBorder="true" applyAlignment="true">
      <alignment horizontal="center" vertical="center"/>
    </xf>
    <xf numFmtId="0" fontId="58" fillId="10" borderId="23" xfId="0" applyFont="true" applyFill="true" applyBorder="true" applyAlignment="true">
      <alignment horizontal="center" vertical="center"/>
    </xf>
    <xf numFmtId="0" fontId="17" fillId="10" borderId="3" xfId="0" applyFont="true" applyFill="true" applyBorder="true" applyAlignment="true">
      <alignment horizontal="center" vertical="center" wrapText="true"/>
    </xf>
    <xf numFmtId="164" fontId="17" fillId="10" borderId="3" xfId="0" applyNumberFormat="true" applyFont="true" applyFill="true" applyBorder="true" applyAlignment="true">
      <alignment horizontal="center" vertical="center"/>
    </xf>
    <xf numFmtId="0" fontId="17" fillId="10" borderId="8" xfId="0" applyFont="true" applyFill="true" applyBorder="true" applyAlignment="true">
      <alignment horizontal="center" vertical="center" wrapText="true"/>
    </xf>
    <xf numFmtId="164" fontId="17" fillId="10" borderId="8" xfId="0" applyNumberFormat="true" applyFont="true" applyFill="true" applyBorder="true" applyAlignment="true">
      <alignment horizontal="center" vertical="center"/>
    </xf>
    <xf numFmtId="0" fontId="17" fillId="10" borderId="23" xfId="0" applyFont="true" applyFill="true" applyBorder="true" applyAlignment="true">
      <alignment horizontal="center" vertical="center"/>
    </xf>
    <xf numFmtId="0" fontId="33" fillId="10" borderId="23" xfId="0" applyFont="true" applyFill="true" applyBorder="true"/>
    <xf numFmtId="0" fontId="80" fillId="10" borderId="3" xfId="1" applyFont="true" applyFill="true" applyBorder="true" applyAlignment="true">
      <alignment horizontal="center"/>
    </xf>
    <xf numFmtId="0" fontId="80" fillId="10" borderId="8" xfId="1" applyFont="true" applyFill="true" applyBorder="true" applyAlignment="true">
      <alignment horizontal="center"/>
    </xf>
    <xf numFmtId="0" fontId="58" fillId="10" borderId="12" xfId="0" applyFont="true" applyFill="true" applyBorder="true" applyAlignment="true">
      <alignment horizontal="center" vertical="center" wrapText="true"/>
    </xf>
    <xf numFmtId="0" fontId="58" fillId="10" borderId="55" xfId="0" applyFont="true" applyFill="true" applyBorder="true" applyAlignment="true">
      <alignment horizontal="center" vertical="center"/>
    </xf>
    <xf numFmtId="0" fontId="58" fillId="10" borderId="57" xfId="0" applyFont="true" applyFill="true" applyBorder="true" applyAlignment="true">
      <alignment horizontal="center" vertical="center"/>
    </xf>
    <xf numFmtId="0" fontId="17" fillId="10" borderId="11" xfId="0" applyFont="true" applyFill="true" applyBorder="true" applyAlignment="true">
      <alignment horizontal="center" vertical="center" wrapText="true"/>
    </xf>
    <xf numFmtId="0" fontId="17" fillId="10" borderId="12" xfId="0" applyFont="true" applyFill="true" applyBorder="true" applyAlignment="true">
      <alignment horizontal="center" vertical="center" wrapText="true"/>
    </xf>
    <xf numFmtId="49" fontId="45" fillId="10" borderId="3" xfId="1" applyNumberFormat="true" applyFont="true" applyFill="true" applyBorder="true" applyAlignment="true">
      <alignment horizontal="left"/>
    </xf>
    <xf numFmtId="0" fontId="45" fillId="10" borderId="3" xfId="1" applyFont="true" applyFill="true" applyBorder="true" applyAlignment="true">
      <alignment horizontal="left"/>
    </xf>
    <xf numFmtId="0" fontId="45" fillId="10" borderId="8" xfId="1" applyFont="true" applyFill="true" applyBorder="true" applyAlignment="true">
      <alignment horizontal="left"/>
    </xf>
    <xf numFmtId="0" fontId="58" fillId="2" borderId="23" xfId="0" applyFont="true" applyFill="true" applyBorder="true" applyAlignment="true">
      <alignment horizontal="center" vertical="center"/>
    </xf>
    <xf numFmtId="0" fontId="17" fillId="10" borderId="3" xfId="0" applyFont="true" applyFill="true" applyBorder="true" applyAlignment="true">
      <alignment horizontal="left" vertical="center"/>
    </xf>
    <xf numFmtId="0" fontId="17" fillId="10" borderId="8" xfId="0" applyFont="true" applyFill="true" applyBorder="true" applyAlignment="true">
      <alignment horizontal="left" vertical="center"/>
    </xf>
    <xf numFmtId="0" fontId="58" fillId="10" borderId="23" xfId="0" applyFont="true" applyFill="true" applyBorder="true" applyAlignment="true">
      <alignment horizontal="center" vertical="center" wrapText="true"/>
    </xf>
    <xf numFmtId="0" fontId="14" fillId="10" borderId="3" xfId="0" applyFont="true" applyFill="true" applyBorder="true" applyAlignment="true">
      <alignment vertical="center"/>
    </xf>
    <xf numFmtId="0" fontId="33" fillId="10" borderId="3" xfId="0" applyFont="true" applyFill="true" applyBorder="true" applyAlignment="true">
      <alignment horizontal="left"/>
    </xf>
    <xf numFmtId="0" fontId="33" fillId="10" borderId="3" xfId="0" applyFont="true" applyFill="true" applyBorder="true"/>
    <xf numFmtId="0" fontId="17" fillId="10" borderId="3" xfId="0" applyFont="true" applyFill="true" applyBorder="true" applyAlignment="true">
      <alignment horizontal="right" vertical="center" wrapText="true"/>
    </xf>
    <xf numFmtId="0" fontId="18" fillId="10" borderId="3" xfId="0" applyFont="true" applyFill="true" applyBorder="true" applyAlignment="true">
      <alignment horizontal="right" vertical="center"/>
    </xf>
    <xf numFmtId="0" fontId="33" fillId="10" borderId="8" xfId="0" applyFont="true" applyFill="true" applyBorder="true" applyAlignment="true">
      <alignment horizontal="left"/>
    </xf>
    <xf numFmtId="0" fontId="33" fillId="10" borderId="8" xfId="0" applyFont="true" applyFill="true" applyBorder="true"/>
    <xf numFmtId="0" fontId="14" fillId="10" borderId="11" xfId="0" applyFont="true" applyFill="true" applyBorder="true" applyAlignment="true">
      <alignment horizontal="right" vertical="center"/>
    </xf>
    <xf numFmtId="0" fontId="14" fillId="10" borderId="2" xfId="0" applyFont="true" applyFill="true" applyBorder="true" applyAlignment="true">
      <alignment vertical="center"/>
    </xf>
    <xf numFmtId="1" fontId="37" fillId="10" borderId="3" xfId="0" applyNumberFormat="true" applyFont="true" applyFill="true" applyBorder="true" applyAlignment="true">
      <alignment vertical="center"/>
    </xf>
    <xf numFmtId="1" fontId="37" fillId="10" borderId="11" xfId="0" applyNumberFormat="true" applyFont="true" applyFill="true" applyBorder="true" applyAlignment="true">
      <alignment vertical="center"/>
    </xf>
    <xf numFmtId="1" fontId="37" fillId="10" borderId="8" xfId="0" applyNumberFormat="true" applyFont="true" applyFill="true" applyBorder="true" applyAlignment="true">
      <alignment vertical="center"/>
    </xf>
    <xf numFmtId="1" fontId="37" fillId="10" borderId="10" xfId="0" applyNumberFormat="true" applyFont="true" applyFill="true" applyBorder="true" applyAlignment="true">
      <alignment vertical="center"/>
    </xf>
    <xf numFmtId="1" fontId="37" fillId="10" borderId="12" xfId="0" applyNumberFormat="true" applyFont="true" applyFill="true" applyBorder="true" applyAlignment="true">
      <alignment vertical="center"/>
    </xf>
    <xf numFmtId="0" fontId="36" fillId="3" borderId="2" xfId="0" applyFont="true" applyFill="true" applyBorder="true" applyAlignment="true">
      <alignment horizontal="center" vertical="center" wrapText="true"/>
    </xf>
    <xf numFmtId="0" fontId="15" fillId="0" borderId="29" xfId="0" applyFont="true" applyBorder="true" applyAlignment="true">
      <alignment horizontal="center" vertical="center"/>
    </xf>
    <xf numFmtId="0" fontId="45" fillId="10" borderId="37" xfId="1" applyFont="true" applyFill="true" applyBorder="true" applyAlignment="true">
      <alignment horizontal="center" vertical="center"/>
    </xf>
    <xf numFmtId="0" fontId="0" fillId="10" borderId="11" xfId="0" applyFill="true" applyBorder="true"/>
    <xf numFmtId="0" fontId="45" fillId="10" borderId="46" xfId="1" applyFont="true" applyFill="true" applyBorder="true"/>
    <xf numFmtId="0" fontId="0" fillId="10" borderId="47" xfId="0" applyFill="true" applyBorder="true"/>
    <xf numFmtId="0" fontId="45" fillId="10" borderId="27" xfId="1" applyFont="true" applyFill="true" applyBorder="true" applyAlignment="true">
      <alignment horizontal="center" vertical="center"/>
    </xf>
    <xf numFmtId="169" fontId="45" fillId="10" borderId="6" xfId="1" applyNumberFormat="true" applyFont="true" applyFill="true" applyBorder="true"/>
    <xf numFmtId="0" fontId="45" fillId="10" borderId="25" xfId="1" applyFont="true" applyFill="true" applyBorder="true"/>
    <xf numFmtId="0" fontId="45" fillId="10" borderId="15" xfId="1" applyFont="true" applyFill="true" applyBorder="true"/>
    <xf numFmtId="0" fontId="45" fillId="10" borderId="6" xfId="1" applyFont="true" applyFill="true" applyBorder="true"/>
    <xf numFmtId="10" fontId="45" fillId="10" borderId="6" xfId="1" applyNumberFormat="true" applyFont="true" applyFill="true" applyBorder="true"/>
    <xf numFmtId="0" fontId="45" fillId="10" borderId="36" xfId="1" applyFont="true" applyFill="true" applyBorder="true"/>
    <xf numFmtId="0" fontId="45" fillId="10" borderId="11" xfId="1" applyFont="true" applyFill="true" applyBorder="true" applyAlignment="true">
      <alignment wrapText="true"/>
    </xf>
    <xf numFmtId="0" fontId="45" fillId="10" borderId="8" xfId="1" applyFont="true" applyFill="true" applyBorder="true" applyAlignment="true">
      <alignment wrapText="true"/>
    </xf>
    <xf numFmtId="0" fontId="45" fillId="10" borderId="12" xfId="1" applyFont="true" applyFill="true" applyBorder="true" applyAlignment="true">
      <alignment wrapText="true"/>
    </xf>
    <xf numFmtId="0" fontId="102" fillId="3" borderId="18" xfId="0" applyFont="true" applyFill="true" applyBorder="true" applyAlignment="true">
      <alignment horizontal="center" vertical="center"/>
    </xf>
    <xf numFmtId="0" fontId="102" fillId="3" borderId="18" xfId="0" applyFont="true" applyFill="true" applyBorder="true" applyAlignment="true">
      <alignment horizontal="center" vertical="center" wrapText="true"/>
    </xf>
    <xf numFmtId="0" fontId="15" fillId="0" borderId="21" xfId="0" applyFont="true" applyBorder="true" applyAlignment="true">
      <alignment horizontal="center" vertical="center"/>
    </xf>
    <xf numFmtId="2" fontId="102" fillId="3" borderId="3" xfId="0" applyNumberFormat="true" applyFont="true" applyFill="true" applyBorder="true" applyAlignment="true">
      <alignment horizontal="center" vertical="center"/>
    </xf>
    <xf numFmtId="43" fontId="102" fillId="3" borderId="3" xfId="0" applyNumberFormat="true" applyFont="true" applyFill="true" applyBorder="true" applyAlignment="true">
      <alignment horizontal="center" vertical="center" wrapText="true"/>
    </xf>
    <xf numFmtId="0" fontId="17" fillId="10" borderId="11" xfId="0" applyFont="true" applyFill="true" applyBorder="true" applyAlignment="true">
      <alignment horizontal="right" vertical="center"/>
    </xf>
    <xf numFmtId="0" fontId="17" fillId="10" borderId="12" xfId="0" applyFont="true" applyFill="true" applyBorder="true" applyAlignment="true">
      <alignment horizontal="right" vertical="center"/>
    </xf>
    <xf numFmtId="0" fontId="45" fillId="10" borderId="10" xfId="6" applyNumberFormat="true" applyFont="true" applyFill="true" applyBorder="true" applyProtection="true"/>
    <xf numFmtId="43" fontId="45" fillId="10" borderId="11" xfId="6" applyFont="true" applyFill="true" applyBorder="true" applyProtection="true"/>
    <xf numFmtId="0" fontId="45" fillId="10" borderId="11" xfId="6" applyNumberFormat="true" applyFont="true" applyFill="true" applyBorder="true" applyProtection="true"/>
    <xf numFmtId="43" fontId="45" fillId="10" borderId="11" xfId="6" applyFont="true" applyFill="true" applyBorder="true" applyAlignment="true" applyProtection="true">
      <alignment horizontal="right"/>
    </xf>
    <xf numFmtId="43" fontId="45" fillId="10" borderId="12" xfId="6" applyFont="true" applyFill="true" applyBorder="true" applyProtection="true"/>
    <xf numFmtId="0" fontId="36" fillId="10" borderId="2" xfId="0" applyFont="true" applyFill="true" applyBorder="true" applyAlignment="true">
      <alignment horizontal="center" vertical="center"/>
    </xf>
    <xf numFmtId="0" fontId="36" fillId="10" borderId="10" xfId="0" applyFont="true" applyFill="true" applyBorder="true" applyAlignment="true">
      <alignment horizontal="center" vertical="center"/>
    </xf>
    <xf numFmtId="0" fontId="17" fillId="10" borderId="30" xfId="0" applyFont="true" applyFill="true" applyBorder="true"/>
    <xf numFmtId="0" fontId="96" fillId="10" borderId="3" xfId="1" applyFont="true" applyFill="true" applyBorder="true" applyAlignment="true">
      <alignment horizontal="center" vertical="center"/>
    </xf>
    <xf numFmtId="0" fontId="46" fillId="10" borderId="7" xfId="1" applyFont="true" applyFill="true" applyBorder="true" applyAlignment="true">
      <alignment horizontal="center" vertical="center"/>
    </xf>
    <xf numFmtId="0" fontId="96" fillId="10" borderId="8" xfId="1" applyFont="true" applyFill="true" applyBorder="true" applyAlignment="true">
      <alignment horizontal="center" vertical="center"/>
    </xf>
    <xf numFmtId="0" fontId="122" fillId="10" borderId="8" xfId="4" applyFill="true" applyBorder="true" applyProtection="true"/>
    <xf numFmtId="0" fontId="123" fillId="10" borderId="12" xfId="5" applyFill="true" applyBorder="true" applyProtection="true"/>
    <xf numFmtId="43" fontId="45" fillId="10" borderId="10" xfId="1" applyNumberFormat="true" applyFont="true" applyFill="true" applyBorder="true" applyAlignment="true">
      <alignment horizontal="center" vertical="center"/>
    </xf>
    <xf numFmtId="0" fontId="17" fillId="10" borderId="11" xfId="0" applyFont="true" applyFill="true" applyBorder="true" applyAlignment="true">
      <alignment horizontal="center"/>
    </xf>
    <xf numFmtId="43" fontId="17" fillId="10" borderId="11" xfId="0" applyNumberFormat="true" applyFont="true" applyFill="true" applyBorder="true" applyAlignment="true">
      <alignment horizontal="center"/>
    </xf>
    <xf numFmtId="0" fontId="17" fillId="10" borderId="12" xfId="0" applyFont="true" applyFill="true" applyBorder="true" applyAlignment="true">
      <alignment horizontal="center"/>
    </xf>
    <xf numFmtId="0" fontId="102" fillId="10" borderId="1" xfId="0" applyFont="true" applyFill="true" applyBorder="true" applyAlignment="true">
      <alignment horizontal="center" vertical="center"/>
    </xf>
    <xf numFmtId="0" fontId="102" fillId="10" borderId="10" xfId="0" applyFont="true" applyFill="true" applyBorder="true" applyAlignment="true">
      <alignment horizontal="center" vertical="center"/>
    </xf>
    <xf numFmtId="0" fontId="102" fillId="10" borderId="5" xfId="0" applyFont="true" applyFill="true" applyBorder="true" applyAlignment="true">
      <alignment horizontal="center" vertical="center"/>
    </xf>
    <xf numFmtId="0" fontId="102" fillId="10" borderId="11" xfId="0" applyFont="true" applyFill="true" applyBorder="true" applyAlignment="true">
      <alignment horizontal="center" vertical="center"/>
    </xf>
    <xf numFmtId="0" fontId="17" fillId="10" borderId="49" xfId="0" applyFont="true" applyFill="true" applyBorder="true" applyAlignment="true">
      <alignment horizontal="center"/>
    </xf>
    <xf numFmtId="0" fontId="17" fillId="10" borderId="41" xfId="0" applyFont="true" applyFill="true" applyBorder="true" applyAlignment="true">
      <alignment horizontal="center"/>
    </xf>
    <xf numFmtId="2" fontId="17" fillId="10" borderId="37" xfId="0" applyNumberFormat="true" applyFont="true" applyFill="true" applyBorder="true" applyAlignment="true">
      <alignment horizontal="center"/>
    </xf>
    <xf numFmtId="0" fontId="102" fillId="10" borderId="7" xfId="0" applyFont="true" applyFill="true" applyBorder="true" applyAlignment="true">
      <alignment horizontal="center" vertical="center"/>
    </xf>
    <xf numFmtId="0" fontId="102" fillId="10" borderId="12" xfId="0" applyFont="true" applyFill="true" applyBorder="true" applyAlignment="true">
      <alignment horizontal="center" vertical="center"/>
    </xf>
    <xf numFmtId="10" fontId="17" fillId="10" borderId="15" xfId="0" applyNumberFormat="true" applyFont="true" applyFill="true" applyBorder="true" applyAlignment="true">
      <alignment horizontal="center"/>
    </xf>
    <xf numFmtId="0" fontId="17" fillId="10" borderId="39" xfId="0" applyFont="true" applyFill="true" applyBorder="true" applyAlignment="true">
      <alignment horizontal="center" vertical="center"/>
    </xf>
    <xf numFmtId="0" fontId="17" fillId="10" borderId="16" xfId="0" applyFont="true" applyFill="true" applyBorder="true" applyAlignment="true">
      <alignment horizontal="center" vertical="center"/>
    </xf>
    <xf numFmtId="0" fontId="14" fillId="10" borderId="3" xfId="0" applyFont="true" applyFill="true" applyBorder="true" applyAlignment="true">
      <alignment horizontal="center" vertical="center" wrapText="true"/>
    </xf>
    <xf numFmtId="0" fontId="45" fillId="10" borderId="11" xfId="1" applyFont="true" applyFill="true" applyBorder="true" applyAlignment="true">
      <alignment horizontal="center" vertical="center"/>
    </xf>
    <xf numFmtId="0" fontId="46" fillId="10" borderId="11" xfId="1" applyFont="true" applyFill="true" applyBorder="true" applyAlignment="true">
      <alignment horizontal="center" vertical="center"/>
    </xf>
    <xf numFmtId="0" fontId="17" fillId="10" borderId="40" xfId="0" applyFont="true" applyFill="true" applyBorder="true" applyAlignment="true">
      <alignment horizontal="center" vertical="center"/>
    </xf>
    <xf numFmtId="0" fontId="17" fillId="10" borderId="17" xfId="0" applyFont="true" applyFill="true" applyBorder="true" applyAlignment="true">
      <alignment horizontal="center" vertical="center"/>
    </xf>
    <xf numFmtId="0" fontId="14" fillId="10" borderId="8" xfId="0" applyFont="true" applyFill="true" applyBorder="true" applyAlignment="true">
      <alignment horizontal="center" vertical="center" wrapText="true"/>
    </xf>
    <xf numFmtId="0" fontId="45" fillId="10" borderId="12" xfId="1" applyFont="true" applyFill="true" applyBorder="true" applyAlignment="true">
      <alignment horizontal="center" vertical="center"/>
    </xf>
    <xf numFmtId="0" fontId="97" fillId="10" borderId="12" xfId="1" applyFont="true" applyFill="true" applyBorder="true" applyAlignment="true">
      <alignment horizontal="center" vertical="center"/>
    </xf>
    <xf numFmtId="43" fontId="17" fillId="10" borderId="49" xfId="0" applyNumberFormat="true" applyFont="true" applyFill="true" applyBorder="true" applyAlignment="true">
      <alignment horizontal="center"/>
    </xf>
    <xf numFmtId="0" fontId="17" fillId="10" borderId="30" xfId="0" applyFont="true" applyFill="true" applyBorder="true" applyAlignment="true">
      <alignment horizontal="center"/>
    </xf>
    <xf numFmtId="0" fontId="17" fillId="10" borderId="5" xfId="0" applyFont="true" applyFill="true" applyBorder="true" applyAlignment="true">
      <alignment horizontal="center" vertical="center"/>
    </xf>
    <xf numFmtId="4" fontId="17" fillId="10" borderId="3" xfId="0" applyNumberFormat="true" applyFont="true" applyFill="true" applyBorder="true"/>
    <xf numFmtId="170" fontId="58" fillId="10" borderId="3" xfId="0" applyNumberFormat="true" applyFont="true" applyFill="true" applyBorder="true" applyAlignment="true">
      <alignment horizontal="center" vertical="center"/>
    </xf>
    <xf numFmtId="170" fontId="58" fillId="10" borderId="11" xfId="0" applyNumberFormat="true" applyFont="true" applyFill="true" applyBorder="true" applyAlignment="true">
      <alignment horizontal="center" vertical="center"/>
    </xf>
    <xf numFmtId="43" fontId="17" fillId="10" borderId="30" xfId="0" applyNumberFormat="true" applyFont="true" applyFill="true" applyBorder="true" applyAlignment="true">
      <alignment horizontal="center"/>
    </xf>
    <xf numFmtId="0" fontId="36" fillId="10" borderId="49" xfId="0" applyFont="true" applyFill="true" applyBorder="true" applyAlignment="true">
      <alignment horizontal="center" vertical="center"/>
    </xf>
    <xf numFmtId="0" fontId="17" fillId="10" borderId="7" xfId="0" applyFont="true" applyFill="true" applyBorder="true" applyAlignment="true">
      <alignment horizontal="center" vertical="center"/>
    </xf>
    <xf numFmtId="4" fontId="17" fillId="10" borderId="8" xfId="0" applyNumberFormat="true" applyFont="true" applyFill="true" applyBorder="true"/>
    <xf numFmtId="170" fontId="58" fillId="10" borderId="8" xfId="0" applyNumberFormat="true" applyFont="true" applyFill="true" applyBorder="true" applyAlignment="true">
      <alignment horizontal="center" vertical="center"/>
    </xf>
    <xf numFmtId="43" fontId="18" fillId="10" borderId="10" xfId="0" applyNumberFormat="true" applyFont="true" applyFill="true" applyBorder="true" applyAlignment="true">
      <alignment horizontal="right" vertical="center"/>
    </xf>
    <xf numFmtId="43" fontId="18" fillId="10" borderId="11" xfId="0" applyNumberFormat="true" applyFont="true" applyFill="true" applyBorder="true" applyAlignment="true">
      <alignment horizontal="right" vertical="center"/>
    </xf>
    <xf numFmtId="0" fontId="65" fillId="10" borderId="16" xfId="0" applyFont="true" applyFill="true" applyBorder="true" applyAlignment="true">
      <alignment horizontal="center"/>
    </xf>
    <xf numFmtId="0" fontId="65" fillId="10" borderId="11" xfId="0" applyFont="true" applyFill="true" applyBorder="true" applyAlignment="true">
      <alignment horizontal="center"/>
    </xf>
    <xf numFmtId="43" fontId="18" fillId="10" borderId="11" xfId="0" applyNumberFormat="true" applyFont="true" applyFill="true" applyBorder="true" applyAlignment="true">
      <alignment horizontal="right" vertical="center" wrapText="true"/>
    </xf>
    <xf numFmtId="0" fontId="65" fillId="10" borderId="5" xfId="0" applyFont="true" applyFill="true" applyBorder="true" applyAlignment="true">
      <alignment horizontal="center"/>
    </xf>
    <xf numFmtId="0" fontId="65" fillId="10" borderId="7" xfId="0" applyFont="true" applyFill="true" applyBorder="true" applyAlignment="true">
      <alignment horizontal="center"/>
    </xf>
    <xf numFmtId="0" fontId="65" fillId="10" borderId="12" xfId="0" applyFont="true" applyFill="true" applyBorder="true" applyAlignment="true">
      <alignment horizontal="center"/>
    </xf>
    <xf numFmtId="0" fontId="17" fillId="10" borderId="37" xfId="0" applyFont="true" applyFill="true" applyBorder="true" applyAlignment="true">
      <alignment horizontal="center"/>
    </xf>
    <xf numFmtId="0" fontId="65" fillId="10" borderId="5" xfId="0" applyFont="true" applyFill="true" applyBorder="true" applyAlignment="true">
      <alignment horizontal="center" vertical="center"/>
    </xf>
    <xf numFmtId="0" fontId="65" fillId="10" borderId="3" xfId="0" applyFont="true" applyFill="true" applyBorder="true" applyAlignment="true">
      <alignment horizontal="center" vertical="center" wrapText="true"/>
    </xf>
    <xf numFmtId="0" fontId="114" fillId="10" borderId="11" xfId="1" applyFont="true" applyFill="true" applyBorder="true" applyAlignment="true">
      <alignment horizontal="center" vertical="center"/>
    </xf>
    <xf numFmtId="0" fontId="65" fillId="10" borderId="7" xfId="0" applyFont="true" applyFill="true" applyBorder="true" applyAlignment="true">
      <alignment horizontal="center" vertical="center"/>
    </xf>
    <xf numFmtId="0" fontId="65" fillId="10" borderId="8" xfId="0" applyFont="true" applyFill="true" applyBorder="true" applyAlignment="true">
      <alignment horizontal="center" vertical="center" wrapText="true"/>
    </xf>
    <xf numFmtId="43" fontId="17" fillId="10" borderId="10" xfId="0" applyNumberFormat="true" applyFont="true" applyFill="true" applyBorder="true" applyAlignment="true">
      <alignment horizontal="center"/>
    </xf>
    <xf numFmtId="0" fontId="17" fillId="10" borderId="50" xfId="0" applyFont="true" applyFill="true" applyBorder="true" applyAlignment="true">
      <alignment horizontal="center"/>
    </xf>
    <xf numFmtId="0" fontId="65" fillId="10" borderId="5" xfId="0" applyFont="true" applyFill="true" applyBorder="true" applyAlignment="true">
      <alignment horizontal="left" vertical="center"/>
    </xf>
    <xf numFmtId="0" fontId="65" fillId="10" borderId="11" xfId="0" applyFont="true" applyFill="true" applyBorder="true" applyAlignment="true">
      <alignment horizontal="center" vertical="center" wrapText="true"/>
    </xf>
    <xf numFmtId="0" fontId="65" fillId="10" borderId="7" xfId="0" applyFont="true" applyFill="true" applyBorder="true" applyAlignment="true">
      <alignment horizontal="left" vertical="center"/>
    </xf>
    <xf numFmtId="0" fontId="65" fillId="10" borderId="12" xfId="0" applyFont="true" applyFill="true" applyBorder="true" applyAlignment="true">
      <alignment horizontal="center" vertical="center" wrapText="true"/>
    </xf>
    <xf numFmtId="0" fontId="65" fillId="10" borderId="4" xfId="0" applyFont="true" applyFill="true" applyBorder="true" applyAlignment="true">
      <alignment horizontal="center" vertical="center"/>
    </xf>
    <xf numFmtId="0" fontId="65" fillId="10" borderId="46" xfId="0" applyFont="true" applyFill="true" applyBorder="true" applyAlignment="true">
      <alignment horizontal="center" vertical="center" wrapText="true"/>
    </xf>
    <xf numFmtId="0" fontId="102" fillId="10" borderId="47" xfId="0" applyFont="true" applyFill="true" applyBorder="true" applyAlignment="true">
      <alignment horizontal="center" vertical="center"/>
    </xf>
    <xf numFmtId="0" fontId="65" fillId="10" borderId="26" xfId="0" applyFont="true" applyFill="true" applyBorder="true" applyAlignment="true">
      <alignment horizontal="center" vertical="center"/>
    </xf>
    <xf numFmtId="0" fontId="65" fillId="10" borderId="37" xfId="0" applyFont="true" applyFill="true" applyBorder="true" applyAlignment="true">
      <alignment horizontal="center" vertical="center"/>
    </xf>
    <xf numFmtId="0" fontId="102" fillId="3" borderId="3" xfId="0" applyFont="true" applyFill="true" applyBorder="true" applyAlignment="true" applyProtection="true">
      <alignment horizontal="center" vertical="center"/>
      <protection locked="false"/>
    </xf>
    <xf numFmtId="0" fontId="45" fillId="3" borderId="3" xfId="1" applyFont="true" applyFill="true" applyBorder="true"/>
    <xf numFmtId="1" fontId="45" fillId="3" borderId="3" xfId="1" applyNumberFormat="true" applyFont="true" applyFill="true" applyBorder="true"/>
    <xf numFmtId="0" fontId="45" fillId="3" borderId="8" xfId="1" applyFont="true" applyFill="true" applyBorder="true"/>
    <xf numFmtId="1" fontId="45" fillId="3" borderId="8" xfId="1" applyNumberFormat="true" applyFont="true" applyFill="true" applyBorder="true"/>
    <xf numFmtId="165" fontId="17" fillId="10" borderId="3" xfId="0" applyNumberFormat="true" applyFont="true" applyFill="true" applyBorder="true"/>
    <xf numFmtId="164" fontId="45" fillId="10" borderId="3" xfId="1" applyNumberFormat="true" applyFont="true" applyFill="true" applyBorder="true"/>
    <xf numFmtId="10" fontId="45" fillId="10" borderId="3" xfId="1" applyNumberFormat="true" applyFont="true" applyFill="true" applyBorder="true"/>
    <xf numFmtId="165" fontId="0" fillId="10" borderId="3" xfId="0" applyNumberFormat="true" applyFill="true" applyBorder="true" applyAlignment="true">
      <alignment horizontal="right" vertical="center"/>
    </xf>
    <xf numFmtId="165" fontId="0" fillId="10" borderId="3" xfId="0" applyNumberFormat="true" applyFill="true" applyBorder="true"/>
    <xf numFmtId="165" fontId="45" fillId="10" borderId="11" xfId="1" applyNumberFormat="true" applyFont="true" applyFill="true" applyBorder="true"/>
    <xf numFmtId="10" fontId="45" fillId="10" borderId="11" xfId="1" applyNumberFormat="true" applyFont="true" applyFill="true" applyBorder="true"/>
    <xf numFmtId="10" fontId="45" fillId="10" borderId="10" xfId="1" applyNumberFormat="true" applyFont="true" applyFill="true" applyBorder="true"/>
    <xf numFmtId="165" fontId="45" fillId="10" borderId="6" xfId="1" applyNumberFormat="true" applyFont="true" applyFill="true" applyBorder="true"/>
    <xf numFmtId="0" fontId="45" fillId="0" borderId="40" xfId="1" applyFont="true" applyBorder="true"/>
    <xf numFmtId="0" fontId="45" fillId="3" borderId="40" xfId="1" applyFont="true" applyFill="true" applyBorder="true"/>
    <xf numFmtId="11" fontId="45" fillId="3" borderId="3" xfId="1" applyNumberFormat="true" applyFont="true" applyFill="true" applyBorder="true"/>
    <xf numFmtId="0" fontId="45" fillId="3" borderId="12" xfId="1" applyFont="true" applyFill="true" applyBorder="true"/>
    <xf numFmtId="0" fontId="14" fillId="3" borderId="4" xfId="0" applyFont="true" applyFill="true" applyBorder="true" applyAlignment="true">
      <alignment vertical="center"/>
    </xf>
    <xf numFmtId="0" fontId="45" fillId="10" borderId="11" xfId="1" applyFont="true" applyFill="true" applyBorder="true" applyAlignment="true">
      <alignment vertical="center"/>
    </xf>
    <xf numFmtId="0" fontId="45" fillId="10" borderId="12" xfId="1" applyFont="true" applyFill="true" applyBorder="true" applyAlignment="true">
      <alignment vertical="center"/>
    </xf>
    <xf numFmtId="0" fontId="17" fillId="10" borderId="3" xfId="1" applyFont="true" applyFill="true" applyBorder="true" applyAlignment="true">
      <alignment horizontal="center" vertical="center"/>
    </xf>
    <xf numFmtId="1" fontId="45" fillId="10" borderId="3" xfId="1" applyNumberFormat="true" applyFont="true" applyFill="true" applyBorder="true"/>
    <xf numFmtId="0" fontId="45" fillId="10" borderId="7" xfId="1" applyFont="true" applyFill="true" applyBorder="true"/>
    <xf numFmtId="1" fontId="45" fillId="10" borderId="8" xfId="1" applyNumberFormat="true" applyFont="true" applyFill="true" applyBorder="true"/>
    <xf numFmtId="0" fontId="45" fillId="10" borderId="12" xfId="1" applyFont="true" applyFill="true" applyBorder="true"/>
    <xf numFmtId="0" fontId="45" fillId="10" borderId="55" xfId="1" applyFont="true" applyFill="true" applyBorder="true"/>
    <xf numFmtId="0" fontId="45" fillId="10" borderId="23" xfId="1" applyFont="true" applyFill="true" applyBorder="true"/>
    <xf numFmtId="0" fontId="45" fillId="10" borderId="11" xfId="1" applyFont="true" applyFill="true" applyBorder="true" applyAlignment="true">
      <alignment horizontal="center"/>
    </xf>
    <xf numFmtId="0" fontId="45" fillId="10" borderId="12" xfId="1" applyFont="true" applyFill="true" applyBorder="true" applyAlignment="true">
      <alignment horizontal="center"/>
    </xf>
    <xf numFmtId="0" fontId="45" fillId="10" borderId="56" xfId="1" applyFont="true" applyFill="true" applyBorder="true"/>
    <xf numFmtId="1" fontId="45" fillId="10" borderId="57" xfId="1" applyNumberFormat="true" applyFont="true" applyFill="true" applyBorder="true"/>
    <xf numFmtId="49" fontId="17" fillId="10" borderId="3" xfId="1" applyNumberFormat="true" applyFont="true" applyFill="true" applyBorder="true"/>
    <xf numFmtId="49" fontId="17" fillId="10" borderId="8" xfId="1" applyNumberFormat="true" applyFont="true" applyFill="true" applyBorder="true"/>
    <xf numFmtId="0" fontId="45" fillId="3" borderId="10" xfId="1" applyFont="true" applyFill="true" applyBorder="true" applyAlignment="true">
      <alignment horizontal="center" vertical="center"/>
    </xf>
    <xf numFmtId="0" fontId="17" fillId="3" borderId="12" xfId="0" applyFont="true" applyFill="true" applyBorder="true" applyAlignment="true">
      <alignment horizontal="center" wrapText="true"/>
    </xf>
    <xf numFmtId="0" fontId="45" fillId="0" borderId="11" xfId="1" applyFont="true" applyBorder="true" applyAlignment="true">
      <alignment horizontal="right" vertical="center"/>
    </xf>
    <xf numFmtId="0" fontId="45" fillId="0" borderId="30" xfId="1" applyFont="true" applyBorder="true" applyAlignment="true">
      <alignment horizontal="right" vertical="center"/>
    </xf>
    <xf numFmtId="0" fontId="45" fillId="0" borderId="5" xfId="1" applyFont="true" applyBorder="true" applyAlignment="true">
      <alignment horizontal="right"/>
    </xf>
    <xf numFmtId="0" fontId="45" fillId="0" borderId="3" xfId="1" applyFont="true" applyBorder="true" applyAlignment="true">
      <alignment horizontal="right"/>
    </xf>
    <xf numFmtId="0" fontId="45" fillId="0" borderId="11" xfId="1" applyFont="true" applyBorder="true" applyAlignment="true">
      <alignment horizontal="right"/>
    </xf>
    <xf numFmtId="0" fontId="162" fillId="0" borderId="2" xfId="1" applyFont="true" applyBorder="true" applyAlignment="true">
      <alignment horizontal="right"/>
    </xf>
    <xf numFmtId="0" fontId="162" fillId="0" borderId="10" xfId="1" applyFont="true" applyBorder="true" applyAlignment="true">
      <alignment horizontal="right"/>
    </xf>
    <xf numFmtId="0" fontId="45" fillId="0" borderId="54" xfId="1" applyFont="true" applyBorder="true"/>
    <xf numFmtId="0" fontId="45" fillId="0" borderId="8" xfId="1" applyFont="true" applyBorder="true"/>
    <xf numFmtId="0" fontId="45" fillId="0" borderId="48" xfId="1" applyFont="true" applyBorder="true"/>
    <xf numFmtId="49" fontId="17" fillId="0" borderId="5" xfId="1" applyNumberFormat="true" applyFont="true" applyBorder="true"/>
    <xf numFmtId="0" fontId="17" fillId="0" borderId="3" xfId="1" applyFont="true" applyBorder="true" applyAlignment="true">
      <alignment horizontal="center" vertical="center"/>
    </xf>
    <xf numFmtId="0" fontId="17" fillId="0" borderId="11" xfId="1" applyFont="true" applyBorder="true" applyAlignment="true">
      <alignment horizontal="center" vertical="center"/>
    </xf>
    <xf numFmtId="0" fontId="17" fillId="0" borderId="3" xfId="1" quotePrefix="true" applyFont="true" applyBorder="true" applyAlignment="true">
      <alignment horizontal="center" vertical="center"/>
    </xf>
    <xf numFmtId="0" fontId="17" fillId="0" borderId="30" xfId="1" quotePrefix="true" applyFont="true" applyBorder="true" applyAlignment="true">
      <alignment horizontal="center" vertical="center"/>
    </xf>
    <xf numFmtId="0" fontId="17" fillId="0" borderId="3" xfId="0" applyFont="true" applyBorder="true" applyAlignment="true">
      <alignment horizontal="center" vertical="center" wrapText="true"/>
    </xf>
    <xf numFmtId="0" fontId="17" fillId="0" borderId="16" xfId="1" applyFont="true" applyBorder="true" applyAlignment="true">
      <alignment horizontal="center" vertical="center"/>
    </xf>
    <xf numFmtId="165" fontId="17" fillId="0" borderId="3" xfId="0" applyNumberFormat="true" applyFont="true" applyBorder="true" applyAlignment="true">
      <alignment horizontal="center" vertical="center"/>
    </xf>
    <xf numFmtId="0" fontId="17" fillId="0" borderId="3" xfId="0" applyFont="true" applyBorder="true" applyAlignment="true">
      <alignment horizontal="center" vertical="center"/>
    </xf>
    <xf numFmtId="0" fontId="17" fillId="0" borderId="63" xfId="1" applyFont="true" applyBorder="true" applyAlignment="true">
      <alignment horizontal="center" vertical="center"/>
    </xf>
    <xf numFmtId="0" fontId="45" fillId="0" borderId="53" xfId="1" applyFont="true" applyBorder="true"/>
    <xf numFmtId="49" fontId="17" fillId="0" borderId="7" xfId="1" applyNumberFormat="true" applyFont="true" applyBorder="true"/>
    <xf numFmtId="0" fontId="17" fillId="0" borderId="8" xfId="1" applyFont="true" applyBorder="true" applyAlignment="true">
      <alignment horizontal="center" vertical="center"/>
    </xf>
    <xf numFmtId="0" fontId="17" fillId="0" borderId="12" xfId="1" applyFont="true" applyBorder="true" applyAlignment="true">
      <alignment horizontal="center" vertical="center"/>
    </xf>
    <xf numFmtId="0" fontId="17" fillId="0" borderId="8" xfId="1" quotePrefix="true" applyFont="true" applyBorder="true" applyAlignment="true">
      <alignment horizontal="center" vertical="center"/>
    </xf>
    <xf numFmtId="0" fontId="17" fillId="0" borderId="41" xfId="1" quotePrefix="true" applyFont="true" applyBorder="true" applyAlignment="true">
      <alignment horizontal="center" vertical="center"/>
    </xf>
    <xf numFmtId="0" fontId="17" fillId="0" borderId="8" xfId="0" applyFont="true" applyBorder="true" applyAlignment="true">
      <alignment horizontal="center" vertical="center" wrapText="true"/>
    </xf>
    <xf numFmtId="0" fontId="17" fillId="0" borderId="17" xfId="1" applyFont="true" applyBorder="true" applyAlignment="true">
      <alignment horizontal="center" vertical="center"/>
    </xf>
    <xf numFmtId="165" fontId="17" fillId="0" borderId="8" xfId="0" applyNumberFormat="true" applyFont="true" applyBorder="true" applyAlignment="true">
      <alignment horizontal="center" vertical="center"/>
    </xf>
    <xf numFmtId="0" fontId="17" fillId="0" borderId="64" xfId="1" applyFont="true" applyBorder="true" applyAlignment="true">
      <alignment horizontal="center" vertical="center"/>
    </xf>
    <xf numFmtId="0" fontId="80" fillId="10" borderId="3" xfId="1" applyFont="true" applyFill="true" applyBorder="true" applyAlignment="true">
      <alignment horizontal="left"/>
    </xf>
    <xf numFmtId="0" fontId="58" fillId="10" borderId="3" xfId="0" applyFont="true" applyFill="true" applyBorder="true" applyAlignment="true">
      <alignment horizontal="center"/>
    </xf>
    <xf numFmtId="0" fontId="80" fillId="10" borderId="3" xfId="1" applyFont="true" applyFill="true" applyBorder="true" applyAlignment="true">
      <alignment horizontal="center" vertical="center"/>
    </xf>
    <xf numFmtId="0" fontId="80" fillId="10" borderId="8" xfId="1" applyFont="true" applyFill="true" applyBorder="true" applyAlignment="true">
      <alignment horizontal="left"/>
    </xf>
    <xf numFmtId="0" fontId="58" fillId="10" borderId="8" xfId="0" applyFont="true" applyFill="true" applyBorder="true" applyAlignment="true">
      <alignment horizontal="center"/>
    </xf>
    <xf numFmtId="0" fontId="80" fillId="10" borderId="8" xfId="1" applyFont="true" applyFill="true" applyBorder="true" applyAlignment="true">
      <alignment horizontal="center" vertical="center"/>
    </xf>
    <xf numFmtId="0" fontId="58" fillId="10" borderId="56" xfId="0" applyFont="true" applyFill="true" applyBorder="true" applyAlignment="true">
      <alignment horizontal="center" vertical="center"/>
    </xf>
    <xf numFmtId="0" fontId="33" fillId="10" borderId="46" xfId="0" applyFont="true" applyFill="true" applyBorder="true"/>
    <xf numFmtId="0" fontId="33" fillId="10" borderId="47" xfId="0" applyFont="true" applyFill="true" applyBorder="true"/>
    <xf numFmtId="0" fontId="45" fillId="10" borderId="10" xfId="1" applyFont="true" applyFill="true" applyBorder="true" applyAlignment="true">
      <alignment horizontal="center" vertical="center"/>
    </xf>
    <xf numFmtId="0" fontId="17" fillId="10" borderId="18" xfId="0" applyFont="true" applyFill="true" applyBorder="true" applyAlignment="true">
      <alignment horizontal="center" vertical="center"/>
    </xf>
    <xf numFmtId="0" fontId="17" fillId="10" borderId="21" xfId="0" applyFont="true" applyFill="true" applyBorder="true" applyAlignment="true">
      <alignment horizontal="center" vertical="center"/>
    </xf>
    <xf numFmtId="0" fontId="18" fillId="2" borderId="8" xfId="0" applyFont="true" applyFill="true" applyBorder="true" applyAlignment="true">
      <alignment horizontal="center" vertical="center"/>
    </xf>
    <xf numFmtId="0" fontId="0" fillId="2" borderId="0" xfId="0" applyFill="true"/>
    <xf numFmtId="0" fontId="17" fillId="10" borderId="11" xfId="0" applyFont="true" applyFill="true" applyBorder="true" applyAlignment="true">
      <alignment horizontal="left"/>
    </xf>
    <xf numFmtId="0" fontId="17" fillId="10" borderId="12" xfId="0" applyFont="true" applyFill="true" applyBorder="true" applyAlignment="true">
      <alignment horizontal="left"/>
    </xf>
    <xf numFmtId="0" fontId="17" fillId="10" borderId="27" xfId="0" applyFont="true" applyFill="true" applyBorder="true" applyAlignment="true">
      <alignment horizontal="center" vertical="center"/>
    </xf>
    <xf numFmtId="0" fontId="17" fillId="10" borderId="37" xfId="0" applyFont="true" applyFill="true" applyBorder="true" applyAlignment="true">
      <alignment horizontal="center" vertical="center"/>
    </xf>
    <xf numFmtId="0" fontId="36" fillId="10" borderId="18" xfId="0" applyFont="true" applyFill="true" applyBorder="true" applyAlignment="true">
      <alignment horizontal="center" vertical="center"/>
    </xf>
    <xf numFmtId="0" fontId="36" fillId="10" borderId="21" xfId="0" applyFont="true" applyFill="true" applyBorder="true" applyAlignment="true">
      <alignment horizontal="center" vertical="center"/>
    </xf>
    <xf numFmtId="10" fontId="0" fillId="3" borderId="2" xfId="0" applyNumberFormat="true" applyFill="true" applyBorder="true"/>
    <xf numFmtId="0" fontId="25" fillId="7" borderId="2" xfId="0" applyFont="true" applyFill="true" applyBorder="true"/>
    <xf numFmtId="0" fontId="0" fillId="4" borderId="2" xfId="0" applyFill="true" applyBorder="true"/>
    <xf numFmtId="10" fontId="0" fillId="3" borderId="10" xfId="0" applyNumberFormat="true" applyFill="true" applyBorder="true"/>
    <xf numFmtId="0" fontId="0" fillId="3" borderId="8" xfId="0" applyFill="true" applyBorder="true" applyAlignment="true">
      <alignment horizontal="right" vertical="center"/>
    </xf>
    <xf numFmtId="10" fontId="0" fillId="3" borderId="8" xfId="0" applyNumberFormat="true" applyFill="true" applyBorder="true" applyAlignment="true">
      <alignment horizontal="right" vertical="center"/>
    </xf>
    <xf numFmtId="0" fontId="0" fillId="7" borderId="8" xfId="0" applyFill="true" applyBorder="true" applyAlignment="true">
      <alignment horizontal="right" vertical="center"/>
    </xf>
    <xf numFmtId="10" fontId="0" fillId="3" borderId="2" xfId="0" applyNumberFormat="true" applyFill="true" applyBorder="true" applyAlignment="true">
      <alignment horizontal="right" vertical="center"/>
    </xf>
    <xf numFmtId="0" fontId="0" fillId="4" borderId="8" xfId="0" applyFill="true" applyBorder="true" applyAlignment="true">
      <alignment horizontal="right" vertical="center"/>
    </xf>
    <xf numFmtId="10" fontId="0" fillId="3" borderId="10" xfId="0" applyNumberFormat="true" applyFill="true" applyBorder="true" applyAlignment="true">
      <alignment horizontal="right" vertical="center"/>
    </xf>
    <xf numFmtId="10" fontId="0" fillId="3" borderId="3" xfId="0" applyNumberFormat="true" applyFill="true" applyBorder="true"/>
    <xf numFmtId="0" fontId="25" fillId="7" borderId="3" xfId="0" applyFont="true" applyFill="true" applyBorder="true"/>
    <xf numFmtId="0" fontId="0" fillId="4" borderId="3" xfId="0" applyFill="true" applyBorder="true"/>
    <xf numFmtId="171" fontId="0" fillId="3" borderId="21" xfId="0" applyNumberFormat="true" applyFill="true" applyBorder="true"/>
    <xf numFmtId="0" fontId="17" fillId="10" borderId="8" xfId="4" applyFont="true" applyFill="true" applyBorder="true" applyProtection="true"/>
    <xf numFmtId="167" fontId="0" fillId="3" borderId="11" xfId="0" applyNumberFormat="true" applyFill="true" applyBorder="true"/>
    <xf numFmtId="0" fontId="45" fillId="10" borderId="16" xfId="1" applyFont="true" applyFill="true" applyBorder="true" applyAlignment="true">
      <alignment horizontal="center" vertical="center"/>
    </xf>
    <xf numFmtId="171" fontId="0" fillId="3" borderId="12" xfId="0" applyNumberFormat="true" applyFill="true" applyBorder="true"/>
    <xf numFmtId="0" fontId="18" fillId="10" borderId="11" xfId="0" applyFont="true" applyFill="true" applyBorder="true" applyAlignment="true">
      <alignment horizontal="right" vertical="center" wrapText="true"/>
    </xf>
    <xf numFmtId="0" fontId="45" fillId="10" borderId="17" xfId="1" applyFont="true" applyFill="true" applyBorder="true" applyAlignment="true">
      <alignment horizontal="center" vertical="center"/>
    </xf>
    <xf numFmtId="0" fontId="129" fillId="10" borderId="8" xfId="4" applyFont="true" applyFill="true" applyBorder="true" applyProtection="true"/>
    <xf numFmtId="0" fontId="130" fillId="10" borderId="12" xfId="5" applyFont="true" applyFill="true" applyBorder="true" applyProtection="true"/>
    <xf numFmtId="0" fontId="25" fillId="7" borderId="18" xfId="0" applyFont="true" applyFill="true" applyBorder="true"/>
    <xf numFmtId="0" fontId="0" fillId="4" borderId="18" xfId="0" applyFill="true" applyBorder="true"/>
    <xf numFmtId="10" fontId="0" fillId="3" borderId="11" xfId="0" applyNumberFormat="true" applyFill="true" applyBorder="true"/>
    <xf numFmtId="0" fontId="25" fillId="4" borderId="3" xfId="0" applyFont="true" applyFill="true" applyBorder="true"/>
    <xf numFmtId="0" fontId="18" fillId="10" borderId="5" xfId="0" applyFont="true" applyFill="true" applyBorder="true" applyAlignment="true">
      <alignment horizontal="center"/>
    </xf>
    <xf numFmtId="10" fontId="0" fillId="3" borderId="8" xfId="0" applyNumberFormat="true" applyFill="true" applyBorder="true"/>
    <xf numFmtId="0" fontId="25" fillId="7" borderId="8" xfId="0" applyFont="true" applyFill="true" applyBorder="true"/>
    <xf numFmtId="0" fontId="25" fillId="4" borderId="8" xfId="0" applyFont="true" applyFill="true" applyBorder="true"/>
    <xf numFmtId="171" fontId="0" fillId="3" borderId="43" xfId="0" applyNumberFormat="true" applyFill="true" applyBorder="true"/>
    <xf numFmtId="0" fontId="18" fillId="10" borderId="7" xfId="0" applyFont="true" applyFill="true" applyBorder="true" applyAlignment="true">
      <alignment horizontal="center"/>
    </xf>
    <xf numFmtId="0" fontId="17" fillId="10" borderId="10" xfId="0" applyFont="true" applyFill="true" applyBorder="true" applyAlignment="true">
      <alignment horizontal="center"/>
    </xf>
    <xf numFmtId="171" fontId="0" fillId="3" borderId="41" xfId="0" applyNumberFormat="true" applyFill="true" applyBorder="true"/>
    <xf numFmtId="11" fontId="17" fillId="10" borderId="11" xfId="0" applyNumberFormat="true" applyFont="true" applyFill="true" applyBorder="true"/>
    <xf numFmtId="0" fontId="0" fillId="10" borderId="10" xfId="0" applyFill="true" applyBorder="true"/>
    <xf numFmtId="11" fontId="45" fillId="10" borderId="8" xfId="1" applyNumberFormat="true" applyFont="true" applyFill="true" applyBorder="true" applyAlignment="true">
      <alignment horizontal="center" vertical="center"/>
    </xf>
    <xf numFmtId="11" fontId="17" fillId="10" borderId="10" xfId="0" applyNumberFormat="true" applyFont="true" applyFill="true" applyBorder="true"/>
    <xf numFmtId="0" fontId="17" fillId="10" borderId="49" xfId="0" applyFont="true" applyFill="true" applyBorder="true"/>
    <xf numFmtId="11" fontId="17" fillId="10" borderId="30" xfId="0" applyNumberFormat="true" applyFont="true" applyFill="true" applyBorder="true"/>
    <xf numFmtId="11" fontId="17" fillId="10" borderId="41" xfId="0" applyNumberFormat="true" applyFont="true" applyFill="true" applyBorder="true"/>
    <xf numFmtId="11" fontId="17" fillId="10" borderId="56" xfId="0" applyNumberFormat="true" applyFont="true" applyFill="true" applyBorder="true"/>
    <xf numFmtId="11" fontId="17" fillId="10" borderId="57" xfId="0" applyNumberFormat="true" applyFont="true" applyFill="true" applyBorder="true"/>
    <xf numFmtId="11" fontId="17" fillId="10" borderId="3" xfId="0" applyNumberFormat="true" applyFont="true" applyFill="true" applyBorder="true"/>
    <xf numFmtId="11" fontId="17" fillId="10" borderId="8" xfId="0" applyNumberFormat="true" applyFont="true" applyFill="true" applyBorder="true"/>
    <xf numFmtId="0" fontId="17" fillId="10" borderId="12" xfId="0" applyFont="true" applyFill="true" applyBorder="true" applyAlignment="true">
      <alignment wrapText="true"/>
    </xf>
    <xf numFmtId="0" fontId="17" fillId="10" borderId="7" xfId="0" applyFont="true" applyFill="true" applyBorder="true" applyAlignment="true">
      <alignment horizontal="center"/>
    </xf>
    <xf numFmtId="0" fontId="17" fillId="10" borderId="18" xfId="0" applyFont="true" applyFill="true" applyBorder="true"/>
    <xf numFmtId="0" fontId="17" fillId="10" borderId="21" xfId="0" applyFont="true" applyFill="true" applyBorder="true"/>
    <xf numFmtId="168" fontId="17" fillId="10" borderId="3" xfId="0" applyNumberFormat="true" applyFont="true" applyFill="true" applyBorder="true"/>
    <xf numFmtId="10" fontId="17" fillId="10" borderId="3" xfId="0" applyNumberFormat="true" applyFont="true" applyFill="true" applyBorder="true"/>
    <xf numFmtId="0" fontId="45" fillId="0" borderId="0" xfId="1" applyFont="true" applyProtection="true">
      <protection locked="false"/>
    </xf>
    <xf numFmtId="0" fontId="17" fillId="0" borderId="48" xfId="0" applyFont="true" applyBorder="true" applyAlignment="true" applyProtection="true">
      <alignment horizontal="left" vertical="center"/>
      <protection locked="false"/>
    </xf>
    <xf numFmtId="0" fontId="17" fillId="0" borderId="31" xfId="0" applyFont="true" applyBorder="true" applyAlignment="true" applyProtection="true">
      <alignment horizontal="left" vertical="center"/>
      <protection locked="false"/>
    </xf>
    <xf numFmtId="0" fontId="17" fillId="0" borderId="63" xfId="0" applyFont="true" applyBorder="true" applyAlignment="true" applyProtection="true">
      <alignment horizontal="left" vertical="center"/>
      <protection locked="false"/>
    </xf>
    <xf numFmtId="0" fontId="0" fillId="0" borderId="31" xfId="0" applyBorder="true" applyProtection="true">
      <protection locked="false"/>
    </xf>
    <xf numFmtId="0" fontId="0" fillId="0" borderId="63" xfId="0" applyBorder="true" applyProtection="true">
      <protection locked="false"/>
    </xf>
    <xf numFmtId="0" fontId="45" fillId="0" borderId="48" xfId="1" applyFont="true" applyBorder="true" applyAlignment="true" applyProtection="true">
      <alignment horizontal="left" vertical="center"/>
      <protection locked="false"/>
    </xf>
    <xf numFmtId="0" fontId="45" fillId="0" borderId="31" xfId="1" applyFont="true" applyBorder="true" applyAlignment="true" applyProtection="true">
      <alignment horizontal="left" vertical="center"/>
      <protection locked="false"/>
    </xf>
    <xf numFmtId="0" fontId="45" fillId="0" borderId="63" xfId="1" applyFont="true" applyBorder="true" applyAlignment="true" applyProtection="true">
      <alignment horizontal="left" vertical="center"/>
      <protection locked="false"/>
    </xf>
    <xf numFmtId="0" fontId="3" fillId="0" borderId="3" xfId="1" applyFont="true" applyBorder="true" applyAlignment="true" applyProtection="true">
      <alignment horizontal="right" vertical="center"/>
      <protection locked="false"/>
    </xf>
    <xf numFmtId="0" fontId="3" fillId="0" borderId="47" xfId="1" applyFont="true" applyBorder="true" applyProtection="true">
      <protection locked="false"/>
    </xf>
    <xf numFmtId="0" fontId="2" fillId="0" borderId="3" xfId="1" applyFont="true" applyBorder="true" applyAlignment="true" applyProtection="true">
      <alignment horizontal="right" vertical="center"/>
      <protection locked="false"/>
    </xf>
    <xf numFmtId="0" fontId="45" fillId="3" borderId="83" xfId="1" applyFont="true" applyFill="true" applyBorder="true" applyAlignment="true">
      <alignment horizontal="center" vertical="center"/>
    </xf>
    <xf numFmtId="0" fontId="45" fillId="3" borderId="24" xfId="1" applyFont="true" applyFill="true" applyBorder="true" applyAlignment="true">
      <alignment horizontal="center" vertical="center"/>
    </xf>
    <xf numFmtId="0" fontId="45" fillId="3" borderId="84" xfId="1" applyFont="true" applyFill="true" applyBorder="true" applyAlignment="true">
      <alignment horizontal="center"/>
    </xf>
    <xf numFmtId="0" fontId="45" fillId="3" borderId="86" xfId="1" applyFont="true" applyFill="true" applyBorder="true" applyAlignment="true">
      <alignment horizontal="center"/>
    </xf>
    <xf numFmtId="0" fontId="45" fillId="3" borderId="89" xfId="1" applyFont="true" applyFill="true" applyBorder="true" applyAlignment="true">
      <alignment horizontal="center"/>
    </xf>
    <xf numFmtId="0" fontId="45" fillId="3" borderId="95" xfId="1" applyFont="true" applyFill="true" applyBorder="true" applyAlignment="true">
      <alignment horizontal="center"/>
    </xf>
    <xf numFmtId="0" fontId="45" fillId="0" borderId="48" xfId="1" applyFont="true" applyBorder="true" applyAlignment="true">
      <alignment horizontal="left" vertical="center"/>
    </xf>
    <xf numFmtId="0" fontId="45" fillId="0" borderId="31" xfId="1" applyFont="true" applyBorder="true" applyAlignment="true">
      <alignment horizontal="left" vertical="center"/>
    </xf>
    <xf numFmtId="0" fontId="45" fillId="0" borderId="63" xfId="1" applyFont="true" applyBorder="true" applyAlignment="true">
      <alignment horizontal="left" vertical="center"/>
    </xf>
    <xf numFmtId="0" fontId="45" fillId="0" borderId="48" xfId="1" applyFont="true" applyBorder="true" applyAlignment="true" applyProtection="true">
      <alignment horizontal="left" vertical="center"/>
      <protection locked="false"/>
    </xf>
    <xf numFmtId="0" fontId="45" fillId="0" borderId="31" xfId="1" applyFont="true" applyBorder="true" applyAlignment="true" applyProtection="true">
      <alignment horizontal="left" vertical="center"/>
      <protection locked="false"/>
    </xf>
    <xf numFmtId="0" fontId="45" fillId="0" borderId="63" xfId="1" applyFont="true" applyBorder="true" applyAlignment="true" applyProtection="true">
      <alignment horizontal="left" vertical="center"/>
      <protection locked="false"/>
    </xf>
    <xf numFmtId="0" fontId="45" fillId="0" borderId="53" xfId="1" applyFont="true" applyBorder="true" applyAlignment="true">
      <alignment horizontal="left" vertical="center"/>
    </xf>
    <xf numFmtId="0" fontId="45" fillId="0" borderId="45" xfId="1" applyFont="true" applyBorder="true" applyAlignment="true">
      <alignment horizontal="left" vertical="center"/>
    </xf>
    <xf numFmtId="0" fontId="45" fillId="0" borderId="64" xfId="1" applyFont="true" applyBorder="true" applyAlignment="true">
      <alignment horizontal="left" vertical="center"/>
    </xf>
    <xf numFmtId="0" fontId="97" fillId="0" borderId="9" xfId="1" applyFont="true" applyBorder="true" applyAlignment="true">
      <alignment horizontal="center" vertical="center"/>
    </xf>
    <xf numFmtId="0" fontId="97" fillId="0" borderId="71" xfId="1" applyFont="true" applyBorder="true" applyAlignment="true">
      <alignment horizontal="center" vertical="center"/>
    </xf>
    <xf numFmtId="0" fontId="97" fillId="0" borderId="36" xfId="1" applyFont="true" applyBorder="true" applyAlignment="true">
      <alignment horizontal="center" vertical="center"/>
    </xf>
    <xf numFmtId="0" fontId="45" fillId="0" borderId="29" xfId="1" applyFont="true" applyBorder="true" applyAlignment="true">
      <alignment horizontal="center" vertical="center"/>
    </xf>
    <xf numFmtId="0" fontId="45" fillId="0" borderId="61" xfId="1" applyFont="true" applyBorder="true" applyAlignment="true">
      <alignment horizontal="center" vertical="center"/>
    </xf>
    <xf numFmtId="0" fontId="45" fillId="0" borderId="21" xfId="1" applyFont="true" applyBorder="true" applyAlignment="true">
      <alignment horizontal="center" vertical="center"/>
    </xf>
    <xf numFmtId="0" fontId="17" fillId="0" borderId="48" xfId="0" applyFont="true" applyBorder="true" applyAlignment="true" applyProtection="true">
      <alignment horizontal="left" vertical="center"/>
      <protection locked="false"/>
    </xf>
    <xf numFmtId="0" fontId="17" fillId="0" borderId="31" xfId="0" applyFont="true" applyBorder="true" applyAlignment="true" applyProtection="true">
      <alignment horizontal="left" vertical="center"/>
      <protection locked="false"/>
    </xf>
    <xf numFmtId="0" fontId="17" fillId="0" borderId="63" xfId="0" applyFont="true" applyBorder="true" applyAlignment="true" applyProtection="true">
      <alignment horizontal="left" vertical="center"/>
      <protection locked="false"/>
    </xf>
    <xf numFmtId="0" fontId="45" fillId="0" borderId="29" xfId="1" applyFont="true" applyBorder="true" applyAlignment="true">
      <alignment horizontal="center"/>
    </xf>
    <xf numFmtId="0" fontId="45" fillId="0" borderId="61" xfId="1" applyFont="true" applyBorder="true" applyAlignment="true">
      <alignment horizontal="center"/>
    </xf>
    <xf numFmtId="0" fontId="45" fillId="0" borderId="21" xfId="1" applyFont="true" applyBorder="true" applyAlignment="true">
      <alignment horizontal="center"/>
    </xf>
    <xf numFmtId="0" fontId="45" fillId="3" borderId="85" xfId="1" applyFont="true" applyFill="true" applyBorder="true" applyAlignment="true">
      <alignment horizontal="center"/>
    </xf>
    <xf numFmtId="0" fontId="45" fillId="3" borderId="0" xfId="1" applyFont="true" applyFill="true" applyAlignment="true">
      <alignment horizontal="center"/>
    </xf>
    <xf numFmtId="0" fontId="45" fillId="3" borderId="25" xfId="1" applyFont="true" applyFill="true" applyBorder="true" applyAlignment="true">
      <alignment horizontal="center"/>
    </xf>
    <xf numFmtId="0" fontId="45" fillId="3" borderId="87" xfId="1" applyFont="true" applyFill="true" applyBorder="true" applyAlignment="true">
      <alignment horizontal="center"/>
    </xf>
    <xf numFmtId="0" fontId="45" fillId="3" borderId="88" xfId="1" applyFont="true" applyFill="true" applyBorder="true" applyAlignment="true">
      <alignment horizontal="center"/>
    </xf>
    <xf numFmtId="0" fontId="45" fillId="3" borderId="66" xfId="1" applyFont="true" applyFill="true" applyBorder="true" applyAlignment="true">
      <alignment horizontal="center"/>
    </xf>
    <xf numFmtId="0" fontId="17" fillId="3" borderId="88" xfId="0" applyFont="true" applyFill="true" applyBorder="true" applyAlignment="true">
      <alignment horizontal="center" vertical="center"/>
    </xf>
    <xf numFmtId="0" fontId="17" fillId="3" borderId="89" xfId="0" applyFont="true" applyFill="true" applyBorder="true" applyAlignment="true">
      <alignment horizontal="center" vertical="center"/>
    </xf>
    <xf numFmtId="0" fontId="0" fillId="0" borderId="31" xfId="0" applyBorder="true"/>
    <xf numFmtId="0" fontId="0" fillId="0" borderId="63" xfId="0" applyBorder="true"/>
    <xf numFmtId="0" fontId="97" fillId="3" borderId="9" xfId="1" applyFont="true" applyFill="true" applyBorder="true" applyAlignment="true">
      <alignment horizontal="center" vertical="center"/>
    </xf>
    <xf numFmtId="0" fontId="97" fillId="3" borderId="71" xfId="1" applyFont="true" applyFill="true" applyBorder="true" applyAlignment="true">
      <alignment horizontal="center" vertical="center"/>
    </xf>
    <xf numFmtId="0" fontId="97" fillId="3" borderId="36" xfId="1" applyFont="true" applyFill="true" applyBorder="true" applyAlignment="true">
      <alignment horizontal="center" vertical="center"/>
    </xf>
    <xf numFmtId="0" fontId="96" fillId="2" borderId="2" xfId="1" applyFont="true" applyFill="true" applyBorder="true" applyAlignment="true">
      <alignment horizontal="left" vertical="center" wrapText="true"/>
    </xf>
    <xf numFmtId="0" fontId="96" fillId="2" borderId="3" xfId="1" applyFont="true" applyFill="true" applyBorder="true" applyAlignment="true">
      <alignment horizontal="left" vertical="center" wrapText="true"/>
    </xf>
    <xf numFmtId="0" fontId="114" fillId="8" borderId="2" xfId="1" applyFont="true" applyFill="true" applyBorder="true" applyAlignment="true">
      <alignment horizontal="left" vertical="center" wrapText="true"/>
    </xf>
    <xf numFmtId="0" fontId="114" fillId="8" borderId="3" xfId="1" applyFont="true" applyFill="true" applyBorder="true" applyAlignment="true">
      <alignment horizontal="left" vertical="center" wrapText="true"/>
    </xf>
    <xf numFmtId="0" fontId="114" fillId="8" borderId="10" xfId="1" applyFont="true" applyFill="true" applyBorder="true" applyAlignment="true">
      <alignment horizontal="left" vertical="center" wrapText="true"/>
    </xf>
    <xf numFmtId="0" fontId="114" fillId="8" borderId="11" xfId="1" applyFont="true" applyFill="true" applyBorder="true" applyAlignment="true">
      <alignment horizontal="left" vertical="center" wrapText="true"/>
    </xf>
    <xf numFmtId="0" fontId="17" fillId="0" borderId="5" xfId="0" applyFont="true" applyBorder="true" applyAlignment="true" applyProtection="true">
      <alignment horizontal="left" vertical="center"/>
      <protection locked="false"/>
    </xf>
    <xf numFmtId="0" fontId="17" fillId="0" borderId="3" xfId="0" applyFont="true" applyBorder="true" applyAlignment="true" applyProtection="true">
      <alignment horizontal="left" vertical="center"/>
      <protection locked="false"/>
    </xf>
    <xf numFmtId="0" fontId="17" fillId="0" borderId="11" xfId="0" applyFont="true" applyBorder="true" applyAlignment="true" applyProtection="true">
      <alignment horizontal="left" vertical="center"/>
      <protection locked="false"/>
    </xf>
    <xf numFmtId="0" fontId="65" fillId="0" borderId="2" xfId="1" applyFont="true" applyBorder="true" applyAlignment="true">
      <alignment horizontal="left" vertical="center" wrapText="true"/>
    </xf>
    <xf numFmtId="0" fontId="65" fillId="0" borderId="3" xfId="1" applyFont="true" applyBorder="true" applyAlignment="true">
      <alignment horizontal="left" vertical="center" wrapText="true"/>
    </xf>
    <xf numFmtId="1" fontId="65" fillId="0" borderId="2" xfId="0" applyNumberFormat="true" applyFont="true" applyBorder="true" applyAlignment="true">
      <alignment horizontal="left" vertical="center" wrapText="true"/>
    </xf>
    <xf numFmtId="1" fontId="65" fillId="0" borderId="3" xfId="0" applyNumberFormat="true" applyFont="true" applyBorder="true" applyAlignment="true">
      <alignment horizontal="left" vertical="center" wrapText="true"/>
    </xf>
    <xf numFmtId="0" fontId="114" fillId="2" borderId="22" xfId="1" applyFont="true" applyFill="true" applyBorder="true" applyAlignment="true">
      <alignment horizontal="left" vertical="center" wrapText="true"/>
    </xf>
    <xf numFmtId="0" fontId="114" fillId="2" borderId="16" xfId="1" applyFont="true" applyFill="true" applyBorder="true" applyAlignment="true">
      <alignment horizontal="left" vertical="center" wrapText="true"/>
    </xf>
    <xf numFmtId="0" fontId="114" fillId="2" borderId="2" xfId="1" applyFont="true" applyFill="true" applyBorder="true" applyAlignment="true">
      <alignment horizontal="left" vertical="center" wrapText="true"/>
    </xf>
    <xf numFmtId="0" fontId="114" fillId="2" borderId="3" xfId="1" applyFont="true" applyFill="true" applyBorder="true" applyAlignment="true">
      <alignment horizontal="left" vertical="center" wrapText="true"/>
    </xf>
    <xf numFmtId="0" fontId="65" fillId="2" borderId="2" xfId="1" applyFont="true" applyFill="true" applyBorder="true" applyAlignment="true">
      <alignment horizontal="left" vertical="center" wrapText="true"/>
    </xf>
    <xf numFmtId="0" fontId="65" fillId="2" borderId="2" xfId="0" applyFont="true" applyFill="true" applyBorder="true" applyAlignment="true">
      <alignment horizontal="center" vertical="center" wrapText="true"/>
    </xf>
    <xf numFmtId="0" fontId="65" fillId="2" borderId="3" xfId="0" applyFont="true" applyFill="true" applyBorder="true" applyAlignment="true">
      <alignment horizontal="center" vertical="center" wrapText="true"/>
    </xf>
    <xf numFmtId="0" fontId="144" fillId="3" borderId="83" xfId="1" applyFont="true" applyFill="true" applyBorder="true" applyAlignment="true">
      <alignment horizontal="left"/>
    </xf>
    <xf numFmtId="0" fontId="144" fillId="0" borderId="83" xfId="1" applyFont="true" applyBorder="true" applyAlignment="true">
      <alignment horizontal="left"/>
    </xf>
    <xf numFmtId="0" fontId="65" fillId="0" borderId="2" xfId="0" applyFont="true" applyBorder="true" applyAlignment="true">
      <alignment horizontal="left" vertical="center" wrapText="true"/>
    </xf>
    <xf numFmtId="0" fontId="65" fillId="0" borderId="3" xfId="0" applyFont="true" applyBorder="true" applyAlignment="true">
      <alignment horizontal="left" vertical="center" wrapText="true"/>
    </xf>
    <xf numFmtId="0" fontId="96" fillId="2" borderId="28" xfId="1" applyFont="true" applyFill="true" applyBorder="true" applyAlignment="true">
      <alignment horizontal="center" vertical="center"/>
    </xf>
    <xf numFmtId="0" fontId="96" fillId="2" borderId="18" xfId="1" applyFont="true" applyFill="true" applyBorder="true" applyAlignment="true">
      <alignment horizontal="center" vertical="center"/>
    </xf>
    <xf numFmtId="0" fontId="114" fillId="2" borderId="28" xfId="1" applyFont="true" applyFill="true" applyBorder="true" applyAlignment="true">
      <alignment horizontal="center" vertical="center" wrapText="true"/>
    </xf>
    <xf numFmtId="0" fontId="114" fillId="2" borderId="18" xfId="1" applyFont="true" applyFill="true" applyBorder="true" applyAlignment="true">
      <alignment horizontal="center" vertical="center" wrapText="true"/>
    </xf>
    <xf numFmtId="0" fontId="96" fillId="2" borderId="2" xfId="1" applyFont="true" applyFill="true" applyBorder="true" applyAlignment="true">
      <alignment horizontal="left" vertical="center"/>
    </xf>
    <xf numFmtId="0" fontId="96" fillId="2" borderId="3" xfId="1" applyFont="true" applyFill="true" applyBorder="true" applyAlignment="true">
      <alignment horizontal="left" vertical="center"/>
    </xf>
    <xf numFmtId="0" fontId="65" fillId="2" borderId="1" xfId="0" applyFont="true" applyFill="true" applyBorder="true" applyAlignment="true">
      <alignment horizontal="left" vertical="center" wrapText="true"/>
    </xf>
    <xf numFmtId="0" fontId="65" fillId="2" borderId="5" xfId="0" applyFont="true" applyFill="true" applyBorder="true" applyAlignment="true">
      <alignment horizontal="left" vertical="center" wrapText="true"/>
    </xf>
    <xf numFmtId="0" fontId="114" fillId="0" borderId="2" xfId="1" applyFont="true" applyBorder="true" applyAlignment="true">
      <alignment horizontal="center" vertical="center"/>
    </xf>
    <xf numFmtId="0" fontId="114" fillId="2" borderId="1" xfId="1" applyFont="true" applyFill="true" applyBorder="true" applyAlignment="true">
      <alignment horizontal="left" vertical="center" wrapText="true"/>
    </xf>
    <xf numFmtId="0" fontId="114" fillId="2" borderId="5" xfId="1" applyFont="true" applyFill="true" applyBorder="true" applyAlignment="true">
      <alignment horizontal="left" vertical="center" wrapText="true"/>
    </xf>
    <xf numFmtId="0" fontId="114" fillId="0" borderId="2" xfId="1" applyFont="true" applyBorder="true" applyAlignment="true">
      <alignment horizontal="left" vertical="center" wrapText="true"/>
    </xf>
    <xf numFmtId="0" fontId="114" fillId="0" borderId="3" xfId="1" applyFont="true" applyBorder="true" applyAlignment="true">
      <alignment horizontal="left" vertical="center" wrapText="true"/>
    </xf>
    <xf numFmtId="0" fontId="114" fillId="2" borderId="1" xfId="1" applyFont="true" applyFill="true" applyBorder="true" applyAlignment="true">
      <alignment horizontal="left" vertical="center"/>
    </xf>
    <xf numFmtId="0" fontId="114" fillId="2" borderId="5" xfId="1" applyFont="true" applyFill="true" applyBorder="true" applyAlignment="true">
      <alignment horizontal="left" vertical="center"/>
    </xf>
    <xf numFmtId="0" fontId="65" fillId="0" borderId="10" xfId="0" applyFont="true" applyBorder="true" applyAlignment="true">
      <alignment horizontal="left" vertical="center" wrapText="true"/>
    </xf>
    <xf numFmtId="0" fontId="65" fillId="0" borderId="11" xfId="0" applyFont="true" applyBorder="true" applyAlignment="true">
      <alignment horizontal="left" vertical="center" wrapText="true"/>
    </xf>
    <xf numFmtId="0" fontId="157" fillId="9" borderId="13" xfId="1" applyFont="true" applyFill="true" applyBorder="true" applyAlignment="true">
      <alignment horizontal="center" vertical="center"/>
    </xf>
    <xf numFmtId="0" fontId="157" fillId="9" borderId="19" xfId="1" applyFont="true" applyFill="true" applyBorder="true" applyAlignment="true">
      <alignment horizontal="center" vertical="center"/>
    </xf>
    <xf numFmtId="0" fontId="157" fillId="9" borderId="6" xfId="1" applyFont="true" applyFill="true" applyBorder="true" applyAlignment="true">
      <alignment horizontal="center" vertical="center"/>
    </xf>
    <xf numFmtId="0" fontId="157" fillId="0" borderId="44" xfId="1" applyFont="true" applyBorder="true" applyAlignment="true">
      <alignment horizontal="center"/>
    </xf>
    <xf numFmtId="0" fontId="157" fillId="0" borderId="28" xfId="1" applyFont="true" applyBorder="true" applyAlignment="true">
      <alignment horizontal="center"/>
    </xf>
    <xf numFmtId="0" fontId="157" fillId="0" borderId="29" xfId="1" applyFont="true" applyBorder="true" applyAlignment="true">
      <alignment horizontal="center"/>
    </xf>
    <xf numFmtId="0" fontId="114" fillId="2" borderId="2" xfId="1" applyFont="true" applyFill="true" applyBorder="true" applyAlignment="true">
      <alignment horizontal="left" vertical="center"/>
    </xf>
    <xf numFmtId="0" fontId="114" fillId="2" borderId="3" xfId="1" applyFont="true" applyFill="true" applyBorder="true" applyAlignment="true">
      <alignment horizontal="left" vertical="center"/>
    </xf>
    <xf numFmtId="0" fontId="114" fillId="8" borderId="1" xfId="1" applyFont="true" applyFill="true" applyBorder="true" applyAlignment="true">
      <alignment horizontal="left" vertical="center" wrapText="true"/>
    </xf>
    <xf numFmtId="0" fontId="114" fillId="8" borderId="54" xfId="1" applyFont="true" applyFill="true" applyBorder="true" applyAlignment="true">
      <alignment horizontal="left" vertical="center" wrapText="true"/>
    </xf>
    <xf numFmtId="1" fontId="65" fillId="2" borderId="2" xfId="0" applyNumberFormat="true" applyFont="true" applyFill="true" applyBorder="true" applyAlignment="true">
      <alignment horizontal="left" vertical="center" wrapText="true"/>
    </xf>
    <xf numFmtId="1" fontId="65" fillId="2" borderId="3" xfId="0" applyNumberFormat="true" applyFont="true" applyFill="true" applyBorder="true" applyAlignment="true">
      <alignment horizontal="left" vertical="center" wrapText="true"/>
    </xf>
    <xf numFmtId="0" fontId="114" fillId="8" borderId="22" xfId="1" applyFont="true" applyFill="true" applyBorder="true" applyAlignment="true">
      <alignment horizontal="left" vertical="center" wrapText="true"/>
    </xf>
    <xf numFmtId="0" fontId="114" fillId="8" borderId="16" xfId="1" applyFont="true" applyFill="true" applyBorder="true" applyAlignment="true">
      <alignment horizontal="left" vertical="center" wrapText="true"/>
    </xf>
    <xf numFmtId="0" fontId="114" fillId="2" borderId="29" xfId="1" applyFont="true" applyFill="true" applyBorder="true" applyAlignment="true">
      <alignment horizontal="center" vertical="center"/>
    </xf>
    <xf numFmtId="0" fontId="114" fillId="2" borderId="21" xfId="1" applyFont="true" applyFill="true" applyBorder="true" applyAlignment="true">
      <alignment horizontal="center" vertical="center"/>
    </xf>
    <xf numFmtId="0" fontId="65" fillId="2" borderId="2" xfId="0" applyFont="true" applyFill="true" applyBorder="true" applyAlignment="true">
      <alignment horizontal="left" vertical="center" wrapText="true"/>
    </xf>
    <xf numFmtId="0" fontId="65" fillId="2" borderId="3" xfId="0" applyFont="true" applyFill="true" applyBorder="true" applyAlignment="true">
      <alignment horizontal="left" vertical="center" wrapText="true"/>
    </xf>
    <xf numFmtId="0" fontId="65" fillId="2" borderId="49" xfId="0" applyFont="true" applyFill="true" applyBorder="true" applyAlignment="true">
      <alignment horizontal="left" vertical="center" wrapText="true"/>
    </xf>
    <xf numFmtId="0" fontId="65" fillId="2" borderId="30" xfId="0" applyFont="true" applyFill="true" applyBorder="true" applyAlignment="true">
      <alignment horizontal="left" vertical="center" wrapText="true"/>
    </xf>
    <xf numFmtId="0" fontId="114" fillId="2" borderId="10" xfId="1" applyFont="true" applyFill="true" applyBorder="true" applyAlignment="true">
      <alignment horizontal="left" vertical="center"/>
    </xf>
    <xf numFmtId="0" fontId="114" fillId="2" borderId="11" xfId="1" applyFont="true" applyFill="true" applyBorder="true" applyAlignment="true">
      <alignment horizontal="left" vertical="center"/>
    </xf>
    <xf numFmtId="0" fontId="114" fillId="0" borderId="10" xfId="1" applyFont="true" applyBorder="true" applyAlignment="true">
      <alignment horizontal="left" vertical="center" wrapText="true"/>
    </xf>
    <xf numFmtId="0" fontId="114" fillId="0" borderId="11" xfId="1" applyFont="true" applyBorder="true" applyAlignment="true">
      <alignment horizontal="left" vertical="center" wrapText="true"/>
    </xf>
    <xf numFmtId="0" fontId="157" fillId="9" borderId="44" xfId="1" applyFont="true" applyFill="true" applyBorder="true" applyAlignment="true">
      <alignment horizontal="center"/>
    </xf>
    <xf numFmtId="0" fontId="157" fillId="9" borderId="28" xfId="1" applyFont="true" applyFill="true" applyBorder="true" applyAlignment="true">
      <alignment horizontal="center"/>
    </xf>
    <xf numFmtId="0" fontId="157" fillId="9" borderId="29" xfId="1" applyFont="true" applyFill="true" applyBorder="true" applyAlignment="true">
      <alignment horizontal="center"/>
    </xf>
    <xf numFmtId="0" fontId="158" fillId="9" borderId="81" xfId="0" applyFont="true" applyFill="true" applyBorder="true" applyAlignment="true">
      <alignment horizontal="center"/>
    </xf>
    <xf numFmtId="0" fontId="158" fillId="9" borderId="28" xfId="0" applyFont="true" applyFill="true" applyBorder="true" applyAlignment="true">
      <alignment horizontal="center"/>
    </xf>
    <xf numFmtId="0" fontId="158" fillId="9" borderId="29" xfId="0" applyFont="true" applyFill="true" applyBorder="true" applyAlignment="true">
      <alignment horizontal="center"/>
    </xf>
    <xf numFmtId="0" fontId="157" fillId="9" borderId="13" xfId="1" applyFont="true" applyFill="true" applyBorder="true" applyAlignment="true">
      <alignment horizontal="center"/>
    </xf>
    <xf numFmtId="0" fontId="0" fillId="9" borderId="19" xfId="0" applyFill="true" applyBorder="true"/>
    <xf numFmtId="0" fontId="0" fillId="9" borderId="6" xfId="0" applyFill="true" applyBorder="true"/>
    <xf numFmtId="0" fontId="157" fillId="9" borderId="44" xfId="1" applyFont="true" applyFill="true" applyBorder="true" applyAlignment="true">
      <alignment horizontal="center" vertical="center"/>
    </xf>
    <xf numFmtId="0" fontId="157" fillId="9" borderId="28" xfId="1" applyFont="true" applyFill="true" applyBorder="true" applyAlignment="true">
      <alignment horizontal="center" vertical="center"/>
    </xf>
    <xf numFmtId="0" fontId="157" fillId="9" borderId="29" xfId="1" applyFont="true" applyFill="true" applyBorder="true" applyAlignment="true">
      <alignment horizontal="center" vertical="center"/>
    </xf>
    <xf numFmtId="21" fontId="157" fillId="9" borderId="44" xfId="1" applyNumberFormat="true" applyFont="true" applyFill="true" applyBorder="true" applyAlignment="true">
      <alignment horizontal="center" vertical="center"/>
    </xf>
    <xf numFmtId="21" fontId="157" fillId="9" borderId="28" xfId="1" applyNumberFormat="true" applyFont="true" applyFill="true" applyBorder="true" applyAlignment="true">
      <alignment horizontal="center" vertical="center"/>
    </xf>
    <xf numFmtId="21" fontId="157" fillId="9" borderId="80" xfId="1" applyNumberFormat="true" applyFont="true" applyFill="true" applyBorder="true" applyAlignment="true">
      <alignment horizontal="center" vertical="center"/>
    </xf>
    <xf numFmtId="0" fontId="45" fillId="3" borderId="84" xfId="1" applyFont="true" applyFill="true" applyBorder="true" applyAlignment="true">
      <alignment horizontal="center" vertical="center"/>
    </xf>
    <xf numFmtId="0" fontId="45" fillId="0" borderId="7" xfId="1" applyFont="true" applyBorder="true" applyAlignment="true">
      <alignment horizontal="left" vertical="center"/>
    </xf>
    <xf numFmtId="0" fontId="45" fillId="0" borderId="8" xfId="1" applyFont="true" applyBorder="true" applyAlignment="true">
      <alignment horizontal="left" vertical="center"/>
    </xf>
    <xf numFmtId="0" fontId="45" fillId="0" borderId="12" xfId="1" applyFont="true" applyBorder="true" applyAlignment="true">
      <alignment horizontal="left" vertical="center"/>
    </xf>
    <xf numFmtId="0" fontId="154" fillId="2" borderId="0" xfId="0" applyFont="true" applyFill="true" applyAlignment="true">
      <alignment horizontal="left" vertical="center"/>
    </xf>
    <xf numFmtId="0" fontId="157" fillId="0" borderId="52" xfId="1" applyFont="true" applyBorder="true" applyAlignment="true">
      <alignment horizontal="left" vertical="center" wrapText="true"/>
    </xf>
    <xf numFmtId="0" fontId="157" fillId="0" borderId="48" xfId="1" applyFont="true" applyBorder="true" applyAlignment="true">
      <alignment horizontal="left" vertical="center" wrapText="true"/>
    </xf>
    <xf numFmtId="0" fontId="114" fillId="0" borderId="1" xfId="1" applyFont="true" applyBorder="true" applyAlignment="true">
      <alignment horizontal="left" vertical="center" wrapText="true"/>
    </xf>
    <xf numFmtId="0" fontId="114" fillId="0" borderId="5" xfId="1" applyFont="true" applyBorder="true" applyAlignment="true">
      <alignment horizontal="left" vertical="center" wrapText="true"/>
    </xf>
    <xf numFmtId="0" fontId="114" fillId="0" borderId="22" xfId="1" applyFont="true" applyBorder="true" applyAlignment="true">
      <alignment horizontal="left" vertical="center" wrapText="true"/>
    </xf>
    <xf numFmtId="0" fontId="114" fillId="0" borderId="59" xfId="1" applyFont="true" applyBorder="true" applyAlignment="true">
      <alignment horizontal="left" vertical="center" wrapText="true"/>
    </xf>
    <xf numFmtId="49" fontId="45" fillId="0" borderId="18" xfId="1" applyNumberFormat="true" applyFont="true" applyBorder="true"/>
    <xf numFmtId="49" fontId="45" fillId="0" borderId="43" xfId="1" applyNumberFormat="true" applyFont="true" applyBorder="true"/>
    <xf numFmtId="49" fontId="17" fillId="2" borderId="3" xfId="0" applyNumberFormat="true" applyFont="true" applyFill="true" applyBorder="true"/>
    <xf numFmtId="49" fontId="17" fillId="2" borderId="30" xfId="0" applyNumberFormat="true" applyFont="true" applyFill="true" applyBorder="true"/>
    <xf numFmtId="49" fontId="17" fillId="0" borderId="3" xfId="0" applyNumberFormat="true" applyFont="true" applyBorder="true" applyAlignment="true">
      <alignment vertical="center"/>
    </xf>
    <xf numFmtId="49" fontId="17" fillId="0" borderId="30" xfId="0" applyNumberFormat="true" applyFont="true" applyBorder="true" applyAlignment="true">
      <alignment vertical="center"/>
    </xf>
    <xf numFmtId="49" fontId="17" fillId="0" borderId="3" xfId="0" applyNumberFormat="true" applyFont="true" applyBorder="true" applyAlignment="true">
      <alignment horizontal="left" vertical="center" wrapText="true"/>
    </xf>
    <xf numFmtId="49" fontId="17" fillId="0" borderId="30" xfId="0" applyNumberFormat="true" applyFont="true" applyBorder="true" applyAlignment="true">
      <alignment horizontal="left" vertical="center" wrapText="true"/>
    </xf>
    <xf numFmtId="49" fontId="17" fillId="0" borderId="3" xfId="0" applyNumberFormat="true" applyFont="true" applyBorder="true" applyAlignment="true">
      <alignment horizontal="left" vertical="center"/>
    </xf>
    <xf numFmtId="49" fontId="17" fillId="0" borderId="30" xfId="0" applyNumberFormat="true" applyFont="true" applyBorder="true" applyAlignment="true">
      <alignment horizontal="left" vertical="center"/>
    </xf>
    <xf numFmtId="49" fontId="45" fillId="2" borderId="3" xfId="1" applyNumberFormat="true" applyFont="true" applyFill="true" applyBorder="true"/>
    <xf numFmtId="49" fontId="45" fillId="2" borderId="30" xfId="1" applyNumberFormat="true" applyFont="true" applyFill="true" applyBorder="true"/>
    <xf numFmtId="0" fontId="0" fillId="0" borderId="31" xfId="0" applyBorder="true" applyProtection="true">
      <protection locked="false"/>
    </xf>
    <xf numFmtId="0" fontId="0" fillId="0" borderId="63" xfId="0" applyBorder="true" applyProtection="true">
      <protection locked="false"/>
    </xf>
    <xf numFmtId="49" fontId="45" fillId="0" borderId="3" xfId="1" applyNumberFormat="true" applyFont="true" applyBorder="true" applyAlignment="true">
      <alignment wrapText="true"/>
    </xf>
    <xf numFmtId="49" fontId="45" fillId="0" borderId="30" xfId="1" applyNumberFormat="true" applyFont="true" applyBorder="true" applyAlignment="true">
      <alignment wrapText="true"/>
    </xf>
    <xf numFmtId="0" fontId="17" fillId="2" borderId="3" xfId="0" applyFont="true" applyFill="true" applyBorder="true"/>
    <xf numFmtId="0" fontId="17" fillId="2" borderId="30" xfId="0" applyFont="true" applyFill="true" applyBorder="true"/>
    <xf numFmtId="0" fontId="45" fillId="0" borderId="3" xfId="1" applyFont="true" applyBorder="true"/>
    <xf numFmtId="0" fontId="45" fillId="0" borderId="30" xfId="1" applyFont="true" applyBorder="true"/>
    <xf numFmtId="0" fontId="114" fillId="0" borderId="28" xfId="1" applyFont="true" applyBorder="true" applyAlignment="true">
      <alignment horizontal="center" vertical="center"/>
    </xf>
    <xf numFmtId="0" fontId="114" fillId="0" borderId="18" xfId="1" applyFont="true" applyBorder="true" applyAlignment="true">
      <alignment horizontal="center" vertical="center"/>
    </xf>
    <xf numFmtId="0" fontId="107" fillId="2" borderId="1" xfId="1" applyFont="true" applyFill="true" applyBorder="true" applyAlignment="true">
      <alignment horizontal="left" vertical="center" wrapText="true"/>
    </xf>
    <xf numFmtId="0" fontId="107" fillId="2" borderId="5" xfId="1" applyFont="true" applyFill="true" applyBorder="true" applyAlignment="true">
      <alignment horizontal="left" vertical="center" wrapText="true"/>
    </xf>
    <xf numFmtId="0" fontId="114" fillId="0" borderId="29" xfId="1" applyFont="true" applyBorder="true" applyAlignment="true">
      <alignment horizontal="center" vertical="center"/>
    </xf>
    <xf numFmtId="0" fontId="114" fillId="0" borderId="21" xfId="1" applyFont="true" applyBorder="true" applyAlignment="true">
      <alignment horizontal="center" vertical="center"/>
    </xf>
    <xf numFmtId="0" fontId="17" fillId="0" borderId="3" xfId="0" applyFont="true" applyBorder="true" applyAlignment="true">
      <alignment horizontal="left" vertical="center" wrapText="true"/>
    </xf>
    <xf numFmtId="0" fontId="17" fillId="0" borderId="30" xfId="0" applyFont="true" applyBorder="true" applyAlignment="true">
      <alignment horizontal="left" vertical="center" wrapText="true"/>
    </xf>
    <xf numFmtId="0" fontId="17" fillId="0" borderId="3" xfId="0" applyFont="true" applyBorder="true" applyAlignment="true">
      <alignment horizontal="left" vertical="center"/>
    </xf>
    <xf numFmtId="0" fontId="17" fillId="0" borderId="30" xfId="0" applyFont="true" applyBorder="true" applyAlignment="true">
      <alignment horizontal="left" vertical="center"/>
    </xf>
    <xf numFmtId="0" fontId="45" fillId="2" borderId="3" xfId="1" applyFont="true" applyFill="true" applyBorder="true" applyAlignment="true">
      <alignment horizontal="left" vertical="center"/>
    </xf>
    <xf numFmtId="0" fontId="45" fillId="2" borderId="30" xfId="1" applyFont="true" applyFill="true" applyBorder="true" applyAlignment="true">
      <alignment horizontal="left" vertical="center"/>
    </xf>
    <xf numFmtId="0" fontId="45" fillId="0" borderId="3" xfId="1" applyFont="true" applyBorder="true" applyAlignment="true">
      <alignment wrapText="true"/>
    </xf>
    <xf numFmtId="0" fontId="45" fillId="0" borderId="30" xfId="1" applyFont="true" applyBorder="true" applyAlignment="true">
      <alignment wrapText="true"/>
    </xf>
    <xf numFmtId="0" fontId="17" fillId="0" borderId="3" xfId="0" applyFont="true" applyBorder="true" applyAlignment="true">
      <alignment vertical="center"/>
    </xf>
    <xf numFmtId="0" fontId="17" fillId="0" borderId="30" xfId="0" applyFont="true" applyBorder="true" applyAlignment="true">
      <alignment vertical="center"/>
    </xf>
    <xf numFmtId="0" fontId="17" fillId="2" borderId="3" xfId="0" applyFont="true" applyFill="true" applyBorder="true" applyAlignment="true">
      <alignment vertical="center"/>
    </xf>
    <xf numFmtId="0" fontId="17" fillId="2" borderId="30" xfId="0" applyFont="true" applyFill="true" applyBorder="true" applyAlignment="true">
      <alignment vertical="center"/>
    </xf>
    <xf numFmtId="0" fontId="157" fillId="9" borderId="80" xfId="1" applyFont="true" applyFill="true" applyBorder="true" applyAlignment="true">
      <alignment horizontal="center"/>
    </xf>
    <xf numFmtId="0" fontId="114" fillId="0" borderId="49" xfId="1" applyFont="true" applyBorder="true" applyAlignment="true">
      <alignment horizontal="left" vertical="center" wrapText="true"/>
    </xf>
    <xf numFmtId="0" fontId="114" fillId="0" borderId="30" xfId="1" applyFont="true" applyBorder="true" applyAlignment="true">
      <alignment horizontal="left" vertical="center" wrapText="true"/>
    </xf>
    <xf numFmtId="0" fontId="45" fillId="2" borderId="1" xfId="1" applyFont="true" applyFill="true" applyBorder="true" applyAlignment="true">
      <alignment wrapText="true"/>
    </xf>
    <xf numFmtId="0" fontId="45" fillId="2" borderId="2" xfId="1" applyFont="true" applyFill="true" applyBorder="true" applyAlignment="true">
      <alignment wrapText="true"/>
    </xf>
    <xf numFmtId="0" fontId="45" fillId="0" borderId="5" xfId="1" applyFont="true" applyBorder="true"/>
    <xf numFmtId="0" fontId="45" fillId="2" borderId="5" xfId="1" applyFont="true" applyFill="true" applyBorder="true"/>
    <xf numFmtId="0" fontId="45" fillId="2" borderId="3" xfId="1" applyFont="true" applyFill="true" applyBorder="true"/>
    <xf numFmtId="0" fontId="17" fillId="2" borderId="5" xfId="0" applyFont="true" applyFill="true" applyBorder="true"/>
    <xf numFmtId="0" fontId="17" fillId="0" borderId="7" xfId="0" applyFont="true" applyBorder="true"/>
    <xf numFmtId="0" fontId="17" fillId="0" borderId="8" xfId="0" applyFont="true" applyBorder="true"/>
    <xf numFmtId="0" fontId="45" fillId="3" borderId="0" xfId="1" applyFont="true" applyFill="true" applyAlignment="true">
      <alignment horizontal="center" vertical="center"/>
    </xf>
    <xf numFmtId="0" fontId="167" fillId="0" borderId="9" xfId="1" applyFont="true" applyBorder="true" applyAlignment="true">
      <alignment horizontal="center"/>
    </xf>
    <xf numFmtId="0" fontId="167" fillId="0" borderId="71" xfId="1" applyFont="true" applyBorder="true" applyAlignment="true">
      <alignment horizontal="center"/>
    </xf>
    <xf numFmtId="0" fontId="167" fillId="0" borderId="36" xfId="1" applyFont="true" applyBorder="true" applyAlignment="true">
      <alignment horizontal="center"/>
    </xf>
    <xf numFmtId="0" fontId="166" fillId="3" borderId="13" xfId="1" applyFont="true" applyFill="true" applyBorder="true"/>
    <xf numFmtId="0" fontId="166" fillId="3" borderId="19" xfId="1" applyFont="true" applyFill="true" applyBorder="true"/>
    <xf numFmtId="0" fontId="166" fillId="3" borderId="6" xfId="1" applyFont="true" applyFill="true" applyBorder="true"/>
    <xf numFmtId="0" fontId="166" fillId="3" borderId="20" xfId="1" applyFont="true" applyFill="true" applyBorder="true" applyAlignment="true">
      <alignment horizontal="left" vertical="center"/>
    </xf>
    <xf numFmtId="0" fontId="166" fillId="3" borderId="0" xfId="1" applyFont="true" applyFill="true" applyAlignment="true">
      <alignment horizontal="left" vertical="center"/>
    </xf>
    <xf numFmtId="0" fontId="166" fillId="3" borderId="25" xfId="1" applyFont="true" applyFill="true" applyBorder="true" applyAlignment="true">
      <alignment horizontal="left" vertical="center"/>
    </xf>
    <xf numFmtId="0" fontId="166" fillId="3" borderId="14" xfId="1" applyFont="true" applyFill="true" applyBorder="true" applyAlignment="true">
      <alignment horizontal="left" vertical="center"/>
    </xf>
    <xf numFmtId="0" fontId="166" fillId="3" borderId="24" xfId="1" applyFont="true" applyFill="true" applyBorder="true" applyAlignment="true">
      <alignment horizontal="left" vertical="center"/>
    </xf>
    <xf numFmtId="0" fontId="166" fillId="3" borderId="15" xfId="1" applyFont="true" applyFill="true" applyBorder="true" applyAlignment="true">
      <alignment horizontal="left" vertical="center"/>
    </xf>
    <xf numFmtId="0" fontId="0" fillId="0" borderId="45" xfId="0" applyBorder="true"/>
    <xf numFmtId="0" fontId="0" fillId="0" borderId="64" xfId="0" applyBorder="true"/>
    <xf numFmtId="0" fontId="45" fillId="0" borderId="1" xfId="1" applyFont="true" applyBorder="true"/>
    <xf numFmtId="0" fontId="45" fillId="0" borderId="2" xfId="1" applyFont="true" applyBorder="true"/>
    <xf numFmtId="0" fontId="45" fillId="0" borderId="3" xfId="1" applyFont="true" applyBorder="true" applyAlignment="true">
      <alignment vertical="center" wrapText="true"/>
    </xf>
    <xf numFmtId="0" fontId="45" fillId="0" borderId="30" xfId="1" applyFont="true" applyBorder="true" applyAlignment="true">
      <alignment vertical="center" wrapText="true"/>
    </xf>
    <xf numFmtId="0" fontId="157" fillId="9" borderId="19" xfId="1" applyFont="true" applyFill="true" applyBorder="true" applyAlignment="true">
      <alignment horizontal="center"/>
    </xf>
    <xf numFmtId="0" fontId="170" fillId="0" borderId="9" xfId="1" applyFont="true" applyBorder="true" applyAlignment="true">
      <alignment horizontal="left" vertical="center"/>
    </xf>
    <xf numFmtId="0" fontId="170" fillId="0" borderId="71" xfId="1" applyFont="true" applyBorder="true" applyAlignment="true">
      <alignment horizontal="left" vertical="center"/>
    </xf>
    <xf numFmtId="0" fontId="170" fillId="0" borderId="36" xfId="1" applyFont="true" applyBorder="true" applyAlignment="true">
      <alignment horizontal="left" vertical="center"/>
    </xf>
    <xf numFmtId="0" fontId="45" fillId="2" borderId="5" xfId="1" applyFont="true" applyFill="true" applyBorder="true" applyAlignment="true">
      <alignment wrapText="true"/>
    </xf>
    <xf numFmtId="0" fontId="45" fillId="2" borderId="3" xfId="1" applyFont="true" applyFill="true" applyBorder="true" applyAlignment="true">
      <alignment wrapText="true"/>
    </xf>
    <xf numFmtId="0" fontId="45" fillId="0" borderId="5" xfId="1" applyFont="true" applyBorder="true" applyAlignment="true">
      <alignment horizontal="left" vertical="center"/>
    </xf>
    <xf numFmtId="0" fontId="45" fillId="0" borderId="3" xfId="1" applyFont="true" applyBorder="true" applyAlignment="true">
      <alignment horizontal="left" vertical="center"/>
    </xf>
    <xf numFmtId="0" fontId="45" fillId="0" borderId="11" xfId="1" applyFont="true" applyBorder="true" applyAlignment="true">
      <alignment horizontal="left" vertical="center"/>
    </xf>
    <xf numFmtId="0" fontId="45" fillId="0" borderId="5" xfId="1" applyFont="true" applyBorder="true" applyAlignment="true" applyProtection="true">
      <alignment horizontal="left" vertical="center"/>
      <protection locked="false"/>
    </xf>
    <xf numFmtId="0" fontId="45" fillId="0" borderId="3" xfId="1" applyFont="true" applyBorder="true" applyAlignment="true" applyProtection="true">
      <alignment horizontal="left" vertical="center"/>
      <protection locked="false"/>
    </xf>
    <xf numFmtId="0" fontId="45" fillId="0" borderId="11" xfId="1" applyFont="true" applyBorder="true" applyAlignment="true" applyProtection="true">
      <alignment horizontal="left" vertical="center"/>
      <protection locked="false"/>
    </xf>
    <xf numFmtId="0" fontId="45" fillId="3" borderId="86" xfId="1" applyFont="true" applyFill="true" applyBorder="true" applyAlignment="true">
      <alignment horizontal="center" vertical="center"/>
    </xf>
    <xf numFmtId="0" fontId="45" fillId="3" borderId="89" xfId="1" applyFont="true" applyFill="true" applyBorder="true" applyAlignment="true">
      <alignment horizontal="center" vertical="center"/>
    </xf>
    <xf numFmtId="0" fontId="18" fillId="0" borderId="5" xfId="0" applyFont="true" applyBorder="true" applyAlignment="true">
      <alignment horizontal="left"/>
    </xf>
    <xf numFmtId="0" fontId="18" fillId="0" borderId="3" xfId="0" applyFont="true" applyBorder="true" applyAlignment="true">
      <alignment horizontal="left"/>
    </xf>
    <xf numFmtId="0" fontId="45" fillId="10" borderId="1" xfId="1" applyFont="true" applyFill="true" applyBorder="true" applyAlignment="true">
      <alignment horizontal="center" vertical="center"/>
    </xf>
    <xf numFmtId="0" fontId="45" fillId="10" borderId="2" xfId="1" applyFont="true" applyFill="true" applyBorder="true" applyAlignment="true">
      <alignment horizontal="center" vertical="center"/>
    </xf>
    <xf numFmtId="0" fontId="18" fillId="2" borderId="20" xfId="0" applyFont="true" applyFill="true" applyBorder="true" applyAlignment="true">
      <alignment horizontal="left" vertical="center"/>
    </xf>
    <xf numFmtId="0" fontId="18" fillId="2" borderId="0" xfId="0" applyFont="true" applyFill="true" applyAlignment="true">
      <alignment horizontal="left" vertical="center"/>
    </xf>
    <xf numFmtId="0" fontId="18" fillId="2" borderId="69" xfId="0" applyFont="true" applyFill="true" applyBorder="true" applyAlignment="true">
      <alignment horizontal="left" vertical="center"/>
    </xf>
    <xf numFmtId="0" fontId="18" fillId="2" borderId="62" xfId="0" applyFont="true" applyFill="true" applyBorder="true" applyAlignment="true">
      <alignment horizontal="left" vertical="center"/>
    </xf>
    <xf numFmtId="0" fontId="18" fillId="2" borderId="7" xfId="0" applyFont="true" applyFill="true" applyBorder="true" applyAlignment="true">
      <alignment horizontal="left" vertical="center"/>
    </xf>
    <xf numFmtId="0" fontId="18" fillId="2" borderId="8" xfId="0" applyFont="true" applyFill="true" applyBorder="true" applyAlignment="true">
      <alignment horizontal="left" vertical="center"/>
    </xf>
    <xf numFmtId="0" fontId="146" fillId="10" borderId="91" xfId="1" applyFont="true" applyFill="true" applyBorder="true" applyAlignment="true">
      <alignment horizontal="left"/>
    </xf>
    <xf numFmtId="0" fontId="146" fillId="10" borderId="83" xfId="1" applyFont="true" applyFill="true" applyBorder="true" applyAlignment="true">
      <alignment horizontal="left"/>
    </xf>
    <xf numFmtId="0" fontId="157" fillId="10" borderId="1" xfId="1" applyFont="true" applyFill="true" applyBorder="true" applyAlignment="true">
      <alignment horizontal="left" vertical="center" wrapText="true"/>
    </xf>
    <xf numFmtId="0" fontId="157" fillId="10" borderId="5" xfId="1" applyFont="true" applyFill="true" applyBorder="true" applyAlignment="true">
      <alignment horizontal="left" vertical="center" wrapText="true"/>
    </xf>
    <xf numFmtId="0" fontId="114" fillId="10" borderId="2" xfId="1" applyFont="true" applyFill="true" applyBorder="true" applyAlignment="true">
      <alignment horizontal="left" vertical="center" wrapText="true"/>
    </xf>
    <xf numFmtId="0" fontId="114" fillId="10" borderId="3" xfId="1" applyFont="true" applyFill="true" applyBorder="true" applyAlignment="true">
      <alignment horizontal="left" vertical="center" wrapText="true"/>
    </xf>
    <xf numFmtId="0" fontId="114" fillId="10" borderId="10" xfId="1" applyFont="true" applyFill="true" applyBorder="true" applyAlignment="true">
      <alignment horizontal="center" vertical="center" wrapText="true"/>
    </xf>
    <xf numFmtId="0" fontId="114" fillId="10" borderId="11" xfId="1" applyFont="true" applyFill="true" applyBorder="true" applyAlignment="true">
      <alignment horizontal="center" vertical="center" wrapText="true"/>
    </xf>
    <xf numFmtId="0" fontId="18" fillId="2" borderId="5" xfId="0" applyFont="true" applyFill="true" applyBorder="true" applyAlignment="true">
      <alignment horizontal="left" vertical="center" wrapText="true"/>
    </xf>
    <xf numFmtId="0" fontId="18" fillId="2" borderId="3" xfId="0" applyFont="true" applyFill="true" applyBorder="true" applyAlignment="true">
      <alignment horizontal="left" vertical="center" wrapText="true"/>
    </xf>
    <xf numFmtId="0" fontId="18" fillId="0" borderId="5" xfId="0" applyFont="true" applyBorder="true" applyAlignment="true">
      <alignment horizontal="left" wrapText="true"/>
    </xf>
    <xf numFmtId="0" fontId="18" fillId="0" borderId="3" xfId="0" applyFont="true" applyBorder="true" applyAlignment="true">
      <alignment horizontal="left" wrapText="true"/>
    </xf>
    <xf numFmtId="0" fontId="18" fillId="2" borderId="54" xfId="0" applyFont="true" applyFill="true" applyBorder="true" applyAlignment="true">
      <alignment horizontal="left" vertical="center"/>
    </xf>
    <xf numFmtId="0" fontId="18" fillId="2" borderId="46" xfId="0" applyFont="true" applyFill="true" applyBorder="true" applyAlignment="true">
      <alignment horizontal="left" vertical="center"/>
    </xf>
    <xf numFmtId="0" fontId="18" fillId="2" borderId="67" xfId="0" applyFont="true" applyFill="true" applyBorder="true" applyAlignment="true">
      <alignment horizontal="left" vertical="center"/>
    </xf>
    <xf numFmtId="0" fontId="18" fillId="2" borderId="66" xfId="0" applyFont="true" applyFill="true" applyBorder="true" applyAlignment="true">
      <alignment horizontal="left" vertical="center"/>
    </xf>
    <xf numFmtId="0" fontId="18" fillId="0" borderId="42" xfId="0" applyFont="true" applyBorder="true" applyAlignment="true">
      <alignment horizontal="left" vertical="center" wrapText="true"/>
    </xf>
    <xf numFmtId="0" fontId="18" fillId="0" borderId="18" xfId="0" applyFont="true" applyBorder="true" applyAlignment="true">
      <alignment horizontal="left" vertical="center" wrapText="true"/>
    </xf>
    <xf numFmtId="0" fontId="18" fillId="2" borderId="1" xfId="0" applyFont="true" applyFill="true" applyBorder="true" applyAlignment="true">
      <alignment horizontal="left" vertical="center"/>
    </xf>
    <xf numFmtId="0" fontId="18" fillId="2" borderId="2" xfId="0" applyFont="true" applyFill="true" applyBorder="true" applyAlignment="true">
      <alignment horizontal="left" vertical="center"/>
    </xf>
    <xf numFmtId="0" fontId="77" fillId="2" borderId="5" xfId="0" applyFont="true" applyFill="true" applyBorder="true" applyAlignment="true">
      <alignment horizontal="left"/>
    </xf>
    <xf numFmtId="0" fontId="77" fillId="2" borderId="3" xfId="0" applyFont="true" applyFill="true" applyBorder="true" applyAlignment="true">
      <alignment horizontal="left"/>
    </xf>
    <xf numFmtId="0" fontId="18" fillId="2" borderId="5" xfId="0" applyFont="true" applyFill="true" applyBorder="true" applyAlignment="true">
      <alignment horizontal="left"/>
    </xf>
    <xf numFmtId="0" fontId="18" fillId="2" borderId="3" xfId="0" applyFont="true" applyFill="true" applyBorder="true" applyAlignment="true">
      <alignment horizontal="left"/>
    </xf>
    <xf numFmtId="0" fontId="97" fillId="10" borderId="0" xfId="1" applyFont="true" applyFill="true" applyAlignment="true">
      <alignment horizontal="left"/>
    </xf>
    <xf numFmtId="0" fontId="96" fillId="10" borderId="0" xfId="1" applyFont="true" applyFill="true" applyAlignment="true">
      <alignment vertical="center"/>
    </xf>
    <xf numFmtId="0" fontId="172" fillId="0" borderId="0" xfId="1" applyFont="true" applyAlignment="true">
      <alignment horizontal="left"/>
    </xf>
    <xf numFmtId="0" fontId="23" fillId="3" borderId="83" xfId="0" applyFont="true" applyFill="true" applyBorder="true" applyAlignment="true">
      <alignment horizontal="left"/>
    </xf>
    <xf numFmtId="0" fontId="96" fillId="10" borderId="0" xfId="1" applyFont="true" applyFill="true" applyAlignment="true">
      <alignment horizontal="left" vertical="center"/>
    </xf>
    <xf numFmtId="0" fontId="45" fillId="3" borderId="5" xfId="1" applyFont="true" applyFill="true" applyBorder="true" applyAlignment="true">
      <alignment horizontal="left" vertical="center" wrapText="true"/>
    </xf>
    <xf numFmtId="0" fontId="45" fillId="3" borderId="3" xfId="1" applyFont="true" applyFill="true" applyBorder="true" applyAlignment="true">
      <alignment horizontal="left" vertical="center" wrapText="true"/>
    </xf>
    <xf numFmtId="0" fontId="17" fillId="3" borderId="5" xfId="0" applyFont="true" applyFill="true" applyBorder="true" applyAlignment="true">
      <alignment horizontal="left" vertical="center"/>
    </xf>
    <xf numFmtId="0" fontId="17" fillId="3" borderId="3" xfId="0" applyFont="true" applyFill="true" applyBorder="true" applyAlignment="true">
      <alignment horizontal="left" vertical="center"/>
    </xf>
    <xf numFmtId="0" fontId="45" fillId="3" borderId="5" xfId="1" applyFont="true" applyFill="true" applyBorder="true" applyAlignment="true">
      <alignment horizontal="left" vertical="center"/>
    </xf>
    <xf numFmtId="0" fontId="45" fillId="3" borderId="3" xfId="1" applyFont="true" applyFill="true" applyBorder="true" applyAlignment="true">
      <alignment horizontal="left" vertical="center"/>
    </xf>
    <xf numFmtId="0" fontId="17" fillId="10" borderId="3" xfId="0" applyFont="true" applyFill="true" applyBorder="true" applyAlignment="true">
      <alignment horizontal="center"/>
    </xf>
    <xf numFmtId="0" fontId="45" fillId="10" borderId="30" xfId="1" applyFont="true" applyFill="true" applyBorder="true" applyAlignment="true">
      <alignment horizontal="center" vertical="center"/>
    </xf>
    <xf numFmtId="0" fontId="45" fillId="10" borderId="31" xfId="1" applyFont="true" applyFill="true" applyBorder="true" applyAlignment="true">
      <alignment horizontal="center" vertical="center"/>
    </xf>
    <xf numFmtId="0" fontId="45" fillId="10" borderId="30" xfId="1" applyFont="true" applyFill="true" applyBorder="true" applyAlignment="true">
      <alignment horizontal="left" vertical="center" wrapText="true"/>
    </xf>
    <xf numFmtId="0" fontId="45" fillId="10" borderId="16" xfId="1" applyFont="true" applyFill="true" applyBorder="true" applyAlignment="true">
      <alignment horizontal="left" vertical="center" wrapText="true"/>
    </xf>
    <xf numFmtId="49" fontId="144" fillId="9" borderId="77" xfId="1" applyNumberFormat="true" applyFont="true" applyFill="true" applyBorder="true" applyAlignment="true">
      <alignment horizontal="center" vertical="center"/>
    </xf>
    <xf numFmtId="49" fontId="144" fillId="9" borderId="79" xfId="1" applyNumberFormat="true" applyFont="true" applyFill="true" applyBorder="true" applyAlignment="true">
      <alignment horizontal="center" vertical="center"/>
    </xf>
    <xf numFmtId="0" fontId="17" fillId="10" borderId="30" xfId="0" applyFont="true" applyFill="true" applyBorder="true" applyAlignment="true">
      <alignment horizontal="left" vertical="center"/>
    </xf>
    <xf numFmtId="0" fontId="17" fillId="10" borderId="16" xfId="0" applyFont="true" applyFill="true" applyBorder="true" applyAlignment="true">
      <alignment horizontal="left" vertical="center"/>
    </xf>
    <xf numFmtId="0" fontId="191" fillId="3" borderId="1" xfId="1" applyFont="true" applyFill="true" applyBorder="true" applyAlignment="true">
      <alignment horizontal="left" vertical="center"/>
    </xf>
    <xf numFmtId="0" fontId="191" fillId="3" borderId="2" xfId="1" applyFont="true" applyFill="true" applyBorder="true" applyAlignment="true">
      <alignment horizontal="left" vertical="center"/>
    </xf>
    <xf numFmtId="0" fontId="45" fillId="3" borderId="5" xfId="1" applyFont="true" applyFill="true" applyBorder="true" applyAlignment="true">
      <alignment horizontal="left"/>
    </xf>
    <xf numFmtId="0" fontId="45" fillId="3" borderId="3" xfId="1" applyFont="true" applyFill="true" applyBorder="true" applyAlignment="true">
      <alignment horizontal="left"/>
    </xf>
    <xf numFmtId="0" fontId="17" fillId="3" borderId="7" xfId="0" applyFont="true" applyFill="true" applyBorder="true" applyAlignment="true">
      <alignment horizontal="left"/>
    </xf>
    <xf numFmtId="0" fontId="17" fillId="3" borderId="8" xfId="0" applyFont="true" applyFill="true" applyBorder="true" applyAlignment="true">
      <alignment horizontal="left"/>
    </xf>
    <xf numFmtId="0" fontId="192" fillId="3" borderId="0" xfId="0" applyFont="true" applyFill="true" applyAlignment="true">
      <alignment horizontal="center"/>
    </xf>
    <xf numFmtId="0" fontId="43" fillId="3" borderId="3" xfId="0" applyFont="true" applyFill="true" applyBorder="true" applyAlignment="true">
      <alignment horizontal="left" vertical="center" wrapText="true"/>
    </xf>
    <xf numFmtId="0" fontId="18" fillId="10" borderId="1" xfId="0" applyFont="true" applyFill="true" applyBorder="true" applyAlignment="true">
      <alignment horizontal="left" vertical="center"/>
    </xf>
    <xf numFmtId="0" fontId="18" fillId="10" borderId="2" xfId="0" applyFont="true" applyFill="true" applyBorder="true" applyAlignment="true">
      <alignment horizontal="left" vertical="center"/>
    </xf>
    <xf numFmtId="0" fontId="18" fillId="10" borderId="7" xfId="0" applyFont="true" applyFill="true" applyBorder="true" applyAlignment="true">
      <alignment horizontal="left" vertical="center"/>
    </xf>
    <xf numFmtId="0" fontId="18" fillId="10" borderId="8" xfId="0" applyFont="true" applyFill="true" applyBorder="true" applyAlignment="true">
      <alignment horizontal="left" vertical="center"/>
    </xf>
    <xf numFmtId="0" fontId="18" fillId="10" borderId="5" xfId="0" applyFont="true" applyFill="true" applyBorder="true" applyAlignment="true">
      <alignment horizontal="left" vertical="center"/>
    </xf>
    <xf numFmtId="0" fontId="18" fillId="10" borderId="3" xfId="0" applyFont="true" applyFill="true" applyBorder="true" applyAlignment="true">
      <alignment horizontal="left" vertical="center"/>
    </xf>
    <xf numFmtId="0" fontId="18" fillId="10" borderId="5" xfId="0" applyFont="true" applyFill="true" applyBorder="true" applyAlignment="true">
      <alignment horizontal="left" vertical="center" wrapText="true"/>
    </xf>
    <xf numFmtId="0" fontId="18" fillId="10" borderId="3" xfId="0" applyFont="true" applyFill="true" applyBorder="true" applyAlignment="true">
      <alignment horizontal="left" vertical="center" wrapText="true"/>
    </xf>
    <xf numFmtId="0" fontId="17" fillId="3" borderId="83" xfId="0" applyFont="true" applyFill="true" applyBorder="true" applyAlignment="true">
      <alignment horizontal="center"/>
    </xf>
    <xf numFmtId="0" fontId="43" fillId="3" borderId="2" xfId="0" applyFont="true" applyFill="true" applyBorder="true" applyAlignment="true">
      <alignment horizontal="left" vertical="center" wrapText="true"/>
    </xf>
    <xf numFmtId="0" fontId="43" fillId="3" borderId="49" xfId="0" applyFont="true" applyFill="true" applyBorder="true" applyAlignment="true">
      <alignment horizontal="left" vertical="center" wrapText="true"/>
    </xf>
    <xf numFmtId="0" fontId="45" fillId="10" borderId="5" xfId="1" applyFont="true" applyFill="true" applyBorder="true" applyAlignment="true">
      <alignment horizontal="left" vertical="center"/>
    </xf>
    <xf numFmtId="0" fontId="45" fillId="10" borderId="3" xfId="1" applyFont="true" applyFill="true" applyBorder="true" applyAlignment="true">
      <alignment horizontal="left" vertical="center"/>
    </xf>
    <xf numFmtId="0" fontId="43" fillId="3" borderId="8" xfId="0" applyFont="true" applyFill="true" applyBorder="true" applyAlignment="true">
      <alignment horizontal="left" vertical="center" wrapText="true"/>
    </xf>
    <xf numFmtId="0" fontId="59" fillId="3" borderId="13" xfId="0" applyFont="true" applyFill="true" applyBorder="true" applyAlignment="true">
      <alignment horizontal="center" vertical="center"/>
    </xf>
    <xf numFmtId="0" fontId="59" fillId="3" borderId="19" xfId="0" applyFont="true" applyFill="true" applyBorder="true" applyAlignment="true">
      <alignment horizontal="center" vertical="center"/>
    </xf>
    <xf numFmtId="0" fontId="59" fillId="3" borderId="81" xfId="0" applyFont="true" applyFill="true" applyBorder="true" applyAlignment="true">
      <alignment horizontal="center" vertical="center"/>
    </xf>
    <xf numFmtId="0" fontId="17" fillId="10" borderId="7" xfId="0" applyFont="true" applyFill="true" applyBorder="true" applyAlignment="true">
      <alignment horizontal="left" vertical="center"/>
    </xf>
    <xf numFmtId="0" fontId="17" fillId="10" borderId="8" xfId="0" applyFont="true" applyFill="true" applyBorder="true" applyAlignment="true">
      <alignment horizontal="left" vertical="center"/>
    </xf>
    <xf numFmtId="0" fontId="18" fillId="3" borderId="3" xfId="0" applyFont="true" applyFill="true" applyBorder="true" applyAlignment="true">
      <alignment horizontal="left" vertical="center" wrapText="true"/>
    </xf>
    <xf numFmtId="0" fontId="17" fillId="10" borderId="1" xfId="0" applyFont="true" applyFill="true" applyBorder="true" applyAlignment="true">
      <alignment horizontal="center"/>
    </xf>
    <xf numFmtId="0" fontId="17" fillId="10" borderId="2" xfId="0" applyFont="true" applyFill="true" applyBorder="true" applyAlignment="true">
      <alignment horizontal="center"/>
    </xf>
    <xf numFmtId="0" fontId="146" fillId="10" borderId="78" xfId="1" applyFont="true" applyFill="true" applyBorder="true" applyAlignment="true">
      <alignment horizontal="left" vertical="center"/>
    </xf>
    <xf numFmtId="0" fontId="146" fillId="10" borderId="79" xfId="1" applyFont="true" applyFill="true" applyBorder="true" applyAlignment="true">
      <alignment horizontal="left" vertical="center"/>
    </xf>
    <xf numFmtId="0" fontId="18" fillId="10" borderId="1" xfId="0" applyFont="true" applyFill="true" applyBorder="true" applyAlignment="true">
      <alignment horizontal="left"/>
    </xf>
    <xf numFmtId="0" fontId="18" fillId="10" borderId="2" xfId="0" applyFont="true" applyFill="true" applyBorder="true" applyAlignment="true">
      <alignment horizontal="left"/>
    </xf>
    <xf numFmtId="0" fontId="18" fillId="10" borderId="5" xfId="0" applyFont="true" applyFill="true" applyBorder="true" applyAlignment="true">
      <alignment vertical="center"/>
    </xf>
    <xf numFmtId="0" fontId="18" fillId="10" borderId="3" xfId="0" applyFont="true" applyFill="true" applyBorder="true" applyAlignment="true">
      <alignment vertical="center"/>
    </xf>
    <xf numFmtId="0" fontId="18" fillId="10" borderId="5" xfId="0" applyFont="true" applyFill="true" applyBorder="true" applyAlignment="true">
      <alignment vertical="center" wrapText="true"/>
    </xf>
    <xf numFmtId="0" fontId="18" fillId="10" borderId="3" xfId="0" applyFont="true" applyFill="true" applyBorder="true" applyAlignment="true">
      <alignment vertical="center" wrapText="true"/>
    </xf>
    <xf numFmtId="0" fontId="18" fillId="10" borderId="0" xfId="0" applyFont="true" applyFill="true" applyAlignment="true">
      <alignment horizontal="left" vertical="center"/>
    </xf>
    <xf numFmtId="0" fontId="18" fillId="10" borderId="1" xfId="0" applyFont="true" applyFill="true" applyBorder="true"/>
    <xf numFmtId="0" fontId="18" fillId="10" borderId="2" xfId="0" applyFont="true" applyFill="true" applyBorder="true"/>
    <xf numFmtId="0" fontId="18" fillId="10" borderId="26" xfId="0" applyFont="true" applyFill="true" applyBorder="true" applyAlignment="true">
      <alignment horizontal="left" vertical="center"/>
    </xf>
    <xf numFmtId="0" fontId="18" fillId="10" borderId="27" xfId="0" applyFont="true" applyFill="true" applyBorder="true" applyAlignment="true">
      <alignment horizontal="left" vertical="center"/>
    </xf>
    <xf numFmtId="0" fontId="18" fillId="10" borderId="7" xfId="0" applyFont="true" applyFill="true" applyBorder="true"/>
    <xf numFmtId="0" fontId="18" fillId="10" borderId="8" xfId="0" applyFont="true" applyFill="true" applyBorder="true"/>
    <xf numFmtId="0" fontId="107" fillId="10" borderId="5" xfId="1" applyFont="true" applyFill="true" applyBorder="true" applyAlignment="true">
      <alignment horizontal="left" vertical="center" wrapText="true"/>
    </xf>
    <xf numFmtId="0" fontId="107" fillId="10" borderId="3" xfId="1" applyFont="true" applyFill="true" applyBorder="true" applyAlignment="true">
      <alignment horizontal="left" vertical="center" wrapText="true"/>
    </xf>
    <xf numFmtId="0" fontId="40" fillId="3" borderId="13" xfId="0" applyFont="true" applyFill="true" applyBorder="true" applyAlignment="true">
      <alignment horizontal="center"/>
    </xf>
    <xf numFmtId="0" fontId="40" fillId="3" borderId="19" xfId="0" applyFont="true" applyFill="true" applyBorder="true" applyAlignment="true">
      <alignment horizontal="center"/>
    </xf>
    <xf numFmtId="0" fontId="40" fillId="3" borderId="6" xfId="0" applyFont="true" applyFill="true" applyBorder="true" applyAlignment="true">
      <alignment horizontal="center"/>
    </xf>
    <xf numFmtId="0" fontId="18" fillId="10" borderId="5" xfId="0" applyFont="true" applyFill="true" applyBorder="true"/>
    <xf numFmtId="0" fontId="18" fillId="10" borderId="3" xfId="0" applyFont="true" applyFill="true" applyBorder="true"/>
    <xf numFmtId="0" fontId="18" fillId="10" borderId="5" xfId="0" applyFont="true" applyFill="true" applyBorder="true" applyAlignment="true">
      <alignment horizontal="left"/>
    </xf>
    <xf numFmtId="0" fontId="18" fillId="10" borderId="3" xfId="0" applyFont="true" applyFill="true" applyBorder="true" applyAlignment="true">
      <alignment horizontal="left"/>
    </xf>
    <xf numFmtId="0" fontId="65" fillId="10" borderId="1" xfId="0" applyFont="true" applyFill="true" applyBorder="true"/>
    <xf numFmtId="0" fontId="65" fillId="10" borderId="2" xfId="0" applyFont="true" applyFill="true" applyBorder="true"/>
    <xf numFmtId="0" fontId="202" fillId="10" borderId="7" xfId="0" applyFont="true" applyFill="true" applyBorder="true" applyAlignment="true">
      <alignment horizontal="left" vertical="center"/>
    </xf>
    <xf numFmtId="0" fontId="202" fillId="10" borderId="8" xfId="0" applyFont="true" applyFill="true" applyBorder="true" applyAlignment="true">
      <alignment horizontal="left" vertical="center"/>
    </xf>
    <xf numFmtId="0" fontId="18" fillId="10" borderId="0" xfId="0" applyFont="true" applyFill="true" applyAlignment="true">
      <alignment wrapText="true"/>
    </xf>
    <xf numFmtId="0" fontId="18" fillId="10" borderId="52" xfId="0" applyFont="true" applyFill="true" applyBorder="true"/>
    <xf numFmtId="0" fontId="18" fillId="10" borderId="51" xfId="0" applyFont="true" applyFill="true" applyBorder="true"/>
    <xf numFmtId="0" fontId="18" fillId="10" borderId="22" xfId="0" applyFont="true" applyFill="true" applyBorder="true"/>
    <xf numFmtId="0" fontId="18" fillId="10" borderId="48" xfId="0" applyFont="true" applyFill="true" applyBorder="true"/>
    <xf numFmtId="0" fontId="18" fillId="10" borderId="31" xfId="0" applyFont="true" applyFill="true" applyBorder="true"/>
    <xf numFmtId="0" fontId="18" fillId="10" borderId="16" xfId="0" applyFont="true" applyFill="true" applyBorder="true"/>
    <xf numFmtId="0" fontId="18" fillId="10" borderId="53" xfId="0" applyFont="true" applyFill="true" applyBorder="true"/>
    <xf numFmtId="0" fontId="18" fillId="10" borderId="45" xfId="0" applyFont="true" applyFill="true" applyBorder="true"/>
    <xf numFmtId="0" fontId="18" fillId="10" borderId="17" xfId="0" applyFont="true" applyFill="true" applyBorder="true"/>
    <xf numFmtId="0" fontId="18" fillId="10" borderId="0" xfId="0" applyFont="true" applyFill="true"/>
    <xf numFmtId="0" fontId="101" fillId="10" borderId="24" xfId="0" applyFont="true" applyFill="true" applyBorder="true" applyAlignment="true">
      <alignment horizontal="left" vertical="center"/>
    </xf>
    <xf numFmtId="0" fontId="117" fillId="10" borderId="24" xfId="0" applyFont="true" applyFill="true" applyBorder="true" applyAlignment="true">
      <alignment horizontal="left" vertical="center" wrapText="true"/>
    </xf>
    <xf numFmtId="0" fontId="101" fillId="10" borderId="24" xfId="0" applyFont="true" applyFill="true" applyBorder="true" applyAlignment="true">
      <alignment horizontal="left"/>
    </xf>
    <xf numFmtId="0" fontId="18" fillId="10" borderId="7" xfId="0" applyFont="true" applyFill="true" applyBorder="true" applyAlignment="true">
      <alignment horizontal="left"/>
    </xf>
    <xf numFmtId="0" fontId="18" fillId="10" borderId="8" xfId="0" applyFont="true" applyFill="true" applyBorder="true" applyAlignment="true">
      <alignment horizontal="left"/>
    </xf>
    <xf numFmtId="0" fontId="18" fillId="10" borderId="24" xfId="0" applyFont="true" applyFill="true" applyBorder="true" applyAlignment="true">
      <alignment horizontal="left"/>
    </xf>
    <xf numFmtId="0" fontId="106" fillId="10" borderId="24" xfId="1" applyFont="true" applyFill="true" applyBorder="true" applyAlignment="true">
      <alignment horizontal="left"/>
    </xf>
    <xf numFmtId="0" fontId="106" fillId="10" borderId="0" xfId="1" applyFont="true" applyFill="true" applyAlignment="true">
      <alignment horizontal="left"/>
    </xf>
    <xf numFmtId="0" fontId="135" fillId="10" borderId="24" xfId="0" applyFont="true" applyFill="true" applyBorder="true" applyAlignment="true">
      <alignment horizontal="left" vertical="center"/>
    </xf>
    <xf numFmtId="0" fontId="18" fillId="10" borderId="24" xfId="0" applyFont="true" applyFill="true" applyBorder="true" applyAlignment="true">
      <alignment horizontal="left" vertical="center"/>
    </xf>
    <xf numFmtId="0" fontId="18" fillId="10" borderId="0" xfId="0" applyFont="true" applyFill="true" applyAlignment="true">
      <alignment horizontal="left"/>
    </xf>
    <xf numFmtId="0" fontId="65" fillId="10" borderId="24" xfId="0" applyFont="true" applyFill="true" applyBorder="true" applyAlignment="true">
      <alignment horizontal="left"/>
    </xf>
    <xf numFmtId="0" fontId="193" fillId="3" borderId="0" xfId="0" applyFont="true" applyFill="true" applyAlignment="true">
      <alignment horizontal="center" vertical="center"/>
    </xf>
    <xf numFmtId="0" fontId="102" fillId="3" borderId="13" xfId="0" applyFont="true" applyFill="true" applyBorder="true" applyAlignment="true">
      <alignment horizontal="center"/>
    </xf>
    <xf numFmtId="0" fontId="102" fillId="3" borderId="19" xfId="0" applyFont="true" applyFill="true" applyBorder="true" applyAlignment="true">
      <alignment horizontal="center"/>
    </xf>
    <xf numFmtId="0" fontId="102" fillId="3" borderId="6" xfId="0" applyFont="true" applyFill="true" applyBorder="true" applyAlignment="true">
      <alignment horizontal="center"/>
    </xf>
    <xf numFmtId="0" fontId="59" fillId="3" borderId="9" xfId="0" applyFont="true" applyFill="true" applyBorder="true" applyAlignment="true">
      <alignment horizontal="center" vertical="center"/>
    </xf>
    <xf numFmtId="0" fontId="59" fillId="3" borderId="71" xfId="0" applyFont="true" applyFill="true" applyBorder="true" applyAlignment="true">
      <alignment horizontal="center" vertical="center"/>
    </xf>
    <xf numFmtId="0" fontId="59" fillId="3" borderId="76" xfId="0" applyFont="true" applyFill="true" applyBorder="true" applyAlignment="true">
      <alignment horizontal="center" vertical="center"/>
    </xf>
    <xf numFmtId="14" fontId="14" fillId="10" borderId="0" xfId="0" applyNumberFormat="true" applyFont="true" applyFill="true" applyAlignment="true">
      <alignment vertical="center"/>
    </xf>
    <xf numFmtId="0" fontId="16" fillId="10" borderId="0" xfId="0" applyFont="true" applyFill="true" applyAlignment="true">
      <alignment vertical="center"/>
    </xf>
    <xf numFmtId="0" fontId="17" fillId="10" borderId="0" xfId="0" applyFont="true" applyFill="true" applyAlignment="true">
      <alignment vertical="center"/>
    </xf>
    <xf numFmtId="0" fontId="37" fillId="10" borderId="32" xfId="0" applyFont="true" applyFill="true" applyBorder="true" applyAlignment="true">
      <alignment horizontal="center" vertical="center"/>
    </xf>
    <xf numFmtId="0" fontId="14" fillId="10" borderId="33" xfId="0" applyFont="true" applyFill="true" applyBorder="true" applyAlignment="true">
      <alignment horizontal="center" vertical="center"/>
    </xf>
    <xf numFmtId="0" fontId="37" fillId="10" borderId="9" xfId="0" applyFont="true" applyFill="true" applyBorder="true" applyAlignment="true">
      <alignment vertical="center"/>
    </xf>
    <xf numFmtId="0" fontId="14" fillId="10" borderId="36" xfId="0" applyFont="true" applyFill="true" applyBorder="true" applyAlignment="true">
      <alignment vertical="center"/>
    </xf>
    <xf numFmtId="0" fontId="64" fillId="10" borderId="0" xfId="0" applyFont="true" applyFill="true" applyAlignment="true">
      <alignment horizontal="left" vertical="center" wrapText="true"/>
    </xf>
    <xf numFmtId="0" fontId="64" fillId="3" borderId="3" xfId="0" applyFont="true" applyFill="true" applyBorder="true" applyAlignment="true">
      <alignment horizontal="left" vertical="center" wrapText="true"/>
    </xf>
    <xf numFmtId="0" fontId="64" fillId="10" borderId="2" xfId="0" applyFont="true" applyFill="true" applyBorder="true" applyAlignment="true">
      <alignment horizontal="center" vertical="center" wrapText="true"/>
    </xf>
    <xf numFmtId="0" fontId="23" fillId="10" borderId="13" xfId="0" applyFont="true" applyFill="true" applyBorder="true" applyAlignment="true">
      <alignment horizontal="center" vertical="center" wrapText="true"/>
    </xf>
    <xf numFmtId="0" fontId="23" fillId="10" borderId="19" xfId="0" applyFont="true" applyFill="true" applyBorder="true" applyAlignment="true">
      <alignment horizontal="center" vertical="center" wrapText="true"/>
    </xf>
    <xf numFmtId="0" fontId="23" fillId="10" borderId="6" xfId="0" applyFont="true" applyFill="true" applyBorder="true" applyAlignment="true">
      <alignment horizontal="center" vertical="center" wrapText="true"/>
    </xf>
    <xf numFmtId="0" fontId="23" fillId="10" borderId="9" xfId="0" applyFont="true" applyFill="true" applyBorder="true" applyAlignment="true">
      <alignment horizontal="center" vertical="center" wrapText="true"/>
    </xf>
    <xf numFmtId="0" fontId="23" fillId="10" borderId="71" xfId="0" applyFont="true" applyFill="true" applyBorder="true" applyAlignment="true">
      <alignment horizontal="center" vertical="center" wrapText="true"/>
    </xf>
    <xf numFmtId="0" fontId="23" fillId="10" borderId="36" xfId="0" applyFont="true" applyFill="true" applyBorder="true" applyAlignment="true">
      <alignment horizontal="center" vertical="center" wrapText="true"/>
    </xf>
    <xf numFmtId="0" fontId="23" fillId="10" borderId="1" xfId="0" applyFont="true" applyFill="true" applyBorder="true" applyAlignment="true">
      <alignment horizontal="center" vertical="center" wrapText="true"/>
    </xf>
    <xf numFmtId="0" fontId="23" fillId="10" borderId="2" xfId="0" applyFont="true" applyFill="true" applyBorder="true" applyAlignment="true">
      <alignment horizontal="center" vertical="center" wrapText="true"/>
    </xf>
    <xf numFmtId="0" fontId="23" fillId="10" borderId="10" xfId="0" applyFont="true" applyFill="true" applyBorder="true" applyAlignment="true">
      <alignment horizontal="center" vertical="center" wrapText="true"/>
    </xf>
    <xf numFmtId="0" fontId="146" fillId="10" borderId="77" xfId="1" applyFont="true" applyFill="true" applyBorder="true" applyAlignment="true">
      <alignment horizontal="left" vertical="center"/>
    </xf>
    <xf numFmtId="0" fontId="17" fillId="10" borderId="2" xfId="0" applyFont="true" applyFill="true" applyBorder="true" applyAlignment="true">
      <alignment horizontal="center" vertical="center" wrapText="true"/>
    </xf>
    <xf numFmtId="0" fontId="17" fillId="10" borderId="2" xfId="0" applyFont="true" applyFill="true" applyBorder="true"/>
    <xf numFmtId="0" fontId="58" fillId="10" borderId="2" xfId="0" applyFont="true" applyFill="true" applyBorder="true" applyAlignment="true">
      <alignment horizontal="center" vertical="center" wrapText="true"/>
    </xf>
    <xf numFmtId="0" fontId="0" fillId="10" borderId="2" xfId="0" applyFill="true" applyBorder="true"/>
    <xf numFmtId="0" fontId="58" fillId="3" borderId="3" xfId="0" applyFont="true" applyFill="true" applyBorder="true" applyAlignment="true">
      <alignment horizontal="left" vertical="center" wrapText="true"/>
    </xf>
    <xf numFmtId="0" fontId="17" fillId="10" borderId="26" xfId="0" applyFont="true" applyFill="true" applyBorder="true" applyAlignment="true">
      <alignment horizontal="left" vertical="center"/>
    </xf>
    <xf numFmtId="0" fontId="17" fillId="10" borderId="27" xfId="0" applyFont="true" applyFill="true" applyBorder="true" applyAlignment="true">
      <alignment horizontal="left" vertical="center"/>
    </xf>
    <xf numFmtId="0" fontId="64" fillId="3" borderId="8" xfId="0" applyFont="true" applyFill="true" applyBorder="true" applyAlignment="true">
      <alignment horizontal="left" vertical="center" wrapText="true"/>
    </xf>
    <xf numFmtId="0" fontId="64" fillId="3" borderId="3" xfId="0" applyFont="true" applyFill="true" applyBorder="true" applyAlignment="true">
      <alignment horizontal="left" vertical="center"/>
    </xf>
    <xf numFmtId="0" fontId="64" fillId="3" borderId="18" xfId="0" applyFont="true" applyFill="true" applyBorder="true" applyAlignment="true">
      <alignment horizontal="left" vertical="center" wrapText="true"/>
    </xf>
    <xf numFmtId="0" fontId="192" fillId="3" borderId="0" xfId="0" applyFont="true" applyFill="true" applyAlignment="true">
      <alignment horizontal="center" vertical="center"/>
    </xf>
    <xf numFmtId="0" fontId="69" fillId="3" borderId="13" xfId="0" applyFont="true" applyFill="true" applyBorder="true" applyAlignment="true">
      <alignment horizontal="center"/>
    </xf>
    <xf numFmtId="0" fontId="69" fillId="3" borderId="19" xfId="0" applyFont="true" applyFill="true" applyBorder="true" applyAlignment="true">
      <alignment horizontal="center"/>
    </xf>
    <xf numFmtId="0" fontId="69" fillId="3" borderId="6" xfId="0" applyFont="true" applyFill="true" applyBorder="true" applyAlignment="true">
      <alignment horizontal="center"/>
    </xf>
    <xf numFmtId="0" fontId="45" fillId="10" borderId="3" xfId="1" applyFont="true" applyFill="true" applyBorder="true" applyAlignment="true">
      <alignment horizontal="center" vertical="center" wrapText="true"/>
    </xf>
    <xf numFmtId="0" fontId="59" fillId="3" borderId="44" xfId="0" applyFont="true" applyFill="true" applyBorder="true" applyAlignment="true">
      <alignment horizontal="center" vertical="center"/>
    </xf>
    <xf numFmtId="0" fontId="59" fillId="3" borderId="28" xfId="0" applyFont="true" applyFill="true" applyBorder="true" applyAlignment="true">
      <alignment horizontal="center" vertical="center"/>
    </xf>
    <xf numFmtId="0" fontId="99" fillId="0" borderId="0" xfId="0" applyFont="true" applyAlignment="true">
      <alignment horizontal="left" wrapText="true"/>
    </xf>
    <xf numFmtId="0" fontId="45" fillId="10" borderId="3" xfId="1" applyFont="true" applyFill="true" applyBorder="true" applyAlignment="true">
      <alignment horizontal="center" vertical="center"/>
    </xf>
    <xf numFmtId="0" fontId="97" fillId="10" borderId="24" xfId="1" applyFont="true" applyFill="true" applyBorder="true" applyAlignment="true">
      <alignment horizontal="left"/>
    </xf>
    <xf numFmtId="0" fontId="112" fillId="10" borderId="22" xfId="0" applyFont="true" applyFill="true" applyBorder="true" applyAlignment="true">
      <alignment horizontal="center" vertical="center"/>
    </xf>
    <xf numFmtId="0" fontId="112" fillId="10" borderId="10" xfId="0" applyFont="true" applyFill="true" applyBorder="true" applyAlignment="true">
      <alignment horizontal="center" vertical="center"/>
    </xf>
    <xf numFmtId="0" fontId="112" fillId="10" borderId="13" xfId="0" applyFont="true" applyFill="true" applyBorder="true" applyAlignment="true">
      <alignment horizontal="center" vertical="center"/>
    </xf>
    <xf numFmtId="0" fontId="112" fillId="10" borderId="19" xfId="0" applyFont="true" applyFill="true" applyBorder="true" applyAlignment="true">
      <alignment horizontal="center" vertical="center"/>
    </xf>
    <xf numFmtId="0" fontId="112" fillId="10" borderId="6" xfId="0" applyFont="true" applyFill="true" applyBorder="true" applyAlignment="true">
      <alignment horizontal="center" vertical="center"/>
    </xf>
    <xf numFmtId="0" fontId="15" fillId="10" borderId="5" xfId="0" applyFont="true" applyFill="true" applyBorder="true" applyAlignment="true">
      <alignment horizontal="center" vertical="center"/>
    </xf>
    <xf numFmtId="0" fontId="15" fillId="10" borderId="3" xfId="0" applyFont="true" applyFill="true" applyBorder="true" applyAlignment="true">
      <alignment horizontal="center" vertical="center"/>
    </xf>
    <xf numFmtId="0" fontId="15" fillId="10" borderId="11" xfId="0" applyFont="true" applyFill="true" applyBorder="true" applyAlignment="true">
      <alignment horizontal="center" vertical="center"/>
    </xf>
    <xf numFmtId="0" fontId="59" fillId="3" borderId="26" xfId="0" applyFont="true" applyFill="true" applyBorder="true" applyAlignment="true">
      <alignment horizontal="center" vertical="center"/>
    </xf>
    <xf numFmtId="0" fontId="59" fillId="3" borderId="27" xfId="0" applyFont="true" applyFill="true" applyBorder="true" applyAlignment="true">
      <alignment horizontal="center" vertical="center"/>
    </xf>
    <xf numFmtId="0" fontId="71" fillId="10" borderId="1" xfId="1" applyFont="true" applyFill="true" applyBorder="true" applyAlignment="true">
      <alignment horizontal="center" vertical="center"/>
    </xf>
    <xf numFmtId="0" fontId="71" fillId="10" borderId="2" xfId="1" applyFont="true" applyFill="true" applyBorder="true" applyAlignment="true">
      <alignment horizontal="center" vertical="center"/>
    </xf>
    <xf numFmtId="0" fontId="71" fillId="10" borderId="49" xfId="1" applyFont="true" applyFill="true" applyBorder="true" applyAlignment="true">
      <alignment horizontal="center" vertical="center"/>
    </xf>
    <xf numFmtId="0" fontId="71" fillId="10" borderId="26" xfId="1" applyFont="true" applyFill="true" applyBorder="true" applyAlignment="true">
      <alignment horizontal="center" vertical="center"/>
    </xf>
    <xf numFmtId="0" fontId="71" fillId="10" borderId="27" xfId="1" applyFont="true" applyFill="true" applyBorder="true" applyAlignment="true">
      <alignment horizontal="center" vertical="center"/>
    </xf>
    <xf numFmtId="0" fontId="71" fillId="10" borderId="50" xfId="1" applyFont="true" applyFill="true" applyBorder="true" applyAlignment="true">
      <alignment horizontal="center" vertical="center"/>
    </xf>
    <xf numFmtId="0" fontId="77" fillId="10" borderId="1" xfId="0" applyFont="true" applyFill="true" applyBorder="true" applyAlignment="true">
      <alignment horizontal="left"/>
    </xf>
    <xf numFmtId="0" fontId="77" fillId="10" borderId="2" xfId="0" applyFont="true" applyFill="true" applyBorder="true" applyAlignment="true">
      <alignment horizontal="left"/>
    </xf>
    <xf numFmtId="0" fontId="24" fillId="10" borderId="5" xfId="0" applyFont="true" applyFill="true" applyBorder="true" applyAlignment="true">
      <alignment horizontal="left"/>
    </xf>
    <xf numFmtId="0" fontId="24" fillId="10" borderId="3" xfId="0" applyFont="true" applyFill="true" applyBorder="true" applyAlignment="true">
      <alignment horizontal="left"/>
    </xf>
    <xf numFmtId="0" fontId="24" fillId="10" borderId="5" xfId="0" applyFont="true" applyFill="true" applyBorder="true" applyAlignment="true">
      <alignment horizontal="left" vertical="center" wrapText="true"/>
    </xf>
    <xf numFmtId="0" fontId="24" fillId="10" borderId="3" xfId="0" applyFont="true" applyFill="true" applyBorder="true" applyAlignment="true">
      <alignment horizontal="left" vertical="center" wrapText="true"/>
    </xf>
    <xf numFmtId="0" fontId="24" fillId="10" borderId="48" xfId="0" applyFont="true" applyFill="true" applyBorder="true" applyAlignment="true">
      <alignment horizontal="left"/>
    </xf>
    <xf numFmtId="0" fontId="24" fillId="10" borderId="16" xfId="0" applyFont="true" applyFill="true" applyBorder="true" applyAlignment="true">
      <alignment horizontal="left"/>
    </xf>
    <xf numFmtId="0" fontId="18" fillId="10" borderId="7" xfId="0" applyFont="true" applyFill="true" applyBorder="true" applyAlignment="true">
      <alignment horizontal="left" vertical="center" wrapText="true"/>
    </xf>
    <xf numFmtId="0" fontId="18" fillId="10" borderId="8" xfId="0" applyFont="true" applyFill="true" applyBorder="true" applyAlignment="true">
      <alignment horizontal="left" vertical="center" wrapText="true"/>
    </xf>
    <xf numFmtId="0" fontId="24" fillId="10" borderId="5" xfId="0" applyFont="true" applyFill="true" applyBorder="true" applyAlignment="true">
      <alignment horizontal="left" vertical="center"/>
    </xf>
    <xf numFmtId="0" fontId="24" fillId="10" borderId="3" xfId="0" applyFont="true" applyFill="true" applyBorder="true" applyAlignment="true">
      <alignment horizontal="left" vertical="center"/>
    </xf>
    <xf numFmtId="0" fontId="107" fillId="10" borderId="11" xfId="1" applyFont="true" applyFill="true" applyBorder="true" applyAlignment="true">
      <alignment horizontal="right" vertical="center"/>
    </xf>
    <xf numFmtId="0" fontId="101" fillId="10" borderId="15" xfId="0" applyFont="true" applyFill="true" applyBorder="true" applyAlignment="true">
      <alignment horizontal="left" vertical="center"/>
    </xf>
    <xf numFmtId="0" fontId="17" fillId="0" borderId="31" xfId="0" applyFont="true" applyBorder="true" applyAlignment="true">
      <alignment horizontal="left" vertical="center" wrapText="true"/>
    </xf>
    <xf numFmtId="0" fontId="17" fillId="0" borderId="16" xfId="0" applyFont="true" applyBorder="true" applyAlignment="true">
      <alignment horizontal="left" vertical="center" wrapText="true"/>
    </xf>
    <xf numFmtId="0" fontId="17" fillId="0" borderId="41" xfId="0" applyFont="true" applyBorder="true" applyAlignment="true">
      <alignment horizontal="left" vertical="center" wrapText="true"/>
    </xf>
    <xf numFmtId="0" fontId="17" fillId="0" borderId="45" xfId="0" applyFont="true" applyBorder="true" applyAlignment="true">
      <alignment horizontal="left" vertical="center" wrapText="true"/>
    </xf>
    <xf numFmtId="0" fontId="17" fillId="0" borderId="17" xfId="0" applyFont="true" applyBorder="true" applyAlignment="true">
      <alignment horizontal="left" vertical="center" wrapText="true"/>
    </xf>
    <xf numFmtId="0" fontId="16" fillId="0" borderId="2" xfId="0" applyFont="true" applyBorder="true" applyAlignment="true">
      <alignment horizontal="center"/>
    </xf>
    <xf numFmtId="0" fontId="17" fillId="0" borderId="8" xfId="0" applyFont="true" applyBorder="true" applyAlignment="true">
      <alignment horizontal="left" vertical="center" wrapText="true"/>
    </xf>
    <xf numFmtId="0" fontId="23" fillId="0" borderId="0" xfId="0" applyFont="true" applyAlignment="true">
      <alignment horizontal="left"/>
    </xf>
    <xf numFmtId="0" fontId="16" fillId="0" borderId="0" xfId="0" applyFont="true" applyAlignment="true">
      <alignment horizontal="center"/>
    </xf>
    <xf numFmtId="0" fontId="17" fillId="0" borderId="3" xfId="0" applyFont="true" applyBorder="true" applyAlignment="true">
      <alignment wrapText="true"/>
    </xf>
    <xf numFmtId="0" fontId="17" fillId="0" borderId="8" xfId="0" applyFont="true" applyBorder="true" applyAlignment="true">
      <alignment wrapText="true"/>
    </xf>
    <xf numFmtId="0" fontId="80" fillId="3" borderId="7" xfId="1" applyFont="true" applyFill="true" applyBorder="true" applyAlignment="true">
      <alignment horizontal="left"/>
    </xf>
    <xf numFmtId="0" fontId="80" fillId="3" borderId="8" xfId="1" applyFont="true" applyFill="true" applyBorder="true" applyAlignment="true">
      <alignment horizontal="left"/>
    </xf>
    <xf numFmtId="0" fontId="200" fillId="11" borderId="2" xfId="1" applyFont="true" applyFill="true" applyBorder="true" applyAlignment="true">
      <alignment horizontal="left" vertical="center" wrapText="true"/>
    </xf>
    <xf numFmtId="0" fontId="200" fillId="11" borderId="10" xfId="1" applyFont="true" applyFill="true" applyBorder="true" applyAlignment="true">
      <alignment horizontal="left" vertical="center" wrapText="true"/>
    </xf>
    <xf numFmtId="165" fontId="58" fillId="3" borderId="3" xfId="0" applyNumberFormat="true" applyFont="true" applyFill="true" applyBorder="true" applyAlignment="true">
      <alignment horizontal="center" vertical="center"/>
    </xf>
    <xf numFmtId="165" fontId="58" fillId="3" borderId="11" xfId="0" applyNumberFormat="true" applyFont="true" applyFill="true" applyBorder="true" applyAlignment="true">
      <alignment horizontal="center" vertical="center"/>
    </xf>
    <xf numFmtId="165" fontId="58" fillId="3" borderId="8" xfId="0" applyNumberFormat="true" applyFont="true" applyFill="true" applyBorder="true" applyAlignment="true">
      <alignment horizontal="center" vertical="center"/>
    </xf>
    <xf numFmtId="165" fontId="58" fillId="3" borderId="12" xfId="0" applyNumberFormat="true" applyFont="true" applyFill="true" applyBorder="true" applyAlignment="true">
      <alignment horizontal="center" vertical="center"/>
    </xf>
    <xf numFmtId="0" fontId="198" fillId="11" borderId="10" xfId="1" applyFont="true" applyFill="true" applyBorder="true" applyAlignment="true">
      <alignment horizontal="left" vertical="center" wrapText="true"/>
    </xf>
    <xf numFmtId="0" fontId="198" fillId="11" borderId="11" xfId="1" applyFont="true" applyFill="true" applyBorder="true" applyAlignment="true">
      <alignment horizontal="left" vertical="center" wrapText="true"/>
    </xf>
    <xf numFmtId="0" fontId="198" fillId="11" borderId="2" xfId="1" applyFont="true" applyFill="true" applyBorder="true" applyAlignment="true">
      <alignment horizontal="center" vertical="center"/>
    </xf>
    <xf numFmtId="0" fontId="198" fillId="11" borderId="3" xfId="1" applyFont="true" applyFill="true" applyBorder="true" applyAlignment="true">
      <alignment horizontal="center" vertical="center"/>
    </xf>
    <xf numFmtId="0" fontId="199" fillId="11" borderId="1" xfId="1" applyFont="true" applyFill="true" applyBorder="true" applyAlignment="true">
      <alignment horizontal="left" vertical="center"/>
    </xf>
    <xf numFmtId="0" fontId="199" fillId="11" borderId="2" xfId="1" applyFont="true" applyFill="true" applyBorder="true" applyAlignment="true">
      <alignment horizontal="left" vertical="center"/>
    </xf>
    <xf numFmtId="0" fontId="80" fillId="3" borderId="5" xfId="1" applyFont="true" applyFill="true" applyBorder="true" applyAlignment="true">
      <alignment horizontal="left" vertical="center" wrapText="true"/>
    </xf>
    <xf numFmtId="0" fontId="80" fillId="3" borderId="3" xfId="1" applyFont="true" applyFill="true" applyBorder="true" applyAlignment="true">
      <alignment horizontal="left" vertical="center" wrapText="true"/>
    </xf>
    <xf numFmtId="0" fontId="197" fillId="11" borderId="1" xfId="1" applyFont="true" applyFill="true" applyBorder="true" applyAlignment="true">
      <alignment horizontal="left" vertical="center" wrapText="true"/>
    </xf>
    <xf numFmtId="0" fontId="197" fillId="11" borderId="5" xfId="1" applyFont="true" applyFill="true" applyBorder="true" applyAlignment="true">
      <alignment horizontal="left" vertical="center" wrapText="true"/>
    </xf>
    <xf numFmtId="0" fontId="198" fillId="11" borderId="2" xfId="1" applyFont="true" applyFill="true" applyBorder="true" applyAlignment="true">
      <alignment horizontal="left" vertical="center" wrapText="true"/>
    </xf>
    <xf numFmtId="0" fontId="198" fillId="11" borderId="3" xfId="1" applyFont="true" applyFill="true" applyBorder="true" applyAlignment="true">
      <alignment horizontal="left" vertical="center" wrapText="true"/>
    </xf>
    <xf numFmtId="0" fontId="80" fillId="11" borderId="2" xfId="1" applyFont="true" applyFill="true" applyBorder="true" applyAlignment="true">
      <alignment horizontal="left" vertical="center" wrapText="true"/>
    </xf>
    <xf numFmtId="0" fontId="80" fillId="11" borderId="3" xfId="1" applyFont="true" applyFill="true" applyBorder="true" applyAlignment="true">
      <alignment horizontal="left" vertical="center" wrapText="true"/>
    </xf>
    <xf numFmtId="0" fontId="23" fillId="10" borderId="20" xfId="0" applyFont="true" applyFill="true" applyBorder="true" applyAlignment="true">
      <alignment horizontal="center" vertical="center" wrapText="true"/>
    </xf>
    <xf numFmtId="0" fontId="23" fillId="10" borderId="0" xfId="0" applyFont="true" applyFill="true" applyAlignment="true">
      <alignment horizontal="center" vertical="center" wrapText="true"/>
    </xf>
    <xf numFmtId="0" fontId="23" fillId="10" borderId="25" xfId="0" applyFont="true" applyFill="true" applyBorder="true" applyAlignment="true">
      <alignment horizontal="center" vertical="center" wrapText="true"/>
    </xf>
    <xf numFmtId="0" fontId="45" fillId="10" borderId="5" xfId="1" applyFont="true" applyFill="true" applyBorder="true" applyAlignment="true">
      <alignment horizontal="right" vertical="center"/>
    </xf>
    <xf numFmtId="0" fontId="45" fillId="10" borderId="3" xfId="1" applyFont="true" applyFill="true" applyBorder="true" applyAlignment="true">
      <alignment horizontal="right" vertical="center"/>
    </xf>
    <xf numFmtId="0" fontId="17" fillId="10" borderId="5" xfId="0" applyFont="true" applyFill="true" applyBorder="true" applyAlignment="true">
      <alignment horizontal="right" vertical="center"/>
    </xf>
    <xf numFmtId="0" fontId="17" fillId="10" borderId="3" xfId="0" applyFont="true" applyFill="true" applyBorder="true" applyAlignment="true">
      <alignment horizontal="right" vertical="center"/>
    </xf>
    <xf numFmtId="0" fontId="17" fillId="10" borderId="5" xfId="0" applyFont="true" applyFill="true" applyBorder="true" applyAlignment="true">
      <alignment horizontal="right"/>
    </xf>
    <xf numFmtId="0" fontId="17" fillId="10" borderId="3" xfId="0" applyFont="true" applyFill="true" applyBorder="true" applyAlignment="true">
      <alignment horizontal="right"/>
    </xf>
    <xf numFmtId="0" fontId="45" fillId="10" borderId="5" xfId="1" applyFont="true" applyFill="true" applyBorder="true" applyAlignment="true">
      <alignment horizontal="left" vertical="center" wrapText="true"/>
    </xf>
    <xf numFmtId="0" fontId="45" fillId="10" borderId="3" xfId="1" applyFont="true" applyFill="true" applyBorder="true" applyAlignment="true">
      <alignment horizontal="left" vertical="center" wrapText="true"/>
    </xf>
    <xf numFmtId="0" fontId="58" fillId="10" borderId="7" xfId="0" applyFont="true" applyFill="true" applyBorder="true" applyAlignment="true">
      <alignment horizontal="left" vertical="center" wrapText="true"/>
    </xf>
    <xf numFmtId="0" fontId="58" fillId="10" borderId="8" xfId="0" applyFont="true" applyFill="true" applyBorder="true" applyAlignment="true">
      <alignment horizontal="left" vertical="center" wrapText="true"/>
    </xf>
    <xf numFmtId="0" fontId="33" fillId="10" borderId="48" xfId="0" applyFont="true" applyFill="true" applyBorder="true" applyAlignment="true">
      <alignment horizontal="left" vertical="center"/>
    </xf>
    <xf numFmtId="0" fontId="33" fillId="10" borderId="16" xfId="0" applyFont="true" applyFill="true" applyBorder="true" applyAlignment="true">
      <alignment horizontal="left" vertical="center"/>
    </xf>
    <xf numFmtId="0" fontId="45" fillId="10" borderId="1" xfId="1" applyFont="true" applyFill="true" applyBorder="true" applyAlignment="true">
      <alignment horizontal="left" vertical="center" wrapText="true"/>
    </xf>
    <xf numFmtId="0" fontId="45" fillId="10" borderId="2" xfId="1" applyFont="true" applyFill="true" applyBorder="true" applyAlignment="true">
      <alignment horizontal="left" vertical="center" wrapText="true"/>
    </xf>
    <xf numFmtId="0" fontId="58" fillId="10" borderId="5" xfId="0" applyFont="true" applyFill="true" applyBorder="true" applyAlignment="true">
      <alignment horizontal="left" vertical="center" wrapText="true"/>
    </xf>
    <xf numFmtId="0" fontId="58" fillId="10" borderId="3" xfId="0" applyFont="true" applyFill="true" applyBorder="true" applyAlignment="true">
      <alignment horizontal="left" vertical="center" wrapText="true"/>
    </xf>
    <xf numFmtId="0" fontId="45" fillId="10" borderId="54" xfId="1" applyFont="true" applyFill="true" applyBorder="true" applyAlignment="true">
      <alignment horizontal="right" vertical="center" wrapText="true"/>
    </xf>
    <xf numFmtId="0" fontId="45" fillId="10" borderId="46" xfId="1" applyFont="true" applyFill="true" applyBorder="true" applyAlignment="true">
      <alignment horizontal="right" vertical="center" wrapText="true"/>
    </xf>
    <xf numFmtId="0" fontId="45" fillId="10" borderId="5" xfId="1" applyFont="true" applyFill="true" applyBorder="true" applyAlignment="true">
      <alignment horizontal="right" vertical="center" wrapText="true"/>
    </xf>
    <xf numFmtId="0" fontId="45" fillId="10" borderId="3" xfId="1" applyFont="true" applyFill="true" applyBorder="true" applyAlignment="true">
      <alignment horizontal="right" vertical="center" wrapText="true"/>
    </xf>
    <xf numFmtId="0" fontId="18" fillId="10" borderId="3" xfId="0" applyFont="true" applyFill="true" applyBorder="true" applyAlignment="true">
      <alignment horizontal="center" vertical="center"/>
    </xf>
    <xf numFmtId="0" fontId="18" fillId="10" borderId="11" xfId="0" applyFont="true" applyFill="true" applyBorder="true" applyAlignment="true">
      <alignment horizontal="center" vertical="center"/>
    </xf>
    <xf numFmtId="0" fontId="18" fillId="10" borderId="8" xfId="0" applyFont="true" applyFill="true" applyBorder="true" applyAlignment="true">
      <alignment horizontal="center" vertical="center"/>
    </xf>
    <xf numFmtId="0" fontId="18" fillId="10" borderId="12" xfId="0" applyFont="true" applyFill="true" applyBorder="true" applyAlignment="true">
      <alignment horizontal="center" vertical="center"/>
    </xf>
    <xf numFmtId="0" fontId="14" fillId="10" borderId="2" xfId="0" applyFont="true" applyFill="true" applyBorder="true" applyAlignment="true">
      <alignment horizontal="center" vertical="center"/>
    </xf>
    <xf numFmtId="0" fontId="14" fillId="10" borderId="10" xfId="0" applyFont="true" applyFill="true" applyBorder="true" applyAlignment="true">
      <alignment horizontal="center" vertical="center"/>
    </xf>
    <xf numFmtId="0" fontId="18" fillId="10" borderId="1" xfId="0" applyFont="true" applyFill="true" applyBorder="true" applyAlignment="true">
      <alignment horizontal="left" vertical="center" wrapText="true"/>
    </xf>
    <xf numFmtId="0" fontId="18" fillId="10" borderId="2" xfId="0" applyFont="true" applyFill="true" applyBorder="true" applyAlignment="true">
      <alignment horizontal="left" vertical="center" wrapText="true"/>
    </xf>
    <xf numFmtId="0" fontId="126" fillId="10" borderId="1" xfId="1" applyFont="true" applyFill="true" applyBorder="true" applyAlignment="true">
      <alignment horizontal="center" vertical="center"/>
    </xf>
    <xf numFmtId="0" fontId="126" fillId="10" borderId="2" xfId="1" applyFont="true" applyFill="true" applyBorder="true" applyAlignment="true">
      <alignment horizontal="center" vertical="center"/>
    </xf>
    <xf numFmtId="0" fontId="126" fillId="10" borderId="49" xfId="1" applyFont="true" applyFill="true" applyBorder="true" applyAlignment="true">
      <alignment horizontal="center" vertical="center"/>
    </xf>
    <xf numFmtId="0" fontId="126" fillId="10" borderId="26" xfId="1" applyFont="true" applyFill="true" applyBorder="true" applyAlignment="true">
      <alignment horizontal="center" vertical="center"/>
    </xf>
    <xf numFmtId="0" fontId="126" fillId="10" borderId="27" xfId="1" applyFont="true" applyFill="true" applyBorder="true" applyAlignment="true">
      <alignment horizontal="center" vertical="center"/>
    </xf>
    <xf numFmtId="0" fontId="126" fillId="10" borderId="50" xfId="1" applyFont="true" applyFill="true" applyBorder="true" applyAlignment="true">
      <alignment horizontal="center" vertical="center"/>
    </xf>
    <xf numFmtId="0" fontId="127" fillId="10" borderId="5" xfId="0" applyFont="true" applyFill="true" applyBorder="true" applyAlignment="true">
      <alignment horizontal="center" vertical="center"/>
    </xf>
    <xf numFmtId="0" fontId="127" fillId="10" borderId="3" xfId="0" applyFont="true" applyFill="true" applyBorder="true" applyAlignment="true">
      <alignment horizontal="center" vertical="center"/>
    </xf>
    <xf numFmtId="0" fontId="127" fillId="10" borderId="11" xfId="0" applyFont="true" applyFill="true" applyBorder="true" applyAlignment="true">
      <alignment horizontal="center" vertical="center"/>
    </xf>
    <xf numFmtId="0" fontId="18" fillId="10" borderId="53" xfId="0" applyFont="true" applyFill="true" applyBorder="true" applyAlignment="true">
      <alignment horizontal="left" vertical="center" wrapText="true"/>
    </xf>
    <xf numFmtId="0" fontId="18" fillId="10" borderId="17" xfId="0" applyFont="true" applyFill="true" applyBorder="true" applyAlignment="true">
      <alignment horizontal="left" vertical="center" wrapText="true"/>
    </xf>
    <xf numFmtId="0" fontId="18" fillId="10" borderId="48" xfId="0" applyFont="true" applyFill="true" applyBorder="true" applyAlignment="true">
      <alignment horizontal="left" vertical="center"/>
    </xf>
    <xf numFmtId="0" fontId="18" fillId="10" borderId="16" xfId="0" applyFont="true" applyFill="true" applyBorder="true" applyAlignment="true">
      <alignment horizontal="left" vertical="center"/>
    </xf>
    <xf numFmtId="0" fontId="14" fillId="3" borderId="30" xfId="0" applyFont="true" applyFill="true" applyBorder="true" applyAlignment="true">
      <alignment horizontal="left" vertical="center" wrapText="true"/>
    </xf>
    <xf numFmtId="0" fontId="14" fillId="3" borderId="16" xfId="0" applyFont="true" applyFill="true" applyBorder="true" applyAlignment="true">
      <alignment horizontal="left" vertical="center" wrapText="true"/>
    </xf>
    <xf numFmtId="0" fontId="0" fillId="3" borderId="30" xfId="0" applyFill="true" applyBorder="true" applyAlignment="true">
      <alignment horizontal="left" vertical="center" wrapText="true"/>
    </xf>
    <xf numFmtId="0" fontId="0" fillId="3" borderId="31" xfId="0" applyFill="true" applyBorder="true" applyAlignment="true">
      <alignment horizontal="left" vertical="center" wrapText="true"/>
    </xf>
    <xf numFmtId="0" fontId="0" fillId="3" borderId="16" xfId="0" applyFill="true" applyBorder="true" applyAlignment="true">
      <alignment horizontal="left" vertical="center" wrapText="true"/>
    </xf>
    <xf numFmtId="0" fontId="0" fillId="3" borderId="3" xfId="0" applyFill="true" applyBorder="true" applyAlignment="true">
      <alignment horizontal="left" vertical="center"/>
    </xf>
    <xf numFmtId="0" fontId="18" fillId="3" borderId="3" xfId="0" applyFont="true" applyFill="true" applyBorder="true" applyAlignment="true">
      <alignment horizontal="center" vertical="center"/>
    </xf>
    <xf numFmtId="0" fontId="18" fillId="3" borderId="3" xfId="0" applyFont="true" applyFill="true" applyBorder="true" applyAlignment="true">
      <alignment horizontal="center" vertical="center" wrapText="true"/>
    </xf>
    <xf numFmtId="0" fontId="0" fillId="3" borderId="5" xfId="0" applyFill="true" applyBorder="true" applyAlignment="true">
      <alignment horizontal="left"/>
    </xf>
    <xf numFmtId="0" fontId="0" fillId="3" borderId="3" xfId="0" applyFill="true" applyBorder="true" applyAlignment="true">
      <alignment horizontal="left"/>
    </xf>
    <xf numFmtId="0" fontId="0" fillId="3" borderId="7" xfId="0" applyFill="true" applyBorder="true" applyAlignment="true">
      <alignment horizontal="left"/>
    </xf>
    <xf numFmtId="0" fontId="0" fillId="3" borderId="8" xfId="0" applyFill="true" applyBorder="true" applyAlignment="true">
      <alignment horizontal="left"/>
    </xf>
    <xf numFmtId="0" fontId="0" fillId="3" borderId="2" xfId="0" applyFill="true" applyBorder="true" applyAlignment="true">
      <alignment horizontal="center" vertical="center"/>
    </xf>
    <xf numFmtId="0" fontId="14" fillId="3" borderId="3" xfId="0" applyFont="true" applyFill="true" applyBorder="true" applyAlignment="true">
      <alignment horizontal="center" vertical="center"/>
    </xf>
    <xf numFmtId="0" fontId="0" fillId="3" borderId="30" xfId="0" applyFill="true" applyBorder="true"/>
    <xf numFmtId="0" fontId="0" fillId="3" borderId="16" xfId="0" applyFill="true" applyBorder="true"/>
    <xf numFmtId="0" fontId="14" fillId="3" borderId="30" xfId="0" applyFont="true" applyFill="true" applyBorder="true"/>
    <xf numFmtId="0" fontId="14" fillId="3" borderId="16" xfId="0" applyFont="true" applyFill="true" applyBorder="true"/>
    <xf numFmtId="0" fontId="184" fillId="10" borderId="0" xfId="0" applyFont="true" applyFill="true" applyAlignment="true">
      <alignment horizontal="left" vertical="center"/>
    </xf>
    <xf numFmtId="0" fontId="14" fillId="3" borderId="5" xfId="0" applyFont="true" applyFill="true" applyBorder="true" applyAlignment="true">
      <alignment horizontal="center" vertical="center"/>
    </xf>
    <xf numFmtId="0" fontId="14" fillId="3" borderId="7" xfId="0" applyFont="true" applyFill="true" applyBorder="true" applyAlignment="true">
      <alignment horizontal="center" vertical="center"/>
    </xf>
    <xf numFmtId="0" fontId="14" fillId="3" borderId="8" xfId="0" applyFont="true" applyFill="true" applyBorder="true" applyAlignment="true">
      <alignment horizontal="center" vertical="center"/>
    </xf>
    <xf numFmtId="0" fontId="18" fillId="3" borderId="30" xfId="0" applyFont="true" applyFill="true" applyBorder="true" applyAlignment="true">
      <alignment horizontal="left" vertical="center"/>
    </xf>
    <xf numFmtId="0" fontId="18" fillId="3" borderId="41" xfId="0" applyFont="true" applyFill="true" applyBorder="true" applyAlignment="true">
      <alignment horizontal="left" vertical="center"/>
    </xf>
    <xf numFmtId="0" fontId="0" fillId="3" borderId="13" xfId="0" applyFill="true" applyBorder="true" applyAlignment="true">
      <alignment horizontal="center" vertical="center"/>
    </xf>
    <xf numFmtId="0" fontId="0" fillId="3" borderId="19" xfId="0" applyFill="true" applyBorder="true" applyAlignment="true">
      <alignment horizontal="center" vertical="center"/>
    </xf>
    <xf numFmtId="0" fontId="0" fillId="3" borderId="6" xfId="0" applyFill="true" applyBorder="true" applyAlignment="true">
      <alignment horizontal="center" vertical="center"/>
    </xf>
    <xf numFmtId="0" fontId="0" fillId="3" borderId="52" xfId="0" applyFill="true" applyBorder="true" applyAlignment="true">
      <alignment horizontal="left"/>
    </xf>
    <xf numFmtId="0" fontId="0" fillId="3" borderId="22" xfId="0" applyFill="true" applyBorder="true" applyAlignment="true">
      <alignment horizontal="left"/>
    </xf>
    <xf numFmtId="0" fontId="0" fillId="3" borderId="48" xfId="0" applyFill="true" applyBorder="true" applyAlignment="true">
      <alignment horizontal="left" vertical="center"/>
    </xf>
    <xf numFmtId="0" fontId="0" fillId="3" borderId="16" xfId="0" applyFill="true" applyBorder="true" applyAlignment="true">
      <alignment horizontal="left" vertical="center"/>
    </xf>
    <xf numFmtId="0" fontId="0" fillId="3" borderId="53" xfId="0" applyFill="true" applyBorder="true" applyAlignment="true">
      <alignment horizontal="left" vertical="center"/>
    </xf>
    <xf numFmtId="0" fontId="0" fillId="3" borderId="17" xfId="0" applyFill="true" applyBorder="true" applyAlignment="true">
      <alignment horizontal="left" vertical="center"/>
    </xf>
    <xf numFmtId="0" fontId="18" fillId="3" borderId="1" xfId="0" applyFont="true" applyFill="true" applyBorder="true" applyAlignment="true">
      <alignment horizontal="center" vertical="center"/>
    </xf>
    <xf numFmtId="0" fontId="18" fillId="3" borderId="5" xfId="0" applyFont="true" applyFill="true" applyBorder="true" applyAlignment="true">
      <alignment horizontal="center" vertical="center"/>
    </xf>
    <xf numFmtId="0" fontId="14" fillId="3" borderId="49" xfId="0" applyFont="true" applyFill="true" applyBorder="true" applyAlignment="true">
      <alignment horizontal="center" vertical="center"/>
    </xf>
    <xf numFmtId="0" fontId="14" fillId="3" borderId="51" xfId="0" applyFont="true" applyFill="true" applyBorder="true" applyAlignment="true">
      <alignment horizontal="center" vertical="center"/>
    </xf>
    <xf numFmtId="0" fontId="14" fillId="3" borderId="22" xfId="0" applyFont="true" applyFill="true" applyBorder="true" applyAlignment="true">
      <alignment horizontal="center" vertical="center"/>
    </xf>
    <xf numFmtId="0" fontId="14" fillId="3" borderId="30" xfId="0" applyFont="true" applyFill="true" applyBorder="true" applyAlignment="true">
      <alignment horizontal="center" vertical="center"/>
    </xf>
    <xf numFmtId="0" fontId="14" fillId="3" borderId="31" xfId="0" applyFont="true" applyFill="true" applyBorder="true" applyAlignment="true">
      <alignment horizontal="center" vertical="center"/>
    </xf>
    <xf numFmtId="0" fontId="14" fillId="3" borderId="16" xfId="0" applyFont="true" applyFill="true" applyBorder="true" applyAlignment="true">
      <alignment horizontal="center" vertical="center"/>
    </xf>
    <xf numFmtId="0" fontId="14" fillId="3" borderId="41" xfId="0" applyFont="true" applyFill="true" applyBorder="true" applyAlignment="true">
      <alignment horizontal="center" vertical="center"/>
    </xf>
    <xf numFmtId="0" fontId="14" fillId="3" borderId="45" xfId="0" applyFont="true" applyFill="true" applyBorder="true" applyAlignment="true">
      <alignment horizontal="center" vertical="center"/>
    </xf>
    <xf numFmtId="0" fontId="14" fillId="3" borderId="17" xfId="0" applyFont="true" applyFill="true" applyBorder="true" applyAlignment="true">
      <alignment horizontal="center" vertical="center"/>
    </xf>
    <xf numFmtId="0" fontId="0" fillId="3" borderId="1" xfId="0" applyFill="true" applyBorder="true" applyAlignment="true">
      <alignment horizontal="left"/>
    </xf>
    <xf numFmtId="0" fontId="0" fillId="3" borderId="2" xfId="0" applyFill="true" applyBorder="true" applyAlignment="true">
      <alignment horizontal="left"/>
    </xf>
    <xf numFmtId="0" fontId="149" fillId="10" borderId="92" xfId="1" applyFont="true" applyFill="true" applyBorder="true" applyAlignment="true">
      <alignment horizontal="center"/>
    </xf>
    <xf numFmtId="0" fontId="149" fillId="10" borderId="93" xfId="1" applyFont="true" applyFill="true" applyBorder="true" applyAlignment="true">
      <alignment horizontal="center"/>
    </xf>
    <xf numFmtId="0" fontId="149" fillId="10" borderId="94" xfId="1" applyFont="true" applyFill="true" applyBorder="true" applyAlignment="true">
      <alignment horizontal="center"/>
    </xf>
    <xf numFmtId="0" fontId="150" fillId="10" borderId="92" xfId="1" applyFont="true" applyFill="true" applyBorder="true" applyAlignment="true">
      <alignment horizontal="center"/>
    </xf>
    <xf numFmtId="0" fontId="150" fillId="10" borderId="93" xfId="1" applyFont="true" applyFill="true" applyBorder="true" applyAlignment="true">
      <alignment horizontal="center"/>
    </xf>
    <xf numFmtId="0" fontId="150" fillId="10" borderId="94" xfId="1" applyFont="true" applyFill="true" applyBorder="true" applyAlignment="true">
      <alignment horizontal="center"/>
    </xf>
    <xf numFmtId="0" fontId="0" fillId="3" borderId="30" xfId="0" applyFill="true" applyBorder="true" applyAlignment="true">
      <alignment vertical="center"/>
    </xf>
    <xf numFmtId="0" fontId="0" fillId="3" borderId="16" xfId="0" applyFill="true" applyBorder="true" applyAlignment="true">
      <alignment vertical="center"/>
    </xf>
    <xf numFmtId="0" fontId="14" fillId="3" borderId="3" xfId="0" applyFont="true" applyFill="true" applyBorder="true" applyAlignment="true">
      <alignment horizontal="left" vertical="center"/>
    </xf>
    <xf numFmtId="0" fontId="43" fillId="10" borderId="5" xfId="0" applyFont="true" applyFill="true" applyBorder="true" applyAlignment="true">
      <alignment horizontal="left" vertical="center" wrapText="true"/>
    </xf>
    <xf numFmtId="0" fontId="43" fillId="10" borderId="7" xfId="0" applyFont="true" applyFill="true" applyBorder="true" applyAlignment="true">
      <alignment horizontal="left" vertical="center" wrapText="true"/>
    </xf>
    <xf numFmtId="0" fontId="43" fillId="10" borderId="8" xfId="0" applyFont="true" applyFill="true" applyBorder="true" applyAlignment="true">
      <alignment horizontal="left" vertical="center" wrapText="true"/>
    </xf>
    <xf numFmtId="0" fontId="195" fillId="10" borderId="77" xfId="1" applyFont="true" applyFill="true" applyBorder="true" applyAlignment="true">
      <alignment horizontal="left" vertical="center"/>
    </xf>
    <xf numFmtId="0" fontId="195" fillId="10" borderId="78" xfId="1" applyFont="true" applyFill="true" applyBorder="true" applyAlignment="true">
      <alignment horizontal="left" vertical="center"/>
    </xf>
    <xf numFmtId="0" fontId="195" fillId="10" borderId="79" xfId="1" applyFont="true" applyFill="true" applyBorder="true" applyAlignment="true">
      <alignment horizontal="left" vertical="center"/>
    </xf>
    <xf numFmtId="0" fontId="194" fillId="9" borderId="91" xfId="0" applyFont="true" applyFill="true" applyBorder="true" applyAlignment="true">
      <alignment horizontal="left"/>
    </xf>
    <xf numFmtId="0" fontId="194" fillId="9" borderId="83" xfId="0" applyFont="true" applyFill="true" applyBorder="true" applyAlignment="true">
      <alignment horizontal="left"/>
    </xf>
    <xf numFmtId="0" fontId="18" fillId="10" borderId="52" xfId="0" applyFont="true" applyFill="true" applyBorder="true" applyAlignment="true">
      <alignment horizontal="left" vertical="center"/>
    </xf>
    <xf numFmtId="0" fontId="18" fillId="10" borderId="22" xfId="0" applyFont="true" applyFill="true" applyBorder="true" applyAlignment="true">
      <alignment horizontal="left" vertical="center"/>
    </xf>
    <xf numFmtId="0" fontId="18" fillId="10" borderId="48" xfId="0" applyFont="true" applyFill="true" applyBorder="true" applyAlignment="true">
      <alignment horizontal="left"/>
    </xf>
    <xf numFmtId="0" fontId="18" fillId="10" borderId="16" xfId="0" applyFont="true" applyFill="true" applyBorder="true" applyAlignment="true">
      <alignment horizontal="left"/>
    </xf>
    <xf numFmtId="0" fontId="18" fillId="10" borderId="1" xfId="0" applyFont="true" applyFill="true" applyBorder="true" applyAlignment="true">
      <alignment vertical="center" wrapText="true"/>
    </xf>
    <xf numFmtId="0" fontId="18" fillId="10" borderId="2" xfId="0" applyFont="true" applyFill="true" applyBorder="true" applyAlignment="true">
      <alignment vertical="center" wrapText="true"/>
    </xf>
    <xf numFmtId="0" fontId="15" fillId="3" borderId="92" xfId="0" applyFont="true" applyFill="true" applyBorder="true" applyAlignment="true">
      <alignment horizontal="center" vertical="center"/>
    </xf>
    <xf numFmtId="0" fontId="15" fillId="3" borderId="93" xfId="0" applyFont="true" applyFill="true" applyBorder="true" applyAlignment="true">
      <alignment horizontal="center" vertical="center"/>
    </xf>
    <xf numFmtId="0" fontId="15" fillId="3" borderId="94" xfId="0" applyFont="true" applyFill="true" applyBorder="true" applyAlignment="true">
      <alignment horizontal="center" vertical="center"/>
    </xf>
    <xf numFmtId="0" fontId="184" fillId="10" borderId="24" xfId="0" applyFont="true" applyFill="true" applyBorder="true" applyAlignment="true">
      <alignment horizontal="left" vertical="center"/>
    </xf>
    <xf numFmtId="0" fontId="81" fillId="10" borderId="0" xfId="0" applyFont="true" applyFill="true" applyAlignment="true" applyProtection="true">
      <alignment horizontal="left"/>
      <protection locked="false"/>
    </xf>
    <xf numFmtId="0" fontId="17" fillId="10" borderId="3" xfId="0" applyFont="true" applyFill="true" applyBorder="true"/>
    <xf numFmtId="0" fontId="17" fillId="10" borderId="3" xfId="0" applyFont="true" applyFill="true" applyBorder="true" applyAlignment="true">
      <alignment horizontal="left" wrapText="true"/>
    </xf>
    <xf numFmtId="0" fontId="17" fillId="10" borderId="0" xfId="0" applyFont="true" applyFill="true"/>
    <xf numFmtId="0" fontId="17" fillId="10" borderId="3" xfId="0" applyFont="true" applyFill="true" applyBorder="true" applyAlignment="true">
      <alignment horizontal="left" vertical="center" wrapText="true"/>
    </xf>
    <xf numFmtId="0" fontId="17" fillId="10" borderId="3" xfId="0" applyFont="true" applyFill="true" applyBorder="true" applyAlignment="true">
      <alignment horizontal="left" vertical="center"/>
    </xf>
    <xf numFmtId="0" fontId="17" fillId="10" borderId="3" xfId="0" applyFont="true" applyFill="true" applyBorder="true" applyAlignment="true">
      <alignment wrapText="true"/>
    </xf>
    <xf numFmtId="0" fontId="45" fillId="10" borderId="46" xfId="1" applyFont="true" applyFill="true" applyBorder="true" applyAlignment="true">
      <alignment horizontal="center" vertical="center"/>
    </xf>
    <xf numFmtId="0" fontId="45" fillId="10" borderId="53" xfId="1" applyFont="true" applyFill="true" applyBorder="true" applyAlignment="true">
      <alignment horizontal="left" vertical="center"/>
    </xf>
    <xf numFmtId="0" fontId="45" fillId="10" borderId="17" xfId="1" applyFont="true" applyFill="true" applyBorder="true" applyAlignment="true">
      <alignment horizontal="left" vertical="center"/>
    </xf>
    <xf numFmtId="0" fontId="17" fillId="10" borderId="52" xfId="0" applyFont="true" applyFill="true" applyBorder="true" applyAlignment="true">
      <alignment horizontal="left" vertical="center" wrapText="true"/>
    </xf>
    <xf numFmtId="0" fontId="17" fillId="10" borderId="22" xfId="0" applyFont="true" applyFill="true" applyBorder="true" applyAlignment="true">
      <alignment horizontal="left" vertical="center" wrapText="true"/>
    </xf>
    <xf numFmtId="0" fontId="17" fillId="10" borderId="48" xfId="0" applyFont="true" applyFill="true" applyBorder="true" applyAlignment="true">
      <alignment vertical="center"/>
    </xf>
    <xf numFmtId="0" fontId="17" fillId="10" borderId="16" xfId="0" applyFont="true" applyFill="true" applyBorder="true" applyAlignment="true">
      <alignment vertical="center"/>
    </xf>
    <xf numFmtId="0" fontId="17" fillId="10" borderId="5" xfId="0" applyFont="true" applyFill="true" applyBorder="true" applyAlignment="true">
      <alignment vertical="center"/>
    </xf>
    <xf numFmtId="0" fontId="17" fillId="10" borderId="3" xfId="0" applyFont="true" applyFill="true" applyBorder="true" applyAlignment="true">
      <alignment vertical="center"/>
    </xf>
    <xf numFmtId="0" fontId="189" fillId="10" borderId="0" xfId="0" applyFont="true" applyFill="true" applyAlignment="true">
      <alignment horizontal="center"/>
    </xf>
    <xf numFmtId="0" fontId="17" fillId="10" borderId="8" xfId="0" applyFont="true" applyFill="true" applyBorder="true" applyAlignment="true">
      <alignment horizontal="center" vertical="center"/>
    </xf>
    <xf numFmtId="0" fontId="45" fillId="10" borderId="7" xfId="1" applyFont="true" applyFill="true" applyBorder="true" applyAlignment="true">
      <alignment vertical="center"/>
    </xf>
    <xf numFmtId="0" fontId="45" fillId="10" borderId="8" xfId="1" applyFont="true" applyFill="true" applyBorder="true" applyAlignment="true">
      <alignment vertical="center"/>
    </xf>
    <xf numFmtId="0" fontId="17" fillId="10" borderId="42" xfId="0" applyFont="true" applyFill="true" applyBorder="true" applyAlignment="true">
      <alignment vertical="center" wrapText="true"/>
    </xf>
    <xf numFmtId="0" fontId="17" fillId="10" borderId="18" xfId="0" applyFont="true" applyFill="true" applyBorder="true" applyAlignment="true">
      <alignment vertical="center" wrapText="true"/>
    </xf>
    <xf numFmtId="22" fontId="0" fillId="0" borderId="104" xfId="0" applyNumberFormat="true"/>
  </cellXfs>
  <cellStyles count="8">
    <cellStyle name="Bad" xfId="5" builtinId="27"/>
    <cellStyle name="Comma" xfId="6" builtinId="3"/>
    <cellStyle name="Good" xfId="4" builtinId="26"/>
    <cellStyle name="Hyperlink" xfId="2" builtinId="8"/>
    <cellStyle name="Normal" xfId="0" builtinId="0"/>
    <cellStyle name="Normal 2" xfId="1" xr:uid="{00000000-0005-0000-0000-000005000000}"/>
    <cellStyle name="Normal 67" xfId="7" xr:uid="{00000000-0005-0000-0000-000006000000}"/>
    <cellStyle name="Normal 68" xfId="3" xr:uid="{00000000-0005-0000-0000-000007000000}"/>
  </cellStyles>
  <dxfs count="0"/>
  <tableStyles count="0" defaultTableStyle="TableStyleMedium9" defaultPivotStyle="PivotStyleLight16"/>
  <colors>
    <mruColors>
      <color rgb="FF21FF85"/>
      <color rgb="FFF58F8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Relationships xmlns="http://schemas.openxmlformats.org/package/2006/relationships"><Relationship Target="worksheets/sheet8.xml" Type="http://schemas.openxmlformats.org/officeDocument/2006/relationships/worksheet" Id="rId8"/><Relationship Target="worksheets/sheet13.xml" Type="http://schemas.openxmlformats.org/officeDocument/2006/relationships/worksheet" Id="rId13"/><Relationship Target="worksheets/sheet3.xml" Type="http://schemas.openxmlformats.org/officeDocument/2006/relationships/worksheet" Id="rId3"/><Relationship Target="worksheets/sheet7.xml" Type="http://schemas.openxmlformats.org/officeDocument/2006/relationships/worksheet" Id="rId7"/><Relationship Target="worksheets/sheet12.xml" Type="http://schemas.openxmlformats.org/officeDocument/2006/relationships/worksheet" Id="rId12"/><Relationship Target="sharedStrings.xml" Type="http://schemas.openxmlformats.org/officeDocument/2006/relationships/sharedStrings" Id="rId17"/><Relationship Target="worksheets/sheet2.xml" Type="http://schemas.openxmlformats.org/officeDocument/2006/relationships/worksheet" Id="rId2"/><Relationship Target="styles.xml" Type="http://schemas.openxmlformats.org/officeDocument/2006/relationships/styles" Id="rId16"/><Relationship Target="worksheets/sheet1.xml" Type="http://schemas.openxmlformats.org/officeDocument/2006/relationships/worksheet" Id="rId1"/><Relationship Target="worksheets/sheet6.xml" Type="http://schemas.openxmlformats.org/officeDocument/2006/relationships/worksheet" Id="rId6"/><Relationship Target="worksheets/sheet11.xml" Type="http://schemas.openxmlformats.org/officeDocument/2006/relationships/worksheet" Id="rId11"/><Relationship Target="worksheets/sheet5.xml" Type="http://schemas.openxmlformats.org/officeDocument/2006/relationships/worksheet" Id="rId5"/><Relationship Target="theme/theme1.xml" Type="http://schemas.openxmlformats.org/officeDocument/2006/relationships/theme" Id="rId15"/><Relationship Target="worksheets/sheet10.xml" Type="http://schemas.openxmlformats.org/officeDocument/2006/relationships/worksheet" Id="rId10"/><Relationship Target="vbaProject.bin" Type="http://schemas.microsoft.com/office/2006/relationships/vbaProject" Id="rId19"/><Relationship Target="worksheets/sheet4.xml" Type="http://schemas.openxmlformats.org/officeDocument/2006/relationships/worksheet" Id="rId4"/><Relationship Target="worksheets/sheet9.xml" Type="http://schemas.openxmlformats.org/officeDocument/2006/relationships/worksheet" Id="rId9"/><Relationship Target="worksheets/sheet14.xml" Type="http://schemas.openxmlformats.org/officeDocument/2006/relationships/worksheet" Id="rId14"/></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5"/>
    </mc:Choice>
    <mc:Fallback>
      <c:style val="5"/>
    </mc:Fallback>
  </mc:AlternateContent>
  <c:chart>
    <c:autoTitleDeleted val="1"/>
    <c:plotArea>
      <c:layout>
        <c:manualLayout>
          <c:layoutTarget val="inner"/>
          <c:xMode val="edge"/>
          <c:yMode val="edge"/>
          <c:x val="0.16043645142941904"/>
          <c:y val="5.9950299534310934E-2"/>
          <c:w val="0.68144916343573569"/>
          <c:h val="0.84882287011420865"/>
        </c:manualLayout>
      </c:layout>
      <c:radarChart>
        <c:radarStyle val="marker"/>
        <c:varyColors val="0"/>
        <c:ser>
          <c:idx val="0"/>
          <c:order val="0"/>
          <c:spPr>
            <a:ln w="38100"/>
          </c:spPr>
          <c:marker>
            <c:spPr>
              <a:ln w="38100"/>
            </c:spPr>
          </c:marker>
          <c:dLbls>
            <c:delete val="1"/>
          </c:dLbls>
          <c:cat>
            <c:strRef>
              <c:f>'IV. Material Efficiency'!$H$6:$H$31</c:f>
              <c:strCache>
                <c:ptCount val="26"/>
                <c:pt idx="0">
                  <c:v>1. ε</c:v>
                </c:pt>
                <c:pt idx="1">
                  <c:v>2. AEi</c:v>
                </c:pt>
                <c:pt idx="2">
                  <c:v>3. AAE</c:v>
                </c:pt>
                <c:pt idx="3">
                  <c:v>4. SF</c:v>
                </c:pt>
                <c:pt idx="4">
                  <c:v>5. RME</c:v>
                </c:pt>
                <c:pt idx="5">
                  <c:v>6. mmat tot</c:v>
                </c:pt>
                <c:pt idx="6">
                  <c:v>7. MI</c:v>
                </c:pt>
                <c:pt idx="7">
                  <c:v>8. MIv</c:v>
                </c:pt>
                <c:pt idx="8">
                  <c:v>9. MP</c:v>
                </c:pt>
                <c:pt idx="9">
                  <c:v>10. E</c:v>
                </c:pt>
                <c:pt idx="10">
                  <c:v>11. MLI</c:v>
                </c:pt>
                <c:pt idx="11">
                  <c:v>12. Emw</c:v>
                </c:pt>
                <c:pt idx="12">
                  <c:v>13. EMY</c:v>
                </c:pt>
                <c:pt idx="13">
                  <c:v>14. CE</c:v>
                </c:pt>
                <c:pt idx="14">
                  <c:v>15. MRP</c:v>
                </c:pt>
                <c:pt idx="15">
                  <c:v>16. f</c:v>
                </c:pt>
                <c:pt idx="16">
                  <c:v>17. pROIM</c:v>
                </c:pt>
                <c:pt idx="17">
                  <c:v>18. RIM</c:v>
                </c:pt>
                <c:pt idx="18">
                  <c:v>19. BFM</c:v>
                </c:pt>
                <c:pt idx="19">
                  <c:v>20. wrecycl. mat.</c:v>
                </c:pt>
                <c:pt idx="20">
                  <c:v>21. wrecycl. prod.</c:v>
                </c:pt>
                <c:pt idx="21">
                  <c:v>22. wrecov. prod.</c:v>
                </c:pt>
                <c:pt idx="22">
                  <c:v>23. Vwater, tot.</c:v>
                </c:pt>
                <c:pt idx="23">
                  <c:v>24. FWC</c:v>
                </c:pt>
                <c:pt idx="24">
                  <c:v>25. WI</c:v>
                </c:pt>
                <c:pt idx="25">
                  <c:v>26. Fwater type</c:v>
                </c:pt>
              </c:strCache>
            </c:strRef>
          </c:cat>
          <c:val>
            <c:numRef>
              <c:f>'IV. Material Efficiency'!$R$6:$R$31</c:f>
              <c:numCache>
                <c:formatCode>General</c:formatCode>
                <c:ptCount val="26"/>
                <c:pt idx="0">
                  <c:v>76</c:v>
                </c:pt>
                <c:pt idx="1">
                  <c:v>56</c:v>
                </c:pt>
                <c:pt idx="2">
                  <c:v>42.6</c:v>
                </c:pt>
                <c:pt idx="3">
                  <c:v>100</c:v>
                </c:pt>
                <c:pt idx="4">
                  <c:v>42.6</c:v>
                </c:pt>
                <c:pt idx="5">
                  <c:v>98.71</c:v>
                </c:pt>
                <c:pt idx="6">
                  <c:v>98.71</c:v>
                </c:pt>
                <c:pt idx="7">
                  <c:v>97.11</c:v>
                </c:pt>
                <c:pt idx="8">
                  <c:v>66.599999999999994</c:v>
                </c:pt>
                <c:pt idx="9">
                  <c:v>98.71</c:v>
                </c:pt>
                <c:pt idx="10">
                  <c:v>99.5</c:v>
                </c:pt>
                <c:pt idx="11">
                  <c:v>99.22</c:v>
                </c:pt>
                <c:pt idx="12">
                  <c:v>100</c:v>
                </c:pt>
                <c:pt idx="13">
                  <c:v>0</c:v>
                </c:pt>
                <c:pt idx="14">
                  <c:v>0</c:v>
                </c:pt>
                <c:pt idx="15">
                  <c:v>100</c:v>
                </c:pt>
                <c:pt idx="16">
                  <c:v>95.02</c:v>
                </c:pt>
                <c:pt idx="17">
                  <c:v>0</c:v>
                </c:pt>
                <c:pt idx="18">
                  <c:v>10</c:v>
                </c:pt>
                <c:pt idx="19">
                  <c:v>0</c:v>
                </c:pt>
                <c:pt idx="20">
                  <c:v>0</c:v>
                </c:pt>
                <c:pt idx="21">
                  <c:v>0</c:v>
                </c:pt>
                <c:pt idx="22">
                  <c:v>0</c:v>
                </c:pt>
                <c:pt idx="23">
                  <c:v>100</c:v>
                </c:pt>
                <c:pt idx="24">
                  <c:v>100</c:v>
                </c:pt>
                <c:pt idx="25">
                  <c:v>0</c:v>
                </c:pt>
              </c:numCache>
            </c:numRef>
          </c:val>
          <c:extLst>
            <c:ext xmlns:c16="http://schemas.microsoft.com/office/drawing/2014/chart" uri="{C3380CC4-5D6E-409C-BE32-E72D297353CC}">
              <c16:uniqueId val="{00000000-F37C-4EEA-B440-AA46432D9562}"/>
            </c:ext>
          </c:extLst>
        </c:ser>
        <c:dLbls>
          <c:showLegendKey val="0"/>
          <c:showVal val="1"/>
          <c:showCatName val="0"/>
          <c:showSerName val="0"/>
          <c:showPercent val="0"/>
          <c:showBubbleSize val="0"/>
        </c:dLbls>
        <c:axId val="178445624"/>
        <c:axId val="178446016"/>
      </c:radarChart>
      <c:catAx>
        <c:axId val="178445624"/>
        <c:scaling>
          <c:orientation val="minMax"/>
        </c:scaling>
        <c:delete val="0"/>
        <c:axPos val="b"/>
        <c:majorGridlines/>
        <c:numFmt formatCode="General" sourceLinked="1"/>
        <c:majorTickMark val="out"/>
        <c:minorTickMark val="none"/>
        <c:tickLblPos val="nextTo"/>
        <c:txPr>
          <a:bodyPr/>
          <a:lstStyle/>
          <a:p>
            <a:pPr>
              <a:defRPr sz="1400" b="0">
                <a:latin typeface="Times New Roman" pitchFamily="18" charset="0"/>
                <a:cs typeface="Times New Roman" pitchFamily="18" charset="0"/>
              </a:defRPr>
            </a:pPr>
            <a:endParaRPr lang="en-US"/>
          </a:p>
        </c:txPr>
        <c:crossAx val="178446016"/>
        <c:crosses val="autoZero"/>
        <c:auto val="1"/>
        <c:lblAlgn val="ctr"/>
        <c:lblOffset val="100"/>
        <c:noMultiLvlLbl val="0"/>
      </c:catAx>
      <c:valAx>
        <c:axId val="178446016"/>
        <c:scaling>
          <c:orientation val="minMax"/>
          <c:max val="100"/>
          <c:min val="0"/>
        </c:scaling>
        <c:delete val="0"/>
        <c:axPos val="l"/>
        <c:majorGridlines/>
        <c:numFmt formatCode="General" sourceLinked="1"/>
        <c:majorTickMark val="cross"/>
        <c:minorTickMark val="none"/>
        <c:tickLblPos val="nextTo"/>
        <c:spPr>
          <a:ln w="3175"/>
        </c:spPr>
        <c:txPr>
          <a:bodyPr/>
          <a:lstStyle/>
          <a:p>
            <a:pPr>
              <a:defRPr sz="1200" b="1"/>
            </a:pPr>
            <a:endParaRPr lang="en-US"/>
          </a:p>
        </c:txPr>
        <c:crossAx val="178445624"/>
        <c:crosses val="autoZero"/>
        <c:crossBetween val="between"/>
        <c:majorUnit val="20"/>
        <c:minorUnit val="2"/>
      </c:valAx>
    </c:plotArea>
    <c:plotVisOnly val="1"/>
    <c:dispBlanksAs val="gap"/>
    <c:showDLblsOverMax val="0"/>
  </c:chart>
  <c:printSettings>
    <c:headerFooter/>
    <c:pageMargins b="0.75000000000001465" l="0.70000000000000062" r="0.70000000000000062" t="0.75000000000001465" header="0.30000000000000032" footer="0.30000000000000032"/>
    <c:pageSetup orientation="landscape"/>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5"/>
    </mc:Choice>
    <mc:Fallback>
      <c:style val="5"/>
    </mc:Fallback>
  </mc:AlternateContent>
  <c:chart>
    <c:autoTitleDeleted val="1"/>
    <c:plotArea>
      <c:layout>
        <c:manualLayout>
          <c:layoutTarget val="inner"/>
          <c:xMode val="edge"/>
          <c:yMode val="edge"/>
          <c:x val="0.12141920230203321"/>
          <c:y val="6.2624132512644468E-2"/>
          <c:w val="0.755330395021377"/>
          <c:h val="0.8686982591568515"/>
        </c:manualLayout>
      </c:layout>
      <c:radarChart>
        <c:radarStyle val="marker"/>
        <c:varyColors val="0"/>
        <c:ser>
          <c:idx val="0"/>
          <c:order val="0"/>
          <c:spPr>
            <a:ln w="38100"/>
          </c:spPr>
          <c:marker>
            <c:spPr>
              <a:ln w="38100"/>
            </c:spPr>
          </c:marker>
          <c:dLbls>
            <c:delete val="1"/>
          </c:dLbls>
          <c:cat>
            <c:strRef>
              <c:f>'V. Environmental'!$H$6:$H$71</c:f>
              <c:strCache>
                <c:ptCount val="66"/>
                <c:pt idx="0">
                  <c:v>1. Nhaz. mat.</c:v>
                </c:pt>
                <c:pt idx="1">
                  <c:v>2. mhaz. mat.</c:v>
                </c:pt>
                <c:pt idx="2">
                  <c:v>3. mhaz. mat. spec.</c:v>
                </c:pt>
                <c:pt idx="3">
                  <c:v>4. mPBT mat.</c:v>
                </c:pt>
                <c:pt idx="4">
                  <c:v>5. CEI</c:v>
                </c:pt>
                <c:pt idx="5">
                  <c:v>6. HHirritation</c:v>
                </c:pt>
                <c:pt idx="6">
                  <c:v>7. HHchronic toxicity</c:v>
                </c:pt>
                <c:pt idx="7">
                  <c:v>8. SHmobility</c:v>
                </c:pt>
                <c:pt idx="8">
                  <c:v>9. SHfire/explosion</c:v>
                </c:pt>
                <c:pt idx="9">
                  <c:v>10. SHreac/dec I</c:v>
                </c:pt>
                <c:pt idx="10">
                  <c:v>11. SHreac/dec II</c:v>
                </c:pt>
                <c:pt idx="11">
                  <c:v>12. SHacute tox.</c:v>
                </c:pt>
                <c:pt idx="12">
                  <c:v>13. FTA</c:v>
                </c:pt>
                <c:pt idx="13">
                  <c:v>14. TRs</c:v>
                </c:pt>
                <c:pt idx="14">
                  <c:v>15. TR</c:v>
                </c:pt>
                <c:pt idx="15">
                  <c:v>16. EQ</c:v>
                </c:pt>
                <c:pt idx="16">
                  <c:v>17. EBcancer eff.</c:v>
                </c:pt>
                <c:pt idx="17">
                  <c:v>18. EHdegradation</c:v>
                </c:pt>
                <c:pt idx="18">
                  <c:v>19. EHair</c:v>
                </c:pt>
                <c:pt idx="19">
                  <c:v>20. EHwater</c:v>
                </c:pt>
                <c:pt idx="20">
                  <c:v>21. EHsolid</c:v>
                </c:pt>
                <c:pt idx="21">
                  <c:v>22. EHbioacc.</c:v>
                </c:pt>
                <c:pt idx="22">
                  <c:v>23. GWP</c:v>
                </c:pt>
                <c:pt idx="23">
                  <c:v>24. GWI</c:v>
                </c:pt>
                <c:pt idx="24">
                  <c:v>25. ODP</c:v>
                </c:pt>
                <c:pt idx="25">
                  <c:v>26. ODI</c:v>
                </c:pt>
                <c:pt idx="26">
                  <c:v>27. PCOP</c:v>
                </c:pt>
                <c:pt idx="27">
                  <c:v>28. PCOI</c:v>
                </c:pt>
                <c:pt idx="28">
                  <c:v>29. AP</c:v>
                </c:pt>
                <c:pt idx="29">
                  <c:v>30. API</c:v>
                </c:pt>
                <c:pt idx="30">
                  <c:v>31. WPacid. water</c:v>
                </c:pt>
                <c:pt idx="31">
                  <c:v>32. WPIacid. water</c:v>
                </c:pt>
                <c:pt idx="32">
                  <c:v>33. WPbasi. water</c:v>
                </c:pt>
                <c:pt idx="33">
                  <c:v>34. WPIbasi. water</c:v>
                </c:pt>
                <c:pt idx="34">
                  <c:v>35. WPsalinity</c:v>
                </c:pt>
                <c:pt idx="35">
                  <c:v>36. WPIsalinity</c:v>
                </c:pt>
                <c:pt idx="36">
                  <c:v>37. WPO2 dem.</c:v>
                </c:pt>
                <c:pt idx="37">
                  <c:v>38. WPIO2 dem.</c:v>
                </c:pt>
                <c:pt idx="38">
                  <c:v>39. WPtox. other</c:v>
                </c:pt>
                <c:pt idx="39">
                  <c:v>40. WPItox. other</c:v>
                </c:pt>
                <c:pt idx="40">
                  <c:v>41. WPtox. metal</c:v>
                </c:pt>
                <c:pt idx="41">
                  <c:v>42. WPItox. metal</c:v>
                </c:pt>
                <c:pt idx="42">
                  <c:v>43. EP</c:v>
                </c:pt>
                <c:pt idx="43">
                  <c:v>44. EPI</c:v>
                </c:pt>
                <c:pt idx="44">
                  <c:v>45. SMIM</c:v>
                </c:pt>
                <c:pt idx="45">
                  <c:v>46. MIM</c:v>
                </c:pt>
                <c:pt idx="46">
                  <c:v>47. ELR</c:v>
                </c:pt>
                <c:pt idx="47">
                  <c:v>48. EYR</c:v>
                </c:pt>
                <c:pt idx="48">
                  <c:v>49. ESI</c:v>
                </c:pt>
                <c:pt idx="49">
                  <c:v>50. BFM</c:v>
                </c:pt>
                <c:pt idx="50">
                  <c:v>51. RI</c:v>
                </c:pt>
                <c:pt idx="51">
                  <c:v>52. ms, tot.</c:v>
                </c:pt>
                <c:pt idx="52">
                  <c:v>53. ms, spec.</c:v>
                </c:pt>
                <c:pt idx="53">
                  <c:v>54. ms, recov.</c:v>
                </c:pt>
                <c:pt idx="54">
                  <c:v>55. ms, disp.</c:v>
                </c:pt>
                <c:pt idx="55">
                  <c:v>56. ws, recycl. </c:v>
                </c:pt>
                <c:pt idx="56">
                  <c:v>57. ws, non-recycl.</c:v>
                </c:pt>
                <c:pt idx="57">
                  <c:v>58. ws, haz.</c:v>
                </c:pt>
                <c:pt idx="58">
                  <c:v>59. ms, haz.</c:v>
                </c:pt>
                <c:pt idx="59">
                  <c:v>60. ms, haz. spec.</c:v>
                </c:pt>
                <c:pt idx="60">
                  <c:v>61. ms,n-haz.</c:v>
                </c:pt>
                <c:pt idx="61">
                  <c:v>62. ms, n-haz.spec. </c:v>
                </c:pt>
                <c:pt idx="62">
                  <c:v>63. Vl, tot.</c:v>
                </c:pt>
                <c:pt idx="63">
                  <c:v>64. Vl, spec. </c:v>
                </c:pt>
                <c:pt idx="64">
                  <c:v>65. Vl, non-poll.</c:v>
                </c:pt>
                <c:pt idx="65">
                  <c:v>66. Vl, poll.</c:v>
                </c:pt>
              </c:strCache>
            </c:strRef>
          </c:cat>
          <c:val>
            <c:numRef>
              <c:f>'V. Environmental'!$R$6:$R$71</c:f>
              <c:numCache>
                <c:formatCode>General</c:formatCode>
                <c:ptCount val="66"/>
                <c:pt idx="0">
                  <c:v>100</c:v>
                </c:pt>
                <c:pt idx="1">
                  <c:v>100</c:v>
                </c:pt>
                <c:pt idx="2">
                  <c:v>100</c:v>
                </c:pt>
                <c:pt idx="3">
                  <c:v>100</c:v>
                </c:pt>
                <c:pt idx="4">
                  <c:v>0</c:v>
                </c:pt>
                <c:pt idx="5">
                  <c:v>95.25</c:v>
                </c:pt>
                <c:pt idx="6">
                  <c:v>93.6</c:v>
                </c:pt>
                <c:pt idx="7">
                  <c:v>33.94</c:v>
                </c:pt>
                <c:pt idx="8">
                  <c:v>0</c:v>
                </c:pt>
                <c:pt idx="9">
                  <c:v>85</c:v>
                </c:pt>
                <c:pt idx="10">
                  <c:v>0</c:v>
                </c:pt>
                <c:pt idx="11">
                  <c:v>74.75</c:v>
                </c:pt>
                <c:pt idx="12">
                  <c:v>50</c:v>
                </c:pt>
                <c:pt idx="13">
                  <c:v>100</c:v>
                </c:pt>
                <c:pt idx="14">
                  <c:v>100</c:v>
                </c:pt>
                <c:pt idx="15">
                  <c:v>98.31</c:v>
                </c:pt>
                <c:pt idx="16">
                  <c:v>100</c:v>
                </c:pt>
                <c:pt idx="17">
                  <c:v>33.94</c:v>
                </c:pt>
                <c:pt idx="18">
                  <c:v>93.6</c:v>
                </c:pt>
                <c:pt idx="19">
                  <c:v>81.64</c:v>
                </c:pt>
                <c:pt idx="20">
                  <c:v>100</c:v>
                </c:pt>
                <c:pt idx="21">
                  <c:v>0</c:v>
                </c:pt>
                <c:pt idx="22">
                  <c:v>0</c:v>
                </c:pt>
                <c:pt idx="23">
                  <c:v>0</c:v>
                </c:pt>
                <c:pt idx="24">
                  <c:v>100</c:v>
                </c:pt>
                <c:pt idx="25">
                  <c:v>100</c:v>
                </c:pt>
                <c:pt idx="26">
                  <c:v>100</c:v>
                </c:pt>
                <c:pt idx="27">
                  <c:v>100</c:v>
                </c:pt>
                <c:pt idx="28">
                  <c:v>100</c:v>
                </c:pt>
                <c:pt idx="29">
                  <c:v>100</c:v>
                </c:pt>
                <c:pt idx="30">
                  <c:v>100</c:v>
                </c:pt>
                <c:pt idx="31">
                  <c:v>100</c:v>
                </c:pt>
                <c:pt idx="32">
                  <c:v>100</c:v>
                </c:pt>
                <c:pt idx="33">
                  <c:v>100</c:v>
                </c:pt>
                <c:pt idx="34">
                  <c:v>100</c:v>
                </c:pt>
                <c:pt idx="35">
                  <c:v>100</c:v>
                </c:pt>
                <c:pt idx="36">
                  <c:v>100</c:v>
                </c:pt>
                <c:pt idx="37">
                  <c:v>100</c:v>
                </c:pt>
                <c:pt idx="38">
                  <c:v>100</c:v>
                </c:pt>
                <c:pt idx="39">
                  <c:v>100</c:v>
                </c:pt>
                <c:pt idx="40">
                  <c:v>100</c:v>
                </c:pt>
                <c:pt idx="41">
                  <c:v>100</c:v>
                </c:pt>
                <c:pt idx="42">
                  <c:v>100</c:v>
                </c:pt>
                <c:pt idx="43">
                  <c:v>100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100</c:v>
                </c:pt>
                <c:pt idx="63">
                  <c:v>100</c:v>
                </c:pt>
                <c:pt idx="64">
                  <c:v>0</c:v>
                </c:pt>
                <c:pt idx="65">
                  <c:v>0</c:v>
                </c:pt>
              </c:numCache>
            </c:numRef>
          </c:val>
          <c:extLst>
            <c:ext xmlns:c16="http://schemas.microsoft.com/office/drawing/2014/chart" uri="{C3380CC4-5D6E-409C-BE32-E72D297353CC}">
              <c16:uniqueId val="{00000000-EA16-40E3-930D-0B269BF1CEB7}"/>
            </c:ext>
          </c:extLst>
        </c:ser>
        <c:dLbls>
          <c:showLegendKey val="0"/>
          <c:showVal val="1"/>
          <c:showCatName val="0"/>
          <c:showSerName val="0"/>
          <c:showPercent val="0"/>
          <c:showBubbleSize val="0"/>
        </c:dLbls>
        <c:axId val="434987912"/>
        <c:axId val="434988304"/>
      </c:radarChart>
      <c:catAx>
        <c:axId val="434987912"/>
        <c:scaling>
          <c:orientation val="minMax"/>
        </c:scaling>
        <c:delete val="0"/>
        <c:axPos val="b"/>
        <c:majorGridlines/>
        <c:numFmt formatCode="General" sourceLinked="1"/>
        <c:majorTickMark val="out"/>
        <c:minorTickMark val="none"/>
        <c:tickLblPos val="nextTo"/>
        <c:txPr>
          <a:bodyPr/>
          <a:lstStyle/>
          <a:p>
            <a:pPr>
              <a:defRPr sz="2800" b="0">
                <a:latin typeface="Times New Roman" pitchFamily="18" charset="0"/>
                <a:cs typeface="Times New Roman" pitchFamily="18" charset="0"/>
              </a:defRPr>
            </a:pPr>
            <a:endParaRPr lang="en-US"/>
          </a:p>
        </c:txPr>
        <c:crossAx val="434988304"/>
        <c:crosses val="autoZero"/>
        <c:auto val="1"/>
        <c:lblAlgn val="ctr"/>
        <c:lblOffset val="100"/>
        <c:noMultiLvlLbl val="0"/>
      </c:catAx>
      <c:valAx>
        <c:axId val="434988304"/>
        <c:scaling>
          <c:orientation val="minMax"/>
          <c:max val="100"/>
          <c:min val="0"/>
        </c:scaling>
        <c:delete val="0"/>
        <c:axPos val="l"/>
        <c:majorGridlines/>
        <c:numFmt formatCode="General" sourceLinked="1"/>
        <c:majorTickMark val="cross"/>
        <c:minorTickMark val="none"/>
        <c:tickLblPos val="nextTo"/>
        <c:spPr>
          <a:ln w="3175"/>
        </c:spPr>
        <c:txPr>
          <a:bodyPr/>
          <a:lstStyle/>
          <a:p>
            <a:pPr>
              <a:defRPr sz="4000" b="1"/>
            </a:pPr>
            <a:endParaRPr lang="en-US"/>
          </a:p>
        </c:txPr>
        <c:crossAx val="434987912"/>
        <c:crosses val="autoZero"/>
        <c:crossBetween val="between"/>
        <c:majorUnit val="20"/>
        <c:minorUnit val="2"/>
      </c:valAx>
    </c:plotArea>
    <c:plotVisOnly val="1"/>
    <c:dispBlanksAs val="gap"/>
    <c:showDLblsOverMax val="0"/>
  </c:chart>
  <c:printSettings>
    <c:headerFooter/>
    <c:pageMargins b="0.75000000000001465" l="0.70000000000000062" r="0.70000000000000062" t="0.75000000000001465" header="0.30000000000000032" footer="0.30000000000000032"/>
    <c:pageSetup orientation="landscape"/>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xVal>
            <c:numRef>
              <c:f>'VII. Economic'!$E$84:$E$95</c:f>
              <c:numCache>
                <c:formatCode>General</c:formatCode>
                <c:ptCount val="12"/>
                <c:pt idx="0">
                  <c:v>0</c:v>
                </c:pt>
                <c:pt idx="1">
                  <c:v>1</c:v>
                </c:pt>
                <c:pt idx="2">
                  <c:v>2</c:v>
                </c:pt>
                <c:pt idx="3">
                  <c:v>3</c:v>
                </c:pt>
                <c:pt idx="4">
                  <c:v>4</c:v>
                </c:pt>
                <c:pt idx="5">
                  <c:v>5</c:v>
                </c:pt>
                <c:pt idx="6">
                  <c:v>6</c:v>
                </c:pt>
                <c:pt idx="7">
                  <c:v>7</c:v>
                </c:pt>
                <c:pt idx="8">
                  <c:v>8</c:v>
                </c:pt>
                <c:pt idx="9">
                  <c:v>9</c:v>
                </c:pt>
                <c:pt idx="10">
                  <c:v>10</c:v>
                </c:pt>
                <c:pt idx="11">
                  <c:v>11</c:v>
                </c:pt>
              </c:numCache>
            </c:numRef>
          </c:xVal>
          <c:yVal>
            <c:numRef>
              <c:f>'VII. Economic'!$Q$84:$Q$95</c:f>
              <c:numCache>
                <c:formatCode>General</c:formatCode>
                <c:ptCount val="12"/>
                <c:pt idx="0">
                  <c:v>0</c:v>
                </c:pt>
                <c:pt idx="1">
                  <c:v>0</c:v>
                </c:pt>
                <c:pt idx="2">
                  <c:v>507343.13744970452</c:v>
                </c:pt>
                <c:pt idx="3">
                  <c:v>968564.17149489035</c:v>
                </c:pt>
                <c:pt idx="4">
                  <c:v>1387856.0206268774</c:v>
                </c:pt>
                <c:pt idx="5">
                  <c:v>1769030.428928684</c:v>
                </c:pt>
                <c:pt idx="6">
                  <c:v>2115552.6182939624</c:v>
                </c:pt>
                <c:pt idx="7">
                  <c:v>2430572.7904442158</c:v>
                </c:pt>
                <c:pt idx="8">
                  <c:v>2716954.7651262642</c:v>
                </c:pt>
                <c:pt idx="9">
                  <c:v>2977302.0148372171</c:v>
                </c:pt>
                <c:pt idx="10">
                  <c:v>3213981.3327562651</c:v>
                </c:pt>
                <c:pt idx="11">
                  <c:v>3429144.349046309</c:v>
                </c:pt>
              </c:numCache>
            </c:numRef>
          </c:yVal>
          <c:smooth val="0"/>
          <c:extLst>
            <c:ext xmlns:c16="http://schemas.microsoft.com/office/drawing/2014/chart" uri="{C3380CC4-5D6E-409C-BE32-E72D297353CC}">
              <c16:uniqueId val="{00000000-714D-4356-AF61-0549853607F1}"/>
            </c:ext>
          </c:extLst>
        </c:ser>
        <c:dLbls>
          <c:showLegendKey val="0"/>
          <c:showVal val="0"/>
          <c:showCatName val="0"/>
          <c:showSerName val="0"/>
          <c:showPercent val="0"/>
          <c:showBubbleSize val="0"/>
        </c:dLbls>
        <c:axId val="437631824"/>
        <c:axId val="437632216"/>
      </c:scatterChart>
      <c:valAx>
        <c:axId val="437631824"/>
        <c:scaling>
          <c:orientation val="minMax"/>
        </c:scaling>
        <c:delete val="0"/>
        <c:axPos val="b"/>
        <c:majorGridlines/>
        <c:minorGridlines/>
        <c:title>
          <c:tx>
            <c:rich>
              <a:bodyPr/>
              <a:lstStyle/>
              <a:p>
                <a:pPr>
                  <a:defRPr sz="1200"/>
                </a:pPr>
                <a:r>
                  <a:rPr lang="en-US" sz="1200"/>
                  <a:t>Time</a:t>
                </a:r>
                <a:r>
                  <a:rPr lang="en-US" sz="1200" baseline="0"/>
                  <a:t> after project start, years</a:t>
                </a:r>
                <a:endParaRPr lang="en-US" sz="1200"/>
              </a:p>
            </c:rich>
          </c:tx>
          <c:overlay val="0"/>
        </c:title>
        <c:numFmt formatCode="General" sourceLinked="1"/>
        <c:majorTickMark val="out"/>
        <c:minorTickMark val="none"/>
        <c:tickLblPos val="nextTo"/>
        <c:txPr>
          <a:bodyPr/>
          <a:lstStyle/>
          <a:p>
            <a:pPr>
              <a:defRPr sz="1400"/>
            </a:pPr>
            <a:endParaRPr lang="en-US"/>
          </a:p>
        </c:txPr>
        <c:crossAx val="437632216"/>
        <c:crosses val="autoZero"/>
        <c:crossBetween val="midCat"/>
        <c:majorUnit val="1"/>
      </c:valAx>
      <c:valAx>
        <c:axId val="437632216"/>
        <c:scaling>
          <c:orientation val="minMax"/>
          <c:min val="-2000000"/>
        </c:scaling>
        <c:delete val="0"/>
        <c:axPos val="l"/>
        <c:majorGridlines/>
        <c:minorGridlines/>
        <c:title>
          <c:tx>
            <c:rich>
              <a:bodyPr/>
              <a:lstStyle/>
              <a:p>
                <a:pPr>
                  <a:defRPr sz="1100"/>
                </a:pPr>
                <a:r>
                  <a:rPr lang="en-US" sz="1100"/>
                  <a:t>Discounted cumulative cash flow, $US</a:t>
                </a:r>
              </a:p>
            </c:rich>
          </c:tx>
          <c:overlay val="0"/>
        </c:title>
        <c:numFmt formatCode="General" sourceLinked="1"/>
        <c:majorTickMark val="out"/>
        <c:minorTickMark val="none"/>
        <c:tickLblPos val="nextTo"/>
        <c:crossAx val="437631824"/>
        <c:crosses val="autoZero"/>
        <c:crossBetween val="midCat"/>
      </c:valAx>
    </c:plotArea>
    <c:legend>
      <c:legendPos val="r"/>
      <c:overlay val="0"/>
    </c:legend>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xVal>
            <c:numRef>
              <c:f>'VII. Economic'!$E$84:$E$95</c:f>
              <c:numCache>
                <c:formatCode>General</c:formatCode>
                <c:ptCount val="12"/>
                <c:pt idx="0">
                  <c:v>0</c:v>
                </c:pt>
                <c:pt idx="1">
                  <c:v>1</c:v>
                </c:pt>
                <c:pt idx="2">
                  <c:v>2</c:v>
                </c:pt>
                <c:pt idx="3">
                  <c:v>3</c:v>
                </c:pt>
                <c:pt idx="4">
                  <c:v>4</c:v>
                </c:pt>
                <c:pt idx="5">
                  <c:v>5</c:v>
                </c:pt>
                <c:pt idx="6">
                  <c:v>6</c:v>
                </c:pt>
                <c:pt idx="7">
                  <c:v>7</c:v>
                </c:pt>
                <c:pt idx="8">
                  <c:v>8</c:v>
                </c:pt>
                <c:pt idx="9">
                  <c:v>9</c:v>
                </c:pt>
                <c:pt idx="10">
                  <c:v>10</c:v>
                </c:pt>
                <c:pt idx="11">
                  <c:v>11</c:v>
                </c:pt>
              </c:numCache>
            </c:numRef>
          </c:xVal>
          <c:yVal>
            <c:numRef>
              <c:f>'VII. Economic'!$M$84:$M$95</c:f>
              <c:numCache>
                <c:formatCode>General</c:formatCode>
                <c:ptCount val="12"/>
                <c:pt idx="0">
                  <c:v>0</c:v>
                </c:pt>
                <c:pt idx="1">
                  <c:v>0</c:v>
                </c:pt>
                <c:pt idx="2">
                  <c:v>613885.19631414255</c:v>
                </c:pt>
                <c:pt idx="3">
                  <c:v>1227770.3926282851</c:v>
                </c:pt>
                <c:pt idx="4">
                  <c:v>1841655.5889424277</c:v>
                </c:pt>
                <c:pt idx="5">
                  <c:v>2455540.7852565702</c:v>
                </c:pt>
                <c:pt idx="6">
                  <c:v>3069425.9815707128</c:v>
                </c:pt>
                <c:pt idx="7">
                  <c:v>3683311.1778848553</c:v>
                </c:pt>
                <c:pt idx="8">
                  <c:v>4297196.3741989974</c:v>
                </c:pt>
                <c:pt idx="9">
                  <c:v>4911081.5705131404</c:v>
                </c:pt>
                <c:pt idx="10">
                  <c:v>5524966.7668272834</c:v>
                </c:pt>
                <c:pt idx="11">
                  <c:v>6138851.9631414264</c:v>
                </c:pt>
              </c:numCache>
            </c:numRef>
          </c:yVal>
          <c:smooth val="0"/>
          <c:extLst>
            <c:ext xmlns:c16="http://schemas.microsoft.com/office/drawing/2014/chart" uri="{C3380CC4-5D6E-409C-BE32-E72D297353CC}">
              <c16:uniqueId val="{00000000-340A-4C21-B7EF-6B7DB977207E}"/>
            </c:ext>
          </c:extLst>
        </c:ser>
        <c:dLbls>
          <c:showLegendKey val="0"/>
          <c:showVal val="0"/>
          <c:showCatName val="0"/>
          <c:showSerName val="0"/>
          <c:showPercent val="0"/>
          <c:showBubbleSize val="0"/>
        </c:dLbls>
        <c:axId val="439964920"/>
        <c:axId val="439965312"/>
      </c:scatterChart>
      <c:valAx>
        <c:axId val="439964920"/>
        <c:scaling>
          <c:orientation val="minMax"/>
        </c:scaling>
        <c:delete val="0"/>
        <c:axPos val="b"/>
        <c:majorGridlines/>
        <c:minorGridlines/>
        <c:title>
          <c:tx>
            <c:rich>
              <a:bodyPr/>
              <a:lstStyle/>
              <a:p>
                <a:pPr>
                  <a:defRPr sz="1200"/>
                </a:pPr>
                <a:r>
                  <a:rPr lang="en-US" sz="1200"/>
                  <a:t>Time</a:t>
                </a:r>
                <a:r>
                  <a:rPr lang="en-US" sz="1200" baseline="0"/>
                  <a:t> after project start, years</a:t>
                </a:r>
                <a:endParaRPr lang="en-US" sz="1200"/>
              </a:p>
            </c:rich>
          </c:tx>
          <c:overlay val="0"/>
        </c:title>
        <c:numFmt formatCode="General" sourceLinked="1"/>
        <c:majorTickMark val="out"/>
        <c:minorTickMark val="none"/>
        <c:tickLblPos val="nextTo"/>
        <c:txPr>
          <a:bodyPr/>
          <a:lstStyle/>
          <a:p>
            <a:pPr>
              <a:defRPr sz="1400"/>
            </a:pPr>
            <a:endParaRPr lang="en-US"/>
          </a:p>
        </c:txPr>
        <c:crossAx val="439965312"/>
        <c:crosses val="autoZero"/>
        <c:crossBetween val="midCat"/>
        <c:majorUnit val="1"/>
      </c:valAx>
      <c:valAx>
        <c:axId val="439965312"/>
        <c:scaling>
          <c:orientation val="minMax"/>
          <c:min val="-2000000"/>
        </c:scaling>
        <c:delete val="0"/>
        <c:axPos val="l"/>
        <c:majorGridlines/>
        <c:minorGridlines/>
        <c:title>
          <c:tx>
            <c:rich>
              <a:bodyPr/>
              <a:lstStyle/>
              <a:p>
                <a:pPr>
                  <a:defRPr sz="1100"/>
                </a:pPr>
                <a:r>
                  <a:rPr lang="en-US" sz="1100"/>
                  <a:t>Nondiscounted cumulative cash flow, $US</a:t>
                </a:r>
              </a:p>
            </c:rich>
          </c:tx>
          <c:overlay val="0"/>
        </c:title>
        <c:numFmt formatCode="General" sourceLinked="1"/>
        <c:majorTickMark val="out"/>
        <c:minorTickMark val="none"/>
        <c:tickLblPos val="nextTo"/>
        <c:crossAx val="439964920"/>
        <c:crosses val="autoZero"/>
        <c:crossBetween val="midCat"/>
      </c:valAx>
    </c:plotArea>
    <c:legend>
      <c:legendPos val="r"/>
      <c:overlay val="0"/>
    </c:legend>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5"/>
    </mc:Choice>
    <mc:Fallback>
      <c:style val="5"/>
    </mc:Fallback>
  </mc:AlternateContent>
  <c:chart>
    <c:autoTitleDeleted val="1"/>
    <c:plotArea>
      <c:layout>
        <c:manualLayout>
          <c:layoutTarget val="inner"/>
          <c:xMode val="edge"/>
          <c:yMode val="edge"/>
          <c:x val="0.12141920230203321"/>
          <c:y val="6.2624132512644468E-2"/>
          <c:w val="0.75257056169622949"/>
          <c:h val="0.82819192773771722"/>
        </c:manualLayout>
      </c:layout>
      <c:radarChart>
        <c:radarStyle val="marker"/>
        <c:varyColors val="0"/>
        <c:ser>
          <c:idx val="0"/>
          <c:order val="0"/>
          <c:spPr>
            <a:ln w="38100"/>
          </c:spPr>
          <c:marker>
            <c:spPr>
              <a:ln w="38100"/>
            </c:spPr>
          </c:marker>
          <c:dLbls>
            <c:delete val="1"/>
          </c:dLbls>
          <c:cat>
            <c:strRef>
              <c:f>'VII. Economic'!$F$6:$F$38</c:f>
              <c:strCache>
                <c:ptCount val="33"/>
                <c:pt idx="0">
                  <c:v>1. NPV</c:v>
                </c:pt>
                <c:pt idx="1">
                  <c:v>2. PVR</c:v>
                </c:pt>
                <c:pt idx="2">
                  <c:v>3. DPBP</c:v>
                </c:pt>
                <c:pt idx="3">
                  <c:v>4. DCFROR</c:v>
                </c:pt>
                <c:pt idx="4">
                  <c:v>5. CCF</c:v>
                </c:pt>
                <c:pt idx="5">
                  <c:v>6. EP</c:v>
                </c:pt>
                <c:pt idx="6">
                  <c:v>7. ROI</c:v>
                </c:pt>
                <c:pt idx="7">
                  <c:v>8. PBP</c:v>
                </c:pt>
                <c:pt idx="8">
                  <c:v>9. TR</c:v>
                </c:pt>
                <c:pt idx="9">
                  <c:v>10. CCP</c:v>
                </c:pt>
                <c:pt idx="10">
                  <c:v>11. CCR</c:v>
                </c:pt>
                <c:pt idx="11">
                  <c:v>12. Rn</c:v>
                </c:pt>
                <c:pt idx="12">
                  <c:v>13. REV</c:v>
                </c:pt>
                <c:pt idx="13">
                  <c:v>14. REVeco-prod</c:v>
                </c:pt>
                <c:pt idx="14">
                  <c:v>15. Ceq</c:v>
                </c:pt>
                <c:pt idx="15">
                  <c:v>16. TPC</c:v>
                </c:pt>
                <c:pt idx="16">
                  <c:v>17. Epc</c:v>
                </c:pt>
                <c:pt idx="17">
                  <c:v>18. CTM</c:v>
                </c:pt>
                <c:pt idx="18">
                  <c:v>19. COM</c:v>
                </c:pt>
                <c:pt idx="19">
                  <c:v>20. CSRM</c:v>
                </c:pt>
                <c:pt idx="20">
                  <c:v>21. Cmat, tot.</c:v>
                </c:pt>
                <c:pt idx="21">
                  <c:v>22. CE, tot.</c:v>
                </c:pt>
                <c:pt idx="22">
                  <c:v>23. CE, spec.</c:v>
                </c:pt>
                <c:pt idx="23">
                  <c:v>24. CE, source</c:v>
                </c:pt>
                <c:pt idx="24">
                  <c:v>25. Cwater tot.</c:v>
                </c:pt>
                <c:pt idx="25">
                  <c:v>26. Cwater spec.</c:v>
                </c:pt>
                <c:pt idx="26">
                  <c:v>27.Cwater type</c:v>
                </c:pt>
                <c:pt idx="27">
                  <c:v>28. Cs tot.</c:v>
                </c:pt>
                <c:pt idx="28">
                  <c:v>29. Cs, spec.</c:v>
                </c:pt>
                <c:pt idx="29">
                  <c:v>30. Cl tot.</c:v>
                </c:pt>
                <c:pt idx="30">
                  <c:v>31. Cl, spec.</c:v>
                </c:pt>
                <c:pt idx="31">
                  <c:v>32. Cpur. air</c:v>
                </c:pt>
                <c:pt idx="32">
                  <c:v>33. Cpur. air fract.</c:v>
                </c:pt>
              </c:strCache>
            </c:strRef>
          </c:cat>
          <c:val>
            <c:numRef>
              <c:f>'VII. Economic'!$P$6:$P$38</c:f>
              <c:numCache>
                <c:formatCode>General</c:formatCode>
                <c:ptCount val="33"/>
                <c:pt idx="0">
                  <c:v>46.66</c:v>
                </c:pt>
                <c:pt idx="1">
                  <c:v>0</c:v>
                </c:pt>
                <c:pt idx="2">
                  <c:v>100</c:v>
                </c:pt>
                <c:pt idx="3">
                  <c:v>100</c:v>
                </c:pt>
                <c:pt idx="4">
                  <c:v>0</c:v>
                </c:pt>
                <c:pt idx="5">
                  <c:v>20.56</c:v>
                </c:pt>
                <c:pt idx="6">
                  <c:v>0</c:v>
                </c:pt>
                <c:pt idx="7">
                  <c:v>100</c:v>
                </c:pt>
                <c:pt idx="8">
                  <c:v>0</c:v>
                </c:pt>
                <c:pt idx="9">
                  <c:v>0</c:v>
                </c:pt>
                <c:pt idx="10">
                  <c:v>0</c:v>
                </c:pt>
                <c:pt idx="11">
                  <c:v>4.1399999999999997</c:v>
                </c:pt>
                <c:pt idx="12">
                  <c:v>0</c:v>
                </c:pt>
                <c:pt idx="13">
                  <c:v>0</c:v>
                </c:pt>
                <c:pt idx="14">
                  <c:v>67.94</c:v>
                </c:pt>
                <c:pt idx="15">
                  <c:v>66.67</c:v>
                </c:pt>
                <c:pt idx="16">
                  <c:v>69</c:v>
                </c:pt>
                <c:pt idx="17">
                  <c:v>0</c:v>
                </c:pt>
                <c:pt idx="18">
                  <c:v>67.94</c:v>
                </c:pt>
                <c:pt idx="19">
                  <c:v>26.49</c:v>
                </c:pt>
                <c:pt idx="20">
                  <c:v>26.49</c:v>
                </c:pt>
                <c:pt idx="21">
                  <c:v>100</c:v>
                </c:pt>
                <c:pt idx="22">
                  <c:v>100</c:v>
                </c:pt>
                <c:pt idx="23">
                  <c:v>0</c:v>
                </c:pt>
                <c:pt idx="24">
                  <c:v>0</c:v>
                </c:pt>
                <c:pt idx="25">
                  <c:v>0</c:v>
                </c:pt>
                <c:pt idx="26">
                  <c:v>0</c:v>
                </c:pt>
                <c:pt idx="27">
                  <c:v>0</c:v>
                </c:pt>
                <c:pt idx="28">
                  <c:v>0</c:v>
                </c:pt>
                <c:pt idx="29">
                  <c:v>0</c:v>
                </c:pt>
                <c:pt idx="30">
                  <c:v>0</c:v>
                </c:pt>
                <c:pt idx="31">
                  <c:v>0</c:v>
                </c:pt>
                <c:pt idx="32">
                  <c:v>100</c:v>
                </c:pt>
              </c:numCache>
            </c:numRef>
          </c:val>
          <c:extLst>
            <c:ext xmlns:c16="http://schemas.microsoft.com/office/drawing/2014/chart" uri="{C3380CC4-5D6E-409C-BE32-E72D297353CC}">
              <c16:uniqueId val="{00000000-7573-40A1-ABB0-A7FEA313BE63}"/>
            </c:ext>
          </c:extLst>
        </c:ser>
        <c:dLbls>
          <c:showLegendKey val="0"/>
          <c:showVal val="1"/>
          <c:showCatName val="0"/>
          <c:showSerName val="0"/>
          <c:showPercent val="0"/>
          <c:showBubbleSize val="0"/>
        </c:dLbls>
        <c:axId val="437631432"/>
        <c:axId val="437631040"/>
      </c:radarChart>
      <c:catAx>
        <c:axId val="437631432"/>
        <c:scaling>
          <c:orientation val="minMax"/>
        </c:scaling>
        <c:delete val="0"/>
        <c:axPos val="b"/>
        <c:majorGridlines/>
        <c:numFmt formatCode="General" sourceLinked="1"/>
        <c:majorTickMark val="out"/>
        <c:minorTickMark val="none"/>
        <c:tickLblPos val="nextTo"/>
        <c:txPr>
          <a:bodyPr/>
          <a:lstStyle/>
          <a:p>
            <a:pPr>
              <a:defRPr sz="1600" b="0">
                <a:latin typeface="Times New Roman" pitchFamily="18" charset="0"/>
                <a:cs typeface="Times New Roman" pitchFamily="18" charset="0"/>
              </a:defRPr>
            </a:pPr>
            <a:endParaRPr lang="en-US"/>
          </a:p>
        </c:txPr>
        <c:crossAx val="437631040"/>
        <c:crosses val="autoZero"/>
        <c:auto val="1"/>
        <c:lblAlgn val="ctr"/>
        <c:lblOffset val="100"/>
        <c:noMultiLvlLbl val="0"/>
      </c:catAx>
      <c:valAx>
        <c:axId val="437631040"/>
        <c:scaling>
          <c:orientation val="minMax"/>
          <c:max val="100"/>
          <c:min val="0"/>
        </c:scaling>
        <c:delete val="0"/>
        <c:axPos val="l"/>
        <c:majorGridlines/>
        <c:numFmt formatCode="General" sourceLinked="1"/>
        <c:majorTickMark val="cross"/>
        <c:minorTickMark val="none"/>
        <c:tickLblPos val="nextTo"/>
        <c:spPr>
          <a:ln w="3175"/>
        </c:spPr>
        <c:txPr>
          <a:bodyPr/>
          <a:lstStyle/>
          <a:p>
            <a:pPr>
              <a:defRPr sz="2400" b="1"/>
            </a:pPr>
            <a:endParaRPr lang="en-US"/>
          </a:p>
        </c:txPr>
        <c:crossAx val="437631432"/>
        <c:crosses val="autoZero"/>
        <c:crossBetween val="between"/>
        <c:majorUnit val="20"/>
        <c:minorUnit val="2"/>
      </c:valAx>
    </c:plotArea>
    <c:plotVisOnly val="1"/>
    <c:dispBlanksAs val="gap"/>
    <c:showDLblsOverMax val="0"/>
  </c:chart>
  <c:printSettings>
    <c:headerFooter/>
    <c:pageMargins b="0.75000000000001465" l="0.70000000000000062" r="0.70000000000000062" t="0.75000000000001465" header="0.30000000000000032" footer="0.30000000000000032"/>
    <c:pageSetup orientation="landscape"/>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5"/>
    </mc:Choice>
    <mc:Fallback>
      <c:style val="5"/>
    </mc:Fallback>
  </mc:AlternateContent>
  <c:chart>
    <c:title>
      <c:tx>
        <c:rich>
          <a:bodyPr/>
          <a:lstStyle/>
          <a:p>
            <a:pPr>
              <a:defRPr sz="2000"/>
            </a:pPr>
            <a:r>
              <a:rPr lang="en-US" sz="2000"/>
              <a:t>Efficiency Indicator Results</a:t>
            </a:r>
          </a:p>
        </c:rich>
      </c:tx>
      <c:overlay val="1"/>
    </c:title>
    <c:autoTitleDeleted val="0"/>
    <c:plotArea>
      <c:layout>
        <c:manualLayout>
          <c:layoutTarget val="inner"/>
          <c:xMode val="edge"/>
          <c:yMode val="edge"/>
          <c:x val="0.16449523985559869"/>
          <c:y val="0.10292702022213272"/>
          <c:w val="0.68144916343573569"/>
          <c:h val="0.84882287011420865"/>
        </c:manualLayout>
      </c:layout>
      <c:radarChart>
        <c:radarStyle val="marker"/>
        <c:varyColors val="0"/>
        <c:ser>
          <c:idx val="0"/>
          <c:order val="0"/>
          <c:spPr>
            <a:ln w="38100"/>
          </c:spPr>
          <c:marker>
            <c:spPr>
              <a:ln w="38100"/>
            </c:spPr>
          </c:marker>
          <c:dLbls>
            <c:delete val="1"/>
          </c:dLbls>
          <c:cat>
            <c:strRef>
              <c:f>'VIII. Plots'!$G$6:$G$31</c:f>
              <c:strCache>
                <c:ptCount val="26"/>
                <c:pt idx="0">
                  <c:v>1. ε</c:v>
                </c:pt>
                <c:pt idx="1">
                  <c:v>2. AEi</c:v>
                </c:pt>
                <c:pt idx="2">
                  <c:v>3. AAE</c:v>
                </c:pt>
                <c:pt idx="3">
                  <c:v>4. SF</c:v>
                </c:pt>
                <c:pt idx="4">
                  <c:v>5. RME</c:v>
                </c:pt>
                <c:pt idx="5">
                  <c:v>6. mmat tot</c:v>
                </c:pt>
                <c:pt idx="6">
                  <c:v>7. MI</c:v>
                </c:pt>
                <c:pt idx="7">
                  <c:v>8. MIv</c:v>
                </c:pt>
                <c:pt idx="8">
                  <c:v>9. MP</c:v>
                </c:pt>
                <c:pt idx="9">
                  <c:v>10. E</c:v>
                </c:pt>
                <c:pt idx="10">
                  <c:v>11. MLI</c:v>
                </c:pt>
                <c:pt idx="11">
                  <c:v>12. Emw</c:v>
                </c:pt>
                <c:pt idx="12">
                  <c:v>13. EMY</c:v>
                </c:pt>
                <c:pt idx="13">
                  <c:v>14. CE</c:v>
                </c:pt>
                <c:pt idx="14">
                  <c:v>15. MRP</c:v>
                </c:pt>
                <c:pt idx="15">
                  <c:v>16. f</c:v>
                </c:pt>
                <c:pt idx="16">
                  <c:v>17. pROIM</c:v>
                </c:pt>
                <c:pt idx="17">
                  <c:v>18. RIM</c:v>
                </c:pt>
                <c:pt idx="18">
                  <c:v>19. BFM</c:v>
                </c:pt>
                <c:pt idx="19">
                  <c:v>20. wrecycl. mat.</c:v>
                </c:pt>
                <c:pt idx="20">
                  <c:v>21. wrecycl. prod.</c:v>
                </c:pt>
                <c:pt idx="21">
                  <c:v>22. wrecov. prod.</c:v>
                </c:pt>
                <c:pt idx="22">
                  <c:v>23. Vwater, tot.</c:v>
                </c:pt>
                <c:pt idx="23">
                  <c:v>24. FWC</c:v>
                </c:pt>
                <c:pt idx="24">
                  <c:v>25. WI</c:v>
                </c:pt>
                <c:pt idx="25">
                  <c:v>26. Fwater type</c:v>
                </c:pt>
              </c:strCache>
            </c:strRef>
          </c:cat>
          <c:val>
            <c:numRef>
              <c:f>'VIII. Plots'!$L$6:$L$31</c:f>
              <c:numCache>
                <c:formatCode>General</c:formatCode>
                <c:ptCount val="26"/>
                <c:pt idx="0">
                  <c:v>76</c:v>
                </c:pt>
                <c:pt idx="1">
                  <c:v>56</c:v>
                </c:pt>
                <c:pt idx="2">
                  <c:v>42.6</c:v>
                </c:pt>
                <c:pt idx="3">
                  <c:v>100</c:v>
                </c:pt>
                <c:pt idx="4">
                  <c:v>42.6</c:v>
                </c:pt>
                <c:pt idx="5">
                  <c:v>98.71</c:v>
                </c:pt>
                <c:pt idx="6">
                  <c:v>98.71</c:v>
                </c:pt>
                <c:pt idx="7">
                  <c:v>97.11</c:v>
                </c:pt>
                <c:pt idx="8">
                  <c:v>66.599999999999994</c:v>
                </c:pt>
                <c:pt idx="9">
                  <c:v>98.71</c:v>
                </c:pt>
                <c:pt idx="10">
                  <c:v>99.5</c:v>
                </c:pt>
                <c:pt idx="11">
                  <c:v>99.22</c:v>
                </c:pt>
                <c:pt idx="12">
                  <c:v>100</c:v>
                </c:pt>
                <c:pt idx="13">
                  <c:v>0</c:v>
                </c:pt>
                <c:pt idx="14">
                  <c:v>0</c:v>
                </c:pt>
                <c:pt idx="15">
                  <c:v>100</c:v>
                </c:pt>
                <c:pt idx="16">
                  <c:v>95.02</c:v>
                </c:pt>
                <c:pt idx="17">
                  <c:v>0</c:v>
                </c:pt>
                <c:pt idx="18">
                  <c:v>10</c:v>
                </c:pt>
                <c:pt idx="19">
                  <c:v>0</c:v>
                </c:pt>
                <c:pt idx="20">
                  <c:v>0</c:v>
                </c:pt>
                <c:pt idx="21">
                  <c:v>0</c:v>
                </c:pt>
                <c:pt idx="22">
                  <c:v>0</c:v>
                </c:pt>
                <c:pt idx="23">
                  <c:v>100</c:v>
                </c:pt>
                <c:pt idx="24">
                  <c:v>100</c:v>
                </c:pt>
                <c:pt idx="25">
                  <c:v>0</c:v>
                </c:pt>
              </c:numCache>
            </c:numRef>
          </c:val>
          <c:extLst>
            <c:ext xmlns:c16="http://schemas.microsoft.com/office/drawing/2014/chart" uri="{C3380CC4-5D6E-409C-BE32-E72D297353CC}">
              <c16:uniqueId val="{00000000-95A9-4B93-9326-471B7328CEB0}"/>
            </c:ext>
          </c:extLst>
        </c:ser>
        <c:dLbls>
          <c:showLegendKey val="0"/>
          <c:showVal val="1"/>
          <c:showCatName val="0"/>
          <c:showSerName val="0"/>
          <c:showPercent val="0"/>
          <c:showBubbleSize val="0"/>
        </c:dLbls>
        <c:axId val="439966096"/>
        <c:axId val="439966488"/>
      </c:radarChart>
      <c:catAx>
        <c:axId val="439966096"/>
        <c:scaling>
          <c:orientation val="minMax"/>
        </c:scaling>
        <c:delete val="0"/>
        <c:axPos val="b"/>
        <c:majorGridlines/>
        <c:numFmt formatCode="General" sourceLinked="1"/>
        <c:majorTickMark val="out"/>
        <c:minorTickMark val="none"/>
        <c:tickLblPos val="nextTo"/>
        <c:txPr>
          <a:bodyPr/>
          <a:lstStyle/>
          <a:p>
            <a:pPr>
              <a:defRPr sz="1400" b="0">
                <a:latin typeface="Times New Roman" pitchFamily="18" charset="0"/>
                <a:cs typeface="Times New Roman" pitchFamily="18" charset="0"/>
              </a:defRPr>
            </a:pPr>
            <a:endParaRPr lang="en-US"/>
          </a:p>
        </c:txPr>
        <c:crossAx val="439966488"/>
        <c:crosses val="autoZero"/>
        <c:auto val="1"/>
        <c:lblAlgn val="ctr"/>
        <c:lblOffset val="100"/>
        <c:noMultiLvlLbl val="0"/>
      </c:catAx>
      <c:valAx>
        <c:axId val="439966488"/>
        <c:scaling>
          <c:orientation val="minMax"/>
          <c:max val="100"/>
          <c:min val="0"/>
        </c:scaling>
        <c:delete val="0"/>
        <c:axPos val="l"/>
        <c:majorGridlines/>
        <c:numFmt formatCode="General" sourceLinked="1"/>
        <c:majorTickMark val="cross"/>
        <c:minorTickMark val="none"/>
        <c:tickLblPos val="nextTo"/>
        <c:spPr>
          <a:ln w="3175"/>
        </c:spPr>
        <c:txPr>
          <a:bodyPr/>
          <a:lstStyle/>
          <a:p>
            <a:pPr>
              <a:defRPr sz="1200" b="1"/>
            </a:pPr>
            <a:endParaRPr lang="en-US"/>
          </a:p>
        </c:txPr>
        <c:crossAx val="439966096"/>
        <c:crosses val="autoZero"/>
        <c:crossBetween val="between"/>
        <c:majorUnit val="20"/>
        <c:minorUnit val="2"/>
      </c:valAx>
    </c:plotArea>
    <c:plotVisOnly val="1"/>
    <c:dispBlanksAs val="gap"/>
    <c:showDLblsOverMax val="0"/>
  </c:chart>
  <c:printSettings>
    <c:headerFooter/>
    <c:pageMargins b="0.75000000000001465" l="0.70000000000000062" r="0.70000000000000062" t="0.75000000000001465" header="0.30000000000000032" footer="0.30000000000000032"/>
    <c:pageSetup orientation="landscape"/>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5"/>
    </mc:Choice>
    <mc:Fallback>
      <c:style val="5"/>
    </mc:Fallback>
  </mc:AlternateContent>
  <c:chart>
    <c:title>
      <c:tx>
        <c:rich>
          <a:bodyPr/>
          <a:lstStyle/>
          <a:p>
            <a:pPr>
              <a:defRPr sz="5400"/>
            </a:pPr>
            <a:r>
              <a:rPr lang="en-US" sz="5400"/>
              <a:t>Environmental Indicator Results</a:t>
            </a:r>
          </a:p>
        </c:rich>
      </c:tx>
      <c:overlay val="1"/>
    </c:title>
    <c:autoTitleDeleted val="0"/>
    <c:plotArea>
      <c:layout>
        <c:manualLayout>
          <c:layoutTarget val="inner"/>
          <c:xMode val="edge"/>
          <c:yMode val="edge"/>
          <c:x val="0.12141920230203321"/>
          <c:y val="6.2624132512644468E-2"/>
          <c:w val="0.755330395021377"/>
          <c:h val="0.86869825915685184"/>
        </c:manualLayout>
      </c:layout>
      <c:radarChart>
        <c:radarStyle val="marker"/>
        <c:varyColors val="0"/>
        <c:ser>
          <c:idx val="0"/>
          <c:order val="0"/>
          <c:spPr>
            <a:ln w="38100"/>
          </c:spPr>
          <c:marker>
            <c:spPr>
              <a:ln w="38100"/>
            </c:spPr>
          </c:marker>
          <c:dLbls>
            <c:delete val="1"/>
          </c:dLbls>
          <c:cat>
            <c:strRef>
              <c:f>'VIII. Plots'!$G$44:$G$109</c:f>
              <c:strCache>
                <c:ptCount val="66"/>
                <c:pt idx="0">
                  <c:v>1. Nhaz. mat.</c:v>
                </c:pt>
                <c:pt idx="1">
                  <c:v>2. mhaz. mat.</c:v>
                </c:pt>
                <c:pt idx="2">
                  <c:v>3. mhaz. mat. spec.</c:v>
                </c:pt>
                <c:pt idx="3">
                  <c:v>4. mPBT mat.</c:v>
                </c:pt>
                <c:pt idx="4">
                  <c:v>5. CEI</c:v>
                </c:pt>
                <c:pt idx="5">
                  <c:v>6. HHirritation</c:v>
                </c:pt>
                <c:pt idx="6">
                  <c:v>7. HHchronic toxicity</c:v>
                </c:pt>
                <c:pt idx="7">
                  <c:v>8. SHmobility</c:v>
                </c:pt>
                <c:pt idx="8">
                  <c:v>9. SHfire/explosion</c:v>
                </c:pt>
                <c:pt idx="9">
                  <c:v>10. SHreac/dec I</c:v>
                </c:pt>
                <c:pt idx="10">
                  <c:v>11. SHreac/dec II</c:v>
                </c:pt>
                <c:pt idx="11">
                  <c:v>12. SHacute tox.</c:v>
                </c:pt>
                <c:pt idx="12">
                  <c:v>13. FTA</c:v>
                </c:pt>
                <c:pt idx="13">
                  <c:v>14. TRs</c:v>
                </c:pt>
                <c:pt idx="14">
                  <c:v>15. TR</c:v>
                </c:pt>
                <c:pt idx="15">
                  <c:v>16. EQ</c:v>
                </c:pt>
                <c:pt idx="16">
                  <c:v>17. EBcancer eff.</c:v>
                </c:pt>
                <c:pt idx="17">
                  <c:v>18. EHdegradation</c:v>
                </c:pt>
                <c:pt idx="18">
                  <c:v>19. EHair</c:v>
                </c:pt>
                <c:pt idx="19">
                  <c:v>20. EHwater</c:v>
                </c:pt>
                <c:pt idx="20">
                  <c:v>21. EHsolid</c:v>
                </c:pt>
                <c:pt idx="21">
                  <c:v>22. EHbioacc.</c:v>
                </c:pt>
                <c:pt idx="22">
                  <c:v>23. GWP</c:v>
                </c:pt>
                <c:pt idx="23">
                  <c:v>24. GWI</c:v>
                </c:pt>
                <c:pt idx="24">
                  <c:v>25. ODP</c:v>
                </c:pt>
                <c:pt idx="25">
                  <c:v>26. ODI</c:v>
                </c:pt>
                <c:pt idx="26">
                  <c:v>27. PCOP</c:v>
                </c:pt>
                <c:pt idx="27">
                  <c:v>28. PCOI</c:v>
                </c:pt>
                <c:pt idx="28">
                  <c:v>29. AP</c:v>
                </c:pt>
                <c:pt idx="29">
                  <c:v>30. API</c:v>
                </c:pt>
                <c:pt idx="30">
                  <c:v>31. WPacid. water</c:v>
                </c:pt>
                <c:pt idx="31">
                  <c:v>32. WPIacid. water</c:v>
                </c:pt>
                <c:pt idx="32">
                  <c:v>33. WPbasi. water</c:v>
                </c:pt>
                <c:pt idx="33">
                  <c:v>34. WPIbasi. water</c:v>
                </c:pt>
                <c:pt idx="34">
                  <c:v>35. WPsalinity</c:v>
                </c:pt>
                <c:pt idx="35">
                  <c:v>36. WPIsalinity</c:v>
                </c:pt>
                <c:pt idx="36">
                  <c:v>37. WPO2 dem.</c:v>
                </c:pt>
                <c:pt idx="37">
                  <c:v>38. WPIO2 dem.</c:v>
                </c:pt>
                <c:pt idx="38">
                  <c:v>39. WPtox. other</c:v>
                </c:pt>
                <c:pt idx="39">
                  <c:v>40. WPItox. other</c:v>
                </c:pt>
                <c:pt idx="40">
                  <c:v>41. WPtox. metal</c:v>
                </c:pt>
                <c:pt idx="41">
                  <c:v>42. WPItox. metal</c:v>
                </c:pt>
                <c:pt idx="42">
                  <c:v>43. EP</c:v>
                </c:pt>
                <c:pt idx="43">
                  <c:v>44. EPI</c:v>
                </c:pt>
                <c:pt idx="44">
                  <c:v>45. SMIM</c:v>
                </c:pt>
                <c:pt idx="45">
                  <c:v>46. MIM</c:v>
                </c:pt>
                <c:pt idx="46">
                  <c:v>47. ELR</c:v>
                </c:pt>
                <c:pt idx="47">
                  <c:v>48. EYR</c:v>
                </c:pt>
                <c:pt idx="48">
                  <c:v>49. ESI</c:v>
                </c:pt>
                <c:pt idx="49">
                  <c:v>50. BFM</c:v>
                </c:pt>
                <c:pt idx="50">
                  <c:v>51. RI</c:v>
                </c:pt>
                <c:pt idx="51">
                  <c:v>52. ms, tot.</c:v>
                </c:pt>
                <c:pt idx="52">
                  <c:v>53. ms, spec.</c:v>
                </c:pt>
                <c:pt idx="53">
                  <c:v>54. ms, recov.</c:v>
                </c:pt>
                <c:pt idx="54">
                  <c:v>55. ms, disp.</c:v>
                </c:pt>
                <c:pt idx="55">
                  <c:v>56. ws, recycl. </c:v>
                </c:pt>
                <c:pt idx="56">
                  <c:v>57. ws, non-recycl.</c:v>
                </c:pt>
                <c:pt idx="57">
                  <c:v>58. ws, haz.</c:v>
                </c:pt>
                <c:pt idx="58">
                  <c:v>59. ms, haz.</c:v>
                </c:pt>
                <c:pt idx="59">
                  <c:v>60. ms, haz. spec.</c:v>
                </c:pt>
                <c:pt idx="60">
                  <c:v>61. ms,n-haz.</c:v>
                </c:pt>
                <c:pt idx="61">
                  <c:v>62. ms, n-haz.spec. </c:v>
                </c:pt>
                <c:pt idx="62">
                  <c:v>63. Vl, tot.</c:v>
                </c:pt>
                <c:pt idx="63">
                  <c:v>64. Vl, spec. </c:v>
                </c:pt>
                <c:pt idx="64">
                  <c:v>65. Vl, non-poll.</c:v>
                </c:pt>
                <c:pt idx="65">
                  <c:v>66. Vl, poll.</c:v>
                </c:pt>
              </c:strCache>
            </c:strRef>
          </c:cat>
          <c:val>
            <c:numRef>
              <c:f>'VIII. Plots'!$L$44:$L$109</c:f>
              <c:numCache>
                <c:formatCode>General</c:formatCode>
                <c:ptCount val="66"/>
                <c:pt idx="0">
                  <c:v>100</c:v>
                </c:pt>
                <c:pt idx="1">
                  <c:v>100</c:v>
                </c:pt>
                <c:pt idx="2">
                  <c:v>100</c:v>
                </c:pt>
                <c:pt idx="3">
                  <c:v>100</c:v>
                </c:pt>
                <c:pt idx="4">
                  <c:v>0</c:v>
                </c:pt>
                <c:pt idx="5">
                  <c:v>95.25</c:v>
                </c:pt>
                <c:pt idx="6">
                  <c:v>93.6</c:v>
                </c:pt>
                <c:pt idx="7">
                  <c:v>33.94</c:v>
                </c:pt>
                <c:pt idx="8">
                  <c:v>0</c:v>
                </c:pt>
                <c:pt idx="9">
                  <c:v>85</c:v>
                </c:pt>
                <c:pt idx="10">
                  <c:v>0</c:v>
                </c:pt>
                <c:pt idx="11">
                  <c:v>74.75</c:v>
                </c:pt>
                <c:pt idx="12">
                  <c:v>50</c:v>
                </c:pt>
                <c:pt idx="13">
                  <c:v>100</c:v>
                </c:pt>
                <c:pt idx="14">
                  <c:v>100</c:v>
                </c:pt>
                <c:pt idx="15">
                  <c:v>98.31</c:v>
                </c:pt>
                <c:pt idx="16">
                  <c:v>100</c:v>
                </c:pt>
                <c:pt idx="17">
                  <c:v>33.94</c:v>
                </c:pt>
                <c:pt idx="18">
                  <c:v>93.6</c:v>
                </c:pt>
                <c:pt idx="19">
                  <c:v>81.64</c:v>
                </c:pt>
                <c:pt idx="20">
                  <c:v>100</c:v>
                </c:pt>
                <c:pt idx="21">
                  <c:v>0</c:v>
                </c:pt>
                <c:pt idx="22">
                  <c:v>0</c:v>
                </c:pt>
                <c:pt idx="23">
                  <c:v>0</c:v>
                </c:pt>
                <c:pt idx="24">
                  <c:v>100</c:v>
                </c:pt>
                <c:pt idx="25">
                  <c:v>100</c:v>
                </c:pt>
                <c:pt idx="26">
                  <c:v>100</c:v>
                </c:pt>
                <c:pt idx="27">
                  <c:v>100</c:v>
                </c:pt>
                <c:pt idx="28">
                  <c:v>100</c:v>
                </c:pt>
                <c:pt idx="29">
                  <c:v>100</c:v>
                </c:pt>
                <c:pt idx="30">
                  <c:v>100</c:v>
                </c:pt>
                <c:pt idx="31">
                  <c:v>100</c:v>
                </c:pt>
                <c:pt idx="32">
                  <c:v>100</c:v>
                </c:pt>
                <c:pt idx="33">
                  <c:v>100</c:v>
                </c:pt>
                <c:pt idx="34">
                  <c:v>100</c:v>
                </c:pt>
                <c:pt idx="35">
                  <c:v>100</c:v>
                </c:pt>
                <c:pt idx="36">
                  <c:v>100</c:v>
                </c:pt>
                <c:pt idx="37">
                  <c:v>100</c:v>
                </c:pt>
                <c:pt idx="38">
                  <c:v>100</c:v>
                </c:pt>
                <c:pt idx="39">
                  <c:v>100</c:v>
                </c:pt>
                <c:pt idx="40">
                  <c:v>100</c:v>
                </c:pt>
                <c:pt idx="41">
                  <c:v>100</c:v>
                </c:pt>
                <c:pt idx="42">
                  <c:v>100</c:v>
                </c:pt>
                <c:pt idx="43">
                  <c:v>100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100</c:v>
                </c:pt>
                <c:pt idx="63">
                  <c:v>100</c:v>
                </c:pt>
                <c:pt idx="64">
                  <c:v>0</c:v>
                </c:pt>
                <c:pt idx="65">
                  <c:v>0</c:v>
                </c:pt>
              </c:numCache>
            </c:numRef>
          </c:val>
          <c:extLst>
            <c:ext xmlns:c16="http://schemas.microsoft.com/office/drawing/2014/chart" uri="{C3380CC4-5D6E-409C-BE32-E72D297353CC}">
              <c16:uniqueId val="{00000000-25A4-4F89-BAFA-E22801F8A181}"/>
            </c:ext>
          </c:extLst>
        </c:ser>
        <c:dLbls>
          <c:showLegendKey val="0"/>
          <c:showVal val="1"/>
          <c:showCatName val="0"/>
          <c:showSerName val="0"/>
          <c:showPercent val="0"/>
          <c:showBubbleSize val="0"/>
        </c:dLbls>
        <c:axId val="439967272"/>
        <c:axId val="439967664"/>
      </c:radarChart>
      <c:catAx>
        <c:axId val="439967272"/>
        <c:scaling>
          <c:orientation val="minMax"/>
        </c:scaling>
        <c:delete val="0"/>
        <c:axPos val="b"/>
        <c:majorGridlines/>
        <c:numFmt formatCode="General" sourceLinked="1"/>
        <c:majorTickMark val="out"/>
        <c:minorTickMark val="none"/>
        <c:tickLblPos val="nextTo"/>
        <c:txPr>
          <a:bodyPr/>
          <a:lstStyle/>
          <a:p>
            <a:pPr>
              <a:defRPr sz="2800" b="0">
                <a:latin typeface="Times New Roman" pitchFamily="18" charset="0"/>
                <a:cs typeface="Times New Roman" pitchFamily="18" charset="0"/>
              </a:defRPr>
            </a:pPr>
            <a:endParaRPr lang="en-US"/>
          </a:p>
        </c:txPr>
        <c:crossAx val="439967664"/>
        <c:crosses val="autoZero"/>
        <c:auto val="1"/>
        <c:lblAlgn val="ctr"/>
        <c:lblOffset val="100"/>
        <c:noMultiLvlLbl val="0"/>
      </c:catAx>
      <c:valAx>
        <c:axId val="439967664"/>
        <c:scaling>
          <c:orientation val="minMax"/>
          <c:max val="100"/>
          <c:min val="0"/>
        </c:scaling>
        <c:delete val="0"/>
        <c:axPos val="l"/>
        <c:majorGridlines/>
        <c:numFmt formatCode="General" sourceLinked="1"/>
        <c:majorTickMark val="cross"/>
        <c:minorTickMark val="none"/>
        <c:tickLblPos val="nextTo"/>
        <c:spPr>
          <a:ln w="3175"/>
        </c:spPr>
        <c:txPr>
          <a:bodyPr/>
          <a:lstStyle/>
          <a:p>
            <a:pPr>
              <a:defRPr sz="4000" b="1"/>
            </a:pPr>
            <a:endParaRPr lang="en-US"/>
          </a:p>
        </c:txPr>
        <c:crossAx val="439967272"/>
        <c:crosses val="autoZero"/>
        <c:crossBetween val="between"/>
        <c:majorUnit val="20"/>
        <c:minorUnit val="2"/>
      </c:valAx>
    </c:plotArea>
    <c:plotVisOnly val="1"/>
    <c:dispBlanksAs val="gap"/>
    <c:showDLblsOverMax val="0"/>
  </c:chart>
  <c:printSettings>
    <c:headerFooter/>
    <c:pageMargins b="0.75000000000001465" l="0.70000000000000062" r="0.70000000000000062" t="0.75000000000001465" header="0.30000000000000032" footer="0.30000000000000032"/>
    <c:pageSetup orientation="landscape"/>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5"/>
    </mc:Choice>
    <mc:Fallback>
      <c:style val="5"/>
    </mc:Fallback>
  </mc:AlternateContent>
  <c:chart>
    <c:title>
      <c:tx>
        <c:rich>
          <a:bodyPr/>
          <a:lstStyle/>
          <a:p>
            <a:pPr>
              <a:defRPr sz="2400"/>
            </a:pPr>
            <a:r>
              <a:rPr lang="en-US" sz="2400"/>
              <a:t>Energy Indicator Results</a:t>
            </a:r>
          </a:p>
        </c:rich>
      </c:tx>
      <c:overlay val="1"/>
    </c:title>
    <c:autoTitleDeleted val="0"/>
    <c:plotArea>
      <c:layout>
        <c:manualLayout>
          <c:layoutTarget val="inner"/>
          <c:xMode val="edge"/>
          <c:yMode val="edge"/>
          <c:x val="0.21540395462011774"/>
          <c:y val="0.12253257714215972"/>
          <c:w val="0.62648160086527505"/>
          <c:h val="0.80121453473279458"/>
        </c:manualLayout>
      </c:layout>
      <c:radarChart>
        <c:radarStyle val="marker"/>
        <c:varyColors val="0"/>
        <c:ser>
          <c:idx val="0"/>
          <c:order val="0"/>
          <c:spPr>
            <a:ln w="38100"/>
          </c:spPr>
          <c:marker>
            <c:spPr>
              <a:ln w="38100"/>
            </c:spPr>
          </c:marker>
          <c:dLbls>
            <c:delete val="1"/>
          </c:dLbls>
          <c:cat>
            <c:strRef>
              <c:f>'VIII. Plots'!$G$187:$G$200</c:f>
              <c:strCache>
                <c:ptCount val="14"/>
                <c:pt idx="0">
                  <c:v>1. Etotal</c:v>
                </c:pt>
                <c:pt idx="1">
                  <c:v>2. RSEI</c:v>
                </c:pt>
                <c:pt idx="2">
                  <c:v>3. REI</c:v>
                </c:pt>
                <c:pt idx="3">
                  <c:v>4. WTE</c:v>
                </c:pt>
                <c:pt idx="4">
                  <c:v>5. SRE</c:v>
                </c:pt>
                <c:pt idx="5">
                  <c:v>6. ηE</c:v>
                </c:pt>
                <c:pt idx="6">
                  <c:v>7. RIE</c:v>
                </c:pt>
                <c:pt idx="7">
                  <c:v>8. BFE</c:v>
                </c:pt>
                <c:pt idx="8">
                  <c:v>9. Erecycl.</c:v>
                </c:pt>
                <c:pt idx="9">
                  <c:v>10. Extotal</c:v>
                </c:pt>
                <c:pt idx="10">
                  <c:v>11. REx</c:v>
                </c:pt>
                <c:pt idx="11">
                  <c:v>12. ηEx</c:v>
                </c:pt>
                <c:pt idx="12">
                  <c:v>13. RIEx</c:v>
                </c:pt>
                <c:pt idx="13">
                  <c:v>14. BFEx</c:v>
                </c:pt>
              </c:strCache>
            </c:strRef>
          </c:cat>
          <c:val>
            <c:numRef>
              <c:f>'VIII. Plots'!$L$187:$L$200</c:f>
              <c:numCache>
                <c:formatCode>General</c:formatCode>
                <c:ptCount val="14"/>
                <c:pt idx="0">
                  <c:v>100</c:v>
                </c:pt>
                <c:pt idx="1">
                  <c:v>100</c:v>
                </c:pt>
                <c:pt idx="2">
                  <c:v>100</c:v>
                </c:pt>
                <c:pt idx="3">
                  <c:v>0</c:v>
                </c:pt>
                <c:pt idx="4">
                  <c:v>0</c:v>
                </c:pt>
                <c:pt idx="5">
                  <c:v>60.08</c:v>
                </c:pt>
                <c:pt idx="6">
                  <c:v>0</c:v>
                </c:pt>
                <c:pt idx="7">
                  <c:v>6.01</c:v>
                </c:pt>
                <c:pt idx="8">
                  <c:v>0</c:v>
                </c:pt>
                <c:pt idx="9">
                  <c:v>37.450000000000003</c:v>
                </c:pt>
                <c:pt idx="10">
                  <c:v>84.36</c:v>
                </c:pt>
                <c:pt idx="11">
                  <c:v>61.52</c:v>
                </c:pt>
                <c:pt idx="12">
                  <c:v>0</c:v>
                </c:pt>
                <c:pt idx="13">
                  <c:v>6.15</c:v>
                </c:pt>
              </c:numCache>
            </c:numRef>
          </c:val>
          <c:extLst>
            <c:ext xmlns:c16="http://schemas.microsoft.com/office/drawing/2014/chart" uri="{C3380CC4-5D6E-409C-BE32-E72D297353CC}">
              <c16:uniqueId val="{00000000-C9F7-4E5F-8E01-F91C5FBC40EB}"/>
            </c:ext>
          </c:extLst>
        </c:ser>
        <c:dLbls>
          <c:showLegendKey val="0"/>
          <c:showVal val="1"/>
          <c:showCatName val="0"/>
          <c:showSerName val="0"/>
          <c:showPercent val="0"/>
          <c:showBubbleSize val="0"/>
        </c:dLbls>
        <c:axId val="440604360"/>
        <c:axId val="440604752"/>
      </c:radarChart>
      <c:catAx>
        <c:axId val="440604360"/>
        <c:scaling>
          <c:orientation val="minMax"/>
        </c:scaling>
        <c:delete val="0"/>
        <c:axPos val="b"/>
        <c:majorGridlines/>
        <c:numFmt formatCode="General" sourceLinked="1"/>
        <c:majorTickMark val="out"/>
        <c:minorTickMark val="none"/>
        <c:tickLblPos val="nextTo"/>
        <c:txPr>
          <a:bodyPr/>
          <a:lstStyle/>
          <a:p>
            <a:pPr>
              <a:defRPr sz="1600" b="0">
                <a:latin typeface="Times New Roman" pitchFamily="18" charset="0"/>
                <a:cs typeface="Times New Roman" pitchFamily="18" charset="0"/>
              </a:defRPr>
            </a:pPr>
            <a:endParaRPr lang="en-US"/>
          </a:p>
        </c:txPr>
        <c:crossAx val="440604752"/>
        <c:crosses val="autoZero"/>
        <c:auto val="1"/>
        <c:lblAlgn val="ctr"/>
        <c:lblOffset val="100"/>
        <c:noMultiLvlLbl val="0"/>
      </c:catAx>
      <c:valAx>
        <c:axId val="440604752"/>
        <c:scaling>
          <c:orientation val="minMax"/>
          <c:max val="100"/>
          <c:min val="0"/>
        </c:scaling>
        <c:delete val="0"/>
        <c:axPos val="l"/>
        <c:majorGridlines/>
        <c:numFmt formatCode="General" sourceLinked="1"/>
        <c:majorTickMark val="cross"/>
        <c:minorTickMark val="none"/>
        <c:tickLblPos val="nextTo"/>
        <c:spPr>
          <a:ln w="3175"/>
        </c:spPr>
        <c:txPr>
          <a:bodyPr/>
          <a:lstStyle/>
          <a:p>
            <a:pPr>
              <a:defRPr sz="1600" b="1"/>
            </a:pPr>
            <a:endParaRPr lang="en-US"/>
          </a:p>
        </c:txPr>
        <c:crossAx val="440604360"/>
        <c:crosses val="autoZero"/>
        <c:crossBetween val="between"/>
        <c:majorUnit val="20"/>
        <c:minorUnit val="2"/>
      </c:valAx>
    </c:plotArea>
    <c:plotVisOnly val="1"/>
    <c:dispBlanksAs val="gap"/>
    <c:showDLblsOverMax val="0"/>
  </c:chart>
  <c:printSettings>
    <c:headerFooter/>
    <c:pageMargins b="0.75000000000001465" l="0.70000000000000062" r="0.70000000000000062" t="0.75000000000001465" header="0.30000000000000032" footer="0.30000000000000032"/>
    <c:pageSetup orientation="landscape"/>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5"/>
    </mc:Choice>
    <mc:Fallback>
      <c:style val="5"/>
    </mc:Fallback>
  </mc:AlternateContent>
  <c:chart>
    <c:title>
      <c:tx>
        <c:rich>
          <a:bodyPr/>
          <a:lstStyle/>
          <a:p>
            <a:pPr>
              <a:defRPr sz="2800"/>
            </a:pPr>
            <a:r>
              <a:rPr lang="en-US" sz="2800"/>
              <a:t>Economic Indicator Results</a:t>
            </a:r>
          </a:p>
        </c:rich>
      </c:tx>
      <c:overlay val="1"/>
    </c:title>
    <c:autoTitleDeleted val="0"/>
    <c:plotArea>
      <c:layout>
        <c:manualLayout>
          <c:layoutTarget val="inner"/>
          <c:xMode val="edge"/>
          <c:yMode val="edge"/>
          <c:x val="0.15988074567602267"/>
          <c:y val="0.10619707674471479"/>
          <c:w val="0.69257715862440272"/>
          <c:h val="0.7846189434127635"/>
        </c:manualLayout>
      </c:layout>
      <c:radarChart>
        <c:radarStyle val="marker"/>
        <c:varyColors val="0"/>
        <c:ser>
          <c:idx val="0"/>
          <c:order val="0"/>
          <c:spPr>
            <a:ln w="38100"/>
          </c:spPr>
          <c:marker>
            <c:spPr>
              <a:ln w="38100"/>
            </c:spPr>
          </c:marker>
          <c:dLbls>
            <c:delete val="1"/>
          </c:dLbls>
          <c:cat>
            <c:strRef>
              <c:f>'VIII. Plots'!$G$228:$G$260</c:f>
              <c:strCache>
                <c:ptCount val="33"/>
                <c:pt idx="0">
                  <c:v>1. NPV</c:v>
                </c:pt>
                <c:pt idx="1">
                  <c:v>2. PVR</c:v>
                </c:pt>
                <c:pt idx="2">
                  <c:v>3. DPBP</c:v>
                </c:pt>
                <c:pt idx="3">
                  <c:v>4. DCFROR</c:v>
                </c:pt>
                <c:pt idx="4">
                  <c:v>5. CCF</c:v>
                </c:pt>
                <c:pt idx="5">
                  <c:v>6. EP</c:v>
                </c:pt>
                <c:pt idx="6">
                  <c:v>7. ROI</c:v>
                </c:pt>
                <c:pt idx="7">
                  <c:v>8. PBP</c:v>
                </c:pt>
                <c:pt idx="8">
                  <c:v>9. TR</c:v>
                </c:pt>
                <c:pt idx="9">
                  <c:v>10. CCP</c:v>
                </c:pt>
                <c:pt idx="10">
                  <c:v>11. CCR</c:v>
                </c:pt>
                <c:pt idx="11">
                  <c:v>12. Rn</c:v>
                </c:pt>
                <c:pt idx="12">
                  <c:v>13. REV</c:v>
                </c:pt>
                <c:pt idx="13">
                  <c:v>14. REVeco-prod</c:v>
                </c:pt>
                <c:pt idx="14">
                  <c:v>15. Ceq</c:v>
                </c:pt>
                <c:pt idx="15">
                  <c:v>16. TPC</c:v>
                </c:pt>
                <c:pt idx="16">
                  <c:v>17. Epc</c:v>
                </c:pt>
                <c:pt idx="17">
                  <c:v>18. CTM</c:v>
                </c:pt>
                <c:pt idx="18">
                  <c:v>19. COM</c:v>
                </c:pt>
                <c:pt idx="19">
                  <c:v>20. CSRM</c:v>
                </c:pt>
                <c:pt idx="20">
                  <c:v>21. Cmat, tot.</c:v>
                </c:pt>
                <c:pt idx="21">
                  <c:v>22. CE, tot.</c:v>
                </c:pt>
                <c:pt idx="22">
                  <c:v>23. CE, spec.</c:v>
                </c:pt>
                <c:pt idx="23">
                  <c:v>24. CE, source</c:v>
                </c:pt>
                <c:pt idx="24">
                  <c:v>25. Cwater tot.</c:v>
                </c:pt>
                <c:pt idx="25">
                  <c:v>26. Cwater spec.</c:v>
                </c:pt>
                <c:pt idx="26">
                  <c:v>27.Cwater type</c:v>
                </c:pt>
                <c:pt idx="27">
                  <c:v>28. Cs tot.</c:v>
                </c:pt>
                <c:pt idx="28">
                  <c:v>29. Cs, spec.</c:v>
                </c:pt>
                <c:pt idx="29">
                  <c:v>30. Cl tot.</c:v>
                </c:pt>
                <c:pt idx="30">
                  <c:v>31. Cl, spec.</c:v>
                </c:pt>
                <c:pt idx="31">
                  <c:v>32. Cpur. air</c:v>
                </c:pt>
                <c:pt idx="32">
                  <c:v>33. Cpur. air fract.</c:v>
                </c:pt>
              </c:strCache>
            </c:strRef>
          </c:cat>
          <c:val>
            <c:numRef>
              <c:f>'VIII. Plots'!$L$228:$L$260</c:f>
              <c:numCache>
                <c:formatCode>General</c:formatCode>
                <c:ptCount val="33"/>
                <c:pt idx="0">
                  <c:v>46.66</c:v>
                </c:pt>
                <c:pt idx="1">
                  <c:v>0</c:v>
                </c:pt>
                <c:pt idx="2">
                  <c:v>100</c:v>
                </c:pt>
                <c:pt idx="3">
                  <c:v>100</c:v>
                </c:pt>
                <c:pt idx="4">
                  <c:v>0</c:v>
                </c:pt>
                <c:pt idx="5">
                  <c:v>20.56</c:v>
                </c:pt>
                <c:pt idx="6">
                  <c:v>0</c:v>
                </c:pt>
                <c:pt idx="7">
                  <c:v>100</c:v>
                </c:pt>
                <c:pt idx="8">
                  <c:v>0</c:v>
                </c:pt>
                <c:pt idx="9">
                  <c:v>0</c:v>
                </c:pt>
                <c:pt idx="10">
                  <c:v>0</c:v>
                </c:pt>
                <c:pt idx="11">
                  <c:v>4.1399999999999997</c:v>
                </c:pt>
                <c:pt idx="12">
                  <c:v>0</c:v>
                </c:pt>
                <c:pt idx="13">
                  <c:v>0</c:v>
                </c:pt>
                <c:pt idx="14">
                  <c:v>67.94</c:v>
                </c:pt>
                <c:pt idx="15">
                  <c:v>66.67</c:v>
                </c:pt>
                <c:pt idx="16">
                  <c:v>69</c:v>
                </c:pt>
                <c:pt idx="17">
                  <c:v>0</c:v>
                </c:pt>
                <c:pt idx="18">
                  <c:v>67.94</c:v>
                </c:pt>
                <c:pt idx="19">
                  <c:v>26.49</c:v>
                </c:pt>
                <c:pt idx="20">
                  <c:v>26.49</c:v>
                </c:pt>
                <c:pt idx="21">
                  <c:v>100</c:v>
                </c:pt>
                <c:pt idx="22">
                  <c:v>100</c:v>
                </c:pt>
                <c:pt idx="23">
                  <c:v>0</c:v>
                </c:pt>
                <c:pt idx="24">
                  <c:v>0</c:v>
                </c:pt>
                <c:pt idx="25">
                  <c:v>0</c:v>
                </c:pt>
                <c:pt idx="26">
                  <c:v>0</c:v>
                </c:pt>
                <c:pt idx="27">
                  <c:v>0</c:v>
                </c:pt>
                <c:pt idx="28">
                  <c:v>0</c:v>
                </c:pt>
                <c:pt idx="29">
                  <c:v>0</c:v>
                </c:pt>
                <c:pt idx="30">
                  <c:v>0</c:v>
                </c:pt>
                <c:pt idx="31">
                  <c:v>0</c:v>
                </c:pt>
                <c:pt idx="32">
                  <c:v>100</c:v>
                </c:pt>
              </c:numCache>
            </c:numRef>
          </c:val>
          <c:extLst>
            <c:ext xmlns:c16="http://schemas.microsoft.com/office/drawing/2014/chart" uri="{C3380CC4-5D6E-409C-BE32-E72D297353CC}">
              <c16:uniqueId val="{00000000-6CDD-4B2E-93ED-EE7DB41C4DC4}"/>
            </c:ext>
          </c:extLst>
        </c:ser>
        <c:dLbls>
          <c:showLegendKey val="0"/>
          <c:showVal val="1"/>
          <c:showCatName val="0"/>
          <c:showSerName val="0"/>
          <c:showPercent val="0"/>
          <c:showBubbleSize val="0"/>
        </c:dLbls>
        <c:axId val="440605536"/>
        <c:axId val="440605928"/>
      </c:radarChart>
      <c:catAx>
        <c:axId val="440605536"/>
        <c:scaling>
          <c:orientation val="minMax"/>
        </c:scaling>
        <c:delete val="0"/>
        <c:axPos val="b"/>
        <c:majorGridlines/>
        <c:numFmt formatCode="General" sourceLinked="1"/>
        <c:majorTickMark val="out"/>
        <c:minorTickMark val="none"/>
        <c:tickLblPos val="nextTo"/>
        <c:txPr>
          <a:bodyPr/>
          <a:lstStyle/>
          <a:p>
            <a:pPr>
              <a:defRPr sz="1600" b="0">
                <a:latin typeface="Times New Roman" pitchFamily="18" charset="0"/>
                <a:cs typeface="Times New Roman" pitchFamily="18" charset="0"/>
              </a:defRPr>
            </a:pPr>
            <a:endParaRPr lang="en-US"/>
          </a:p>
        </c:txPr>
        <c:crossAx val="440605928"/>
        <c:crosses val="autoZero"/>
        <c:auto val="1"/>
        <c:lblAlgn val="ctr"/>
        <c:lblOffset val="100"/>
        <c:noMultiLvlLbl val="0"/>
      </c:catAx>
      <c:valAx>
        <c:axId val="440605928"/>
        <c:scaling>
          <c:orientation val="minMax"/>
          <c:max val="100"/>
          <c:min val="0"/>
        </c:scaling>
        <c:delete val="0"/>
        <c:axPos val="l"/>
        <c:majorGridlines/>
        <c:numFmt formatCode="General" sourceLinked="1"/>
        <c:majorTickMark val="cross"/>
        <c:minorTickMark val="none"/>
        <c:tickLblPos val="nextTo"/>
        <c:spPr>
          <a:ln w="3175"/>
        </c:spPr>
        <c:txPr>
          <a:bodyPr/>
          <a:lstStyle/>
          <a:p>
            <a:pPr>
              <a:defRPr sz="2400" b="1"/>
            </a:pPr>
            <a:endParaRPr lang="en-US"/>
          </a:p>
        </c:txPr>
        <c:crossAx val="440605536"/>
        <c:crosses val="autoZero"/>
        <c:crossBetween val="between"/>
        <c:majorUnit val="20"/>
        <c:minorUnit val="2"/>
      </c:valAx>
    </c:plotArea>
    <c:plotVisOnly val="1"/>
    <c:dispBlanksAs val="gap"/>
    <c:showDLblsOverMax val="0"/>
  </c:chart>
  <c:printSettings>
    <c:headerFooter/>
    <c:pageMargins b="0.75000000000001465" l="0.70000000000000062" r="0.70000000000000062" t="0.75000000000001465" header="0.30000000000000032" footer="0.30000000000000032"/>
    <c:pageSetup orientation="landscape"/>
  </c:printSettings>
</c:chartSpace>
</file>

<file path=xl/drawings/_rels/drawing1.xml.rels><?xml version="1.0" encoding="UTF-8"?><Relationships xmlns="http://schemas.openxmlformats.org/package/2006/relationships"><Relationship Target="../media/image2.emf" Type="http://schemas.openxmlformats.org/officeDocument/2006/relationships/image" Id="rId2"/><Relationship Target="../media/image1.emf" Type="http://schemas.openxmlformats.org/officeDocument/2006/relationships/image" Id="rId1"/></Relationships>
</file>

<file path=xl/drawings/_rels/drawing2.xml.rels><?xml version="1.0" encoding="UTF-8"?><Relationships xmlns="http://schemas.openxmlformats.org/package/2006/relationships"><Relationship Target="../media/image10.wmf" Type="http://schemas.openxmlformats.org/officeDocument/2006/relationships/image" Id="rId8"/><Relationship Target="../media/image15.emf" Type="http://schemas.openxmlformats.org/officeDocument/2006/relationships/image" Id="rId13"/><Relationship Target="../media/image20.wmf" Type="http://schemas.openxmlformats.org/officeDocument/2006/relationships/image" Id="rId18"/><Relationship Target="../media/image28.emf" Type="http://schemas.openxmlformats.org/officeDocument/2006/relationships/image" Id="rId26"/><Relationship Target="../media/image5.emf" Type="http://schemas.openxmlformats.org/officeDocument/2006/relationships/image" Id="rId3"/><Relationship Target="../media/image23.emf" Type="http://schemas.openxmlformats.org/officeDocument/2006/relationships/image" Id="rId21"/><Relationship Target="../media/image9.emf" Type="http://schemas.openxmlformats.org/officeDocument/2006/relationships/image" Id="rId7"/><Relationship Target="../media/image14.emf" Type="http://schemas.openxmlformats.org/officeDocument/2006/relationships/image" Id="rId12"/><Relationship Target="../media/image19.emf" Type="http://schemas.openxmlformats.org/officeDocument/2006/relationships/image" Id="rId17"/><Relationship Target="../media/image27.emf" Type="http://schemas.openxmlformats.org/officeDocument/2006/relationships/image" Id="rId25"/><Relationship Target="../media/image4.emf" Type="http://schemas.openxmlformats.org/officeDocument/2006/relationships/image" Id="rId2"/><Relationship Target="../media/image18.emf" Type="http://schemas.openxmlformats.org/officeDocument/2006/relationships/image" Id="rId16"/><Relationship Target="../media/image22.wmf" Type="http://schemas.openxmlformats.org/officeDocument/2006/relationships/image" Id="rId20"/><Relationship Target="../charts/chart1.xml" Type="http://schemas.openxmlformats.org/officeDocument/2006/relationships/chart" Id="rId1"/><Relationship Target="../media/image8.emf" Type="http://schemas.openxmlformats.org/officeDocument/2006/relationships/image" Id="rId6"/><Relationship Target="../media/image13.emf" Type="http://schemas.openxmlformats.org/officeDocument/2006/relationships/image" Id="rId11"/><Relationship Target="../media/image26.emf" Type="http://schemas.openxmlformats.org/officeDocument/2006/relationships/image" Id="rId24"/><Relationship Target="../media/image7.emf" Type="http://schemas.openxmlformats.org/officeDocument/2006/relationships/image" Id="rId5"/><Relationship Target="../media/image17.emf" Type="http://schemas.openxmlformats.org/officeDocument/2006/relationships/image" Id="rId15"/><Relationship Target="../media/image25.emf" Type="http://schemas.openxmlformats.org/officeDocument/2006/relationships/image" Id="rId23"/><Relationship Target="../media/image12.emf" Type="http://schemas.openxmlformats.org/officeDocument/2006/relationships/image" Id="rId10"/><Relationship Target="../media/image21.emf" Type="http://schemas.openxmlformats.org/officeDocument/2006/relationships/image" Id="rId19"/><Relationship Target="../media/image6.emf" Type="http://schemas.openxmlformats.org/officeDocument/2006/relationships/image" Id="rId4"/><Relationship Target="../media/image11.emf" Type="http://schemas.openxmlformats.org/officeDocument/2006/relationships/image" Id="rId9"/><Relationship Target="../media/image16.emf" Type="http://schemas.openxmlformats.org/officeDocument/2006/relationships/image" Id="rId14"/><Relationship Target="../media/image24.emf" Type="http://schemas.openxmlformats.org/officeDocument/2006/relationships/image" Id="rId22"/></Relationships>
</file>

<file path=xl/drawings/_rels/drawing3.xml.rels><?xml version="1.0" encoding="UTF-8"?><Relationships xmlns="http://schemas.openxmlformats.org/package/2006/relationships"><Relationship Target="../media/image53.emf" Type="http://schemas.openxmlformats.org/officeDocument/2006/relationships/image" Id="rId26"/><Relationship Target="../media/image48.emf" Type="http://schemas.openxmlformats.org/officeDocument/2006/relationships/image" Id="rId21"/><Relationship Target="../media/image61.emf" Type="http://schemas.openxmlformats.org/officeDocument/2006/relationships/image" Id="rId34"/><Relationship Target="../media/image69.emf" Type="http://schemas.openxmlformats.org/officeDocument/2006/relationships/image" Id="rId42"/><Relationship Target="../media/image74.emf" Type="http://schemas.openxmlformats.org/officeDocument/2006/relationships/image" Id="rId47"/><Relationship Target="../media/image77.wmf" Type="http://schemas.openxmlformats.org/officeDocument/2006/relationships/image" Id="rId50"/><Relationship Target="../media/image82.wmf" Type="http://schemas.openxmlformats.org/officeDocument/2006/relationships/image" Id="rId55"/><Relationship Target="../media/image90.emf" Type="http://schemas.openxmlformats.org/officeDocument/2006/relationships/image" Id="rId63"/><Relationship Target="../media/image5.emf" Type="http://schemas.openxmlformats.org/officeDocument/2006/relationships/image" Id="rId7"/><Relationship Target="../media/image30.emf" Type="http://schemas.openxmlformats.org/officeDocument/2006/relationships/image" Id="rId2"/><Relationship Target="../media/image43.emf" Type="http://schemas.openxmlformats.org/officeDocument/2006/relationships/image" Id="rId16"/><Relationship Target="../media/image56.emf" Type="http://schemas.openxmlformats.org/officeDocument/2006/relationships/image" Id="rId29"/><Relationship Target="../media/image38.wmf" Type="http://schemas.openxmlformats.org/officeDocument/2006/relationships/image" Id="rId11"/><Relationship Target="../media/image51.emf" Type="http://schemas.openxmlformats.org/officeDocument/2006/relationships/image" Id="rId24"/><Relationship Target="../media/image59.emf" Type="http://schemas.openxmlformats.org/officeDocument/2006/relationships/image" Id="rId32"/><Relationship Target="../media/image64.emf" Type="http://schemas.openxmlformats.org/officeDocument/2006/relationships/image" Id="rId37"/><Relationship Target="../media/image67.emf" Type="http://schemas.openxmlformats.org/officeDocument/2006/relationships/image" Id="rId40"/><Relationship Target="../media/image72.emf" Type="http://schemas.openxmlformats.org/officeDocument/2006/relationships/image" Id="rId45"/><Relationship Target="../media/image80.wmf" Type="http://schemas.openxmlformats.org/officeDocument/2006/relationships/image" Id="rId53"/><Relationship Target="../media/image85.wmf" Type="http://schemas.openxmlformats.org/officeDocument/2006/relationships/image" Id="rId58"/><Relationship Target="../media/image33.emf" Type="http://schemas.openxmlformats.org/officeDocument/2006/relationships/image" Id="rId5"/><Relationship Target="../media/image88.wmf" Type="http://schemas.openxmlformats.org/officeDocument/2006/relationships/image" Id="rId61"/><Relationship Target="../media/image46.emf" Type="http://schemas.openxmlformats.org/officeDocument/2006/relationships/image" Id="rId19"/><Relationship Target="../media/image41.emf" Type="http://schemas.openxmlformats.org/officeDocument/2006/relationships/image" Id="rId14"/><Relationship Target="../media/image49.emf" Type="http://schemas.openxmlformats.org/officeDocument/2006/relationships/image" Id="rId22"/><Relationship Target="../media/image54.emf" Type="http://schemas.openxmlformats.org/officeDocument/2006/relationships/image" Id="rId27"/><Relationship Target="../media/image57.emf" Type="http://schemas.openxmlformats.org/officeDocument/2006/relationships/image" Id="rId30"/><Relationship Target="../media/image62.emf" Type="http://schemas.openxmlformats.org/officeDocument/2006/relationships/image" Id="rId35"/><Relationship Target="../media/image70.emf" Type="http://schemas.openxmlformats.org/officeDocument/2006/relationships/image" Id="rId43"/><Relationship Target="../media/image75.emf" Type="http://schemas.openxmlformats.org/officeDocument/2006/relationships/image" Id="rId48"/><Relationship Target="../media/image83.wmf" Type="http://schemas.openxmlformats.org/officeDocument/2006/relationships/image" Id="rId56"/><Relationship Target="../media/image91.wmf" Type="http://schemas.openxmlformats.org/officeDocument/2006/relationships/image" Id="rId64"/><Relationship Target="../media/image35.emf" Type="http://schemas.openxmlformats.org/officeDocument/2006/relationships/image" Id="rId8"/><Relationship Target="../media/image78.wmf" Type="http://schemas.openxmlformats.org/officeDocument/2006/relationships/image" Id="rId51"/><Relationship Target="../media/image31.emf" Type="http://schemas.openxmlformats.org/officeDocument/2006/relationships/image" Id="rId3"/><Relationship Target="../media/image39.emf" Type="http://schemas.openxmlformats.org/officeDocument/2006/relationships/image" Id="rId12"/><Relationship Target="../media/image44.emf" Type="http://schemas.openxmlformats.org/officeDocument/2006/relationships/image" Id="rId17"/><Relationship Target="../media/image52.emf" Type="http://schemas.openxmlformats.org/officeDocument/2006/relationships/image" Id="rId25"/><Relationship Target="../media/image60.emf" Type="http://schemas.openxmlformats.org/officeDocument/2006/relationships/image" Id="rId33"/><Relationship Target="../media/image65.emf" Type="http://schemas.openxmlformats.org/officeDocument/2006/relationships/image" Id="rId38"/><Relationship Target="../media/image73.emf" Type="http://schemas.openxmlformats.org/officeDocument/2006/relationships/image" Id="rId46"/><Relationship Target="../media/image86.wmf" Type="http://schemas.openxmlformats.org/officeDocument/2006/relationships/image" Id="rId59"/><Relationship Target="../media/image47.emf" Type="http://schemas.openxmlformats.org/officeDocument/2006/relationships/image" Id="rId20"/><Relationship Target="../media/image68.emf" Type="http://schemas.openxmlformats.org/officeDocument/2006/relationships/image" Id="rId41"/><Relationship Target="../media/image81.wmf" Type="http://schemas.openxmlformats.org/officeDocument/2006/relationships/image" Id="rId54"/><Relationship Target="../media/image89.wmf" Type="http://schemas.openxmlformats.org/officeDocument/2006/relationships/image" Id="rId62"/><Relationship Target="../charts/chart2.xml" Type="http://schemas.openxmlformats.org/officeDocument/2006/relationships/chart" Id="rId1"/><Relationship Target="../media/image34.emf" Type="http://schemas.openxmlformats.org/officeDocument/2006/relationships/image" Id="rId6"/><Relationship Target="../media/image42.wmf" Type="http://schemas.openxmlformats.org/officeDocument/2006/relationships/image" Id="rId15"/><Relationship Target="../media/image50.emf" Type="http://schemas.openxmlformats.org/officeDocument/2006/relationships/image" Id="rId23"/><Relationship Target="../media/image55.emf" Type="http://schemas.openxmlformats.org/officeDocument/2006/relationships/image" Id="rId28"/><Relationship Target="../media/image63.emf" Type="http://schemas.openxmlformats.org/officeDocument/2006/relationships/image" Id="rId36"/><Relationship Target="../media/image76.wmf" Type="http://schemas.openxmlformats.org/officeDocument/2006/relationships/image" Id="rId49"/><Relationship Target="../media/image84.emf" Type="http://schemas.openxmlformats.org/officeDocument/2006/relationships/image" Id="rId57"/><Relationship Target="../media/image37.emf" Type="http://schemas.openxmlformats.org/officeDocument/2006/relationships/image" Id="rId10"/><Relationship Target="../media/image58.emf" Type="http://schemas.openxmlformats.org/officeDocument/2006/relationships/image" Id="rId31"/><Relationship Target="../media/image71.emf" Type="http://schemas.openxmlformats.org/officeDocument/2006/relationships/image" Id="rId44"/><Relationship Target="../media/image79.wmf" Type="http://schemas.openxmlformats.org/officeDocument/2006/relationships/image" Id="rId52"/><Relationship Target="../media/image87.wmf" Type="http://schemas.openxmlformats.org/officeDocument/2006/relationships/image" Id="rId60"/><Relationship Target="../media/image92.wmf" Type="http://schemas.openxmlformats.org/officeDocument/2006/relationships/image" Id="rId65"/><Relationship Target="../media/image32.wmf" Type="http://schemas.openxmlformats.org/officeDocument/2006/relationships/image" Id="rId4"/><Relationship Target="../media/image36.emf" Type="http://schemas.openxmlformats.org/officeDocument/2006/relationships/image" Id="rId9"/><Relationship Target="../media/image40.wmf" Type="http://schemas.openxmlformats.org/officeDocument/2006/relationships/image" Id="rId13"/><Relationship Target="../media/image45.emf" Type="http://schemas.openxmlformats.org/officeDocument/2006/relationships/image" Id="rId18"/><Relationship Target="../media/image66.emf" Type="http://schemas.openxmlformats.org/officeDocument/2006/relationships/image" Id="rId39"/></Relationships>
</file>

<file path=xl/drawings/_rels/drawing4.xml.rels><?xml version="1.0" encoding="UTF-8"?><Relationships xmlns="http://schemas.openxmlformats.org/package/2006/relationships"><Relationship Target="../media/image101.wmf" Type="http://schemas.openxmlformats.org/officeDocument/2006/relationships/image" Id="rId8"/><Relationship Target="../media/image106.emf" Type="http://schemas.openxmlformats.org/officeDocument/2006/relationships/image" Id="rId13"/><Relationship Target="../media/image96.wmf" Type="http://schemas.openxmlformats.org/officeDocument/2006/relationships/image" Id="rId3"/><Relationship Target="../media/image100.emf" Type="http://schemas.openxmlformats.org/officeDocument/2006/relationships/image" Id="rId7"/><Relationship Target="../media/image105.wmf" Type="http://schemas.openxmlformats.org/officeDocument/2006/relationships/image" Id="rId12"/><Relationship Target="../media/image95.emf" Type="http://schemas.openxmlformats.org/officeDocument/2006/relationships/image" Id="rId2"/><Relationship Target="../media/image94.wmf" Type="http://schemas.openxmlformats.org/officeDocument/2006/relationships/image" Id="rId1"/><Relationship Target="../media/image99.emf" Type="http://schemas.openxmlformats.org/officeDocument/2006/relationships/image" Id="rId6"/><Relationship Target="../media/image104.wmf" Type="http://schemas.openxmlformats.org/officeDocument/2006/relationships/image" Id="rId11"/><Relationship Target="../media/image98.emf" Type="http://schemas.openxmlformats.org/officeDocument/2006/relationships/image" Id="rId5"/><Relationship Target="../media/image103.emf" Type="http://schemas.openxmlformats.org/officeDocument/2006/relationships/image" Id="rId10"/><Relationship Target="../media/image97.emf" Type="http://schemas.openxmlformats.org/officeDocument/2006/relationships/image" Id="rId4"/><Relationship Target="../media/image102.emf" Type="http://schemas.openxmlformats.org/officeDocument/2006/relationships/image" Id="rId9"/></Relationships>
</file>

<file path=xl/drawings/_rels/drawing5.xml.rels><?xml version="1.0" encoding="UTF-8"?><Relationships xmlns="http://schemas.openxmlformats.org/package/2006/relationships"><Relationship Target="../media/image117.wmf" Type="http://schemas.openxmlformats.org/officeDocument/2006/relationships/image" Id="rId13"/><Relationship Target="../media/image122.emf" Type="http://schemas.openxmlformats.org/officeDocument/2006/relationships/image" Id="rId18"/><Relationship Target="../media/image130.emf" Type="http://schemas.openxmlformats.org/officeDocument/2006/relationships/image" Id="rId26"/><Relationship Target="../charts/chart5.xml" Type="http://schemas.openxmlformats.org/officeDocument/2006/relationships/chart" Id="rId3"/><Relationship Target="../media/image125.wmf" Type="http://schemas.openxmlformats.org/officeDocument/2006/relationships/image" Id="rId21"/><Relationship Target="../media/image138.wmf" Type="http://schemas.openxmlformats.org/officeDocument/2006/relationships/image" Id="rId34"/><Relationship Target="../media/image111.wmf" Type="http://schemas.openxmlformats.org/officeDocument/2006/relationships/image" Id="rId7"/><Relationship Target="../media/image116.wmf" Type="http://schemas.openxmlformats.org/officeDocument/2006/relationships/image" Id="rId12"/><Relationship Target="../media/image121.wmf" Type="http://schemas.openxmlformats.org/officeDocument/2006/relationships/image" Id="rId17"/><Relationship Target="../media/image129.emf" Type="http://schemas.openxmlformats.org/officeDocument/2006/relationships/image" Id="rId25"/><Relationship Target="../media/image137.wmf" Type="http://schemas.openxmlformats.org/officeDocument/2006/relationships/image" Id="rId33"/><Relationship Target="../charts/chart4.xml" Type="http://schemas.openxmlformats.org/officeDocument/2006/relationships/chart" Id="rId2"/><Relationship Target="../media/image120.emf" Type="http://schemas.openxmlformats.org/officeDocument/2006/relationships/image" Id="rId16"/><Relationship Target="../media/image124.wmf" Type="http://schemas.openxmlformats.org/officeDocument/2006/relationships/image" Id="rId20"/><Relationship Target="../media/image133.wmf" Type="http://schemas.openxmlformats.org/officeDocument/2006/relationships/image" Id="rId29"/><Relationship Target="../charts/chart3.xml" Type="http://schemas.openxmlformats.org/officeDocument/2006/relationships/chart" Id="rId1"/><Relationship Target="../media/image110.emf" Type="http://schemas.openxmlformats.org/officeDocument/2006/relationships/image" Id="rId6"/><Relationship Target="../media/image115.wmf" Type="http://schemas.openxmlformats.org/officeDocument/2006/relationships/image" Id="rId11"/><Relationship Target="../media/image128.wmf" Type="http://schemas.openxmlformats.org/officeDocument/2006/relationships/image" Id="rId24"/><Relationship Target="../media/image136.wmf" Type="http://schemas.openxmlformats.org/officeDocument/2006/relationships/image" Id="rId32"/><Relationship Target="../media/image109.emf" Type="http://schemas.openxmlformats.org/officeDocument/2006/relationships/image" Id="rId5"/><Relationship Target="../media/image119.wmf" Type="http://schemas.openxmlformats.org/officeDocument/2006/relationships/image" Id="rId15"/><Relationship Target="../media/image127.emf" Type="http://schemas.openxmlformats.org/officeDocument/2006/relationships/image" Id="rId23"/><Relationship Target="../media/image132.wmf" Type="http://schemas.openxmlformats.org/officeDocument/2006/relationships/image" Id="rId28"/><Relationship Target="../media/image114.wmf" Type="http://schemas.openxmlformats.org/officeDocument/2006/relationships/image" Id="rId10"/><Relationship Target="../media/image123.wmf" Type="http://schemas.openxmlformats.org/officeDocument/2006/relationships/image" Id="rId19"/><Relationship Target="../media/image135.wmf" Type="http://schemas.openxmlformats.org/officeDocument/2006/relationships/image" Id="rId31"/><Relationship Target="../media/image108.emf" Type="http://schemas.openxmlformats.org/officeDocument/2006/relationships/image" Id="rId4"/><Relationship Target="../media/image113.emf" Type="http://schemas.openxmlformats.org/officeDocument/2006/relationships/image" Id="rId9"/><Relationship Target="../media/image118.wmf" Type="http://schemas.openxmlformats.org/officeDocument/2006/relationships/image" Id="rId14"/><Relationship Target="../media/image126.wmf" Type="http://schemas.openxmlformats.org/officeDocument/2006/relationships/image" Id="rId22"/><Relationship Target="../media/image131.wmf" Type="http://schemas.openxmlformats.org/officeDocument/2006/relationships/image" Id="rId27"/><Relationship Target="../media/image134.wmf" Type="http://schemas.openxmlformats.org/officeDocument/2006/relationships/image" Id="rId30"/><Relationship Target="../media/image139.wmf" Type="http://schemas.openxmlformats.org/officeDocument/2006/relationships/image" Id="rId35"/><Relationship Target="../media/image112.wmf" Type="http://schemas.openxmlformats.org/officeDocument/2006/relationships/image" Id="rId8"/></Relationships>
</file>

<file path=xl/drawings/_rels/drawing6.xml.rels><?xml version="1.0" encoding="UTF-8"?><Relationships xmlns="http://schemas.openxmlformats.org/package/2006/relationships"><Relationship Target="../charts/chart8.xml" Type="http://schemas.openxmlformats.org/officeDocument/2006/relationships/chart" Id="rId3"/><Relationship Target="../charts/chart7.xml" Type="http://schemas.openxmlformats.org/officeDocument/2006/relationships/chart" Id="rId2"/><Relationship Target="../charts/chart6.xml" Type="http://schemas.openxmlformats.org/officeDocument/2006/relationships/chart" Id="rId1"/><Relationship Target="../charts/chart9.xml" Type="http://schemas.openxmlformats.org/officeDocument/2006/relationships/chart" Id="rId4"/></Relationships>
</file>

<file path=xl/drawings/_rels/vmlDrawing4.vml.rels><?xml version="1.0" encoding="UTF-8"?><Relationships xmlns="http://schemas.openxmlformats.org/package/2006/relationships"><Relationship Target="../media/image3.emf" Type="http://schemas.openxmlformats.org/officeDocument/2006/relationships/image" Id="rId1"/></Relationships>
</file>

<file path=xl/drawings/_rels/vmlDrawing5.vml.rels><?xml version="1.0" encoding="UTF-8"?><Relationships xmlns="http://schemas.openxmlformats.org/package/2006/relationships"><Relationship Target="../media/image29.emf" Type="http://schemas.openxmlformats.org/officeDocument/2006/relationships/image" Id="rId1"/></Relationships>
</file>

<file path=xl/drawings/_rels/vmlDrawing6.vml.rels><?xml version="1.0" encoding="UTF-8"?><Relationships xmlns="http://schemas.openxmlformats.org/package/2006/relationships"><Relationship Target="../media/image93.emf" Type="http://schemas.openxmlformats.org/officeDocument/2006/relationships/image" Id="rId1"/></Relationships>
</file>

<file path=xl/drawings/_rels/vmlDrawing7.vml.rels><?xml version="1.0" encoding="UTF-8"?><Relationships xmlns="http://schemas.openxmlformats.org/package/2006/relationships"><Relationship Target="../media/image107.emf" Type="http://schemas.openxmlformats.org/officeDocument/2006/relationships/image" Id="rId1"/></Relationships>
</file>

<file path=xl/drawings/drawing1.xml><?xml version="1.0" encoding="utf-8"?>
<xdr:wsDr xmlns:a="http://schemas.openxmlformats.org/drawingml/2006/main" xmlns:xdr="http://schemas.openxmlformats.org/drawingml/2006/spreadsheetDrawing" xmlns:r="http://schemas.openxmlformats.org/officeDocument/2006/relationships">
  <xdr:twoCellAnchor editAs="oneCell">
    <xdr:from>
      <xdr:col>58</xdr:col>
      <xdr:colOff>1098775</xdr:colOff>
      <xdr:row>100</xdr:row>
      <xdr:rowOff>234722</xdr:rowOff>
    </xdr:from>
    <xdr:to>
      <xdr:col>73</xdr:col>
      <xdr:colOff>460347</xdr:colOff>
      <xdr:row>138</xdr:row>
      <xdr:rowOff>80009</xdr:rowOff>
    </xdr:to>
    <xdr:pic>
      <xdr:nvPicPr>
        <xdr:cNvPr id="7396" name="Picture 228">
          <a:extLst>
            <a:ext xmlns:a16="http://schemas.microsoft.com/office/drawing/2014/main" uri="{FF2B5EF4-FFF2-40B4-BE49-F238E27FC236}">
              <a16:creationId xmlns:a16="http://schemas.microsoft.com/office/drawing/2014/main" id="{00000000-0008-0000-0000-0000E41C0000}"/>
            </a:ext>
          </a:extLst>
        </xdr:cNvPr>
        <xdr:cNvPicPr>
          <a:picLocks noChangeAspect="true" noChangeArrowheads="true"/>
        </xdr:cNvPicPr>
      </xdr:nvPicPr>
      <xdr:blipFill>
        <a:blip r:embed="rId1" cstate="print"/>
        <a:srcRect l="1564" t="20385" b="19359"/>
        <a:stretch>
          <a:fillRect/>
        </a:stretch>
      </xdr:blipFill>
      <xdr:spPr bwMode="auto">
        <a:xfrm>
          <a:off x="93015025" y="30428972"/>
          <a:ext cx="24184811" cy="11004777"/>
        </a:xfrm>
        <a:prstGeom prst="rect">
          <a:avLst/>
        </a:prstGeom>
        <a:noFill/>
      </xdr:spPr>
    </xdr:pic>
    <xdr:clientData/>
  </xdr:twoCellAnchor>
  <xdr:twoCellAnchor editAs="oneCell">
    <xdr:from>
      <xdr:col>38</xdr:col>
      <xdr:colOff>836048</xdr:colOff>
      <xdr:row>96</xdr:row>
      <xdr:rowOff>2165</xdr:rowOff>
    </xdr:from>
    <xdr:to>
      <xdr:col>57</xdr:col>
      <xdr:colOff>339439</xdr:colOff>
      <xdr:row>147</xdr:row>
      <xdr:rowOff>224913</xdr:rowOff>
    </xdr:to>
    <xdr:pic>
      <xdr:nvPicPr>
        <xdr:cNvPr id="7558" name="Picture 390">
          <a:extLst>
            <a:ext xmlns:a16="http://schemas.microsoft.com/office/drawing/2014/main" uri="{FF2B5EF4-FFF2-40B4-BE49-F238E27FC236}">
              <a16:creationId xmlns:a16="http://schemas.microsoft.com/office/drawing/2014/main" id="{00000000-0008-0000-0000-0000861D0000}"/>
            </a:ext>
          </a:extLst>
        </xdr:cNvPr>
        <xdr:cNvPicPr>
          <a:picLocks noChangeAspect="true" noChangeArrowheads="true"/>
        </xdr:cNvPicPr>
      </xdr:nvPicPr>
      <xdr:blipFill>
        <a:blip r:embed="rId2" cstate="print"/>
        <a:srcRect l="2496" t="19953" b="11591"/>
        <a:stretch>
          <a:fillRect/>
        </a:stretch>
      </xdr:blipFill>
      <xdr:spPr bwMode="auto">
        <a:xfrm>
          <a:off x="60176798" y="29053415"/>
          <a:ext cx="30349149" cy="15101144"/>
        </a:xfrm>
        <a:prstGeom prst="rect">
          <a:avLst/>
        </a:prstGeom>
        <a:noFill/>
      </xdr:spPr>
    </xdr:pic>
    <xdr:clientData/>
  </xdr:twoCellAnchor>
</xdr:wsDr>
</file>

<file path=xl/drawings/drawing2.xml><?xml version="1.0" encoding="utf-8"?>
<xdr:wsDr xmlns:a="http://schemas.openxmlformats.org/drawingml/2006/main" xmlns:xdr="http://schemas.openxmlformats.org/drawingml/2006/spreadsheetDrawing" xmlns:r="http://schemas.openxmlformats.org/officeDocument/2006/relationships">
  <xdr:twoCellAnchor>
    <xdr:from>
      <xdr:col>19</xdr:col>
      <xdr:colOff>1116924</xdr:colOff>
      <xdr:row>5</xdr:row>
      <xdr:rowOff>12575</xdr:rowOff>
    </xdr:from>
    <xdr:to>
      <xdr:col>35</xdr:col>
      <xdr:colOff>138112</xdr:colOff>
      <xdr:row>13</xdr:row>
      <xdr:rowOff>261257</xdr:rowOff>
    </xdr:to>
    <xdr:graphicFrame macro="">
      <xdr:nvGraphicFramePr>
        <xdr:cNvPr id="4" name="Chart 3">
          <a:extLst>
            <a:ext xmlns:a16="http://schemas.microsoft.com/office/drawing/2014/main" uri="{FF2B5EF4-FFF2-40B4-BE49-F238E27FC236}">
              <a16:creationId xmlns:a16="http://schemas.microsoft.com/office/drawing/2014/main" id="{00000000-0008-0000-03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9</xdr:col>
          <xdr:colOff>1211580</xdr:colOff>
          <xdr:row>17</xdr:row>
          <xdr:rowOff>289560</xdr:rowOff>
        </xdr:from>
        <xdr:to>
          <xdr:col>9</xdr:col>
          <xdr:colOff>4008120</xdr:colOff>
          <xdr:row>17</xdr:row>
          <xdr:rowOff>1303020</xdr:rowOff>
        </xdr:to>
        <xdr:sp macro="" textlink="">
          <xdr:nvSpPr>
            <xdr:cNvPr id="2120" name="Object 72" hidden="1">
              <a:extLst>
                <a:ext uri="{63B3BB69-23CF-44E3-9099-C40C66FF867C}">
                  <a14:compatExt spid="_x0000_s2120"/>
                </a:ext>
                <a:ext uri="{FF2B5EF4-FFF2-40B4-BE49-F238E27FC236}">
                  <a16:creationId xmlns:a16="http://schemas.microsoft.com/office/drawing/2014/main" id="{00000000-0008-0000-0300-00004808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xdr:twoCellAnchor>
    <xdr:from>
      <xdr:col>9</xdr:col>
      <xdr:colOff>2247900</xdr:colOff>
      <xdr:row>11</xdr:row>
      <xdr:rowOff>60960</xdr:rowOff>
    </xdr:from>
    <xdr:to>
      <xdr:col>9</xdr:col>
      <xdr:colOff>3276600</xdr:colOff>
      <xdr:row>11</xdr:row>
      <xdr:rowOff>769620</xdr:rowOff>
    </xdr:to>
    <xdr:sp macro="" textlink="">
      <xdr:nvSpPr>
        <xdr:cNvPr id="2121" name="Object 73" hidden="true">
          <a:extLst>
            <a:ext xmlns:a14="http://schemas.microsoft.com/office/drawing/2010/main" uri="{63B3BB69-23CF-44E3-9099-C40C66FF867C}">
              <a14:compatExt xmlns:a14="http://schemas.microsoft.com/office/drawing/2010/main" spid="_x0000_s2121"/>
            </a:ext>
            <a:ext xmlns:a16="http://schemas.microsoft.com/office/drawing/2014/main" uri="{FF2B5EF4-FFF2-40B4-BE49-F238E27FC236}">
              <a16:creationId xmlns:a16="http://schemas.microsoft.com/office/drawing/2014/main" id="{00000000-0008-0000-0300-000049080000}"/>
            </a:ext>
          </a:extLst>
        </xdr:cNvPr>
        <xdr:cNvSpPr/>
      </xdr:nvSpPr>
      <xdr:spPr bwMode="auto">
        <a:xfrm>
          <a:off x="0" y="0"/>
          <a:ext cx="0" cy="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sp>
    <xdr:clientData/>
  </xdr:twoCellAnchor>
  <xdr:twoCellAnchor>
    <xdr:from>
      <xdr:col>9</xdr:col>
      <xdr:colOff>2125980</xdr:colOff>
      <xdr:row>14</xdr:row>
      <xdr:rowOff>121920</xdr:rowOff>
    </xdr:from>
    <xdr:to>
      <xdr:col>9</xdr:col>
      <xdr:colOff>3421380</xdr:colOff>
      <xdr:row>14</xdr:row>
      <xdr:rowOff>693420</xdr:rowOff>
    </xdr:to>
    <xdr:sp macro="" textlink="">
      <xdr:nvSpPr>
        <xdr:cNvPr id="2126" name="Object 78" hidden="true">
          <a:extLst>
            <a:ext xmlns:a14="http://schemas.microsoft.com/office/drawing/2010/main" uri="{63B3BB69-23CF-44E3-9099-C40C66FF867C}">
              <a14:compatExt xmlns:a14="http://schemas.microsoft.com/office/drawing/2010/main" spid="_x0000_s2126"/>
            </a:ext>
            <a:ext xmlns:a16="http://schemas.microsoft.com/office/drawing/2014/main" uri="{FF2B5EF4-FFF2-40B4-BE49-F238E27FC236}">
              <a16:creationId xmlns:a16="http://schemas.microsoft.com/office/drawing/2014/main" id="{00000000-0008-0000-0300-00004E080000}"/>
            </a:ext>
          </a:extLst>
        </xdr:cNvPr>
        <xdr:cNvSpPr/>
      </xdr:nvSpPr>
      <xdr:spPr bwMode="auto">
        <a:xfrm>
          <a:off x="0" y="0"/>
          <a:ext cx="0" cy="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sp>
    <xdr:clientData/>
  </xdr:twoCellAnchor>
  <xdr:twoCellAnchor>
    <xdr:from>
      <xdr:col>9</xdr:col>
      <xdr:colOff>1356360</xdr:colOff>
      <xdr:row>16</xdr:row>
      <xdr:rowOff>236220</xdr:rowOff>
    </xdr:from>
    <xdr:to>
      <xdr:col>9</xdr:col>
      <xdr:colOff>3581400</xdr:colOff>
      <xdr:row>16</xdr:row>
      <xdr:rowOff>601980</xdr:rowOff>
    </xdr:to>
    <xdr:sp macro="" textlink="">
      <xdr:nvSpPr>
        <xdr:cNvPr id="2127" name="Object 79" hidden="true">
          <a:extLst>
            <a:ext xmlns:a14="http://schemas.microsoft.com/office/drawing/2010/main" uri="{63B3BB69-23CF-44E3-9099-C40C66FF867C}">
              <a14:compatExt xmlns:a14="http://schemas.microsoft.com/office/drawing/2010/main" spid="_x0000_s2127"/>
            </a:ext>
            <a:ext xmlns:a16="http://schemas.microsoft.com/office/drawing/2014/main" uri="{FF2B5EF4-FFF2-40B4-BE49-F238E27FC236}">
              <a16:creationId xmlns:a16="http://schemas.microsoft.com/office/drawing/2014/main" id="{00000000-0008-0000-0300-00004F080000}"/>
            </a:ext>
          </a:extLst>
        </xdr:cNvPr>
        <xdr:cNvSpPr/>
      </xdr:nvSpPr>
      <xdr:spPr bwMode="auto">
        <a:xfrm>
          <a:off x="0" y="0"/>
          <a:ext cx="0" cy="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sp>
    <xdr:clientData/>
  </xdr:twoCellAnchor>
  <xdr:twoCellAnchor>
    <xdr:from>
      <xdr:col>9</xdr:col>
      <xdr:colOff>2103120</xdr:colOff>
      <xdr:row>9</xdr:row>
      <xdr:rowOff>114300</xdr:rowOff>
    </xdr:from>
    <xdr:to>
      <xdr:col>9</xdr:col>
      <xdr:colOff>3459480</xdr:colOff>
      <xdr:row>9</xdr:row>
      <xdr:rowOff>655320</xdr:rowOff>
    </xdr:to>
    <xdr:sp macro="" textlink="">
      <xdr:nvSpPr>
        <xdr:cNvPr id="2129" name="Object 81" hidden="true">
          <a:extLst>
            <a:ext xmlns:a14="http://schemas.microsoft.com/office/drawing/2010/main" uri="{63B3BB69-23CF-44E3-9099-C40C66FF867C}">
              <a14:compatExt xmlns:a14="http://schemas.microsoft.com/office/drawing/2010/main" spid="_x0000_s2129"/>
            </a:ext>
            <a:ext xmlns:a16="http://schemas.microsoft.com/office/drawing/2014/main" uri="{FF2B5EF4-FFF2-40B4-BE49-F238E27FC236}">
              <a16:creationId xmlns:a16="http://schemas.microsoft.com/office/drawing/2014/main" id="{00000000-0008-0000-0300-000051080000}"/>
            </a:ext>
          </a:extLst>
        </xdr:cNvPr>
        <xdr:cNvSpPr/>
      </xdr:nvSpPr>
      <xdr:spPr bwMode="auto">
        <a:xfrm>
          <a:off x="0" y="0"/>
          <a:ext cx="0" cy="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sp>
    <xdr:clientData/>
  </xdr:twoCellAnchor>
  <xdr:twoCellAnchor>
    <xdr:from>
      <xdr:col>9</xdr:col>
      <xdr:colOff>670560</xdr:colOff>
      <xdr:row>18</xdr:row>
      <xdr:rowOff>160020</xdr:rowOff>
    </xdr:from>
    <xdr:to>
      <xdr:col>9</xdr:col>
      <xdr:colOff>4404360</xdr:colOff>
      <xdr:row>18</xdr:row>
      <xdr:rowOff>1066800</xdr:rowOff>
    </xdr:to>
    <xdr:sp macro="" textlink="">
      <xdr:nvSpPr>
        <xdr:cNvPr id="2130" name="Object 82" hidden="true">
          <a:extLst>
            <a:ext xmlns:a14="http://schemas.microsoft.com/office/drawing/2010/main" uri="{63B3BB69-23CF-44E3-9099-C40C66FF867C}">
              <a14:compatExt xmlns:a14="http://schemas.microsoft.com/office/drawing/2010/main" spid="_x0000_s2130"/>
            </a:ext>
            <a:ext xmlns:a16="http://schemas.microsoft.com/office/drawing/2014/main" uri="{FF2B5EF4-FFF2-40B4-BE49-F238E27FC236}">
              <a16:creationId xmlns:a16="http://schemas.microsoft.com/office/drawing/2014/main" id="{00000000-0008-0000-0300-000052080000}"/>
            </a:ext>
          </a:extLst>
        </xdr:cNvPr>
        <xdr:cNvSpPr/>
      </xdr:nvSpPr>
      <xdr:spPr bwMode="auto">
        <a:xfrm>
          <a:off x="0" y="0"/>
          <a:ext cx="0" cy="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sp>
    <xdr:clientData/>
  </xdr:twoCellAnchor>
  <xdr:twoCellAnchor>
    <xdr:from>
      <xdr:col>9</xdr:col>
      <xdr:colOff>601980</xdr:colOff>
      <xdr:row>20</xdr:row>
      <xdr:rowOff>373380</xdr:rowOff>
    </xdr:from>
    <xdr:to>
      <xdr:col>9</xdr:col>
      <xdr:colOff>4419600</xdr:colOff>
      <xdr:row>20</xdr:row>
      <xdr:rowOff>1089660</xdr:rowOff>
    </xdr:to>
    <xdr:sp macro="" textlink="">
      <xdr:nvSpPr>
        <xdr:cNvPr id="2133" name="Object 85" hidden="true">
          <a:extLst>
            <a:ext xmlns:a14="http://schemas.microsoft.com/office/drawing/2010/main" uri="{63B3BB69-23CF-44E3-9099-C40C66FF867C}">
              <a14:compatExt xmlns:a14="http://schemas.microsoft.com/office/drawing/2010/main" spid="_x0000_s2133"/>
            </a:ext>
            <a:ext xmlns:a16="http://schemas.microsoft.com/office/drawing/2014/main" uri="{FF2B5EF4-FFF2-40B4-BE49-F238E27FC236}">
              <a16:creationId xmlns:a16="http://schemas.microsoft.com/office/drawing/2014/main" id="{00000000-0008-0000-0300-000055080000}"/>
            </a:ext>
          </a:extLst>
        </xdr:cNvPr>
        <xdr:cNvSpPr/>
      </xdr:nvSpPr>
      <xdr:spPr bwMode="auto">
        <a:xfrm>
          <a:off x="0" y="0"/>
          <a:ext cx="0" cy="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sp>
    <xdr:clientData/>
  </xdr:twoCellAnchor>
  <xdr:twoCellAnchor>
    <xdr:from>
      <xdr:col>9</xdr:col>
      <xdr:colOff>182880</xdr:colOff>
      <xdr:row>19</xdr:row>
      <xdr:rowOff>487680</xdr:rowOff>
    </xdr:from>
    <xdr:to>
      <xdr:col>9</xdr:col>
      <xdr:colOff>4846320</xdr:colOff>
      <xdr:row>19</xdr:row>
      <xdr:rowOff>1295400</xdr:rowOff>
    </xdr:to>
    <xdr:sp macro="" textlink="">
      <xdr:nvSpPr>
        <xdr:cNvPr id="2134" name="Object 86" hidden="true">
          <a:extLst>
            <a:ext xmlns:a14="http://schemas.microsoft.com/office/drawing/2010/main" uri="{63B3BB69-23CF-44E3-9099-C40C66FF867C}">
              <a14:compatExt xmlns:a14="http://schemas.microsoft.com/office/drawing/2010/main" spid="_x0000_s2134"/>
            </a:ext>
            <a:ext xmlns:a16="http://schemas.microsoft.com/office/drawing/2014/main" uri="{FF2B5EF4-FFF2-40B4-BE49-F238E27FC236}">
              <a16:creationId xmlns:a16="http://schemas.microsoft.com/office/drawing/2014/main" id="{00000000-0008-0000-0300-000056080000}"/>
            </a:ext>
          </a:extLst>
        </xdr:cNvPr>
        <xdr:cNvSpPr/>
      </xdr:nvSpPr>
      <xdr:spPr bwMode="auto">
        <a:xfrm>
          <a:off x="0" y="0"/>
          <a:ext cx="0" cy="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sp>
    <xdr:clientData/>
  </xdr:twoCellAnchor>
  <xdr:twoCellAnchor>
    <xdr:from>
      <xdr:col>9</xdr:col>
      <xdr:colOff>1150620</xdr:colOff>
      <xdr:row>21</xdr:row>
      <xdr:rowOff>38100</xdr:rowOff>
    </xdr:from>
    <xdr:to>
      <xdr:col>9</xdr:col>
      <xdr:colOff>4000500</xdr:colOff>
      <xdr:row>21</xdr:row>
      <xdr:rowOff>571500</xdr:rowOff>
    </xdr:to>
    <xdr:sp macro="" textlink="">
      <xdr:nvSpPr>
        <xdr:cNvPr id="2136" name="Object 88" hidden="true">
          <a:extLst>
            <a:ext xmlns:a14="http://schemas.microsoft.com/office/drawing/2010/main" uri="{63B3BB69-23CF-44E3-9099-C40C66FF867C}">
              <a14:compatExt xmlns:a14="http://schemas.microsoft.com/office/drawing/2010/main" spid="_x0000_s2136"/>
            </a:ext>
            <a:ext xmlns:a16="http://schemas.microsoft.com/office/drawing/2014/main" uri="{FF2B5EF4-FFF2-40B4-BE49-F238E27FC236}">
              <a16:creationId xmlns:a16="http://schemas.microsoft.com/office/drawing/2014/main" id="{00000000-0008-0000-0300-000058080000}"/>
            </a:ext>
          </a:extLst>
        </xdr:cNvPr>
        <xdr:cNvSpPr/>
      </xdr:nvSpPr>
      <xdr:spPr bwMode="auto">
        <a:xfrm>
          <a:off x="0" y="0"/>
          <a:ext cx="0" cy="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sp>
    <xdr:clientData/>
  </xdr:twoCellAnchor>
  <xdr:twoCellAnchor>
    <xdr:from>
      <xdr:col>9</xdr:col>
      <xdr:colOff>1181100</xdr:colOff>
      <xdr:row>22</xdr:row>
      <xdr:rowOff>30480</xdr:rowOff>
    </xdr:from>
    <xdr:to>
      <xdr:col>9</xdr:col>
      <xdr:colOff>3566160</xdr:colOff>
      <xdr:row>22</xdr:row>
      <xdr:rowOff>571500</xdr:rowOff>
    </xdr:to>
    <xdr:sp macro="" textlink="">
      <xdr:nvSpPr>
        <xdr:cNvPr id="2137" name="Object 89" hidden="true">
          <a:extLst>
            <a:ext xmlns:a14="http://schemas.microsoft.com/office/drawing/2010/main" uri="{63B3BB69-23CF-44E3-9099-C40C66FF867C}">
              <a14:compatExt xmlns:a14="http://schemas.microsoft.com/office/drawing/2010/main" spid="_x0000_s2137"/>
            </a:ext>
            <a:ext xmlns:a16="http://schemas.microsoft.com/office/drawing/2014/main" uri="{FF2B5EF4-FFF2-40B4-BE49-F238E27FC236}">
              <a16:creationId xmlns:a16="http://schemas.microsoft.com/office/drawing/2014/main" id="{00000000-0008-0000-0300-000059080000}"/>
            </a:ext>
          </a:extLst>
        </xdr:cNvPr>
        <xdr:cNvSpPr/>
      </xdr:nvSpPr>
      <xdr:spPr bwMode="auto">
        <a:xfrm>
          <a:off x="0" y="0"/>
          <a:ext cx="0" cy="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sp>
    <xdr:clientData/>
  </xdr:twoCellAnchor>
  <xdr:twoCellAnchor>
    <xdr:from>
      <xdr:col>9</xdr:col>
      <xdr:colOff>655320</xdr:colOff>
      <xdr:row>23</xdr:row>
      <xdr:rowOff>152400</xdr:rowOff>
    </xdr:from>
    <xdr:to>
      <xdr:col>9</xdr:col>
      <xdr:colOff>4251960</xdr:colOff>
      <xdr:row>23</xdr:row>
      <xdr:rowOff>838200</xdr:rowOff>
    </xdr:to>
    <xdr:sp macro="" textlink="">
      <xdr:nvSpPr>
        <xdr:cNvPr id="2138" name="Object 90" hidden="true">
          <a:extLst>
            <a:ext xmlns:a14="http://schemas.microsoft.com/office/drawing/2010/main" uri="{63B3BB69-23CF-44E3-9099-C40C66FF867C}">
              <a14:compatExt xmlns:a14="http://schemas.microsoft.com/office/drawing/2010/main" spid="_x0000_s2138"/>
            </a:ext>
            <a:ext xmlns:a16="http://schemas.microsoft.com/office/drawing/2014/main" uri="{FF2B5EF4-FFF2-40B4-BE49-F238E27FC236}">
              <a16:creationId xmlns:a16="http://schemas.microsoft.com/office/drawing/2014/main" id="{00000000-0008-0000-0300-00005A080000}"/>
            </a:ext>
          </a:extLst>
        </xdr:cNvPr>
        <xdr:cNvSpPr/>
      </xdr:nvSpPr>
      <xdr:spPr bwMode="auto">
        <a:xfrm>
          <a:off x="0" y="0"/>
          <a:ext cx="0" cy="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sp>
    <xdr:clientData/>
  </xdr:twoCellAnchor>
  <xdr:twoCellAnchor>
    <xdr:from>
      <xdr:col>9</xdr:col>
      <xdr:colOff>1280160</xdr:colOff>
      <xdr:row>28</xdr:row>
      <xdr:rowOff>160020</xdr:rowOff>
    </xdr:from>
    <xdr:to>
      <xdr:col>9</xdr:col>
      <xdr:colOff>3771900</xdr:colOff>
      <xdr:row>28</xdr:row>
      <xdr:rowOff>937260</xdr:rowOff>
    </xdr:to>
    <xdr:sp macro="" textlink="">
      <xdr:nvSpPr>
        <xdr:cNvPr id="2139" name="Object 91" hidden="true">
          <a:extLst>
            <a:ext xmlns:a14="http://schemas.microsoft.com/office/drawing/2010/main" uri="{63B3BB69-23CF-44E3-9099-C40C66FF867C}">
              <a14:compatExt xmlns:a14="http://schemas.microsoft.com/office/drawing/2010/main" spid="_x0000_s2139"/>
            </a:ext>
            <a:ext xmlns:a16="http://schemas.microsoft.com/office/drawing/2014/main" uri="{FF2B5EF4-FFF2-40B4-BE49-F238E27FC236}">
              <a16:creationId xmlns:a16="http://schemas.microsoft.com/office/drawing/2014/main" id="{00000000-0008-0000-0300-00005B080000}"/>
            </a:ext>
          </a:extLst>
        </xdr:cNvPr>
        <xdr:cNvSpPr/>
      </xdr:nvSpPr>
      <xdr:spPr bwMode="auto">
        <a:xfrm>
          <a:off x="0" y="0"/>
          <a:ext cx="0" cy="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sp>
    <xdr:clientData/>
  </xdr:twoCellAnchor>
  <xdr:twoCellAnchor>
    <xdr:from>
      <xdr:col>9</xdr:col>
      <xdr:colOff>2179320</xdr:colOff>
      <xdr:row>13</xdr:row>
      <xdr:rowOff>99060</xdr:rowOff>
    </xdr:from>
    <xdr:to>
      <xdr:col>9</xdr:col>
      <xdr:colOff>3268980</xdr:colOff>
      <xdr:row>13</xdr:row>
      <xdr:rowOff>731520</xdr:rowOff>
    </xdr:to>
    <xdr:sp macro="" textlink="">
      <xdr:nvSpPr>
        <xdr:cNvPr id="2141" name="Object 93" hidden="true">
          <a:extLst>
            <a:ext xmlns:a14="http://schemas.microsoft.com/office/drawing/2010/main" uri="{63B3BB69-23CF-44E3-9099-C40C66FF867C}">
              <a14:compatExt xmlns:a14="http://schemas.microsoft.com/office/drawing/2010/main" spid="_x0000_s2141"/>
            </a:ext>
            <a:ext xmlns:a16="http://schemas.microsoft.com/office/drawing/2014/main" uri="{FF2B5EF4-FFF2-40B4-BE49-F238E27FC236}">
              <a16:creationId xmlns:a16="http://schemas.microsoft.com/office/drawing/2014/main" id="{00000000-0008-0000-0300-00005D080000}"/>
            </a:ext>
          </a:extLst>
        </xdr:cNvPr>
        <xdr:cNvSpPr/>
      </xdr:nvSpPr>
      <xdr:spPr bwMode="auto">
        <a:xfrm>
          <a:off x="0" y="0"/>
          <a:ext cx="0" cy="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sp>
    <xdr:clientData/>
  </xdr:twoCellAnchor>
  <xdr:twoCellAnchor>
    <xdr:from>
      <xdr:col>9</xdr:col>
      <xdr:colOff>1363980</xdr:colOff>
      <xdr:row>15</xdr:row>
      <xdr:rowOff>137160</xdr:rowOff>
    </xdr:from>
    <xdr:to>
      <xdr:col>9</xdr:col>
      <xdr:colOff>4030980</xdr:colOff>
      <xdr:row>15</xdr:row>
      <xdr:rowOff>754380</xdr:rowOff>
    </xdr:to>
    <xdr:sp macro="" textlink="">
      <xdr:nvSpPr>
        <xdr:cNvPr id="2143" name="Object 95" hidden="true">
          <a:extLst>
            <a:ext xmlns:a14="http://schemas.microsoft.com/office/drawing/2010/main" uri="{63B3BB69-23CF-44E3-9099-C40C66FF867C}">
              <a14:compatExt xmlns:a14="http://schemas.microsoft.com/office/drawing/2010/main" spid="_x0000_s2143"/>
            </a:ext>
            <a:ext xmlns:a16="http://schemas.microsoft.com/office/drawing/2014/main" uri="{FF2B5EF4-FFF2-40B4-BE49-F238E27FC236}">
              <a16:creationId xmlns:a16="http://schemas.microsoft.com/office/drawing/2014/main" id="{00000000-0008-0000-0300-00005F080000}"/>
            </a:ext>
          </a:extLst>
        </xdr:cNvPr>
        <xdr:cNvSpPr/>
      </xdr:nvSpPr>
      <xdr:spPr bwMode="auto">
        <a:xfrm>
          <a:off x="0" y="0"/>
          <a:ext cx="0" cy="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sp>
    <xdr:clientData/>
  </xdr:twoCellAnchor>
  <xdr:twoCellAnchor>
    <xdr:from>
      <xdr:col>9</xdr:col>
      <xdr:colOff>990600</xdr:colOff>
      <xdr:row>24</xdr:row>
      <xdr:rowOff>152400</xdr:rowOff>
    </xdr:from>
    <xdr:to>
      <xdr:col>9</xdr:col>
      <xdr:colOff>4122420</xdr:colOff>
      <xdr:row>24</xdr:row>
      <xdr:rowOff>807720</xdr:rowOff>
    </xdr:to>
    <xdr:sp macro="" textlink="">
      <xdr:nvSpPr>
        <xdr:cNvPr id="2259" name="Object 211" hidden="true">
          <a:extLst>
            <a:ext xmlns:a14="http://schemas.microsoft.com/office/drawing/2010/main" uri="{63B3BB69-23CF-44E3-9099-C40C66FF867C}">
              <a14:compatExt xmlns:a14="http://schemas.microsoft.com/office/drawing/2010/main" spid="_x0000_s2259"/>
            </a:ext>
            <a:ext xmlns:a16="http://schemas.microsoft.com/office/drawing/2014/main" uri="{FF2B5EF4-FFF2-40B4-BE49-F238E27FC236}">
              <a16:creationId xmlns:a16="http://schemas.microsoft.com/office/drawing/2014/main" id="{00000000-0008-0000-0300-0000D3080000}"/>
            </a:ext>
          </a:extLst>
        </xdr:cNvPr>
        <xdr:cNvSpPr/>
      </xdr:nvSpPr>
      <xdr:spPr bwMode="auto">
        <a:xfrm>
          <a:off x="0" y="0"/>
          <a:ext cx="0" cy="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sp>
    <xdr:clientData/>
  </xdr:twoCellAnchor>
  <xdr:twoCellAnchor>
    <xdr:from>
      <xdr:col>9</xdr:col>
      <xdr:colOff>830580</xdr:colOff>
      <xdr:row>25</xdr:row>
      <xdr:rowOff>228600</xdr:rowOff>
    </xdr:from>
    <xdr:to>
      <xdr:col>9</xdr:col>
      <xdr:colOff>4328160</xdr:colOff>
      <xdr:row>25</xdr:row>
      <xdr:rowOff>1028700</xdr:rowOff>
    </xdr:to>
    <xdr:sp macro="" textlink="">
      <xdr:nvSpPr>
        <xdr:cNvPr id="2260" name="Object 212" hidden="true">
          <a:extLst>
            <a:ext xmlns:a14="http://schemas.microsoft.com/office/drawing/2010/main" uri="{63B3BB69-23CF-44E3-9099-C40C66FF867C}">
              <a14:compatExt xmlns:a14="http://schemas.microsoft.com/office/drawing/2010/main" spid="_x0000_s2260"/>
            </a:ext>
            <a:ext xmlns:a16="http://schemas.microsoft.com/office/drawing/2014/main" uri="{FF2B5EF4-FFF2-40B4-BE49-F238E27FC236}">
              <a16:creationId xmlns:a16="http://schemas.microsoft.com/office/drawing/2014/main" id="{00000000-0008-0000-0300-0000D4080000}"/>
            </a:ext>
          </a:extLst>
        </xdr:cNvPr>
        <xdr:cNvSpPr/>
      </xdr:nvSpPr>
      <xdr:spPr bwMode="auto">
        <a:xfrm>
          <a:off x="0" y="0"/>
          <a:ext cx="0" cy="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sp>
    <xdr:clientData/>
  </xdr:twoCellAnchor>
  <xdr:twoCellAnchor>
    <xdr:from>
      <xdr:col>9</xdr:col>
      <xdr:colOff>1036320</xdr:colOff>
      <xdr:row>5</xdr:row>
      <xdr:rowOff>76200</xdr:rowOff>
    </xdr:from>
    <xdr:to>
      <xdr:col>9</xdr:col>
      <xdr:colOff>4099560</xdr:colOff>
      <xdr:row>5</xdr:row>
      <xdr:rowOff>944880</xdr:rowOff>
    </xdr:to>
    <xdr:sp macro="" textlink="">
      <xdr:nvSpPr>
        <xdr:cNvPr id="2261" name="Object 213" hidden="true">
          <a:extLst>
            <a:ext xmlns:a14="http://schemas.microsoft.com/office/drawing/2010/main" uri="{63B3BB69-23CF-44E3-9099-C40C66FF867C}">
              <a14:compatExt xmlns:a14="http://schemas.microsoft.com/office/drawing/2010/main" spid="_x0000_s2261"/>
            </a:ext>
            <a:ext xmlns:a16="http://schemas.microsoft.com/office/drawing/2014/main" uri="{FF2B5EF4-FFF2-40B4-BE49-F238E27FC236}">
              <a16:creationId xmlns:a16="http://schemas.microsoft.com/office/drawing/2014/main" id="{00000000-0008-0000-0300-0000D5080000}"/>
            </a:ext>
          </a:extLst>
        </xdr:cNvPr>
        <xdr:cNvSpPr/>
      </xdr:nvSpPr>
      <xdr:spPr bwMode="auto">
        <a:xfrm>
          <a:off x="0" y="0"/>
          <a:ext cx="0" cy="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sp>
    <xdr:clientData/>
  </xdr:twoCellAnchor>
  <xdr:twoCellAnchor>
    <xdr:from>
      <xdr:col>9</xdr:col>
      <xdr:colOff>1760220</xdr:colOff>
      <xdr:row>6</xdr:row>
      <xdr:rowOff>60960</xdr:rowOff>
    </xdr:from>
    <xdr:to>
      <xdr:col>9</xdr:col>
      <xdr:colOff>3360420</xdr:colOff>
      <xdr:row>6</xdr:row>
      <xdr:rowOff>914400</xdr:rowOff>
    </xdr:to>
    <xdr:sp macro="" textlink="">
      <xdr:nvSpPr>
        <xdr:cNvPr id="2262" name="Object 214" hidden="true">
          <a:extLst>
            <a:ext xmlns:a14="http://schemas.microsoft.com/office/drawing/2010/main" uri="{63B3BB69-23CF-44E3-9099-C40C66FF867C}">
              <a14:compatExt xmlns:a14="http://schemas.microsoft.com/office/drawing/2010/main" spid="_x0000_s2262"/>
            </a:ext>
            <a:ext xmlns:a16="http://schemas.microsoft.com/office/drawing/2014/main" uri="{FF2B5EF4-FFF2-40B4-BE49-F238E27FC236}">
              <a16:creationId xmlns:a16="http://schemas.microsoft.com/office/drawing/2014/main" id="{00000000-0008-0000-0300-0000D6080000}"/>
            </a:ext>
          </a:extLst>
        </xdr:cNvPr>
        <xdr:cNvSpPr/>
      </xdr:nvSpPr>
      <xdr:spPr bwMode="auto">
        <a:xfrm>
          <a:off x="0" y="0"/>
          <a:ext cx="0" cy="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sp>
    <xdr:clientData/>
  </xdr:twoCellAnchor>
  <xdr:twoCellAnchor>
    <xdr:from>
      <xdr:col>9</xdr:col>
      <xdr:colOff>106680</xdr:colOff>
      <xdr:row>7</xdr:row>
      <xdr:rowOff>160020</xdr:rowOff>
    </xdr:from>
    <xdr:to>
      <xdr:col>9</xdr:col>
      <xdr:colOff>4838700</xdr:colOff>
      <xdr:row>7</xdr:row>
      <xdr:rowOff>1074420</xdr:rowOff>
    </xdr:to>
    <xdr:sp macro="" textlink="">
      <xdr:nvSpPr>
        <xdr:cNvPr id="2263" name="Object 215" hidden="true">
          <a:extLst>
            <a:ext xmlns:a14="http://schemas.microsoft.com/office/drawing/2010/main" uri="{63B3BB69-23CF-44E3-9099-C40C66FF867C}">
              <a14:compatExt xmlns:a14="http://schemas.microsoft.com/office/drawing/2010/main" spid="_x0000_s2263"/>
            </a:ext>
            <a:ext xmlns:a16="http://schemas.microsoft.com/office/drawing/2014/main" uri="{FF2B5EF4-FFF2-40B4-BE49-F238E27FC236}">
              <a16:creationId xmlns:a16="http://schemas.microsoft.com/office/drawing/2014/main" id="{00000000-0008-0000-0300-0000D7080000}"/>
            </a:ext>
          </a:extLst>
        </xdr:cNvPr>
        <xdr:cNvSpPr/>
      </xdr:nvSpPr>
      <xdr:spPr bwMode="auto">
        <a:xfrm>
          <a:off x="0" y="0"/>
          <a:ext cx="0" cy="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sp>
    <xdr:clientData/>
  </xdr:twoCellAnchor>
  <xdr:twoCellAnchor>
    <xdr:from>
      <xdr:col>9</xdr:col>
      <xdr:colOff>419100</xdr:colOff>
      <xdr:row>8</xdr:row>
      <xdr:rowOff>152400</xdr:rowOff>
    </xdr:from>
    <xdr:to>
      <xdr:col>9</xdr:col>
      <xdr:colOff>4671060</xdr:colOff>
      <xdr:row>8</xdr:row>
      <xdr:rowOff>1447800</xdr:rowOff>
    </xdr:to>
    <xdr:sp macro="" textlink="">
      <xdr:nvSpPr>
        <xdr:cNvPr id="2264" name="Object 216" hidden="true">
          <a:extLst>
            <a:ext xmlns:a14="http://schemas.microsoft.com/office/drawing/2010/main" uri="{63B3BB69-23CF-44E3-9099-C40C66FF867C}">
              <a14:compatExt xmlns:a14="http://schemas.microsoft.com/office/drawing/2010/main" spid="_x0000_s2264"/>
            </a:ext>
            <a:ext xmlns:a16="http://schemas.microsoft.com/office/drawing/2014/main" uri="{FF2B5EF4-FFF2-40B4-BE49-F238E27FC236}">
              <a16:creationId xmlns:a16="http://schemas.microsoft.com/office/drawing/2014/main" id="{00000000-0008-0000-0300-0000D8080000}"/>
            </a:ext>
          </a:extLst>
        </xdr:cNvPr>
        <xdr:cNvSpPr/>
      </xdr:nvSpPr>
      <xdr:spPr bwMode="auto">
        <a:xfrm>
          <a:off x="0" y="0"/>
          <a:ext cx="0" cy="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sp>
    <xdr:clientData/>
  </xdr:twoCellAnchor>
  <xdr:twoCellAnchor>
    <xdr:from>
      <xdr:col>9</xdr:col>
      <xdr:colOff>2011680</xdr:colOff>
      <xdr:row>10</xdr:row>
      <xdr:rowOff>76200</xdr:rowOff>
    </xdr:from>
    <xdr:to>
      <xdr:col>9</xdr:col>
      <xdr:colOff>3200400</xdr:colOff>
      <xdr:row>10</xdr:row>
      <xdr:rowOff>525780</xdr:rowOff>
    </xdr:to>
    <xdr:sp macro="" textlink="">
      <xdr:nvSpPr>
        <xdr:cNvPr id="2265" name="Object 217" hidden="true">
          <a:extLst>
            <a:ext xmlns:a14="http://schemas.microsoft.com/office/drawing/2010/main" uri="{63B3BB69-23CF-44E3-9099-C40C66FF867C}">
              <a14:compatExt xmlns:a14="http://schemas.microsoft.com/office/drawing/2010/main" spid="_x0000_s2265"/>
            </a:ext>
            <a:ext xmlns:a16="http://schemas.microsoft.com/office/drawing/2014/main" uri="{FF2B5EF4-FFF2-40B4-BE49-F238E27FC236}">
              <a16:creationId xmlns:a16="http://schemas.microsoft.com/office/drawing/2014/main" id="{00000000-0008-0000-0300-0000D9080000}"/>
            </a:ext>
          </a:extLst>
        </xdr:cNvPr>
        <xdr:cNvSpPr/>
      </xdr:nvSpPr>
      <xdr:spPr bwMode="auto">
        <a:xfrm>
          <a:off x="0" y="0"/>
          <a:ext cx="0" cy="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sp>
    <xdr:clientData/>
  </xdr:twoCellAnchor>
  <xdr:twoCellAnchor>
    <xdr:from>
      <xdr:col>9</xdr:col>
      <xdr:colOff>2194560</xdr:colOff>
      <xdr:row>12</xdr:row>
      <xdr:rowOff>76200</xdr:rowOff>
    </xdr:from>
    <xdr:to>
      <xdr:col>9</xdr:col>
      <xdr:colOff>3223260</xdr:colOff>
      <xdr:row>12</xdr:row>
      <xdr:rowOff>792480</xdr:rowOff>
    </xdr:to>
    <xdr:sp macro="" textlink="">
      <xdr:nvSpPr>
        <xdr:cNvPr id="2266" name="Object 218" hidden="true">
          <a:extLst>
            <a:ext xmlns:a14="http://schemas.microsoft.com/office/drawing/2010/main" uri="{63B3BB69-23CF-44E3-9099-C40C66FF867C}">
              <a14:compatExt xmlns:a14="http://schemas.microsoft.com/office/drawing/2010/main" spid="_x0000_s2266"/>
            </a:ext>
            <a:ext xmlns:a16="http://schemas.microsoft.com/office/drawing/2014/main" uri="{FF2B5EF4-FFF2-40B4-BE49-F238E27FC236}">
              <a16:creationId xmlns:a16="http://schemas.microsoft.com/office/drawing/2014/main" id="{00000000-0008-0000-0300-0000DA080000}"/>
            </a:ext>
          </a:extLst>
        </xdr:cNvPr>
        <xdr:cNvSpPr/>
      </xdr:nvSpPr>
      <xdr:spPr bwMode="auto">
        <a:xfrm>
          <a:off x="0" y="0"/>
          <a:ext cx="0" cy="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sp>
    <xdr:clientData/>
  </xdr:twoCellAnchor>
  <xdr:twoCellAnchor>
    <xdr:from>
      <xdr:col>9</xdr:col>
      <xdr:colOff>746760</xdr:colOff>
      <xdr:row>26</xdr:row>
      <xdr:rowOff>83820</xdr:rowOff>
    </xdr:from>
    <xdr:to>
      <xdr:col>9</xdr:col>
      <xdr:colOff>4213860</xdr:colOff>
      <xdr:row>26</xdr:row>
      <xdr:rowOff>807720</xdr:rowOff>
    </xdr:to>
    <xdr:sp macro="" textlink="">
      <xdr:nvSpPr>
        <xdr:cNvPr id="2267" name="Object 219" hidden="true">
          <a:extLst>
            <a:ext xmlns:a14="http://schemas.microsoft.com/office/drawing/2010/main" uri="{63B3BB69-23CF-44E3-9099-C40C66FF867C}">
              <a14:compatExt xmlns:a14="http://schemas.microsoft.com/office/drawing/2010/main" spid="_x0000_s2267"/>
            </a:ext>
            <a:ext xmlns:a16="http://schemas.microsoft.com/office/drawing/2014/main" uri="{FF2B5EF4-FFF2-40B4-BE49-F238E27FC236}">
              <a16:creationId xmlns:a16="http://schemas.microsoft.com/office/drawing/2014/main" id="{00000000-0008-0000-0300-0000DB080000}"/>
            </a:ext>
          </a:extLst>
        </xdr:cNvPr>
        <xdr:cNvSpPr/>
      </xdr:nvSpPr>
      <xdr:spPr bwMode="auto">
        <a:xfrm>
          <a:off x="0" y="0"/>
          <a:ext cx="0" cy="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sp>
    <xdr:clientData/>
  </xdr:twoCellAnchor>
  <xdr:twoCellAnchor>
    <xdr:from>
      <xdr:col>9</xdr:col>
      <xdr:colOff>1013460</xdr:colOff>
      <xdr:row>27</xdr:row>
      <xdr:rowOff>266700</xdr:rowOff>
    </xdr:from>
    <xdr:to>
      <xdr:col>9</xdr:col>
      <xdr:colOff>4008120</xdr:colOff>
      <xdr:row>27</xdr:row>
      <xdr:rowOff>1013460</xdr:rowOff>
    </xdr:to>
    <xdr:sp macro="" textlink="">
      <xdr:nvSpPr>
        <xdr:cNvPr id="2268" name="Object 220" hidden="true">
          <a:extLst>
            <a:ext xmlns:a14="http://schemas.microsoft.com/office/drawing/2010/main" uri="{63B3BB69-23CF-44E3-9099-C40C66FF867C}">
              <a14:compatExt xmlns:a14="http://schemas.microsoft.com/office/drawing/2010/main" spid="_x0000_s2268"/>
            </a:ext>
            <a:ext xmlns:a16="http://schemas.microsoft.com/office/drawing/2014/main" uri="{FF2B5EF4-FFF2-40B4-BE49-F238E27FC236}">
              <a16:creationId xmlns:a16="http://schemas.microsoft.com/office/drawing/2014/main" id="{00000000-0008-0000-0300-0000DC080000}"/>
            </a:ext>
          </a:extLst>
        </xdr:cNvPr>
        <xdr:cNvSpPr/>
      </xdr:nvSpPr>
      <xdr:spPr bwMode="auto">
        <a:xfrm>
          <a:off x="0" y="0"/>
          <a:ext cx="0" cy="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sp>
    <xdr:clientData/>
  </xdr:twoCellAnchor>
  <xdr:twoCellAnchor>
    <xdr:from>
      <xdr:col>9</xdr:col>
      <xdr:colOff>1752600</xdr:colOff>
      <xdr:row>29</xdr:row>
      <xdr:rowOff>182880</xdr:rowOff>
    </xdr:from>
    <xdr:to>
      <xdr:col>9</xdr:col>
      <xdr:colOff>3413760</xdr:colOff>
      <xdr:row>29</xdr:row>
      <xdr:rowOff>556260</xdr:rowOff>
    </xdr:to>
    <xdr:sp macro="" textlink="">
      <xdr:nvSpPr>
        <xdr:cNvPr id="2269" name="Object 221" hidden="true">
          <a:extLst>
            <a:ext xmlns:a14="http://schemas.microsoft.com/office/drawing/2010/main" uri="{63B3BB69-23CF-44E3-9099-C40C66FF867C}">
              <a14:compatExt xmlns:a14="http://schemas.microsoft.com/office/drawing/2010/main" spid="_x0000_s2269"/>
            </a:ext>
            <a:ext xmlns:a16="http://schemas.microsoft.com/office/drawing/2014/main" uri="{FF2B5EF4-FFF2-40B4-BE49-F238E27FC236}">
              <a16:creationId xmlns:a16="http://schemas.microsoft.com/office/drawing/2014/main" id="{00000000-0008-0000-0300-0000DD080000}"/>
            </a:ext>
          </a:extLst>
        </xdr:cNvPr>
        <xdr:cNvSpPr/>
      </xdr:nvSpPr>
      <xdr:spPr bwMode="auto">
        <a:xfrm>
          <a:off x="0" y="0"/>
          <a:ext cx="0" cy="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sp>
    <xdr:clientData/>
  </xdr:twoCellAnchor>
  <xdr:twoCellAnchor>
    <xdr:from>
      <xdr:col>9</xdr:col>
      <xdr:colOff>1516380</xdr:colOff>
      <xdr:row>30</xdr:row>
      <xdr:rowOff>144780</xdr:rowOff>
    </xdr:from>
    <xdr:to>
      <xdr:col>9</xdr:col>
      <xdr:colOff>3543300</xdr:colOff>
      <xdr:row>30</xdr:row>
      <xdr:rowOff>1143000</xdr:rowOff>
    </xdr:to>
    <xdr:sp macro="" textlink="">
      <xdr:nvSpPr>
        <xdr:cNvPr id="2270" name="Object 222" hidden="true">
          <a:extLst>
            <a:ext xmlns:a14="http://schemas.microsoft.com/office/drawing/2010/main" uri="{63B3BB69-23CF-44E3-9099-C40C66FF867C}">
              <a14:compatExt xmlns:a14="http://schemas.microsoft.com/office/drawing/2010/main" spid="_x0000_s2270"/>
            </a:ext>
            <a:ext xmlns:a16="http://schemas.microsoft.com/office/drawing/2014/main" uri="{FF2B5EF4-FFF2-40B4-BE49-F238E27FC236}">
              <a16:creationId xmlns:a16="http://schemas.microsoft.com/office/drawing/2014/main" id="{00000000-0008-0000-0300-0000DE080000}"/>
            </a:ext>
          </a:extLst>
        </xdr:cNvPr>
        <xdr:cNvSpPr/>
      </xdr:nvSpPr>
      <xdr:spPr bwMode="auto">
        <a:xfrm>
          <a:off x="0" y="0"/>
          <a:ext cx="0" cy="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sp>
    <xdr:clientData/>
  </xdr:twoCellAnchor>
  <xdr:twoCellAnchor>
    <xdr:from>
      <xdr:col>9</xdr:col>
      <xdr:colOff>2247900</xdr:colOff>
      <xdr:row>11</xdr:row>
      <xdr:rowOff>60960</xdr:rowOff>
    </xdr:from>
    <xdr:to>
      <xdr:col>9</xdr:col>
      <xdr:colOff>3276600</xdr:colOff>
      <xdr:row>11</xdr:row>
      <xdr:rowOff>769620</xdr:rowOff>
    </xdr:to>
    <xdr:pic>
      <xdr:nvPicPr>
        <xdr:cNvPr id="2" name="Picture 73">
          <a:extLst>
            <a:ext xmlns:a16="http://schemas.microsoft.com/office/drawing/2014/main" uri="{FF2B5EF4-FFF2-40B4-BE49-F238E27FC236}">
              <a16:creationId xmlns:a16="http://schemas.microsoft.com/office/drawing/2014/main" id="{00000000-0008-0000-0300-000002000000}"/>
            </a:ext>
          </a:extLst>
        </xdr:cNvPr>
        <xdr:cNvPicPr>
          <a:picLocks noChangeAspect="true" noChangeArrowheads="true"/>
        </xdr:cNvPicPr>
      </xdr:nvPicPr>
      <xdr:blipFill>
        <a:blip r:embed="rId2">
          <a:extLst>
            <a:ext xmlns:a14="http://schemas.microsoft.com/office/drawing/2010/main" uri="{28A0092B-C50C-407E-A947-70E740481C1C}">
              <a14:useLocalDpi xmlns:a14="http://schemas.microsoft.com/office/drawing/2010/main" val="0"/>
            </a:ext>
          </a:extLst>
        </a:blip>
        <a:srcRect/>
        <a:stretch>
          <a:fillRect/>
        </a:stretch>
      </xdr:blipFill>
      <xdr:spPr bwMode="auto">
        <a:xfrm>
          <a:off x="13936980" y="8587740"/>
          <a:ext cx="1028700" cy="70866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pic>
    <xdr:clientData/>
  </xdr:twoCellAnchor>
  <xdr:twoCellAnchor>
    <xdr:from>
      <xdr:col>9</xdr:col>
      <xdr:colOff>2125980</xdr:colOff>
      <xdr:row>14</xdr:row>
      <xdr:rowOff>121920</xdr:rowOff>
    </xdr:from>
    <xdr:to>
      <xdr:col>9</xdr:col>
      <xdr:colOff>3421380</xdr:colOff>
      <xdr:row>14</xdr:row>
      <xdr:rowOff>693420</xdr:rowOff>
    </xdr:to>
    <xdr:pic>
      <xdr:nvPicPr>
        <xdr:cNvPr id="3" name="Picture 78">
          <a:extLst>
            <a:ext xmlns:a16="http://schemas.microsoft.com/office/drawing/2014/main" uri="{FF2B5EF4-FFF2-40B4-BE49-F238E27FC236}">
              <a16:creationId xmlns:a16="http://schemas.microsoft.com/office/drawing/2014/main" id="{00000000-0008-0000-0300-000003000000}"/>
            </a:ext>
          </a:extLst>
        </xdr:cNvPr>
        <xdr:cNvPicPr>
          <a:picLocks noChangeAspect="true" noChangeArrowheads="true"/>
        </xdr:cNvPicPr>
      </xdr:nvPicPr>
      <xdr:blipFill>
        <a:blip r:embed="rId3">
          <a:extLst>
            <a:ext xmlns:a14="http://schemas.microsoft.com/office/drawing/2010/main" uri="{28A0092B-C50C-407E-A947-70E740481C1C}">
              <a14:useLocalDpi xmlns:a14="http://schemas.microsoft.com/office/drawing/2010/main" val="0"/>
            </a:ext>
          </a:extLst>
        </a:blip>
        <a:srcRect/>
        <a:stretch>
          <a:fillRect/>
        </a:stretch>
      </xdr:blipFill>
      <xdr:spPr bwMode="auto">
        <a:xfrm>
          <a:off x="13815060" y="11239500"/>
          <a:ext cx="1295400" cy="57150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pic>
    <xdr:clientData/>
  </xdr:twoCellAnchor>
  <xdr:twoCellAnchor>
    <xdr:from>
      <xdr:col>9</xdr:col>
      <xdr:colOff>1356360</xdr:colOff>
      <xdr:row>16</xdr:row>
      <xdr:rowOff>236220</xdr:rowOff>
    </xdr:from>
    <xdr:to>
      <xdr:col>9</xdr:col>
      <xdr:colOff>3581400</xdr:colOff>
      <xdr:row>16</xdr:row>
      <xdr:rowOff>601980</xdr:rowOff>
    </xdr:to>
    <xdr:pic>
      <xdr:nvPicPr>
        <xdr:cNvPr id="5" name="Picture 79">
          <a:extLst>
            <a:ext xmlns:a16="http://schemas.microsoft.com/office/drawing/2014/main" uri="{FF2B5EF4-FFF2-40B4-BE49-F238E27FC236}">
              <a16:creationId xmlns:a16="http://schemas.microsoft.com/office/drawing/2014/main" id="{00000000-0008-0000-0300-000005000000}"/>
            </a:ext>
          </a:extLst>
        </xdr:cNvPr>
        <xdr:cNvPicPr>
          <a:picLocks noChangeAspect="true" noChangeArrowheads="true"/>
        </xdr:cNvPicPr>
      </xdr:nvPicPr>
      <xdr:blipFill>
        <a:blip r:embed="rId4">
          <a:extLst>
            <a:ext xmlns:a14="http://schemas.microsoft.com/office/drawing/2010/main" uri="{28A0092B-C50C-407E-A947-70E740481C1C}">
              <a14:useLocalDpi xmlns:a14="http://schemas.microsoft.com/office/drawing/2010/main" val="0"/>
            </a:ext>
          </a:extLst>
        </a:blip>
        <a:srcRect/>
        <a:stretch>
          <a:fillRect/>
        </a:stretch>
      </xdr:blipFill>
      <xdr:spPr bwMode="auto">
        <a:xfrm>
          <a:off x="13045440" y="12938760"/>
          <a:ext cx="2225040" cy="36576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pic>
    <xdr:clientData/>
  </xdr:twoCellAnchor>
  <xdr:twoCellAnchor>
    <xdr:from>
      <xdr:col>9</xdr:col>
      <xdr:colOff>2103120</xdr:colOff>
      <xdr:row>9</xdr:row>
      <xdr:rowOff>114300</xdr:rowOff>
    </xdr:from>
    <xdr:to>
      <xdr:col>9</xdr:col>
      <xdr:colOff>3459480</xdr:colOff>
      <xdr:row>9</xdr:row>
      <xdr:rowOff>655320</xdr:rowOff>
    </xdr:to>
    <xdr:pic>
      <xdr:nvPicPr>
        <xdr:cNvPr id="6" name="Picture 81">
          <a:extLst>
            <a:ext xmlns:a16="http://schemas.microsoft.com/office/drawing/2014/main" uri="{FF2B5EF4-FFF2-40B4-BE49-F238E27FC236}">
              <a16:creationId xmlns:a16="http://schemas.microsoft.com/office/drawing/2014/main" id="{00000000-0008-0000-0300-000006000000}"/>
            </a:ext>
          </a:extLst>
        </xdr:cNvPr>
        <xdr:cNvPicPr>
          <a:picLocks noChangeAspect="true" noChangeArrowheads="true"/>
        </xdr:cNvPicPr>
      </xdr:nvPicPr>
      <xdr:blipFill>
        <a:blip r:embed="rId5">
          <a:extLst>
            <a:ext xmlns:a14="http://schemas.microsoft.com/office/drawing/2010/main" uri="{28A0092B-C50C-407E-A947-70E740481C1C}">
              <a14:useLocalDpi xmlns:a14="http://schemas.microsoft.com/office/drawing/2010/main" val="0"/>
            </a:ext>
          </a:extLst>
        </a:blip>
        <a:srcRect/>
        <a:stretch>
          <a:fillRect/>
        </a:stretch>
      </xdr:blipFill>
      <xdr:spPr bwMode="auto">
        <a:xfrm>
          <a:off x="13792200" y="7315200"/>
          <a:ext cx="1356360" cy="54102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pic>
    <xdr:clientData/>
  </xdr:twoCellAnchor>
  <xdr:twoCellAnchor>
    <xdr:from>
      <xdr:col>9</xdr:col>
      <xdr:colOff>670560</xdr:colOff>
      <xdr:row>18</xdr:row>
      <xdr:rowOff>160020</xdr:rowOff>
    </xdr:from>
    <xdr:to>
      <xdr:col>9</xdr:col>
      <xdr:colOff>4404360</xdr:colOff>
      <xdr:row>18</xdr:row>
      <xdr:rowOff>1066800</xdr:rowOff>
    </xdr:to>
    <xdr:pic>
      <xdr:nvPicPr>
        <xdr:cNvPr id="7" name="Picture 82">
          <a:extLst>
            <a:ext xmlns:a16="http://schemas.microsoft.com/office/drawing/2014/main" uri="{FF2B5EF4-FFF2-40B4-BE49-F238E27FC236}">
              <a16:creationId xmlns:a16="http://schemas.microsoft.com/office/drawing/2014/main" id="{00000000-0008-0000-0300-000007000000}"/>
            </a:ext>
          </a:extLst>
        </xdr:cNvPr>
        <xdr:cNvPicPr>
          <a:picLocks noChangeAspect="true" noChangeArrowheads="true"/>
        </xdr:cNvPicPr>
      </xdr:nvPicPr>
      <xdr:blipFill>
        <a:blip r:embed="rId6">
          <a:extLst>
            <a:ext xmlns:a14="http://schemas.microsoft.com/office/drawing/2010/main" uri="{28A0092B-C50C-407E-A947-70E740481C1C}">
              <a14:useLocalDpi xmlns:a14="http://schemas.microsoft.com/office/drawing/2010/main" val="0"/>
            </a:ext>
          </a:extLst>
        </a:blip>
        <a:srcRect/>
        <a:stretch>
          <a:fillRect/>
        </a:stretch>
      </xdr:blipFill>
      <xdr:spPr bwMode="auto">
        <a:xfrm>
          <a:off x="12359640" y="15346680"/>
          <a:ext cx="3733800" cy="90678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pic>
    <xdr:clientData/>
  </xdr:twoCellAnchor>
  <xdr:twoCellAnchor>
    <xdr:from>
      <xdr:col>9</xdr:col>
      <xdr:colOff>601980</xdr:colOff>
      <xdr:row>20</xdr:row>
      <xdr:rowOff>373380</xdr:rowOff>
    </xdr:from>
    <xdr:to>
      <xdr:col>9</xdr:col>
      <xdr:colOff>4419600</xdr:colOff>
      <xdr:row>20</xdr:row>
      <xdr:rowOff>1089660</xdr:rowOff>
    </xdr:to>
    <xdr:pic>
      <xdr:nvPicPr>
        <xdr:cNvPr id="8" name="Picture 85">
          <a:extLst>
            <a:ext xmlns:a16="http://schemas.microsoft.com/office/drawing/2014/main" uri="{FF2B5EF4-FFF2-40B4-BE49-F238E27FC236}">
              <a16:creationId xmlns:a16="http://schemas.microsoft.com/office/drawing/2014/main" id="{00000000-0008-0000-0300-000008000000}"/>
            </a:ext>
          </a:extLst>
        </xdr:cNvPr>
        <xdr:cNvPicPr>
          <a:picLocks noChangeAspect="true" noChangeArrowheads="true"/>
        </xdr:cNvPicPr>
      </xdr:nvPicPr>
      <xdr:blipFill>
        <a:blip r:embed="rId7">
          <a:extLst>
            <a:ext xmlns:a14="http://schemas.microsoft.com/office/drawing/2010/main" uri="{28A0092B-C50C-407E-A947-70E740481C1C}">
              <a14:useLocalDpi xmlns:a14="http://schemas.microsoft.com/office/drawing/2010/main" val="0"/>
            </a:ext>
          </a:extLst>
        </a:blip>
        <a:srcRect/>
        <a:stretch>
          <a:fillRect/>
        </a:stretch>
      </xdr:blipFill>
      <xdr:spPr bwMode="auto">
        <a:xfrm>
          <a:off x="12291060" y="18257520"/>
          <a:ext cx="3817620" cy="71628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pic>
    <xdr:clientData/>
  </xdr:twoCellAnchor>
  <xdr:twoCellAnchor>
    <xdr:from>
      <xdr:col>9</xdr:col>
      <xdr:colOff>182880</xdr:colOff>
      <xdr:row>19</xdr:row>
      <xdr:rowOff>487680</xdr:rowOff>
    </xdr:from>
    <xdr:to>
      <xdr:col>9</xdr:col>
      <xdr:colOff>4846320</xdr:colOff>
      <xdr:row>19</xdr:row>
      <xdr:rowOff>1295400</xdr:rowOff>
    </xdr:to>
    <xdr:pic>
      <xdr:nvPicPr>
        <xdr:cNvPr id="9" name="Picture 86">
          <a:extLst>
            <a:ext xmlns:a16="http://schemas.microsoft.com/office/drawing/2014/main" uri="{FF2B5EF4-FFF2-40B4-BE49-F238E27FC236}">
              <a16:creationId xmlns:a16="http://schemas.microsoft.com/office/drawing/2014/main" id="{00000000-0008-0000-0300-000009000000}"/>
            </a:ext>
          </a:extLst>
        </xdr:cNvPr>
        <xdr:cNvPicPr>
          <a:picLocks noChangeAspect="true" noChangeArrowheads="true"/>
        </xdr:cNvPicPr>
      </xdr:nvPicPr>
      <xdr:blipFill>
        <a:blip r:embed="rId8" cstate="print">
          <a:extLst>
            <a:ext xmlns:a14="http://schemas.microsoft.com/office/drawing/2010/main" uri="{28A0092B-C50C-407E-A947-70E740481C1C}">
              <a14:useLocalDpi xmlns:a14="http://schemas.microsoft.com/office/drawing/2010/main" val="0"/>
            </a:ext>
          </a:extLst>
        </a:blip>
        <a:srcRect/>
        <a:stretch>
          <a:fillRect/>
        </a:stretch>
      </xdr:blipFill>
      <xdr:spPr bwMode="auto">
        <a:xfrm>
          <a:off x="11871960" y="16824960"/>
          <a:ext cx="4663440" cy="80772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pic>
    <xdr:clientData/>
  </xdr:twoCellAnchor>
  <xdr:twoCellAnchor>
    <xdr:from>
      <xdr:col>9</xdr:col>
      <xdr:colOff>1150620</xdr:colOff>
      <xdr:row>21</xdr:row>
      <xdr:rowOff>38100</xdr:rowOff>
    </xdr:from>
    <xdr:to>
      <xdr:col>9</xdr:col>
      <xdr:colOff>4000500</xdr:colOff>
      <xdr:row>21</xdr:row>
      <xdr:rowOff>571500</xdr:rowOff>
    </xdr:to>
    <xdr:pic>
      <xdr:nvPicPr>
        <xdr:cNvPr id="10" name="Picture 88">
          <a:extLst>
            <a:ext xmlns:a16="http://schemas.microsoft.com/office/drawing/2014/main" uri="{FF2B5EF4-FFF2-40B4-BE49-F238E27FC236}">
              <a16:creationId xmlns:a16="http://schemas.microsoft.com/office/drawing/2014/main" id="{00000000-0008-0000-0300-00000A000000}"/>
            </a:ext>
          </a:extLst>
        </xdr:cNvPr>
        <xdr:cNvPicPr>
          <a:picLocks noChangeAspect="true" noChangeArrowheads="true"/>
        </xdr:cNvPicPr>
      </xdr:nvPicPr>
      <xdr:blipFill>
        <a:blip r:embed="rId9">
          <a:extLst>
            <a:ext xmlns:a14="http://schemas.microsoft.com/office/drawing/2010/main" uri="{28A0092B-C50C-407E-A947-70E740481C1C}">
              <a14:useLocalDpi xmlns:a14="http://schemas.microsoft.com/office/drawing/2010/main" val="0"/>
            </a:ext>
          </a:extLst>
        </a:blip>
        <a:srcRect/>
        <a:stretch>
          <a:fillRect/>
        </a:stretch>
      </xdr:blipFill>
      <xdr:spPr bwMode="auto">
        <a:xfrm>
          <a:off x="12839700" y="19255740"/>
          <a:ext cx="2849880" cy="53340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pic>
    <xdr:clientData/>
  </xdr:twoCellAnchor>
  <xdr:twoCellAnchor>
    <xdr:from>
      <xdr:col>9</xdr:col>
      <xdr:colOff>1181100</xdr:colOff>
      <xdr:row>22</xdr:row>
      <xdr:rowOff>30480</xdr:rowOff>
    </xdr:from>
    <xdr:to>
      <xdr:col>9</xdr:col>
      <xdr:colOff>3566160</xdr:colOff>
      <xdr:row>22</xdr:row>
      <xdr:rowOff>571500</xdr:rowOff>
    </xdr:to>
    <xdr:pic>
      <xdr:nvPicPr>
        <xdr:cNvPr id="11" name="Picture 89">
          <a:extLst>
            <a:ext xmlns:a16="http://schemas.microsoft.com/office/drawing/2014/main" uri="{FF2B5EF4-FFF2-40B4-BE49-F238E27FC236}">
              <a16:creationId xmlns:a16="http://schemas.microsoft.com/office/drawing/2014/main" id="{00000000-0008-0000-0300-00000B000000}"/>
            </a:ext>
          </a:extLst>
        </xdr:cNvPr>
        <xdr:cNvPicPr>
          <a:picLocks noChangeAspect="true" noChangeArrowheads="true"/>
        </xdr:cNvPicPr>
      </xdr:nvPicPr>
      <xdr:blipFill>
        <a:blip r:embed="rId10">
          <a:extLst>
            <a:ext xmlns:a14="http://schemas.microsoft.com/office/drawing/2010/main" uri="{28A0092B-C50C-407E-A947-70E740481C1C}">
              <a14:useLocalDpi xmlns:a14="http://schemas.microsoft.com/office/drawing/2010/main" val="0"/>
            </a:ext>
          </a:extLst>
        </a:blip>
        <a:srcRect/>
        <a:stretch>
          <a:fillRect/>
        </a:stretch>
      </xdr:blipFill>
      <xdr:spPr bwMode="auto">
        <a:xfrm>
          <a:off x="12870180" y="19895820"/>
          <a:ext cx="2385060" cy="54102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pic>
    <xdr:clientData/>
  </xdr:twoCellAnchor>
  <xdr:twoCellAnchor>
    <xdr:from>
      <xdr:col>9</xdr:col>
      <xdr:colOff>655320</xdr:colOff>
      <xdr:row>23</xdr:row>
      <xdr:rowOff>152400</xdr:rowOff>
    </xdr:from>
    <xdr:to>
      <xdr:col>9</xdr:col>
      <xdr:colOff>4251960</xdr:colOff>
      <xdr:row>23</xdr:row>
      <xdr:rowOff>838200</xdr:rowOff>
    </xdr:to>
    <xdr:pic>
      <xdr:nvPicPr>
        <xdr:cNvPr id="12" name="Picture 90">
          <a:extLst>
            <a:ext xmlns:a16="http://schemas.microsoft.com/office/drawing/2014/main" uri="{FF2B5EF4-FFF2-40B4-BE49-F238E27FC236}">
              <a16:creationId xmlns:a16="http://schemas.microsoft.com/office/drawing/2014/main" id="{00000000-0008-0000-0300-00000C000000}"/>
            </a:ext>
          </a:extLst>
        </xdr:cNvPr>
        <xdr:cNvPicPr>
          <a:picLocks noChangeAspect="true" noChangeArrowheads="true"/>
        </xdr:cNvPicPr>
      </xdr:nvPicPr>
      <xdr:blipFill>
        <a:blip r:embed="rId11">
          <a:extLst>
            <a:ext xmlns:a14="http://schemas.microsoft.com/office/drawing/2010/main" uri="{28A0092B-C50C-407E-A947-70E740481C1C}">
              <a14:useLocalDpi xmlns:a14="http://schemas.microsoft.com/office/drawing/2010/main" val="0"/>
            </a:ext>
          </a:extLst>
        </a:blip>
        <a:srcRect/>
        <a:stretch>
          <a:fillRect/>
        </a:stretch>
      </xdr:blipFill>
      <xdr:spPr bwMode="auto">
        <a:xfrm>
          <a:off x="12344400" y="20612100"/>
          <a:ext cx="3596640" cy="68580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pic>
    <xdr:clientData/>
  </xdr:twoCellAnchor>
  <xdr:twoCellAnchor>
    <xdr:from>
      <xdr:col>9</xdr:col>
      <xdr:colOff>1280160</xdr:colOff>
      <xdr:row>28</xdr:row>
      <xdr:rowOff>160020</xdr:rowOff>
    </xdr:from>
    <xdr:to>
      <xdr:col>9</xdr:col>
      <xdr:colOff>3771900</xdr:colOff>
      <xdr:row>28</xdr:row>
      <xdr:rowOff>937260</xdr:rowOff>
    </xdr:to>
    <xdr:pic>
      <xdr:nvPicPr>
        <xdr:cNvPr id="13" name="Picture 91">
          <a:extLst>
            <a:ext xmlns:a16="http://schemas.microsoft.com/office/drawing/2014/main" uri="{FF2B5EF4-FFF2-40B4-BE49-F238E27FC236}">
              <a16:creationId xmlns:a16="http://schemas.microsoft.com/office/drawing/2014/main" id="{00000000-0008-0000-0300-00000D000000}"/>
            </a:ext>
          </a:extLst>
        </xdr:cNvPr>
        <xdr:cNvPicPr>
          <a:picLocks noChangeAspect="true" noChangeArrowheads="true"/>
        </xdr:cNvPicPr>
      </xdr:nvPicPr>
      <xdr:blipFill>
        <a:blip r:embed="rId12">
          <a:extLst>
            <a:ext xmlns:a14="http://schemas.microsoft.com/office/drawing/2010/main" uri="{28A0092B-C50C-407E-A947-70E740481C1C}">
              <a14:useLocalDpi xmlns:a14="http://schemas.microsoft.com/office/drawing/2010/main" val="0"/>
            </a:ext>
          </a:extLst>
        </a:blip>
        <a:srcRect/>
        <a:stretch>
          <a:fillRect/>
        </a:stretch>
      </xdr:blipFill>
      <xdr:spPr bwMode="auto">
        <a:xfrm>
          <a:off x="12969240" y="25908000"/>
          <a:ext cx="2491740" cy="77724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pic>
    <xdr:clientData/>
  </xdr:twoCellAnchor>
  <xdr:twoCellAnchor>
    <xdr:from>
      <xdr:col>9</xdr:col>
      <xdr:colOff>2179320</xdr:colOff>
      <xdr:row>13</xdr:row>
      <xdr:rowOff>99060</xdr:rowOff>
    </xdr:from>
    <xdr:to>
      <xdr:col>9</xdr:col>
      <xdr:colOff>3268980</xdr:colOff>
      <xdr:row>13</xdr:row>
      <xdr:rowOff>731520</xdr:rowOff>
    </xdr:to>
    <xdr:pic>
      <xdr:nvPicPr>
        <xdr:cNvPr id="14" name="Picture 93">
          <a:extLst>
            <a:ext xmlns:a16="http://schemas.microsoft.com/office/drawing/2014/main" uri="{FF2B5EF4-FFF2-40B4-BE49-F238E27FC236}">
              <a16:creationId xmlns:a16="http://schemas.microsoft.com/office/drawing/2014/main" id="{00000000-0008-0000-0300-00000E000000}"/>
            </a:ext>
          </a:extLst>
        </xdr:cNvPr>
        <xdr:cNvPicPr>
          <a:picLocks noChangeAspect="true" noChangeArrowheads="true"/>
        </xdr:cNvPicPr>
      </xdr:nvPicPr>
      <xdr:blipFill>
        <a:blip r:embed="rId13">
          <a:extLst>
            <a:ext xmlns:a14="http://schemas.microsoft.com/office/drawing/2010/main" uri="{28A0092B-C50C-407E-A947-70E740481C1C}">
              <a14:useLocalDpi xmlns:a14="http://schemas.microsoft.com/office/drawing/2010/main" val="0"/>
            </a:ext>
          </a:extLst>
        </a:blip>
        <a:srcRect/>
        <a:stretch>
          <a:fillRect/>
        </a:stretch>
      </xdr:blipFill>
      <xdr:spPr bwMode="auto">
        <a:xfrm>
          <a:off x="13868400" y="10439400"/>
          <a:ext cx="1089660" cy="63246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pic>
    <xdr:clientData/>
  </xdr:twoCellAnchor>
  <xdr:twoCellAnchor>
    <xdr:from>
      <xdr:col>9</xdr:col>
      <xdr:colOff>1363980</xdr:colOff>
      <xdr:row>15</xdr:row>
      <xdr:rowOff>137160</xdr:rowOff>
    </xdr:from>
    <xdr:to>
      <xdr:col>9</xdr:col>
      <xdr:colOff>4030980</xdr:colOff>
      <xdr:row>15</xdr:row>
      <xdr:rowOff>754380</xdr:rowOff>
    </xdr:to>
    <xdr:pic>
      <xdr:nvPicPr>
        <xdr:cNvPr id="15" name="Picture 95">
          <a:extLst>
            <a:ext xmlns:a16="http://schemas.microsoft.com/office/drawing/2014/main" uri="{FF2B5EF4-FFF2-40B4-BE49-F238E27FC236}">
              <a16:creationId xmlns:a16="http://schemas.microsoft.com/office/drawing/2014/main" id="{00000000-0008-0000-0300-00000F000000}"/>
            </a:ext>
          </a:extLst>
        </xdr:cNvPr>
        <xdr:cNvPicPr>
          <a:picLocks noChangeAspect="true" noChangeArrowheads="true"/>
        </xdr:cNvPicPr>
      </xdr:nvPicPr>
      <xdr:blipFill>
        <a:blip r:embed="rId14">
          <a:extLst>
            <a:ext xmlns:a14="http://schemas.microsoft.com/office/drawing/2010/main" uri="{28A0092B-C50C-407E-A947-70E740481C1C}">
              <a14:useLocalDpi xmlns:a14="http://schemas.microsoft.com/office/drawing/2010/main" val="0"/>
            </a:ext>
          </a:extLst>
        </a:blip>
        <a:srcRect/>
        <a:stretch>
          <a:fillRect/>
        </a:stretch>
      </xdr:blipFill>
      <xdr:spPr bwMode="auto">
        <a:xfrm>
          <a:off x="13053060" y="12016740"/>
          <a:ext cx="2667000" cy="61722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pic>
    <xdr:clientData/>
  </xdr:twoCellAnchor>
  <xdr:twoCellAnchor>
    <xdr:from>
      <xdr:col>9</xdr:col>
      <xdr:colOff>990600</xdr:colOff>
      <xdr:row>24</xdr:row>
      <xdr:rowOff>152400</xdr:rowOff>
    </xdr:from>
    <xdr:to>
      <xdr:col>9</xdr:col>
      <xdr:colOff>4122420</xdr:colOff>
      <xdr:row>24</xdr:row>
      <xdr:rowOff>807720</xdr:rowOff>
    </xdr:to>
    <xdr:pic>
      <xdr:nvPicPr>
        <xdr:cNvPr id="16" name="Picture 211">
          <a:extLst>
            <a:ext xmlns:a16="http://schemas.microsoft.com/office/drawing/2014/main" uri="{FF2B5EF4-FFF2-40B4-BE49-F238E27FC236}">
              <a16:creationId xmlns:a16="http://schemas.microsoft.com/office/drawing/2014/main" id="{00000000-0008-0000-0300-000010000000}"/>
            </a:ext>
          </a:extLst>
        </xdr:cNvPr>
        <xdr:cNvPicPr>
          <a:picLocks noChangeAspect="true" noChangeArrowheads="true"/>
        </xdr:cNvPicPr>
      </xdr:nvPicPr>
      <xdr:blipFill>
        <a:blip r:embed="rId15">
          <a:extLst>
            <a:ext xmlns:a14="http://schemas.microsoft.com/office/drawing/2010/main" uri="{28A0092B-C50C-407E-A947-70E740481C1C}">
              <a14:useLocalDpi xmlns:a14="http://schemas.microsoft.com/office/drawing/2010/main" val="0"/>
            </a:ext>
          </a:extLst>
        </a:blip>
        <a:srcRect/>
        <a:stretch>
          <a:fillRect/>
        </a:stretch>
      </xdr:blipFill>
      <xdr:spPr bwMode="auto">
        <a:xfrm>
          <a:off x="12679680" y="21572220"/>
          <a:ext cx="3131820" cy="65532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pic>
    <xdr:clientData/>
  </xdr:twoCellAnchor>
  <xdr:twoCellAnchor>
    <xdr:from>
      <xdr:col>9</xdr:col>
      <xdr:colOff>830580</xdr:colOff>
      <xdr:row>25</xdr:row>
      <xdr:rowOff>228600</xdr:rowOff>
    </xdr:from>
    <xdr:to>
      <xdr:col>9</xdr:col>
      <xdr:colOff>4328160</xdr:colOff>
      <xdr:row>25</xdr:row>
      <xdr:rowOff>1028700</xdr:rowOff>
    </xdr:to>
    <xdr:pic>
      <xdr:nvPicPr>
        <xdr:cNvPr id="17" name="Picture 212">
          <a:extLst>
            <a:ext xmlns:a16="http://schemas.microsoft.com/office/drawing/2014/main" uri="{FF2B5EF4-FFF2-40B4-BE49-F238E27FC236}">
              <a16:creationId xmlns:a16="http://schemas.microsoft.com/office/drawing/2014/main" id="{00000000-0008-0000-0300-000011000000}"/>
            </a:ext>
          </a:extLst>
        </xdr:cNvPr>
        <xdr:cNvPicPr>
          <a:picLocks noChangeAspect="true" noChangeArrowheads="true"/>
        </xdr:cNvPicPr>
      </xdr:nvPicPr>
      <xdr:blipFill>
        <a:blip r:embed="rId16">
          <a:extLst>
            <a:ext xmlns:a14="http://schemas.microsoft.com/office/drawing/2010/main" uri="{28A0092B-C50C-407E-A947-70E740481C1C}">
              <a14:useLocalDpi xmlns:a14="http://schemas.microsoft.com/office/drawing/2010/main" val="0"/>
            </a:ext>
          </a:extLst>
        </a:blip>
        <a:srcRect/>
        <a:stretch>
          <a:fillRect/>
        </a:stretch>
      </xdr:blipFill>
      <xdr:spPr bwMode="auto">
        <a:xfrm>
          <a:off x="12519660" y="22623780"/>
          <a:ext cx="3497580" cy="80010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pic>
    <xdr:clientData/>
  </xdr:twoCellAnchor>
  <xdr:twoCellAnchor>
    <xdr:from>
      <xdr:col>9</xdr:col>
      <xdr:colOff>1036320</xdr:colOff>
      <xdr:row>5</xdr:row>
      <xdr:rowOff>76200</xdr:rowOff>
    </xdr:from>
    <xdr:to>
      <xdr:col>9</xdr:col>
      <xdr:colOff>4099560</xdr:colOff>
      <xdr:row>5</xdr:row>
      <xdr:rowOff>944880</xdr:rowOff>
    </xdr:to>
    <xdr:pic>
      <xdr:nvPicPr>
        <xdr:cNvPr id="18" name="Picture 213">
          <a:extLst>
            <a:ext xmlns:a16="http://schemas.microsoft.com/office/drawing/2014/main" uri="{FF2B5EF4-FFF2-40B4-BE49-F238E27FC236}">
              <a16:creationId xmlns:a16="http://schemas.microsoft.com/office/drawing/2014/main" id="{00000000-0008-0000-0300-000012000000}"/>
            </a:ext>
          </a:extLst>
        </xdr:cNvPr>
        <xdr:cNvPicPr>
          <a:picLocks noChangeAspect="true" noChangeArrowheads="true"/>
        </xdr:cNvPicPr>
      </xdr:nvPicPr>
      <xdr:blipFill>
        <a:blip r:embed="rId17">
          <a:extLst>
            <a:ext xmlns:a14="http://schemas.microsoft.com/office/drawing/2010/main" uri="{28A0092B-C50C-407E-A947-70E740481C1C}">
              <a14:useLocalDpi xmlns:a14="http://schemas.microsoft.com/office/drawing/2010/main" val="0"/>
            </a:ext>
          </a:extLst>
        </a:blip>
        <a:srcRect/>
        <a:stretch>
          <a:fillRect/>
        </a:stretch>
      </xdr:blipFill>
      <xdr:spPr bwMode="auto">
        <a:xfrm>
          <a:off x="12725400" y="2423160"/>
          <a:ext cx="3063240" cy="86868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pic>
    <xdr:clientData/>
  </xdr:twoCellAnchor>
  <xdr:twoCellAnchor>
    <xdr:from>
      <xdr:col>9</xdr:col>
      <xdr:colOff>1760220</xdr:colOff>
      <xdr:row>6</xdr:row>
      <xdr:rowOff>60960</xdr:rowOff>
    </xdr:from>
    <xdr:to>
      <xdr:col>9</xdr:col>
      <xdr:colOff>3360420</xdr:colOff>
      <xdr:row>6</xdr:row>
      <xdr:rowOff>914400</xdr:rowOff>
    </xdr:to>
    <xdr:pic>
      <xdr:nvPicPr>
        <xdr:cNvPr id="19" name="Picture 214">
          <a:extLst>
            <a:ext xmlns:a16="http://schemas.microsoft.com/office/drawing/2014/main" uri="{FF2B5EF4-FFF2-40B4-BE49-F238E27FC236}">
              <a16:creationId xmlns:a16="http://schemas.microsoft.com/office/drawing/2014/main" id="{00000000-0008-0000-0300-000013000000}"/>
            </a:ext>
          </a:extLst>
        </xdr:cNvPr>
        <xdr:cNvPicPr>
          <a:picLocks noChangeAspect="true" noChangeArrowheads="true"/>
        </xdr:cNvPicPr>
      </xdr:nvPicPr>
      <xdr:blipFill>
        <a:blip r:embed="rId18" cstate="print">
          <a:extLst>
            <a:ext xmlns:a14="http://schemas.microsoft.com/office/drawing/2010/main" uri="{28A0092B-C50C-407E-A947-70E740481C1C}">
              <a14:useLocalDpi xmlns:a14="http://schemas.microsoft.com/office/drawing/2010/main" val="0"/>
            </a:ext>
          </a:extLst>
        </a:blip>
        <a:srcRect/>
        <a:stretch>
          <a:fillRect/>
        </a:stretch>
      </xdr:blipFill>
      <xdr:spPr bwMode="auto">
        <a:xfrm>
          <a:off x="13449300" y="3421380"/>
          <a:ext cx="1600200" cy="85344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pic>
    <xdr:clientData/>
  </xdr:twoCellAnchor>
  <xdr:twoCellAnchor>
    <xdr:from>
      <xdr:col>9</xdr:col>
      <xdr:colOff>106680</xdr:colOff>
      <xdr:row>7</xdr:row>
      <xdr:rowOff>160020</xdr:rowOff>
    </xdr:from>
    <xdr:to>
      <xdr:col>9</xdr:col>
      <xdr:colOff>4838700</xdr:colOff>
      <xdr:row>7</xdr:row>
      <xdr:rowOff>1074420</xdr:rowOff>
    </xdr:to>
    <xdr:pic>
      <xdr:nvPicPr>
        <xdr:cNvPr id="20" name="Picture 215">
          <a:extLst>
            <a:ext xmlns:a16="http://schemas.microsoft.com/office/drawing/2014/main" uri="{FF2B5EF4-FFF2-40B4-BE49-F238E27FC236}">
              <a16:creationId xmlns:a16="http://schemas.microsoft.com/office/drawing/2014/main" id="{00000000-0008-0000-0300-000014000000}"/>
            </a:ext>
          </a:extLst>
        </xdr:cNvPr>
        <xdr:cNvPicPr>
          <a:picLocks noChangeAspect="true" noChangeArrowheads="true"/>
        </xdr:cNvPicPr>
      </xdr:nvPicPr>
      <xdr:blipFill>
        <a:blip r:embed="rId19">
          <a:extLst>
            <a:ext xmlns:a14="http://schemas.microsoft.com/office/drawing/2010/main" uri="{28A0092B-C50C-407E-A947-70E740481C1C}">
              <a14:useLocalDpi xmlns:a14="http://schemas.microsoft.com/office/drawing/2010/main" val="0"/>
            </a:ext>
          </a:extLst>
        </a:blip>
        <a:srcRect/>
        <a:stretch>
          <a:fillRect/>
        </a:stretch>
      </xdr:blipFill>
      <xdr:spPr bwMode="auto">
        <a:xfrm>
          <a:off x="11795760" y="4480560"/>
          <a:ext cx="4732020" cy="91440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pic>
    <xdr:clientData/>
  </xdr:twoCellAnchor>
  <xdr:twoCellAnchor>
    <xdr:from>
      <xdr:col>9</xdr:col>
      <xdr:colOff>419100</xdr:colOff>
      <xdr:row>8</xdr:row>
      <xdr:rowOff>152400</xdr:rowOff>
    </xdr:from>
    <xdr:to>
      <xdr:col>9</xdr:col>
      <xdr:colOff>4671060</xdr:colOff>
      <xdr:row>8</xdr:row>
      <xdr:rowOff>1447800</xdr:rowOff>
    </xdr:to>
    <xdr:pic>
      <xdr:nvPicPr>
        <xdr:cNvPr id="21" name="Picture 216">
          <a:extLst>
            <a:ext xmlns:a16="http://schemas.microsoft.com/office/drawing/2014/main" uri="{FF2B5EF4-FFF2-40B4-BE49-F238E27FC236}">
              <a16:creationId xmlns:a16="http://schemas.microsoft.com/office/drawing/2014/main" id="{00000000-0008-0000-0300-000015000000}"/>
            </a:ext>
          </a:extLst>
        </xdr:cNvPr>
        <xdr:cNvPicPr>
          <a:picLocks noChangeAspect="true" noChangeArrowheads="true"/>
        </xdr:cNvPicPr>
      </xdr:nvPicPr>
      <xdr:blipFill>
        <a:blip r:embed="rId20" cstate="print">
          <a:extLst>
            <a:ext xmlns:a14="http://schemas.microsoft.com/office/drawing/2010/main" uri="{28A0092B-C50C-407E-A947-70E740481C1C}">
              <a14:useLocalDpi xmlns:a14="http://schemas.microsoft.com/office/drawing/2010/main" val="0"/>
            </a:ext>
          </a:extLst>
        </a:blip>
        <a:srcRect/>
        <a:stretch>
          <a:fillRect/>
        </a:stretch>
      </xdr:blipFill>
      <xdr:spPr bwMode="auto">
        <a:xfrm>
          <a:off x="12108180" y="5753100"/>
          <a:ext cx="4251960" cy="129540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pic>
    <xdr:clientData/>
  </xdr:twoCellAnchor>
  <xdr:twoCellAnchor>
    <xdr:from>
      <xdr:col>9</xdr:col>
      <xdr:colOff>2011680</xdr:colOff>
      <xdr:row>10</xdr:row>
      <xdr:rowOff>76200</xdr:rowOff>
    </xdr:from>
    <xdr:to>
      <xdr:col>9</xdr:col>
      <xdr:colOff>3200400</xdr:colOff>
      <xdr:row>10</xdr:row>
      <xdr:rowOff>525780</xdr:rowOff>
    </xdr:to>
    <xdr:pic>
      <xdr:nvPicPr>
        <xdr:cNvPr id="22" name="Picture 217">
          <a:extLst>
            <a:ext xmlns:a16="http://schemas.microsoft.com/office/drawing/2014/main" uri="{FF2B5EF4-FFF2-40B4-BE49-F238E27FC236}">
              <a16:creationId xmlns:a16="http://schemas.microsoft.com/office/drawing/2014/main" id="{00000000-0008-0000-0300-000016000000}"/>
            </a:ext>
          </a:extLst>
        </xdr:cNvPr>
        <xdr:cNvPicPr>
          <a:picLocks noChangeAspect="true" noChangeArrowheads="true"/>
        </xdr:cNvPicPr>
      </xdr:nvPicPr>
      <xdr:blipFill>
        <a:blip r:embed="rId21">
          <a:extLst>
            <a:ext xmlns:a14="http://schemas.microsoft.com/office/drawing/2010/main" uri="{28A0092B-C50C-407E-A947-70E740481C1C}">
              <a14:useLocalDpi xmlns:a14="http://schemas.microsoft.com/office/drawing/2010/main" val="0"/>
            </a:ext>
          </a:extLst>
        </a:blip>
        <a:srcRect/>
        <a:stretch>
          <a:fillRect/>
        </a:stretch>
      </xdr:blipFill>
      <xdr:spPr bwMode="auto">
        <a:xfrm>
          <a:off x="13700760" y="8008620"/>
          <a:ext cx="1188720" cy="44958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pic>
    <xdr:clientData/>
  </xdr:twoCellAnchor>
  <xdr:twoCellAnchor>
    <xdr:from>
      <xdr:col>9</xdr:col>
      <xdr:colOff>2194560</xdr:colOff>
      <xdr:row>12</xdr:row>
      <xdr:rowOff>76200</xdr:rowOff>
    </xdr:from>
    <xdr:to>
      <xdr:col>9</xdr:col>
      <xdr:colOff>3223260</xdr:colOff>
      <xdr:row>12</xdr:row>
      <xdr:rowOff>792480</xdr:rowOff>
    </xdr:to>
    <xdr:pic>
      <xdr:nvPicPr>
        <xdr:cNvPr id="23" name="Picture 218">
          <a:extLst>
            <a:ext xmlns:a16="http://schemas.microsoft.com/office/drawing/2014/main" uri="{FF2B5EF4-FFF2-40B4-BE49-F238E27FC236}">
              <a16:creationId xmlns:a16="http://schemas.microsoft.com/office/drawing/2014/main" id="{00000000-0008-0000-0300-000017000000}"/>
            </a:ext>
          </a:extLst>
        </xdr:cNvPr>
        <xdr:cNvPicPr>
          <a:picLocks noChangeAspect="true" noChangeArrowheads="true"/>
        </xdr:cNvPicPr>
      </xdr:nvPicPr>
      <xdr:blipFill>
        <a:blip r:embed="rId22">
          <a:extLst>
            <a:ext xmlns:a14="http://schemas.microsoft.com/office/drawing/2010/main" uri="{28A0092B-C50C-407E-A947-70E740481C1C}">
              <a14:useLocalDpi xmlns:a14="http://schemas.microsoft.com/office/drawing/2010/main" val="0"/>
            </a:ext>
          </a:extLst>
        </a:blip>
        <a:srcRect/>
        <a:stretch>
          <a:fillRect/>
        </a:stretch>
      </xdr:blipFill>
      <xdr:spPr bwMode="auto">
        <a:xfrm>
          <a:off x="13883640" y="9525000"/>
          <a:ext cx="1028700" cy="71628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pic>
    <xdr:clientData/>
  </xdr:twoCellAnchor>
  <xdr:twoCellAnchor>
    <xdr:from>
      <xdr:col>9</xdr:col>
      <xdr:colOff>746760</xdr:colOff>
      <xdr:row>26</xdr:row>
      <xdr:rowOff>83820</xdr:rowOff>
    </xdr:from>
    <xdr:to>
      <xdr:col>9</xdr:col>
      <xdr:colOff>4213860</xdr:colOff>
      <xdr:row>26</xdr:row>
      <xdr:rowOff>807720</xdr:rowOff>
    </xdr:to>
    <xdr:pic>
      <xdr:nvPicPr>
        <xdr:cNvPr id="24" name="Picture 219">
          <a:extLst>
            <a:ext xmlns:a16="http://schemas.microsoft.com/office/drawing/2014/main" uri="{FF2B5EF4-FFF2-40B4-BE49-F238E27FC236}">
              <a16:creationId xmlns:a16="http://schemas.microsoft.com/office/drawing/2014/main" id="{00000000-0008-0000-0300-000018000000}"/>
            </a:ext>
          </a:extLst>
        </xdr:cNvPr>
        <xdr:cNvPicPr>
          <a:picLocks noChangeAspect="true" noChangeArrowheads="true"/>
        </xdr:cNvPicPr>
      </xdr:nvPicPr>
      <xdr:blipFill>
        <a:blip r:embed="rId23">
          <a:extLst>
            <a:ext xmlns:a14="http://schemas.microsoft.com/office/drawing/2010/main" uri="{28A0092B-C50C-407E-A947-70E740481C1C}">
              <a14:useLocalDpi xmlns:a14="http://schemas.microsoft.com/office/drawing/2010/main" val="0"/>
            </a:ext>
          </a:extLst>
        </a:blip>
        <a:srcRect/>
        <a:stretch>
          <a:fillRect/>
        </a:stretch>
      </xdr:blipFill>
      <xdr:spPr bwMode="auto">
        <a:xfrm>
          <a:off x="12435840" y="23682960"/>
          <a:ext cx="3467100" cy="72390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pic>
    <xdr:clientData/>
  </xdr:twoCellAnchor>
  <xdr:twoCellAnchor>
    <xdr:from>
      <xdr:col>9</xdr:col>
      <xdr:colOff>1013460</xdr:colOff>
      <xdr:row>27</xdr:row>
      <xdr:rowOff>266700</xdr:rowOff>
    </xdr:from>
    <xdr:to>
      <xdr:col>9</xdr:col>
      <xdr:colOff>4008120</xdr:colOff>
      <xdr:row>27</xdr:row>
      <xdr:rowOff>1013460</xdr:rowOff>
    </xdr:to>
    <xdr:pic>
      <xdr:nvPicPr>
        <xdr:cNvPr id="25" name="Picture 220">
          <a:extLst>
            <a:ext xmlns:a16="http://schemas.microsoft.com/office/drawing/2014/main" uri="{FF2B5EF4-FFF2-40B4-BE49-F238E27FC236}">
              <a16:creationId xmlns:a16="http://schemas.microsoft.com/office/drawing/2014/main" id="{00000000-0008-0000-0300-000019000000}"/>
            </a:ext>
          </a:extLst>
        </xdr:cNvPr>
        <xdr:cNvPicPr>
          <a:picLocks noChangeAspect="true" noChangeArrowheads="true"/>
        </xdr:cNvPicPr>
      </xdr:nvPicPr>
      <xdr:blipFill>
        <a:blip r:embed="rId24">
          <a:extLst>
            <a:ext xmlns:a14="http://schemas.microsoft.com/office/drawing/2010/main" uri="{28A0092B-C50C-407E-A947-70E740481C1C}">
              <a14:useLocalDpi xmlns:a14="http://schemas.microsoft.com/office/drawing/2010/main" val="0"/>
            </a:ext>
          </a:extLst>
        </a:blip>
        <a:srcRect/>
        <a:stretch>
          <a:fillRect/>
        </a:stretch>
      </xdr:blipFill>
      <xdr:spPr bwMode="auto">
        <a:xfrm>
          <a:off x="12702540" y="24749760"/>
          <a:ext cx="2994660" cy="74676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pic>
    <xdr:clientData/>
  </xdr:twoCellAnchor>
  <xdr:twoCellAnchor>
    <xdr:from>
      <xdr:col>9</xdr:col>
      <xdr:colOff>1752600</xdr:colOff>
      <xdr:row>29</xdr:row>
      <xdr:rowOff>182880</xdr:rowOff>
    </xdr:from>
    <xdr:to>
      <xdr:col>9</xdr:col>
      <xdr:colOff>3413760</xdr:colOff>
      <xdr:row>29</xdr:row>
      <xdr:rowOff>556260</xdr:rowOff>
    </xdr:to>
    <xdr:pic>
      <xdr:nvPicPr>
        <xdr:cNvPr id="26" name="Picture 221">
          <a:extLst>
            <a:ext xmlns:a16="http://schemas.microsoft.com/office/drawing/2014/main" uri="{FF2B5EF4-FFF2-40B4-BE49-F238E27FC236}">
              <a16:creationId xmlns:a16="http://schemas.microsoft.com/office/drawing/2014/main" id="{00000000-0008-0000-0300-00001A000000}"/>
            </a:ext>
          </a:extLst>
        </xdr:cNvPr>
        <xdr:cNvPicPr>
          <a:picLocks noChangeAspect="true" noChangeArrowheads="true"/>
        </xdr:cNvPicPr>
      </xdr:nvPicPr>
      <xdr:blipFill>
        <a:blip r:embed="rId25">
          <a:extLst>
            <a:ext xmlns:a14="http://schemas.microsoft.com/office/drawing/2010/main" uri="{28A0092B-C50C-407E-A947-70E740481C1C}">
              <a14:useLocalDpi xmlns:a14="http://schemas.microsoft.com/office/drawing/2010/main" val="0"/>
            </a:ext>
          </a:extLst>
        </a:blip>
        <a:srcRect/>
        <a:stretch>
          <a:fillRect/>
        </a:stretch>
      </xdr:blipFill>
      <xdr:spPr bwMode="auto">
        <a:xfrm>
          <a:off x="13441680" y="27020520"/>
          <a:ext cx="1661160" cy="37338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pic>
    <xdr:clientData/>
  </xdr:twoCellAnchor>
  <xdr:twoCellAnchor>
    <xdr:from>
      <xdr:col>9</xdr:col>
      <xdr:colOff>1516380</xdr:colOff>
      <xdr:row>30</xdr:row>
      <xdr:rowOff>144780</xdr:rowOff>
    </xdr:from>
    <xdr:to>
      <xdr:col>9</xdr:col>
      <xdr:colOff>3543300</xdr:colOff>
      <xdr:row>30</xdr:row>
      <xdr:rowOff>1143000</xdr:rowOff>
    </xdr:to>
    <xdr:pic>
      <xdr:nvPicPr>
        <xdr:cNvPr id="27" name="Picture 222">
          <a:extLst>
            <a:ext xmlns:a16="http://schemas.microsoft.com/office/drawing/2014/main" uri="{FF2B5EF4-FFF2-40B4-BE49-F238E27FC236}">
              <a16:creationId xmlns:a16="http://schemas.microsoft.com/office/drawing/2014/main" id="{00000000-0008-0000-0300-00001B000000}"/>
            </a:ext>
          </a:extLst>
        </xdr:cNvPr>
        <xdr:cNvPicPr>
          <a:picLocks noChangeAspect="true" noChangeArrowheads="true"/>
        </xdr:cNvPicPr>
      </xdr:nvPicPr>
      <xdr:blipFill>
        <a:blip r:embed="rId26">
          <a:extLst>
            <a:ext xmlns:a14="http://schemas.microsoft.com/office/drawing/2010/main" uri="{28A0092B-C50C-407E-A947-70E740481C1C}">
              <a14:useLocalDpi xmlns:a14="http://schemas.microsoft.com/office/drawing/2010/main" val="0"/>
            </a:ext>
          </a:extLst>
        </a:blip>
        <a:srcRect/>
        <a:stretch>
          <a:fillRect/>
        </a:stretch>
      </xdr:blipFill>
      <xdr:spPr bwMode="auto">
        <a:xfrm>
          <a:off x="13205460" y="27729180"/>
          <a:ext cx="2026920" cy="99822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a="http://schemas.openxmlformats.org/drawingml/2006/main" xmlns:xdr="http://schemas.openxmlformats.org/drawingml/2006/spreadsheetDrawing" xmlns:r="http://schemas.openxmlformats.org/officeDocument/2006/relationships">
  <xdr:twoCellAnchor>
    <xdr:from>
      <xdr:col>19</xdr:col>
      <xdr:colOff>439448</xdr:colOff>
      <xdr:row>7</xdr:row>
      <xdr:rowOff>740351</xdr:rowOff>
    </xdr:from>
    <xdr:to>
      <xdr:col>86</xdr:col>
      <xdr:colOff>411305</xdr:colOff>
      <xdr:row>19</xdr:row>
      <xdr:rowOff>97413</xdr:rowOff>
    </xdr:to>
    <xdr:graphicFrame macro="">
      <xdr:nvGraphicFramePr>
        <xdr:cNvPr id="4" name="Chart 3">
          <a:extLst>
            <a:ext xmlns:a16="http://schemas.microsoft.com/office/drawing/2014/main" uri="{FF2B5EF4-FFF2-40B4-BE49-F238E27FC236}">
              <a16:creationId xmlns:a16="http://schemas.microsoft.com/office/drawing/2014/main" id="{00000000-0008-0000-04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9</xdr:col>
          <xdr:colOff>1203960</xdr:colOff>
          <xdr:row>6</xdr:row>
          <xdr:rowOff>198120</xdr:rowOff>
        </xdr:from>
        <xdr:to>
          <xdr:col>9</xdr:col>
          <xdr:colOff>3169920</xdr:colOff>
          <xdr:row>6</xdr:row>
          <xdr:rowOff>975360</xdr:rowOff>
        </xdr:to>
        <xdr:sp macro="" textlink="">
          <xdr:nvSpPr>
            <xdr:cNvPr id="4347" name="Object 251" hidden="1">
              <a:extLst>
                <a:ext uri="{63B3BB69-23CF-44E3-9099-C40C66FF867C}">
                  <a14:compatExt spid="_x0000_s4347"/>
                </a:ext>
                <a:ext uri="{FF2B5EF4-FFF2-40B4-BE49-F238E27FC236}">
                  <a16:creationId xmlns:a16="http://schemas.microsoft.com/office/drawing/2014/main" id="{00000000-0008-0000-0400-0000FB10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xdr:twoCellAnchor>
    <xdr:from>
      <xdr:col>9</xdr:col>
      <xdr:colOff>1021080</xdr:colOff>
      <xdr:row>7</xdr:row>
      <xdr:rowOff>83820</xdr:rowOff>
    </xdr:from>
    <xdr:to>
      <xdr:col>9</xdr:col>
      <xdr:colOff>3413760</xdr:colOff>
      <xdr:row>7</xdr:row>
      <xdr:rowOff>1074420</xdr:rowOff>
    </xdr:to>
    <xdr:sp macro="" textlink="">
      <xdr:nvSpPr>
        <xdr:cNvPr id="4348" name="Object 252" hidden="true">
          <a:extLst>
            <a:ext xmlns:a14="http://schemas.microsoft.com/office/drawing/2010/main" uri="{63B3BB69-23CF-44E3-9099-C40C66FF867C}">
              <a14:compatExt xmlns:a14="http://schemas.microsoft.com/office/drawing/2010/main" spid="_x0000_s4348"/>
            </a:ext>
            <a:ext xmlns:a16="http://schemas.microsoft.com/office/drawing/2014/main" uri="{FF2B5EF4-FFF2-40B4-BE49-F238E27FC236}">
              <a16:creationId xmlns:a16="http://schemas.microsoft.com/office/drawing/2014/main" id="{00000000-0008-0000-0400-0000FC100000}"/>
            </a:ext>
          </a:extLst>
        </xdr:cNvPr>
        <xdr:cNvSpPr/>
      </xdr:nvSpPr>
      <xdr:spPr bwMode="auto">
        <a:xfrm>
          <a:off x="0" y="0"/>
          <a:ext cx="0" cy="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sp>
    <xdr:clientData/>
  </xdr:twoCellAnchor>
  <xdr:twoCellAnchor>
    <xdr:from>
      <xdr:col>9</xdr:col>
      <xdr:colOff>1165860</xdr:colOff>
      <xdr:row>8</xdr:row>
      <xdr:rowOff>76200</xdr:rowOff>
    </xdr:from>
    <xdr:to>
      <xdr:col>9</xdr:col>
      <xdr:colOff>3268980</xdr:colOff>
      <xdr:row>8</xdr:row>
      <xdr:rowOff>784860</xdr:rowOff>
    </xdr:to>
    <xdr:sp macro="" textlink="">
      <xdr:nvSpPr>
        <xdr:cNvPr id="4349" name="Object 253" hidden="true">
          <a:extLst>
            <a:ext xmlns:a14="http://schemas.microsoft.com/office/drawing/2010/main" uri="{63B3BB69-23CF-44E3-9099-C40C66FF867C}">
              <a14:compatExt xmlns:a14="http://schemas.microsoft.com/office/drawing/2010/main" spid="_x0000_s4349"/>
            </a:ext>
            <a:ext xmlns:a16="http://schemas.microsoft.com/office/drawing/2014/main" uri="{FF2B5EF4-FFF2-40B4-BE49-F238E27FC236}">
              <a16:creationId xmlns:a16="http://schemas.microsoft.com/office/drawing/2014/main" id="{00000000-0008-0000-0400-0000FD100000}"/>
            </a:ext>
          </a:extLst>
        </xdr:cNvPr>
        <xdr:cNvSpPr/>
      </xdr:nvSpPr>
      <xdr:spPr bwMode="auto">
        <a:xfrm>
          <a:off x="0" y="0"/>
          <a:ext cx="0" cy="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sp>
    <xdr:clientData/>
  </xdr:twoCellAnchor>
  <xdr:twoCellAnchor>
    <xdr:from>
      <xdr:col>9</xdr:col>
      <xdr:colOff>1021080</xdr:colOff>
      <xdr:row>18</xdr:row>
      <xdr:rowOff>68580</xdr:rowOff>
    </xdr:from>
    <xdr:to>
      <xdr:col>9</xdr:col>
      <xdr:colOff>2956560</xdr:colOff>
      <xdr:row>18</xdr:row>
      <xdr:rowOff>1226820</xdr:rowOff>
    </xdr:to>
    <xdr:sp macro="" textlink="">
      <xdr:nvSpPr>
        <xdr:cNvPr id="4351" name="Object 255" hidden="true">
          <a:extLst>
            <a:ext xmlns:a14="http://schemas.microsoft.com/office/drawing/2010/main" uri="{63B3BB69-23CF-44E3-9099-C40C66FF867C}">
              <a14:compatExt xmlns:a14="http://schemas.microsoft.com/office/drawing/2010/main" spid="_x0000_s4351"/>
            </a:ext>
            <a:ext xmlns:a16="http://schemas.microsoft.com/office/drawing/2014/main" uri="{FF2B5EF4-FFF2-40B4-BE49-F238E27FC236}">
              <a16:creationId xmlns:a16="http://schemas.microsoft.com/office/drawing/2014/main" id="{00000000-0008-0000-0400-0000FF100000}"/>
            </a:ext>
          </a:extLst>
        </xdr:cNvPr>
        <xdr:cNvSpPr/>
      </xdr:nvSpPr>
      <xdr:spPr bwMode="auto">
        <a:xfrm>
          <a:off x="0" y="0"/>
          <a:ext cx="0" cy="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sp>
    <xdr:clientData/>
  </xdr:twoCellAnchor>
  <xdr:twoCellAnchor>
    <xdr:from>
      <xdr:col>9</xdr:col>
      <xdr:colOff>1089660</xdr:colOff>
      <xdr:row>19</xdr:row>
      <xdr:rowOff>144780</xdr:rowOff>
    </xdr:from>
    <xdr:to>
      <xdr:col>9</xdr:col>
      <xdr:colOff>2865120</xdr:colOff>
      <xdr:row>19</xdr:row>
      <xdr:rowOff>1211580</xdr:rowOff>
    </xdr:to>
    <xdr:sp macro="" textlink="">
      <xdr:nvSpPr>
        <xdr:cNvPr id="4352" name="Object 256" hidden="true">
          <a:extLst>
            <a:ext xmlns:a14="http://schemas.microsoft.com/office/drawing/2010/main" uri="{63B3BB69-23CF-44E3-9099-C40C66FF867C}">
              <a14:compatExt xmlns:a14="http://schemas.microsoft.com/office/drawing/2010/main" spid="_x0000_s4352"/>
            </a:ext>
            <a:ext xmlns:a16="http://schemas.microsoft.com/office/drawing/2014/main" uri="{FF2B5EF4-FFF2-40B4-BE49-F238E27FC236}">
              <a16:creationId xmlns:a16="http://schemas.microsoft.com/office/drawing/2014/main" id="{00000000-0008-0000-0400-000000110000}"/>
            </a:ext>
          </a:extLst>
        </xdr:cNvPr>
        <xdr:cNvSpPr/>
      </xdr:nvSpPr>
      <xdr:spPr bwMode="auto">
        <a:xfrm>
          <a:off x="0" y="0"/>
          <a:ext cx="0" cy="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sp>
    <xdr:clientData/>
  </xdr:twoCellAnchor>
  <xdr:twoCellAnchor>
    <xdr:from>
      <xdr:col>9</xdr:col>
      <xdr:colOff>1318260</xdr:colOff>
      <xdr:row>20</xdr:row>
      <xdr:rowOff>251460</xdr:rowOff>
    </xdr:from>
    <xdr:to>
      <xdr:col>9</xdr:col>
      <xdr:colOff>2926080</xdr:colOff>
      <xdr:row>20</xdr:row>
      <xdr:rowOff>731520</xdr:rowOff>
    </xdr:to>
    <xdr:sp macro="" textlink="">
      <xdr:nvSpPr>
        <xdr:cNvPr id="4353" name="Object 257" hidden="true">
          <a:extLst>
            <a:ext xmlns:a14="http://schemas.microsoft.com/office/drawing/2010/main" uri="{63B3BB69-23CF-44E3-9099-C40C66FF867C}">
              <a14:compatExt xmlns:a14="http://schemas.microsoft.com/office/drawing/2010/main" spid="_x0000_s4353"/>
            </a:ext>
            <a:ext xmlns:a16="http://schemas.microsoft.com/office/drawing/2014/main" uri="{FF2B5EF4-FFF2-40B4-BE49-F238E27FC236}">
              <a16:creationId xmlns:a16="http://schemas.microsoft.com/office/drawing/2014/main" id="{00000000-0008-0000-0400-000001110000}"/>
            </a:ext>
          </a:extLst>
        </xdr:cNvPr>
        <xdr:cNvSpPr/>
      </xdr:nvSpPr>
      <xdr:spPr bwMode="auto">
        <a:xfrm>
          <a:off x="0" y="0"/>
          <a:ext cx="0" cy="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sp>
    <xdr:clientData/>
  </xdr:twoCellAnchor>
  <xdr:twoCellAnchor>
    <xdr:from>
      <xdr:col>9</xdr:col>
      <xdr:colOff>1280160</xdr:colOff>
      <xdr:row>20</xdr:row>
      <xdr:rowOff>800100</xdr:rowOff>
    </xdr:from>
    <xdr:to>
      <xdr:col>9</xdr:col>
      <xdr:colOff>3116580</xdr:colOff>
      <xdr:row>20</xdr:row>
      <xdr:rowOff>1607820</xdr:rowOff>
    </xdr:to>
    <xdr:sp macro="" textlink="">
      <xdr:nvSpPr>
        <xdr:cNvPr id="4354" name="Object 258" hidden="true">
          <a:extLst>
            <a:ext xmlns:a14="http://schemas.microsoft.com/office/drawing/2010/main" uri="{63B3BB69-23CF-44E3-9099-C40C66FF867C}">
              <a14:compatExt xmlns:a14="http://schemas.microsoft.com/office/drawing/2010/main" spid="_x0000_s4354"/>
            </a:ext>
            <a:ext xmlns:a16="http://schemas.microsoft.com/office/drawing/2014/main" uri="{FF2B5EF4-FFF2-40B4-BE49-F238E27FC236}">
              <a16:creationId xmlns:a16="http://schemas.microsoft.com/office/drawing/2014/main" id="{00000000-0008-0000-0400-000002110000}"/>
            </a:ext>
          </a:extLst>
        </xdr:cNvPr>
        <xdr:cNvSpPr/>
      </xdr:nvSpPr>
      <xdr:spPr bwMode="auto">
        <a:xfrm>
          <a:off x="0" y="0"/>
          <a:ext cx="0" cy="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sp>
    <xdr:clientData/>
  </xdr:twoCellAnchor>
  <xdr:twoCellAnchor>
    <xdr:from>
      <xdr:col>9</xdr:col>
      <xdr:colOff>1143000</xdr:colOff>
      <xdr:row>21</xdr:row>
      <xdr:rowOff>190500</xdr:rowOff>
    </xdr:from>
    <xdr:to>
      <xdr:col>9</xdr:col>
      <xdr:colOff>3505200</xdr:colOff>
      <xdr:row>21</xdr:row>
      <xdr:rowOff>1135380</xdr:rowOff>
    </xdr:to>
    <xdr:sp macro="" textlink="">
      <xdr:nvSpPr>
        <xdr:cNvPr id="4356" name="Object 260" hidden="true">
          <a:extLst>
            <a:ext xmlns:a14="http://schemas.microsoft.com/office/drawing/2010/main" uri="{63B3BB69-23CF-44E3-9099-C40C66FF867C}">
              <a14:compatExt xmlns:a14="http://schemas.microsoft.com/office/drawing/2010/main" spid="_x0000_s4356"/>
            </a:ext>
            <a:ext xmlns:a16="http://schemas.microsoft.com/office/drawing/2014/main" uri="{FF2B5EF4-FFF2-40B4-BE49-F238E27FC236}">
              <a16:creationId xmlns:a16="http://schemas.microsoft.com/office/drawing/2014/main" id="{00000000-0008-0000-0400-000004110000}"/>
            </a:ext>
          </a:extLst>
        </xdr:cNvPr>
        <xdr:cNvSpPr/>
      </xdr:nvSpPr>
      <xdr:spPr bwMode="auto">
        <a:xfrm>
          <a:off x="0" y="0"/>
          <a:ext cx="0" cy="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sp>
    <xdr:clientData/>
  </xdr:twoCellAnchor>
  <xdr:twoCellAnchor>
    <xdr:from>
      <xdr:col>9</xdr:col>
      <xdr:colOff>1341120</xdr:colOff>
      <xdr:row>23</xdr:row>
      <xdr:rowOff>525780</xdr:rowOff>
    </xdr:from>
    <xdr:to>
      <xdr:col>9</xdr:col>
      <xdr:colOff>3268980</xdr:colOff>
      <xdr:row>23</xdr:row>
      <xdr:rowOff>914400</xdr:rowOff>
    </xdr:to>
    <xdr:sp macro="" textlink="">
      <xdr:nvSpPr>
        <xdr:cNvPr id="4360" name="Object 264" hidden="true">
          <a:extLst>
            <a:ext xmlns:a14="http://schemas.microsoft.com/office/drawing/2010/main" uri="{63B3BB69-23CF-44E3-9099-C40C66FF867C}">
              <a14:compatExt xmlns:a14="http://schemas.microsoft.com/office/drawing/2010/main" spid="_x0000_s4360"/>
            </a:ext>
            <a:ext xmlns:a16="http://schemas.microsoft.com/office/drawing/2014/main" uri="{FF2B5EF4-FFF2-40B4-BE49-F238E27FC236}">
              <a16:creationId xmlns:a16="http://schemas.microsoft.com/office/drawing/2014/main" id="{00000000-0008-0000-0400-000008110000}"/>
            </a:ext>
          </a:extLst>
        </xdr:cNvPr>
        <xdr:cNvSpPr/>
      </xdr:nvSpPr>
      <xdr:spPr bwMode="auto">
        <a:xfrm>
          <a:off x="0" y="0"/>
          <a:ext cx="0" cy="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sp>
    <xdr:clientData/>
  </xdr:twoCellAnchor>
  <xdr:twoCellAnchor>
    <xdr:from>
      <xdr:col>9</xdr:col>
      <xdr:colOff>731520</xdr:colOff>
      <xdr:row>25</xdr:row>
      <xdr:rowOff>137160</xdr:rowOff>
    </xdr:from>
    <xdr:to>
      <xdr:col>9</xdr:col>
      <xdr:colOff>3505200</xdr:colOff>
      <xdr:row>25</xdr:row>
      <xdr:rowOff>1219200</xdr:rowOff>
    </xdr:to>
    <xdr:sp macro="" textlink="">
      <xdr:nvSpPr>
        <xdr:cNvPr id="4362" name="Object 266" hidden="true">
          <a:extLst>
            <a:ext xmlns:a14="http://schemas.microsoft.com/office/drawing/2010/main" uri="{63B3BB69-23CF-44E3-9099-C40C66FF867C}">
              <a14:compatExt xmlns:a14="http://schemas.microsoft.com/office/drawing/2010/main" spid="_x0000_s4362"/>
            </a:ext>
            <a:ext xmlns:a16="http://schemas.microsoft.com/office/drawing/2014/main" uri="{FF2B5EF4-FFF2-40B4-BE49-F238E27FC236}">
              <a16:creationId xmlns:a16="http://schemas.microsoft.com/office/drawing/2014/main" id="{00000000-0008-0000-0400-00000A110000}"/>
            </a:ext>
          </a:extLst>
        </xdr:cNvPr>
        <xdr:cNvSpPr/>
      </xdr:nvSpPr>
      <xdr:spPr bwMode="auto">
        <a:xfrm>
          <a:off x="0" y="0"/>
          <a:ext cx="0" cy="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sp>
    <xdr:clientData/>
  </xdr:twoCellAnchor>
  <xdr:twoCellAnchor>
    <xdr:from>
      <xdr:col>9</xdr:col>
      <xdr:colOff>868680</xdr:colOff>
      <xdr:row>27</xdr:row>
      <xdr:rowOff>182880</xdr:rowOff>
    </xdr:from>
    <xdr:to>
      <xdr:col>9</xdr:col>
      <xdr:colOff>3467100</xdr:colOff>
      <xdr:row>27</xdr:row>
      <xdr:rowOff>1363980</xdr:rowOff>
    </xdr:to>
    <xdr:sp macro="" textlink="">
      <xdr:nvSpPr>
        <xdr:cNvPr id="4364" name="Object 268" hidden="true">
          <a:extLst>
            <a:ext xmlns:a14="http://schemas.microsoft.com/office/drawing/2010/main" uri="{63B3BB69-23CF-44E3-9099-C40C66FF867C}">
              <a14:compatExt xmlns:a14="http://schemas.microsoft.com/office/drawing/2010/main" spid="_x0000_s4364"/>
            </a:ext>
            <a:ext xmlns:a16="http://schemas.microsoft.com/office/drawing/2014/main" uri="{FF2B5EF4-FFF2-40B4-BE49-F238E27FC236}">
              <a16:creationId xmlns:a16="http://schemas.microsoft.com/office/drawing/2014/main" id="{00000000-0008-0000-0400-00000C110000}"/>
            </a:ext>
          </a:extLst>
        </xdr:cNvPr>
        <xdr:cNvSpPr/>
      </xdr:nvSpPr>
      <xdr:spPr bwMode="auto">
        <a:xfrm>
          <a:off x="0" y="0"/>
          <a:ext cx="0" cy="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sp>
    <xdr:clientData/>
  </xdr:twoCellAnchor>
  <xdr:twoCellAnchor>
    <xdr:from>
      <xdr:col>9</xdr:col>
      <xdr:colOff>830580</xdr:colOff>
      <xdr:row>28</xdr:row>
      <xdr:rowOff>137160</xdr:rowOff>
    </xdr:from>
    <xdr:to>
      <xdr:col>9</xdr:col>
      <xdr:colOff>3429000</xdr:colOff>
      <xdr:row>28</xdr:row>
      <xdr:rowOff>1318260</xdr:rowOff>
    </xdr:to>
    <xdr:sp macro="" textlink="">
      <xdr:nvSpPr>
        <xdr:cNvPr id="4365" name="Object 269" hidden="true">
          <a:extLst>
            <a:ext xmlns:a14="http://schemas.microsoft.com/office/drawing/2010/main" uri="{63B3BB69-23CF-44E3-9099-C40C66FF867C}">
              <a14:compatExt xmlns:a14="http://schemas.microsoft.com/office/drawing/2010/main" spid="_x0000_s4365"/>
            </a:ext>
            <a:ext xmlns:a16="http://schemas.microsoft.com/office/drawing/2014/main" uri="{FF2B5EF4-FFF2-40B4-BE49-F238E27FC236}">
              <a16:creationId xmlns:a16="http://schemas.microsoft.com/office/drawing/2014/main" id="{00000000-0008-0000-0400-00000D110000}"/>
            </a:ext>
          </a:extLst>
        </xdr:cNvPr>
        <xdr:cNvSpPr/>
      </xdr:nvSpPr>
      <xdr:spPr bwMode="auto">
        <a:xfrm>
          <a:off x="0" y="0"/>
          <a:ext cx="0" cy="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sp>
    <xdr:clientData/>
  </xdr:twoCellAnchor>
  <xdr:twoCellAnchor>
    <xdr:from>
      <xdr:col>9</xdr:col>
      <xdr:colOff>861060</xdr:colOff>
      <xdr:row>29</xdr:row>
      <xdr:rowOff>190500</xdr:rowOff>
    </xdr:from>
    <xdr:to>
      <xdr:col>9</xdr:col>
      <xdr:colOff>3398520</xdr:colOff>
      <xdr:row>29</xdr:row>
      <xdr:rowOff>1242060</xdr:rowOff>
    </xdr:to>
    <xdr:sp macro="" textlink="">
      <xdr:nvSpPr>
        <xdr:cNvPr id="4366" name="Object 270" hidden="true">
          <a:extLst>
            <a:ext xmlns:a14="http://schemas.microsoft.com/office/drawing/2010/main" uri="{63B3BB69-23CF-44E3-9099-C40C66FF867C}">
              <a14:compatExt xmlns:a14="http://schemas.microsoft.com/office/drawing/2010/main" spid="_x0000_s4366"/>
            </a:ext>
            <a:ext xmlns:a16="http://schemas.microsoft.com/office/drawing/2014/main" uri="{FF2B5EF4-FFF2-40B4-BE49-F238E27FC236}">
              <a16:creationId xmlns:a16="http://schemas.microsoft.com/office/drawing/2014/main" id="{00000000-0008-0000-0400-00000E110000}"/>
            </a:ext>
          </a:extLst>
        </xdr:cNvPr>
        <xdr:cNvSpPr/>
      </xdr:nvSpPr>
      <xdr:spPr bwMode="auto">
        <a:xfrm>
          <a:off x="0" y="0"/>
          <a:ext cx="0" cy="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sp>
    <xdr:clientData/>
  </xdr:twoCellAnchor>
  <xdr:twoCellAnchor>
    <xdr:from>
      <xdr:col>9</xdr:col>
      <xdr:colOff>800100</xdr:colOff>
      <xdr:row>30</xdr:row>
      <xdr:rowOff>137160</xdr:rowOff>
    </xdr:from>
    <xdr:to>
      <xdr:col>9</xdr:col>
      <xdr:colOff>3383280</xdr:colOff>
      <xdr:row>30</xdr:row>
      <xdr:rowOff>1203960</xdr:rowOff>
    </xdr:to>
    <xdr:sp macro="" textlink="">
      <xdr:nvSpPr>
        <xdr:cNvPr id="4367" name="Object 271" hidden="true">
          <a:extLst>
            <a:ext xmlns:a14="http://schemas.microsoft.com/office/drawing/2010/main" uri="{63B3BB69-23CF-44E3-9099-C40C66FF867C}">
              <a14:compatExt xmlns:a14="http://schemas.microsoft.com/office/drawing/2010/main" spid="_x0000_s4367"/>
            </a:ext>
            <a:ext xmlns:a16="http://schemas.microsoft.com/office/drawing/2014/main" uri="{FF2B5EF4-FFF2-40B4-BE49-F238E27FC236}">
              <a16:creationId xmlns:a16="http://schemas.microsoft.com/office/drawing/2014/main" id="{00000000-0008-0000-0400-00000F110000}"/>
            </a:ext>
          </a:extLst>
        </xdr:cNvPr>
        <xdr:cNvSpPr/>
      </xdr:nvSpPr>
      <xdr:spPr bwMode="auto">
        <a:xfrm>
          <a:off x="0" y="0"/>
          <a:ext cx="0" cy="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sp>
    <xdr:clientData/>
  </xdr:twoCellAnchor>
  <xdr:twoCellAnchor>
    <xdr:from>
      <xdr:col>9</xdr:col>
      <xdr:colOff>632460</xdr:colOff>
      <xdr:row>31</xdr:row>
      <xdr:rowOff>99060</xdr:rowOff>
    </xdr:from>
    <xdr:to>
      <xdr:col>9</xdr:col>
      <xdr:colOff>3497580</xdr:colOff>
      <xdr:row>31</xdr:row>
      <xdr:rowOff>1226820</xdr:rowOff>
    </xdr:to>
    <xdr:sp macro="" textlink="">
      <xdr:nvSpPr>
        <xdr:cNvPr id="4368" name="Object 272" hidden="true">
          <a:extLst>
            <a:ext xmlns:a14="http://schemas.microsoft.com/office/drawing/2010/main" uri="{63B3BB69-23CF-44E3-9099-C40C66FF867C}">
              <a14:compatExt xmlns:a14="http://schemas.microsoft.com/office/drawing/2010/main" spid="_x0000_s4368"/>
            </a:ext>
            <a:ext xmlns:a16="http://schemas.microsoft.com/office/drawing/2014/main" uri="{FF2B5EF4-FFF2-40B4-BE49-F238E27FC236}">
              <a16:creationId xmlns:a16="http://schemas.microsoft.com/office/drawing/2014/main" id="{00000000-0008-0000-0400-000010110000}"/>
            </a:ext>
          </a:extLst>
        </xdr:cNvPr>
        <xdr:cNvSpPr/>
      </xdr:nvSpPr>
      <xdr:spPr bwMode="auto">
        <a:xfrm>
          <a:off x="0" y="0"/>
          <a:ext cx="0" cy="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sp>
    <xdr:clientData/>
  </xdr:twoCellAnchor>
  <xdr:twoCellAnchor>
    <xdr:from>
      <xdr:col>9</xdr:col>
      <xdr:colOff>632460</xdr:colOff>
      <xdr:row>32</xdr:row>
      <xdr:rowOff>137160</xdr:rowOff>
    </xdr:from>
    <xdr:to>
      <xdr:col>9</xdr:col>
      <xdr:colOff>3497580</xdr:colOff>
      <xdr:row>32</xdr:row>
      <xdr:rowOff>1264920</xdr:rowOff>
    </xdr:to>
    <xdr:sp macro="" textlink="">
      <xdr:nvSpPr>
        <xdr:cNvPr id="4369" name="Object 273" hidden="true">
          <a:extLst>
            <a:ext xmlns:a14="http://schemas.microsoft.com/office/drawing/2010/main" uri="{63B3BB69-23CF-44E3-9099-C40C66FF867C}">
              <a14:compatExt xmlns:a14="http://schemas.microsoft.com/office/drawing/2010/main" spid="_x0000_s4369"/>
            </a:ext>
            <a:ext xmlns:a16="http://schemas.microsoft.com/office/drawing/2014/main" uri="{FF2B5EF4-FFF2-40B4-BE49-F238E27FC236}">
              <a16:creationId xmlns:a16="http://schemas.microsoft.com/office/drawing/2014/main" id="{00000000-0008-0000-0400-000011110000}"/>
            </a:ext>
          </a:extLst>
        </xdr:cNvPr>
        <xdr:cNvSpPr/>
      </xdr:nvSpPr>
      <xdr:spPr bwMode="auto">
        <a:xfrm>
          <a:off x="0" y="0"/>
          <a:ext cx="0" cy="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sp>
    <xdr:clientData/>
  </xdr:twoCellAnchor>
  <xdr:twoCellAnchor>
    <xdr:from>
      <xdr:col>9</xdr:col>
      <xdr:colOff>792480</xdr:colOff>
      <xdr:row>33</xdr:row>
      <xdr:rowOff>182880</xdr:rowOff>
    </xdr:from>
    <xdr:to>
      <xdr:col>9</xdr:col>
      <xdr:colOff>3459480</xdr:colOff>
      <xdr:row>33</xdr:row>
      <xdr:rowOff>1318260</xdr:rowOff>
    </xdr:to>
    <xdr:sp macro="" textlink="">
      <xdr:nvSpPr>
        <xdr:cNvPr id="4370" name="Object 274" hidden="true">
          <a:extLst>
            <a:ext xmlns:a14="http://schemas.microsoft.com/office/drawing/2010/main" uri="{63B3BB69-23CF-44E3-9099-C40C66FF867C}">
              <a14:compatExt xmlns:a14="http://schemas.microsoft.com/office/drawing/2010/main" spid="_x0000_s4370"/>
            </a:ext>
            <a:ext xmlns:a16="http://schemas.microsoft.com/office/drawing/2014/main" uri="{FF2B5EF4-FFF2-40B4-BE49-F238E27FC236}">
              <a16:creationId xmlns:a16="http://schemas.microsoft.com/office/drawing/2014/main" id="{00000000-0008-0000-0400-000012110000}"/>
            </a:ext>
          </a:extLst>
        </xdr:cNvPr>
        <xdr:cNvSpPr/>
      </xdr:nvSpPr>
      <xdr:spPr bwMode="auto">
        <a:xfrm>
          <a:off x="0" y="0"/>
          <a:ext cx="0" cy="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sp>
    <xdr:clientData/>
  </xdr:twoCellAnchor>
  <xdr:twoCellAnchor>
    <xdr:from>
      <xdr:col>9</xdr:col>
      <xdr:colOff>769620</xdr:colOff>
      <xdr:row>34</xdr:row>
      <xdr:rowOff>220980</xdr:rowOff>
    </xdr:from>
    <xdr:to>
      <xdr:col>9</xdr:col>
      <xdr:colOff>3436620</xdr:colOff>
      <xdr:row>34</xdr:row>
      <xdr:rowOff>1356360</xdr:rowOff>
    </xdr:to>
    <xdr:sp macro="" textlink="">
      <xdr:nvSpPr>
        <xdr:cNvPr id="4371" name="Object 275" hidden="true">
          <a:extLst>
            <a:ext xmlns:a14="http://schemas.microsoft.com/office/drawing/2010/main" uri="{63B3BB69-23CF-44E3-9099-C40C66FF867C}">
              <a14:compatExt xmlns:a14="http://schemas.microsoft.com/office/drawing/2010/main" spid="_x0000_s4371"/>
            </a:ext>
            <a:ext xmlns:a16="http://schemas.microsoft.com/office/drawing/2014/main" uri="{FF2B5EF4-FFF2-40B4-BE49-F238E27FC236}">
              <a16:creationId xmlns:a16="http://schemas.microsoft.com/office/drawing/2014/main" id="{00000000-0008-0000-0400-000013110000}"/>
            </a:ext>
          </a:extLst>
        </xdr:cNvPr>
        <xdr:cNvSpPr/>
      </xdr:nvSpPr>
      <xdr:spPr bwMode="auto">
        <a:xfrm>
          <a:off x="0" y="0"/>
          <a:ext cx="0" cy="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sp>
    <xdr:clientData/>
  </xdr:twoCellAnchor>
  <xdr:twoCellAnchor>
    <xdr:from>
      <xdr:col>9</xdr:col>
      <xdr:colOff>792480</xdr:colOff>
      <xdr:row>35</xdr:row>
      <xdr:rowOff>182880</xdr:rowOff>
    </xdr:from>
    <xdr:to>
      <xdr:col>9</xdr:col>
      <xdr:colOff>3459480</xdr:colOff>
      <xdr:row>35</xdr:row>
      <xdr:rowOff>1318260</xdr:rowOff>
    </xdr:to>
    <xdr:sp macro="" textlink="">
      <xdr:nvSpPr>
        <xdr:cNvPr id="4372" name="Object 276" hidden="true">
          <a:extLst>
            <a:ext xmlns:a14="http://schemas.microsoft.com/office/drawing/2010/main" uri="{63B3BB69-23CF-44E3-9099-C40C66FF867C}">
              <a14:compatExt xmlns:a14="http://schemas.microsoft.com/office/drawing/2010/main" spid="_x0000_s4372"/>
            </a:ext>
            <a:ext xmlns:a16="http://schemas.microsoft.com/office/drawing/2014/main" uri="{FF2B5EF4-FFF2-40B4-BE49-F238E27FC236}">
              <a16:creationId xmlns:a16="http://schemas.microsoft.com/office/drawing/2014/main" id="{00000000-0008-0000-0400-000014110000}"/>
            </a:ext>
          </a:extLst>
        </xdr:cNvPr>
        <xdr:cNvSpPr/>
      </xdr:nvSpPr>
      <xdr:spPr bwMode="auto">
        <a:xfrm>
          <a:off x="0" y="0"/>
          <a:ext cx="0" cy="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sp>
    <xdr:clientData/>
  </xdr:twoCellAnchor>
  <xdr:twoCellAnchor>
    <xdr:from>
      <xdr:col>9</xdr:col>
      <xdr:colOff>769620</xdr:colOff>
      <xdr:row>36</xdr:row>
      <xdr:rowOff>137160</xdr:rowOff>
    </xdr:from>
    <xdr:to>
      <xdr:col>9</xdr:col>
      <xdr:colOff>3436620</xdr:colOff>
      <xdr:row>36</xdr:row>
      <xdr:rowOff>1264920</xdr:rowOff>
    </xdr:to>
    <xdr:sp macro="" textlink="">
      <xdr:nvSpPr>
        <xdr:cNvPr id="4373" name="Object 277" hidden="true">
          <a:extLst>
            <a:ext xmlns:a14="http://schemas.microsoft.com/office/drawing/2010/main" uri="{63B3BB69-23CF-44E3-9099-C40C66FF867C}">
              <a14:compatExt xmlns:a14="http://schemas.microsoft.com/office/drawing/2010/main" spid="_x0000_s4373"/>
            </a:ext>
            <a:ext xmlns:a16="http://schemas.microsoft.com/office/drawing/2014/main" uri="{FF2B5EF4-FFF2-40B4-BE49-F238E27FC236}">
              <a16:creationId xmlns:a16="http://schemas.microsoft.com/office/drawing/2014/main" id="{00000000-0008-0000-0400-000015110000}"/>
            </a:ext>
          </a:extLst>
        </xdr:cNvPr>
        <xdr:cNvSpPr/>
      </xdr:nvSpPr>
      <xdr:spPr bwMode="auto">
        <a:xfrm>
          <a:off x="0" y="0"/>
          <a:ext cx="0" cy="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sp>
    <xdr:clientData/>
  </xdr:twoCellAnchor>
  <xdr:twoCellAnchor>
    <xdr:from>
      <xdr:col>9</xdr:col>
      <xdr:colOff>845820</xdr:colOff>
      <xdr:row>37</xdr:row>
      <xdr:rowOff>152400</xdr:rowOff>
    </xdr:from>
    <xdr:to>
      <xdr:col>9</xdr:col>
      <xdr:colOff>3512820</xdr:colOff>
      <xdr:row>37</xdr:row>
      <xdr:rowOff>1287780</xdr:rowOff>
    </xdr:to>
    <xdr:sp macro="" textlink="">
      <xdr:nvSpPr>
        <xdr:cNvPr id="4375" name="Object 279" hidden="true">
          <a:extLst>
            <a:ext xmlns:a14="http://schemas.microsoft.com/office/drawing/2010/main" uri="{63B3BB69-23CF-44E3-9099-C40C66FF867C}">
              <a14:compatExt xmlns:a14="http://schemas.microsoft.com/office/drawing/2010/main" spid="_x0000_s4375"/>
            </a:ext>
            <a:ext xmlns:a16="http://schemas.microsoft.com/office/drawing/2014/main" uri="{FF2B5EF4-FFF2-40B4-BE49-F238E27FC236}">
              <a16:creationId xmlns:a16="http://schemas.microsoft.com/office/drawing/2014/main" id="{00000000-0008-0000-0400-000017110000}"/>
            </a:ext>
          </a:extLst>
        </xdr:cNvPr>
        <xdr:cNvSpPr/>
      </xdr:nvSpPr>
      <xdr:spPr bwMode="auto">
        <a:xfrm>
          <a:off x="0" y="0"/>
          <a:ext cx="0" cy="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sp>
    <xdr:clientData/>
  </xdr:twoCellAnchor>
  <xdr:twoCellAnchor>
    <xdr:from>
      <xdr:col>9</xdr:col>
      <xdr:colOff>876300</xdr:colOff>
      <xdr:row>38</xdr:row>
      <xdr:rowOff>182880</xdr:rowOff>
    </xdr:from>
    <xdr:to>
      <xdr:col>9</xdr:col>
      <xdr:colOff>3771900</xdr:colOff>
      <xdr:row>38</xdr:row>
      <xdr:rowOff>1318260</xdr:rowOff>
    </xdr:to>
    <xdr:sp macro="" textlink="">
      <xdr:nvSpPr>
        <xdr:cNvPr id="4377" name="Object 281" hidden="true">
          <a:extLst>
            <a:ext xmlns:a14="http://schemas.microsoft.com/office/drawing/2010/main" uri="{63B3BB69-23CF-44E3-9099-C40C66FF867C}">
              <a14:compatExt xmlns:a14="http://schemas.microsoft.com/office/drawing/2010/main" spid="_x0000_s4377"/>
            </a:ext>
            <a:ext xmlns:a16="http://schemas.microsoft.com/office/drawing/2014/main" uri="{FF2B5EF4-FFF2-40B4-BE49-F238E27FC236}">
              <a16:creationId xmlns:a16="http://schemas.microsoft.com/office/drawing/2014/main" id="{00000000-0008-0000-0400-000019110000}"/>
            </a:ext>
          </a:extLst>
        </xdr:cNvPr>
        <xdr:cNvSpPr/>
      </xdr:nvSpPr>
      <xdr:spPr bwMode="auto">
        <a:xfrm>
          <a:off x="0" y="0"/>
          <a:ext cx="0" cy="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sp>
    <xdr:clientData/>
  </xdr:twoCellAnchor>
  <xdr:twoCellAnchor>
    <xdr:from>
      <xdr:col>9</xdr:col>
      <xdr:colOff>670560</xdr:colOff>
      <xdr:row>39</xdr:row>
      <xdr:rowOff>182880</xdr:rowOff>
    </xdr:from>
    <xdr:to>
      <xdr:col>9</xdr:col>
      <xdr:colOff>3870960</xdr:colOff>
      <xdr:row>39</xdr:row>
      <xdr:rowOff>1546860</xdr:rowOff>
    </xdr:to>
    <xdr:sp macro="" textlink="">
      <xdr:nvSpPr>
        <xdr:cNvPr id="4378" name="Object 282" hidden="true">
          <a:extLst>
            <a:ext xmlns:a14="http://schemas.microsoft.com/office/drawing/2010/main" uri="{63B3BB69-23CF-44E3-9099-C40C66FF867C}">
              <a14:compatExt xmlns:a14="http://schemas.microsoft.com/office/drawing/2010/main" spid="_x0000_s4378"/>
            </a:ext>
            <a:ext xmlns:a16="http://schemas.microsoft.com/office/drawing/2014/main" uri="{FF2B5EF4-FFF2-40B4-BE49-F238E27FC236}">
              <a16:creationId xmlns:a16="http://schemas.microsoft.com/office/drawing/2014/main" id="{00000000-0008-0000-0400-00001A110000}"/>
            </a:ext>
          </a:extLst>
        </xdr:cNvPr>
        <xdr:cNvSpPr/>
      </xdr:nvSpPr>
      <xdr:spPr bwMode="auto">
        <a:xfrm>
          <a:off x="0" y="0"/>
          <a:ext cx="0" cy="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sp>
    <xdr:clientData/>
  </xdr:twoCellAnchor>
  <xdr:twoCellAnchor>
    <xdr:from>
      <xdr:col>9</xdr:col>
      <xdr:colOff>632460</xdr:colOff>
      <xdr:row>40</xdr:row>
      <xdr:rowOff>190500</xdr:rowOff>
    </xdr:from>
    <xdr:to>
      <xdr:col>9</xdr:col>
      <xdr:colOff>3771900</xdr:colOff>
      <xdr:row>40</xdr:row>
      <xdr:rowOff>1524000</xdr:rowOff>
    </xdr:to>
    <xdr:sp macro="" textlink="">
      <xdr:nvSpPr>
        <xdr:cNvPr id="4379" name="Object 283" hidden="true">
          <a:extLst>
            <a:ext xmlns:a14="http://schemas.microsoft.com/office/drawing/2010/main" uri="{63B3BB69-23CF-44E3-9099-C40C66FF867C}">
              <a14:compatExt xmlns:a14="http://schemas.microsoft.com/office/drawing/2010/main" spid="_x0000_s4379"/>
            </a:ext>
            <a:ext xmlns:a16="http://schemas.microsoft.com/office/drawing/2014/main" uri="{FF2B5EF4-FFF2-40B4-BE49-F238E27FC236}">
              <a16:creationId xmlns:a16="http://schemas.microsoft.com/office/drawing/2014/main" id="{00000000-0008-0000-0400-00001B110000}"/>
            </a:ext>
          </a:extLst>
        </xdr:cNvPr>
        <xdr:cNvSpPr/>
      </xdr:nvSpPr>
      <xdr:spPr bwMode="auto">
        <a:xfrm>
          <a:off x="0" y="0"/>
          <a:ext cx="0" cy="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sp>
    <xdr:clientData/>
  </xdr:twoCellAnchor>
  <xdr:twoCellAnchor>
    <xdr:from>
      <xdr:col>9</xdr:col>
      <xdr:colOff>952500</xdr:colOff>
      <xdr:row>41</xdr:row>
      <xdr:rowOff>388620</xdr:rowOff>
    </xdr:from>
    <xdr:to>
      <xdr:col>9</xdr:col>
      <xdr:colOff>4191000</xdr:colOff>
      <xdr:row>41</xdr:row>
      <xdr:rowOff>1638300</xdr:rowOff>
    </xdr:to>
    <xdr:sp macro="" textlink="">
      <xdr:nvSpPr>
        <xdr:cNvPr id="4380" name="Object 284" hidden="true">
          <a:extLst>
            <a:ext xmlns:a14="http://schemas.microsoft.com/office/drawing/2010/main" uri="{63B3BB69-23CF-44E3-9099-C40C66FF867C}">
              <a14:compatExt xmlns:a14="http://schemas.microsoft.com/office/drawing/2010/main" spid="_x0000_s4380"/>
            </a:ext>
            <a:ext xmlns:a16="http://schemas.microsoft.com/office/drawing/2014/main" uri="{FF2B5EF4-FFF2-40B4-BE49-F238E27FC236}">
              <a16:creationId xmlns:a16="http://schemas.microsoft.com/office/drawing/2014/main" id="{00000000-0008-0000-0400-00001C110000}"/>
            </a:ext>
          </a:extLst>
        </xdr:cNvPr>
        <xdr:cNvSpPr/>
      </xdr:nvSpPr>
      <xdr:spPr bwMode="auto">
        <a:xfrm>
          <a:off x="0" y="0"/>
          <a:ext cx="0" cy="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sp>
    <xdr:clientData/>
  </xdr:twoCellAnchor>
  <xdr:twoCellAnchor>
    <xdr:from>
      <xdr:col>9</xdr:col>
      <xdr:colOff>876300</xdr:colOff>
      <xdr:row>42</xdr:row>
      <xdr:rowOff>373380</xdr:rowOff>
    </xdr:from>
    <xdr:to>
      <xdr:col>9</xdr:col>
      <xdr:colOff>4366260</xdr:colOff>
      <xdr:row>42</xdr:row>
      <xdr:rowOff>1661160</xdr:rowOff>
    </xdr:to>
    <xdr:sp macro="" textlink="">
      <xdr:nvSpPr>
        <xdr:cNvPr id="4381" name="Object 285" hidden="true">
          <a:extLst>
            <a:ext xmlns:a14="http://schemas.microsoft.com/office/drawing/2010/main" uri="{63B3BB69-23CF-44E3-9099-C40C66FF867C}">
              <a14:compatExt xmlns:a14="http://schemas.microsoft.com/office/drawing/2010/main" spid="_x0000_s4381"/>
            </a:ext>
            <a:ext xmlns:a16="http://schemas.microsoft.com/office/drawing/2014/main" uri="{FF2B5EF4-FFF2-40B4-BE49-F238E27FC236}">
              <a16:creationId xmlns:a16="http://schemas.microsoft.com/office/drawing/2014/main" id="{00000000-0008-0000-0400-00001D110000}"/>
            </a:ext>
          </a:extLst>
        </xdr:cNvPr>
        <xdr:cNvSpPr/>
      </xdr:nvSpPr>
      <xdr:spPr bwMode="auto">
        <a:xfrm>
          <a:off x="0" y="0"/>
          <a:ext cx="0" cy="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sp>
    <xdr:clientData/>
  </xdr:twoCellAnchor>
  <xdr:twoCellAnchor>
    <xdr:from>
      <xdr:col>9</xdr:col>
      <xdr:colOff>609600</xdr:colOff>
      <xdr:row>43</xdr:row>
      <xdr:rowOff>259080</xdr:rowOff>
    </xdr:from>
    <xdr:to>
      <xdr:col>9</xdr:col>
      <xdr:colOff>4145280</xdr:colOff>
      <xdr:row>43</xdr:row>
      <xdr:rowOff>1699260</xdr:rowOff>
    </xdr:to>
    <xdr:sp macro="" textlink="">
      <xdr:nvSpPr>
        <xdr:cNvPr id="4382" name="Object 286" hidden="true">
          <a:extLst>
            <a:ext xmlns:a14="http://schemas.microsoft.com/office/drawing/2010/main" uri="{63B3BB69-23CF-44E3-9099-C40C66FF867C}">
              <a14:compatExt xmlns:a14="http://schemas.microsoft.com/office/drawing/2010/main" spid="_x0000_s4382"/>
            </a:ext>
            <a:ext xmlns:a16="http://schemas.microsoft.com/office/drawing/2014/main" uri="{FF2B5EF4-FFF2-40B4-BE49-F238E27FC236}">
              <a16:creationId xmlns:a16="http://schemas.microsoft.com/office/drawing/2014/main" id="{00000000-0008-0000-0400-00001E110000}"/>
            </a:ext>
          </a:extLst>
        </xdr:cNvPr>
        <xdr:cNvSpPr/>
      </xdr:nvSpPr>
      <xdr:spPr bwMode="auto">
        <a:xfrm>
          <a:off x="0" y="0"/>
          <a:ext cx="0" cy="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sp>
    <xdr:clientData/>
  </xdr:twoCellAnchor>
  <xdr:twoCellAnchor>
    <xdr:from>
      <xdr:col>9</xdr:col>
      <xdr:colOff>792480</xdr:colOff>
      <xdr:row>44</xdr:row>
      <xdr:rowOff>365760</xdr:rowOff>
    </xdr:from>
    <xdr:to>
      <xdr:col>9</xdr:col>
      <xdr:colOff>4175760</xdr:colOff>
      <xdr:row>44</xdr:row>
      <xdr:rowOff>1554480</xdr:rowOff>
    </xdr:to>
    <xdr:sp macro="" textlink="">
      <xdr:nvSpPr>
        <xdr:cNvPr id="4383" name="Object 287" hidden="true">
          <a:extLst>
            <a:ext xmlns:a14="http://schemas.microsoft.com/office/drawing/2010/main" uri="{63B3BB69-23CF-44E3-9099-C40C66FF867C}">
              <a14:compatExt xmlns:a14="http://schemas.microsoft.com/office/drawing/2010/main" spid="_x0000_s4383"/>
            </a:ext>
            <a:ext xmlns:a16="http://schemas.microsoft.com/office/drawing/2014/main" uri="{FF2B5EF4-FFF2-40B4-BE49-F238E27FC236}">
              <a16:creationId xmlns:a16="http://schemas.microsoft.com/office/drawing/2014/main" id="{00000000-0008-0000-0400-00001F110000}"/>
            </a:ext>
          </a:extLst>
        </xdr:cNvPr>
        <xdr:cNvSpPr/>
      </xdr:nvSpPr>
      <xdr:spPr bwMode="auto">
        <a:xfrm>
          <a:off x="0" y="0"/>
          <a:ext cx="0" cy="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sp>
    <xdr:clientData/>
  </xdr:twoCellAnchor>
  <xdr:twoCellAnchor>
    <xdr:from>
      <xdr:col>9</xdr:col>
      <xdr:colOff>876300</xdr:colOff>
      <xdr:row>45</xdr:row>
      <xdr:rowOff>114300</xdr:rowOff>
    </xdr:from>
    <xdr:to>
      <xdr:col>9</xdr:col>
      <xdr:colOff>3970020</xdr:colOff>
      <xdr:row>45</xdr:row>
      <xdr:rowOff>1417320</xdr:rowOff>
    </xdr:to>
    <xdr:sp macro="" textlink="">
      <xdr:nvSpPr>
        <xdr:cNvPr id="4384" name="Object 288" hidden="true">
          <a:extLst>
            <a:ext xmlns:a14="http://schemas.microsoft.com/office/drawing/2010/main" uri="{63B3BB69-23CF-44E3-9099-C40C66FF867C}">
              <a14:compatExt xmlns:a14="http://schemas.microsoft.com/office/drawing/2010/main" spid="_x0000_s4384"/>
            </a:ext>
            <a:ext xmlns:a16="http://schemas.microsoft.com/office/drawing/2014/main" uri="{FF2B5EF4-FFF2-40B4-BE49-F238E27FC236}">
              <a16:creationId xmlns:a16="http://schemas.microsoft.com/office/drawing/2014/main" id="{00000000-0008-0000-0400-000020110000}"/>
            </a:ext>
          </a:extLst>
        </xdr:cNvPr>
        <xdr:cNvSpPr/>
      </xdr:nvSpPr>
      <xdr:spPr bwMode="auto">
        <a:xfrm>
          <a:off x="0" y="0"/>
          <a:ext cx="0" cy="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sp>
    <xdr:clientData/>
  </xdr:twoCellAnchor>
  <xdr:twoCellAnchor>
    <xdr:from>
      <xdr:col>9</xdr:col>
      <xdr:colOff>944880</xdr:colOff>
      <xdr:row>46</xdr:row>
      <xdr:rowOff>144780</xdr:rowOff>
    </xdr:from>
    <xdr:to>
      <xdr:col>9</xdr:col>
      <xdr:colOff>4038600</xdr:colOff>
      <xdr:row>46</xdr:row>
      <xdr:rowOff>1447800</xdr:rowOff>
    </xdr:to>
    <xdr:sp macro="" textlink="">
      <xdr:nvSpPr>
        <xdr:cNvPr id="4386" name="Object 290" hidden="true">
          <a:extLst>
            <a:ext xmlns:a14="http://schemas.microsoft.com/office/drawing/2010/main" uri="{63B3BB69-23CF-44E3-9099-C40C66FF867C}">
              <a14:compatExt xmlns:a14="http://schemas.microsoft.com/office/drawing/2010/main" spid="_x0000_s4386"/>
            </a:ext>
            <a:ext xmlns:a16="http://schemas.microsoft.com/office/drawing/2014/main" uri="{FF2B5EF4-FFF2-40B4-BE49-F238E27FC236}">
              <a16:creationId xmlns:a16="http://schemas.microsoft.com/office/drawing/2014/main" id="{00000000-0008-0000-0400-000022110000}"/>
            </a:ext>
          </a:extLst>
        </xdr:cNvPr>
        <xdr:cNvSpPr/>
      </xdr:nvSpPr>
      <xdr:spPr bwMode="auto">
        <a:xfrm>
          <a:off x="0" y="0"/>
          <a:ext cx="0" cy="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sp>
    <xdr:clientData/>
  </xdr:twoCellAnchor>
  <xdr:twoCellAnchor>
    <xdr:from>
      <xdr:col>9</xdr:col>
      <xdr:colOff>1051560</xdr:colOff>
      <xdr:row>47</xdr:row>
      <xdr:rowOff>83820</xdr:rowOff>
    </xdr:from>
    <xdr:to>
      <xdr:col>9</xdr:col>
      <xdr:colOff>4145280</xdr:colOff>
      <xdr:row>47</xdr:row>
      <xdr:rowOff>1394460</xdr:rowOff>
    </xdr:to>
    <xdr:sp macro="" textlink="">
      <xdr:nvSpPr>
        <xdr:cNvPr id="4387" name="Object 291" hidden="true">
          <a:extLst>
            <a:ext xmlns:a14="http://schemas.microsoft.com/office/drawing/2010/main" uri="{63B3BB69-23CF-44E3-9099-C40C66FF867C}">
              <a14:compatExt xmlns:a14="http://schemas.microsoft.com/office/drawing/2010/main" spid="_x0000_s4387"/>
            </a:ext>
            <a:ext xmlns:a16="http://schemas.microsoft.com/office/drawing/2014/main" uri="{FF2B5EF4-FFF2-40B4-BE49-F238E27FC236}">
              <a16:creationId xmlns:a16="http://schemas.microsoft.com/office/drawing/2014/main" id="{00000000-0008-0000-0400-000023110000}"/>
            </a:ext>
          </a:extLst>
        </xdr:cNvPr>
        <xdr:cNvSpPr/>
      </xdr:nvSpPr>
      <xdr:spPr bwMode="auto">
        <a:xfrm>
          <a:off x="0" y="0"/>
          <a:ext cx="0" cy="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sp>
    <xdr:clientData/>
  </xdr:twoCellAnchor>
  <xdr:twoCellAnchor>
    <xdr:from>
      <xdr:col>9</xdr:col>
      <xdr:colOff>1051560</xdr:colOff>
      <xdr:row>48</xdr:row>
      <xdr:rowOff>106680</xdr:rowOff>
    </xdr:from>
    <xdr:to>
      <xdr:col>9</xdr:col>
      <xdr:colOff>3985260</xdr:colOff>
      <xdr:row>48</xdr:row>
      <xdr:rowOff>1341120</xdr:rowOff>
    </xdr:to>
    <xdr:sp macro="" textlink="">
      <xdr:nvSpPr>
        <xdr:cNvPr id="4388" name="Object 292" hidden="true">
          <a:extLst>
            <a:ext xmlns:a14="http://schemas.microsoft.com/office/drawing/2010/main" uri="{63B3BB69-23CF-44E3-9099-C40C66FF867C}">
              <a14:compatExt xmlns:a14="http://schemas.microsoft.com/office/drawing/2010/main" spid="_x0000_s4388"/>
            </a:ext>
            <a:ext xmlns:a16="http://schemas.microsoft.com/office/drawing/2014/main" uri="{FF2B5EF4-FFF2-40B4-BE49-F238E27FC236}">
              <a16:creationId xmlns:a16="http://schemas.microsoft.com/office/drawing/2014/main" id="{00000000-0008-0000-0400-000024110000}"/>
            </a:ext>
          </a:extLst>
        </xdr:cNvPr>
        <xdr:cNvSpPr/>
      </xdr:nvSpPr>
      <xdr:spPr bwMode="auto">
        <a:xfrm>
          <a:off x="0" y="0"/>
          <a:ext cx="0" cy="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sp>
    <xdr:clientData/>
  </xdr:twoCellAnchor>
  <xdr:twoCellAnchor>
    <xdr:from>
      <xdr:col>9</xdr:col>
      <xdr:colOff>449580</xdr:colOff>
      <xdr:row>52</xdr:row>
      <xdr:rowOff>198120</xdr:rowOff>
    </xdr:from>
    <xdr:to>
      <xdr:col>9</xdr:col>
      <xdr:colOff>4023360</xdr:colOff>
      <xdr:row>52</xdr:row>
      <xdr:rowOff>1333500</xdr:rowOff>
    </xdr:to>
    <xdr:sp macro="" textlink="">
      <xdr:nvSpPr>
        <xdr:cNvPr id="4392" name="Object 296" hidden="true">
          <a:extLst>
            <a:ext xmlns:a14="http://schemas.microsoft.com/office/drawing/2010/main" uri="{63B3BB69-23CF-44E3-9099-C40C66FF867C}">
              <a14:compatExt xmlns:a14="http://schemas.microsoft.com/office/drawing/2010/main" spid="_x0000_s4392"/>
            </a:ext>
            <a:ext xmlns:a16="http://schemas.microsoft.com/office/drawing/2014/main" uri="{FF2B5EF4-FFF2-40B4-BE49-F238E27FC236}">
              <a16:creationId xmlns:a16="http://schemas.microsoft.com/office/drawing/2014/main" id="{00000000-0008-0000-0400-000028110000}"/>
            </a:ext>
          </a:extLst>
        </xdr:cNvPr>
        <xdr:cNvSpPr/>
      </xdr:nvSpPr>
      <xdr:spPr bwMode="auto">
        <a:xfrm>
          <a:off x="0" y="0"/>
          <a:ext cx="0" cy="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sp>
    <xdr:clientData/>
  </xdr:twoCellAnchor>
  <xdr:twoCellAnchor>
    <xdr:from>
      <xdr:col>9</xdr:col>
      <xdr:colOff>1676400</xdr:colOff>
      <xdr:row>56</xdr:row>
      <xdr:rowOff>137160</xdr:rowOff>
    </xdr:from>
    <xdr:to>
      <xdr:col>9</xdr:col>
      <xdr:colOff>3535680</xdr:colOff>
      <xdr:row>56</xdr:row>
      <xdr:rowOff>868680</xdr:rowOff>
    </xdr:to>
    <xdr:sp macro="" textlink="">
      <xdr:nvSpPr>
        <xdr:cNvPr id="4397" name="Object 301" hidden="true">
          <a:extLst>
            <a:ext xmlns:a14="http://schemas.microsoft.com/office/drawing/2010/main" uri="{63B3BB69-23CF-44E3-9099-C40C66FF867C}">
              <a14:compatExt xmlns:a14="http://schemas.microsoft.com/office/drawing/2010/main" spid="_x0000_s4397"/>
            </a:ext>
            <a:ext xmlns:a16="http://schemas.microsoft.com/office/drawing/2014/main" uri="{FF2B5EF4-FFF2-40B4-BE49-F238E27FC236}">
              <a16:creationId xmlns:a16="http://schemas.microsoft.com/office/drawing/2014/main" id="{00000000-0008-0000-0400-00002D110000}"/>
            </a:ext>
          </a:extLst>
        </xdr:cNvPr>
        <xdr:cNvSpPr/>
      </xdr:nvSpPr>
      <xdr:spPr bwMode="auto">
        <a:xfrm>
          <a:off x="0" y="0"/>
          <a:ext cx="0" cy="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sp>
    <xdr:clientData/>
  </xdr:twoCellAnchor>
  <xdr:twoCellAnchor>
    <xdr:from>
      <xdr:col>9</xdr:col>
      <xdr:colOff>1798320</xdr:colOff>
      <xdr:row>57</xdr:row>
      <xdr:rowOff>121920</xdr:rowOff>
    </xdr:from>
    <xdr:to>
      <xdr:col>9</xdr:col>
      <xdr:colOff>3398520</xdr:colOff>
      <xdr:row>57</xdr:row>
      <xdr:rowOff>998220</xdr:rowOff>
    </xdr:to>
    <xdr:sp macro="" textlink="">
      <xdr:nvSpPr>
        <xdr:cNvPr id="4398" name="Object 302" hidden="true">
          <a:extLst>
            <a:ext xmlns:a14="http://schemas.microsoft.com/office/drawing/2010/main" uri="{63B3BB69-23CF-44E3-9099-C40C66FF867C}">
              <a14:compatExt xmlns:a14="http://schemas.microsoft.com/office/drawing/2010/main" spid="_x0000_s4398"/>
            </a:ext>
            <a:ext xmlns:a16="http://schemas.microsoft.com/office/drawing/2014/main" uri="{FF2B5EF4-FFF2-40B4-BE49-F238E27FC236}">
              <a16:creationId xmlns:a16="http://schemas.microsoft.com/office/drawing/2014/main" id="{00000000-0008-0000-0400-00002E110000}"/>
            </a:ext>
          </a:extLst>
        </xdr:cNvPr>
        <xdr:cNvSpPr/>
      </xdr:nvSpPr>
      <xdr:spPr bwMode="auto">
        <a:xfrm>
          <a:off x="0" y="0"/>
          <a:ext cx="0" cy="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sp>
    <xdr:clientData/>
  </xdr:twoCellAnchor>
  <xdr:twoCellAnchor>
    <xdr:from>
      <xdr:col>9</xdr:col>
      <xdr:colOff>1569720</xdr:colOff>
      <xdr:row>58</xdr:row>
      <xdr:rowOff>182880</xdr:rowOff>
    </xdr:from>
    <xdr:to>
      <xdr:col>9</xdr:col>
      <xdr:colOff>3893820</xdr:colOff>
      <xdr:row>58</xdr:row>
      <xdr:rowOff>914400</xdr:rowOff>
    </xdr:to>
    <xdr:sp macro="" textlink="">
      <xdr:nvSpPr>
        <xdr:cNvPr id="4399" name="Object 303" hidden="true">
          <a:extLst>
            <a:ext xmlns:a14="http://schemas.microsoft.com/office/drawing/2010/main" uri="{63B3BB69-23CF-44E3-9099-C40C66FF867C}">
              <a14:compatExt xmlns:a14="http://schemas.microsoft.com/office/drawing/2010/main" spid="_x0000_s4399"/>
            </a:ext>
            <a:ext xmlns:a16="http://schemas.microsoft.com/office/drawing/2014/main" uri="{FF2B5EF4-FFF2-40B4-BE49-F238E27FC236}">
              <a16:creationId xmlns:a16="http://schemas.microsoft.com/office/drawing/2014/main" id="{00000000-0008-0000-0400-00002F110000}"/>
            </a:ext>
          </a:extLst>
        </xdr:cNvPr>
        <xdr:cNvSpPr/>
      </xdr:nvSpPr>
      <xdr:spPr bwMode="auto">
        <a:xfrm>
          <a:off x="0" y="0"/>
          <a:ext cx="0" cy="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sp>
    <xdr:clientData/>
  </xdr:twoCellAnchor>
  <xdr:twoCellAnchor>
    <xdr:from>
      <xdr:col>9</xdr:col>
      <xdr:colOff>1584960</xdr:colOff>
      <xdr:row>59</xdr:row>
      <xdr:rowOff>182880</xdr:rowOff>
    </xdr:from>
    <xdr:to>
      <xdr:col>9</xdr:col>
      <xdr:colOff>4046220</xdr:colOff>
      <xdr:row>59</xdr:row>
      <xdr:rowOff>914400</xdr:rowOff>
    </xdr:to>
    <xdr:sp macro="" textlink="">
      <xdr:nvSpPr>
        <xdr:cNvPr id="4400" name="Object 304" hidden="true">
          <a:extLst>
            <a:ext xmlns:a14="http://schemas.microsoft.com/office/drawing/2010/main" uri="{63B3BB69-23CF-44E3-9099-C40C66FF867C}">
              <a14:compatExt xmlns:a14="http://schemas.microsoft.com/office/drawing/2010/main" spid="_x0000_s4400"/>
            </a:ext>
            <a:ext xmlns:a16="http://schemas.microsoft.com/office/drawing/2014/main" uri="{FF2B5EF4-FFF2-40B4-BE49-F238E27FC236}">
              <a16:creationId xmlns:a16="http://schemas.microsoft.com/office/drawing/2014/main" id="{00000000-0008-0000-0400-000030110000}"/>
            </a:ext>
          </a:extLst>
        </xdr:cNvPr>
        <xdr:cNvSpPr/>
      </xdr:nvSpPr>
      <xdr:spPr bwMode="auto">
        <a:xfrm>
          <a:off x="0" y="0"/>
          <a:ext cx="0" cy="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sp>
    <xdr:clientData/>
  </xdr:twoCellAnchor>
  <xdr:twoCellAnchor>
    <xdr:from>
      <xdr:col>9</xdr:col>
      <xdr:colOff>1470660</xdr:colOff>
      <xdr:row>60</xdr:row>
      <xdr:rowOff>137160</xdr:rowOff>
    </xdr:from>
    <xdr:to>
      <xdr:col>9</xdr:col>
      <xdr:colOff>3909060</xdr:colOff>
      <xdr:row>60</xdr:row>
      <xdr:rowOff>1333500</xdr:rowOff>
    </xdr:to>
    <xdr:sp macro="" textlink="">
      <xdr:nvSpPr>
        <xdr:cNvPr id="4401" name="Object 305" hidden="true">
          <a:extLst>
            <a:ext xmlns:a14="http://schemas.microsoft.com/office/drawing/2010/main" uri="{63B3BB69-23CF-44E3-9099-C40C66FF867C}">
              <a14:compatExt xmlns:a14="http://schemas.microsoft.com/office/drawing/2010/main" spid="_x0000_s4401"/>
            </a:ext>
            <a:ext xmlns:a16="http://schemas.microsoft.com/office/drawing/2014/main" uri="{FF2B5EF4-FFF2-40B4-BE49-F238E27FC236}">
              <a16:creationId xmlns:a16="http://schemas.microsoft.com/office/drawing/2014/main" id="{00000000-0008-0000-0400-000031110000}"/>
            </a:ext>
          </a:extLst>
        </xdr:cNvPr>
        <xdr:cNvSpPr/>
      </xdr:nvSpPr>
      <xdr:spPr bwMode="auto">
        <a:xfrm>
          <a:off x="0" y="0"/>
          <a:ext cx="0" cy="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sp>
    <xdr:clientData/>
  </xdr:twoCellAnchor>
  <xdr:twoCellAnchor>
    <xdr:from>
      <xdr:col>9</xdr:col>
      <xdr:colOff>1341120</xdr:colOff>
      <xdr:row>61</xdr:row>
      <xdr:rowOff>175260</xdr:rowOff>
    </xdr:from>
    <xdr:to>
      <xdr:col>9</xdr:col>
      <xdr:colOff>3848100</xdr:colOff>
      <xdr:row>61</xdr:row>
      <xdr:rowOff>1402080</xdr:rowOff>
    </xdr:to>
    <xdr:sp macro="" textlink="">
      <xdr:nvSpPr>
        <xdr:cNvPr id="4402" name="Object 306" hidden="true">
          <a:extLst>
            <a:ext xmlns:a14="http://schemas.microsoft.com/office/drawing/2010/main" uri="{63B3BB69-23CF-44E3-9099-C40C66FF867C}">
              <a14:compatExt xmlns:a14="http://schemas.microsoft.com/office/drawing/2010/main" spid="_x0000_s4402"/>
            </a:ext>
            <a:ext xmlns:a16="http://schemas.microsoft.com/office/drawing/2014/main" uri="{FF2B5EF4-FFF2-40B4-BE49-F238E27FC236}">
              <a16:creationId xmlns:a16="http://schemas.microsoft.com/office/drawing/2014/main" id="{00000000-0008-0000-0400-000032110000}"/>
            </a:ext>
          </a:extLst>
        </xdr:cNvPr>
        <xdr:cNvSpPr/>
      </xdr:nvSpPr>
      <xdr:spPr bwMode="auto">
        <a:xfrm>
          <a:off x="0" y="0"/>
          <a:ext cx="0" cy="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sp>
    <xdr:clientData/>
  </xdr:twoCellAnchor>
  <xdr:twoCellAnchor>
    <xdr:from>
      <xdr:col>9</xdr:col>
      <xdr:colOff>1028700</xdr:colOff>
      <xdr:row>62</xdr:row>
      <xdr:rowOff>228600</xdr:rowOff>
    </xdr:from>
    <xdr:to>
      <xdr:col>9</xdr:col>
      <xdr:colOff>4251960</xdr:colOff>
      <xdr:row>62</xdr:row>
      <xdr:rowOff>1607820</xdr:rowOff>
    </xdr:to>
    <xdr:sp macro="" textlink="">
      <xdr:nvSpPr>
        <xdr:cNvPr id="4403" name="Object 307" hidden="true">
          <a:extLst>
            <a:ext xmlns:a14="http://schemas.microsoft.com/office/drawing/2010/main" uri="{63B3BB69-23CF-44E3-9099-C40C66FF867C}">
              <a14:compatExt xmlns:a14="http://schemas.microsoft.com/office/drawing/2010/main" spid="_x0000_s4403"/>
            </a:ext>
            <a:ext xmlns:a16="http://schemas.microsoft.com/office/drawing/2014/main" uri="{FF2B5EF4-FFF2-40B4-BE49-F238E27FC236}">
              <a16:creationId xmlns:a16="http://schemas.microsoft.com/office/drawing/2014/main" id="{00000000-0008-0000-0400-000033110000}"/>
            </a:ext>
          </a:extLst>
        </xdr:cNvPr>
        <xdr:cNvSpPr/>
      </xdr:nvSpPr>
      <xdr:spPr bwMode="auto">
        <a:xfrm>
          <a:off x="0" y="0"/>
          <a:ext cx="0" cy="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sp>
    <xdr:clientData/>
  </xdr:twoCellAnchor>
  <xdr:twoCellAnchor>
    <xdr:from>
      <xdr:col>9</xdr:col>
      <xdr:colOff>1341120</xdr:colOff>
      <xdr:row>63</xdr:row>
      <xdr:rowOff>114300</xdr:rowOff>
    </xdr:from>
    <xdr:to>
      <xdr:col>9</xdr:col>
      <xdr:colOff>4000500</xdr:colOff>
      <xdr:row>63</xdr:row>
      <xdr:rowOff>906780</xdr:rowOff>
    </xdr:to>
    <xdr:sp macro="" textlink="">
      <xdr:nvSpPr>
        <xdr:cNvPr id="4404" name="Object 308" hidden="true">
          <a:extLst>
            <a:ext xmlns:a14="http://schemas.microsoft.com/office/drawing/2010/main" uri="{63B3BB69-23CF-44E3-9099-C40C66FF867C}">
              <a14:compatExt xmlns:a14="http://schemas.microsoft.com/office/drawing/2010/main" spid="_x0000_s4404"/>
            </a:ext>
            <a:ext xmlns:a16="http://schemas.microsoft.com/office/drawing/2014/main" uri="{FF2B5EF4-FFF2-40B4-BE49-F238E27FC236}">
              <a16:creationId xmlns:a16="http://schemas.microsoft.com/office/drawing/2014/main" id="{00000000-0008-0000-0400-000034110000}"/>
            </a:ext>
          </a:extLst>
        </xdr:cNvPr>
        <xdr:cNvSpPr/>
      </xdr:nvSpPr>
      <xdr:spPr bwMode="auto">
        <a:xfrm>
          <a:off x="0" y="0"/>
          <a:ext cx="0" cy="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sp>
    <xdr:clientData/>
  </xdr:twoCellAnchor>
  <xdr:twoCellAnchor>
    <xdr:from>
      <xdr:col>9</xdr:col>
      <xdr:colOff>1059180</xdr:colOff>
      <xdr:row>64</xdr:row>
      <xdr:rowOff>175260</xdr:rowOff>
    </xdr:from>
    <xdr:to>
      <xdr:col>9</xdr:col>
      <xdr:colOff>4221480</xdr:colOff>
      <xdr:row>64</xdr:row>
      <xdr:rowOff>1242060</xdr:rowOff>
    </xdr:to>
    <xdr:sp macro="" textlink="">
      <xdr:nvSpPr>
        <xdr:cNvPr id="4405" name="Object 309" hidden="true">
          <a:extLst>
            <a:ext xmlns:a14="http://schemas.microsoft.com/office/drawing/2010/main" uri="{63B3BB69-23CF-44E3-9099-C40C66FF867C}">
              <a14:compatExt xmlns:a14="http://schemas.microsoft.com/office/drawing/2010/main" spid="_x0000_s4405"/>
            </a:ext>
            <a:ext xmlns:a16="http://schemas.microsoft.com/office/drawing/2014/main" uri="{FF2B5EF4-FFF2-40B4-BE49-F238E27FC236}">
              <a16:creationId xmlns:a16="http://schemas.microsoft.com/office/drawing/2014/main" id="{00000000-0008-0000-0400-000035110000}"/>
            </a:ext>
          </a:extLst>
        </xdr:cNvPr>
        <xdr:cNvSpPr/>
      </xdr:nvSpPr>
      <xdr:spPr bwMode="auto">
        <a:xfrm>
          <a:off x="0" y="0"/>
          <a:ext cx="0" cy="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sp>
    <xdr:clientData/>
  </xdr:twoCellAnchor>
  <xdr:twoCellAnchor>
    <xdr:from>
      <xdr:col>9</xdr:col>
      <xdr:colOff>304800</xdr:colOff>
      <xdr:row>65</xdr:row>
      <xdr:rowOff>182880</xdr:rowOff>
    </xdr:from>
    <xdr:to>
      <xdr:col>9</xdr:col>
      <xdr:colOff>4838700</xdr:colOff>
      <xdr:row>65</xdr:row>
      <xdr:rowOff>1059180</xdr:rowOff>
    </xdr:to>
    <xdr:sp macro="" textlink="">
      <xdr:nvSpPr>
        <xdr:cNvPr id="4407" name="Object 311" hidden="true">
          <a:extLst>
            <a:ext xmlns:a14="http://schemas.microsoft.com/office/drawing/2010/main" uri="{63B3BB69-23CF-44E3-9099-C40C66FF867C}">
              <a14:compatExt xmlns:a14="http://schemas.microsoft.com/office/drawing/2010/main" spid="_x0000_s4407"/>
            </a:ext>
            <a:ext xmlns:a16="http://schemas.microsoft.com/office/drawing/2014/main" uri="{FF2B5EF4-FFF2-40B4-BE49-F238E27FC236}">
              <a16:creationId xmlns:a16="http://schemas.microsoft.com/office/drawing/2014/main" id="{00000000-0008-0000-0400-000037110000}"/>
            </a:ext>
          </a:extLst>
        </xdr:cNvPr>
        <xdr:cNvSpPr/>
      </xdr:nvSpPr>
      <xdr:spPr bwMode="auto">
        <a:xfrm>
          <a:off x="0" y="0"/>
          <a:ext cx="0" cy="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sp>
    <xdr:clientData/>
  </xdr:twoCellAnchor>
  <xdr:twoCellAnchor>
    <xdr:from>
      <xdr:col>9</xdr:col>
      <xdr:colOff>182880</xdr:colOff>
      <xdr:row>66</xdr:row>
      <xdr:rowOff>190500</xdr:rowOff>
    </xdr:from>
    <xdr:to>
      <xdr:col>9</xdr:col>
      <xdr:colOff>4861560</xdr:colOff>
      <xdr:row>66</xdr:row>
      <xdr:rowOff>1325880</xdr:rowOff>
    </xdr:to>
    <xdr:sp macro="" textlink="">
      <xdr:nvSpPr>
        <xdr:cNvPr id="4408" name="Object 312" hidden="true">
          <a:extLst>
            <a:ext xmlns:a14="http://schemas.microsoft.com/office/drawing/2010/main" uri="{63B3BB69-23CF-44E3-9099-C40C66FF867C}">
              <a14:compatExt xmlns:a14="http://schemas.microsoft.com/office/drawing/2010/main" spid="_x0000_s4408"/>
            </a:ext>
            <a:ext xmlns:a16="http://schemas.microsoft.com/office/drawing/2014/main" uri="{FF2B5EF4-FFF2-40B4-BE49-F238E27FC236}">
              <a16:creationId xmlns:a16="http://schemas.microsoft.com/office/drawing/2014/main" id="{00000000-0008-0000-0400-000038110000}"/>
            </a:ext>
          </a:extLst>
        </xdr:cNvPr>
        <xdr:cNvSpPr/>
      </xdr:nvSpPr>
      <xdr:spPr bwMode="auto">
        <a:xfrm>
          <a:off x="0" y="0"/>
          <a:ext cx="0" cy="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sp>
    <xdr:clientData/>
  </xdr:twoCellAnchor>
  <xdr:twoCellAnchor>
    <xdr:from>
      <xdr:col>9</xdr:col>
      <xdr:colOff>1661160</xdr:colOff>
      <xdr:row>67</xdr:row>
      <xdr:rowOff>106680</xdr:rowOff>
    </xdr:from>
    <xdr:to>
      <xdr:col>9</xdr:col>
      <xdr:colOff>3726180</xdr:colOff>
      <xdr:row>67</xdr:row>
      <xdr:rowOff>975360</xdr:rowOff>
    </xdr:to>
    <xdr:sp macro="" textlink="">
      <xdr:nvSpPr>
        <xdr:cNvPr id="4409" name="Object 313" hidden="true">
          <a:extLst>
            <a:ext xmlns:a14="http://schemas.microsoft.com/office/drawing/2010/main" uri="{63B3BB69-23CF-44E3-9099-C40C66FF867C}">
              <a14:compatExt xmlns:a14="http://schemas.microsoft.com/office/drawing/2010/main" spid="_x0000_s4409"/>
            </a:ext>
            <a:ext xmlns:a16="http://schemas.microsoft.com/office/drawing/2014/main" uri="{FF2B5EF4-FFF2-40B4-BE49-F238E27FC236}">
              <a16:creationId xmlns:a16="http://schemas.microsoft.com/office/drawing/2014/main" id="{00000000-0008-0000-0400-000039110000}"/>
            </a:ext>
          </a:extLst>
        </xdr:cNvPr>
        <xdr:cNvSpPr/>
      </xdr:nvSpPr>
      <xdr:spPr bwMode="auto">
        <a:xfrm>
          <a:off x="0" y="0"/>
          <a:ext cx="0" cy="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sp>
    <xdr:clientData/>
  </xdr:twoCellAnchor>
  <xdr:twoCellAnchor>
    <xdr:from>
      <xdr:col>9</xdr:col>
      <xdr:colOff>1546860</xdr:colOff>
      <xdr:row>68</xdr:row>
      <xdr:rowOff>106680</xdr:rowOff>
    </xdr:from>
    <xdr:to>
      <xdr:col>9</xdr:col>
      <xdr:colOff>3459480</xdr:colOff>
      <xdr:row>68</xdr:row>
      <xdr:rowOff>922020</xdr:rowOff>
    </xdr:to>
    <xdr:sp macro="" textlink="">
      <xdr:nvSpPr>
        <xdr:cNvPr id="4410" name="Object 314" hidden="true">
          <a:extLst>
            <a:ext xmlns:a14="http://schemas.microsoft.com/office/drawing/2010/main" uri="{63B3BB69-23CF-44E3-9099-C40C66FF867C}">
              <a14:compatExt xmlns:a14="http://schemas.microsoft.com/office/drawing/2010/main" spid="_x0000_s4410"/>
            </a:ext>
            <a:ext xmlns:a16="http://schemas.microsoft.com/office/drawing/2014/main" uri="{FF2B5EF4-FFF2-40B4-BE49-F238E27FC236}">
              <a16:creationId xmlns:a16="http://schemas.microsoft.com/office/drawing/2014/main" id="{00000000-0008-0000-0400-00003A110000}"/>
            </a:ext>
          </a:extLst>
        </xdr:cNvPr>
        <xdr:cNvSpPr/>
      </xdr:nvSpPr>
      <xdr:spPr bwMode="auto">
        <a:xfrm>
          <a:off x="0" y="0"/>
          <a:ext cx="0" cy="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sp>
    <xdr:clientData/>
  </xdr:twoCellAnchor>
  <xdr:twoCellAnchor>
    <xdr:from>
      <xdr:col>9</xdr:col>
      <xdr:colOff>190500</xdr:colOff>
      <xdr:row>69</xdr:row>
      <xdr:rowOff>365760</xdr:rowOff>
    </xdr:from>
    <xdr:to>
      <xdr:col>9</xdr:col>
      <xdr:colOff>4785360</xdr:colOff>
      <xdr:row>69</xdr:row>
      <xdr:rowOff>1165860</xdr:rowOff>
    </xdr:to>
    <xdr:sp macro="" textlink="">
      <xdr:nvSpPr>
        <xdr:cNvPr id="4411" name="Object 315" hidden="true">
          <a:extLst>
            <a:ext xmlns:a14="http://schemas.microsoft.com/office/drawing/2010/main" uri="{63B3BB69-23CF-44E3-9099-C40C66FF867C}">
              <a14:compatExt xmlns:a14="http://schemas.microsoft.com/office/drawing/2010/main" spid="_x0000_s4411"/>
            </a:ext>
            <a:ext xmlns:a16="http://schemas.microsoft.com/office/drawing/2014/main" uri="{FF2B5EF4-FFF2-40B4-BE49-F238E27FC236}">
              <a16:creationId xmlns:a16="http://schemas.microsoft.com/office/drawing/2014/main" id="{00000000-0008-0000-0400-00003B110000}"/>
            </a:ext>
          </a:extLst>
        </xdr:cNvPr>
        <xdr:cNvSpPr/>
      </xdr:nvSpPr>
      <xdr:spPr bwMode="auto">
        <a:xfrm>
          <a:off x="0" y="0"/>
          <a:ext cx="0" cy="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sp>
    <xdr:clientData/>
  </xdr:twoCellAnchor>
  <xdr:twoCellAnchor>
    <xdr:from>
      <xdr:col>9</xdr:col>
      <xdr:colOff>533400</xdr:colOff>
      <xdr:row>70</xdr:row>
      <xdr:rowOff>274320</xdr:rowOff>
    </xdr:from>
    <xdr:to>
      <xdr:col>9</xdr:col>
      <xdr:colOff>4488180</xdr:colOff>
      <xdr:row>70</xdr:row>
      <xdr:rowOff>1127760</xdr:rowOff>
    </xdr:to>
    <xdr:sp macro="" textlink="">
      <xdr:nvSpPr>
        <xdr:cNvPr id="4412" name="Object 316" hidden="true">
          <a:extLst>
            <a:ext xmlns:a14="http://schemas.microsoft.com/office/drawing/2010/main" uri="{63B3BB69-23CF-44E3-9099-C40C66FF867C}">
              <a14:compatExt xmlns:a14="http://schemas.microsoft.com/office/drawing/2010/main" spid="_x0000_s4412"/>
            </a:ext>
            <a:ext xmlns:a16="http://schemas.microsoft.com/office/drawing/2014/main" uri="{FF2B5EF4-FFF2-40B4-BE49-F238E27FC236}">
              <a16:creationId xmlns:a16="http://schemas.microsoft.com/office/drawing/2014/main" id="{00000000-0008-0000-0400-00003C110000}"/>
            </a:ext>
          </a:extLst>
        </xdr:cNvPr>
        <xdr:cNvSpPr/>
      </xdr:nvSpPr>
      <xdr:spPr bwMode="auto">
        <a:xfrm>
          <a:off x="0" y="0"/>
          <a:ext cx="0" cy="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sp>
    <xdr:clientData/>
  </xdr:twoCellAnchor>
  <xdr:twoCellAnchor>
    <xdr:from>
      <xdr:col>9</xdr:col>
      <xdr:colOff>213360</xdr:colOff>
      <xdr:row>49</xdr:row>
      <xdr:rowOff>236220</xdr:rowOff>
    </xdr:from>
    <xdr:to>
      <xdr:col>9</xdr:col>
      <xdr:colOff>4770120</xdr:colOff>
      <xdr:row>49</xdr:row>
      <xdr:rowOff>1287780</xdr:rowOff>
    </xdr:to>
    <xdr:sp macro="" textlink="">
      <xdr:nvSpPr>
        <xdr:cNvPr id="4485" name="Object 389" hidden="true">
          <a:extLst>
            <a:ext xmlns:a14="http://schemas.microsoft.com/office/drawing/2010/main" uri="{63B3BB69-23CF-44E3-9099-C40C66FF867C}">
              <a14:compatExt xmlns:a14="http://schemas.microsoft.com/office/drawing/2010/main" spid="_x0000_s4485"/>
            </a:ext>
            <a:ext xmlns:a16="http://schemas.microsoft.com/office/drawing/2014/main" uri="{FF2B5EF4-FFF2-40B4-BE49-F238E27FC236}">
              <a16:creationId xmlns:a16="http://schemas.microsoft.com/office/drawing/2014/main" id="{00000000-0008-0000-0400-000085110000}"/>
            </a:ext>
          </a:extLst>
        </xdr:cNvPr>
        <xdr:cNvSpPr/>
      </xdr:nvSpPr>
      <xdr:spPr bwMode="auto">
        <a:xfrm>
          <a:off x="0" y="0"/>
          <a:ext cx="0" cy="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sp>
    <xdr:clientData/>
  </xdr:twoCellAnchor>
  <xdr:twoCellAnchor>
    <xdr:from>
      <xdr:col>9</xdr:col>
      <xdr:colOff>228600</xdr:colOff>
      <xdr:row>50</xdr:row>
      <xdr:rowOff>327660</xdr:rowOff>
    </xdr:from>
    <xdr:to>
      <xdr:col>9</xdr:col>
      <xdr:colOff>4762500</xdr:colOff>
      <xdr:row>50</xdr:row>
      <xdr:rowOff>1341120</xdr:rowOff>
    </xdr:to>
    <xdr:sp macro="" textlink="">
      <xdr:nvSpPr>
        <xdr:cNvPr id="4486" name="Object 390" hidden="true">
          <a:extLst>
            <a:ext xmlns:a14="http://schemas.microsoft.com/office/drawing/2010/main" uri="{63B3BB69-23CF-44E3-9099-C40C66FF867C}">
              <a14:compatExt xmlns:a14="http://schemas.microsoft.com/office/drawing/2010/main" spid="_x0000_s4486"/>
            </a:ext>
            <a:ext xmlns:a16="http://schemas.microsoft.com/office/drawing/2014/main" uri="{FF2B5EF4-FFF2-40B4-BE49-F238E27FC236}">
              <a16:creationId xmlns:a16="http://schemas.microsoft.com/office/drawing/2014/main" id="{00000000-0008-0000-0400-000086110000}"/>
            </a:ext>
          </a:extLst>
        </xdr:cNvPr>
        <xdr:cNvSpPr/>
      </xdr:nvSpPr>
      <xdr:spPr bwMode="auto">
        <a:xfrm>
          <a:off x="0" y="0"/>
          <a:ext cx="0" cy="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sp>
    <xdr:clientData/>
  </xdr:twoCellAnchor>
  <xdr:twoCellAnchor>
    <xdr:from>
      <xdr:col>9</xdr:col>
      <xdr:colOff>632460</xdr:colOff>
      <xdr:row>51</xdr:row>
      <xdr:rowOff>373380</xdr:rowOff>
    </xdr:from>
    <xdr:to>
      <xdr:col>9</xdr:col>
      <xdr:colOff>4533900</xdr:colOff>
      <xdr:row>51</xdr:row>
      <xdr:rowOff>1744980</xdr:rowOff>
    </xdr:to>
    <xdr:sp macro="" textlink="">
      <xdr:nvSpPr>
        <xdr:cNvPr id="4487" name="Object 391" hidden="true">
          <a:extLst>
            <a:ext xmlns:a14="http://schemas.microsoft.com/office/drawing/2010/main" uri="{63B3BB69-23CF-44E3-9099-C40C66FF867C}">
              <a14:compatExt xmlns:a14="http://schemas.microsoft.com/office/drawing/2010/main" spid="_x0000_s4487"/>
            </a:ext>
            <a:ext xmlns:a16="http://schemas.microsoft.com/office/drawing/2014/main" uri="{FF2B5EF4-FFF2-40B4-BE49-F238E27FC236}">
              <a16:creationId xmlns:a16="http://schemas.microsoft.com/office/drawing/2014/main" id="{00000000-0008-0000-0400-000087110000}"/>
            </a:ext>
          </a:extLst>
        </xdr:cNvPr>
        <xdr:cNvSpPr/>
      </xdr:nvSpPr>
      <xdr:spPr bwMode="auto">
        <a:xfrm>
          <a:off x="0" y="0"/>
          <a:ext cx="0" cy="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sp>
    <xdr:clientData/>
  </xdr:twoCellAnchor>
  <xdr:twoCellAnchor>
    <xdr:from>
      <xdr:col>9</xdr:col>
      <xdr:colOff>144780</xdr:colOff>
      <xdr:row>53</xdr:row>
      <xdr:rowOff>259080</xdr:rowOff>
    </xdr:from>
    <xdr:to>
      <xdr:col>9</xdr:col>
      <xdr:colOff>4861560</xdr:colOff>
      <xdr:row>53</xdr:row>
      <xdr:rowOff>1203960</xdr:rowOff>
    </xdr:to>
    <xdr:sp macro="" textlink="">
      <xdr:nvSpPr>
        <xdr:cNvPr id="4490" name="Object 394" hidden="true">
          <a:extLst>
            <a:ext xmlns:a14="http://schemas.microsoft.com/office/drawing/2010/main" uri="{63B3BB69-23CF-44E3-9099-C40C66FF867C}">
              <a14:compatExt xmlns:a14="http://schemas.microsoft.com/office/drawing/2010/main" spid="_x0000_s4490"/>
            </a:ext>
            <a:ext xmlns:a16="http://schemas.microsoft.com/office/drawing/2014/main" uri="{FF2B5EF4-FFF2-40B4-BE49-F238E27FC236}">
              <a16:creationId xmlns:a16="http://schemas.microsoft.com/office/drawing/2014/main" id="{00000000-0008-0000-0400-00008A110000}"/>
            </a:ext>
          </a:extLst>
        </xdr:cNvPr>
        <xdr:cNvSpPr/>
      </xdr:nvSpPr>
      <xdr:spPr bwMode="auto">
        <a:xfrm>
          <a:off x="0" y="0"/>
          <a:ext cx="0" cy="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sp>
    <xdr:clientData/>
  </xdr:twoCellAnchor>
  <xdr:twoCellAnchor>
    <xdr:from>
      <xdr:col>9</xdr:col>
      <xdr:colOff>457200</xdr:colOff>
      <xdr:row>54</xdr:row>
      <xdr:rowOff>289560</xdr:rowOff>
    </xdr:from>
    <xdr:to>
      <xdr:col>9</xdr:col>
      <xdr:colOff>4495800</xdr:colOff>
      <xdr:row>54</xdr:row>
      <xdr:rowOff>1356360</xdr:rowOff>
    </xdr:to>
    <xdr:sp macro="" textlink="">
      <xdr:nvSpPr>
        <xdr:cNvPr id="4491" name="Object 395" hidden="true">
          <a:extLst>
            <a:ext xmlns:a14="http://schemas.microsoft.com/office/drawing/2010/main" uri="{63B3BB69-23CF-44E3-9099-C40C66FF867C}">
              <a14:compatExt xmlns:a14="http://schemas.microsoft.com/office/drawing/2010/main" spid="_x0000_s4491"/>
            </a:ext>
            <a:ext xmlns:a16="http://schemas.microsoft.com/office/drawing/2014/main" uri="{FF2B5EF4-FFF2-40B4-BE49-F238E27FC236}">
              <a16:creationId xmlns:a16="http://schemas.microsoft.com/office/drawing/2014/main" id="{00000000-0008-0000-0400-00008B110000}"/>
            </a:ext>
          </a:extLst>
        </xdr:cNvPr>
        <xdr:cNvSpPr/>
      </xdr:nvSpPr>
      <xdr:spPr bwMode="auto">
        <a:xfrm>
          <a:off x="0" y="0"/>
          <a:ext cx="0" cy="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sp>
    <xdr:clientData/>
  </xdr:twoCellAnchor>
  <xdr:twoCellAnchor>
    <xdr:from>
      <xdr:col>9</xdr:col>
      <xdr:colOff>685800</xdr:colOff>
      <xdr:row>55</xdr:row>
      <xdr:rowOff>182880</xdr:rowOff>
    </xdr:from>
    <xdr:to>
      <xdr:col>9</xdr:col>
      <xdr:colOff>4328160</xdr:colOff>
      <xdr:row>55</xdr:row>
      <xdr:rowOff>1569720</xdr:rowOff>
    </xdr:to>
    <xdr:sp macro="" textlink="">
      <xdr:nvSpPr>
        <xdr:cNvPr id="4492" name="Object 396" hidden="true">
          <a:extLst>
            <a:ext xmlns:a14="http://schemas.microsoft.com/office/drawing/2010/main" uri="{63B3BB69-23CF-44E3-9099-C40C66FF867C}">
              <a14:compatExt xmlns:a14="http://schemas.microsoft.com/office/drawing/2010/main" spid="_x0000_s4492"/>
            </a:ext>
            <a:ext xmlns:a16="http://schemas.microsoft.com/office/drawing/2014/main" uri="{FF2B5EF4-FFF2-40B4-BE49-F238E27FC236}">
              <a16:creationId xmlns:a16="http://schemas.microsoft.com/office/drawing/2014/main" id="{00000000-0008-0000-0400-00008C110000}"/>
            </a:ext>
          </a:extLst>
        </xdr:cNvPr>
        <xdr:cNvSpPr/>
      </xdr:nvSpPr>
      <xdr:spPr bwMode="auto">
        <a:xfrm>
          <a:off x="0" y="0"/>
          <a:ext cx="0" cy="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sp>
    <xdr:clientData/>
  </xdr:twoCellAnchor>
  <xdr:twoCellAnchor>
    <xdr:from>
      <xdr:col>9</xdr:col>
      <xdr:colOff>411480</xdr:colOff>
      <xdr:row>10</xdr:row>
      <xdr:rowOff>213360</xdr:rowOff>
    </xdr:from>
    <xdr:to>
      <xdr:col>9</xdr:col>
      <xdr:colOff>4594860</xdr:colOff>
      <xdr:row>10</xdr:row>
      <xdr:rowOff>4953000</xdr:rowOff>
    </xdr:to>
    <xdr:sp macro="" textlink="">
      <xdr:nvSpPr>
        <xdr:cNvPr id="4516" name="Object 420" hidden="true">
          <a:extLst>
            <a:ext xmlns:a14="http://schemas.microsoft.com/office/drawing/2010/main" uri="{63B3BB69-23CF-44E3-9099-C40C66FF867C}">
              <a14:compatExt xmlns:a14="http://schemas.microsoft.com/office/drawing/2010/main" spid="_x0000_s4516"/>
            </a:ext>
            <a:ext xmlns:a16="http://schemas.microsoft.com/office/drawing/2014/main" uri="{FF2B5EF4-FFF2-40B4-BE49-F238E27FC236}">
              <a16:creationId xmlns:a16="http://schemas.microsoft.com/office/drawing/2014/main" id="{00000000-0008-0000-0400-0000A4110000}"/>
            </a:ext>
          </a:extLst>
        </xdr:cNvPr>
        <xdr:cNvSpPr/>
      </xdr:nvSpPr>
      <xdr:spPr bwMode="auto">
        <a:xfrm>
          <a:off x="0" y="0"/>
          <a:ext cx="0" cy="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sp>
    <xdr:clientData/>
  </xdr:twoCellAnchor>
  <xdr:twoCellAnchor>
    <xdr:from>
      <xdr:col>9</xdr:col>
      <xdr:colOff>617220</xdr:colOff>
      <xdr:row>11</xdr:row>
      <xdr:rowOff>182880</xdr:rowOff>
    </xdr:from>
    <xdr:to>
      <xdr:col>9</xdr:col>
      <xdr:colOff>4427220</xdr:colOff>
      <xdr:row>11</xdr:row>
      <xdr:rowOff>4823460</xdr:rowOff>
    </xdr:to>
    <xdr:sp macro="" textlink="">
      <xdr:nvSpPr>
        <xdr:cNvPr id="4517" name="Object 421" hidden="true">
          <a:extLst>
            <a:ext xmlns:a14="http://schemas.microsoft.com/office/drawing/2010/main" uri="{63B3BB69-23CF-44E3-9099-C40C66FF867C}">
              <a14:compatExt xmlns:a14="http://schemas.microsoft.com/office/drawing/2010/main" spid="_x0000_s4517"/>
            </a:ext>
            <a:ext xmlns:a16="http://schemas.microsoft.com/office/drawing/2014/main" uri="{FF2B5EF4-FFF2-40B4-BE49-F238E27FC236}">
              <a16:creationId xmlns:a16="http://schemas.microsoft.com/office/drawing/2014/main" id="{00000000-0008-0000-0400-0000A5110000}"/>
            </a:ext>
          </a:extLst>
        </xdr:cNvPr>
        <xdr:cNvSpPr/>
      </xdr:nvSpPr>
      <xdr:spPr bwMode="auto">
        <a:xfrm>
          <a:off x="0" y="0"/>
          <a:ext cx="0" cy="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sp>
    <xdr:clientData/>
  </xdr:twoCellAnchor>
  <xdr:twoCellAnchor>
    <xdr:from>
      <xdr:col>9</xdr:col>
      <xdr:colOff>335280</xdr:colOff>
      <xdr:row>12</xdr:row>
      <xdr:rowOff>327660</xdr:rowOff>
    </xdr:from>
    <xdr:to>
      <xdr:col>9</xdr:col>
      <xdr:colOff>4716780</xdr:colOff>
      <xdr:row>12</xdr:row>
      <xdr:rowOff>3870960</xdr:rowOff>
    </xdr:to>
    <xdr:sp macro="" textlink="">
      <xdr:nvSpPr>
        <xdr:cNvPr id="4518" name="Object 422" hidden="true">
          <a:extLst>
            <a:ext xmlns:a14="http://schemas.microsoft.com/office/drawing/2010/main" uri="{63B3BB69-23CF-44E3-9099-C40C66FF867C}">
              <a14:compatExt xmlns:a14="http://schemas.microsoft.com/office/drawing/2010/main" spid="_x0000_s4518"/>
            </a:ext>
            <a:ext xmlns:a16="http://schemas.microsoft.com/office/drawing/2014/main" uri="{FF2B5EF4-FFF2-40B4-BE49-F238E27FC236}">
              <a16:creationId xmlns:a16="http://schemas.microsoft.com/office/drawing/2014/main" id="{00000000-0008-0000-0400-0000A6110000}"/>
            </a:ext>
          </a:extLst>
        </xdr:cNvPr>
        <xdr:cNvSpPr/>
      </xdr:nvSpPr>
      <xdr:spPr bwMode="auto">
        <a:xfrm>
          <a:off x="0" y="0"/>
          <a:ext cx="0" cy="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sp>
    <xdr:clientData/>
  </xdr:twoCellAnchor>
  <xdr:twoCellAnchor>
    <xdr:from>
      <xdr:col>9</xdr:col>
      <xdr:colOff>746760</xdr:colOff>
      <xdr:row>13</xdr:row>
      <xdr:rowOff>137160</xdr:rowOff>
    </xdr:from>
    <xdr:to>
      <xdr:col>9</xdr:col>
      <xdr:colOff>4290060</xdr:colOff>
      <xdr:row>13</xdr:row>
      <xdr:rowOff>3832860</xdr:rowOff>
    </xdr:to>
    <xdr:sp macro="" textlink="">
      <xdr:nvSpPr>
        <xdr:cNvPr id="4519" name="Object 423" hidden="true">
          <a:extLst>
            <a:ext xmlns:a14="http://schemas.microsoft.com/office/drawing/2010/main" uri="{63B3BB69-23CF-44E3-9099-C40C66FF867C}">
              <a14:compatExt xmlns:a14="http://schemas.microsoft.com/office/drawing/2010/main" spid="_x0000_s4519"/>
            </a:ext>
            <a:ext xmlns:a16="http://schemas.microsoft.com/office/drawing/2014/main" uri="{FF2B5EF4-FFF2-40B4-BE49-F238E27FC236}">
              <a16:creationId xmlns:a16="http://schemas.microsoft.com/office/drawing/2014/main" id="{00000000-0008-0000-0400-0000A7110000}"/>
            </a:ext>
          </a:extLst>
        </xdr:cNvPr>
        <xdr:cNvSpPr/>
      </xdr:nvSpPr>
      <xdr:spPr bwMode="auto">
        <a:xfrm>
          <a:off x="0" y="0"/>
          <a:ext cx="0" cy="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sp>
    <xdr:clientData/>
  </xdr:twoCellAnchor>
  <xdr:twoCellAnchor>
    <xdr:from>
      <xdr:col>9</xdr:col>
      <xdr:colOff>525780</xdr:colOff>
      <xdr:row>14</xdr:row>
      <xdr:rowOff>182880</xdr:rowOff>
    </xdr:from>
    <xdr:to>
      <xdr:col>9</xdr:col>
      <xdr:colOff>4579620</xdr:colOff>
      <xdr:row>14</xdr:row>
      <xdr:rowOff>3055620</xdr:rowOff>
    </xdr:to>
    <xdr:sp macro="" textlink="">
      <xdr:nvSpPr>
        <xdr:cNvPr id="4520" name="Object 424" hidden="true">
          <a:extLst>
            <a:ext xmlns:a14="http://schemas.microsoft.com/office/drawing/2010/main" uri="{63B3BB69-23CF-44E3-9099-C40C66FF867C}">
              <a14:compatExt xmlns:a14="http://schemas.microsoft.com/office/drawing/2010/main" spid="_x0000_s4520"/>
            </a:ext>
            <a:ext xmlns:a16="http://schemas.microsoft.com/office/drawing/2014/main" uri="{FF2B5EF4-FFF2-40B4-BE49-F238E27FC236}">
              <a16:creationId xmlns:a16="http://schemas.microsoft.com/office/drawing/2014/main" id="{00000000-0008-0000-0400-0000A8110000}"/>
            </a:ext>
          </a:extLst>
        </xdr:cNvPr>
        <xdr:cNvSpPr/>
      </xdr:nvSpPr>
      <xdr:spPr bwMode="auto">
        <a:xfrm>
          <a:off x="0" y="0"/>
          <a:ext cx="0" cy="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sp>
    <xdr:clientData/>
  </xdr:twoCellAnchor>
  <xdr:twoCellAnchor>
    <xdr:from>
      <xdr:col>9</xdr:col>
      <xdr:colOff>198120</xdr:colOff>
      <xdr:row>15</xdr:row>
      <xdr:rowOff>182880</xdr:rowOff>
    </xdr:from>
    <xdr:to>
      <xdr:col>9</xdr:col>
      <xdr:colOff>4770120</xdr:colOff>
      <xdr:row>15</xdr:row>
      <xdr:rowOff>3909060</xdr:rowOff>
    </xdr:to>
    <xdr:sp macro="" textlink="">
      <xdr:nvSpPr>
        <xdr:cNvPr id="4521" name="Object 425" hidden="true">
          <a:extLst>
            <a:ext xmlns:a14="http://schemas.microsoft.com/office/drawing/2010/main" uri="{63B3BB69-23CF-44E3-9099-C40C66FF867C}">
              <a14:compatExt xmlns:a14="http://schemas.microsoft.com/office/drawing/2010/main" spid="_x0000_s4521"/>
            </a:ext>
            <a:ext xmlns:a16="http://schemas.microsoft.com/office/drawing/2014/main" uri="{FF2B5EF4-FFF2-40B4-BE49-F238E27FC236}">
              <a16:creationId xmlns:a16="http://schemas.microsoft.com/office/drawing/2014/main" id="{00000000-0008-0000-0400-0000A9110000}"/>
            </a:ext>
          </a:extLst>
        </xdr:cNvPr>
        <xdr:cNvSpPr/>
      </xdr:nvSpPr>
      <xdr:spPr bwMode="auto">
        <a:xfrm>
          <a:off x="0" y="0"/>
          <a:ext cx="0" cy="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sp>
    <xdr:clientData/>
  </xdr:twoCellAnchor>
  <xdr:twoCellAnchor>
    <xdr:from>
      <xdr:col>9</xdr:col>
      <xdr:colOff>441960</xdr:colOff>
      <xdr:row>16</xdr:row>
      <xdr:rowOff>175260</xdr:rowOff>
    </xdr:from>
    <xdr:to>
      <xdr:col>9</xdr:col>
      <xdr:colOff>4564380</xdr:colOff>
      <xdr:row>16</xdr:row>
      <xdr:rowOff>5052060</xdr:rowOff>
    </xdr:to>
    <xdr:sp macro="" textlink="">
      <xdr:nvSpPr>
        <xdr:cNvPr id="4523" name="Object 427" hidden="true">
          <a:extLst>
            <a:ext xmlns:a14="http://schemas.microsoft.com/office/drawing/2010/main" uri="{63B3BB69-23CF-44E3-9099-C40C66FF867C}">
              <a14:compatExt xmlns:a14="http://schemas.microsoft.com/office/drawing/2010/main" spid="_x0000_s4523"/>
            </a:ext>
            <a:ext xmlns:a16="http://schemas.microsoft.com/office/drawing/2014/main" uri="{FF2B5EF4-FFF2-40B4-BE49-F238E27FC236}">
              <a16:creationId xmlns:a16="http://schemas.microsoft.com/office/drawing/2014/main" id="{00000000-0008-0000-0400-0000AB110000}"/>
            </a:ext>
          </a:extLst>
        </xdr:cNvPr>
        <xdr:cNvSpPr/>
      </xdr:nvSpPr>
      <xdr:spPr bwMode="auto">
        <a:xfrm>
          <a:off x="0" y="0"/>
          <a:ext cx="0" cy="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sp>
    <xdr:clientData/>
  </xdr:twoCellAnchor>
  <xdr:twoCellAnchor>
    <xdr:from>
      <xdr:col>9</xdr:col>
      <xdr:colOff>190500</xdr:colOff>
      <xdr:row>26</xdr:row>
      <xdr:rowOff>289560</xdr:rowOff>
    </xdr:from>
    <xdr:to>
      <xdr:col>9</xdr:col>
      <xdr:colOff>4800600</xdr:colOff>
      <xdr:row>26</xdr:row>
      <xdr:rowOff>4869180</xdr:rowOff>
    </xdr:to>
    <xdr:sp macro="" textlink="">
      <xdr:nvSpPr>
        <xdr:cNvPr id="4527" name="Object 431" hidden="true">
          <a:extLst>
            <a:ext xmlns:a14="http://schemas.microsoft.com/office/drawing/2010/main" uri="{63B3BB69-23CF-44E3-9099-C40C66FF867C}">
              <a14:compatExt xmlns:a14="http://schemas.microsoft.com/office/drawing/2010/main" spid="_x0000_s4527"/>
            </a:ext>
            <a:ext xmlns:a16="http://schemas.microsoft.com/office/drawing/2014/main" uri="{FF2B5EF4-FFF2-40B4-BE49-F238E27FC236}">
              <a16:creationId xmlns:a16="http://schemas.microsoft.com/office/drawing/2014/main" id="{00000000-0008-0000-0400-0000AF110000}"/>
            </a:ext>
          </a:extLst>
        </xdr:cNvPr>
        <xdr:cNvSpPr/>
      </xdr:nvSpPr>
      <xdr:spPr bwMode="auto">
        <a:xfrm>
          <a:off x="0" y="0"/>
          <a:ext cx="0" cy="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sp>
    <xdr:clientData/>
  </xdr:twoCellAnchor>
  <xdr:twoCellAnchor>
    <xdr:from>
      <xdr:col>9</xdr:col>
      <xdr:colOff>342900</xdr:colOff>
      <xdr:row>24</xdr:row>
      <xdr:rowOff>182880</xdr:rowOff>
    </xdr:from>
    <xdr:to>
      <xdr:col>9</xdr:col>
      <xdr:colOff>4770120</xdr:colOff>
      <xdr:row>24</xdr:row>
      <xdr:rowOff>4488180</xdr:rowOff>
    </xdr:to>
    <xdr:sp macro="" textlink="">
      <xdr:nvSpPr>
        <xdr:cNvPr id="4528" name="Object 432" hidden="true">
          <a:extLst>
            <a:ext xmlns:a14="http://schemas.microsoft.com/office/drawing/2010/main" uri="{63B3BB69-23CF-44E3-9099-C40C66FF867C}">
              <a14:compatExt xmlns:a14="http://schemas.microsoft.com/office/drawing/2010/main" spid="_x0000_s4528"/>
            </a:ext>
            <a:ext xmlns:a16="http://schemas.microsoft.com/office/drawing/2014/main" uri="{FF2B5EF4-FFF2-40B4-BE49-F238E27FC236}">
              <a16:creationId xmlns:a16="http://schemas.microsoft.com/office/drawing/2014/main" id="{00000000-0008-0000-0400-0000B0110000}"/>
            </a:ext>
          </a:extLst>
        </xdr:cNvPr>
        <xdr:cNvSpPr/>
      </xdr:nvSpPr>
      <xdr:spPr bwMode="auto">
        <a:xfrm>
          <a:off x="0" y="0"/>
          <a:ext cx="0" cy="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sp>
    <xdr:clientData/>
  </xdr:twoCellAnchor>
  <xdr:twoCellAnchor>
    <xdr:from>
      <xdr:col>9</xdr:col>
      <xdr:colOff>83820</xdr:colOff>
      <xdr:row>22</xdr:row>
      <xdr:rowOff>297180</xdr:rowOff>
    </xdr:from>
    <xdr:to>
      <xdr:col>9</xdr:col>
      <xdr:colOff>4876800</xdr:colOff>
      <xdr:row>22</xdr:row>
      <xdr:rowOff>3169920</xdr:rowOff>
    </xdr:to>
    <xdr:sp macro="" textlink="">
      <xdr:nvSpPr>
        <xdr:cNvPr id="4529" name="Object 433" hidden="true">
          <a:extLst>
            <a:ext xmlns:a14="http://schemas.microsoft.com/office/drawing/2010/main" uri="{63B3BB69-23CF-44E3-9099-C40C66FF867C}">
              <a14:compatExt xmlns:a14="http://schemas.microsoft.com/office/drawing/2010/main" spid="_x0000_s4529"/>
            </a:ext>
            <a:ext xmlns:a16="http://schemas.microsoft.com/office/drawing/2014/main" uri="{FF2B5EF4-FFF2-40B4-BE49-F238E27FC236}">
              <a16:creationId xmlns:a16="http://schemas.microsoft.com/office/drawing/2014/main" id="{00000000-0008-0000-0400-0000B1110000}"/>
            </a:ext>
          </a:extLst>
        </xdr:cNvPr>
        <xdr:cNvSpPr/>
      </xdr:nvSpPr>
      <xdr:spPr bwMode="auto">
        <a:xfrm>
          <a:off x="0" y="0"/>
          <a:ext cx="0" cy="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sp>
    <xdr:clientData/>
  </xdr:twoCellAnchor>
  <xdr:twoCellAnchor>
    <xdr:from>
      <xdr:col>9</xdr:col>
      <xdr:colOff>182880</xdr:colOff>
      <xdr:row>9</xdr:row>
      <xdr:rowOff>335280</xdr:rowOff>
    </xdr:from>
    <xdr:to>
      <xdr:col>9</xdr:col>
      <xdr:colOff>4861560</xdr:colOff>
      <xdr:row>9</xdr:row>
      <xdr:rowOff>4953000</xdr:rowOff>
    </xdr:to>
    <xdr:sp macro="" textlink="">
      <xdr:nvSpPr>
        <xdr:cNvPr id="4530" name="Object 434" hidden="true">
          <a:extLst>
            <a:ext xmlns:a14="http://schemas.microsoft.com/office/drawing/2010/main" uri="{63B3BB69-23CF-44E3-9099-C40C66FF867C}">
              <a14:compatExt xmlns:a14="http://schemas.microsoft.com/office/drawing/2010/main" spid="_x0000_s4530"/>
            </a:ext>
            <a:ext xmlns:a16="http://schemas.microsoft.com/office/drawing/2014/main" uri="{FF2B5EF4-FFF2-40B4-BE49-F238E27FC236}">
              <a16:creationId xmlns:a16="http://schemas.microsoft.com/office/drawing/2014/main" id="{00000000-0008-0000-0400-0000B2110000}"/>
            </a:ext>
          </a:extLst>
        </xdr:cNvPr>
        <xdr:cNvSpPr/>
      </xdr:nvSpPr>
      <xdr:spPr bwMode="auto">
        <a:xfrm>
          <a:off x="0" y="0"/>
          <a:ext cx="0" cy="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sp>
    <xdr:clientData/>
  </xdr:twoCellAnchor>
  <xdr:twoCellAnchor>
    <xdr:from>
      <xdr:col>9</xdr:col>
      <xdr:colOff>1021080</xdr:colOff>
      <xdr:row>7</xdr:row>
      <xdr:rowOff>83820</xdr:rowOff>
    </xdr:from>
    <xdr:to>
      <xdr:col>9</xdr:col>
      <xdr:colOff>3413760</xdr:colOff>
      <xdr:row>7</xdr:row>
      <xdr:rowOff>1074420</xdr:rowOff>
    </xdr:to>
    <xdr:pic>
      <xdr:nvPicPr>
        <xdr:cNvPr id="2" name="Picture 252">
          <a:extLst>
            <a:ext xmlns:a16="http://schemas.microsoft.com/office/drawing/2014/main" uri="{FF2B5EF4-FFF2-40B4-BE49-F238E27FC236}">
              <a16:creationId xmlns:a16="http://schemas.microsoft.com/office/drawing/2014/main" id="{00000000-0008-0000-0400-000002000000}"/>
            </a:ext>
          </a:extLst>
        </xdr:cNvPr>
        <xdr:cNvPicPr>
          <a:picLocks noChangeAspect="true" noChangeArrowheads="true"/>
        </xdr:cNvPicPr>
      </xdr:nvPicPr>
      <xdr:blipFill>
        <a:blip r:embed="rId2">
          <a:extLst>
            <a:ext xmlns:a14="http://schemas.microsoft.com/office/drawing/2010/main" uri="{28A0092B-C50C-407E-A947-70E740481C1C}">
              <a14:useLocalDpi xmlns:a14="http://schemas.microsoft.com/office/drawing/2010/main" val="0"/>
            </a:ext>
          </a:extLst>
        </a:blip>
        <a:srcRect/>
        <a:stretch>
          <a:fillRect/>
        </a:stretch>
      </xdr:blipFill>
      <xdr:spPr bwMode="auto">
        <a:xfrm>
          <a:off x="13670280" y="4274820"/>
          <a:ext cx="2392680" cy="99060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pic>
    <xdr:clientData/>
  </xdr:twoCellAnchor>
  <xdr:twoCellAnchor>
    <xdr:from>
      <xdr:col>9</xdr:col>
      <xdr:colOff>1165860</xdr:colOff>
      <xdr:row>8</xdr:row>
      <xdr:rowOff>76200</xdr:rowOff>
    </xdr:from>
    <xdr:to>
      <xdr:col>9</xdr:col>
      <xdr:colOff>3268980</xdr:colOff>
      <xdr:row>8</xdr:row>
      <xdr:rowOff>784860</xdr:rowOff>
    </xdr:to>
    <xdr:pic>
      <xdr:nvPicPr>
        <xdr:cNvPr id="3" name="Picture 253">
          <a:extLst>
            <a:ext xmlns:a16="http://schemas.microsoft.com/office/drawing/2014/main" uri="{FF2B5EF4-FFF2-40B4-BE49-F238E27FC236}">
              <a16:creationId xmlns:a16="http://schemas.microsoft.com/office/drawing/2014/main" id="{00000000-0008-0000-0400-000003000000}"/>
            </a:ext>
          </a:extLst>
        </xdr:cNvPr>
        <xdr:cNvPicPr>
          <a:picLocks noChangeAspect="true" noChangeArrowheads="true"/>
        </xdr:cNvPicPr>
      </xdr:nvPicPr>
      <xdr:blipFill>
        <a:blip r:embed="rId3">
          <a:extLst>
            <a:ext xmlns:a14="http://schemas.microsoft.com/office/drawing/2010/main" uri="{28A0092B-C50C-407E-A947-70E740481C1C}">
              <a14:useLocalDpi xmlns:a14="http://schemas.microsoft.com/office/drawing/2010/main" val="0"/>
            </a:ext>
          </a:extLst>
        </a:blip>
        <a:srcRect/>
        <a:stretch>
          <a:fillRect/>
        </a:stretch>
      </xdr:blipFill>
      <xdr:spPr bwMode="auto">
        <a:xfrm>
          <a:off x="13815060" y="5448300"/>
          <a:ext cx="2103120" cy="70866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pic>
    <xdr:clientData/>
  </xdr:twoCellAnchor>
  <xdr:twoCellAnchor>
    <xdr:from>
      <xdr:col>9</xdr:col>
      <xdr:colOff>1021080</xdr:colOff>
      <xdr:row>18</xdr:row>
      <xdr:rowOff>68580</xdr:rowOff>
    </xdr:from>
    <xdr:to>
      <xdr:col>9</xdr:col>
      <xdr:colOff>2956560</xdr:colOff>
      <xdr:row>18</xdr:row>
      <xdr:rowOff>1226820</xdr:rowOff>
    </xdr:to>
    <xdr:pic>
      <xdr:nvPicPr>
        <xdr:cNvPr id="5" name="Picture 255">
          <a:extLst>
            <a:ext xmlns:a16="http://schemas.microsoft.com/office/drawing/2014/main" uri="{FF2B5EF4-FFF2-40B4-BE49-F238E27FC236}">
              <a16:creationId xmlns:a16="http://schemas.microsoft.com/office/drawing/2014/main" id="{00000000-0008-0000-0400-000005000000}"/>
            </a:ext>
          </a:extLst>
        </xdr:cNvPr>
        <xdr:cNvPicPr>
          <a:picLocks noChangeAspect="true" noChangeArrowheads="true"/>
        </xdr:cNvPicPr>
      </xdr:nvPicPr>
      <xdr:blipFill>
        <a:blip r:embed="rId4" cstate="print">
          <a:extLst>
            <a:ext xmlns:a14="http://schemas.microsoft.com/office/drawing/2010/main" uri="{28A0092B-C50C-407E-A947-70E740481C1C}">
              <a14:useLocalDpi xmlns:a14="http://schemas.microsoft.com/office/drawing/2010/main" val="0"/>
            </a:ext>
          </a:extLst>
        </a:blip>
        <a:srcRect/>
        <a:stretch>
          <a:fillRect/>
        </a:stretch>
      </xdr:blipFill>
      <xdr:spPr bwMode="auto">
        <a:xfrm>
          <a:off x="13670280" y="42961560"/>
          <a:ext cx="1935480" cy="115824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pic>
    <xdr:clientData/>
  </xdr:twoCellAnchor>
  <xdr:twoCellAnchor>
    <xdr:from>
      <xdr:col>9</xdr:col>
      <xdr:colOff>1089660</xdr:colOff>
      <xdr:row>19</xdr:row>
      <xdr:rowOff>144780</xdr:rowOff>
    </xdr:from>
    <xdr:to>
      <xdr:col>9</xdr:col>
      <xdr:colOff>2865120</xdr:colOff>
      <xdr:row>19</xdr:row>
      <xdr:rowOff>1211580</xdr:rowOff>
    </xdr:to>
    <xdr:pic>
      <xdr:nvPicPr>
        <xdr:cNvPr id="6" name="Picture 256">
          <a:extLst>
            <a:ext xmlns:a16="http://schemas.microsoft.com/office/drawing/2014/main" uri="{FF2B5EF4-FFF2-40B4-BE49-F238E27FC236}">
              <a16:creationId xmlns:a16="http://schemas.microsoft.com/office/drawing/2014/main" id="{00000000-0008-0000-0400-000006000000}"/>
            </a:ext>
          </a:extLst>
        </xdr:cNvPr>
        <xdr:cNvPicPr>
          <a:picLocks noChangeAspect="true" noChangeArrowheads="true"/>
        </xdr:cNvPicPr>
      </xdr:nvPicPr>
      <xdr:blipFill>
        <a:blip r:embed="rId5">
          <a:extLst>
            <a:ext xmlns:a14="http://schemas.microsoft.com/office/drawing/2010/main" uri="{28A0092B-C50C-407E-A947-70E740481C1C}">
              <a14:useLocalDpi xmlns:a14="http://schemas.microsoft.com/office/drawing/2010/main" val="0"/>
            </a:ext>
          </a:extLst>
        </a:blip>
        <a:srcRect/>
        <a:stretch>
          <a:fillRect/>
        </a:stretch>
      </xdr:blipFill>
      <xdr:spPr bwMode="auto">
        <a:xfrm>
          <a:off x="13738860" y="44378880"/>
          <a:ext cx="1775460" cy="106680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pic>
    <xdr:clientData/>
  </xdr:twoCellAnchor>
  <xdr:twoCellAnchor>
    <xdr:from>
      <xdr:col>9</xdr:col>
      <xdr:colOff>1318260</xdr:colOff>
      <xdr:row>20</xdr:row>
      <xdr:rowOff>251460</xdr:rowOff>
    </xdr:from>
    <xdr:to>
      <xdr:col>9</xdr:col>
      <xdr:colOff>2926080</xdr:colOff>
      <xdr:row>20</xdr:row>
      <xdr:rowOff>731520</xdr:rowOff>
    </xdr:to>
    <xdr:pic>
      <xdr:nvPicPr>
        <xdr:cNvPr id="7" name="Picture 257">
          <a:extLst>
            <a:ext xmlns:a16="http://schemas.microsoft.com/office/drawing/2014/main" uri="{FF2B5EF4-FFF2-40B4-BE49-F238E27FC236}">
              <a16:creationId xmlns:a16="http://schemas.microsoft.com/office/drawing/2014/main" id="{00000000-0008-0000-0400-000007000000}"/>
            </a:ext>
          </a:extLst>
        </xdr:cNvPr>
        <xdr:cNvPicPr>
          <a:picLocks noChangeAspect="true" noChangeArrowheads="true"/>
        </xdr:cNvPicPr>
      </xdr:nvPicPr>
      <xdr:blipFill>
        <a:blip r:embed="rId6">
          <a:extLst>
            <a:ext xmlns:a14="http://schemas.microsoft.com/office/drawing/2010/main" uri="{28A0092B-C50C-407E-A947-70E740481C1C}">
              <a14:useLocalDpi xmlns:a14="http://schemas.microsoft.com/office/drawing/2010/main" val="0"/>
            </a:ext>
          </a:extLst>
        </a:blip>
        <a:srcRect/>
        <a:stretch>
          <a:fillRect/>
        </a:stretch>
      </xdr:blipFill>
      <xdr:spPr bwMode="auto">
        <a:xfrm>
          <a:off x="13967460" y="45826680"/>
          <a:ext cx="1607820" cy="48006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pic>
    <xdr:clientData/>
  </xdr:twoCellAnchor>
  <xdr:twoCellAnchor>
    <xdr:from>
      <xdr:col>9</xdr:col>
      <xdr:colOff>1280160</xdr:colOff>
      <xdr:row>20</xdr:row>
      <xdr:rowOff>800100</xdr:rowOff>
    </xdr:from>
    <xdr:to>
      <xdr:col>9</xdr:col>
      <xdr:colOff>3116580</xdr:colOff>
      <xdr:row>20</xdr:row>
      <xdr:rowOff>1607820</xdr:rowOff>
    </xdr:to>
    <xdr:pic>
      <xdr:nvPicPr>
        <xdr:cNvPr id="8" name="Picture 258">
          <a:extLst>
            <a:ext xmlns:a16="http://schemas.microsoft.com/office/drawing/2014/main" uri="{FF2B5EF4-FFF2-40B4-BE49-F238E27FC236}">
              <a16:creationId xmlns:a16="http://schemas.microsoft.com/office/drawing/2014/main" id="{00000000-0008-0000-0400-000008000000}"/>
            </a:ext>
          </a:extLst>
        </xdr:cNvPr>
        <xdr:cNvPicPr>
          <a:picLocks noChangeAspect="true" noChangeArrowheads="true"/>
        </xdr:cNvPicPr>
      </xdr:nvPicPr>
      <xdr:blipFill>
        <a:blip r:embed="rId7">
          <a:extLst>
            <a:ext xmlns:a14="http://schemas.microsoft.com/office/drawing/2010/main" uri="{28A0092B-C50C-407E-A947-70E740481C1C}">
              <a14:useLocalDpi xmlns:a14="http://schemas.microsoft.com/office/drawing/2010/main" val="0"/>
            </a:ext>
          </a:extLst>
        </a:blip>
        <a:srcRect/>
        <a:stretch>
          <a:fillRect/>
        </a:stretch>
      </xdr:blipFill>
      <xdr:spPr bwMode="auto">
        <a:xfrm>
          <a:off x="13929360" y="46375320"/>
          <a:ext cx="1836420" cy="80772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pic>
    <xdr:clientData/>
  </xdr:twoCellAnchor>
  <xdr:twoCellAnchor>
    <xdr:from>
      <xdr:col>9</xdr:col>
      <xdr:colOff>1143000</xdr:colOff>
      <xdr:row>21</xdr:row>
      <xdr:rowOff>190500</xdr:rowOff>
    </xdr:from>
    <xdr:to>
      <xdr:col>9</xdr:col>
      <xdr:colOff>3505200</xdr:colOff>
      <xdr:row>21</xdr:row>
      <xdr:rowOff>1135380</xdr:rowOff>
    </xdr:to>
    <xdr:pic>
      <xdr:nvPicPr>
        <xdr:cNvPr id="9" name="Picture 260">
          <a:extLst>
            <a:ext xmlns:a16="http://schemas.microsoft.com/office/drawing/2014/main" uri="{FF2B5EF4-FFF2-40B4-BE49-F238E27FC236}">
              <a16:creationId xmlns:a16="http://schemas.microsoft.com/office/drawing/2014/main" id="{00000000-0008-0000-0400-000009000000}"/>
            </a:ext>
          </a:extLst>
        </xdr:cNvPr>
        <xdr:cNvPicPr>
          <a:picLocks noChangeAspect="true" noChangeArrowheads="true"/>
        </xdr:cNvPicPr>
      </xdr:nvPicPr>
      <xdr:blipFill>
        <a:blip r:embed="rId8">
          <a:extLst>
            <a:ext xmlns:a14="http://schemas.microsoft.com/office/drawing/2010/main" uri="{28A0092B-C50C-407E-A947-70E740481C1C}">
              <a14:useLocalDpi xmlns:a14="http://schemas.microsoft.com/office/drawing/2010/main" val="0"/>
            </a:ext>
          </a:extLst>
        </a:blip>
        <a:srcRect/>
        <a:stretch>
          <a:fillRect/>
        </a:stretch>
      </xdr:blipFill>
      <xdr:spPr bwMode="auto">
        <a:xfrm>
          <a:off x="13792200" y="47480220"/>
          <a:ext cx="2362200" cy="94488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pic>
    <xdr:clientData/>
  </xdr:twoCellAnchor>
  <xdr:twoCellAnchor>
    <xdr:from>
      <xdr:col>9</xdr:col>
      <xdr:colOff>1341120</xdr:colOff>
      <xdr:row>23</xdr:row>
      <xdr:rowOff>525780</xdr:rowOff>
    </xdr:from>
    <xdr:to>
      <xdr:col>9</xdr:col>
      <xdr:colOff>3268980</xdr:colOff>
      <xdr:row>23</xdr:row>
      <xdr:rowOff>914400</xdr:rowOff>
    </xdr:to>
    <xdr:pic>
      <xdr:nvPicPr>
        <xdr:cNvPr id="10" name="Picture 264">
          <a:extLst>
            <a:ext xmlns:a16="http://schemas.microsoft.com/office/drawing/2014/main" uri="{FF2B5EF4-FFF2-40B4-BE49-F238E27FC236}">
              <a16:creationId xmlns:a16="http://schemas.microsoft.com/office/drawing/2014/main" id="{00000000-0008-0000-0400-00000A000000}"/>
            </a:ext>
          </a:extLst>
        </xdr:cNvPr>
        <xdr:cNvPicPr>
          <a:picLocks noChangeAspect="true" noChangeArrowheads="true"/>
        </xdr:cNvPicPr>
      </xdr:nvPicPr>
      <xdr:blipFill>
        <a:blip r:embed="rId9">
          <a:extLst>
            <a:ext xmlns:a14="http://schemas.microsoft.com/office/drawing/2010/main" uri="{28A0092B-C50C-407E-A947-70E740481C1C}">
              <a14:useLocalDpi xmlns:a14="http://schemas.microsoft.com/office/drawing/2010/main" val="0"/>
            </a:ext>
          </a:extLst>
        </a:blip>
        <a:srcRect/>
        <a:stretch>
          <a:fillRect/>
        </a:stretch>
      </xdr:blipFill>
      <xdr:spPr bwMode="auto">
        <a:xfrm>
          <a:off x="13990320" y="52593240"/>
          <a:ext cx="1927860" cy="38862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pic>
    <xdr:clientData/>
  </xdr:twoCellAnchor>
  <xdr:twoCellAnchor>
    <xdr:from>
      <xdr:col>9</xdr:col>
      <xdr:colOff>731520</xdr:colOff>
      <xdr:row>25</xdr:row>
      <xdr:rowOff>137160</xdr:rowOff>
    </xdr:from>
    <xdr:to>
      <xdr:col>9</xdr:col>
      <xdr:colOff>3505200</xdr:colOff>
      <xdr:row>25</xdr:row>
      <xdr:rowOff>1219200</xdr:rowOff>
    </xdr:to>
    <xdr:pic>
      <xdr:nvPicPr>
        <xdr:cNvPr id="11" name="Picture 266">
          <a:extLst>
            <a:ext xmlns:a16="http://schemas.microsoft.com/office/drawing/2014/main" uri="{FF2B5EF4-FFF2-40B4-BE49-F238E27FC236}">
              <a16:creationId xmlns:a16="http://schemas.microsoft.com/office/drawing/2014/main" id="{00000000-0008-0000-0400-00000B000000}"/>
            </a:ext>
          </a:extLst>
        </xdr:cNvPr>
        <xdr:cNvPicPr>
          <a:picLocks noChangeAspect="true" noChangeArrowheads="true"/>
        </xdr:cNvPicPr>
      </xdr:nvPicPr>
      <xdr:blipFill>
        <a:blip r:embed="rId10">
          <a:extLst>
            <a:ext xmlns:a14="http://schemas.microsoft.com/office/drawing/2010/main" uri="{28A0092B-C50C-407E-A947-70E740481C1C}">
              <a14:useLocalDpi xmlns:a14="http://schemas.microsoft.com/office/drawing/2010/main" val="0"/>
            </a:ext>
          </a:extLst>
        </a:blip>
        <a:srcRect/>
        <a:stretch>
          <a:fillRect/>
        </a:stretch>
      </xdr:blipFill>
      <xdr:spPr bwMode="auto">
        <a:xfrm>
          <a:off x="13380720" y="58475880"/>
          <a:ext cx="2773680" cy="108204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pic>
    <xdr:clientData/>
  </xdr:twoCellAnchor>
  <xdr:twoCellAnchor>
    <xdr:from>
      <xdr:col>9</xdr:col>
      <xdr:colOff>868680</xdr:colOff>
      <xdr:row>27</xdr:row>
      <xdr:rowOff>182880</xdr:rowOff>
    </xdr:from>
    <xdr:to>
      <xdr:col>9</xdr:col>
      <xdr:colOff>3467100</xdr:colOff>
      <xdr:row>27</xdr:row>
      <xdr:rowOff>1363980</xdr:rowOff>
    </xdr:to>
    <xdr:pic>
      <xdr:nvPicPr>
        <xdr:cNvPr id="12" name="Picture 268">
          <a:extLst>
            <a:ext xmlns:a16="http://schemas.microsoft.com/office/drawing/2014/main" uri="{FF2B5EF4-FFF2-40B4-BE49-F238E27FC236}">
              <a16:creationId xmlns:a16="http://schemas.microsoft.com/office/drawing/2014/main" id="{00000000-0008-0000-0400-00000C000000}"/>
            </a:ext>
          </a:extLst>
        </xdr:cNvPr>
        <xdr:cNvPicPr>
          <a:picLocks noChangeAspect="true" noChangeArrowheads="true"/>
        </xdr:cNvPicPr>
      </xdr:nvPicPr>
      <xdr:blipFill>
        <a:blip r:embed="rId11" cstate="print">
          <a:extLst>
            <a:ext xmlns:a14="http://schemas.microsoft.com/office/drawing/2010/main" uri="{28A0092B-C50C-407E-A947-70E740481C1C}">
              <a14:useLocalDpi xmlns:a14="http://schemas.microsoft.com/office/drawing/2010/main" val="0"/>
            </a:ext>
          </a:extLst>
        </a:blip>
        <a:srcRect/>
        <a:stretch>
          <a:fillRect/>
        </a:stretch>
      </xdr:blipFill>
      <xdr:spPr bwMode="auto">
        <a:xfrm>
          <a:off x="13517880" y="65059560"/>
          <a:ext cx="2598420" cy="118110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pic>
    <xdr:clientData/>
  </xdr:twoCellAnchor>
  <xdr:twoCellAnchor>
    <xdr:from>
      <xdr:col>9</xdr:col>
      <xdr:colOff>830580</xdr:colOff>
      <xdr:row>28</xdr:row>
      <xdr:rowOff>137160</xdr:rowOff>
    </xdr:from>
    <xdr:to>
      <xdr:col>9</xdr:col>
      <xdr:colOff>3429000</xdr:colOff>
      <xdr:row>28</xdr:row>
      <xdr:rowOff>1318260</xdr:rowOff>
    </xdr:to>
    <xdr:pic>
      <xdr:nvPicPr>
        <xdr:cNvPr id="13" name="Picture 269">
          <a:extLst>
            <a:ext xmlns:a16="http://schemas.microsoft.com/office/drawing/2014/main" uri="{FF2B5EF4-FFF2-40B4-BE49-F238E27FC236}">
              <a16:creationId xmlns:a16="http://schemas.microsoft.com/office/drawing/2014/main" id="{00000000-0008-0000-0400-00000D000000}"/>
            </a:ext>
          </a:extLst>
        </xdr:cNvPr>
        <xdr:cNvPicPr>
          <a:picLocks noChangeAspect="true" noChangeArrowheads="true"/>
        </xdr:cNvPicPr>
      </xdr:nvPicPr>
      <xdr:blipFill>
        <a:blip r:embed="rId12">
          <a:extLst>
            <a:ext xmlns:a14="http://schemas.microsoft.com/office/drawing/2010/main" uri="{28A0092B-C50C-407E-A947-70E740481C1C}">
              <a14:useLocalDpi xmlns:a14="http://schemas.microsoft.com/office/drawing/2010/main" val="0"/>
            </a:ext>
          </a:extLst>
        </a:blip>
        <a:srcRect/>
        <a:stretch>
          <a:fillRect/>
        </a:stretch>
      </xdr:blipFill>
      <xdr:spPr bwMode="auto">
        <a:xfrm>
          <a:off x="13479780" y="66522600"/>
          <a:ext cx="2598420" cy="118110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pic>
    <xdr:clientData/>
  </xdr:twoCellAnchor>
  <xdr:twoCellAnchor>
    <xdr:from>
      <xdr:col>9</xdr:col>
      <xdr:colOff>861060</xdr:colOff>
      <xdr:row>29</xdr:row>
      <xdr:rowOff>190500</xdr:rowOff>
    </xdr:from>
    <xdr:to>
      <xdr:col>9</xdr:col>
      <xdr:colOff>3398520</xdr:colOff>
      <xdr:row>29</xdr:row>
      <xdr:rowOff>1242060</xdr:rowOff>
    </xdr:to>
    <xdr:pic>
      <xdr:nvPicPr>
        <xdr:cNvPr id="14" name="Picture 270">
          <a:extLst>
            <a:ext xmlns:a16="http://schemas.microsoft.com/office/drawing/2014/main" uri="{FF2B5EF4-FFF2-40B4-BE49-F238E27FC236}">
              <a16:creationId xmlns:a16="http://schemas.microsoft.com/office/drawing/2014/main" id="{00000000-0008-0000-0400-00000E000000}"/>
            </a:ext>
          </a:extLst>
        </xdr:cNvPr>
        <xdr:cNvPicPr>
          <a:picLocks noChangeAspect="true" noChangeArrowheads="true"/>
        </xdr:cNvPicPr>
      </xdr:nvPicPr>
      <xdr:blipFill>
        <a:blip r:embed="rId13" cstate="print">
          <a:extLst>
            <a:ext xmlns:a14="http://schemas.microsoft.com/office/drawing/2010/main" uri="{28A0092B-C50C-407E-A947-70E740481C1C}">
              <a14:useLocalDpi xmlns:a14="http://schemas.microsoft.com/office/drawing/2010/main" val="0"/>
            </a:ext>
          </a:extLst>
        </a:blip>
        <a:srcRect/>
        <a:stretch>
          <a:fillRect/>
        </a:stretch>
      </xdr:blipFill>
      <xdr:spPr bwMode="auto">
        <a:xfrm>
          <a:off x="13510260" y="68061840"/>
          <a:ext cx="2537460" cy="105156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pic>
    <xdr:clientData/>
  </xdr:twoCellAnchor>
  <xdr:twoCellAnchor>
    <xdr:from>
      <xdr:col>9</xdr:col>
      <xdr:colOff>800100</xdr:colOff>
      <xdr:row>30</xdr:row>
      <xdr:rowOff>137160</xdr:rowOff>
    </xdr:from>
    <xdr:to>
      <xdr:col>9</xdr:col>
      <xdr:colOff>3383280</xdr:colOff>
      <xdr:row>30</xdr:row>
      <xdr:rowOff>1203960</xdr:rowOff>
    </xdr:to>
    <xdr:pic>
      <xdr:nvPicPr>
        <xdr:cNvPr id="15" name="Picture 271">
          <a:extLst>
            <a:ext xmlns:a16="http://schemas.microsoft.com/office/drawing/2014/main" uri="{FF2B5EF4-FFF2-40B4-BE49-F238E27FC236}">
              <a16:creationId xmlns:a16="http://schemas.microsoft.com/office/drawing/2014/main" id="{00000000-0008-0000-0400-00000F000000}"/>
            </a:ext>
          </a:extLst>
        </xdr:cNvPr>
        <xdr:cNvPicPr>
          <a:picLocks noChangeAspect="true" noChangeArrowheads="true"/>
        </xdr:cNvPicPr>
      </xdr:nvPicPr>
      <xdr:blipFill>
        <a:blip r:embed="rId14">
          <a:extLst>
            <a:ext xmlns:a14="http://schemas.microsoft.com/office/drawing/2010/main" uri="{28A0092B-C50C-407E-A947-70E740481C1C}">
              <a14:useLocalDpi xmlns:a14="http://schemas.microsoft.com/office/drawing/2010/main" val="0"/>
            </a:ext>
          </a:extLst>
        </a:blip>
        <a:srcRect/>
        <a:stretch>
          <a:fillRect/>
        </a:stretch>
      </xdr:blipFill>
      <xdr:spPr bwMode="auto">
        <a:xfrm>
          <a:off x="13449300" y="69364860"/>
          <a:ext cx="2583180" cy="106680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pic>
    <xdr:clientData/>
  </xdr:twoCellAnchor>
  <xdr:twoCellAnchor>
    <xdr:from>
      <xdr:col>9</xdr:col>
      <xdr:colOff>632460</xdr:colOff>
      <xdr:row>31</xdr:row>
      <xdr:rowOff>99060</xdr:rowOff>
    </xdr:from>
    <xdr:to>
      <xdr:col>9</xdr:col>
      <xdr:colOff>3497580</xdr:colOff>
      <xdr:row>31</xdr:row>
      <xdr:rowOff>1226820</xdr:rowOff>
    </xdr:to>
    <xdr:pic>
      <xdr:nvPicPr>
        <xdr:cNvPr id="16" name="Picture 272">
          <a:extLst>
            <a:ext xmlns:a16="http://schemas.microsoft.com/office/drawing/2014/main" uri="{FF2B5EF4-FFF2-40B4-BE49-F238E27FC236}">
              <a16:creationId xmlns:a16="http://schemas.microsoft.com/office/drawing/2014/main" id="{00000000-0008-0000-0400-000010000000}"/>
            </a:ext>
          </a:extLst>
        </xdr:cNvPr>
        <xdr:cNvPicPr>
          <a:picLocks noChangeAspect="true" noChangeArrowheads="true"/>
        </xdr:cNvPicPr>
      </xdr:nvPicPr>
      <xdr:blipFill>
        <a:blip r:embed="rId15" cstate="print">
          <a:extLst>
            <a:ext xmlns:a14="http://schemas.microsoft.com/office/drawing/2010/main" uri="{28A0092B-C50C-407E-A947-70E740481C1C}">
              <a14:useLocalDpi xmlns:a14="http://schemas.microsoft.com/office/drawing/2010/main" val="0"/>
            </a:ext>
          </a:extLst>
        </a:blip>
        <a:srcRect/>
        <a:stretch>
          <a:fillRect/>
        </a:stretch>
      </xdr:blipFill>
      <xdr:spPr bwMode="auto">
        <a:xfrm>
          <a:off x="13281660" y="70683120"/>
          <a:ext cx="2865120" cy="112776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pic>
    <xdr:clientData/>
  </xdr:twoCellAnchor>
  <xdr:twoCellAnchor>
    <xdr:from>
      <xdr:col>9</xdr:col>
      <xdr:colOff>632460</xdr:colOff>
      <xdr:row>32</xdr:row>
      <xdr:rowOff>137160</xdr:rowOff>
    </xdr:from>
    <xdr:to>
      <xdr:col>9</xdr:col>
      <xdr:colOff>3497580</xdr:colOff>
      <xdr:row>32</xdr:row>
      <xdr:rowOff>1264920</xdr:rowOff>
    </xdr:to>
    <xdr:pic>
      <xdr:nvPicPr>
        <xdr:cNvPr id="17" name="Picture 273">
          <a:extLst>
            <a:ext xmlns:a16="http://schemas.microsoft.com/office/drawing/2014/main" uri="{FF2B5EF4-FFF2-40B4-BE49-F238E27FC236}">
              <a16:creationId xmlns:a16="http://schemas.microsoft.com/office/drawing/2014/main" id="{00000000-0008-0000-0400-000011000000}"/>
            </a:ext>
          </a:extLst>
        </xdr:cNvPr>
        <xdr:cNvPicPr>
          <a:picLocks noChangeAspect="true" noChangeArrowheads="true"/>
        </xdr:cNvPicPr>
      </xdr:nvPicPr>
      <xdr:blipFill>
        <a:blip r:embed="rId16">
          <a:extLst>
            <a:ext xmlns:a14="http://schemas.microsoft.com/office/drawing/2010/main" uri="{28A0092B-C50C-407E-A947-70E740481C1C}">
              <a14:useLocalDpi xmlns:a14="http://schemas.microsoft.com/office/drawing/2010/main" val="0"/>
            </a:ext>
          </a:extLst>
        </a:blip>
        <a:srcRect/>
        <a:stretch>
          <a:fillRect/>
        </a:stretch>
      </xdr:blipFill>
      <xdr:spPr bwMode="auto">
        <a:xfrm>
          <a:off x="13281660" y="72115680"/>
          <a:ext cx="2865120" cy="112776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pic>
    <xdr:clientData/>
  </xdr:twoCellAnchor>
  <xdr:twoCellAnchor>
    <xdr:from>
      <xdr:col>9</xdr:col>
      <xdr:colOff>792480</xdr:colOff>
      <xdr:row>33</xdr:row>
      <xdr:rowOff>182880</xdr:rowOff>
    </xdr:from>
    <xdr:to>
      <xdr:col>9</xdr:col>
      <xdr:colOff>3459480</xdr:colOff>
      <xdr:row>33</xdr:row>
      <xdr:rowOff>1318260</xdr:rowOff>
    </xdr:to>
    <xdr:pic>
      <xdr:nvPicPr>
        <xdr:cNvPr id="18" name="Picture 274">
          <a:extLst>
            <a:ext xmlns:a16="http://schemas.microsoft.com/office/drawing/2014/main" uri="{FF2B5EF4-FFF2-40B4-BE49-F238E27FC236}">
              <a16:creationId xmlns:a16="http://schemas.microsoft.com/office/drawing/2014/main" id="{00000000-0008-0000-0400-000012000000}"/>
            </a:ext>
          </a:extLst>
        </xdr:cNvPr>
        <xdr:cNvPicPr>
          <a:picLocks noChangeAspect="true" noChangeArrowheads="true"/>
        </xdr:cNvPicPr>
      </xdr:nvPicPr>
      <xdr:blipFill>
        <a:blip r:embed="rId17">
          <a:extLst>
            <a:ext xmlns:a14="http://schemas.microsoft.com/office/drawing/2010/main" uri="{28A0092B-C50C-407E-A947-70E740481C1C}">
              <a14:useLocalDpi xmlns:a14="http://schemas.microsoft.com/office/drawing/2010/main" val="0"/>
            </a:ext>
          </a:extLst>
        </a:blip>
        <a:srcRect/>
        <a:stretch>
          <a:fillRect/>
        </a:stretch>
      </xdr:blipFill>
      <xdr:spPr bwMode="auto">
        <a:xfrm>
          <a:off x="13441680" y="73555860"/>
          <a:ext cx="2667000" cy="113538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pic>
    <xdr:clientData/>
  </xdr:twoCellAnchor>
  <xdr:twoCellAnchor>
    <xdr:from>
      <xdr:col>9</xdr:col>
      <xdr:colOff>769620</xdr:colOff>
      <xdr:row>34</xdr:row>
      <xdr:rowOff>220980</xdr:rowOff>
    </xdr:from>
    <xdr:to>
      <xdr:col>9</xdr:col>
      <xdr:colOff>3436620</xdr:colOff>
      <xdr:row>34</xdr:row>
      <xdr:rowOff>1356360</xdr:rowOff>
    </xdr:to>
    <xdr:pic>
      <xdr:nvPicPr>
        <xdr:cNvPr id="19" name="Picture 275">
          <a:extLst>
            <a:ext xmlns:a16="http://schemas.microsoft.com/office/drawing/2014/main" uri="{FF2B5EF4-FFF2-40B4-BE49-F238E27FC236}">
              <a16:creationId xmlns:a16="http://schemas.microsoft.com/office/drawing/2014/main" id="{00000000-0008-0000-0400-000013000000}"/>
            </a:ext>
          </a:extLst>
        </xdr:cNvPr>
        <xdr:cNvPicPr>
          <a:picLocks noChangeAspect="true" noChangeArrowheads="true"/>
        </xdr:cNvPicPr>
      </xdr:nvPicPr>
      <xdr:blipFill>
        <a:blip r:embed="rId18">
          <a:extLst>
            <a:ext xmlns:a14="http://schemas.microsoft.com/office/drawing/2010/main" uri="{28A0092B-C50C-407E-A947-70E740481C1C}">
              <a14:useLocalDpi xmlns:a14="http://schemas.microsoft.com/office/drawing/2010/main" val="0"/>
            </a:ext>
          </a:extLst>
        </a:blip>
        <a:srcRect/>
        <a:stretch>
          <a:fillRect/>
        </a:stretch>
      </xdr:blipFill>
      <xdr:spPr bwMode="auto">
        <a:xfrm>
          <a:off x="13418820" y="75163680"/>
          <a:ext cx="2667000" cy="113538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pic>
    <xdr:clientData/>
  </xdr:twoCellAnchor>
  <xdr:twoCellAnchor>
    <xdr:from>
      <xdr:col>9</xdr:col>
      <xdr:colOff>792480</xdr:colOff>
      <xdr:row>35</xdr:row>
      <xdr:rowOff>182880</xdr:rowOff>
    </xdr:from>
    <xdr:to>
      <xdr:col>9</xdr:col>
      <xdr:colOff>3459480</xdr:colOff>
      <xdr:row>35</xdr:row>
      <xdr:rowOff>1318260</xdr:rowOff>
    </xdr:to>
    <xdr:pic>
      <xdr:nvPicPr>
        <xdr:cNvPr id="20" name="Picture 276">
          <a:extLst>
            <a:ext xmlns:a16="http://schemas.microsoft.com/office/drawing/2014/main" uri="{FF2B5EF4-FFF2-40B4-BE49-F238E27FC236}">
              <a16:creationId xmlns:a16="http://schemas.microsoft.com/office/drawing/2014/main" id="{00000000-0008-0000-0400-000014000000}"/>
            </a:ext>
          </a:extLst>
        </xdr:cNvPr>
        <xdr:cNvPicPr>
          <a:picLocks noChangeAspect="true" noChangeArrowheads="true"/>
        </xdr:cNvPicPr>
      </xdr:nvPicPr>
      <xdr:blipFill>
        <a:blip r:embed="rId19">
          <a:extLst>
            <a:ext xmlns:a14="http://schemas.microsoft.com/office/drawing/2010/main" uri="{28A0092B-C50C-407E-A947-70E740481C1C}">
              <a14:useLocalDpi xmlns:a14="http://schemas.microsoft.com/office/drawing/2010/main" val="0"/>
            </a:ext>
          </a:extLst>
        </a:blip>
        <a:srcRect/>
        <a:stretch>
          <a:fillRect/>
        </a:stretch>
      </xdr:blipFill>
      <xdr:spPr bwMode="auto">
        <a:xfrm>
          <a:off x="13441680" y="76695300"/>
          <a:ext cx="2667000" cy="113538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pic>
    <xdr:clientData/>
  </xdr:twoCellAnchor>
  <xdr:twoCellAnchor>
    <xdr:from>
      <xdr:col>9</xdr:col>
      <xdr:colOff>769620</xdr:colOff>
      <xdr:row>36</xdr:row>
      <xdr:rowOff>137160</xdr:rowOff>
    </xdr:from>
    <xdr:to>
      <xdr:col>9</xdr:col>
      <xdr:colOff>3436620</xdr:colOff>
      <xdr:row>36</xdr:row>
      <xdr:rowOff>1264920</xdr:rowOff>
    </xdr:to>
    <xdr:pic>
      <xdr:nvPicPr>
        <xdr:cNvPr id="21" name="Picture 277">
          <a:extLst>
            <a:ext xmlns:a16="http://schemas.microsoft.com/office/drawing/2014/main" uri="{FF2B5EF4-FFF2-40B4-BE49-F238E27FC236}">
              <a16:creationId xmlns:a16="http://schemas.microsoft.com/office/drawing/2014/main" id="{00000000-0008-0000-0400-000015000000}"/>
            </a:ext>
          </a:extLst>
        </xdr:cNvPr>
        <xdr:cNvPicPr>
          <a:picLocks noChangeAspect="true" noChangeArrowheads="true"/>
        </xdr:cNvPicPr>
      </xdr:nvPicPr>
      <xdr:blipFill>
        <a:blip r:embed="rId20">
          <a:extLst>
            <a:ext xmlns:a14="http://schemas.microsoft.com/office/drawing/2010/main" uri="{28A0092B-C50C-407E-A947-70E740481C1C}">
              <a14:useLocalDpi xmlns:a14="http://schemas.microsoft.com/office/drawing/2010/main" val="0"/>
            </a:ext>
          </a:extLst>
        </a:blip>
        <a:srcRect/>
        <a:stretch>
          <a:fillRect/>
        </a:stretch>
      </xdr:blipFill>
      <xdr:spPr bwMode="auto">
        <a:xfrm>
          <a:off x="13418820" y="78044040"/>
          <a:ext cx="2667000" cy="112776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pic>
    <xdr:clientData/>
  </xdr:twoCellAnchor>
  <xdr:twoCellAnchor>
    <xdr:from>
      <xdr:col>9</xdr:col>
      <xdr:colOff>845820</xdr:colOff>
      <xdr:row>37</xdr:row>
      <xdr:rowOff>152400</xdr:rowOff>
    </xdr:from>
    <xdr:to>
      <xdr:col>9</xdr:col>
      <xdr:colOff>3512820</xdr:colOff>
      <xdr:row>37</xdr:row>
      <xdr:rowOff>1287780</xdr:rowOff>
    </xdr:to>
    <xdr:pic>
      <xdr:nvPicPr>
        <xdr:cNvPr id="22" name="Picture 279">
          <a:extLst>
            <a:ext xmlns:a16="http://schemas.microsoft.com/office/drawing/2014/main" uri="{FF2B5EF4-FFF2-40B4-BE49-F238E27FC236}">
              <a16:creationId xmlns:a16="http://schemas.microsoft.com/office/drawing/2014/main" id="{00000000-0008-0000-0400-000016000000}"/>
            </a:ext>
          </a:extLst>
        </xdr:cNvPr>
        <xdr:cNvPicPr>
          <a:picLocks noChangeAspect="true" noChangeArrowheads="true"/>
        </xdr:cNvPicPr>
      </xdr:nvPicPr>
      <xdr:blipFill>
        <a:blip r:embed="rId21">
          <a:extLst>
            <a:ext xmlns:a14="http://schemas.microsoft.com/office/drawing/2010/main" uri="{28A0092B-C50C-407E-A947-70E740481C1C}">
              <a14:useLocalDpi xmlns:a14="http://schemas.microsoft.com/office/drawing/2010/main" val="0"/>
            </a:ext>
          </a:extLst>
        </a:blip>
        <a:srcRect/>
        <a:stretch>
          <a:fillRect/>
        </a:stretch>
      </xdr:blipFill>
      <xdr:spPr bwMode="auto">
        <a:xfrm>
          <a:off x="13495020" y="79453740"/>
          <a:ext cx="2667000" cy="113538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pic>
    <xdr:clientData/>
  </xdr:twoCellAnchor>
  <xdr:twoCellAnchor>
    <xdr:from>
      <xdr:col>9</xdr:col>
      <xdr:colOff>876300</xdr:colOff>
      <xdr:row>38</xdr:row>
      <xdr:rowOff>182880</xdr:rowOff>
    </xdr:from>
    <xdr:to>
      <xdr:col>9</xdr:col>
      <xdr:colOff>3771900</xdr:colOff>
      <xdr:row>38</xdr:row>
      <xdr:rowOff>1318260</xdr:rowOff>
    </xdr:to>
    <xdr:pic>
      <xdr:nvPicPr>
        <xdr:cNvPr id="23" name="Picture 281">
          <a:extLst>
            <a:ext xmlns:a16="http://schemas.microsoft.com/office/drawing/2014/main" uri="{FF2B5EF4-FFF2-40B4-BE49-F238E27FC236}">
              <a16:creationId xmlns:a16="http://schemas.microsoft.com/office/drawing/2014/main" id="{00000000-0008-0000-0400-000017000000}"/>
            </a:ext>
          </a:extLst>
        </xdr:cNvPr>
        <xdr:cNvPicPr>
          <a:picLocks noChangeAspect="true" noChangeArrowheads="true"/>
        </xdr:cNvPicPr>
      </xdr:nvPicPr>
      <xdr:blipFill>
        <a:blip r:embed="rId22">
          <a:extLst>
            <a:ext xmlns:a14="http://schemas.microsoft.com/office/drawing/2010/main" uri="{28A0092B-C50C-407E-A947-70E740481C1C}">
              <a14:useLocalDpi xmlns:a14="http://schemas.microsoft.com/office/drawing/2010/main" val="0"/>
            </a:ext>
          </a:extLst>
        </a:blip>
        <a:srcRect/>
        <a:stretch>
          <a:fillRect/>
        </a:stretch>
      </xdr:blipFill>
      <xdr:spPr bwMode="auto">
        <a:xfrm>
          <a:off x="13525500" y="80916780"/>
          <a:ext cx="2895600" cy="113538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pic>
    <xdr:clientData/>
  </xdr:twoCellAnchor>
  <xdr:twoCellAnchor>
    <xdr:from>
      <xdr:col>9</xdr:col>
      <xdr:colOff>670560</xdr:colOff>
      <xdr:row>39</xdr:row>
      <xdr:rowOff>182880</xdr:rowOff>
    </xdr:from>
    <xdr:to>
      <xdr:col>9</xdr:col>
      <xdr:colOff>3870960</xdr:colOff>
      <xdr:row>39</xdr:row>
      <xdr:rowOff>1546860</xdr:rowOff>
    </xdr:to>
    <xdr:pic>
      <xdr:nvPicPr>
        <xdr:cNvPr id="24" name="Picture 282">
          <a:extLst>
            <a:ext xmlns:a16="http://schemas.microsoft.com/office/drawing/2014/main" uri="{FF2B5EF4-FFF2-40B4-BE49-F238E27FC236}">
              <a16:creationId xmlns:a16="http://schemas.microsoft.com/office/drawing/2014/main" id="{00000000-0008-0000-0400-000018000000}"/>
            </a:ext>
          </a:extLst>
        </xdr:cNvPr>
        <xdr:cNvPicPr>
          <a:picLocks noChangeAspect="true" noChangeArrowheads="true"/>
        </xdr:cNvPicPr>
      </xdr:nvPicPr>
      <xdr:blipFill>
        <a:blip r:embed="rId23">
          <a:extLst>
            <a:ext xmlns:a14="http://schemas.microsoft.com/office/drawing/2010/main" uri="{28A0092B-C50C-407E-A947-70E740481C1C}">
              <a14:useLocalDpi xmlns:a14="http://schemas.microsoft.com/office/drawing/2010/main" val="0"/>
            </a:ext>
          </a:extLst>
        </a:blip>
        <a:srcRect/>
        <a:stretch>
          <a:fillRect/>
        </a:stretch>
      </xdr:blipFill>
      <xdr:spPr bwMode="auto">
        <a:xfrm>
          <a:off x="13319760" y="82349340"/>
          <a:ext cx="3200400" cy="136398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pic>
    <xdr:clientData/>
  </xdr:twoCellAnchor>
  <xdr:twoCellAnchor>
    <xdr:from>
      <xdr:col>9</xdr:col>
      <xdr:colOff>632460</xdr:colOff>
      <xdr:row>40</xdr:row>
      <xdr:rowOff>190500</xdr:rowOff>
    </xdr:from>
    <xdr:to>
      <xdr:col>9</xdr:col>
      <xdr:colOff>3771900</xdr:colOff>
      <xdr:row>40</xdr:row>
      <xdr:rowOff>1524000</xdr:rowOff>
    </xdr:to>
    <xdr:pic>
      <xdr:nvPicPr>
        <xdr:cNvPr id="25" name="Picture 283">
          <a:extLst>
            <a:ext xmlns:a16="http://schemas.microsoft.com/office/drawing/2014/main" uri="{FF2B5EF4-FFF2-40B4-BE49-F238E27FC236}">
              <a16:creationId xmlns:a16="http://schemas.microsoft.com/office/drawing/2014/main" id="{00000000-0008-0000-0400-000019000000}"/>
            </a:ext>
          </a:extLst>
        </xdr:cNvPr>
        <xdr:cNvPicPr>
          <a:picLocks noChangeAspect="true" noChangeArrowheads="true"/>
        </xdr:cNvPicPr>
      </xdr:nvPicPr>
      <xdr:blipFill>
        <a:blip r:embed="rId24">
          <a:extLst>
            <a:ext xmlns:a14="http://schemas.microsoft.com/office/drawing/2010/main" uri="{28A0092B-C50C-407E-A947-70E740481C1C}">
              <a14:useLocalDpi xmlns:a14="http://schemas.microsoft.com/office/drawing/2010/main" val="0"/>
            </a:ext>
          </a:extLst>
        </a:blip>
        <a:srcRect/>
        <a:stretch>
          <a:fillRect/>
        </a:stretch>
      </xdr:blipFill>
      <xdr:spPr bwMode="auto">
        <a:xfrm>
          <a:off x="13281660" y="84033360"/>
          <a:ext cx="3139440" cy="133350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pic>
    <xdr:clientData/>
  </xdr:twoCellAnchor>
  <xdr:twoCellAnchor>
    <xdr:from>
      <xdr:col>9</xdr:col>
      <xdr:colOff>952500</xdr:colOff>
      <xdr:row>41</xdr:row>
      <xdr:rowOff>388620</xdr:rowOff>
    </xdr:from>
    <xdr:to>
      <xdr:col>9</xdr:col>
      <xdr:colOff>4191000</xdr:colOff>
      <xdr:row>41</xdr:row>
      <xdr:rowOff>1638300</xdr:rowOff>
    </xdr:to>
    <xdr:pic>
      <xdr:nvPicPr>
        <xdr:cNvPr id="26" name="Picture 284">
          <a:extLst>
            <a:ext xmlns:a16="http://schemas.microsoft.com/office/drawing/2014/main" uri="{FF2B5EF4-FFF2-40B4-BE49-F238E27FC236}">
              <a16:creationId xmlns:a16="http://schemas.microsoft.com/office/drawing/2014/main" id="{00000000-0008-0000-0400-00001A000000}"/>
            </a:ext>
          </a:extLst>
        </xdr:cNvPr>
        <xdr:cNvPicPr>
          <a:picLocks noChangeAspect="true" noChangeArrowheads="true"/>
        </xdr:cNvPicPr>
      </xdr:nvPicPr>
      <xdr:blipFill>
        <a:blip r:embed="rId25">
          <a:extLst>
            <a:ext xmlns:a14="http://schemas.microsoft.com/office/drawing/2010/main" uri="{28A0092B-C50C-407E-A947-70E740481C1C}">
              <a14:useLocalDpi xmlns:a14="http://schemas.microsoft.com/office/drawing/2010/main" val="0"/>
            </a:ext>
          </a:extLst>
        </a:blip>
        <a:srcRect/>
        <a:stretch>
          <a:fillRect/>
        </a:stretch>
      </xdr:blipFill>
      <xdr:spPr bwMode="auto">
        <a:xfrm>
          <a:off x="13601700" y="85907880"/>
          <a:ext cx="3238500" cy="124968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pic>
    <xdr:clientData/>
  </xdr:twoCellAnchor>
  <xdr:twoCellAnchor>
    <xdr:from>
      <xdr:col>9</xdr:col>
      <xdr:colOff>876300</xdr:colOff>
      <xdr:row>42</xdr:row>
      <xdr:rowOff>373380</xdr:rowOff>
    </xdr:from>
    <xdr:to>
      <xdr:col>9</xdr:col>
      <xdr:colOff>4366260</xdr:colOff>
      <xdr:row>42</xdr:row>
      <xdr:rowOff>1661160</xdr:rowOff>
    </xdr:to>
    <xdr:pic>
      <xdr:nvPicPr>
        <xdr:cNvPr id="27" name="Picture 285">
          <a:extLst>
            <a:ext xmlns:a16="http://schemas.microsoft.com/office/drawing/2014/main" uri="{FF2B5EF4-FFF2-40B4-BE49-F238E27FC236}">
              <a16:creationId xmlns:a16="http://schemas.microsoft.com/office/drawing/2014/main" id="{00000000-0008-0000-0400-00001B000000}"/>
            </a:ext>
          </a:extLst>
        </xdr:cNvPr>
        <xdr:cNvPicPr>
          <a:picLocks noChangeAspect="true" noChangeArrowheads="true"/>
        </xdr:cNvPicPr>
      </xdr:nvPicPr>
      <xdr:blipFill>
        <a:blip r:embed="rId26">
          <a:extLst>
            <a:ext xmlns:a14="http://schemas.microsoft.com/office/drawing/2010/main" uri="{28A0092B-C50C-407E-A947-70E740481C1C}">
              <a14:useLocalDpi xmlns:a14="http://schemas.microsoft.com/office/drawing/2010/main" val="0"/>
            </a:ext>
          </a:extLst>
        </a:blip>
        <a:srcRect/>
        <a:stretch>
          <a:fillRect/>
        </a:stretch>
      </xdr:blipFill>
      <xdr:spPr bwMode="auto">
        <a:xfrm>
          <a:off x="13525500" y="87850980"/>
          <a:ext cx="3489960" cy="128778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pic>
    <xdr:clientData/>
  </xdr:twoCellAnchor>
  <xdr:twoCellAnchor>
    <xdr:from>
      <xdr:col>9</xdr:col>
      <xdr:colOff>609600</xdr:colOff>
      <xdr:row>43</xdr:row>
      <xdr:rowOff>259080</xdr:rowOff>
    </xdr:from>
    <xdr:to>
      <xdr:col>9</xdr:col>
      <xdr:colOff>4145280</xdr:colOff>
      <xdr:row>43</xdr:row>
      <xdr:rowOff>1699260</xdr:rowOff>
    </xdr:to>
    <xdr:pic>
      <xdr:nvPicPr>
        <xdr:cNvPr id="28" name="Picture 286">
          <a:extLst>
            <a:ext xmlns:a16="http://schemas.microsoft.com/office/drawing/2014/main" uri="{FF2B5EF4-FFF2-40B4-BE49-F238E27FC236}">
              <a16:creationId xmlns:a16="http://schemas.microsoft.com/office/drawing/2014/main" id="{00000000-0008-0000-0400-00001C000000}"/>
            </a:ext>
          </a:extLst>
        </xdr:cNvPr>
        <xdr:cNvPicPr>
          <a:picLocks noChangeAspect="true" noChangeArrowheads="true"/>
        </xdr:cNvPicPr>
      </xdr:nvPicPr>
      <xdr:blipFill>
        <a:blip r:embed="rId27">
          <a:extLst>
            <a:ext xmlns:a14="http://schemas.microsoft.com/office/drawing/2010/main" uri="{28A0092B-C50C-407E-A947-70E740481C1C}">
              <a14:useLocalDpi xmlns:a14="http://schemas.microsoft.com/office/drawing/2010/main" val="0"/>
            </a:ext>
          </a:extLst>
        </a:blip>
        <a:srcRect/>
        <a:stretch>
          <a:fillRect/>
        </a:stretch>
      </xdr:blipFill>
      <xdr:spPr bwMode="auto">
        <a:xfrm>
          <a:off x="13258800" y="89695020"/>
          <a:ext cx="3535680" cy="144018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pic>
    <xdr:clientData/>
  </xdr:twoCellAnchor>
  <xdr:twoCellAnchor>
    <xdr:from>
      <xdr:col>9</xdr:col>
      <xdr:colOff>792480</xdr:colOff>
      <xdr:row>44</xdr:row>
      <xdr:rowOff>365760</xdr:rowOff>
    </xdr:from>
    <xdr:to>
      <xdr:col>9</xdr:col>
      <xdr:colOff>4175760</xdr:colOff>
      <xdr:row>44</xdr:row>
      <xdr:rowOff>1554480</xdr:rowOff>
    </xdr:to>
    <xdr:pic>
      <xdr:nvPicPr>
        <xdr:cNvPr id="29" name="Picture 287">
          <a:extLst>
            <a:ext xmlns:a16="http://schemas.microsoft.com/office/drawing/2014/main" uri="{FF2B5EF4-FFF2-40B4-BE49-F238E27FC236}">
              <a16:creationId xmlns:a16="http://schemas.microsoft.com/office/drawing/2014/main" id="{00000000-0008-0000-0400-00001D000000}"/>
            </a:ext>
          </a:extLst>
        </xdr:cNvPr>
        <xdr:cNvPicPr>
          <a:picLocks noChangeAspect="true" noChangeArrowheads="true"/>
        </xdr:cNvPicPr>
      </xdr:nvPicPr>
      <xdr:blipFill>
        <a:blip r:embed="rId28">
          <a:extLst>
            <a:ext xmlns:a14="http://schemas.microsoft.com/office/drawing/2010/main" uri="{28A0092B-C50C-407E-A947-70E740481C1C}">
              <a14:useLocalDpi xmlns:a14="http://schemas.microsoft.com/office/drawing/2010/main" val="0"/>
            </a:ext>
          </a:extLst>
        </a:blip>
        <a:srcRect/>
        <a:stretch>
          <a:fillRect/>
        </a:stretch>
      </xdr:blipFill>
      <xdr:spPr bwMode="auto">
        <a:xfrm>
          <a:off x="13441680" y="91691460"/>
          <a:ext cx="3383280" cy="118872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pic>
    <xdr:clientData/>
  </xdr:twoCellAnchor>
  <xdr:twoCellAnchor>
    <xdr:from>
      <xdr:col>9</xdr:col>
      <xdr:colOff>876300</xdr:colOff>
      <xdr:row>45</xdr:row>
      <xdr:rowOff>114300</xdr:rowOff>
    </xdr:from>
    <xdr:to>
      <xdr:col>9</xdr:col>
      <xdr:colOff>3970020</xdr:colOff>
      <xdr:row>45</xdr:row>
      <xdr:rowOff>1417320</xdr:rowOff>
    </xdr:to>
    <xdr:pic>
      <xdr:nvPicPr>
        <xdr:cNvPr id="30" name="Picture 288">
          <a:extLst>
            <a:ext xmlns:a16="http://schemas.microsoft.com/office/drawing/2014/main" uri="{FF2B5EF4-FFF2-40B4-BE49-F238E27FC236}">
              <a16:creationId xmlns:a16="http://schemas.microsoft.com/office/drawing/2014/main" id="{00000000-0008-0000-0400-00001E000000}"/>
            </a:ext>
          </a:extLst>
        </xdr:cNvPr>
        <xdr:cNvPicPr>
          <a:picLocks noChangeAspect="true" noChangeArrowheads="true"/>
        </xdr:cNvPicPr>
      </xdr:nvPicPr>
      <xdr:blipFill>
        <a:blip r:embed="rId29">
          <a:extLst>
            <a:ext xmlns:a14="http://schemas.microsoft.com/office/drawing/2010/main" uri="{28A0092B-C50C-407E-A947-70E740481C1C}">
              <a14:useLocalDpi xmlns:a14="http://schemas.microsoft.com/office/drawing/2010/main" val="0"/>
            </a:ext>
          </a:extLst>
        </a:blip>
        <a:srcRect/>
        <a:stretch>
          <a:fillRect/>
        </a:stretch>
      </xdr:blipFill>
      <xdr:spPr bwMode="auto">
        <a:xfrm>
          <a:off x="13525500" y="93329760"/>
          <a:ext cx="3093720" cy="130302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pic>
    <xdr:clientData/>
  </xdr:twoCellAnchor>
  <xdr:twoCellAnchor>
    <xdr:from>
      <xdr:col>9</xdr:col>
      <xdr:colOff>944880</xdr:colOff>
      <xdr:row>46</xdr:row>
      <xdr:rowOff>144780</xdr:rowOff>
    </xdr:from>
    <xdr:to>
      <xdr:col>9</xdr:col>
      <xdr:colOff>4038600</xdr:colOff>
      <xdr:row>46</xdr:row>
      <xdr:rowOff>1447800</xdr:rowOff>
    </xdr:to>
    <xdr:pic>
      <xdr:nvPicPr>
        <xdr:cNvPr id="31" name="Picture 290">
          <a:extLst>
            <a:ext xmlns:a16="http://schemas.microsoft.com/office/drawing/2014/main" uri="{FF2B5EF4-FFF2-40B4-BE49-F238E27FC236}">
              <a16:creationId xmlns:a16="http://schemas.microsoft.com/office/drawing/2014/main" id="{00000000-0008-0000-0400-00001F000000}"/>
            </a:ext>
          </a:extLst>
        </xdr:cNvPr>
        <xdr:cNvPicPr>
          <a:picLocks noChangeAspect="true" noChangeArrowheads="true"/>
        </xdr:cNvPicPr>
      </xdr:nvPicPr>
      <xdr:blipFill>
        <a:blip r:embed="rId30">
          <a:extLst>
            <a:ext xmlns:a14="http://schemas.microsoft.com/office/drawing/2010/main" uri="{28A0092B-C50C-407E-A947-70E740481C1C}">
              <a14:useLocalDpi xmlns:a14="http://schemas.microsoft.com/office/drawing/2010/main" val="0"/>
            </a:ext>
          </a:extLst>
        </a:blip>
        <a:srcRect/>
        <a:stretch>
          <a:fillRect/>
        </a:stretch>
      </xdr:blipFill>
      <xdr:spPr bwMode="auto">
        <a:xfrm>
          <a:off x="13594080" y="94869000"/>
          <a:ext cx="3093720" cy="130302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pic>
    <xdr:clientData/>
  </xdr:twoCellAnchor>
  <xdr:twoCellAnchor>
    <xdr:from>
      <xdr:col>9</xdr:col>
      <xdr:colOff>1051560</xdr:colOff>
      <xdr:row>47</xdr:row>
      <xdr:rowOff>83820</xdr:rowOff>
    </xdr:from>
    <xdr:to>
      <xdr:col>9</xdr:col>
      <xdr:colOff>4145280</xdr:colOff>
      <xdr:row>47</xdr:row>
      <xdr:rowOff>1394460</xdr:rowOff>
    </xdr:to>
    <xdr:pic>
      <xdr:nvPicPr>
        <xdr:cNvPr id="32" name="Picture 291">
          <a:extLst>
            <a:ext xmlns:a16="http://schemas.microsoft.com/office/drawing/2014/main" uri="{FF2B5EF4-FFF2-40B4-BE49-F238E27FC236}">
              <a16:creationId xmlns:a16="http://schemas.microsoft.com/office/drawing/2014/main" id="{00000000-0008-0000-0400-000020000000}"/>
            </a:ext>
          </a:extLst>
        </xdr:cNvPr>
        <xdr:cNvPicPr>
          <a:picLocks noChangeAspect="true" noChangeArrowheads="true"/>
        </xdr:cNvPicPr>
      </xdr:nvPicPr>
      <xdr:blipFill>
        <a:blip r:embed="rId31">
          <a:extLst>
            <a:ext xmlns:a14="http://schemas.microsoft.com/office/drawing/2010/main" uri="{28A0092B-C50C-407E-A947-70E740481C1C}">
              <a14:useLocalDpi xmlns:a14="http://schemas.microsoft.com/office/drawing/2010/main" val="0"/>
            </a:ext>
          </a:extLst>
        </a:blip>
        <a:srcRect/>
        <a:stretch>
          <a:fillRect/>
        </a:stretch>
      </xdr:blipFill>
      <xdr:spPr bwMode="auto">
        <a:xfrm>
          <a:off x="13700760" y="96377760"/>
          <a:ext cx="3093720" cy="131064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pic>
    <xdr:clientData/>
  </xdr:twoCellAnchor>
  <xdr:twoCellAnchor>
    <xdr:from>
      <xdr:col>9</xdr:col>
      <xdr:colOff>1051560</xdr:colOff>
      <xdr:row>48</xdr:row>
      <xdr:rowOff>106680</xdr:rowOff>
    </xdr:from>
    <xdr:to>
      <xdr:col>9</xdr:col>
      <xdr:colOff>3985260</xdr:colOff>
      <xdr:row>48</xdr:row>
      <xdr:rowOff>1341120</xdr:rowOff>
    </xdr:to>
    <xdr:pic>
      <xdr:nvPicPr>
        <xdr:cNvPr id="33" name="Picture 292">
          <a:extLst>
            <a:ext xmlns:a16="http://schemas.microsoft.com/office/drawing/2014/main" uri="{FF2B5EF4-FFF2-40B4-BE49-F238E27FC236}">
              <a16:creationId xmlns:a16="http://schemas.microsoft.com/office/drawing/2014/main" id="{00000000-0008-0000-0400-000021000000}"/>
            </a:ext>
          </a:extLst>
        </xdr:cNvPr>
        <xdr:cNvPicPr>
          <a:picLocks noChangeAspect="true" noChangeArrowheads="true"/>
        </xdr:cNvPicPr>
      </xdr:nvPicPr>
      <xdr:blipFill>
        <a:blip r:embed="rId32">
          <a:extLst>
            <a:ext xmlns:a14="http://schemas.microsoft.com/office/drawing/2010/main" uri="{28A0092B-C50C-407E-A947-70E740481C1C}">
              <a14:useLocalDpi xmlns:a14="http://schemas.microsoft.com/office/drawing/2010/main" val="0"/>
            </a:ext>
          </a:extLst>
        </a:blip>
        <a:srcRect/>
        <a:stretch>
          <a:fillRect/>
        </a:stretch>
      </xdr:blipFill>
      <xdr:spPr bwMode="auto">
        <a:xfrm>
          <a:off x="13700760" y="97848420"/>
          <a:ext cx="2933700" cy="123444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pic>
    <xdr:clientData/>
  </xdr:twoCellAnchor>
  <xdr:twoCellAnchor>
    <xdr:from>
      <xdr:col>9</xdr:col>
      <xdr:colOff>449580</xdr:colOff>
      <xdr:row>52</xdr:row>
      <xdr:rowOff>198120</xdr:rowOff>
    </xdr:from>
    <xdr:to>
      <xdr:col>9</xdr:col>
      <xdr:colOff>4023360</xdr:colOff>
      <xdr:row>52</xdr:row>
      <xdr:rowOff>1333500</xdr:rowOff>
    </xdr:to>
    <xdr:pic>
      <xdr:nvPicPr>
        <xdr:cNvPr id="34" name="Picture 296">
          <a:extLst>
            <a:ext xmlns:a16="http://schemas.microsoft.com/office/drawing/2014/main" uri="{FF2B5EF4-FFF2-40B4-BE49-F238E27FC236}">
              <a16:creationId xmlns:a16="http://schemas.microsoft.com/office/drawing/2014/main" id="{00000000-0008-0000-0400-000022000000}"/>
            </a:ext>
          </a:extLst>
        </xdr:cNvPr>
        <xdr:cNvPicPr>
          <a:picLocks noChangeAspect="true" noChangeArrowheads="true"/>
        </xdr:cNvPicPr>
      </xdr:nvPicPr>
      <xdr:blipFill>
        <a:blip r:embed="rId33">
          <a:extLst>
            <a:ext xmlns:a14="http://schemas.microsoft.com/office/drawing/2010/main" uri="{28A0092B-C50C-407E-A947-70E740481C1C}">
              <a14:useLocalDpi xmlns:a14="http://schemas.microsoft.com/office/drawing/2010/main" val="0"/>
            </a:ext>
          </a:extLst>
        </a:blip>
        <a:srcRect/>
        <a:stretch>
          <a:fillRect/>
        </a:stretch>
      </xdr:blipFill>
      <xdr:spPr bwMode="auto">
        <a:xfrm>
          <a:off x="13098780" y="104554020"/>
          <a:ext cx="3573780" cy="113538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pic>
    <xdr:clientData/>
  </xdr:twoCellAnchor>
  <xdr:twoCellAnchor>
    <xdr:from>
      <xdr:col>9</xdr:col>
      <xdr:colOff>1676400</xdr:colOff>
      <xdr:row>56</xdr:row>
      <xdr:rowOff>137160</xdr:rowOff>
    </xdr:from>
    <xdr:to>
      <xdr:col>9</xdr:col>
      <xdr:colOff>3535680</xdr:colOff>
      <xdr:row>56</xdr:row>
      <xdr:rowOff>868680</xdr:rowOff>
    </xdr:to>
    <xdr:pic>
      <xdr:nvPicPr>
        <xdr:cNvPr id="35" name="Picture 301">
          <a:extLst>
            <a:ext xmlns:a16="http://schemas.microsoft.com/office/drawing/2014/main" uri="{FF2B5EF4-FFF2-40B4-BE49-F238E27FC236}">
              <a16:creationId xmlns:a16="http://schemas.microsoft.com/office/drawing/2014/main" id="{00000000-0008-0000-0400-000023000000}"/>
            </a:ext>
          </a:extLst>
        </xdr:cNvPr>
        <xdr:cNvPicPr>
          <a:picLocks noChangeAspect="true" noChangeArrowheads="true"/>
        </xdr:cNvPicPr>
      </xdr:nvPicPr>
      <xdr:blipFill>
        <a:blip r:embed="rId34">
          <a:extLst>
            <a:ext xmlns:a14="http://schemas.microsoft.com/office/drawing/2010/main" uri="{28A0092B-C50C-407E-A947-70E740481C1C}">
              <a14:useLocalDpi xmlns:a14="http://schemas.microsoft.com/office/drawing/2010/main" val="0"/>
            </a:ext>
          </a:extLst>
        </a:blip>
        <a:srcRect/>
        <a:stretch>
          <a:fillRect/>
        </a:stretch>
      </xdr:blipFill>
      <xdr:spPr bwMode="auto">
        <a:xfrm>
          <a:off x="14325600" y="110756700"/>
          <a:ext cx="1859280" cy="73152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pic>
    <xdr:clientData/>
  </xdr:twoCellAnchor>
  <xdr:twoCellAnchor>
    <xdr:from>
      <xdr:col>9</xdr:col>
      <xdr:colOff>1798320</xdr:colOff>
      <xdr:row>57</xdr:row>
      <xdr:rowOff>121920</xdr:rowOff>
    </xdr:from>
    <xdr:to>
      <xdr:col>9</xdr:col>
      <xdr:colOff>3398520</xdr:colOff>
      <xdr:row>57</xdr:row>
      <xdr:rowOff>998220</xdr:rowOff>
    </xdr:to>
    <xdr:pic>
      <xdr:nvPicPr>
        <xdr:cNvPr id="36" name="Picture 302">
          <a:extLst>
            <a:ext xmlns:a16="http://schemas.microsoft.com/office/drawing/2014/main" uri="{FF2B5EF4-FFF2-40B4-BE49-F238E27FC236}">
              <a16:creationId xmlns:a16="http://schemas.microsoft.com/office/drawing/2014/main" id="{00000000-0008-0000-0400-000024000000}"/>
            </a:ext>
          </a:extLst>
        </xdr:cNvPr>
        <xdr:cNvPicPr>
          <a:picLocks noChangeAspect="true" noChangeArrowheads="true"/>
        </xdr:cNvPicPr>
      </xdr:nvPicPr>
      <xdr:blipFill>
        <a:blip r:embed="rId35">
          <a:extLst>
            <a:ext xmlns:a14="http://schemas.microsoft.com/office/drawing/2010/main" uri="{28A0092B-C50C-407E-A947-70E740481C1C}">
              <a14:useLocalDpi xmlns:a14="http://schemas.microsoft.com/office/drawing/2010/main" val="0"/>
            </a:ext>
          </a:extLst>
        </a:blip>
        <a:srcRect/>
        <a:stretch>
          <a:fillRect/>
        </a:stretch>
      </xdr:blipFill>
      <xdr:spPr bwMode="auto">
        <a:xfrm>
          <a:off x="14447520" y="111693960"/>
          <a:ext cx="1600200" cy="87630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pic>
    <xdr:clientData/>
  </xdr:twoCellAnchor>
  <xdr:twoCellAnchor>
    <xdr:from>
      <xdr:col>9</xdr:col>
      <xdr:colOff>1569720</xdr:colOff>
      <xdr:row>58</xdr:row>
      <xdr:rowOff>182880</xdr:rowOff>
    </xdr:from>
    <xdr:to>
      <xdr:col>9</xdr:col>
      <xdr:colOff>3893820</xdr:colOff>
      <xdr:row>58</xdr:row>
      <xdr:rowOff>914400</xdr:rowOff>
    </xdr:to>
    <xdr:pic>
      <xdr:nvPicPr>
        <xdr:cNvPr id="37" name="Picture 303">
          <a:extLst>
            <a:ext xmlns:a16="http://schemas.microsoft.com/office/drawing/2014/main" uri="{FF2B5EF4-FFF2-40B4-BE49-F238E27FC236}">
              <a16:creationId xmlns:a16="http://schemas.microsoft.com/office/drawing/2014/main" id="{00000000-0008-0000-0400-000025000000}"/>
            </a:ext>
          </a:extLst>
        </xdr:cNvPr>
        <xdr:cNvPicPr>
          <a:picLocks noChangeAspect="true" noChangeArrowheads="true"/>
        </xdr:cNvPicPr>
      </xdr:nvPicPr>
      <xdr:blipFill>
        <a:blip r:embed="rId36">
          <a:extLst>
            <a:ext xmlns:a14="http://schemas.microsoft.com/office/drawing/2010/main" uri="{28A0092B-C50C-407E-A947-70E740481C1C}">
              <a14:useLocalDpi xmlns:a14="http://schemas.microsoft.com/office/drawing/2010/main" val="0"/>
            </a:ext>
          </a:extLst>
        </a:blip>
        <a:srcRect/>
        <a:stretch>
          <a:fillRect/>
        </a:stretch>
      </xdr:blipFill>
      <xdr:spPr bwMode="auto">
        <a:xfrm>
          <a:off x="14218920" y="112859820"/>
          <a:ext cx="2324100" cy="73152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pic>
    <xdr:clientData/>
  </xdr:twoCellAnchor>
  <xdr:twoCellAnchor>
    <xdr:from>
      <xdr:col>9</xdr:col>
      <xdr:colOff>1584960</xdr:colOff>
      <xdr:row>59</xdr:row>
      <xdr:rowOff>182880</xdr:rowOff>
    </xdr:from>
    <xdr:to>
      <xdr:col>9</xdr:col>
      <xdr:colOff>4046220</xdr:colOff>
      <xdr:row>59</xdr:row>
      <xdr:rowOff>914400</xdr:rowOff>
    </xdr:to>
    <xdr:pic>
      <xdr:nvPicPr>
        <xdr:cNvPr id="38" name="Picture 304">
          <a:extLst>
            <a:ext xmlns:a16="http://schemas.microsoft.com/office/drawing/2014/main" uri="{FF2B5EF4-FFF2-40B4-BE49-F238E27FC236}">
              <a16:creationId xmlns:a16="http://schemas.microsoft.com/office/drawing/2014/main" id="{00000000-0008-0000-0400-000026000000}"/>
            </a:ext>
          </a:extLst>
        </xdr:cNvPr>
        <xdr:cNvPicPr>
          <a:picLocks noChangeAspect="true" noChangeArrowheads="true"/>
        </xdr:cNvPicPr>
      </xdr:nvPicPr>
      <xdr:blipFill>
        <a:blip r:embed="rId37">
          <a:extLst>
            <a:ext xmlns:a14="http://schemas.microsoft.com/office/drawing/2010/main" uri="{28A0092B-C50C-407E-A947-70E740481C1C}">
              <a14:useLocalDpi xmlns:a14="http://schemas.microsoft.com/office/drawing/2010/main" val="0"/>
            </a:ext>
          </a:extLst>
        </a:blip>
        <a:srcRect/>
        <a:stretch>
          <a:fillRect/>
        </a:stretch>
      </xdr:blipFill>
      <xdr:spPr bwMode="auto">
        <a:xfrm>
          <a:off x="14234160" y="113926620"/>
          <a:ext cx="2461260" cy="73152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pic>
    <xdr:clientData/>
  </xdr:twoCellAnchor>
  <xdr:twoCellAnchor>
    <xdr:from>
      <xdr:col>9</xdr:col>
      <xdr:colOff>1470660</xdr:colOff>
      <xdr:row>60</xdr:row>
      <xdr:rowOff>137160</xdr:rowOff>
    </xdr:from>
    <xdr:to>
      <xdr:col>9</xdr:col>
      <xdr:colOff>3909060</xdr:colOff>
      <xdr:row>60</xdr:row>
      <xdr:rowOff>1333500</xdr:rowOff>
    </xdr:to>
    <xdr:pic>
      <xdr:nvPicPr>
        <xdr:cNvPr id="39" name="Picture 305">
          <a:extLst>
            <a:ext xmlns:a16="http://schemas.microsoft.com/office/drawing/2014/main" uri="{FF2B5EF4-FFF2-40B4-BE49-F238E27FC236}">
              <a16:creationId xmlns:a16="http://schemas.microsoft.com/office/drawing/2014/main" id="{00000000-0008-0000-0400-000027000000}"/>
            </a:ext>
          </a:extLst>
        </xdr:cNvPr>
        <xdr:cNvPicPr>
          <a:picLocks noChangeAspect="true" noChangeArrowheads="true"/>
        </xdr:cNvPicPr>
      </xdr:nvPicPr>
      <xdr:blipFill>
        <a:blip r:embed="rId38">
          <a:extLst>
            <a:ext xmlns:a14="http://schemas.microsoft.com/office/drawing/2010/main" uri="{28A0092B-C50C-407E-A947-70E740481C1C}">
              <a14:useLocalDpi xmlns:a14="http://schemas.microsoft.com/office/drawing/2010/main" val="0"/>
            </a:ext>
          </a:extLst>
        </a:blip>
        <a:srcRect/>
        <a:stretch>
          <a:fillRect/>
        </a:stretch>
      </xdr:blipFill>
      <xdr:spPr bwMode="auto">
        <a:xfrm>
          <a:off x="14119860" y="114924840"/>
          <a:ext cx="2438400" cy="119634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pic>
    <xdr:clientData/>
  </xdr:twoCellAnchor>
  <xdr:twoCellAnchor>
    <xdr:from>
      <xdr:col>9</xdr:col>
      <xdr:colOff>1341120</xdr:colOff>
      <xdr:row>61</xdr:row>
      <xdr:rowOff>175260</xdr:rowOff>
    </xdr:from>
    <xdr:to>
      <xdr:col>9</xdr:col>
      <xdr:colOff>3848100</xdr:colOff>
      <xdr:row>61</xdr:row>
      <xdr:rowOff>1402080</xdr:rowOff>
    </xdr:to>
    <xdr:pic>
      <xdr:nvPicPr>
        <xdr:cNvPr id="40" name="Picture 306">
          <a:extLst>
            <a:ext xmlns:a16="http://schemas.microsoft.com/office/drawing/2014/main" uri="{FF2B5EF4-FFF2-40B4-BE49-F238E27FC236}">
              <a16:creationId xmlns:a16="http://schemas.microsoft.com/office/drawing/2014/main" id="{00000000-0008-0000-0400-000028000000}"/>
            </a:ext>
          </a:extLst>
        </xdr:cNvPr>
        <xdr:cNvPicPr>
          <a:picLocks noChangeAspect="true" noChangeArrowheads="true"/>
        </xdr:cNvPicPr>
      </xdr:nvPicPr>
      <xdr:blipFill>
        <a:blip r:embed="rId39">
          <a:extLst>
            <a:ext xmlns:a14="http://schemas.microsoft.com/office/drawing/2010/main" uri="{28A0092B-C50C-407E-A947-70E740481C1C}">
              <a14:useLocalDpi xmlns:a14="http://schemas.microsoft.com/office/drawing/2010/main" val="0"/>
            </a:ext>
          </a:extLst>
        </a:blip>
        <a:srcRect/>
        <a:stretch>
          <a:fillRect/>
        </a:stretch>
      </xdr:blipFill>
      <xdr:spPr bwMode="auto">
        <a:xfrm>
          <a:off x="13990320" y="116448840"/>
          <a:ext cx="2506980" cy="122682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pic>
    <xdr:clientData/>
  </xdr:twoCellAnchor>
  <xdr:twoCellAnchor>
    <xdr:from>
      <xdr:col>9</xdr:col>
      <xdr:colOff>1028700</xdr:colOff>
      <xdr:row>62</xdr:row>
      <xdr:rowOff>228600</xdr:rowOff>
    </xdr:from>
    <xdr:to>
      <xdr:col>9</xdr:col>
      <xdr:colOff>4251960</xdr:colOff>
      <xdr:row>62</xdr:row>
      <xdr:rowOff>1607820</xdr:rowOff>
    </xdr:to>
    <xdr:pic>
      <xdr:nvPicPr>
        <xdr:cNvPr id="41" name="Picture 307">
          <a:extLst>
            <a:ext xmlns:a16="http://schemas.microsoft.com/office/drawing/2014/main" uri="{FF2B5EF4-FFF2-40B4-BE49-F238E27FC236}">
              <a16:creationId xmlns:a16="http://schemas.microsoft.com/office/drawing/2014/main" id="{00000000-0008-0000-0400-000029000000}"/>
            </a:ext>
          </a:extLst>
        </xdr:cNvPr>
        <xdr:cNvPicPr>
          <a:picLocks noChangeAspect="true" noChangeArrowheads="true"/>
        </xdr:cNvPicPr>
      </xdr:nvPicPr>
      <xdr:blipFill>
        <a:blip r:embed="rId40">
          <a:extLst>
            <a:ext xmlns:a14="http://schemas.microsoft.com/office/drawing/2010/main" uri="{28A0092B-C50C-407E-A947-70E740481C1C}">
              <a14:useLocalDpi xmlns:a14="http://schemas.microsoft.com/office/drawing/2010/main" val="0"/>
            </a:ext>
          </a:extLst>
        </a:blip>
        <a:srcRect/>
        <a:stretch>
          <a:fillRect/>
        </a:stretch>
      </xdr:blipFill>
      <xdr:spPr bwMode="auto">
        <a:xfrm>
          <a:off x="13677900" y="117995700"/>
          <a:ext cx="3223260" cy="137922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pic>
    <xdr:clientData/>
  </xdr:twoCellAnchor>
  <xdr:twoCellAnchor>
    <xdr:from>
      <xdr:col>9</xdr:col>
      <xdr:colOff>1341120</xdr:colOff>
      <xdr:row>63</xdr:row>
      <xdr:rowOff>114300</xdr:rowOff>
    </xdr:from>
    <xdr:to>
      <xdr:col>9</xdr:col>
      <xdr:colOff>4000500</xdr:colOff>
      <xdr:row>63</xdr:row>
      <xdr:rowOff>906780</xdr:rowOff>
    </xdr:to>
    <xdr:pic>
      <xdr:nvPicPr>
        <xdr:cNvPr id="42" name="Picture 308">
          <a:extLst>
            <a:ext xmlns:a16="http://schemas.microsoft.com/office/drawing/2014/main" uri="{FF2B5EF4-FFF2-40B4-BE49-F238E27FC236}">
              <a16:creationId xmlns:a16="http://schemas.microsoft.com/office/drawing/2014/main" id="{00000000-0008-0000-0400-00002A000000}"/>
            </a:ext>
          </a:extLst>
        </xdr:cNvPr>
        <xdr:cNvPicPr>
          <a:picLocks noChangeAspect="true" noChangeArrowheads="true"/>
        </xdr:cNvPicPr>
      </xdr:nvPicPr>
      <xdr:blipFill>
        <a:blip r:embed="rId41">
          <a:extLst>
            <a:ext xmlns:a14="http://schemas.microsoft.com/office/drawing/2010/main" uri="{28A0092B-C50C-407E-A947-70E740481C1C}">
              <a14:useLocalDpi xmlns:a14="http://schemas.microsoft.com/office/drawing/2010/main" val="0"/>
            </a:ext>
          </a:extLst>
        </a:blip>
        <a:srcRect/>
        <a:stretch>
          <a:fillRect/>
        </a:stretch>
      </xdr:blipFill>
      <xdr:spPr bwMode="auto">
        <a:xfrm>
          <a:off x="13990320" y="119679720"/>
          <a:ext cx="2659380" cy="79248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pic>
    <xdr:clientData/>
  </xdr:twoCellAnchor>
  <xdr:twoCellAnchor>
    <xdr:from>
      <xdr:col>9</xdr:col>
      <xdr:colOff>1059180</xdr:colOff>
      <xdr:row>64</xdr:row>
      <xdr:rowOff>175260</xdr:rowOff>
    </xdr:from>
    <xdr:to>
      <xdr:col>9</xdr:col>
      <xdr:colOff>4221480</xdr:colOff>
      <xdr:row>64</xdr:row>
      <xdr:rowOff>1242060</xdr:rowOff>
    </xdr:to>
    <xdr:pic>
      <xdr:nvPicPr>
        <xdr:cNvPr id="43" name="Picture 309">
          <a:extLst>
            <a:ext xmlns:a16="http://schemas.microsoft.com/office/drawing/2014/main" uri="{FF2B5EF4-FFF2-40B4-BE49-F238E27FC236}">
              <a16:creationId xmlns:a16="http://schemas.microsoft.com/office/drawing/2014/main" id="{00000000-0008-0000-0400-00002B000000}"/>
            </a:ext>
          </a:extLst>
        </xdr:cNvPr>
        <xdr:cNvPicPr>
          <a:picLocks noChangeAspect="true" noChangeArrowheads="true"/>
        </xdr:cNvPicPr>
      </xdr:nvPicPr>
      <xdr:blipFill>
        <a:blip r:embed="rId42">
          <a:extLst>
            <a:ext xmlns:a14="http://schemas.microsoft.com/office/drawing/2010/main" uri="{28A0092B-C50C-407E-A947-70E740481C1C}">
              <a14:useLocalDpi xmlns:a14="http://schemas.microsoft.com/office/drawing/2010/main" val="0"/>
            </a:ext>
          </a:extLst>
        </a:blip>
        <a:srcRect/>
        <a:stretch>
          <a:fillRect/>
        </a:stretch>
      </xdr:blipFill>
      <xdr:spPr bwMode="auto">
        <a:xfrm>
          <a:off x="13708380" y="120738900"/>
          <a:ext cx="3162300" cy="106680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pic>
    <xdr:clientData/>
  </xdr:twoCellAnchor>
  <xdr:twoCellAnchor>
    <xdr:from>
      <xdr:col>9</xdr:col>
      <xdr:colOff>304800</xdr:colOff>
      <xdr:row>65</xdr:row>
      <xdr:rowOff>182880</xdr:rowOff>
    </xdr:from>
    <xdr:to>
      <xdr:col>9</xdr:col>
      <xdr:colOff>4838700</xdr:colOff>
      <xdr:row>65</xdr:row>
      <xdr:rowOff>1059180</xdr:rowOff>
    </xdr:to>
    <xdr:pic>
      <xdr:nvPicPr>
        <xdr:cNvPr id="44" name="Picture 311">
          <a:extLst>
            <a:ext xmlns:a16="http://schemas.microsoft.com/office/drawing/2014/main" uri="{FF2B5EF4-FFF2-40B4-BE49-F238E27FC236}">
              <a16:creationId xmlns:a16="http://schemas.microsoft.com/office/drawing/2014/main" id="{00000000-0008-0000-0400-00002C000000}"/>
            </a:ext>
          </a:extLst>
        </xdr:cNvPr>
        <xdr:cNvPicPr>
          <a:picLocks noChangeAspect="true" noChangeArrowheads="true"/>
        </xdr:cNvPicPr>
      </xdr:nvPicPr>
      <xdr:blipFill>
        <a:blip r:embed="rId43">
          <a:extLst>
            <a:ext xmlns:a14="http://schemas.microsoft.com/office/drawing/2010/main" uri="{28A0092B-C50C-407E-A947-70E740481C1C}">
              <a14:useLocalDpi xmlns:a14="http://schemas.microsoft.com/office/drawing/2010/main" val="0"/>
            </a:ext>
          </a:extLst>
        </a:blip>
        <a:srcRect/>
        <a:stretch>
          <a:fillRect/>
        </a:stretch>
      </xdr:blipFill>
      <xdr:spPr bwMode="auto">
        <a:xfrm>
          <a:off x="12954000" y="122064780"/>
          <a:ext cx="4533900" cy="87630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pic>
    <xdr:clientData/>
  </xdr:twoCellAnchor>
  <xdr:twoCellAnchor>
    <xdr:from>
      <xdr:col>9</xdr:col>
      <xdr:colOff>182880</xdr:colOff>
      <xdr:row>66</xdr:row>
      <xdr:rowOff>190500</xdr:rowOff>
    </xdr:from>
    <xdr:to>
      <xdr:col>9</xdr:col>
      <xdr:colOff>4861560</xdr:colOff>
      <xdr:row>66</xdr:row>
      <xdr:rowOff>1325880</xdr:rowOff>
    </xdr:to>
    <xdr:pic>
      <xdr:nvPicPr>
        <xdr:cNvPr id="45" name="Picture 312">
          <a:extLst>
            <a:ext xmlns:a16="http://schemas.microsoft.com/office/drawing/2014/main" uri="{FF2B5EF4-FFF2-40B4-BE49-F238E27FC236}">
              <a16:creationId xmlns:a16="http://schemas.microsoft.com/office/drawing/2014/main" id="{00000000-0008-0000-0400-00002D000000}"/>
            </a:ext>
          </a:extLst>
        </xdr:cNvPr>
        <xdr:cNvPicPr>
          <a:picLocks noChangeAspect="true" noChangeArrowheads="true"/>
        </xdr:cNvPicPr>
      </xdr:nvPicPr>
      <xdr:blipFill>
        <a:blip r:embed="rId44">
          <a:extLst>
            <a:ext xmlns:a14="http://schemas.microsoft.com/office/drawing/2010/main" uri="{28A0092B-C50C-407E-A947-70E740481C1C}">
              <a14:useLocalDpi xmlns:a14="http://schemas.microsoft.com/office/drawing/2010/main" val="0"/>
            </a:ext>
          </a:extLst>
        </a:blip>
        <a:srcRect/>
        <a:stretch>
          <a:fillRect/>
        </a:stretch>
      </xdr:blipFill>
      <xdr:spPr bwMode="auto">
        <a:xfrm>
          <a:off x="12832080" y="123276360"/>
          <a:ext cx="4678680" cy="113538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pic>
    <xdr:clientData/>
  </xdr:twoCellAnchor>
  <xdr:twoCellAnchor>
    <xdr:from>
      <xdr:col>9</xdr:col>
      <xdr:colOff>1661160</xdr:colOff>
      <xdr:row>67</xdr:row>
      <xdr:rowOff>106680</xdr:rowOff>
    </xdr:from>
    <xdr:to>
      <xdr:col>9</xdr:col>
      <xdr:colOff>3726180</xdr:colOff>
      <xdr:row>67</xdr:row>
      <xdr:rowOff>975360</xdr:rowOff>
    </xdr:to>
    <xdr:pic>
      <xdr:nvPicPr>
        <xdr:cNvPr id="46" name="Picture 313">
          <a:extLst>
            <a:ext xmlns:a16="http://schemas.microsoft.com/office/drawing/2014/main" uri="{FF2B5EF4-FFF2-40B4-BE49-F238E27FC236}">
              <a16:creationId xmlns:a16="http://schemas.microsoft.com/office/drawing/2014/main" id="{00000000-0008-0000-0400-00002E000000}"/>
            </a:ext>
          </a:extLst>
        </xdr:cNvPr>
        <xdr:cNvPicPr>
          <a:picLocks noChangeAspect="true" noChangeArrowheads="true"/>
        </xdr:cNvPicPr>
      </xdr:nvPicPr>
      <xdr:blipFill>
        <a:blip r:embed="rId45">
          <a:extLst>
            <a:ext xmlns:a14="http://schemas.microsoft.com/office/drawing/2010/main" uri="{28A0092B-C50C-407E-A947-70E740481C1C}">
              <a14:useLocalDpi xmlns:a14="http://schemas.microsoft.com/office/drawing/2010/main" val="0"/>
            </a:ext>
          </a:extLst>
        </a:blip>
        <a:srcRect/>
        <a:stretch>
          <a:fillRect/>
        </a:stretch>
      </xdr:blipFill>
      <xdr:spPr bwMode="auto">
        <a:xfrm>
          <a:off x="14310360" y="124754640"/>
          <a:ext cx="2065020" cy="86868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pic>
    <xdr:clientData/>
  </xdr:twoCellAnchor>
  <xdr:twoCellAnchor>
    <xdr:from>
      <xdr:col>9</xdr:col>
      <xdr:colOff>1546860</xdr:colOff>
      <xdr:row>68</xdr:row>
      <xdr:rowOff>106680</xdr:rowOff>
    </xdr:from>
    <xdr:to>
      <xdr:col>9</xdr:col>
      <xdr:colOff>3459480</xdr:colOff>
      <xdr:row>68</xdr:row>
      <xdr:rowOff>922020</xdr:rowOff>
    </xdr:to>
    <xdr:pic>
      <xdr:nvPicPr>
        <xdr:cNvPr id="47" name="Picture 314">
          <a:extLst>
            <a:ext xmlns:a16="http://schemas.microsoft.com/office/drawing/2014/main" uri="{FF2B5EF4-FFF2-40B4-BE49-F238E27FC236}">
              <a16:creationId xmlns:a16="http://schemas.microsoft.com/office/drawing/2014/main" id="{00000000-0008-0000-0400-00002F000000}"/>
            </a:ext>
          </a:extLst>
        </xdr:cNvPr>
        <xdr:cNvPicPr>
          <a:picLocks noChangeAspect="true" noChangeArrowheads="true"/>
        </xdr:cNvPicPr>
      </xdr:nvPicPr>
      <xdr:blipFill>
        <a:blip r:embed="rId46">
          <a:extLst>
            <a:ext xmlns:a14="http://schemas.microsoft.com/office/drawing/2010/main" uri="{28A0092B-C50C-407E-A947-70E740481C1C}">
              <a14:useLocalDpi xmlns:a14="http://schemas.microsoft.com/office/drawing/2010/main" val="0"/>
            </a:ext>
          </a:extLst>
        </a:blip>
        <a:srcRect/>
        <a:stretch>
          <a:fillRect/>
        </a:stretch>
      </xdr:blipFill>
      <xdr:spPr bwMode="auto">
        <a:xfrm>
          <a:off x="14196060" y="125912880"/>
          <a:ext cx="1912620" cy="81534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pic>
    <xdr:clientData/>
  </xdr:twoCellAnchor>
  <xdr:twoCellAnchor>
    <xdr:from>
      <xdr:col>9</xdr:col>
      <xdr:colOff>190500</xdr:colOff>
      <xdr:row>69</xdr:row>
      <xdr:rowOff>365760</xdr:rowOff>
    </xdr:from>
    <xdr:to>
      <xdr:col>9</xdr:col>
      <xdr:colOff>4785360</xdr:colOff>
      <xdr:row>69</xdr:row>
      <xdr:rowOff>1165860</xdr:rowOff>
    </xdr:to>
    <xdr:pic>
      <xdr:nvPicPr>
        <xdr:cNvPr id="48" name="Picture 315">
          <a:extLst>
            <a:ext xmlns:a16="http://schemas.microsoft.com/office/drawing/2014/main" uri="{FF2B5EF4-FFF2-40B4-BE49-F238E27FC236}">
              <a16:creationId xmlns:a16="http://schemas.microsoft.com/office/drawing/2014/main" id="{00000000-0008-0000-0400-000030000000}"/>
            </a:ext>
          </a:extLst>
        </xdr:cNvPr>
        <xdr:cNvPicPr>
          <a:picLocks noChangeAspect="true" noChangeArrowheads="true"/>
        </xdr:cNvPicPr>
      </xdr:nvPicPr>
      <xdr:blipFill>
        <a:blip r:embed="rId47">
          <a:extLst>
            <a:ext xmlns:a14="http://schemas.microsoft.com/office/drawing/2010/main" uri="{28A0092B-C50C-407E-A947-70E740481C1C}">
              <a14:useLocalDpi xmlns:a14="http://schemas.microsoft.com/office/drawing/2010/main" val="0"/>
            </a:ext>
          </a:extLst>
        </a:blip>
        <a:srcRect/>
        <a:stretch>
          <a:fillRect/>
        </a:stretch>
      </xdr:blipFill>
      <xdr:spPr bwMode="auto">
        <a:xfrm>
          <a:off x="12839700" y="127177800"/>
          <a:ext cx="4594860" cy="80010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pic>
    <xdr:clientData/>
  </xdr:twoCellAnchor>
  <xdr:twoCellAnchor>
    <xdr:from>
      <xdr:col>9</xdr:col>
      <xdr:colOff>533400</xdr:colOff>
      <xdr:row>70</xdr:row>
      <xdr:rowOff>274320</xdr:rowOff>
    </xdr:from>
    <xdr:to>
      <xdr:col>9</xdr:col>
      <xdr:colOff>4488180</xdr:colOff>
      <xdr:row>70</xdr:row>
      <xdr:rowOff>1127760</xdr:rowOff>
    </xdr:to>
    <xdr:pic>
      <xdr:nvPicPr>
        <xdr:cNvPr id="49" name="Picture 316">
          <a:extLst>
            <a:ext xmlns:a16="http://schemas.microsoft.com/office/drawing/2014/main" uri="{FF2B5EF4-FFF2-40B4-BE49-F238E27FC236}">
              <a16:creationId xmlns:a16="http://schemas.microsoft.com/office/drawing/2014/main" id="{00000000-0008-0000-0400-000031000000}"/>
            </a:ext>
          </a:extLst>
        </xdr:cNvPr>
        <xdr:cNvPicPr>
          <a:picLocks noChangeAspect="true" noChangeArrowheads="true"/>
        </xdr:cNvPicPr>
      </xdr:nvPicPr>
      <xdr:blipFill>
        <a:blip r:embed="rId48">
          <a:extLst>
            <a:ext xmlns:a14="http://schemas.microsoft.com/office/drawing/2010/main" uri="{28A0092B-C50C-407E-A947-70E740481C1C}">
              <a14:useLocalDpi xmlns:a14="http://schemas.microsoft.com/office/drawing/2010/main" val="0"/>
            </a:ext>
          </a:extLst>
        </a:blip>
        <a:srcRect/>
        <a:stretch>
          <a:fillRect/>
        </a:stretch>
      </xdr:blipFill>
      <xdr:spPr bwMode="auto">
        <a:xfrm>
          <a:off x="13182600" y="128663700"/>
          <a:ext cx="3954780" cy="85344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pic>
    <xdr:clientData/>
  </xdr:twoCellAnchor>
  <xdr:twoCellAnchor>
    <xdr:from>
      <xdr:col>9</xdr:col>
      <xdr:colOff>213360</xdr:colOff>
      <xdr:row>49</xdr:row>
      <xdr:rowOff>236220</xdr:rowOff>
    </xdr:from>
    <xdr:to>
      <xdr:col>9</xdr:col>
      <xdr:colOff>4770120</xdr:colOff>
      <xdr:row>49</xdr:row>
      <xdr:rowOff>1287780</xdr:rowOff>
    </xdr:to>
    <xdr:pic>
      <xdr:nvPicPr>
        <xdr:cNvPr id="50" name="Picture 389">
          <a:extLst>
            <a:ext xmlns:a16="http://schemas.microsoft.com/office/drawing/2014/main" uri="{FF2B5EF4-FFF2-40B4-BE49-F238E27FC236}">
              <a16:creationId xmlns:a16="http://schemas.microsoft.com/office/drawing/2014/main" id="{00000000-0008-0000-0400-000032000000}"/>
            </a:ext>
          </a:extLst>
        </xdr:cNvPr>
        <xdr:cNvPicPr>
          <a:picLocks noChangeAspect="true" noChangeArrowheads="true"/>
        </xdr:cNvPicPr>
      </xdr:nvPicPr>
      <xdr:blipFill>
        <a:blip r:embed="rId49" cstate="print">
          <a:extLst>
            <a:ext xmlns:a14="http://schemas.microsoft.com/office/drawing/2010/main" uri="{28A0092B-C50C-407E-A947-70E740481C1C}">
              <a14:useLocalDpi xmlns:a14="http://schemas.microsoft.com/office/drawing/2010/main" val="0"/>
            </a:ext>
          </a:extLst>
        </a:blip>
        <a:srcRect/>
        <a:stretch>
          <a:fillRect/>
        </a:stretch>
      </xdr:blipFill>
      <xdr:spPr bwMode="auto">
        <a:xfrm>
          <a:off x="12862560" y="99425760"/>
          <a:ext cx="4556760" cy="105156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pic>
    <xdr:clientData/>
  </xdr:twoCellAnchor>
  <xdr:twoCellAnchor>
    <xdr:from>
      <xdr:col>9</xdr:col>
      <xdr:colOff>228600</xdr:colOff>
      <xdr:row>50</xdr:row>
      <xdr:rowOff>327660</xdr:rowOff>
    </xdr:from>
    <xdr:to>
      <xdr:col>9</xdr:col>
      <xdr:colOff>4762500</xdr:colOff>
      <xdr:row>50</xdr:row>
      <xdr:rowOff>1341120</xdr:rowOff>
    </xdr:to>
    <xdr:pic>
      <xdr:nvPicPr>
        <xdr:cNvPr id="51" name="Picture 390">
          <a:extLst>
            <a:ext xmlns:a16="http://schemas.microsoft.com/office/drawing/2014/main" uri="{FF2B5EF4-FFF2-40B4-BE49-F238E27FC236}">
              <a16:creationId xmlns:a16="http://schemas.microsoft.com/office/drawing/2014/main" id="{00000000-0008-0000-0400-000033000000}"/>
            </a:ext>
          </a:extLst>
        </xdr:cNvPr>
        <xdr:cNvPicPr>
          <a:picLocks noChangeAspect="true" noChangeArrowheads="true"/>
        </xdr:cNvPicPr>
      </xdr:nvPicPr>
      <xdr:blipFill>
        <a:blip r:embed="rId50" cstate="print">
          <a:extLst>
            <a:ext xmlns:a14="http://schemas.microsoft.com/office/drawing/2010/main" uri="{28A0092B-C50C-407E-A947-70E740481C1C}">
              <a14:useLocalDpi xmlns:a14="http://schemas.microsoft.com/office/drawing/2010/main" val="0"/>
            </a:ext>
          </a:extLst>
        </a:blip>
        <a:srcRect/>
        <a:stretch>
          <a:fillRect/>
        </a:stretch>
      </xdr:blipFill>
      <xdr:spPr bwMode="auto">
        <a:xfrm>
          <a:off x="12877800" y="101140260"/>
          <a:ext cx="4533900" cy="101346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pic>
    <xdr:clientData/>
  </xdr:twoCellAnchor>
  <xdr:twoCellAnchor>
    <xdr:from>
      <xdr:col>9</xdr:col>
      <xdr:colOff>632460</xdr:colOff>
      <xdr:row>51</xdr:row>
      <xdr:rowOff>373380</xdr:rowOff>
    </xdr:from>
    <xdr:to>
      <xdr:col>9</xdr:col>
      <xdr:colOff>4533900</xdr:colOff>
      <xdr:row>51</xdr:row>
      <xdr:rowOff>1744980</xdr:rowOff>
    </xdr:to>
    <xdr:pic>
      <xdr:nvPicPr>
        <xdr:cNvPr id="52" name="Picture 391">
          <a:extLst>
            <a:ext xmlns:a16="http://schemas.microsoft.com/office/drawing/2014/main" uri="{FF2B5EF4-FFF2-40B4-BE49-F238E27FC236}">
              <a16:creationId xmlns:a16="http://schemas.microsoft.com/office/drawing/2014/main" id="{00000000-0008-0000-0400-000034000000}"/>
            </a:ext>
          </a:extLst>
        </xdr:cNvPr>
        <xdr:cNvPicPr>
          <a:picLocks noChangeAspect="true" noChangeArrowheads="true"/>
        </xdr:cNvPicPr>
      </xdr:nvPicPr>
      <xdr:blipFill>
        <a:blip r:embed="rId51" cstate="print">
          <a:extLst>
            <a:ext xmlns:a14="http://schemas.microsoft.com/office/drawing/2010/main" uri="{28A0092B-C50C-407E-A947-70E740481C1C}">
              <a14:useLocalDpi xmlns:a14="http://schemas.microsoft.com/office/drawing/2010/main" val="0"/>
            </a:ext>
          </a:extLst>
        </a:blip>
        <a:srcRect/>
        <a:stretch>
          <a:fillRect/>
        </a:stretch>
      </xdr:blipFill>
      <xdr:spPr bwMode="auto">
        <a:xfrm>
          <a:off x="13281660" y="102809040"/>
          <a:ext cx="3901440" cy="137160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pic>
    <xdr:clientData/>
  </xdr:twoCellAnchor>
  <xdr:twoCellAnchor>
    <xdr:from>
      <xdr:col>9</xdr:col>
      <xdr:colOff>144780</xdr:colOff>
      <xdr:row>53</xdr:row>
      <xdr:rowOff>259080</xdr:rowOff>
    </xdr:from>
    <xdr:to>
      <xdr:col>9</xdr:col>
      <xdr:colOff>4861560</xdr:colOff>
      <xdr:row>53</xdr:row>
      <xdr:rowOff>1203960</xdr:rowOff>
    </xdr:to>
    <xdr:pic>
      <xdr:nvPicPr>
        <xdr:cNvPr id="53" name="Picture 394">
          <a:extLst>
            <a:ext xmlns:a16="http://schemas.microsoft.com/office/drawing/2014/main" uri="{FF2B5EF4-FFF2-40B4-BE49-F238E27FC236}">
              <a16:creationId xmlns:a16="http://schemas.microsoft.com/office/drawing/2014/main" id="{00000000-0008-0000-0400-000035000000}"/>
            </a:ext>
          </a:extLst>
        </xdr:cNvPr>
        <xdr:cNvPicPr>
          <a:picLocks noChangeAspect="true" noChangeArrowheads="true"/>
        </xdr:cNvPicPr>
      </xdr:nvPicPr>
      <xdr:blipFill>
        <a:blip r:embed="rId52" cstate="print">
          <a:extLst>
            <a:ext xmlns:a14="http://schemas.microsoft.com/office/drawing/2010/main" uri="{28A0092B-C50C-407E-A947-70E740481C1C}">
              <a14:useLocalDpi xmlns:a14="http://schemas.microsoft.com/office/drawing/2010/main" val="0"/>
            </a:ext>
          </a:extLst>
        </a:blip>
        <a:srcRect/>
        <a:stretch>
          <a:fillRect/>
        </a:stretch>
      </xdr:blipFill>
      <xdr:spPr bwMode="auto">
        <a:xfrm>
          <a:off x="12793980" y="106062780"/>
          <a:ext cx="4716780" cy="94488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pic>
    <xdr:clientData/>
  </xdr:twoCellAnchor>
  <xdr:twoCellAnchor>
    <xdr:from>
      <xdr:col>9</xdr:col>
      <xdr:colOff>457200</xdr:colOff>
      <xdr:row>54</xdr:row>
      <xdr:rowOff>289560</xdr:rowOff>
    </xdr:from>
    <xdr:to>
      <xdr:col>9</xdr:col>
      <xdr:colOff>4495800</xdr:colOff>
      <xdr:row>54</xdr:row>
      <xdr:rowOff>1356360</xdr:rowOff>
    </xdr:to>
    <xdr:pic>
      <xdr:nvPicPr>
        <xdr:cNvPr id="54" name="Picture 395">
          <a:extLst>
            <a:ext xmlns:a16="http://schemas.microsoft.com/office/drawing/2014/main" uri="{FF2B5EF4-FFF2-40B4-BE49-F238E27FC236}">
              <a16:creationId xmlns:a16="http://schemas.microsoft.com/office/drawing/2014/main" id="{00000000-0008-0000-0400-000036000000}"/>
            </a:ext>
          </a:extLst>
        </xdr:cNvPr>
        <xdr:cNvPicPr>
          <a:picLocks noChangeAspect="true" noChangeArrowheads="true"/>
        </xdr:cNvPicPr>
      </xdr:nvPicPr>
      <xdr:blipFill>
        <a:blip r:embed="rId53" cstate="print">
          <a:extLst>
            <a:ext xmlns:a14="http://schemas.microsoft.com/office/drawing/2010/main" uri="{28A0092B-C50C-407E-A947-70E740481C1C}">
              <a14:useLocalDpi xmlns:a14="http://schemas.microsoft.com/office/drawing/2010/main" val="0"/>
            </a:ext>
          </a:extLst>
        </a:blip>
        <a:srcRect/>
        <a:stretch>
          <a:fillRect/>
        </a:stretch>
      </xdr:blipFill>
      <xdr:spPr bwMode="auto">
        <a:xfrm>
          <a:off x="13106400" y="107579160"/>
          <a:ext cx="4038600" cy="106680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pic>
    <xdr:clientData/>
  </xdr:twoCellAnchor>
  <xdr:twoCellAnchor>
    <xdr:from>
      <xdr:col>9</xdr:col>
      <xdr:colOff>685800</xdr:colOff>
      <xdr:row>55</xdr:row>
      <xdr:rowOff>182880</xdr:rowOff>
    </xdr:from>
    <xdr:to>
      <xdr:col>9</xdr:col>
      <xdr:colOff>4328160</xdr:colOff>
      <xdr:row>55</xdr:row>
      <xdr:rowOff>1569720</xdr:rowOff>
    </xdr:to>
    <xdr:pic>
      <xdr:nvPicPr>
        <xdr:cNvPr id="55" name="Picture 396">
          <a:extLst>
            <a:ext xmlns:a16="http://schemas.microsoft.com/office/drawing/2014/main" uri="{FF2B5EF4-FFF2-40B4-BE49-F238E27FC236}">
              <a16:creationId xmlns:a16="http://schemas.microsoft.com/office/drawing/2014/main" id="{00000000-0008-0000-0400-000037000000}"/>
            </a:ext>
          </a:extLst>
        </xdr:cNvPr>
        <xdr:cNvPicPr>
          <a:picLocks noChangeAspect="true" noChangeArrowheads="true"/>
        </xdr:cNvPicPr>
      </xdr:nvPicPr>
      <xdr:blipFill>
        <a:blip r:embed="rId54" cstate="print">
          <a:extLst>
            <a:ext xmlns:a14="http://schemas.microsoft.com/office/drawing/2010/main" uri="{28A0092B-C50C-407E-A947-70E740481C1C}">
              <a14:useLocalDpi xmlns:a14="http://schemas.microsoft.com/office/drawing/2010/main" val="0"/>
            </a:ext>
          </a:extLst>
        </a:blip>
        <a:srcRect/>
        <a:stretch>
          <a:fillRect/>
        </a:stretch>
      </xdr:blipFill>
      <xdr:spPr bwMode="auto">
        <a:xfrm>
          <a:off x="13335000" y="109080300"/>
          <a:ext cx="3642360" cy="138684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pic>
    <xdr:clientData/>
  </xdr:twoCellAnchor>
  <xdr:twoCellAnchor>
    <xdr:from>
      <xdr:col>9</xdr:col>
      <xdr:colOff>411480</xdr:colOff>
      <xdr:row>10</xdr:row>
      <xdr:rowOff>213360</xdr:rowOff>
    </xdr:from>
    <xdr:to>
      <xdr:col>9</xdr:col>
      <xdr:colOff>4594860</xdr:colOff>
      <xdr:row>10</xdr:row>
      <xdr:rowOff>4953000</xdr:rowOff>
    </xdr:to>
    <xdr:pic>
      <xdr:nvPicPr>
        <xdr:cNvPr id="56" name="Picture 420">
          <a:extLst>
            <a:ext xmlns:a16="http://schemas.microsoft.com/office/drawing/2014/main" uri="{FF2B5EF4-FFF2-40B4-BE49-F238E27FC236}">
              <a16:creationId xmlns:a16="http://schemas.microsoft.com/office/drawing/2014/main" id="{00000000-0008-0000-0400-000038000000}"/>
            </a:ext>
          </a:extLst>
        </xdr:cNvPr>
        <xdr:cNvPicPr>
          <a:picLocks noChangeAspect="true" noChangeArrowheads="true"/>
        </xdr:cNvPicPr>
      </xdr:nvPicPr>
      <xdr:blipFill>
        <a:blip r:embed="rId55" cstate="print">
          <a:extLst>
            <a:ext xmlns:a14="http://schemas.microsoft.com/office/drawing/2010/main" uri="{28A0092B-C50C-407E-A947-70E740481C1C}">
              <a14:useLocalDpi xmlns:a14="http://schemas.microsoft.com/office/drawing/2010/main" val="0"/>
            </a:ext>
          </a:extLst>
        </a:blip>
        <a:srcRect/>
        <a:stretch>
          <a:fillRect/>
        </a:stretch>
      </xdr:blipFill>
      <xdr:spPr bwMode="auto">
        <a:xfrm>
          <a:off x="13060680" y="11643360"/>
          <a:ext cx="4183380" cy="473964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pic>
    <xdr:clientData/>
  </xdr:twoCellAnchor>
  <xdr:twoCellAnchor>
    <xdr:from>
      <xdr:col>9</xdr:col>
      <xdr:colOff>617220</xdr:colOff>
      <xdr:row>11</xdr:row>
      <xdr:rowOff>182880</xdr:rowOff>
    </xdr:from>
    <xdr:to>
      <xdr:col>9</xdr:col>
      <xdr:colOff>4427220</xdr:colOff>
      <xdr:row>11</xdr:row>
      <xdr:rowOff>4823460</xdr:rowOff>
    </xdr:to>
    <xdr:pic>
      <xdr:nvPicPr>
        <xdr:cNvPr id="57" name="Picture 421">
          <a:extLst>
            <a:ext xmlns:a16="http://schemas.microsoft.com/office/drawing/2014/main" uri="{FF2B5EF4-FFF2-40B4-BE49-F238E27FC236}">
              <a16:creationId xmlns:a16="http://schemas.microsoft.com/office/drawing/2014/main" id="{00000000-0008-0000-0400-000039000000}"/>
            </a:ext>
          </a:extLst>
        </xdr:cNvPr>
        <xdr:cNvPicPr>
          <a:picLocks noChangeAspect="true" noChangeArrowheads="true"/>
        </xdr:cNvPicPr>
      </xdr:nvPicPr>
      <xdr:blipFill>
        <a:blip r:embed="rId56" cstate="print">
          <a:extLst>
            <a:ext xmlns:a14="http://schemas.microsoft.com/office/drawing/2010/main" uri="{28A0092B-C50C-407E-A947-70E740481C1C}">
              <a14:useLocalDpi xmlns:a14="http://schemas.microsoft.com/office/drawing/2010/main" val="0"/>
            </a:ext>
          </a:extLst>
        </a:blip>
        <a:srcRect/>
        <a:stretch>
          <a:fillRect/>
        </a:stretch>
      </xdr:blipFill>
      <xdr:spPr bwMode="auto">
        <a:xfrm>
          <a:off x="13266420" y="16809720"/>
          <a:ext cx="3810000" cy="464058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pic>
    <xdr:clientData/>
  </xdr:twoCellAnchor>
  <xdr:twoCellAnchor>
    <xdr:from>
      <xdr:col>9</xdr:col>
      <xdr:colOff>335280</xdr:colOff>
      <xdr:row>12</xdr:row>
      <xdr:rowOff>327660</xdr:rowOff>
    </xdr:from>
    <xdr:to>
      <xdr:col>9</xdr:col>
      <xdr:colOff>4716780</xdr:colOff>
      <xdr:row>12</xdr:row>
      <xdr:rowOff>3870960</xdr:rowOff>
    </xdr:to>
    <xdr:pic>
      <xdr:nvPicPr>
        <xdr:cNvPr id="58" name="Picture 422">
          <a:extLst>
            <a:ext xmlns:a16="http://schemas.microsoft.com/office/drawing/2014/main" uri="{FF2B5EF4-FFF2-40B4-BE49-F238E27FC236}">
              <a16:creationId xmlns:a16="http://schemas.microsoft.com/office/drawing/2014/main" id="{00000000-0008-0000-0400-00003A000000}"/>
            </a:ext>
          </a:extLst>
        </xdr:cNvPr>
        <xdr:cNvPicPr>
          <a:picLocks noChangeAspect="true" noChangeArrowheads="true"/>
        </xdr:cNvPicPr>
      </xdr:nvPicPr>
      <xdr:blipFill>
        <a:blip r:embed="rId57">
          <a:extLst>
            <a:ext xmlns:a14="http://schemas.microsoft.com/office/drawing/2010/main" uri="{28A0092B-C50C-407E-A947-70E740481C1C}">
              <a14:useLocalDpi xmlns:a14="http://schemas.microsoft.com/office/drawing/2010/main" val="0"/>
            </a:ext>
          </a:extLst>
        </a:blip>
        <a:srcRect/>
        <a:stretch>
          <a:fillRect/>
        </a:stretch>
      </xdr:blipFill>
      <xdr:spPr bwMode="auto">
        <a:xfrm>
          <a:off x="12984480" y="21922740"/>
          <a:ext cx="4381500" cy="354330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pic>
    <xdr:clientData/>
  </xdr:twoCellAnchor>
  <xdr:twoCellAnchor>
    <xdr:from>
      <xdr:col>9</xdr:col>
      <xdr:colOff>746760</xdr:colOff>
      <xdr:row>13</xdr:row>
      <xdr:rowOff>137160</xdr:rowOff>
    </xdr:from>
    <xdr:to>
      <xdr:col>9</xdr:col>
      <xdr:colOff>4290060</xdr:colOff>
      <xdr:row>13</xdr:row>
      <xdr:rowOff>3832860</xdr:rowOff>
    </xdr:to>
    <xdr:pic>
      <xdr:nvPicPr>
        <xdr:cNvPr id="59" name="Picture 423">
          <a:extLst>
            <a:ext xmlns:a16="http://schemas.microsoft.com/office/drawing/2014/main" uri="{FF2B5EF4-FFF2-40B4-BE49-F238E27FC236}">
              <a16:creationId xmlns:a16="http://schemas.microsoft.com/office/drawing/2014/main" id="{00000000-0008-0000-0400-00003B000000}"/>
            </a:ext>
          </a:extLst>
        </xdr:cNvPr>
        <xdr:cNvPicPr>
          <a:picLocks noChangeAspect="true" noChangeArrowheads="true"/>
        </xdr:cNvPicPr>
      </xdr:nvPicPr>
      <xdr:blipFill>
        <a:blip r:embed="rId58" cstate="print">
          <a:extLst>
            <a:ext xmlns:a14="http://schemas.microsoft.com/office/drawing/2010/main" uri="{28A0092B-C50C-407E-A947-70E740481C1C}">
              <a14:useLocalDpi xmlns:a14="http://schemas.microsoft.com/office/drawing/2010/main" val="0"/>
            </a:ext>
          </a:extLst>
        </a:blip>
        <a:srcRect/>
        <a:stretch>
          <a:fillRect/>
        </a:stretch>
      </xdr:blipFill>
      <xdr:spPr bwMode="auto">
        <a:xfrm>
          <a:off x="13395960" y="25793700"/>
          <a:ext cx="3543300" cy="369570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pic>
    <xdr:clientData/>
  </xdr:twoCellAnchor>
  <xdr:twoCellAnchor>
    <xdr:from>
      <xdr:col>9</xdr:col>
      <xdr:colOff>525780</xdr:colOff>
      <xdr:row>14</xdr:row>
      <xdr:rowOff>182880</xdr:rowOff>
    </xdr:from>
    <xdr:to>
      <xdr:col>9</xdr:col>
      <xdr:colOff>4579620</xdr:colOff>
      <xdr:row>14</xdr:row>
      <xdr:rowOff>3055620</xdr:rowOff>
    </xdr:to>
    <xdr:pic>
      <xdr:nvPicPr>
        <xdr:cNvPr id="60" name="Picture 424">
          <a:extLst>
            <a:ext xmlns:a16="http://schemas.microsoft.com/office/drawing/2014/main" uri="{FF2B5EF4-FFF2-40B4-BE49-F238E27FC236}">
              <a16:creationId xmlns:a16="http://schemas.microsoft.com/office/drawing/2014/main" id="{00000000-0008-0000-0400-00003C000000}"/>
            </a:ext>
          </a:extLst>
        </xdr:cNvPr>
        <xdr:cNvPicPr>
          <a:picLocks noChangeAspect="true" noChangeArrowheads="true"/>
        </xdr:cNvPicPr>
      </xdr:nvPicPr>
      <xdr:blipFill>
        <a:blip r:embed="rId59" cstate="print">
          <a:extLst>
            <a:ext xmlns:a14="http://schemas.microsoft.com/office/drawing/2010/main" uri="{28A0092B-C50C-407E-A947-70E740481C1C}">
              <a14:useLocalDpi xmlns:a14="http://schemas.microsoft.com/office/drawing/2010/main" val="0"/>
            </a:ext>
          </a:extLst>
        </a:blip>
        <a:srcRect/>
        <a:stretch>
          <a:fillRect/>
        </a:stretch>
      </xdr:blipFill>
      <xdr:spPr bwMode="auto">
        <a:xfrm>
          <a:off x="13174980" y="29771340"/>
          <a:ext cx="4053840" cy="287274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pic>
    <xdr:clientData/>
  </xdr:twoCellAnchor>
  <xdr:twoCellAnchor>
    <xdr:from>
      <xdr:col>9</xdr:col>
      <xdr:colOff>198120</xdr:colOff>
      <xdr:row>15</xdr:row>
      <xdr:rowOff>182880</xdr:rowOff>
    </xdr:from>
    <xdr:to>
      <xdr:col>9</xdr:col>
      <xdr:colOff>4770120</xdr:colOff>
      <xdr:row>15</xdr:row>
      <xdr:rowOff>3909060</xdr:rowOff>
    </xdr:to>
    <xdr:pic>
      <xdr:nvPicPr>
        <xdr:cNvPr id="61" name="Picture 425">
          <a:extLst>
            <a:ext xmlns:a16="http://schemas.microsoft.com/office/drawing/2014/main" uri="{FF2B5EF4-FFF2-40B4-BE49-F238E27FC236}">
              <a16:creationId xmlns:a16="http://schemas.microsoft.com/office/drawing/2014/main" id="{00000000-0008-0000-0400-00003D000000}"/>
            </a:ext>
          </a:extLst>
        </xdr:cNvPr>
        <xdr:cNvPicPr>
          <a:picLocks noChangeAspect="true" noChangeArrowheads="true"/>
        </xdr:cNvPicPr>
      </xdr:nvPicPr>
      <xdr:blipFill>
        <a:blip r:embed="rId60" cstate="print">
          <a:extLst>
            <a:ext xmlns:a14="http://schemas.microsoft.com/office/drawing/2010/main" uri="{28A0092B-C50C-407E-A947-70E740481C1C}">
              <a14:useLocalDpi xmlns:a14="http://schemas.microsoft.com/office/drawing/2010/main" val="0"/>
            </a:ext>
          </a:extLst>
        </a:blip>
        <a:srcRect/>
        <a:stretch>
          <a:fillRect/>
        </a:stretch>
      </xdr:blipFill>
      <xdr:spPr bwMode="auto">
        <a:xfrm>
          <a:off x="12847320" y="32956500"/>
          <a:ext cx="4572000" cy="372618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pic>
    <xdr:clientData/>
  </xdr:twoCellAnchor>
  <xdr:twoCellAnchor>
    <xdr:from>
      <xdr:col>9</xdr:col>
      <xdr:colOff>441960</xdr:colOff>
      <xdr:row>16</xdr:row>
      <xdr:rowOff>175260</xdr:rowOff>
    </xdr:from>
    <xdr:to>
      <xdr:col>9</xdr:col>
      <xdr:colOff>4564380</xdr:colOff>
      <xdr:row>16</xdr:row>
      <xdr:rowOff>5052060</xdr:rowOff>
    </xdr:to>
    <xdr:pic>
      <xdr:nvPicPr>
        <xdr:cNvPr id="62" name="Picture 427">
          <a:extLst>
            <a:ext xmlns:a16="http://schemas.microsoft.com/office/drawing/2014/main" uri="{FF2B5EF4-FFF2-40B4-BE49-F238E27FC236}">
              <a16:creationId xmlns:a16="http://schemas.microsoft.com/office/drawing/2014/main" id="{00000000-0008-0000-0400-00003E000000}"/>
            </a:ext>
          </a:extLst>
        </xdr:cNvPr>
        <xdr:cNvPicPr>
          <a:picLocks noChangeAspect="true" noChangeArrowheads="true"/>
        </xdr:cNvPicPr>
      </xdr:nvPicPr>
      <xdr:blipFill>
        <a:blip r:embed="rId61" cstate="print">
          <a:extLst>
            <a:ext xmlns:a14="http://schemas.microsoft.com/office/drawing/2010/main" uri="{28A0092B-C50C-407E-A947-70E740481C1C}">
              <a14:useLocalDpi xmlns:a14="http://schemas.microsoft.com/office/drawing/2010/main" val="0"/>
            </a:ext>
          </a:extLst>
        </a:blip>
        <a:srcRect/>
        <a:stretch>
          <a:fillRect/>
        </a:stretch>
      </xdr:blipFill>
      <xdr:spPr bwMode="auto">
        <a:xfrm>
          <a:off x="13091160" y="36987480"/>
          <a:ext cx="4122420" cy="487680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pic>
    <xdr:clientData/>
  </xdr:twoCellAnchor>
  <xdr:twoCellAnchor>
    <xdr:from>
      <xdr:col>9</xdr:col>
      <xdr:colOff>190500</xdr:colOff>
      <xdr:row>26</xdr:row>
      <xdr:rowOff>289560</xdr:rowOff>
    </xdr:from>
    <xdr:to>
      <xdr:col>9</xdr:col>
      <xdr:colOff>4800600</xdr:colOff>
      <xdr:row>26</xdr:row>
      <xdr:rowOff>4869180</xdr:rowOff>
    </xdr:to>
    <xdr:pic>
      <xdr:nvPicPr>
        <xdr:cNvPr id="63" name="Picture 431">
          <a:extLst>
            <a:ext xmlns:a16="http://schemas.microsoft.com/office/drawing/2014/main" uri="{FF2B5EF4-FFF2-40B4-BE49-F238E27FC236}">
              <a16:creationId xmlns:a16="http://schemas.microsoft.com/office/drawing/2014/main" id="{00000000-0008-0000-0400-00003F000000}"/>
            </a:ext>
          </a:extLst>
        </xdr:cNvPr>
        <xdr:cNvPicPr>
          <a:picLocks noChangeAspect="true" noChangeArrowheads="true"/>
        </xdr:cNvPicPr>
      </xdr:nvPicPr>
      <xdr:blipFill>
        <a:blip r:embed="rId62" cstate="print">
          <a:extLst>
            <a:ext xmlns:a14="http://schemas.microsoft.com/office/drawing/2010/main" uri="{28A0092B-C50C-407E-A947-70E740481C1C}">
              <a14:useLocalDpi xmlns:a14="http://schemas.microsoft.com/office/drawing/2010/main" val="0"/>
            </a:ext>
          </a:extLst>
        </a:blip>
        <a:srcRect/>
        <a:stretch>
          <a:fillRect/>
        </a:stretch>
      </xdr:blipFill>
      <xdr:spPr bwMode="auto">
        <a:xfrm>
          <a:off x="12839700" y="59969400"/>
          <a:ext cx="4610100" cy="457962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pic>
    <xdr:clientData/>
  </xdr:twoCellAnchor>
  <xdr:twoCellAnchor>
    <xdr:from>
      <xdr:col>9</xdr:col>
      <xdr:colOff>342900</xdr:colOff>
      <xdr:row>24</xdr:row>
      <xdr:rowOff>182880</xdr:rowOff>
    </xdr:from>
    <xdr:to>
      <xdr:col>9</xdr:col>
      <xdr:colOff>4770120</xdr:colOff>
      <xdr:row>24</xdr:row>
      <xdr:rowOff>4488180</xdr:rowOff>
    </xdr:to>
    <xdr:pic>
      <xdr:nvPicPr>
        <xdr:cNvPr id="4480" name="Picture 432">
          <a:extLst>
            <a:ext xmlns:a16="http://schemas.microsoft.com/office/drawing/2014/main" uri="{FF2B5EF4-FFF2-40B4-BE49-F238E27FC236}">
              <a16:creationId xmlns:a16="http://schemas.microsoft.com/office/drawing/2014/main" id="{00000000-0008-0000-0400-000080110000}"/>
            </a:ext>
          </a:extLst>
        </xdr:cNvPr>
        <xdr:cNvPicPr>
          <a:picLocks noChangeAspect="true" noChangeArrowheads="true"/>
        </xdr:cNvPicPr>
      </xdr:nvPicPr>
      <xdr:blipFill>
        <a:blip r:embed="rId63">
          <a:extLst>
            <a:ext xmlns:a14="http://schemas.microsoft.com/office/drawing/2010/main" uri="{28A0092B-C50C-407E-A947-70E740481C1C}">
              <a14:useLocalDpi xmlns:a14="http://schemas.microsoft.com/office/drawing/2010/main" val="0"/>
            </a:ext>
          </a:extLst>
        </a:blip>
        <a:srcRect/>
        <a:stretch>
          <a:fillRect/>
        </a:stretch>
      </xdr:blipFill>
      <xdr:spPr bwMode="auto">
        <a:xfrm>
          <a:off x="12992100" y="53873400"/>
          <a:ext cx="4427220" cy="430530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pic>
    <xdr:clientData/>
  </xdr:twoCellAnchor>
  <xdr:twoCellAnchor>
    <xdr:from>
      <xdr:col>9</xdr:col>
      <xdr:colOff>83820</xdr:colOff>
      <xdr:row>22</xdr:row>
      <xdr:rowOff>297180</xdr:rowOff>
    </xdr:from>
    <xdr:to>
      <xdr:col>9</xdr:col>
      <xdr:colOff>4876800</xdr:colOff>
      <xdr:row>22</xdr:row>
      <xdr:rowOff>3169920</xdr:rowOff>
    </xdr:to>
    <xdr:pic>
      <xdr:nvPicPr>
        <xdr:cNvPr id="4481" name="Picture 433">
          <a:extLst>
            <a:ext xmlns:a16="http://schemas.microsoft.com/office/drawing/2014/main" uri="{FF2B5EF4-FFF2-40B4-BE49-F238E27FC236}">
              <a16:creationId xmlns:a16="http://schemas.microsoft.com/office/drawing/2014/main" id="{00000000-0008-0000-0400-000081110000}"/>
            </a:ext>
          </a:extLst>
        </xdr:cNvPr>
        <xdr:cNvPicPr>
          <a:picLocks noChangeAspect="true" noChangeArrowheads="true"/>
        </xdr:cNvPicPr>
      </xdr:nvPicPr>
      <xdr:blipFill>
        <a:blip r:embed="rId64" cstate="print">
          <a:extLst>
            <a:ext xmlns:a14="http://schemas.microsoft.com/office/drawing/2010/main" uri="{28A0092B-C50C-407E-A947-70E740481C1C}">
              <a14:useLocalDpi xmlns:a14="http://schemas.microsoft.com/office/drawing/2010/main" val="0"/>
            </a:ext>
          </a:extLst>
        </a:blip>
        <a:srcRect/>
        <a:stretch>
          <a:fillRect/>
        </a:stretch>
      </xdr:blipFill>
      <xdr:spPr bwMode="auto">
        <a:xfrm>
          <a:off x="12733020" y="48851820"/>
          <a:ext cx="4792980" cy="287274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pic>
    <xdr:clientData/>
  </xdr:twoCellAnchor>
  <xdr:twoCellAnchor>
    <xdr:from>
      <xdr:col>9</xdr:col>
      <xdr:colOff>182880</xdr:colOff>
      <xdr:row>9</xdr:row>
      <xdr:rowOff>335280</xdr:rowOff>
    </xdr:from>
    <xdr:to>
      <xdr:col>9</xdr:col>
      <xdr:colOff>4861560</xdr:colOff>
      <xdr:row>9</xdr:row>
      <xdr:rowOff>4953000</xdr:rowOff>
    </xdr:to>
    <xdr:pic>
      <xdr:nvPicPr>
        <xdr:cNvPr id="4482" name="Picture 434">
          <a:extLst>
            <a:ext xmlns:a16="http://schemas.microsoft.com/office/drawing/2014/main" uri="{FF2B5EF4-FFF2-40B4-BE49-F238E27FC236}">
              <a16:creationId xmlns:a16="http://schemas.microsoft.com/office/drawing/2014/main" id="{00000000-0008-0000-0400-000082110000}"/>
            </a:ext>
          </a:extLst>
        </xdr:cNvPr>
        <xdr:cNvPicPr>
          <a:picLocks noChangeAspect="true" noChangeArrowheads="true"/>
        </xdr:cNvPicPr>
      </xdr:nvPicPr>
      <xdr:blipFill>
        <a:blip r:embed="rId65" cstate="print">
          <a:extLst>
            <a:ext xmlns:a14="http://schemas.microsoft.com/office/drawing/2010/main" uri="{28A0092B-C50C-407E-A947-70E740481C1C}">
              <a14:useLocalDpi xmlns:a14="http://schemas.microsoft.com/office/drawing/2010/main" val="0"/>
            </a:ext>
          </a:extLst>
        </a:blip>
        <a:srcRect/>
        <a:stretch>
          <a:fillRect/>
        </a:stretch>
      </xdr:blipFill>
      <xdr:spPr bwMode="auto">
        <a:xfrm>
          <a:off x="12832080" y="6568440"/>
          <a:ext cx="4678680" cy="461772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a="http://schemas.openxmlformats.org/drawingml/2006/main" xmlns:xdr="http://schemas.openxmlformats.org/drawingml/2006/spreadsheetDrawing" xmlns:r="http://schemas.openxmlformats.org/officeDocument/2006/relationships">
  <mc:AlternateContent xmlns:mc="http://schemas.openxmlformats.org/markup-compatibility/2006">
    <mc:Choice xmlns:a14="http://schemas.microsoft.com/office/drawing/2010/main" Requires="a14">
      <xdr:twoCellAnchor>
        <xdr:from>
          <xdr:col>7</xdr:col>
          <xdr:colOff>83820</xdr:colOff>
          <xdr:row>5</xdr:row>
          <xdr:rowOff>144780</xdr:rowOff>
        </xdr:from>
        <xdr:to>
          <xdr:col>7</xdr:col>
          <xdr:colOff>4922520</xdr:colOff>
          <xdr:row>5</xdr:row>
          <xdr:rowOff>1447800</xdr:rowOff>
        </xdr:to>
        <xdr:sp macro="" textlink="">
          <xdr:nvSpPr>
            <xdr:cNvPr id="3122" name="Object 50" hidden="1">
              <a:extLst>
                <a:ext uri="{63B3BB69-23CF-44E3-9099-C40C66FF867C}">
                  <a14:compatExt spid="_x0000_s3122"/>
                </a:ext>
                <a:ext uri="{FF2B5EF4-FFF2-40B4-BE49-F238E27FC236}">
                  <a16:creationId xmlns:a16="http://schemas.microsoft.com/office/drawing/2014/main" id="{00000000-0008-0000-0500-0000320C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xdr:twoCellAnchor>
    <xdr:from>
      <xdr:col>7</xdr:col>
      <xdr:colOff>144780</xdr:colOff>
      <xdr:row>6</xdr:row>
      <xdr:rowOff>487680</xdr:rowOff>
    </xdr:from>
    <xdr:to>
      <xdr:col>7</xdr:col>
      <xdr:colOff>4975860</xdr:colOff>
      <xdr:row>6</xdr:row>
      <xdr:rowOff>1051560</xdr:rowOff>
    </xdr:to>
    <xdr:sp macro="" textlink="">
      <xdr:nvSpPr>
        <xdr:cNvPr id="3123" name="Object 51" hidden="true">
          <a:extLst>
            <a:ext xmlns:a14="http://schemas.microsoft.com/office/drawing/2010/main" uri="{63B3BB69-23CF-44E3-9099-C40C66FF867C}">
              <a14:compatExt xmlns:a14="http://schemas.microsoft.com/office/drawing/2010/main" spid="_x0000_s3123"/>
            </a:ext>
            <a:ext xmlns:a16="http://schemas.microsoft.com/office/drawing/2014/main" uri="{FF2B5EF4-FFF2-40B4-BE49-F238E27FC236}">
              <a16:creationId xmlns:a16="http://schemas.microsoft.com/office/drawing/2014/main" id="{00000000-0008-0000-0500-0000330C0000}"/>
            </a:ext>
          </a:extLst>
        </xdr:cNvPr>
        <xdr:cNvSpPr/>
      </xdr:nvSpPr>
      <xdr:spPr bwMode="auto">
        <a:xfrm>
          <a:off x="0" y="0"/>
          <a:ext cx="0" cy="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sp>
    <xdr:clientData/>
  </xdr:twoCellAnchor>
  <xdr:twoCellAnchor>
    <xdr:from>
      <xdr:col>7</xdr:col>
      <xdr:colOff>106680</xdr:colOff>
      <xdr:row>7</xdr:row>
      <xdr:rowOff>297180</xdr:rowOff>
    </xdr:from>
    <xdr:to>
      <xdr:col>7</xdr:col>
      <xdr:colOff>4937760</xdr:colOff>
      <xdr:row>7</xdr:row>
      <xdr:rowOff>861060</xdr:rowOff>
    </xdr:to>
    <xdr:sp macro="" textlink="">
      <xdr:nvSpPr>
        <xdr:cNvPr id="3124" name="Object 52" hidden="true">
          <a:extLst>
            <a:ext xmlns:a14="http://schemas.microsoft.com/office/drawing/2010/main" uri="{63B3BB69-23CF-44E3-9099-C40C66FF867C}">
              <a14:compatExt xmlns:a14="http://schemas.microsoft.com/office/drawing/2010/main" spid="_x0000_s3124"/>
            </a:ext>
            <a:ext xmlns:a16="http://schemas.microsoft.com/office/drawing/2014/main" uri="{FF2B5EF4-FFF2-40B4-BE49-F238E27FC236}">
              <a16:creationId xmlns:a16="http://schemas.microsoft.com/office/drawing/2014/main" id="{00000000-0008-0000-0500-0000340C0000}"/>
            </a:ext>
          </a:extLst>
        </xdr:cNvPr>
        <xdr:cNvSpPr/>
      </xdr:nvSpPr>
      <xdr:spPr bwMode="auto">
        <a:xfrm>
          <a:off x="0" y="0"/>
          <a:ext cx="0" cy="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sp>
    <xdr:clientData/>
  </xdr:twoCellAnchor>
  <xdr:twoCellAnchor>
    <xdr:from>
      <xdr:col>7</xdr:col>
      <xdr:colOff>106680</xdr:colOff>
      <xdr:row>8</xdr:row>
      <xdr:rowOff>464820</xdr:rowOff>
    </xdr:from>
    <xdr:to>
      <xdr:col>7</xdr:col>
      <xdr:colOff>5166360</xdr:colOff>
      <xdr:row>8</xdr:row>
      <xdr:rowOff>1112520</xdr:rowOff>
    </xdr:to>
    <xdr:sp macro="" textlink="">
      <xdr:nvSpPr>
        <xdr:cNvPr id="3125" name="Object 53" hidden="true">
          <a:extLst>
            <a:ext xmlns:a14="http://schemas.microsoft.com/office/drawing/2010/main" uri="{63B3BB69-23CF-44E3-9099-C40C66FF867C}">
              <a14:compatExt xmlns:a14="http://schemas.microsoft.com/office/drawing/2010/main" spid="_x0000_s3125"/>
            </a:ext>
            <a:ext xmlns:a16="http://schemas.microsoft.com/office/drawing/2014/main" uri="{FF2B5EF4-FFF2-40B4-BE49-F238E27FC236}">
              <a16:creationId xmlns:a16="http://schemas.microsoft.com/office/drawing/2014/main" id="{00000000-0008-0000-0500-0000350C0000}"/>
            </a:ext>
          </a:extLst>
        </xdr:cNvPr>
        <xdr:cNvSpPr/>
      </xdr:nvSpPr>
      <xdr:spPr bwMode="auto">
        <a:xfrm>
          <a:off x="0" y="0"/>
          <a:ext cx="0" cy="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sp>
    <xdr:clientData/>
  </xdr:twoCellAnchor>
  <xdr:twoCellAnchor>
    <xdr:from>
      <xdr:col>7</xdr:col>
      <xdr:colOff>152400</xdr:colOff>
      <xdr:row>9</xdr:row>
      <xdr:rowOff>388620</xdr:rowOff>
    </xdr:from>
    <xdr:to>
      <xdr:col>7</xdr:col>
      <xdr:colOff>5036820</xdr:colOff>
      <xdr:row>9</xdr:row>
      <xdr:rowOff>1051560</xdr:rowOff>
    </xdr:to>
    <xdr:sp macro="" textlink="">
      <xdr:nvSpPr>
        <xdr:cNvPr id="3126" name="Object 54" hidden="true">
          <a:extLst>
            <a:ext xmlns:a14="http://schemas.microsoft.com/office/drawing/2010/main" uri="{63B3BB69-23CF-44E3-9099-C40C66FF867C}">
              <a14:compatExt xmlns:a14="http://schemas.microsoft.com/office/drawing/2010/main" spid="_x0000_s3126"/>
            </a:ext>
            <a:ext xmlns:a16="http://schemas.microsoft.com/office/drawing/2014/main" uri="{FF2B5EF4-FFF2-40B4-BE49-F238E27FC236}">
              <a16:creationId xmlns:a16="http://schemas.microsoft.com/office/drawing/2014/main" id="{00000000-0008-0000-0500-0000360C0000}"/>
            </a:ext>
          </a:extLst>
        </xdr:cNvPr>
        <xdr:cNvSpPr/>
      </xdr:nvSpPr>
      <xdr:spPr bwMode="auto">
        <a:xfrm>
          <a:off x="0" y="0"/>
          <a:ext cx="0" cy="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sp>
    <xdr:clientData/>
  </xdr:twoCellAnchor>
  <xdr:twoCellAnchor>
    <xdr:from>
      <xdr:col>7</xdr:col>
      <xdr:colOff>1737360</xdr:colOff>
      <xdr:row>10</xdr:row>
      <xdr:rowOff>144780</xdr:rowOff>
    </xdr:from>
    <xdr:to>
      <xdr:col>7</xdr:col>
      <xdr:colOff>3436620</xdr:colOff>
      <xdr:row>10</xdr:row>
      <xdr:rowOff>960120</xdr:rowOff>
    </xdr:to>
    <xdr:sp macro="" textlink="">
      <xdr:nvSpPr>
        <xdr:cNvPr id="3127" name="Object 55" hidden="true">
          <a:extLst>
            <a:ext xmlns:a14="http://schemas.microsoft.com/office/drawing/2010/main" uri="{63B3BB69-23CF-44E3-9099-C40C66FF867C}">
              <a14:compatExt xmlns:a14="http://schemas.microsoft.com/office/drawing/2010/main" spid="_x0000_s3127"/>
            </a:ext>
            <a:ext xmlns:a16="http://schemas.microsoft.com/office/drawing/2014/main" uri="{FF2B5EF4-FFF2-40B4-BE49-F238E27FC236}">
              <a16:creationId xmlns:a16="http://schemas.microsoft.com/office/drawing/2014/main" id="{00000000-0008-0000-0500-0000370C0000}"/>
            </a:ext>
          </a:extLst>
        </xdr:cNvPr>
        <xdr:cNvSpPr/>
      </xdr:nvSpPr>
      <xdr:spPr bwMode="auto">
        <a:xfrm>
          <a:off x="0" y="0"/>
          <a:ext cx="0" cy="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sp>
    <xdr:clientData/>
  </xdr:twoCellAnchor>
  <xdr:twoCellAnchor>
    <xdr:from>
      <xdr:col>7</xdr:col>
      <xdr:colOff>1836420</xdr:colOff>
      <xdr:row>11</xdr:row>
      <xdr:rowOff>259080</xdr:rowOff>
    </xdr:from>
    <xdr:to>
      <xdr:col>7</xdr:col>
      <xdr:colOff>3390900</xdr:colOff>
      <xdr:row>11</xdr:row>
      <xdr:rowOff>845820</xdr:rowOff>
    </xdr:to>
    <xdr:sp macro="" textlink="">
      <xdr:nvSpPr>
        <xdr:cNvPr id="3128" name="Object 56" hidden="true">
          <a:extLst>
            <a:ext xmlns:a14="http://schemas.microsoft.com/office/drawing/2010/main" uri="{63B3BB69-23CF-44E3-9099-C40C66FF867C}">
              <a14:compatExt xmlns:a14="http://schemas.microsoft.com/office/drawing/2010/main" spid="_x0000_s3128"/>
            </a:ext>
            <a:ext xmlns:a16="http://schemas.microsoft.com/office/drawing/2014/main" uri="{FF2B5EF4-FFF2-40B4-BE49-F238E27FC236}">
              <a16:creationId xmlns:a16="http://schemas.microsoft.com/office/drawing/2014/main" id="{00000000-0008-0000-0500-0000380C0000}"/>
            </a:ext>
          </a:extLst>
        </xdr:cNvPr>
        <xdr:cNvSpPr/>
      </xdr:nvSpPr>
      <xdr:spPr bwMode="auto">
        <a:xfrm>
          <a:off x="0" y="0"/>
          <a:ext cx="0" cy="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sp>
    <xdr:clientData/>
  </xdr:twoCellAnchor>
  <xdr:twoCellAnchor>
    <xdr:from>
      <xdr:col>7</xdr:col>
      <xdr:colOff>1287780</xdr:colOff>
      <xdr:row>12</xdr:row>
      <xdr:rowOff>68580</xdr:rowOff>
    </xdr:from>
    <xdr:to>
      <xdr:col>7</xdr:col>
      <xdr:colOff>3817620</xdr:colOff>
      <xdr:row>12</xdr:row>
      <xdr:rowOff>1036320</xdr:rowOff>
    </xdr:to>
    <xdr:sp macro="" textlink="">
      <xdr:nvSpPr>
        <xdr:cNvPr id="3129" name="Object 57" hidden="true">
          <a:extLst>
            <a:ext xmlns:a14="http://schemas.microsoft.com/office/drawing/2010/main" uri="{63B3BB69-23CF-44E3-9099-C40C66FF867C}">
              <a14:compatExt xmlns:a14="http://schemas.microsoft.com/office/drawing/2010/main" spid="_x0000_s3129"/>
            </a:ext>
            <a:ext xmlns:a16="http://schemas.microsoft.com/office/drawing/2014/main" uri="{FF2B5EF4-FFF2-40B4-BE49-F238E27FC236}">
              <a16:creationId xmlns:a16="http://schemas.microsoft.com/office/drawing/2014/main" id="{00000000-0008-0000-0500-0000390C0000}"/>
            </a:ext>
          </a:extLst>
        </xdr:cNvPr>
        <xdr:cNvSpPr/>
      </xdr:nvSpPr>
      <xdr:spPr bwMode="auto">
        <a:xfrm>
          <a:off x="0" y="0"/>
          <a:ext cx="0" cy="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sp>
    <xdr:clientData/>
  </xdr:twoCellAnchor>
  <xdr:twoCellAnchor>
    <xdr:from>
      <xdr:col>7</xdr:col>
      <xdr:colOff>137160</xdr:colOff>
      <xdr:row>14</xdr:row>
      <xdr:rowOff>350520</xdr:rowOff>
    </xdr:from>
    <xdr:to>
      <xdr:col>7</xdr:col>
      <xdr:colOff>5181600</xdr:colOff>
      <xdr:row>14</xdr:row>
      <xdr:rowOff>2362200</xdr:rowOff>
    </xdr:to>
    <xdr:sp macro="" textlink="">
      <xdr:nvSpPr>
        <xdr:cNvPr id="3132" name="Object 60" hidden="true">
          <a:extLst>
            <a:ext xmlns:a14="http://schemas.microsoft.com/office/drawing/2010/main" uri="{63B3BB69-23CF-44E3-9099-C40C66FF867C}">
              <a14:compatExt xmlns:a14="http://schemas.microsoft.com/office/drawing/2010/main" spid="_x0000_s3132"/>
            </a:ext>
            <a:ext xmlns:a16="http://schemas.microsoft.com/office/drawing/2014/main" uri="{FF2B5EF4-FFF2-40B4-BE49-F238E27FC236}">
              <a16:creationId xmlns:a16="http://schemas.microsoft.com/office/drawing/2014/main" id="{00000000-0008-0000-0500-00003C0C0000}"/>
            </a:ext>
          </a:extLst>
        </xdr:cNvPr>
        <xdr:cNvSpPr/>
      </xdr:nvSpPr>
      <xdr:spPr bwMode="auto">
        <a:xfrm>
          <a:off x="0" y="0"/>
          <a:ext cx="0" cy="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sp>
    <xdr:clientData/>
  </xdr:twoCellAnchor>
  <xdr:twoCellAnchor>
    <xdr:from>
      <xdr:col>7</xdr:col>
      <xdr:colOff>579120</xdr:colOff>
      <xdr:row>15</xdr:row>
      <xdr:rowOff>121920</xdr:rowOff>
    </xdr:from>
    <xdr:to>
      <xdr:col>7</xdr:col>
      <xdr:colOff>4579620</xdr:colOff>
      <xdr:row>15</xdr:row>
      <xdr:rowOff>1836420</xdr:rowOff>
    </xdr:to>
    <xdr:sp macro="" textlink="">
      <xdr:nvSpPr>
        <xdr:cNvPr id="3134" name="Object 62" hidden="true">
          <a:extLst>
            <a:ext xmlns:a14="http://schemas.microsoft.com/office/drawing/2010/main" uri="{63B3BB69-23CF-44E3-9099-C40C66FF867C}">
              <a14:compatExt xmlns:a14="http://schemas.microsoft.com/office/drawing/2010/main" spid="_x0000_s3134"/>
            </a:ext>
            <a:ext xmlns:a16="http://schemas.microsoft.com/office/drawing/2014/main" uri="{FF2B5EF4-FFF2-40B4-BE49-F238E27FC236}">
              <a16:creationId xmlns:a16="http://schemas.microsoft.com/office/drawing/2014/main" id="{00000000-0008-0000-0500-00003E0C0000}"/>
            </a:ext>
          </a:extLst>
        </xdr:cNvPr>
        <xdr:cNvSpPr/>
      </xdr:nvSpPr>
      <xdr:spPr bwMode="auto">
        <a:xfrm>
          <a:off x="0" y="0"/>
          <a:ext cx="0" cy="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sp>
    <xdr:clientData/>
  </xdr:twoCellAnchor>
  <xdr:twoCellAnchor>
    <xdr:from>
      <xdr:col>7</xdr:col>
      <xdr:colOff>1783080</xdr:colOff>
      <xdr:row>16</xdr:row>
      <xdr:rowOff>220980</xdr:rowOff>
    </xdr:from>
    <xdr:to>
      <xdr:col>7</xdr:col>
      <xdr:colOff>3307080</xdr:colOff>
      <xdr:row>16</xdr:row>
      <xdr:rowOff>944880</xdr:rowOff>
    </xdr:to>
    <xdr:sp macro="" textlink="">
      <xdr:nvSpPr>
        <xdr:cNvPr id="3136" name="Object 64" hidden="true">
          <a:extLst>
            <a:ext xmlns:a14="http://schemas.microsoft.com/office/drawing/2010/main" uri="{63B3BB69-23CF-44E3-9099-C40C66FF867C}">
              <a14:compatExt xmlns:a14="http://schemas.microsoft.com/office/drawing/2010/main" spid="_x0000_s3136"/>
            </a:ext>
            <a:ext xmlns:a16="http://schemas.microsoft.com/office/drawing/2014/main" uri="{FF2B5EF4-FFF2-40B4-BE49-F238E27FC236}">
              <a16:creationId xmlns:a16="http://schemas.microsoft.com/office/drawing/2014/main" id="{00000000-0008-0000-0500-0000400C0000}"/>
            </a:ext>
          </a:extLst>
        </xdr:cNvPr>
        <xdr:cNvSpPr/>
      </xdr:nvSpPr>
      <xdr:spPr bwMode="auto">
        <a:xfrm>
          <a:off x="0" y="0"/>
          <a:ext cx="0" cy="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sp>
    <xdr:clientData/>
  </xdr:twoCellAnchor>
  <xdr:twoCellAnchor>
    <xdr:from>
      <xdr:col>7</xdr:col>
      <xdr:colOff>1600200</xdr:colOff>
      <xdr:row>17</xdr:row>
      <xdr:rowOff>106680</xdr:rowOff>
    </xdr:from>
    <xdr:to>
      <xdr:col>7</xdr:col>
      <xdr:colOff>3665220</xdr:colOff>
      <xdr:row>17</xdr:row>
      <xdr:rowOff>830580</xdr:rowOff>
    </xdr:to>
    <xdr:sp macro="" textlink="">
      <xdr:nvSpPr>
        <xdr:cNvPr id="3137" name="Object 65" hidden="true">
          <a:extLst>
            <a:ext xmlns:a14="http://schemas.microsoft.com/office/drawing/2010/main" uri="{63B3BB69-23CF-44E3-9099-C40C66FF867C}">
              <a14:compatExt xmlns:a14="http://schemas.microsoft.com/office/drawing/2010/main" spid="_x0000_s3137"/>
            </a:ext>
            <a:ext xmlns:a16="http://schemas.microsoft.com/office/drawing/2014/main" uri="{FF2B5EF4-FFF2-40B4-BE49-F238E27FC236}">
              <a16:creationId xmlns:a16="http://schemas.microsoft.com/office/drawing/2014/main" id="{00000000-0008-0000-0500-0000410C0000}"/>
            </a:ext>
          </a:extLst>
        </xdr:cNvPr>
        <xdr:cNvSpPr/>
      </xdr:nvSpPr>
      <xdr:spPr bwMode="auto">
        <a:xfrm>
          <a:off x="0" y="0"/>
          <a:ext cx="0" cy="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sp>
    <xdr:clientData/>
  </xdr:twoCellAnchor>
  <xdr:twoCellAnchor>
    <xdr:from>
      <xdr:col>7</xdr:col>
      <xdr:colOff>1661160</xdr:colOff>
      <xdr:row>18</xdr:row>
      <xdr:rowOff>76200</xdr:rowOff>
    </xdr:from>
    <xdr:to>
      <xdr:col>7</xdr:col>
      <xdr:colOff>3733800</xdr:colOff>
      <xdr:row>18</xdr:row>
      <xdr:rowOff>838200</xdr:rowOff>
    </xdr:to>
    <xdr:sp macro="" textlink="">
      <xdr:nvSpPr>
        <xdr:cNvPr id="3138" name="Object 66" hidden="true">
          <a:extLst>
            <a:ext xmlns:a14="http://schemas.microsoft.com/office/drawing/2010/main" uri="{63B3BB69-23CF-44E3-9099-C40C66FF867C}">
              <a14:compatExt xmlns:a14="http://schemas.microsoft.com/office/drawing/2010/main" spid="_x0000_s3138"/>
            </a:ext>
            <a:ext xmlns:a16="http://schemas.microsoft.com/office/drawing/2014/main" uri="{FF2B5EF4-FFF2-40B4-BE49-F238E27FC236}">
              <a16:creationId xmlns:a16="http://schemas.microsoft.com/office/drawing/2014/main" id="{00000000-0008-0000-0500-0000420C0000}"/>
            </a:ext>
          </a:extLst>
        </xdr:cNvPr>
        <xdr:cNvSpPr/>
      </xdr:nvSpPr>
      <xdr:spPr bwMode="auto">
        <a:xfrm>
          <a:off x="0" y="0"/>
          <a:ext cx="0" cy="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sp>
    <xdr:clientData/>
  </xdr:twoCellAnchor>
  <xdr:twoCellAnchor>
    <xdr:from>
      <xdr:col>7</xdr:col>
      <xdr:colOff>373380</xdr:colOff>
      <xdr:row>13</xdr:row>
      <xdr:rowOff>106680</xdr:rowOff>
    </xdr:from>
    <xdr:to>
      <xdr:col>7</xdr:col>
      <xdr:colOff>4792980</xdr:colOff>
      <xdr:row>13</xdr:row>
      <xdr:rowOff>876300</xdr:rowOff>
    </xdr:to>
    <xdr:sp macro="" textlink="">
      <xdr:nvSpPr>
        <xdr:cNvPr id="3131" name="Object 59" hidden="true">
          <a:extLst>
            <a:ext xmlns:a14="http://schemas.microsoft.com/office/drawing/2010/main" uri="{63B3BB69-23CF-44E3-9099-C40C66FF867C}">
              <a14:compatExt xmlns:a14="http://schemas.microsoft.com/office/drawing/2010/main" spid="_x0000_s3131"/>
            </a:ext>
            <a:ext xmlns:a16="http://schemas.microsoft.com/office/drawing/2014/main" uri="{FF2B5EF4-FFF2-40B4-BE49-F238E27FC236}">
              <a16:creationId xmlns:a16="http://schemas.microsoft.com/office/drawing/2014/main" id="{00000000-0008-0000-0500-00003B0C0000}"/>
            </a:ext>
          </a:extLst>
        </xdr:cNvPr>
        <xdr:cNvSpPr/>
      </xdr:nvSpPr>
      <xdr:spPr bwMode="auto">
        <a:xfrm>
          <a:off x="0" y="0"/>
          <a:ext cx="0" cy="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sp>
    <xdr:clientData/>
  </xdr:twoCellAnchor>
  <xdr:twoCellAnchor>
    <xdr:from>
      <xdr:col>7</xdr:col>
      <xdr:colOff>144780</xdr:colOff>
      <xdr:row>6</xdr:row>
      <xdr:rowOff>487680</xdr:rowOff>
    </xdr:from>
    <xdr:to>
      <xdr:col>7</xdr:col>
      <xdr:colOff>4975860</xdr:colOff>
      <xdr:row>6</xdr:row>
      <xdr:rowOff>1051560</xdr:rowOff>
    </xdr:to>
    <xdr:pic>
      <xdr:nvPicPr>
        <xdr:cNvPr id="2" name="Picture 51">
          <a:extLst>
            <a:ext xmlns:a16="http://schemas.microsoft.com/office/drawing/2014/main" uri="{FF2B5EF4-FFF2-40B4-BE49-F238E27FC236}">
              <a16:creationId xmlns:a16="http://schemas.microsoft.com/office/drawing/2014/main" id="{00000000-0008-0000-0500-000002000000}"/>
            </a:ext>
          </a:extLst>
        </xdr:cNvPr>
        <xdr:cNvPicPr>
          <a:picLocks noChangeAspect="true" noChangeArrowheads="true"/>
        </xdr:cNvPicPr>
      </xdr:nvPicPr>
      <xdr:blipFill>
        <a:blip r:embed="rId1" cstate="print">
          <a:extLst>
            <a:ext xmlns:a14="http://schemas.microsoft.com/office/drawing/2010/main" uri="{28A0092B-C50C-407E-A947-70E740481C1C}">
              <a14:useLocalDpi xmlns:a14="http://schemas.microsoft.com/office/drawing/2010/main" val="0"/>
            </a:ext>
          </a:extLst>
        </a:blip>
        <a:srcRect/>
        <a:stretch>
          <a:fillRect/>
        </a:stretch>
      </xdr:blipFill>
      <xdr:spPr bwMode="auto">
        <a:xfrm>
          <a:off x="10911840" y="4419600"/>
          <a:ext cx="4831080" cy="56388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pic>
    <xdr:clientData/>
  </xdr:twoCellAnchor>
  <xdr:twoCellAnchor>
    <xdr:from>
      <xdr:col>7</xdr:col>
      <xdr:colOff>106680</xdr:colOff>
      <xdr:row>7</xdr:row>
      <xdr:rowOff>297180</xdr:rowOff>
    </xdr:from>
    <xdr:to>
      <xdr:col>7</xdr:col>
      <xdr:colOff>4937760</xdr:colOff>
      <xdr:row>7</xdr:row>
      <xdr:rowOff>861060</xdr:rowOff>
    </xdr:to>
    <xdr:pic>
      <xdr:nvPicPr>
        <xdr:cNvPr id="3" name="Picture 52">
          <a:extLst>
            <a:ext xmlns:a16="http://schemas.microsoft.com/office/drawing/2014/main" uri="{FF2B5EF4-FFF2-40B4-BE49-F238E27FC236}">
              <a16:creationId xmlns:a16="http://schemas.microsoft.com/office/drawing/2014/main" id="{00000000-0008-0000-0500-000003000000}"/>
            </a:ext>
          </a:extLst>
        </xdr:cNvPr>
        <xdr:cNvPicPr>
          <a:picLocks noChangeAspect="true" noChangeArrowheads="true"/>
        </xdr:cNvPicPr>
      </xdr:nvPicPr>
      <xdr:blipFill>
        <a:blip r:embed="rId2">
          <a:extLst>
            <a:ext xmlns:a14="http://schemas.microsoft.com/office/drawing/2010/main" uri="{28A0092B-C50C-407E-A947-70E740481C1C}">
              <a14:useLocalDpi xmlns:a14="http://schemas.microsoft.com/office/drawing/2010/main" val="0"/>
            </a:ext>
          </a:extLst>
        </a:blip>
        <a:srcRect/>
        <a:stretch>
          <a:fillRect/>
        </a:stretch>
      </xdr:blipFill>
      <xdr:spPr bwMode="auto">
        <a:xfrm>
          <a:off x="10873740" y="5547360"/>
          <a:ext cx="4831080" cy="56388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pic>
    <xdr:clientData/>
  </xdr:twoCellAnchor>
  <xdr:twoCellAnchor>
    <xdr:from>
      <xdr:col>7</xdr:col>
      <xdr:colOff>106680</xdr:colOff>
      <xdr:row>8</xdr:row>
      <xdr:rowOff>464820</xdr:rowOff>
    </xdr:from>
    <xdr:to>
      <xdr:col>7</xdr:col>
      <xdr:colOff>5166360</xdr:colOff>
      <xdr:row>8</xdr:row>
      <xdr:rowOff>1112520</xdr:rowOff>
    </xdr:to>
    <xdr:pic>
      <xdr:nvPicPr>
        <xdr:cNvPr id="4" name="Picture 53">
          <a:extLst>
            <a:ext xmlns:a16="http://schemas.microsoft.com/office/drawing/2014/main" uri="{FF2B5EF4-FFF2-40B4-BE49-F238E27FC236}">
              <a16:creationId xmlns:a16="http://schemas.microsoft.com/office/drawing/2014/main" id="{00000000-0008-0000-0500-000004000000}"/>
            </a:ext>
          </a:extLst>
        </xdr:cNvPr>
        <xdr:cNvPicPr>
          <a:picLocks noChangeAspect="true" noChangeArrowheads="true"/>
        </xdr:cNvPicPr>
      </xdr:nvPicPr>
      <xdr:blipFill>
        <a:blip r:embed="rId3" cstate="print">
          <a:extLst>
            <a:ext xmlns:a14="http://schemas.microsoft.com/office/drawing/2010/main" uri="{28A0092B-C50C-407E-A947-70E740481C1C}">
              <a14:useLocalDpi xmlns:a14="http://schemas.microsoft.com/office/drawing/2010/main" val="0"/>
            </a:ext>
          </a:extLst>
        </a:blip>
        <a:srcRect/>
        <a:stretch>
          <a:fillRect/>
        </a:stretch>
      </xdr:blipFill>
      <xdr:spPr bwMode="auto">
        <a:xfrm>
          <a:off x="10873740" y="6789420"/>
          <a:ext cx="5059680" cy="64770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pic>
    <xdr:clientData/>
  </xdr:twoCellAnchor>
  <xdr:twoCellAnchor>
    <xdr:from>
      <xdr:col>7</xdr:col>
      <xdr:colOff>152400</xdr:colOff>
      <xdr:row>9</xdr:row>
      <xdr:rowOff>388620</xdr:rowOff>
    </xdr:from>
    <xdr:to>
      <xdr:col>7</xdr:col>
      <xdr:colOff>5036820</xdr:colOff>
      <xdr:row>9</xdr:row>
      <xdr:rowOff>1051560</xdr:rowOff>
    </xdr:to>
    <xdr:pic>
      <xdr:nvPicPr>
        <xdr:cNvPr id="5" name="Picture 54">
          <a:extLst>
            <a:ext xmlns:a16="http://schemas.microsoft.com/office/drawing/2014/main" uri="{FF2B5EF4-FFF2-40B4-BE49-F238E27FC236}">
              <a16:creationId xmlns:a16="http://schemas.microsoft.com/office/drawing/2014/main" id="{00000000-0008-0000-0500-000005000000}"/>
            </a:ext>
          </a:extLst>
        </xdr:cNvPr>
        <xdr:cNvPicPr>
          <a:picLocks noChangeAspect="true" noChangeArrowheads="true"/>
        </xdr:cNvPicPr>
      </xdr:nvPicPr>
      <xdr:blipFill>
        <a:blip r:embed="rId4">
          <a:extLst>
            <a:ext xmlns:a14="http://schemas.microsoft.com/office/drawing/2010/main" uri="{28A0092B-C50C-407E-A947-70E740481C1C}">
              <a14:useLocalDpi xmlns:a14="http://schemas.microsoft.com/office/drawing/2010/main" val="0"/>
            </a:ext>
          </a:extLst>
        </a:blip>
        <a:srcRect/>
        <a:stretch>
          <a:fillRect/>
        </a:stretch>
      </xdr:blipFill>
      <xdr:spPr bwMode="auto">
        <a:xfrm>
          <a:off x="10919460" y="8237220"/>
          <a:ext cx="4884420" cy="66294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pic>
    <xdr:clientData/>
  </xdr:twoCellAnchor>
  <xdr:twoCellAnchor>
    <xdr:from>
      <xdr:col>7</xdr:col>
      <xdr:colOff>1737360</xdr:colOff>
      <xdr:row>10</xdr:row>
      <xdr:rowOff>144780</xdr:rowOff>
    </xdr:from>
    <xdr:to>
      <xdr:col>7</xdr:col>
      <xdr:colOff>3436620</xdr:colOff>
      <xdr:row>10</xdr:row>
      <xdr:rowOff>960120</xdr:rowOff>
    </xdr:to>
    <xdr:pic>
      <xdr:nvPicPr>
        <xdr:cNvPr id="6" name="Picture 55">
          <a:extLst>
            <a:ext xmlns:a16="http://schemas.microsoft.com/office/drawing/2014/main" uri="{FF2B5EF4-FFF2-40B4-BE49-F238E27FC236}">
              <a16:creationId xmlns:a16="http://schemas.microsoft.com/office/drawing/2014/main" id="{00000000-0008-0000-0500-000006000000}"/>
            </a:ext>
          </a:extLst>
        </xdr:cNvPr>
        <xdr:cNvPicPr>
          <a:picLocks noChangeAspect="true" noChangeArrowheads="true"/>
        </xdr:cNvPicPr>
      </xdr:nvPicPr>
      <xdr:blipFill>
        <a:blip r:embed="rId5">
          <a:extLst>
            <a:ext xmlns:a14="http://schemas.microsoft.com/office/drawing/2010/main" uri="{28A0092B-C50C-407E-A947-70E740481C1C}">
              <a14:useLocalDpi xmlns:a14="http://schemas.microsoft.com/office/drawing/2010/main" val="0"/>
            </a:ext>
          </a:extLst>
        </a:blip>
        <a:srcRect/>
        <a:stretch>
          <a:fillRect/>
        </a:stretch>
      </xdr:blipFill>
      <xdr:spPr bwMode="auto">
        <a:xfrm>
          <a:off x="12504420" y="9532620"/>
          <a:ext cx="1699260" cy="81534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pic>
    <xdr:clientData/>
  </xdr:twoCellAnchor>
  <xdr:twoCellAnchor>
    <xdr:from>
      <xdr:col>7</xdr:col>
      <xdr:colOff>1836420</xdr:colOff>
      <xdr:row>11</xdr:row>
      <xdr:rowOff>259080</xdr:rowOff>
    </xdr:from>
    <xdr:to>
      <xdr:col>7</xdr:col>
      <xdr:colOff>3390900</xdr:colOff>
      <xdr:row>11</xdr:row>
      <xdr:rowOff>845820</xdr:rowOff>
    </xdr:to>
    <xdr:pic>
      <xdr:nvPicPr>
        <xdr:cNvPr id="7" name="Picture 56">
          <a:extLst>
            <a:ext xmlns:a16="http://schemas.microsoft.com/office/drawing/2014/main" uri="{FF2B5EF4-FFF2-40B4-BE49-F238E27FC236}">
              <a16:creationId xmlns:a16="http://schemas.microsoft.com/office/drawing/2014/main" id="{00000000-0008-0000-0500-000007000000}"/>
            </a:ext>
          </a:extLst>
        </xdr:cNvPr>
        <xdr:cNvPicPr>
          <a:picLocks noChangeAspect="true" noChangeArrowheads="true"/>
        </xdr:cNvPicPr>
      </xdr:nvPicPr>
      <xdr:blipFill>
        <a:blip r:embed="rId6">
          <a:extLst>
            <a:ext xmlns:a14="http://schemas.microsoft.com/office/drawing/2010/main" uri="{28A0092B-C50C-407E-A947-70E740481C1C}">
              <a14:useLocalDpi xmlns:a14="http://schemas.microsoft.com/office/drawing/2010/main" val="0"/>
            </a:ext>
          </a:extLst>
        </a:blip>
        <a:srcRect/>
        <a:stretch>
          <a:fillRect/>
        </a:stretch>
      </xdr:blipFill>
      <xdr:spPr bwMode="auto">
        <a:xfrm>
          <a:off x="12603480" y="10751820"/>
          <a:ext cx="1554480" cy="58674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pic>
    <xdr:clientData/>
  </xdr:twoCellAnchor>
  <xdr:twoCellAnchor>
    <xdr:from>
      <xdr:col>7</xdr:col>
      <xdr:colOff>1287780</xdr:colOff>
      <xdr:row>12</xdr:row>
      <xdr:rowOff>68580</xdr:rowOff>
    </xdr:from>
    <xdr:to>
      <xdr:col>7</xdr:col>
      <xdr:colOff>3817620</xdr:colOff>
      <xdr:row>12</xdr:row>
      <xdr:rowOff>1036320</xdr:rowOff>
    </xdr:to>
    <xdr:pic>
      <xdr:nvPicPr>
        <xdr:cNvPr id="8" name="Picture 57">
          <a:extLst>
            <a:ext xmlns:a16="http://schemas.microsoft.com/office/drawing/2014/main" uri="{FF2B5EF4-FFF2-40B4-BE49-F238E27FC236}">
              <a16:creationId xmlns:a16="http://schemas.microsoft.com/office/drawing/2014/main" id="{00000000-0008-0000-0500-000008000000}"/>
            </a:ext>
          </a:extLst>
        </xdr:cNvPr>
        <xdr:cNvPicPr>
          <a:picLocks noChangeAspect="true" noChangeArrowheads="true"/>
        </xdr:cNvPicPr>
      </xdr:nvPicPr>
      <xdr:blipFill>
        <a:blip r:embed="rId7">
          <a:extLst>
            <a:ext xmlns:a14="http://schemas.microsoft.com/office/drawing/2010/main" uri="{28A0092B-C50C-407E-A947-70E740481C1C}">
              <a14:useLocalDpi xmlns:a14="http://schemas.microsoft.com/office/drawing/2010/main" val="0"/>
            </a:ext>
          </a:extLst>
        </a:blip>
        <a:srcRect/>
        <a:stretch>
          <a:fillRect/>
        </a:stretch>
      </xdr:blipFill>
      <xdr:spPr bwMode="auto">
        <a:xfrm>
          <a:off x="12054840" y="11689080"/>
          <a:ext cx="2529840" cy="96774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pic>
    <xdr:clientData/>
  </xdr:twoCellAnchor>
  <xdr:twoCellAnchor>
    <xdr:from>
      <xdr:col>7</xdr:col>
      <xdr:colOff>137160</xdr:colOff>
      <xdr:row>14</xdr:row>
      <xdr:rowOff>350520</xdr:rowOff>
    </xdr:from>
    <xdr:to>
      <xdr:col>7</xdr:col>
      <xdr:colOff>5181600</xdr:colOff>
      <xdr:row>14</xdr:row>
      <xdr:rowOff>2362200</xdr:rowOff>
    </xdr:to>
    <xdr:pic>
      <xdr:nvPicPr>
        <xdr:cNvPr id="9" name="Picture 60">
          <a:extLst>
            <a:ext xmlns:a16="http://schemas.microsoft.com/office/drawing/2014/main" uri="{FF2B5EF4-FFF2-40B4-BE49-F238E27FC236}">
              <a16:creationId xmlns:a16="http://schemas.microsoft.com/office/drawing/2014/main" id="{00000000-0008-0000-0500-000009000000}"/>
            </a:ext>
          </a:extLst>
        </xdr:cNvPr>
        <xdr:cNvPicPr>
          <a:picLocks noChangeAspect="true" noChangeArrowheads="true"/>
        </xdr:cNvPicPr>
      </xdr:nvPicPr>
      <xdr:blipFill>
        <a:blip r:embed="rId8" cstate="print">
          <a:extLst>
            <a:ext xmlns:a14="http://schemas.microsoft.com/office/drawing/2010/main" uri="{28A0092B-C50C-407E-A947-70E740481C1C}">
              <a14:useLocalDpi xmlns:a14="http://schemas.microsoft.com/office/drawing/2010/main" val="0"/>
            </a:ext>
          </a:extLst>
        </a:blip>
        <a:srcRect/>
        <a:stretch>
          <a:fillRect/>
        </a:stretch>
      </xdr:blipFill>
      <xdr:spPr bwMode="auto">
        <a:xfrm>
          <a:off x="10904220" y="14180820"/>
          <a:ext cx="5044440" cy="201168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pic>
    <xdr:clientData/>
  </xdr:twoCellAnchor>
  <xdr:twoCellAnchor>
    <xdr:from>
      <xdr:col>7</xdr:col>
      <xdr:colOff>579120</xdr:colOff>
      <xdr:row>15</xdr:row>
      <xdr:rowOff>121920</xdr:rowOff>
    </xdr:from>
    <xdr:to>
      <xdr:col>7</xdr:col>
      <xdr:colOff>4579620</xdr:colOff>
      <xdr:row>15</xdr:row>
      <xdr:rowOff>1836420</xdr:rowOff>
    </xdr:to>
    <xdr:pic>
      <xdr:nvPicPr>
        <xdr:cNvPr id="10" name="Picture 62">
          <a:extLst>
            <a:ext xmlns:a16="http://schemas.microsoft.com/office/drawing/2014/main" uri="{FF2B5EF4-FFF2-40B4-BE49-F238E27FC236}">
              <a16:creationId xmlns:a16="http://schemas.microsoft.com/office/drawing/2014/main" id="{00000000-0008-0000-0500-00000A000000}"/>
            </a:ext>
          </a:extLst>
        </xdr:cNvPr>
        <xdr:cNvPicPr>
          <a:picLocks noChangeAspect="true" noChangeArrowheads="true"/>
        </xdr:cNvPicPr>
      </xdr:nvPicPr>
      <xdr:blipFill>
        <a:blip r:embed="rId9">
          <a:extLst>
            <a:ext xmlns:a14="http://schemas.microsoft.com/office/drawing/2010/main" uri="{28A0092B-C50C-407E-A947-70E740481C1C}">
              <a14:useLocalDpi xmlns:a14="http://schemas.microsoft.com/office/drawing/2010/main" val="0"/>
            </a:ext>
          </a:extLst>
        </a:blip>
        <a:srcRect/>
        <a:stretch>
          <a:fillRect/>
        </a:stretch>
      </xdr:blipFill>
      <xdr:spPr bwMode="auto">
        <a:xfrm>
          <a:off x="11346180" y="16741140"/>
          <a:ext cx="4000500" cy="171450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pic>
    <xdr:clientData/>
  </xdr:twoCellAnchor>
  <xdr:twoCellAnchor>
    <xdr:from>
      <xdr:col>7</xdr:col>
      <xdr:colOff>1783080</xdr:colOff>
      <xdr:row>16</xdr:row>
      <xdr:rowOff>220980</xdr:rowOff>
    </xdr:from>
    <xdr:to>
      <xdr:col>7</xdr:col>
      <xdr:colOff>3307080</xdr:colOff>
      <xdr:row>16</xdr:row>
      <xdr:rowOff>944880</xdr:rowOff>
    </xdr:to>
    <xdr:pic>
      <xdr:nvPicPr>
        <xdr:cNvPr id="11" name="Picture 64">
          <a:extLst>
            <a:ext xmlns:a16="http://schemas.microsoft.com/office/drawing/2014/main" uri="{FF2B5EF4-FFF2-40B4-BE49-F238E27FC236}">
              <a16:creationId xmlns:a16="http://schemas.microsoft.com/office/drawing/2014/main" id="{00000000-0008-0000-0500-00000B000000}"/>
            </a:ext>
          </a:extLst>
        </xdr:cNvPr>
        <xdr:cNvPicPr>
          <a:picLocks noChangeAspect="true" noChangeArrowheads="true"/>
        </xdr:cNvPicPr>
      </xdr:nvPicPr>
      <xdr:blipFill>
        <a:blip r:embed="rId10">
          <a:extLst>
            <a:ext xmlns:a14="http://schemas.microsoft.com/office/drawing/2010/main" uri="{28A0092B-C50C-407E-A947-70E740481C1C}">
              <a14:useLocalDpi xmlns:a14="http://schemas.microsoft.com/office/drawing/2010/main" val="0"/>
            </a:ext>
          </a:extLst>
        </a:blip>
        <a:srcRect/>
        <a:stretch>
          <a:fillRect/>
        </a:stretch>
      </xdr:blipFill>
      <xdr:spPr bwMode="auto">
        <a:xfrm>
          <a:off x="12550140" y="18844260"/>
          <a:ext cx="1524000" cy="72390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pic>
    <xdr:clientData/>
  </xdr:twoCellAnchor>
  <xdr:twoCellAnchor>
    <xdr:from>
      <xdr:col>7</xdr:col>
      <xdr:colOff>1600200</xdr:colOff>
      <xdr:row>17</xdr:row>
      <xdr:rowOff>106680</xdr:rowOff>
    </xdr:from>
    <xdr:to>
      <xdr:col>7</xdr:col>
      <xdr:colOff>3665220</xdr:colOff>
      <xdr:row>17</xdr:row>
      <xdr:rowOff>830580</xdr:rowOff>
    </xdr:to>
    <xdr:pic>
      <xdr:nvPicPr>
        <xdr:cNvPr id="12" name="Picture 65">
          <a:extLst>
            <a:ext xmlns:a16="http://schemas.microsoft.com/office/drawing/2014/main" uri="{FF2B5EF4-FFF2-40B4-BE49-F238E27FC236}">
              <a16:creationId xmlns:a16="http://schemas.microsoft.com/office/drawing/2014/main" id="{00000000-0008-0000-0500-00000C000000}"/>
            </a:ext>
          </a:extLst>
        </xdr:cNvPr>
        <xdr:cNvPicPr>
          <a:picLocks noChangeAspect="true" noChangeArrowheads="true"/>
        </xdr:cNvPicPr>
      </xdr:nvPicPr>
      <xdr:blipFill>
        <a:blip r:embed="rId11" cstate="print">
          <a:extLst>
            <a:ext xmlns:a14="http://schemas.microsoft.com/office/drawing/2010/main" uri="{28A0092B-C50C-407E-A947-70E740481C1C}">
              <a14:useLocalDpi xmlns:a14="http://schemas.microsoft.com/office/drawing/2010/main" val="0"/>
            </a:ext>
          </a:extLst>
        </a:blip>
        <a:srcRect/>
        <a:stretch>
          <a:fillRect/>
        </a:stretch>
      </xdr:blipFill>
      <xdr:spPr bwMode="auto">
        <a:xfrm>
          <a:off x="12367260" y="19842480"/>
          <a:ext cx="2065020" cy="72390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pic>
    <xdr:clientData/>
  </xdr:twoCellAnchor>
  <xdr:twoCellAnchor>
    <xdr:from>
      <xdr:col>7</xdr:col>
      <xdr:colOff>1661160</xdr:colOff>
      <xdr:row>18</xdr:row>
      <xdr:rowOff>76200</xdr:rowOff>
    </xdr:from>
    <xdr:to>
      <xdr:col>7</xdr:col>
      <xdr:colOff>3733800</xdr:colOff>
      <xdr:row>18</xdr:row>
      <xdr:rowOff>838200</xdr:rowOff>
    </xdr:to>
    <xdr:pic>
      <xdr:nvPicPr>
        <xdr:cNvPr id="13" name="Picture 66">
          <a:extLst>
            <a:ext xmlns:a16="http://schemas.microsoft.com/office/drawing/2014/main" uri="{FF2B5EF4-FFF2-40B4-BE49-F238E27FC236}">
              <a16:creationId xmlns:a16="http://schemas.microsoft.com/office/drawing/2014/main" id="{00000000-0008-0000-0500-00000D000000}"/>
            </a:ext>
          </a:extLst>
        </xdr:cNvPr>
        <xdr:cNvPicPr>
          <a:picLocks noChangeAspect="true" noChangeArrowheads="true"/>
        </xdr:cNvPicPr>
      </xdr:nvPicPr>
      <xdr:blipFill>
        <a:blip r:embed="rId12" cstate="print">
          <a:extLst>
            <a:ext xmlns:a14="http://schemas.microsoft.com/office/drawing/2010/main" uri="{28A0092B-C50C-407E-A947-70E740481C1C}">
              <a14:useLocalDpi xmlns:a14="http://schemas.microsoft.com/office/drawing/2010/main" val="0"/>
            </a:ext>
          </a:extLst>
        </a:blip>
        <a:srcRect/>
        <a:stretch>
          <a:fillRect/>
        </a:stretch>
      </xdr:blipFill>
      <xdr:spPr bwMode="auto">
        <a:xfrm>
          <a:off x="12428220" y="20764500"/>
          <a:ext cx="2072640" cy="76200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pic>
    <xdr:clientData/>
  </xdr:twoCellAnchor>
  <xdr:twoCellAnchor>
    <xdr:from>
      <xdr:col>7</xdr:col>
      <xdr:colOff>373380</xdr:colOff>
      <xdr:row>13</xdr:row>
      <xdr:rowOff>106680</xdr:rowOff>
    </xdr:from>
    <xdr:to>
      <xdr:col>7</xdr:col>
      <xdr:colOff>4792980</xdr:colOff>
      <xdr:row>13</xdr:row>
      <xdr:rowOff>876300</xdr:rowOff>
    </xdr:to>
    <xdr:pic>
      <xdr:nvPicPr>
        <xdr:cNvPr id="14" name="Picture 59">
          <a:extLst>
            <a:ext xmlns:a16="http://schemas.microsoft.com/office/drawing/2014/main" uri="{FF2B5EF4-FFF2-40B4-BE49-F238E27FC236}">
              <a16:creationId xmlns:a16="http://schemas.microsoft.com/office/drawing/2014/main" id="{00000000-0008-0000-0500-00000E000000}"/>
            </a:ext>
          </a:extLst>
        </xdr:cNvPr>
        <xdr:cNvPicPr>
          <a:picLocks noChangeAspect="true" noChangeArrowheads="true"/>
        </xdr:cNvPicPr>
      </xdr:nvPicPr>
      <xdr:blipFill>
        <a:blip r:embed="rId13">
          <a:extLst>
            <a:ext xmlns:a14="http://schemas.microsoft.com/office/drawing/2010/main" uri="{28A0092B-C50C-407E-A947-70E740481C1C}">
              <a14:useLocalDpi xmlns:a14="http://schemas.microsoft.com/office/drawing/2010/main" val="0"/>
            </a:ext>
          </a:extLst>
        </a:blip>
        <a:srcRect/>
        <a:stretch>
          <a:fillRect/>
        </a:stretch>
      </xdr:blipFill>
      <xdr:spPr bwMode="auto">
        <a:xfrm>
          <a:off x="11140440" y="12854940"/>
          <a:ext cx="4419600" cy="76962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pic>
    <xdr:clientData/>
  </xdr:twoCellAnchor>
</xdr:wsDr>
</file>

<file path=xl/drawings/drawing5.xml><?xml version="1.0" encoding="utf-8"?>
<xdr:wsDr xmlns:a="http://schemas.openxmlformats.org/drawingml/2006/main" xmlns:xdr="http://schemas.openxmlformats.org/drawingml/2006/spreadsheetDrawing" xmlns:r="http://schemas.openxmlformats.org/officeDocument/2006/relationships">
  <xdr:twoCellAnchor>
    <xdr:from>
      <xdr:col>7</xdr:col>
      <xdr:colOff>2267388</xdr:colOff>
      <xdr:row>117</xdr:row>
      <xdr:rowOff>106056</xdr:rowOff>
    </xdr:from>
    <xdr:to>
      <xdr:col>8</xdr:col>
      <xdr:colOff>3401783</xdr:colOff>
      <xdr:row>135</xdr:row>
      <xdr:rowOff>185298</xdr:rowOff>
    </xdr:to>
    <xdr:graphicFrame macro="">
      <xdr:nvGraphicFramePr>
        <xdr:cNvPr id="11" name="Chart 10">
          <a:extLst>
            <a:ext xmlns:a16="http://schemas.microsoft.com/office/drawing/2014/main" uri="{FF2B5EF4-FFF2-40B4-BE49-F238E27FC236}">
              <a16:creationId xmlns:a16="http://schemas.microsoft.com/office/drawing/2014/main" id="{00000000-0008-0000-06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0</xdr:colOff>
      <xdr:row>117</xdr:row>
      <xdr:rowOff>0</xdr:rowOff>
    </xdr:from>
    <xdr:to>
      <xdr:col>11</xdr:col>
      <xdr:colOff>843043</xdr:colOff>
      <xdr:row>135</xdr:row>
      <xdr:rowOff>79242</xdr:rowOff>
    </xdr:to>
    <xdr:graphicFrame macro="">
      <xdr:nvGraphicFramePr>
        <xdr:cNvPr id="12" name="Chart 11">
          <a:extLst>
            <a:ext xmlns:a16="http://schemas.microsoft.com/office/drawing/2014/main" uri="{FF2B5EF4-FFF2-40B4-BE49-F238E27FC236}">
              <a16:creationId xmlns:a16="http://schemas.microsoft.com/office/drawing/2014/main" id="{00000000-0008-0000-06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17</xdr:col>
      <xdr:colOff>1104652</xdr:colOff>
      <xdr:row>5</xdr:row>
      <xdr:rowOff>267689</xdr:rowOff>
    </xdr:from>
    <xdr:to>
      <xdr:col>36</xdr:col>
      <xdr:colOff>385453</xdr:colOff>
      <xdr:row>12</xdr:row>
      <xdr:rowOff>513608</xdr:rowOff>
    </xdr:to>
    <xdr:graphicFrame macro="">
      <xdr:nvGraphicFramePr>
        <xdr:cNvPr id="14" name="Chart 13">
          <a:extLst>
            <a:ext xmlns:a16="http://schemas.microsoft.com/office/drawing/2014/main" uri="{FF2B5EF4-FFF2-40B4-BE49-F238E27FC236}">
              <a16:creationId xmlns:a16="http://schemas.microsoft.com/office/drawing/2014/main" id="{00000000-0008-0000-06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mc:AlternateContent xmlns:mc="http://schemas.openxmlformats.org/markup-compatibility/2006">
    <mc:Choice xmlns:a14="http://schemas.microsoft.com/office/drawing/2010/main" Requires="a14">
      <xdr:twoCellAnchor>
        <xdr:from>
          <xdr:col>7</xdr:col>
          <xdr:colOff>228600</xdr:colOff>
          <xdr:row>5</xdr:row>
          <xdr:rowOff>137160</xdr:rowOff>
        </xdr:from>
        <xdr:to>
          <xdr:col>7</xdr:col>
          <xdr:colOff>5966460</xdr:colOff>
          <xdr:row>5</xdr:row>
          <xdr:rowOff>3878580</xdr:rowOff>
        </xdr:to>
        <xdr:sp macro="" textlink="">
          <xdr:nvSpPr>
            <xdr:cNvPr id="5278" name="Object 158" hidden="1">
              <a:extLst>
                <a:ext uri="{63B3BB69-23CF-44E3-9099-C40C66FF867C}">
                  <a14:compatExt spid="_x0000_s5278"/>
                </a:ext>
                <a:ext uri="{FF2B5EF4-FFF2-40B4-BE49-F238E27FC236}">
                  <a16:creationId xmlns:a16="http://schemas.microsoft.com/office/drawing/2014/main" id="{00000000-0008-0000-0600-00009E1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xdr:twoCellAnchor>
    <xdr:from>
      <xdr:col>7</xdr:col>
      <xdr:colOff>502920</xdr:colOff>
      <xdr:row>6</xdr:row>
      <xdr:rowOff>190500</xdr:rowOff>
    </xdr:from>
    <xdr:to>
      <xdr:col>7</xdr:col>
      <xdr:colOff>6202680</xdr:colOff>
      <xdr:row>6</xdr:row>
      <xdr:rowOff>838200</xdr:rowOff>
    </xdr:to>
    <xdr:sp macro="" textlink="">
      <xdr:nvSpPr>
        <xdr:cNvPr id="5282" name="Object 162" hidden="true">
          <a:extLst>
            <a:ext xmlns:a14="http://schemas.microsoft.com/office/drawing/2010/main" uri="{63B3BB69-23CF-44E3-9099-C40C66FF867C}">
              <a14:compatExt xmlns:a14="http://schemas.microsoft.com/office/drawing/2010/main" spid="_x0000_s5282"/>
            </a:ext>
            <a:ext xmlns:a16="http://schemas.microsoft.com/office/drawing/2014/main" uri="{FF2B5EF4-FFF2-40B4-BE49-F238E27FC236}">
              <a16:creationId xmlns:a16="http://schemas.microsoft.com/office/drawing/2014/main" id="{00000000-0008-0000-0600-0000A2140000}"/>
            </a:ext>
          </a:extLst>
        </xdr:cNvPr>
        <xdr:cNvSpPr/>
      </xdr:nvSpPr>
      <xdr:spPr bwMode="auto">
        <a:xfrm>
          <a:off x="0" y="0"/>
          <a:ext cx="0" cy="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sp>
    <xdr:clientData/>
  </xdr:twoCellAnchor>
  <xdr:twoCellAnchor>
    <xdr:from>
      <xdr:col>7</xdr:col>
      <xdr:colOff>114300</xdr:colOff>
      <xdr:row>7</xdr:row>
      <xdr:rowOff>190500</xdr:rowOff>
    </xdr:from>
    <xdr:to>
      <xdr:col>7</xdr:col>
      <xdr:colOff>6042660</xdr:colOff>
      <xdr:row>7</xdr:row>
      <xdr:rowOff>784860</xdr:rowOff>
    </xdr:to>
    <xdr:sp macro="" textlink="">
      <xdr:nvSpPr>
        <xdr:cNvPr id="5283" name="Object 163" hidden="true">
          <a:extLst>
            <a:ext xmlns:a14="http://schemas.microsoft.com/office/drawing/2010/main" uri="{63B3BB69-23CF-44E3-9099-C40C66FF867C}">
              <a14:compatExt xmlns:a14="http://schemas.microsoft.com/office/drawing/2010/main" spid="_x0000_s5283"/>
            </a:ext>
            <a:ext xmlns:a16="http://schemas.microsoft.com/office/drawing/2014/main" uri="{FF2B5EF4-FFF2-40B4-BE49-F238E27FC236}">
              <a16:creationId xmlns:a16="http://schemas.microsoft.com/office/drawing/2014/main" id="{00000000-0008-0000-0600-0000A3140000}"/>
            </a:ext>
          </a:extLst>
        </xdr:cNvPr>
        <xdr:cNvSpPr/>
      </xdr:nvSpPr>
      <xdr:spPr bwMode="auto">
        <a:xfrm>
          <a:off x="0" y="0"/>
          <a:ext cx="0" cy="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sp>
    <xdr:clientData/>
  </xdr:twoCellAnchor>
  <xdr:twoCellAnchor>
    <xdr:from>
      <xdr:col>7</xdr:col>
      <xdr:colOff>708660</xdr:colOff>
      <xdr:row>8</xdr:row>
      <xdr:rowOff>518160</xdr:rowOff>
    </xdr:from>
    <xdr:to>
      <xdr:col>7</xdr:col>
      <xdr:colOff>5303520</xdr:colOff>
      <xdr:row>8</xdr:row>
      <xdr:rowOff>1905000</xdr:rowOff>
    </xdr:to>
    <xdr:sp macro="" textlink="">
      <xdr:nvSpPr>
        <xdr:cNvPr id="5286" name="Object 166" hidden="true">
          <a:extLst>
            <a:ext xmlns:a14="http://schemas.microsoft.com/office/drawing/2010/main" uri="{63B3BB69-23CF-44E3-9099-C40C66FF867C}">
              <a14:compatExt xmlns:a14="http://schemas.microsoft.com/office/drawing/2010/main" spid="_x0000_s5286"/>
            </a:ext>
            <a:ext xmlns:a16="http://schemas.microsoft.com/office/drawing/2014/main" uri="{FF2B5EF4-FFF2-40B4-BE49-F238E27FC236}">
              <a16:creationId xmlns:a16="http://schemas.microsoft.com/office/drawing/2014/main" id="{00000000-0008-0000-0600-0000A6140000}"/>
            </a:ext>
          </a:extLst>
        </xdr:cNvPr>
        <xdr:cNvSpPr/>
      </xdr:nvSpPr>
      <xdr:spPr bwMode="auto">
        <a:xfrm>
          <a:off x="0" y="0"/>
          <a:ext cx="0" cy="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sp>
    <xdr:clientData/>
  </xdr:twoCellAnchor>
  <xdr:twoCellAnchor>
    <xdr:from>
      <xdr:col>7</xdr:col>
      <xdr:colOff>1135380</xdr:colOff>
      <xdr:row>11</xdr:row>
      <xdr:rowOff>213360</xdr:rowOff>
    </xdr:from>
    <xdr:to>
      <xdr:col>7</xdr:col>
      <xdr:colOff>4754880</xdr:colOff>
      <xdr:row>11</xdr:row>
      <xdr:rowOff>1021080</xdr:rowOff>
    </xdr:to>
    <xdr:sp macro="" textlink="">
      <xdr:nvSpPr>
        <xdr:cNvPr id="5290" name="Object 170" hidden="true">
          <a:extLst>
            <a:ext xmlns:a14="http://schemas.microsoft.com/office/drawing/2010/main" uri="{63B3BB69-23CF-44E3-9099-C40C66FF867C}">
              <a14:compatExt xmlns:a14="http://schemas.microsoft.com/office/drawing/2010/main" spid="_x0000_s5290"/>
            </a:ext>
            <a:ext xmlns:a16="http://schemas.microsoft.com/office/drawing/2014/main" uri="{FF2B5EF4-FFF2-40B4-BE49-F238E27FC236}">
              <a16:creationId xmlns:a16="http://schemas.microsoft.com/office/drawing/2014/main" id="{00000000-0008-0000-0600-0000AA140000}"/>
            </a:ext>
          </a:extLst>
        </xdr:cNvPr>
        <xdr:cNvSpPr/>
      </xdr:nvSpPr>
      <xdr:spPr bwMode="auto">
        <a:xfrm>
          <a:off x="0" y="0"/>
          <a:ext cx="0" cy="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sp>
    <xdr:clientData/>
  </xdr:twoCellAnchor>
  <xdr:twoCellAnchor>
    <xdr:from>
      <xdr:col>7</xdr:col>
      <xdr:colOff>1661160</xdr:colOff>
      <xdr:row>13</xdr:row>
      <xdr:rowOff>121920</xdr:rowOff>
    </xdr:from>
    <xdr:to>
      <xdr:col>7</xdr:col>
      <xdr:colOff>3962400</xdr:colOff>
      <xdr:row>13</xdr:row>
      <xdr:rowOff>952500</xdr:rowOff>
    </xdr:to>
    <xdr:sp macro="" textlink="">
      <xdr:nvSpPr>
        <xdr:cNvPr id="5293" name="Object 173" hidden="true">
          <a:extLst>
            <a:ext xmlns:a14="http://schemas.microsoft.com/office/drawing/2010/main" uri="{63B3BB69-23CF-44E3-9099-C40C66FF867C}">
              <a14:compatExt xmlns:a14="http://schemas.microsoft.com/office/drawing/2010/main" spid="_x0000_s5293"/>
            </a:ext>
            <a:ext xmlns:a16="http://schemas.microsoft.com/office/drawing/2014/main" uri="{FF2B5EF4-FFF2-40B4-BE49-F238E27FC236}">
              <a16:creationId xmlns:a16="http://schemas.microsoft.com/office/drawing/2014/main" id="{00000000-0008-0000-0600-0000AD140000}"/>
            </a:ext>
          </a:extLst>
        </xdr:cNvPr>
        <xdr:cNvSpPr/>
      </xdr:nvSpPr>
      <xdr:spPr bwMode="auto">
        <a:xfrm>
          <a:off x="0" y="0"/>
          <a:ext cx="0" cy="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sp>
    <xdr:clientData/>
  </xdr:twoCellAnchor>
  <xdr:twoCellAnchor>
    <xdr:from>
      <xdr:col>7</xdr:col>
      <xdr:colOff>419100</xdr:colOff>
      <xdr:row>14</xdr:row>
      <xdr:rowOff>144780</xdr:rowOff>
    </xdr:from>
    <xdr:to>
      <xdr:col>7</xdr:col>
      <xdr:colOff>5836920</xdr:colOff>
      <xdr:row>14</xdr:row>
      <xdr:rowOff>769620</xdr:rowOff>
    </xdr:to>
    <xdr:sp macro="" textlink="">
      <xdr:nvSpPr>
        <xdr:cNvPr id="5294" name="Object 174" hidden="true">
          <a:extLst>
            <a:ext xmlns:a14="http://schemas.microsoft.com/office/drawing/2010/main" uri="{63B3BB69-23CF-44E3-9099-C40C66FF867C}">
              <a14:compatExt xmlns:a14="http://schemas.microsoft.com/office/drawing/2010/main" spid="_x0000_s5294"/>
            </a:ext>
            <a:ext xmlns:a16="http://schemas.microsoft.com/office/drawing/2014/main" uri="{FF2B5EF4-FFF2-40B4-BE49-F238E27FC236}">
              <a16:creationId xmlns:a16="http://schemas.microsoft.com/office/drawing/2014/main" id="{00000000-0008-0000-0600-0000AE140000}"/>
            </a:ext>
          </a:extLst>
        </xdr:cNvPr>
        <xdr:cNvSpPr/>
      </xdr:nvSpPr>
      <xdr:spPr bwMode="auto">
        <a:xfrm>
          <a:off x="0" y="0"/>
          <a:ext cx="0" cy="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sp>
    <xdr:clientData/>
  </xdr:twoCellAnchor>
  <xdr:twoCellAnchor>
    <xdr:from>
      <xdr:col>7</xdr:col>
      <xdr:colOff>525780</xdr:colOff>
      <xdr:row>15</xdr:row>
      <xdr:rowOff>198120</xdr:rowOff>
    </xdr:from>
    <xdr:to>
      <xdr:col>7</xdr:col>
      <xdr:colOff>5821680</xdr:colOff>
      <xdr:row>15</xdr:row>
      <xdr:rowOff>937260</xdr:rowOff>
    </xdr:to>
    <xdr:sp macro="" textlink="">
      <xdr:nvSpPr>
        <xdr:cNvPr id="5295" name="Object 175" hidden="true">
          <a:extLst>
            <a:ext xmlns:a14="http://schemas.microsoft.com/office/drawing/2010/main" uri="{63B3BB69-23CF-44E3-9099-C40C66FF867C}">
              <a14:compatExt xmlns:a14="http://schemas.microsoft.com/office/drawing/2010/main" spid="_x0000_s5295"/>
            </a:ext>
            <a:ext xmlns:a16="http://schemas.microsoft.com/office/drawing/2014/main" uri="{FF2B5EF4-FFF2-40B4-BE49-F238E27FC236}">
              <a16:creationId xmlns:a16="http://schemas.microsoft.com/office/drawing/2014/main" id="{00000000-0008-0000-0600-0000AF140000}"/>
            </a:ext>
          </a:extLst>
        </xdr:cNvPr>
        <xdr:cNvSpPr/>
      </xdr:nvSpPr>
      <xdr:spPr bwMode="auto">
        <a:xfrm>
          <a:off x="0" y="0"/>
          <a:ext cx="0" cy="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sp>
    <xdr:clientData/>
  </xdr:twoCellAnchor>
  <xdr:twoCellAnchor>
    <xdr:from>
      <xdr:col>7</xdr:col>
      <xdr:colOff>388620</xdr:colOff>
      <xdr:row>16</xdr:row>
      <xdr:rowOff>144780</xdr:rowOff>
    </xdr:from>
    <xdr:to>
      <xdr:col>7</xdr:col>
      <xdr:colOff>5951220</xdr:colOff>
      <xdr:row>16</xdr:row>
      <xdr:rowOff>838200</xdr:rowOff>
    </xdr:to>
    <xdr:sp macro="" textlink="">
      <xdr:nvSpPr>
        <xdr:cNvPr id="5296" name="Object 176" hidden="true">
          <a:extLst>
            <a:ext xmlns:a14="http://schemas.microsoft.com/office/drawing/2010/main" uri="{63B3BB69-23CF-44E3-9099-C40C66FF867C}">
              <a14:compatExt xmlns:a14="http://schemas.microsoft.com/office/drawing/2010/main" spid="_x0000_s5296"/>
            </a:ext>
            <a:ext xmlns:a16="http://schemas.microsoft.com/office/drawing/2014/main" uri="{FF2B5EF4-FFF2-40B4-BE49-F238E27FC236}">
              <a16:creationId xmlns:a16="http://schemas.microsoft.com/office/drawing/2014/main" id="{00000000-0008-0000-0600-0000B0140000}"/>
            </a:ext>
          </a:extLst>
        </xdr:cNvPr>
        <xdr:cNvSpPr/>
      </xdr:nvSpPr>
      <xdr:spPr bwMode="auto">
        <a:xfrm>
          <a:off x="0" y="0"/>
          <a:ext cx="0" cy="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sp>
    <xdr:clientData/>
  </xdr:twoCellAnchor>
  <xdr:twoCellAnchor>
    <xdr:from>
      <xdr:col>7</xdr:col>
      <xdr:colOff>1516380</xdr:colOff>
      <xdr:row>17</xdr:row>
      <xdr:rowOff>114300</xdr:rowOff>
    </xdr:from>
    <xdr:to>
      <xdr:col>7</xdr:col>
      <xdr:colOff>4640580</xdr:colOff>
      <xdr:row>17</xdr:row>
      <xdr:rowOff>723900</xdr:rowOff>
    </xdr:to>
    <xdr:sp macro="" textlink="">
      <xdr:nvSpPr>
        <xdr:cNvPr id="5298" name="Object 178" hidden="true">
          <a:extLst>
            <a:ext xmlns:a14="http://schemas.microsoft.com/office/drawing/2010/main" uri="{63B3BB69-23CF-44E3-9099-C40C66FF867C}">
              <a14:compatExt xmlns:a14="http://schemas.microsoft.com/office/drawing/2010/main" spid="_x0000_s5298"/>
            </a:ext>
            <a:ext xmlns:a16="http://schemas.microsoft.com/office/drawing/2014/main" uri="{FF2B5EF4-FFF2-40B4-BE49-F238E27FC236}">
              <a16:creationId xmlns:a16="http://schemas.microsoft.com/office/drawing/2014/main" id="{00000000-0008-0000-0600-0000B2140000}"/>
            </a:ext>
          </a:extLst>
        </xdr:cNvPr>
        <xdr:cNvSpPr/>
      </xdr:nvSpPr>
      <xdr:spPr bwMode="auto">
        <a:xfrm>
          <a:off x="0" y="0"/>
          <a:ext cx="0" cy="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sp>
    <xdr:clientData/>
  </xdr:twoCellAnchor>
  <xdr:twoCellAnchor>
    <xdr:from>
      <xdr:col>7</xdr:col>
      <xdr:colOff>1546860</xdr:colOff>
      <xdr:row>18</xdr:row>
      <xdr:rowOff>114300</xdr:rowOff>
    </xdr:from>
    <xdr:to>
      <xdr:col>7</xdr:col>
      <xdr:colOff>4579620</xdr:colOff>
      <xdr:row>18</xdr:row>
      <xdr:rowOff>914400</xdr:rowOff>
    </xdr:to>
    <xdr:sp macro="" textlink="">
      <xdr:nvSpPr>
        <xdr:cNvPr id="5299" name="Object 179" hidden="true">
          <a:extLst>
            <a:ext xmlns:a14="http://schemas.microsoft.com/office/drawing/2010/main" uri="{63B3BB69-23CF-44E3-9099-C40C66FF867C}">
              <a14:compatExt xmlns:a14="http://schemas.microsoft.com/office/drawing/2010/main" spid="_x0000_s5299"/>
            </a:ext>
            <a:ext xmlns:a16="http://schemas.microsoft.com/office/drawing/2014/main" uri="{FF2B5EF4-FFF2-40B4-BE49-F238E27FC236}">
              <a16:creationId xmlns:a16="http://schemas.microsoft.com/office/drawing/2014/main" id="{00000000-0008-0000-0600-0000B3140000}"/>
            </a:ext>
          </a:extLst>
        </xdr:cNvPr>
        <xdr:cNvSpPr/>
      </xdr:nvSpPr>
      <xdr:spPr bwMode="auto">
        <a:xfrm>
          <a:off x="0" y="0"/>
          <a:ext cx="0" cy="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sp>
    <xdr:clientData/>
  </xdr:twoCellAnchor>
  <xdr:twoCellAnchor>
    <xdr:from>
      <xdr:col>7</xdr:col>
      <xdr:colOff>1013460</xdr:colOff>
      <xdr:row>21</xdr:row>
      <xdr:rowOff>198120</xdr:rowOff>
    </xdr:from>
    <xdr:to>
      <xdr:col>7</xdr:col>
      <xdr:colOff>5151120</xdr:colOff>
      <xdr:row>21</xdr:row>
      <xdr:rowOff>1021080</xdr:rowOff>
    </xdr:to>
    <xdr:sp macro="" textlink="">
      <xdr:nvSpPr>
        <xdr:cNvPr id="5301" name="Object 181" hidden="true">
          <a:extLst>
            <a:ext xmlns:a14="http://schemas.microsoft.com/office/drawing/2010/main" uri="{63B3BB69-23CF-44E3-9099-C40C66FF867C}">
              <a14:compatExt xmlns:a14="http://schemas.microsoft.com/office/drawing/2010/main" spid="_x0000_s5301"/>
            </a:ext>
            <a:ext xmlns:a16="http://schemas.microsoft.com/office/drawing/2014/main" uri="{FF2B5EF4-FFF2-40B4-BE49-F238E27FC236}">
              <a16:creationId xmlns:a16="http://schemas.microsoft.com/office/drawing/2014/main" id="{00000000-0008-0000-0600-0000B5140000}"/>
            </a:ext>
          </a:extLst>
        </xdr:cNvPr>
        <xdr:cNvSpPr/>
      </xdr:nvSpPr>
      <xdr:spPr bwMode="auto">
        <a:xfrm>
          <a:off x="0" y="0"/>
          <a:ext cx="0" cy="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sp>
    <xdr:clientData/>
  </xdr:twoCellAnchor>
  <xdr:twoCellAnchor>
    <xdr:from>
      <xdr:col>7</xdr:col>
      <xdr:colOff>1264920</xdr:colOff>
      <xdr:row>22</xdr:row>
      <xdr:rowOff>228600</xdr:rowOff>
    </xdr:from>
    <xdr:to>
      <xdr:col>7</xdr:col>
      <xdr:colOff>5097780</xdr:colOff>
      <xdr:row>22</xdr:row>
      <xdr:rowOff>1333500</xdr:rowOff>
    </xdr:to>
    <xdr:sp macro="" textlink="">
      <xdr:nvSpPr>
        <xdr:cNvPr id="5303" name="Object 183" hidden="true">
          <a:extLst>
            <a:ext xmlns:a14="http://schemas.microsoft.com/office/drawing/2010/main" uri="{63B3BB69-23CF-44E3-9099-C40C66FF867C}">
              <a14:compatExt xmlns:a14="http://schemas.microsoft.com/office/drawing/2010/main" spid="_x0000_s5303"/>
            </a:ext>
            <a:ext xmlns:a16="http://schemas.microsoft.com/office/drawing/2014/main" uri="{FF2B5EF4-FFF2-40B4-BE49-F238E27FC236}">
              <a16:creationId xmlns:a16="http://schemas.microsoft.com/office/drawing/2014/main" id="{00000000-0008-0000-0600-0000B7140000}"/>
            </a:ext>
          </a:extLst>
        </xdr:cNvPr>
        <xdr:cNvSpPr/>
      </xdr:nvSpPr>
      <xdr:spPr bwMode="auto">
        <a:xfrm>
          <a:off x="0" y="0"/>
          <a:ext cx="0" cy="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sp>
    <xdr:clientData/>
  </xdr:twoCellAnchor>
  <xdr:twoCellAnchor>
    <xdr:from>
      <xdr:col>7</xdr:col>
      <xdr:colOff>876300</xdr:colOff>
      <xdr:row>23</xdr:row>
      <xdr:rowOff>106680</xdr:rowOff>
    </xdr:from>
    <xdr:to>
      <xdr:col>7</xdr:col>
      <xdr:colOff>5600700</xdr:colOff>
      <xdr:row>23</xdr:row>
      <xdr:rowOff>1874520</xdr:rowOff>
    </xdr:to>
    <xdr:sp macro="" textlink="">
      <xdr:nvSpPr>
        <xdr:cNvPr id="5304" name="Object 184" hidden="true">
          <a:extLst>
            <a:ext xmlns:a14="http://schemas.microsoft.com/office/drawing/2010/main" uri="{63B3BB69-23CF-44E3-9099-C40C66FF867C}">
              <a14:compatExt xmlns:a14="http://schemas.microsoft.com/office/drawing/2010/main" spid="_x0000_s5304"/>
            </a:ext>
            <a:ext xmlns:a16="http://schemas.microsoft.com/office/drawing/2014/main" uri="{FF2B5EF4-FFF2-40B4-BE49-F238E27FC236}">
              <a16:creationId xmlns:a16="http://schemas.microsoft.com/office/drawing/2014/main" id="{00000000-0008-0000-0600-0000B8140000}"/>
            </a:ext>
          </a:extLst>
        </xdr:cNvPr>
        <xdr:cNvSpPr/>
      </xdr:nvSpPr>
      <xdr:spPr bwMode="auto">
        <a:xfrm>
          <a:off x="0" y="0"/>
          <a:ext cx="0" cy="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sp>
    <xdr:clientData/>
  </xdr:twoCellAnchor>
  <xdr:twoCellAnchor>
    <xdr:from>
      <xdr:col>7</xdr:col>
      <xdr:colOff>1981200</xdr:colOff>
      <xdr:row>24</xdr:row>
      <xdr:rowOff>182880</xdr:rowOff>
    </xdr:from>
    <xdr:to>
      <xdr:col>7</xdr:col>
      <xdr:colOff>3893820</xdr:colOff>
      <xdr:row>24</xdr:row>
      <xdr:rowOff>1249680</xdr:rowOff>
    </xdr:to>
    <xdr:sp macro="" textlink="">
      <xdr:nvSpPr>
        <xdr:cNvPr id="5305" name="Object 185" hidden="true">
          <a:extLst>
            <a:ext xmlns:a14="http://schemas.microsoft.com/office/drawing/2010/main" uri="{63B3BB69-23CF-44E3-9099-C40C66FF867C}">
              <a14:compatExt xmlns:a14="http://schemas.microsoft.com/office/drawing/2010/main" spid="_x0000_s5305"/>
            </a:ext>
            <a:ext xmlns:a16="http://schemas.microsoft.com/office/drawing/2014/main" uri="{FF2B5EF4-FFF2-40B4-BE49-F238E27FC236}">
              <a16:creationId xmlns:a16="http://schemas.microsoft.com/office/drawing/2014/main" id="{00000000-0008-0000-0600-0000B9140000}"/>
            </a:ext>
          </a:extLst>
        </xdr:cNvPr>
        <xdr:cNvSpPr/>
      </xdr:nvSpPr>
      <xdr:spPr bwMode="auto">
        <a:xfrm>
          <a:off x="0" y="0"/>
          <a:ext cx="0" cy="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sp>
    <xdr:clientData/>
  </xdr:twoCellAnchor>
  <xdr:twoCellAnchor editAs="oneCell">
    <xdr:from>
      <xdr:col>7</xdr:col>
      <xdr:colOff>2171700</xdr:colOff>
      <xdr:row>25</xdr:row>
      <xdr:rowOff>175260</xdr:rowOff>
    </xdr:from>
    <xdr:to>
      <xdr:col>7</xdr:col>
      <xdr:colOff>4122420</xdr:colOff>
      <xdr:row>25</xdr:row>
      <xdr:rowOff>754380</xdr:rowOff>
    </xdr:to>
    <xdr:sp macro="" textlink="">
      <xdr:nvSpPr>
        <xdr:cNvPr id="5307" name="Object 187" hidden="true">
          <a:extLst>
            <a:ext xmlns:a14="http://schemas.microsoft.com/office/drawing/2010/main" uri="{63B3BB69-23CF-44E3-9099-C40C66FF867C}">
              <a14:compatExt xmlns:a14="http://schemas.microsoft.com/office/drawing/2010/main" spid="_x0000_s5307"/>
            </a:ext>
            <a:ext xmlns:a16="http://schemas.microsoft.com/office/drawing/2014/main" uri="{FF2B5EF4-FFF2-40B4-BE49-F238E27FC236}">
              <a16:creationId xmlns:a16="http://schemas.microsoft.com/office/drawing/2014/main" id="{00000000-0008-0000-0600-0000BB140000}"/>
            </a:ext>
          </a:extLst>
        </xdr:cNvPr>
        <xdr:cNvSpPr/>
      </xdr:nvSpPr>
      <xdr:spPr bwMode="auto">
        <a:xfrm>
          <a:off x="0" y="0"/>
          <a:ext cx="0" cy="0"/>
        </a:xfrm>
        <a:prstGeom prst="rect">
          <a:avLst/>
        </a:prstGeom>
        <a:solidFill>
          <a:srgbClr val="FFFFFF"/>
        </a:solidFill>
        <a:ln>
          <a:noFill/>
        </a:ln>
        <a:extLst>
          <a:ext xmlns:a="http://schemas.openxmlformats.org/drawingml/2006/main" xmlns:a14="http://schemas.microsoft.com/office/drawing/2010/main"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7</xdr:col>
      <xdr:colOff>1965960</xdr:colOff>
      <xdr:row>26</xdr:row>
      <xdr:rowOff>106680</xdr:rowOff>
    </xdr:from>
    <xdr:to>
      <xdr:col>7</xdr:col>
      <xdr:colOff>4457700</xdr:colOff>
      <xdr:row>26</xdr:row>
      <xdr:rowOff>655320</xdr:rowOff>
    </xdr:to>
    <xdr:sp macro="" textlink="">
      <xdr:nvSpPr>
        <xdr:cNvPr id="5308" name="Object 188" hidden="true">
          <a:extLst>
            <a:ext xmlns:a14="http://schemas.microsoft.com/office/drawing/2010/main" uri="{63B3BB69-23CF-44E3-9099-C40C66FF867C}">
              <a14:compatExt xmlns:a14="http://schemas.microsoft.com/office/drawing/2010/main" spid="_x0000_s5308"/>
            </a:ext>
            <a:ext xmlns:a16="http://schemas.microsoft.com/office/drawing/2014/main" uri="{FF2B5EF4-FFF2-40B4-BE49-F238E27FC236}">
              <a16:creationId xmlns:a16="http://schemas.microsoft.com/office/drawing/2014/main" id="{00000000-0008-0000-0600-0000BC140000}"/>
            </a:ext>
          </a:extLst>
        </xdr:cNvPr>
        <xdr:cNvSpPr/>
      </xdr:nvSpPr>
      <xdr:spPr bwMode="auto">
        <a:xfrm>
          <a:off x="0" y="0"/>
          <a:ext cx="0" cy="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sp>
    <xdr:clientData/>
  </xdr:twoCellAnchor>
  <xdr:twoCellAnchor>
    <xdr:from>
      <xdr:col>7</xdr:col>
      <xdr:colOff>1714500</xdr:colOff>
      <xdr:row>28</xdr:row>
      <xdr:rowOff>175260</xdr:rowOff>
    </xdr:from>
    <xdr:to>
      <xdr:col>7</xdr:col>
      <xdr:colOff>4655820</xdr:colOff>
      <xdr:row>28</xdr:row>
      <xdr:rowOff>1097280</xdr:rowOff>
    </xdr:to>
    <xdr:sp macro="" textlink="">
      <xdr:nvSpPr>
        <xdr:cNvPr id="5311" name="Object 191" hidden="true">
          <a:extLst>
            <a:ext xmlns:a14="http://schemas.microsoft.com/office/drawing/2010/main" uri="{63B3BB69-23CF-44E3-9099-C40C66FF867C}">
              <a14:compatExt xmlns:a14="http://schemas.microsoft.com/office/drawing/2010/main" spid="_x0000_s5311"/>
            </a:ext>
            <a:ext xmlns:a16="http://schemas.microsoft.com/office/drawing/2014/main" uri="{FF2B5EF4-FFF2-40B4-BE49-F238E27FC236}">
              <a16:creationId xmlns:a16="http://schemas.microsoft.com/office/drawing/2014/main" id="{00000000-0008-0000-0600-0000BF140000}"/>
            </a:ext>
          </a:extLst>
        </xdr:cNvPr>
        <xdr:cNvSpPr/>
      </xdr:nvSpPr>
      <xdr:spPr bwMode="auto">
        <a:xfrm>
          <a:off x="0" y="0"/>
          <a:ext cx="0" cy="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sp>
    <xdr:clientData/>
  </xdr:twoCellAnchor>
  <xdr:twoCellAnchor>
    <xdr:from>
      <xdr:col>7</xdr:col>
      <xdr:colOff>1447800</xdr:colOff>
      <xdr:row>27</xdr:row>
      <xdr:rowOff>152400</xdr:rowOff>
    </xdr:from>
    <xdr:to>
      <xdr:col>7</xdr:col>
      <xdr:colOff>4572000</xdr:colOff>
      <xdr:row>27</xdr:row>
      <xdr:rowOff>1112520</xdr:rowOff>
    </xdr:to>
    <xdr:sp macro="" textlink="">
      <xdr:nvSpPr>
        <xdr:cNvPr id="5312" name="Object 192" hidden="true">
          <a:extLst>
            <a:ext xmlns:a14="http://schemas.microsoft.com/office/drawing/2010/main" uri="{63B3BB69-23CF-44E3-9099-C40C66FF867C}">
              <a14:compatExt xmlns:a14="http://schemas.microsoft.com/office/drawing/2010/main" spid="_x0000_s5312"/>
            </a:ext>
            <a:ext xmlns:a16="http://schemas.microsoft.com/office/drawing/2014/main" uri="{FF2B5EF4-FFF2-40B4-BE49-F238E27FC236}">
              <a16:creationId xmlns:a16="http://schemas.microsoft.com/office/drawing/2014/main" id="{00000000-0008-0000-0600-0000C0140000}"/>
            </a:ext>
          </a:extLst>
        </xdr:cNvPr>
        <xdr:cNvSpPr/>
      </xdr:nvSpPr>
      <xdr:spPr bwMode="auto">
        <a:xfrm>
          <a:off x="0" y="0"/>
          <a:ext cx="0" cy="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sp>
    <xdr:clientData/>
  </xdr:twoCellAnchor>
  <xdr:twoCellAnchor>
    <xdr:from>
      <xdr:col>7</xdr:col>
      <xdr:colOff>1973580</xdr:colOff>
      <xdr:row>29</xdr:row>
      <xdr:rowOff>114300</xdr:rowOff>
    </xdr:from>
    <xdr:to>
      <xdr:col>7</xdr:col>
      <xdr:colOff>4541520</xdr:colOff>
      <xdr:row>29</xdr:row>
      <xdr:rowOff>762000</xdr:rowOff>
    </xdr:to>
    <xdr:sp macro="" textlink="">
      <xdr:nvSpPr>
        <xdr:cNvPr id="5313" name="Object 193" hidden="true">
          <a:extLst>
            <a:ext xmlns:a14="http://schemas.microsoft.com/office/drawing/2010/main" uri="{63B3BB69-23CF-44E3-9099-C40C66FF867C}">
              <a14:compatExt xmlns:a14="http://schemas.microsoft.com/office/drawing/2010/main" spid="_x0000_s5313"/>
            </a:ext>
            <a:ext xmlns:a16="http://schemas.microsoft.com/office/drawing/2014/main" uri="{FF2B5EF4-FFF2-40B4-BE49-F238E27FC236}">
              <a16:creationId xmlns:a16="http://schemas.microsoft.com/office/drawing/2014/main" id="{00000000-0008-0000-0600-0000C1140000}"/>
            </a:ext>
          </a:extLst>
        </xdr:cNvPr>
        <xdr:cNvSpPr/>
      </xdr:nvSpPr>
      <xdr:spPr bwMode="auto">
        <a:xfrm>
          <a:off x="0" y="0"/>
          <a:ext cx="0" cy="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sp>
    <xdr:clientData/>
  </xdr:twoCellAnchor>
  <xdr:twoCellAnchor>
    <xdr:from>
      <xdr:col>7</xdr:col>
      <xdr:colOff>2156460</xdr:colOff>
      <xdr:row>31</xdr:row>
      <xdr:rowOff>152400</xdr:rowOff>
    </xdr:from>
    <xdr:to>
      <xdr:col>7</xdr:col>
      <xdr:colOff>4579620</xdr:colOff>
      <xdr:row>31</xdr:row>
      <xdr:rowOff>1036320</xdr:rowOff>
    </xdr:to>
    <xdr:sp macro="" textlink="">
      <xdr:nvSpPr>
        <xdr:cNvPr id="5314" name="Object 194" hidden="true">
          <a:extLst>
            <a:ext xmlns:a14="http://schemas.microsoft.com/office/drawing/2010/main" uri="{63B3BB69-23CF-44E3-9099-C40C66FF867C}">
              <a14:compatExt xmlns:a14="http://schemas.microsoft.com/office/drawing/2010/main" spid="_x0000_s5314"/>
            </a:ext>
            <a:ext xmlns:a16="http://schemas.microsoft.com/office/drawing/2014/main" uri="{FF2B5EF4-FFF2-40B4-BE49-F238E27FC236}">
              <a16:creationId xmlns:a16="http://schemas.microsoft.com/office/drawing/2014/main" id="{00000000-0008-0000-0600-0000C2140000}"/>
            </a:ext>
          </a:extLst>
        </xdr:cNvPr>
        <xdr:cNvSpPr/>
      </xdr:nvSpPr>
      <xdr:spPr bwMode="auto">
        <a:xfrm>
          <a:off x="0" y="0"/>
          <a:ext cx="0" cy="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sp>
    <xdr:clientData/>
  </xdr:twoCellAnchor>
  <xdr:twoCellAnchor>
    <xdr:from>
      <xdr:col>7</xdr:col>
      <xdr:colOff>1836420</xdr:colOff>
      <xdr:row>30</xdr:row>
      <xdr:rowOff>137160</xdr:rowOff>
    </xdr:from>
    <xdr:to>
      <xdr:col>7</xdr:col>
      <xdr:colOff>4351020</xdr:colOff>
      <xdr:row>30</xdr:row>
      <xdr:rowOff>990600</xdr:rowOff>
    </xdr:to>
    <xdr:sp macro="" textlink="">
      <xdr:nvSpPr>
        <xdr:cNvPr id="5315" name="Object 195" hidden="true">
          <a:extLst>
            <a:ext xmlns:a14="http://schemas.microsoft.com/office/drawing/2010/main" uri="{63B3BB69-23CF-44E3-9099-C40C66FF867C}">
              <a14:compatExt xmlns:a14="http://schemas.microsoft.com/office/drawing/2010/main" spid="_x0000_s5315"/>
            </a:ext>
            <a:ext xmlns:a16="http://schemas.microsoft.com/office/drawing/2014/main" uri="{FF2B5EF4-FFF2-40B4-BE49-F238E27FC236}">
              <a16:creationId xmlns:a16="http://schemas.microsoft.com/office/drawing/2014/main" id="{00000000-0008-0000-0600-0000C3140000}"/>
            </a:ext>
          </a:extLst>
        </xdr:cNvPr>
        <xdr:cNvSpPr/>
      </xdr:nvSpPr>
      <xdr:spPr bwMode="auto">
        <a:xfrm>
          <a:off x="0" y="0"/>
          <a:ext cx="0" cy="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sp>
    <xdr:clientData/>
  </xdr:twoCellAnchor>
  <xdr:twoCellAnchor>
    <xdr:from>
      <xdr:col>7</xdr:col>
      <xdr:colOff>2232660</xdr:colOff>
      <xdr:row>32</xdr:row>
      <xdr:rowOff>182880</xdr:rowOff>
    </xdr:from>
    <xdr:to>
      <xdr:col>7</xdr:col>
      <xdr:colOff>4693920</xdr:colOff>
      <xdr:row>32</xdr:row>
      <xdr:rowOff>914400</xdr:rowOff>
    </xdr:to>
    <xdr:sp macro="" textlink="">
      <xdr:nvSpPr>
        <xdr:cNvPr id="5316" name="Object 196" hidden="true">
          <a:extLst>
            <a:ext xmlns:a14="http://schemas.microsoft.com/office/drawing/2010/main" uri="{63B3BB69-23CF-44E3-9099-C40C66FF867C}">
              <a14:compatExt xmlns:a14="http://schemas.microsoft.com/office/drawing/2010/main" spid="_x0000_s5316"/>
            </a:ext>
            <a:ext xmlns:a16="http://schemas.microsoft.com/office/drawing/2014/main" uri="{FF2B5EF4-FFF2-40B4-BE49-F238E27FC236}">
              <a16:creationId xmlns:a16="http://schemas.microsoft.com/office/drawing/2014/main" id="{00000000-0008-0000-0600-0000C4140000}"/>
            </a:ext>
          </a:extLst>
        </xdr:cNvPr>
        <xdr:cNvSpPr/>
      </xdr:nvSpPr>
      <xdr:spPr bwMode="auto">
        <a:xfrm>
          <a:off x="0" y="0"/>
          <a:ext cx="0" cy="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sp>
    <xdr:clientData/>
  </xdr:twoCellAnchor>
  <xdr:twoCellAnchor>
    <xdr:from>
      <xdr:col>7</xdr:col>
      <xdr:colOff>1897380</xdr:colOff>
      <xdr:row>33</xdr:row>
      <xdr:rowOff>144780</xdr:rowOff>
    </xdr:from>
    <xdr:to>
      <xdr:col>7</xdr:col>
      <xdr:colOff>4922520</xdr:colOff>
      <xdr:row>33</xdr:row>
      <xdr:rowOff>1226820</xdr:rowOff>
    </xdr:to>
    <xdr:sp macro="" textlink="">
      <xdr:nvSpPr>
        <xdr:cNvPr id="5317" name="Object 197" hidden="true">
          <a:extLst>
            <a:ext xmlns:a14="http://schemas.microsoft.com/office/drawing/2010/main" uri="{63B3BB69-23CF-44E3-9099-C40C66FF867C}">
              <a14:compatExt xmlns:a14="http://schemas.microsoft.com/office/drawing/2010/main" spid="_x0000_s5317"/>
            </a:ext>
            <a:ext xmlns:a16="http://schemas.microsoft.com/office/drawing/2014/main" uri="{FF2B5EF4-FFF2-40B4-BE49-F238E27FC236}">
              <a16:creationId xmlns:a16="http://schemas.microsoft.com/office/drawing/2014/main" id="{00000000-0008-0000-0600-0000C5140000}"/>
            </a:ext>
          </a:extLst>
        </xdr:cNvPr>
        <xdr:cNvSpPr/>
      </xdr:nvSpPr>
      <xdr:spPr bwMode="auto">
        <a:xfrm>
          <a:off x="0" y="0"/>
          <a:ext cx="0" cy="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sp>
    <xdr:clientData/>
  </xdr:twoCellAnchor>
  <xdr:twoCellAnchor>
    <xdr:from>
      <xdr:col>7</xdr:col>
      <xdr:colOff>1851660</xdr:colOff>
      <xdr:row>34</xdr:row>
      <xdr:rowOff>106680</xdr:rowOff>
    </xdr:from>
    <xdr:to>
      <xdr:col>7</xdr:col>
      <xdr:colOff>4823460</xdr:colOff>
      <xdr:row>34</xdr:row>
      <xdr:rowOff>914400</xdr:rowOff>
    </xdr:to>
    <xdr:sp macro="" textlink="">
      <xdr:nvSpPr>
        <xdr:cNvPr id="5319" name="Object 199" hidden="true">
          <a:extLst>
            <a:ext xmlns:a14="http://schemas.microsoft.com/office/drawing/2010/main" uri="{63B3BB69-23CF-44E3-9099-C40C66FF867C}">
              <a14:compatExt xmlns:a14="http://schemas.microsoft.com/office/drawing/2010/main" spid="_x0000_s5319"/>
            </a:ext>
            <a:ext xmlns:a16="http://schemas.microsoft.com/office/drawing/2014/main" uri="{FF2B5EF4-FFF2-40B4-BE49-F238E27FC236}">
              <a16:creationId xmlns:a16="http://schemas.microsoft.com/office/drawing/2014/main" id="{00000000-0008-0000-0600-0000C7140000}"/>
            </a:ext>
          </a:extLst>
        </xdr:cNvPr>
        <xdr:cNvSpPr/>
      </xdr:nvSpPr>
      <xdr:spPr bwMode="auto">
        <a:xfrm>
          <a:off x="0" y="0"/>
          <a:ext cx="0" cy="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sp>
    <xdr:clientData/>
  </xdr:twoCellAnchor>
  <xdr:twoCellAnchor>
    <xdr:from>
      <xdr:col>7</xdr:col>
      <xdr:colOff>1866900</xdr:colOff>
      <xdr:row>35</xdr:row>
      <xdr:rowOff>121920</xdr:rowOff>
    </xdr:from>
    <xdr:to>
      <xdr:col>7</xdr:col>
      <xdr:colOff>4937760</xdr:colOff>
      <xdr:row>35</xdr:row>
      <xdr:rowOff>1211580</xdr:rowOff>
    </xdr:to>
    <xdr:sp macro="" textlink="">
      <xdr:nvSpPr>
        <xdr:cNvPr id="5320" name="Object 200" hidden="true">
          <a:extLst>
            <a:ext xmlns:a14="http://schemas.microsoft.com/office/drawing/2010/main" uri="{63B3BB69-23CF-44E3-9099-C40C66FF867C}">
              <a14:compatExt xmlns:a14="http://schemas.microsoft.com/office/drawing/2010/main" spid="_x0000_s5320"/>
            </a:ext>
            <a:ext xmlns:a16="http://schemas.microsoft.com/office/drawing/2014/main" uri="{FF2B5EF4-FFF2-40B4-BE49-F238E27FC236}">
              <a16:creationId xmlns:a16="http://schemas.microsoft.com/office/drawing/2014/main" id="{00000000-0008-0000-0600-0000C8140000}"/>
            </a:ext>
          </a:extLst>
        </xdr:cNvPr>
        <xdr:cNvSpPr/>
      </xdr:nvSpPr>
      <xdr:spPr bwMode="auto">
        <a:xfrm>
          <a:off x="0" y="0"/>
          <a:ext cx="0" cy="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sp>
    <xdr:clientData/>
  </xdr:twoCellAnchor>
  <xdr:twoCellAnchor>
    <xdr:from>
      <xdr:col>7</xdr:col>
      <xdr:colOff>1661160</xdr:colOff>
      <xdr:row>36</xdr:row>
      <xdr:rowOff>175260</xdr:rowOff>
    </xdr:from>
    <xdr:to>
      <xdr:col>7</xdr:col>
      <xdr:colOff>4648200</xdr:colOff>
      <xdr:row>36</xdr:row>
      <xdr:rowOff>1051560</xdr:rowOff>
    </xdr:to>
    <xdr:sp macro="" textlink="">
      <xdr:nvSpPr>
        <xdr:cNvPr id="5321" name="Object 201" hidden="true">
          <a:extLst>
            <a:ext xmlns:a14="http://schemas.microsoft.com/office/drawing/2010/main" uri="{63B3BB69-23CF-44E3-9099-C40C66FF867C}">
              <a14:compatExt xmlns:a14="http://schemas.microsoft.com/office/drawing/2010/main" spid="_x0000_s5321"/>
            </a:ext>
            <a:ext xmlns:a16="http://schemas.microsoft.com/office/drawing/2014/main" uri="{FF2B5EF4-FFF2-40B4-BE49-F238E27FC236}">
              <a16:creationId xmlns:a16="http://schemas.microsoft.com/office/drawing/2014/main" id="{00000000-0008-0000-0600-0000C9140000}"/>
            </a:ext>
          </a:extLst>
        </xdr:cNvPr>
        <xdr:cNvSpPr/>
      </xdr:nvSpPr>
      <xdr:spPr bwMode="auto">
        <a:xfrm>
          <a:off x="0" y="0"/>
          <a:ext cx="0" cy="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sp>
    <xdr:clientData/>
  </xdr:twoCellAnchor>
  <xdr:twoCellAnchor>
    <xdr:from>
      <xdr:col>7</xdr:col>
      <xdr:colOff>1516380</xdr:colOff>
      <xdr:row>37</xdr:row>
      <xdr:rowOff>114300</xdr:rowOff>
    </xdr:from>
    <xdr:to>
      <xdr:col>7</xdr:col>
      <xdr:colOff>4884420</xdr:colOff>
      <xdr:row>37</xdr:row>
      <xdr:rowOff>1325880</xdr:rowOff>
    </xdr:to>
    <xdr:sp macro="" textlink="">
      <xdr:nvSpPr>
        <xdr:cNvPr id="5322" name="Object 202" hidden="true">
          <a:extLst>
            <a:ext xmlns:a14="http://schemas.microsoft.com/office/drawing/2010/main" uri="{63B3BB69-23CF-44E3-9099-C40C66FF867C}">
              <a14:compatExt xmlns:a14="http://schemas.microsoft.com/office/drawing/2010/main" spid="_x0000_s5322"/>
            </a:ext>
            <a:ext xmlns:a16="http://schemas.microsoft.com/office/drawing/2014/main" uri="{FF2B5EF4-FFF2-40B4-BE49-F238E27FC236}">
              <a16:creationId xmlns:a16="http://schemas.microsoft.com/office/drawing/2014/main" id="{00000000-0008-0000-0600-0000CA140000}"/>
            </a:ext>
          </a:extLst>
        </xdr:cNvPr>
        <xdr:cNvSpPr/>
      </xdr:nvSpPr>
      <xdr:spPr bwMode="auto">
        <a:xfrm>
          <a:off x="0" y="0"/>
          <a:ext cx="0" cy="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sp>
    <xdr:clientData/>
  </xdr:twoCellAnchor>
  <xdr:twoCellAnchor>
    <xdr:from>
      <xdr:col>7</xdr:col>
      <xdr:colOff>1226820</xdr:colOff>
      <xdr:row>9</xdr:row>
      <xdr:rowOff>121920</xdr:rowOff>
    </xdr:from>
    <xdr:to>
      <xdr:col>7</xdr:col>
      <xdr:colOff>4907280</xdr:colOff>
      <xdr:row>9</xdr:row>
      <xdr:rowOff>807720</xdr:rowOff>
    </xdr:to>
    <xdr:sp macro="" textlink="">
      <xdr:nvSpPr>
        <xdr:cNvPr id="5341" name="Object 221" hidden="true">
          <a:extLst>
            <a:ext xmlns:a14="http://schemas.microsoft.com/office/drawing/2010/main" uri="{63B3BB69-23CF-44E3-9099-C40C66FF867C}">
              <a14:compatExt xmlns:a14="http://schemas.microsoft.com/office/drawing/2010/main" spid="_x0000_s5341"/>
            </a:ext>
            <a:ext xmlns:a16="http://schemas.microsoft.com/office/drawing/2014/main" uri="{FF2B5EF4-FFF2-40B4-BE49-F238E27FC236}">
              <a16:creationId xmlns:a16="http://schemas.microsoft.com/office/drawing/2014/main" id="{00000000-0008-0000-0600-0000DD140000}"/>
            </a:ext>
          </a:extLst>
        </xdr:cNvPr>
        <xdr:cNvSpPr/>
      </xdr:nvSpPr>
      <xdr:spPr bwMode="auto">
        <a:xfrm>
          <a:off x="0" y="0"/>
          <a:ext cx="0" cy="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sp>
    <xdr:clientData/>
  </xdr:twoCellAnchor>
  <xdr:twoCellAnchor>
    <xdr:from>
      <xdr:col>7</xdr:col>
      <xdr:colOff>792480</xdr:colOff>
      <xdr:row>10</xdr:row>
      <xdr:rowOff>160020</xdr:rowOff>
    </xdr:from>
    <xdr:to>
      <xdr:col>7</xdr:col>
      <xdr:colOff>5105400</xdr:colOff>
      <xdr:row>10</xdr:row>
      <xdr:rowOff>1249680</xdr:rowOff>
    </xdr:to>
    <xdr:sp macro="" textlink="">
      <xdr:nvSpPr>
        <xdr:cNvPr id="5344" name="Object 224" hidden="true">
          <a:extLst>
            <a:ext xmlns:a14="http://schemas.microsoft.com/office/drawing/2010/main" uri="{63B3BB69-23CF-44E3-9099-C40C66FF867C}">
              <a14:compatExt xmlns:a14="http://schemas.microsoft.com/office/drawing/2010/main" spid="_x0000_s5344"/>
            </a:ext>
            <a:ext xmlns:a16="http://schemas.microsoft.com/office/drawing/2014/main" uri="{FF2B5EF4-FFF2-40B4-BE49-F238E27FC236}">
              <a16:creationId xmlns:a16="http://schemas.microsoft.com/office/drawing/2014/main" id="{00000000-0008-0000-0600-0000E0140000}"/>
            </a:ext>
          </a:extLst>
        </xdr:cNvPr>
        <xdr:cNvSpPr/>
      </xdr:nvSpPr>
      <xdr:spPr bwMode="auto">
        <a:xfrm>
          <a:off x="0" y="0"/>
          <a:ext cx="0" cy="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sp>
    <xdr:clientData/>
  </xdr:twoCellAnchor>
  <xdr:twoCellAnchor>
    <xdr:from>
      <xdr:col>7</xdr:col>
      <xdr:colOff>182880</xdr:colOff>
      <xdr:row>19</xdr:row>
      <xdr:rowOff>335280</xdr:rowOff>
    </xdr:from>
    <xdr:to>
      <xdr:col>7</xdr:col>
      <xdr:colOff>3192780</xdr:colOff>
      <xdr:row>19</xdr:row>
      <xdr:rowOff>746760</xdr:rowOff>
    </xdr:to>
    <xdr:sp macro="" textlink="">
      <xdr:nvSpPr>
        <xdr:cNvPr id="5350" name="Object 230" hidden="true">
          <a:extLst>
            <a:ext xmlns:a14="http://schemas.microsoft.com/office/drawing/2010/main" uri="{63B3BB69-23CF-44E3-9099-C40C66FF867C}">
              <a14:compatExt xmlns:a14="http://schemas.microsoft.com/office/drawing/2010/main" spid="_x0000_s5350"/>
            </a:ext>
            <a:ext xmlns:a16="http://schemas.microsoft.com/office/drawing/2014/main" uri="{FF2B5EF4-FFF2-40B4-BE49-F238E27FC236}">
              <a16:creationId xmlns:a16="http://schemas.microsoft.com/office/drawing/2014/main" id="{00000000-0008-0000-0600-0000E6140000}"/>
            </a:ext>
          </a:extLst>
        </xdr:cNvPr>
        <xdr:cNvSpPr/>
      </xdr:nvSpPr>
      <xdr:spPr bwMode="auto">
        <a:xfrm>
          <a:off x="0" y="0"/>
          <a:ext cx="0" cy="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sp>
    <xdr:clientData/>
  </xdr:twoCellAnchor>
  <xdr:twoCellAnchor>
    <xdr:from>
      <xdr:col>7</xdr:col>
      <xdr:colOff>3573780</xdr:colOff>
      <xdr:row>19</xdr:row>
      <xdr:rowOff>106680</xdr:rowOff>
    </xdr:from>
    <xdr:to>
      <xdr:col>7</xdr:col>
      <xdr:colOff>5402580</xdr:colOff>
      <xdr:row>19</xdr:row>
      <xdr:rowOff>868680</xdr:rowOff>
    </xdr:to>
    <xdr:sp macro="" textlink="">
      <xdr:nvSpPr>
        <xdr:cNvPr id="5351" name="Object 231" hidden="true">
          <a:extLst>
            <a:ext xmlns:a14="http://schemas.microsoft.com/office/drawing/2010/main" uri="{63B3BB69-23CF-44E3-9099-C40C66FF867C}">
              <a14:compatExt xmlns:a14="http://schemas.microsoft.com/office/drawing/2010/main" spid="_x0000_s5351"/>
            </a:ext>
            <a:ext xmlns:a16="http://schemas.microsoft.com/office/drawing/2014/main" uri="{FF2B5EF4-FFF2-40B4-BE49-F238E27FC236}">
              <a16:creationId xmlns:a16="http://schemas.microsoft.com/office/drawing/2014/main" id="{00000000-0008-0000-0600-0000E7140000}"/>
            </a:ext>
          </a:extLst>
        </xdr:cNvPr>
        <xdr:cNvSpPr/>
      </xdr:nvSpPr>
      <xdr:spPr bwMode="auto">
        <a:xfrm>
          <a:off x="0" y="0"/>
          <a:ext cx="0" cy="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sp>
    <xdr:clientData/>
  </xdr:twoCellAnchor>
  <xdr:twoCellAnchor>
    <xdr:from>
      <xdr:col>7</xdr:col>
      <xdr:colOff>1051560</xdr:colOff>
      <xdr:row>12</xdr:row>
      <xdr:rowOff>182880</xdr:rowOff>
    </xdr:from>
    <xdr:to>
      <xdr:col>7</xdr:col>
      <xdr:colOff>5151120</xdr:colOff>
      <xdr:row>12</xdr:row>
      <xdr:rowOff>838200</xdr:rowOff>
    </xdr:to>
    <xdr:sp macro="" textlink="">
      <xdr:nvSpPr>
        <xdr:cNvPr id="5396" name="Object 276" hidden="true">
          <a:extLst>
            <a:ext xmlns:a14="http://schemas.microsoft.com/office/drawing/2010/main" uri="{63B3BB69-23CF-44E3-9099-C40C66FF867C}">
              <a14:compatExt xmlns:a14="http://schemas.microsoft.com/office/drawing/2010/main" spid="_x0000_s5396"/>
            </a:ext>
            <a:ext xmlns:a16="http://schemas.microsoft.com/office/drawing/2014/main" uri="{FF2B5EF4-FFF2-40B4-BE49-F238E27FC236}">
              <a16:creationId xmlns:a16="http://schemas.microsoft.com/office/drawing/2014/main" id="{00000000-0008-0000-0600-000014150000}"/>
            </a:ext>
          </a:extLst>
        </xdr:cNvPr>
        <xdr:cNvSpPr/>
      </xdr:nvSpPr>
      <xdr:spPr bwMode="auto">
        <a:xfrm>
          <a:off x="0" y="0"/>
          <a:ext cx="0" cy="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sp>
    <xdr:clientData/>
  </xdr:twoCellAnchor>
  <xdr:twoCellAnchor>
    <xdr:from>
      <xdr:col>7</xdr:col>
      <xdr:colOff>502920</xdr:colOff>
      <xdr:row>6</xdr:row>
      <xdr:rowOff>190500</xdr:rowOff>
    </xdr:from>
    <xdr:to>
      <xdr:col>7</xdr:col>
      <xdr:colOff>6202680</xdr:colOff>
      <xdr:row>6</xdr:row>
      <xdr:rowOff>838200</xdr:rowOff>
    </xdr:to>
    <xdr:pic>
      <xdr:nvPicPr>
        <xdr:cNvPr id="2" name="Picture 162">
          <a:extLst>
            <a:ext xmlns:a16="http://schemas.microsoft.com/office/drawing/2014/main" uri="{FF2B5EF4-FFF2-40B4-BE49-F238E27FC236}">
              <a16:creationId xmlns:a16="http://schemas.microsoft.com/office/drawing/2014/main" id="{00000000-0008-0000-0600-000002000000}"/>
            </a:ext>
          </a:extLst>
        </xdr:cNvPr>
        <xdr:cNvPicPr>
          <a:picLocks noChangeAspect="true" noChangeArrowheads="true"/>
        </xdr:cNvPicPr>
      </xdr:nvPicPr>
      <xdr:blipFill>
        <a:blip r:embed="rId4">
          <a:extLst>
            <a:ext xmlns:a14="http://schemas.microsoft.com/office/drawing/2010/main" uri="{28A0092B-C50C-407E-A947-70E740481C1C}">
              <a14:useLocalDpi xmlns:a14="http://schemas.microsoft.com/office/drawing/2010/main" val="0"/>
            </a:ext>
          </a:extLst>
        </a:blip>
        <a:srcRect/>
        <a:stretch>
          <a:fillRect/>
        </a:stretch>
      </xdr:blipFill>
      <xdr:spPr bwMode="auto">
        <a:xfrm>
          <a:off x="13784580" y="6530340"/>
          <a:ext cx="5699760" cy="64770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pic>
    <xdr:clientData/>
  </xdr:twoCellAnchor>
  <xdr:twoCellAnchor>
    <xdr:from>
      <xdr:col>7</xdr:col>
      <xdr:colOff>114300</xdr:colOff>
      <xdr:row>7</xdr:row>
      <xdr:rowOff>190500</xdr:rowOff>
    </xdr:from>
    <xdr:to>
      <xdr:col>7</xdr:col>
      <xdr:colOff>6042660</xdr:colOff>
      <xdr:row>7</xdr:row>
      <xdr:rowOff>784860</xdr:rowOff>
    </xdr:to>
    <xdr:pic>
      <xdr:nvPicPr>
        <xdr:cNvPr id="3" name="Picture 163">
          <a:extLst>
            <a:ext xmlns:a16="http://schemas.microsoft.com/office/drawing/2014/main" uri="{FF2B5EF4-FFF2-40B4-BE49-F238E27FC236}">
              <a16:creationId xmlns:a16="http://schemas.microsoft.com/office/drawing/2014/main" id="{00000000-0008-0000-0600-000003000000}"/>
            </a:ext>
          </a:extLst>
        </xdr:cNvPr>
        <xdr:cNvPicPr>
          <a:picLocks noChangeAspect="true" noChangeArrowheads="true"/>
        </xdr:cNvPicPr>
      </xdr:nvPicPr>
      <xdr:blipFill>
        <a:blip r:embed="rId5">
          <a:extLst>
            <a:ext xmlns:a14="http://schemas.microsoft.com/office/drawing/2010/main" uri="{28A0092B-C50C-407E-A947-70E740481C1C}">
              <a14:useLocalDpi xmlns:a14="http://schemas.microsoft.com/office/drawing/2010/main" val="0"/>
            </a:ext>
          </a:extLst>
        </a:blip>
        <a:srcRect/>
        <a:stretch>
          <a:fillRect/>
        </a:stretch>
      </xdr:blipFill>
      <xdr:spPr bwMode="auto">
        <a:xfrm>
          <a:off x="13395960" y="7559040"/>
          <a:ext cx="5928360" cy="59436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pic>
    <xdr:clientData/>
  </xdr:twoCellAnchor>
  <xdr:twoCellAnchor>
    <xdr:from>
      <xdr:col>7</xdr:col>
      <xdr:colOff>708660</xdr:colOff>
      <xdr:row>8</xdr:row>
      <xdr:rowOff>518160</xdr:rowOff>
    </xdr:from>
    <xdr:to>
      <xdr:col>7</xdr:col>
      <xdr:colOff>5303520</xdr:colOff>
      <xdr:row>8</xdr:row>
      <xdr:rowOff>1905000</xdr:rowOff>
    </xdr:to>
    <xdr:pic>
      <xdr:nvPicPr>
        <xdr:cNvPr id="4" name="Picture 166">
          <a:extLst>
            <a:ext xmlns:a16="http://schemas.microsoft.com/office/drawing/2014/main" uri="{FF2B5EF4-FFF2-40B4-BE49-F238E27FC236}">
              <a16:creationId xmlns:a16="http://schemas.microsoft.com/office/drawing/2014/main" id="{00000000-0008-0000-0600-000004000000}"/>
            </a:ext>
          </a:extLst>
        </xdr:cNvPr>
        <xdr:cNvPicPr>
          <a:picLocks noChangeAspect="true" noChangeArrowheads="true"/>
        </xdr:cNvPicPr>
      </xdr:nvPicPr>
      <xdr:blipFill>
        <a:blip r:embed="rId6">
          <a:extLst>
            <a:ext xmlns:a14="http://schemas.microsoft.com/office/drawing/2010/main" uri="{28A0092B-C50C-407E-A947-70E740481C1C}">
              <a14:useLocalDpi xmlns:a14="http://schemas.microsoft.com/office/drawing/2010/main" val="0"/>
            </a:ext>
          </a:extLst>
        </a:blip>
        <a:srcRect/>
        <a:stretch>
          <a:fillRect/>
        </a:stretch>
      </xdr:blipFill>
      <xdr:spPr bwMode="auto">
        <a:xfrm>
          <a:off x="13990320" y="8938260"/>
          <a:ext cx="4594860" cy="138684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pic>
    <xdr:clientData/>
  </xdr:twoCellAnchor>
  <xdr:twoCellAnchor>
    <xdr:from>
      <xdr:col>7</xdr:col>
      <xdr:colOff>1135380</xdr:colOff>
      <xdr:row>11</xdr:row>
      <xdr:rowOff>213360</xdr:rowOff>
    </xdr:from>
    <xdr:to>
      <xdr:col>7</xdr:col>
      <xdr:colOff>4754880</xdr:colOff>
      <xdr:row>11</xdr:row>
      <xdr:rowOff>1021080</xdr:rowOff>
    </xdr:to>
    <xdr:pic>
      <xdr:nvPicPr>
        <xdr:cNvPr id="5" name="Picture 170">
          <a:extLst>
            <a:ext xmlns:a16="http://schemas.microsoft.com/office/drawing/2014/main" uri="{FF2B5EF4-FFF2-40B4-BE49-F238E27FC236}">
              <a16:creationId xmlns:a16="http://schemas.microsoft.com/office/drawing/2014/main" id="{00000000-0008-0000-0600-000005000000}"/>
            </a:ext>
          </a:extLst>
        </xdr:cNvPr>
        <xdr:cNvPicPr>
          <a:picLocks noChangeAspect="true" noChangeArrowheads="true"/>
        </xdr:cNvPicPr>
      </xdr:nvPicPr>
      <xdr:blipFill>
        <a:blip r:embed="rId7" cstate="print">
          <a:extLst>
            <a:ext xmlns:a14="http://schemas.microsoft.com/office/drawing/2010/main" uri="{28A0092B-C50C-407E-A947-70E740481C1C}">
              <a14:useLocalDpi xmlns:a14="http://schemas.microsoft.com/office/drawing/2010/main" val="0"/>
            </a:ext>
          </a:extLst>
        </a:blip>
        <a:srcRect/>
        <a:stretch>
          <a:fillRect/>
        </a:stretch>
      </xdr:blipFill>
      <xdr:spPr bwMode="auto">
        <a:xfrm>
          <a:off x="14417040" y="13632180"/>
          <a:ext cx="3619500" cy="80772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pic>
    <xdr:clientData/>
  </xdr:twoCellAnchor>
  <xdr:twoCellAnchor>
    <xdr:from>
      <xdr:col>7</xdr:col>
      <xdr:colOff>1661160</xdr:colOff>
      <xdr:row>13</xdr:row>
      <xdr:rowOff>121920</xdr:rowOff>
    </xdr:from>
    <xdr:to>
      <xdr:col>7</xdr:col>
      <xdr:colOff>3962400</xdr:colOff>
      <xdr:row>13</xdr:row>
      <xdr:rowOff>952500</xdr:rowOff>
    </xdr:to>
    <xdr:pic>
      <xdr:nvPicPr>
        <xdr:cNvPr id="6" name="Picture 173">
          <a:extLst>
            <a:ext xmlns:a16="http://schemas.microsoft.com/office/drawing/2014/main" uri="{FF2B5EF4-FFF2-40B4-BE49-F238E27FC236}">
              <a16:creationId xmlns:a16="http://schemas.microsoft.com/office/drawing/2014/main" id="{00000000-0008-0000-0600-000006000000}"/>
            </a:ext>
          </a:extLst>
        </xdr:cNvPr>
        <xdr:cNvPicPr>
          <a:picLocks noChangeAspect="true" noChangeArrowheads="true"/>
        </xdr:cNvPicPr>
      </xdr:nvPicPr>
      <xdr:blipFill>
        <a:blip r:embed="rId8" cstate="print">
          <a:extLst>
            <a:ext xmlns:a14="http://schemas.microsoft.com/office/drawing/2010/main" uri="{28A0092B-C50C-407E-A947-70E740481C1C}">
              <a14:useLocalDpi xmlns:a14="http://schemas.microsoft.com/office/drawing/2010/main" val="0"/>
            </a:ext>
          </a:extLst>
        </a:blip>
        <a:srcRect/>
        <a:stretch>
          <a:fillRect/>
        </a:stretch>
      </xdr:blipFill>
      <xdr:spPr bwMode="auto">
        <a:xfrm>
          <a:off x="14942820" y="15849600"/>
          <a:ext cx="2301240" cy="83058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pic>
    <xdr:clientData/>
  </xdr:twoCellAnchor>
  <xdr:twoCellAnchor>
    <xdr:from>
      <xdr:col>7</xdr:col>
      <xdr:colOff>419100</xdr:colOff>
      <xdr:row>14</xdr:row>
      <xdr:rowOff>144780</xdr:rowOff>
    </xdr:from>
    <xdr:to>
      <xdr:col>7</xdr:col>
      <xdr:colOff>5836920</xdr:colOff>
      <xdr:row>14</xdr:row>
      <xdr:rowOff>769620</xdr:rowOff>
    </xdr:to>
    <xdr:pic>
      <xdr:nvPicPr>
        <xdr:cNvPr id="7" name="Picture 174">
          <a:extLst>
            <a:ext xmlns:a16="http://schemas.microsoft.com/office/drawing/2014/main" uri="{FF2B5EF4-FFF2-40B4-BE49-F238E27FC236}">
              <a16:creationId xmlns:a16="http://schemas.microsoft.com/office/drawing/2014/main" id="{00000000-0008-0000-0600-000007000000}"/>
            </a:ext>
          </a:extLst>
        </xdr:cNvPr>
        <xdr:cNvPicPr>
          <a:picLocks noChangeAspect="true" noChangeArrowheads="true"/>
        </xdr:cNvPicPr>
      </xdr:nvPicPr>
      <xdr:blipFill>
        <a:blip r:embed="rId9">
          <a:extLst>
            <a:ext xmlns:a14="http://schemas.microsoft.com/office/drawing/2010/main" uri="{28A0092B-C50C-407E-A947-70E740481C1C}">
              <a14:useLocalDpi xmlns:a14="http://schemas.microsoft.com/office/drawing/2010/main" val="0"/>
            </a:ext>
          </a:extLst>
        </a:blip>
        <a:srcRect/>
        <a:stretch>
          <a:fillRect/>
        </a:stretch>
      </xdr:blipFill>
      <xdr:spPr bwMode="auto">
        <a:xfrm>
          <a:off x="13700760" y="16916400"/>
          <a:ext cx="5417820" cy="62484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pic>
    <xdr:clientData/>
  </xdr:twoCellAnchor>
  <xdr:twoCellAnchor>
    <xdr:from>
      <xdr:col>7</xdr:col>
      <xdr:colOff>525780</xdr:colOff>
      <xdr:row>15</xdr:row>
      <xdr:rowOff>198120</xdr:rowOff>
    </xdr:from>
    <xdr:to>
      <xdr:col>7</xdr:col>
      <xdr:colOff>5821680</xdr:colOff>
      <xdr:row>15</xdr:row>
      <xdr:rowOff>937260</xdr:rowOff>
    </xdr:to>
    <xdr:pic>
      <xdr:nvPicPr>
        <xdr:cNvPr id="8" name="Picture 175">
          <a:extLst>
            <a:ext xmlns:a16="http://schemas.microsoft.com/office/drawing/2014/main" uri="{FF2B5EF4-FFF2-40B4-BE49-F238E27FC236}">
              <a16:creationId xmlns:a16="http://schemas.microsoft.com/office/drawing/2014/main" id="{00000000-0008-0000-0600-000008000000}"/>
            </a:ext>
          </a:extLst>
        </xdr:cNvPr>
        <xdr:cNvPicPr>
          <a:picLocks noChangeAspect="true" noChangeArrowheads="true"/>
        </xdr:cNvPicPr>
      </xdr:nvPicPr>
      <xdr:blipFill>
        <a:blip r:embed="rId10" cstate="print">
          <a:extLst>
            <a:ext xmlns:a14="http://schemas.microsoft.com/office/drawing/2010/main" uri="{28A0092B-C50C-407E-A947-70E740481C1C}">
              <a14:useLocalDpi xmlns:a14="http://schemas.microsoft.com/office/drawing/2010/main" val="0"/>
            </a:ext>
          </a:extLst>
        </a:blip>
        <a:srcRect/>
        <a:stretch>
          <a:fillRect/>
        </a:stretch>
      </xdr:blipFill>
      <xdr:spPr bwMode="auto">
        <a:xfrm>
          <a:off x="13807440" y="17884140"/>
          <a:ext cx="5295900" cy="73914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pic>
    <xdr:clientData/>
  </xdr:twoCellAnchor>
  <xdr:twoCellAnchor>
    <xdr:from>
      <xdr:col>7</xdr:col>
      <xdr:colOff>388620</xdr:colOff>
      <xdr:row>16</xdr:row>
      <xdr:rowOff>144780</xdr:rowOff>
    </xdr:from>
    <xdr:to>
      <xdr:col>7</xdr:col>
      <xdr:colOff>5951220</xdr:colOff>
      <xdr:row>16</xdr:row>
      <xdr:rowOff>838200</xdr:rowOff>
    </xdr:to>
    <xdr:pic>
      <xdr:nvPicPr>
        <xdr:cNvPr id="9" name="Picture 176">
          <a:extLst>
            <a:ext xmlns:a16="http://schemas.microsoft.com/office/drawing/2014/main" uri="{FF2B5EF4-FFF2-40B4-BE49-F238E27FC236}">
              <a16:creationId xmlns:a16="http://schemas.microsoft.com/office/drawing/2014/main" id="{00000000-0008-0000-0600-000009000000}"/>
            </a:ext>
          </a:extLst>
        </xdr:cNvPr>
        <xdr:cNvPicPr>
          <a:picLocks noChangeAspect="true" noChangeArrowheads="true"/>
        </xdr:cNvPicPr>
      </xdr:nvPicPr>
      <xdr:blipFill>
        <a:blip r:embed="rId11" cstate="print">
          <a:extLst>
            <a:ext xmlns:a14="http://schemas.microsoft.com/office/drawing/2010/main" uri="{28A0092B-C50C-407E-A947-70E740481C1C}">
              <a14:useLocalDpi xmlns:a14="http://schemas.microsoft.com/office/drawing/2010/main" val="0"/>
            </a:ext>
          </a:extLst>
        </a:blip>
        <a:srcRect/>
        <a:stretch>
          <a:fillRect/>
        </a:stretch>
      </xdr:blipFill>
      <xdr:spPr bwMode="auto">
        <a:xfrm>
          <a:off x="13670280" y="18874740"/>
          <a:ext cx="5562600" cy="69342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pic>
    <xdr:clientData/>
  </xdr:twoCellAnchor>
  <xdr:twoCellAnchor>
    <xdr:from>
      <xdr:col>7</xdr:col>
      <xdr:colOff>1516380</xdr:colOff>
      <xdr:row>17</xdr:row>
      <xdr:rowOff>114300</xdr:rowOff>
    </xdr:from>
    <xdr:to>
      <xdr:col>7</xdr:col>
      <xdr:colOff>4640580</xdr:colOff>
      <xdr:row>17</xdr:row>
      <xdr:rowOff>723900</xdr:rowOff>
    </xdr:to>
    <xdr:pic>
      <xdr:nvPicPr>
        <xdr:cNvPr id="10" name="Picture 178">
          <a:extLst>
            <a:ext xmlns:a16="http://schemas.microsoft.com/office/drawing/2014/main" uri="{FF2B5EF4-FFF2-40B4-BE49-F238E27FC236}">
              <a16:creationId xmlns:a16="http://schemas.microsoft.com/office/drawing/2014/main" id="{00000000-0008-0000-0600-00000A000000}"/>
            </a:ext>
          </a:extLst>
        </xdr:cNvPr>
        <xdr:cNvPicPr>
          <a:picLocks noChangeAspect="true" noChangeArrowheads="true"/>
        </xdr:cNvPicPr>
      </xdr:nvPicPr>
      <xdr:blipFill>
        <a:blip r:embed="rId12" cstate="print">
          <a:extLst>
            <a:ext xmlns:a14="http://schemas.microsoft.com/office/drawing/2010/main" uri="{28A0092B-C50C-407E-A947-70E740481C1C}">
              <a14:useLocalDpi xmlns:a14="http://schemas.microsoft.com/office/drawing/2010/main" val="0"/>
            </a:ext>
          </a:extLst>
        </a:blip>
        <a:srcRect/>
        <a:stretch>
          <a:fillRect/>
        </a:stretch>
      </xdr:blipFill>
      <xdr:spPr bwMode="auto">
        <a:xfrm>
          <a:off x="14798040" y="19842480"/>
          <a:ext cx="3124200" cy="60960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pic>
    <xdr:clientData/>
  </xdr:twoCellAnchor>
  <xdr:twoCellAnchor>
    <xdr:from>
      <xdr:col>7</xdr:col>
      <xdr:colOff>1546860</xdr:colOff>
      <xdr:row>18</xdr:row>
      <xdr:rowOff>114300</xdr:rowOff>
    </xdr:from>
    <xdr:to>
      <xdr:col>7</xdr:col>
      <xdr:colOff>4579620</xdr:colOff>
      <xdr:row>18</xdr:row>
      <xdr:rowOff>914400</xdr:rowOff>
    </xdr:to>
    <xdr:pic>
      <xdr:nvPicPr>
        <xdr:cNvPr id="13" name="Picture 179">
          <a:extLst>
            <a:ext xmlns:a16="http://schemas.microsoft.com/office/drawing/2014/main" uri="{FF2B5EF4-FFF2-40B4-BE49-F238E27FC236}">
              <a16:creationId xmlns:a16="http://schemas.microsoft.com/office/drawing/2014/main" id="{00000000-0008-0000-0600-00000D000000}"/>
            </a:ext>
          </a:extLst>
        </xdr:cNvPr>
        <xdr:cNvPicPr>
          <a:picLocks noChangeAspect="true" noChangeArrowheads="true"/>
        </xdr:cNvPicPr>
      </xdr:nvPicPr>
      <xdr:blipFill>
        <a:blip r:embed="rId13" cstate="print">
          <a:extLst>
            <a:ext xmlns:a14="http://schemas.microsoft.com/office/drawing/2010/main" uri="{28A0092B-C50C-407E-A947-70E740481C1C}">
              <a14:useLocalDpi xmlns:a14="http://schemas.microsoft.com/office/drawing/2010/main" val="0"/>
            </a:ext>
          </a:extLst>
        </a:blip>
        <a:srcRect/>
        <a:stretch>
          <a:fillRect/>
        </a:stretch>
      </xdr:blipFill>
      <xdr:spPr bwMode="auto">
        <a:xfrm>
          <a:off x="14828520" y="20726400"/>
          <a:ext cx="3032760" cy="80010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pic>
    <xdr:clientData/>
  </xdr:twoCellAnchor>
  <xdr:twoCellAnchor>
    <xdr:from>
      <xdr:col>7</xdr:col>
      <xdr:colOff>1013460</xdr:colOff>
      <xdr:row>21</xdr:row>
      <xdr:rowOff>198120</xdr:rowOff>
    </xdr:from>
    <xdr:to>
      <xdr:col>7</xdr:col>
      <xdr:colOff>5151120</xdr:colOff>
      <xdr:row>21</xdr:row>
      <xdr:rowOff>1021080</xdr:rowOff>
    </xdr:to>
    <xdr:pic>
      <xdr:nvPicPr>
        <xdr:cNvPr id="15" name="Picture 181">
          <a:extLst>
            <a:ext xmlns:a16="http://schemas.microsoft.com/office/drawing/2014/main" uri="{FF2B5EF4-FFF2-40B4-BE49-F238E27FC236}">
              <a16:creationId xmlns:a16="http://schemas.microsoft.com/office/drawing/2014/main" id="{00000000-0008-0000-0600-00000F000000}"/>
            </a:ext>
          </a:extLst>
        </xdr:cNvPr>
        <xdr:cNvPicPr>
          <a:picLocks noChangeAspect="true" noChangeArrowheads="true"/>
        </xdr:cNvPicPr>
      </xdr:nvPicPr>
      <xdr:blipFill>
        <a:blip r:embed="rId14" cstate="print">
          <a:extLst>
            <a:ext xmlns:a14="http://schemas.microsoft.com/office/drawing/2010/main" uri="{28A0092B-C50C-407E-A947-70E740481C1C}">
              <a14:useLocalDpi xmlns:a14="http://schemas.microsoft.com/office/drawing/2010/main" val="0"/>
            </a:ext>
          </a:extLst>
        </a:blip>
        <a:srcRect/>
        <a:stretch>
          <a:fillRect/>
        </a:stretch>
      </xdr:blipFill>
      <xdr:spPr bwMode="auto">
        <a:xfrm>
          <a:off x="14295120" y="23774400"/>
          <a:ext cx="4137660" cy="82296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pic>
    <xdr:clientData/>
  </xdr:twoCellAnchor>
  <xdr:twoCellAnchor>
    <xdr:from>
      <xdr:col>7</xdr:col>
      <xdr:colOff>1264920</xdr:colOff>
      <xdr:row>22</xdr:row>
      <xdr:rowOff>228600</xdr:rowOff>
    </xdr:from>
    <xdr:to>
      <xdr:col>7</xdr:col>
      <xdr:colOff>5097780</xdr:colOff>
      <xdr:row>22</xdr:row>
      <xdr:rowOff>1333500</xdr:rowOff>
    </xdr:to>
    <xdr:pic>
      <xdr:nvPicPr>
        <xdr:cNvPr id="16" name="Picture 183">
          <a:extLst>
            <a:ext xmlns:a16="http://schemas.microsoft.com/office/drawing/2014/main" uri="{FF2B5EF4-FFF2-40B4-BE49-F238E27FC236}">
              <a16:creationId xmlns:a16="http://schemas.microsoft.com/office/drawing/2014/main" id="{00000000-0008-0000-0600-000010000000}"/>
            </a:ext>
          </a:extLst>
        </xdr:cNvPr>
        <xdr:cNvPicPr>
          <a:picLocks noChangeAspect="true" noChangeArrowheads="true"/>
        </xdr:cNvPicPr>
      </xdr:nvPicPr>
      <xdr:blipFill>
        <a:blip r:embed="rId15" cstate="print">
          <a:extLst>
            <a:ext xmlns:a14="http://schemas.microsoft.com/office/drawing/2010/main" uri="{28A0092B-C50C-407E-A947-70E740481C1C}">
              <a14:useLocalDpi xmlns:a14="http://schemas.microsoft.com/office/drawing/2010/main" val="0"/>
            </a:ext>
          </a:extLst>
        </a:blip>
        <a:srcRect/>
        <a:stretch>
          <a:fillRect/>
        </a:stretch>
      </xdr:blipFill>
      <xdr:spPr bwMode="auto">
        <a:xfrm>
          <a:off x="14546580" y="25123140"/>
          <a:ext cx="3832860" cy="110490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pic>
    <xdr:clientData/>
  </xdr:twoCellAnchor>
  <xdr:twoCellAnchor>
    <xdr:from>
      <xdr:col>7</xdr:col>
      <xdr:colOff>876300</xdr:colOff>
      <xdr:row>23</xdr:row>
      <xdr:rowOff>106680</xdr:rowOff>
    </xdr:from>
    <xdr:to>
      <xdr:col>7</xdr:col>
      <xdr:colOff>5600700</xdr:colOff>
      <xdr:row>23</xdr:row>
      <xdr:rowOff>1874520</xdr:rowOff>
    </xdr:to>
    <xdr:pic>
      <xdr:nvPicPr>
        <xdr:cNvPr id="17" name="Picture 184">
          <a:extLst>
            <a:ext xmlns:a16="http://schemas.microsoft.com/office/drawing/2014/main" uri="{FF2B5EF4-FFF2-40B4-BE49-F238E27FC236}">
              <a16:creationId xmlns:a16="http://schemas.microsoft.com/office/drawing/2014/main" id="{00000000-0008-0000-0600-000011000000}"/>
            </a:ext>
          </a:extLst>
        </xdr:cNvPr>
        <xdr:cNvPicPr>
          <a:picLocks noChangeAspect="true" noChangeArrowheads="true"/>
        </xdr:cNvPicPr>
      </xdr:nvPicPr>
      <xdr:blipFill>
        <a:blip r:embed="rId16">
          <a:extLst>
            <a:ext xmlns:a14="http://schemas.microsoft.com/office/drawing/2010/main" uri="{28A0092B-C50C-407E-A947-70E740481C1C}">
              <a14:useLocalDpi xmlns:a14="http://schemas.microsoft.com/office/drawing/2010/main" val="0"/>
            </a:ext>
          </a:extLst>
        </a:blip>
        <a:srcRect/>
        <a:stretch>
          <a:fillRect/>
        </a:stretch>
      </xdr:blipFill>
      <xdr:spPr bwMode="auto">
        <a:xfrm>
          <a:off x="14157960" y="26548080"/>
          <a:ext cx="4724400" cy="176784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pic>
    <xdr:clientData/>
  </xdr:twoCellAnchor>
  <xdr:twoCellAnchor>
    <xdr:from>
      <xdr:col>7</xdr:col>
      <xdr:colOff>1981200</xdr:colOff>
      <xdr:row>24</xdr:row>
      <xdr:rowOff>182880</xdr:rowOff>
    </xdr:from>
    <xdr:to>
      <xdr:col>7</xdr:col>
      <xdr:colOff>3893820</xdr:colOff>
      <xdr:row>24</xdr:row>
      <xdr:rowOff>1249680</xdr:rowOff>
    </xdr:to>
    <xdr:pic>
      <xdr:nvPicPr>
        <xdr:cNvPr id="18" name="Picture 185">
          <a:extLst>
            <a:ext xmlns:a16="http://schemas.microsoft.com/office/drawing/2014/main" uri="{FF2B5EF4-FFF2-40B4-BE49-F238E27FC236}">
              <a16:creationId xmlns:a16="http://schemas.microsoft.com/office/drawing/2014/main" id="{00000000-0008-0000-0600-000012000000}"/>
            </a:ext>
          </a:extLst>
        </xdr:cNvPr>
        <xdr:cNvPicPr>
          <a:picLocks noChangeAspect="true" noChangeArrowheads="true"/>
        </xdr:cNvPicPr>
      </xdr:nvPicPr>
      <xdr:blipFill>
        <a:blip r:embed="rId17" cstate="print">
          <a:extLst>
            <a:ext xmlns:a14="http://schemas.microsoft.com/office/drawing/2010/main" uri="{28A0092B-C50C-407E-A947-70E740481C1C}">
              <a14:useLocalDpi xmlns:a14="http://schemas.microsoft.com/office/drawing/2010/main" val="0"/>
            </a:ext>
          </a:extLst>
        </a:blip>
        <a:srcRect/>
        <a:stretch>
          <a:fillRect/>
        </a:stretch>
      </xdr:blipFill>
      <xdr:spPr bwMode="auto">
        <a:xfrm>
          <a:off x="15262860" y="28582620"/>
          <a:ext cx="1912620" cy="106680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2171700</xdr:colOff>
      <xdr:row>25</xdr:row>
      <xdr:rowOff>175260</xdr:rowOff>
    </xdr:from>
    <xdr:to>
      <xdr:col>7</xdr:col>
      <xdr:colOff>4122420</xdr:colOff>
      <xdr:row>25</xdr:row>
      <xdr:rowOff>754380</xdr:rowOff>
    </xdr:to>
    <xdr:pic>
      <xdr:nvPicPr>
        <xdr:cNvPr id="19" name="Picture 187">
          <a:extLst>
            <a:ext xmlns:a16="http://schemas.microsoft.com/office/drawing/2014/main" uri="{FF2B5EF4-FFF2-40B4-BE49-F238E27FC236}">
              <a16:creationId xmlns:a16="http://schemas.microsoft.com/office/drawing/2014/main" id="{00000000-0008-0000-0600-000013000000}"/>
            </a:ext>
          </a:extLst>
        </xdr:cNvPr>
        <xdr:cNvPicPr>
          <a:picLocks noChangeAspect="true" noChangeArrowheads="true"/>
        </xdr:cNvPicPr>
      </xdr:nvPicPr>
      <xdr:blipFill>
        <a:blip r:embed="rId18">
          <a:extLst>
            <a:ext xmlns:a14="http://schemas.microsoft.com/office/drawing/2010/main" uri="{28A0092B-C50C-407E-A947-70E740481C1C}">
              <a14:useLocalDpi xmlns:a14="http://schemas.microsoft.com/office/drawing/2010/main" val="0"/>
            </a:ext>
          </a:extLst>
        </a:blip>
        <a:srcRect/>
        <a:stretch>
          <a:fillRect/>
        </a:stretch>
      </xdr:blipFill>
      <xdr:spPr bwMode="auto">
        <a:xfrm>
          <a:off x="15453360" y="29999940"/>
          <a:ext cx="1950720" cy="579120"/>
        </a:xfrm>
        <a:prstGeom prst="rect">
          <a:avLst/>
        </a:prstGeom>
        <a:solidFill>
          <a:srgbClr val="FFFFFF"/>
        </a:solidFill>
        <a:ln>
          <a:noFill/>
        </a:ln>
        <a:extLst>
          <a:ext xmlns:a="http://schemas.openxmlformats.org/drawingml/2006/main" xmlns:a14="http://schemas.microsoft.com/office/drawing/2010/main"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pic>
    <xdr:clientData/>
  </xdr:twoCellAnchor>
  <xdr:twoCellAnchor>
    <xdr:from>
      <xdr:col>7</xdr:col>
      <xdr:colOff>1965960</xdr:colOff>
      <xdr:row>26</xdr:row>
      <xdr:rowOff>106680</xdr:rowOff>
    </xdr:from>
    <xdr:to>
      <xdr:col>7</xdr:col>
      <xdr:colOff>4457700</xdr:colOff>
      <xdr:row>26</xdr:row>
      <xdr:rowOff>655320</xdr:rowOff>
    </xdr:to>
    <xdr:pic>
      <xdr:nvPicPr>
        <xdr:cNvPr id="20" name="Picture 188">
          <a:extLst>
            <a:ext xmlns:a16="http://schemas.microsoft.com/office/drawing/2014/main" uri="{FF2B5EF4-FFF2-40B4-BE49-F238E27FC236}">
              <a16:creationId xmlns:a16="http://schemas.microsoft.com/office/drawing/2014/main" id="{00000000-0008-0000-0600-000014000000}"/>
            </a:ext>
          </a:extLst>
        </xdr:cNvPr>
        <xdr:cNvPicPr>
          <a:picLocks noChangeAspect="true" noChangeArrowheads="true"/>
        </xdr:cNvPicPr>
      </xdr:nvPicPr>
      <xdr:blipFill>
        <a:blip r:embed="rId19" cstate="print">
          <a:extLst>
            <a:ext xmlns:a14="http://schemas.microsoft.com/office/drawing/2010/main" uri="{28A0092B-C50C-407E-A947-70E740481C1C}">
              <a14:useLocalDpi xmlns:a14="http://schemas.microsoft.com/office/drawing/2010/main" val="0"/>
            </a:ext>
          </a:extLst>
        </a:blip>
        <a:srcRect/>
        <a:stretch>
          <a:fillRect/>
        </a:stretch>
      </xdr:blipFill>
      <xdr:spPr bwMode="auto">
        <a:xfrm>
          <a:off x="15247620" y="30784800"/>
          <a:ext cx="2491740" cy="54864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pic>
    <xdr:clientData/>
  </xdr:twoCellAnchor>
  <xdr:twoCellAnchor>
    <xdr:from>
      <xdr:col>7</xdr:col>
      <xdr:colOff>1714500</xdr:colOff>
      <xdr:row>28</xdr:row>
      <xdr:rowOff>175260</xdr:rowOff>
    </xdr:from>
    <xdr:to>
      <xdr:col>7</xdr:col>
      <xdr:colOff>4655820</xdr:colOff>
      <xdr:row>28</xdr:row>
      <xdr:rowOff>1097280</xdr:rowOff>
    </xdr:to>
    <xdr:pic>
      <xdr:nvPicPr>
        <xdr:cNvPr id="21" name="Picture 191">
          <a:extLst>
            <a:ext xmlns:a16="http://schemas.microsoft.com/office/drawing/2014/main" uri="{FF2B5EF4-FFF2-40B4-BE49-F238E27FC236}">
              <a16:creationId xmlns:a16="http://schemas.microsoft.com/office/drawing/2014/main" id="{00000000-0008-0000-0600-000015000000}"/>
            </a:ext>
          </a:extLst>
        </xdr:cNvPr>
        <xdr:cNvPicPr>
          <a:picLocks noChangeAspect="true" noChangeArrowheads="true"/>
        </xdr:cNvPicPr>
      </xdr:nvPicPr>
      <xdr:blipFill>
        <a:blip r:embed="rId20" cstate="print">
          <a:extLst>
            <a:ext xmlns:a14="http://schemas.microsoft.com/office/drawing/2010/main" uri="{28A0092B-C50C-407E-A947-70E740481C1C}">
              <a14:useLocalDpi xmlns:a14="http://schemas.microsoft.com/office/drawing/2010/main" val="0"/>
            </a:ext>
          </a:extLst>
        </a:blip>
        <a:srcRect/>
        <a:stretch>
          <a:fillRect/>
        </a:stretch>
      </xdr:blipFill>
      <xdr:spPr bwMode="auto">
        <a:xfrm>
          <a:off x="14996160" y="32948880"/>
          <a:ext cx="2941320" cy="92202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pic>
    <xdr:clientData/>
  </xdr:twoCellAnchor>
  <xdr:twoCellAnchor>
    <xdr:from>
      <xdr:col>7</xdr:col>
      <xdr:colOff>1447800</xdr:colOff>
      <xdr:row>27</xdr:row>
      <xdr:rowOff>152400</xdr:rowOff>
    </xdr:from>
    <xdr:to>
      <xdr:col>7</xdr:col>
      <xdr:colOff>4572000</xdr:colOff>
      <xdr:row>27</xdr:row>
      <xdr:rowOff>1112520</xdr:rowOff>
    </xdr:to>
    <xdr:pic>
      <xdr:nvPicPr>
        <xdr:cNvPr id="22" name="Picture 192">
          <a:extLst>
            <a:ext xmlns:a16="http://schemas.microsoft.com/office/drawing/2014/main" uri="{FF2B5EF4-FFF2-40B4-BE49-F238E27FC236}">
              <a16:creationId xmlns:a16="http://schemas.microsoft.com/office/drawing/2014/main" id="{00000000-0008-0000-0600-000016000000}"/>
            </a:ext>
          </a:extLst>
        </xdr:cNvPr>
        <xdr:cNvPicPr>
          <a:picLocks noChangeAspect="true" noChangeArrowheads="true"/>
        </xdr:cNvPicPr>
      </xdr:nvPicPr>
      <xdr:blipFill>
        <a:blip r:embed="rId21" cstate="print">
          <a:extLst>
            <a:ext xmlns:a14="http://schemas.microsoft.com/office/drawing/2010/main" uri="{28A0092B-C50C-407E-A947-70E740481C1C}">
              <a14:useLocalDpi xmlns:a14="http://schemas.microsoft.com/office/drawing/2010/main" val="0"/>
            </a:ext>
          </a:extLst>
        </a:blip>
        <a:srcRect/>
        <a:stretch>
          <a:fillRect/>
        </a:stretch>
      </xdr:blipFill>
      <xdr:spPr bwMode="auto">
        <a:xfrm>
          <a:off x="14729460" y="31554420"/>
          <a:ext cx="3124200" cy="96012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pic>
    <xdr:clientData/>
  </xdr:twoCellAnchor>
  <xdr:twoCellAnchor>
    <xdr:from>
      <xdr:col>7</xdr:col>
      <xdr:colOff>1973580</xdr:colOff>
      <xdr:row>29</xdr:row>
      <xdr:rowOff>114300</xdr:rowOff>
    </xdr:from>
    <xdr:to>
      <xdr:col>7</xdr:col>
      <xdr:colOff>4541520</xdr:colOff>
      <xdr:row>29</xdr:row>
      <xdr:rowOff>762000</xdr:rowOff>
    </xdr:to>
    <xdr:pic>
      <xdr:nvPicPr>
        <xdr:cNvPr id="23" name="Picture 193">
          <a:extLst>
            <a:ext xmlns:a16="http://schemas.microsoft.com/office/drawing/2014/main" uri="{FF2B5EF4-FFF2-40B4-BE49-F238E27FC236}">
              <a16:creationId xmlns:a16="http://schemas.microsoft.com/office/drawing/2014/main" id="{00000000-0008-0000-0600-000017000000}"/>
            </a:ext>
          </a:extLst>
        </xdr:cNvPr>
        <xdr:cNvPicPr>
          <a:picLocks noChangeAspect="true" noChangeArrowheads="true"/>
        </xdr:cNvPicPr>
      </xdr:nvPicPr>
      <xdr:blipFill>
        <a:blip r:embed="rId22" cstate="print">
          <a:extLst>
            <a:ext xmlns:a14="http://schemas.microsoft.com/office/drawing/2010/main" uri="{28A0092B-C50C-407E-A947-70E740481C1C}">
              <a14:useLocalDpi xmlns:a14="http://schemas.microsoft.com/office/drawing/2010/main" val="0"/>
            </a:ext>
          </a:extLst>
        </a:blip>
        <a:srcRect/>
        <a:stretch>
          <a:fillRect/>
        </a:stretch>
      </xdr:blipFill>
      <xdr:spPr bwMode="auto">
        <a:xfrm>
          <a:off x="15255240" y="34107120"/>
          <a:ext cx="2567940" cy="64770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pic>
    <xdr:clientData/>
  </xdr:twoCellAnchor>
  <xdr:twoCellAnchor>
    <xdr:from>
      <xdr:col>7</xdr:col>
      <xdr:colOff>2156460</xdr:colOff>
      <xdr:row>31</xdr:row>
      <xdr:rowOff>152400</xdr:rowOff>
    </xdr:from>
    <xdr:to>
      <xdr:col>7</xdr:col>
      <xdr:colOff>4579620</xdr:colOff>
      <xdr:row>31</xdr:row>
      <xdr:rowOff>1036320</xdr:rowOff>
    </xdr:to>
    <xdr:pic>
      <xdr:nvPicPr>
        <xdr:cNvPr id="24" name="Picture 194">
          <a:extLst>
            <a:ext xmlns:a16="http://schemas.microsoft.com/office/drawing/2014/main" uri="{FF2B5EF4-FFF2-40B4-BE49-F238E27FC236}">
              <a16:creationId xmlns:a16="http://schemas.microsoft.com/office/drawing/2014/main" id="{00000000-0008-0000-0600-000018000000}"/>
            </a:ext>
          </a:extLst>
        </xdr:cNvPr>
        <xdr:cNvPicPr>
          <a:picLocks noChangeAspect="true" noChangeArrowheads="true"/>
        </xdr:cNvPicPr>
      </xdr:nvPicPr>
      <xdr:blipFill>
        <a:blip r:embed="rId23">
          <a:extLst>
            <a:ext xmlns:a14="http://schemas.microsoft.com/office/drawing/2010/main" uri="{28A0092B-C50C-407E-A947-70E740481C1C}">
              <a14:useLocalDpi xmlns:a14="http://schemas.microsoft.com/office/drawing/2010/main" val="0"/>
            </a:ext>
          </a:extLst>
        </a:blip>
        <a:srcRect/>
        <a:stretch>
          <a:fillRect/>
        </a:stretch>
      </xdr:blipFill>
      <xdr:spPr bwMode="auto">
        <a:xfrm>
          <a:off x="15438120" y="36073080"/>
          <a:ext cx="2423160" cy="88392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pic>
    <xdr:clientData/>
  </xdr:twoCellAnchor>
  <xdr:twoCellAnchor>
    <xdr:from>
      <xdr:col>7</xdr:col>
      <xdr:colOff>1836420</xdr:colOff>
      <xdr:row>30</xdr:row>
      <xdr:rowOff>137160</xdr:rowOff>
    </xdr:from>
    <xdr:to>
      <xdr:col>7</xdr:col>
      <xdr:colOff>4351020</xdr:colOff>
      <xdr:row>30</xdr:row>
      <xdr:rowOff>990600</xdr:rowOff>
    </xdr:to>
    <xdr:pic>
      <xdr:nvPicPr>
        <xdr:cNvPr id="25" name="Picture 195">
          <a:extLst>
            <a:ext xmlns:a16="http://schemas.microsoft.com/office/drawing/2014/main" uri="{FF2B5EF4-FFF2-40B4-BE49-F238E27FC236}">
              <a16:creationId xmlns:a16="http://schemas.microsoft.com/office/drawing/2014/main" id="{00000000-0008-0000-0600-000019000000}"/>
            </a:ext>
          </a:extLst>
        </xdr:cNvPr>
        <xdr:cNvPicPr>
          <a:picLocks noChangeAspect="true" noChangeArrowheads="true"/>
        </xdr:cNvPicPr>
      </xdr:nvPicPr>
      <xdr:blipFill>
        <a:blip r:embed="rId24" cstate="print">
          <a:extLst>
            <a:ext xmlns:a14="http://schemas.microsoft.com/office/drawing/2010/main" uri="{28A0092B-C50C-407E-A947-70E740481C1C}">
              <a14:useLocalDpi xmlns:a14="http://schemas.microsoft.com/office/drawing/2010/main" val="0"/>
            </a:ext>
          </a:extLst>
        </a:blip>
        <a:srcRect/>
        <a:stretch>
          <a:fillRect/>
        </a:stretch>
      </xdr:blipFill>
      <xdr:spPr bwMode="auto">
        <a:xfrm>
          <a:off x="15118080" y="34952940"/>
          <a:ext cx="2514600" cy="85344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pic>
    <xdr:clientData/>
  </xdr:twoCellAnchor>
  <xdr:twoCellAnchor>
    <xdr:from>
      <xdr:col>7</xdr:col>
      <xdr:colOff>2232660</xdr:colOff>
      <xdr:row>32</xdr:row>
      <xdr:rowOff>182880</xdr:rowOff>
    </xdr:from>
    <xdr:to>
      <xdr:col>7</xdr:col>
      <xdr:colOff>4693920</xdr:colOff>
      <xdr:row>32</xdr:row>
      <xdr:rowOff>914400</xdr:rowOff>
    </xdr:to>
    <xdr:pic>
      <xdr:nvPicPr>
        <xdr:cNvPr id="26" name="Picture 196">
          <a:extLst>
            <a:ext xmlns:a16="http://schemas.microsoft.com/office/drawing/2014/main" uri="{FF2B5EF4-FFF2-40B4-BE49-F238E27FC236}">
              <a16:creationId xmlns:a16="http://schemas.microsoft.com/office/drawing/2014/main" id="{00000000-0008-0000-0600-00001A000000}"/>
            </a:ext>
          </a:extLst>
        </xdr:cNvPr>
        <xdr:cNvPicPr>
          <a:picLocks noChangeAspect="true" noChangeArrowheads="true"/>
        </xdr:cNvPicPr>
      </xdr:nvPicPr>
      <xdr:blipFill>
        <a:blip r:embed="rId25">
          <a:extLst>
            <a:ext xmlns:a14="http://schemas.microsoft.com/office/drawing/2010/main" uri="{28A0092B-C50C-407E-A947-70E740481C1C}">
              <a14:useLocalDpi xmlns:a14="http://schemas.microsoft.com/office/drawing/2010/main" val="0"/>
            </a:ext>
          </a:extLst>
        </a:blip>
        <a:srcRect/>
        <a:stretch>
          <a:fillRect/>
        </a:stretch>
      </xdr:blipFill>
      <xdr:spPr bwMode="auto">
        <a:xfrm>
          <a:off x="15514320" y="37338000"/>
          <a:ext cx="2461260" cy="73152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pic>
    <xdr:clientData/>
  </xdr:twoCellAnchor>
  <xdr:twoCellAnchor>
    <xdr:from>
      <xdr:col>7</xdr:col>
      <xdr:colOff>1897380</xdr:colOff>
      <xdr:row>33</xdr:row>
      <xdr:rowOff>144780</xdr:rowOff>
    </xdr:from>
    <xdr:to>
      <xdr:col>7</xdr:col>
      <xdr:colOff>4922520</xdr:colOff>
      <xdr:row>33</xdr:row>
      <xdr:rowOff>1226820</xdr:rowOff>
    </xdr:to>
    <xdr:pic>
      <xdr:nvPicPr>
        <xdr:cNvPr id="27" name="Picture 197">
          <a:extLst>
            <a:ext xmlns:a16="http://schemas.microsoft.com/office/drawing/2014/main" uri="{FF2B5EF4-FFF2-40B4-BE49-F238E27FC236}">
              <a16:creationId xmlns:a16="http://schemas.microsoft.com/office/drawing/2014/main" id="{00000000-0008-0000-0600-00001B000000}"/>
            </a:ext>
          </a:extLst>
        </xdr:cNvPr>
        <xdr:cNvPicPr>
          <a:picLocks noChangeAspect="true" noChangeArrowheads="true"/>
        </xdr:cNvPicPr>
      </xdr:nvPicPr>
      <xdr:blipFill>
        <a:blip r:embed="rId26">
          <a:extLst>
            <a:ext xmlns:a14="http://schemas.microsoft.com/office/drawing/2010/main" uri="{28A0092B-C50C-407E-A947-70E740481C1C}">
              <a14:useLocalDpi xmlns:a14="http://schemas.microsoft.com/office/drawing/2010/main" val="0"/>
            </a:ext>
          </a:extLst>
        </a:blip>
        <a:srcRect/>
        <a:stretch>
          <a:fillRect/>
        </a:stretch>
      </xdr:blipFill>
      <xdr:spPr bwMode="auto">
        <a:xfrm>
          <a:off x="15179040" y="38336220"/>
          <a:ext cx="3025140" cy="108204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pic>
    <xdr:clientData/>
  </xdr:twoCellAnchor>
  <xdr:twoCellAnchor>
    <xdr:from>
      <xdr:col>7</xdr:col>
      <xdr:colOff>1851660</xdr:colOff>
      <xdr:row>34</xdr:row>
      <xdr:rowOff>106680</xdr:rowOff>
    </xdr:from>
    <xdr:to>
      <xdr:col>7</xdr:col>
      <xdr:colOff>4823460</xdr:colOff>
      <xdr:row>34</xdr:row>
      <xdr:rowOff>914400</xdr:rowOff>
    </xdr:to>
    <xdr:pic>
      <xdr:nvPicPr>
        <xdr:cNvPr id="28" name="Picture 199">
          <a:extLst>
            <a:ext xmlns:a16="http://schemas.microsoft.com/office/drawing/2014/main" uri="{FF2B5EF4-FFF2-40B4-BE49-F238E27FC236}">
              <a16:creationId xmlns:a16="http://schemas.microsoft.com/office/drawing/2014/main" id="{00000000-0008-0000-0600-00001C000000}"/>
            </a:ext>
          </a:extLst>
        </xdr:cNvPr>
        <xdr:cNvPicPr>
          <a:picLocks noChangeAspect="true" noChangeArrowheads="true"/>
        </xdr:cNvPicPr>
      </xdr:nvPicPr>
      <xdr:blipFill>
        <a:blip r:embed="rId27" cstate="print">
          <a:extLst>
            <a:ext xmlns:a14="http://schemas.microsoft.com/office/drawing/2010/main" uri="{28A0092B-C50C-407E-A947-70E740481C1C}">
              <a14:useLocalDpi xmlns:a14="http://schemas.microsoft.com/office/drawing/2010/main" val="0"/>
            </a:ext>
          </a:extLst>
        </a:blip>
        <a:srcRect/>
        <a:stretch>
          <a:fillRect/>
        </a:stretch>
      </xdr:blipFill>
      <xdr:spPr bwMode="auto">
        <a:xfrm>
          <a:off x="15133320" y="39669720"/>
          <a:ext cx="2971800" cy="80772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pic>
    <xdr:clientData/>
  </xdr:twoCellAnchor>
  <xdr:twoCellAnchor>
    <xdr:from>
      <xdr:col>7</xdr:col>
      <xdr:colOff>1866900</xdr:colOff>
      <xdr:row>35</xdr:row>
      <xdr:rowOff>121920</xdr:rowOff>
    </xdr:from>
    <xdr:to>
      <xdr:col>7</xdr:col>
      <xdr:colOff>4937760</xdr:colOff>
      <xdr:row>35</xdr:row>
      <xdr:rowOff>1211580</xdr:rowOff>
    </xdr:to>
    <xdr:pic>
      <xdr:nvPicPr>
        <xdr:cNvPr id="29" name="Picture 200">
          <a:extLst>
            <a:ext xmlns:a16="http://schemas.microsoft.com/office/drawing/2014/main" uri="{FF2B5EF4-FFF2-40B4-BE49-F238E27FC236}">
              <a16:creationId xmlns:a16="http://schemas.microsoft.com/office/drawing/2014/main" id="{00000000-0008-0000-0600-00001D000000}"/>
            </a:ext>
          </a:extLst>
        </xdr:cNvPr>
        <xdr:cNvPicPr>
          <a:picLocks noChangeAspect="true" noChangeArrowheads="true"/>
        </xdr:cNvPicPr>
      </xdr:nvPicPr>
      <xdr:blipFill>
        <a:blip r:embed="rId28" cstate="print">
          <a:extLst>
            <a:ext xmlns:a14="http://schemas.microsoft.com/office/drawing/2010/main" uri="{28A0092B-C50C-407E-A947-70E740481C1C}">
              <a14:useLocalDpi xmlns:a14="http://schemas.microsoft.com/office/drawing/2010/main" val="0"/>
            </a:ext>
          </a:extLst>
        </a:blip>
        <a:srcRect/>
        <a:stretch>
          <a:fillRect/>
        </a:stretch>
      </xdr:blipFill>
      <xdr:spPr bwMode="auto">
        <a:xfrm>
          <a:off x="15148560" y="40660320"/>
          <a:ext cx="3070860" cy="108966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pic>
    <xdr:clientData/>
  </xdr:twoCellAnchor>
  <xdr:twoCellAnchor>
    <xdr:from>
      <xdr:col>7</xdr:col>
      <xdr:colOff>1661160</xdr:colOff>
      <xdr:row>36</xdr:row>
      <xdr:rowOff>175260</xdr:rowOff>
    </xdr:from>
    <xdr:to>
      <xdr:col>7</xdr:col>
      <xdr:colOff>4648200</xdr:colOff>
      <xdr:row>36</xdr:row>
      <xdr:rowOff>1051560</xdr:rowOff>
    </xdr:to>
    <xdr:pic>
      <xdr:nvPicPr>
        <xdr:cNvPr id="30" name="Picture 201">
          <a:extLst>
            <a:ext xmlns:a16="http://schemas.microsoft.com/office/drawing/2014/main" uri="{FF2B5EF4-FFF2-40B4-BE49-F238E27FC236}">
              <a16:creationId xmlns:a16="http://schemas.microsoft.com/office/drawing/2014/main" id="{00000000-0008-0000-0600-00001E000000}"/>
            </a:ext>
          </a:extLst>
        </xdr:cNvPr>
        <xdr:cNvPicPr>
          <a:picLocks noChangeAspect="true" noChangeArrowheads="true"/>
        </xdr:cNvPicPr>
      </xdr:nvPicPr>
      <xdr:blipFill>
        <a:blip r:embed="rId29" cstate="print">
          <a:extLst>
            <a:ext xmlns:a14="http://schemas.microsoft.com/office/drawing/2010/main" uri="{28A0092B-C50C-407E-A947-70E740481C1C}">
              <a14:useLocalDpi xmlns:a14="http://schemas.microsoft.com/office/drawing/2010/main" val="0"/>
            </a:ext>
          </a:extLst>
        </a:blip>
        <a:srcRect/>
        <a:stretch>
          <a:fillRect/>
        </a:stretch>
      </xdr:blipFill>
      <xdr:spPr bwMode="auto">
        <a:xfrm>
          <a:off x="14942820" y="42031920"/>
          <a:ext cx="2987040" cy="87630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pic>
    <xdr:clientData/>
  </xdr:twoCellAnchor>
  <xdr:twoCellAnchor>
    <xdr:from>
      <xdr:col>7</xdr:col>
      <xdr:colOff>1516380</xdr:colOff>
      <xdr:row>37</xdr:row>
      <xdr:rowOff>114300</xdr:rowOff>
    </xdr:from>
    <xdr:to>
      <xdr:col>7</xdr:col>
      <xdr:colOff>4884420</xdr:colOff>
      <xdr:row>37</xdr:row>
      <xdr:rowOff>1325880</xdr:rowOff>
    </xdr:to>
    <xdr:pic>
      <xdr:nvPicPr>
        <xdr:cNvPr id="31" name="Picture 202">
          <a:extLst>
            <a:ext xmlns:a16="http://schemas.microsoft.com/office/drawing/2014/main" uri="{FF2B5EF4-FFF2-40B4-BE49-F238E27FC236}">
              <a16:creationId xmlns:a16="http://schemas.microsoft.com/office/drawing/2014/main" id="{00000000-0008-0000-0600-00001F000000}"/>
            </a:ext>
          </a:extLst>
        </xdr:cNvPr>
        <xdr:cNvPicPr>
          <a:picLocks noChangeAspect="true" noChangeArrowheads="true"/>
        </xdr:cNvPicPr>
      </xdr:nvPicPr>
      <xdr:blipFill>
        <a:blip r:embed="rId30" cstate="print">
          <a:extLst>
            <a:ext xmlns:a14="http://schemas.microsoft.com/office/drawing/2010/main" uri="{28A0092B-C50C-407E-A947-70E740481C1C}">
              <a14:useLocalDpi xmlns:a14="http://schemas.microsoft.com/office/drawing/2010/main" val="0"/>
            </a:ext>
          </a:extLst>
        </a:blip>
        <a:srcRect/>
        <a:stretch>
          <a:fillRect/>
        </a:stretch>
      </xdr:blipFill>
      <xdr:spPr bwMode="auto">
        <a:xfrm>
          <a:off x="14798040" y="43197780"/>
          <a:ext cx="3368040" cy="121158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pic>
    <xdr:clientData/>
  </xdr:twoCellAnchor>
  <xdr:twoCellAnchor>
    <xdr:from>
      <xdr:col>7</xdr:col>
      <xdr:colOff>1226820</xdr:colOff>
      <xdr:row>9</xdr:row>
      <xdr:rowOff>121920</xdr:rowOff>
    </xdr:from>
    <xdr:to>
      <xdr:col>7</xdr:col>
      <xdr:colOff>4907280</xdr:colOff>
      <xdr:row>9</xdr:row>
      <xdr:rowOff>807720</xdr:rowOff>
    </xdr:to>
    <xdr:pic>
      <xdr:nvPicPr>
        <xdr:cNvPr id="32" name="Picture 221">
          <a:extLst>
            <a:ext xmlns:a16="http://schemas.microsoft.com/office/drawing/2014/main" uri="{FF2B5EF4-FFF2-40B4-BE49-F238E27FC236}">
              <a16:creationId xmlns:a16="http://schemas.microsoft.com/office/drawing/2014/main" id="{00000000-0008-0000-0600-000020000000}"/>
            </a:ext>
          </a:extLst>
        </xdr:cNvPr>
        <xdr:cNvPicPr>
          <a:picLocks noChangeAspect="true" noChangeArrowheads="true"/>
        </xdr:cNvPicPr>
      </xdr:nvPicPr>
      <xdr:blipFill>
        <a:blip r:embed="rId31" cstate="print">
          <a:extLst>
            <a:ext xmlns:a14="http://schemas.microsoft.com/office/drawing/2010/main" uri="{28A0092B-C50C-407E-A947-70E740481C1C}">
              <a14:useLocalDpi xmlns:a14="http://schemas.microsoft.com/office/drawing/2010/main" val="0"/>
            </a:ext>
          </a:extLst>
        </a:blip>
        <a:srcRect/>
        <a:stretch>
          <a:fillRect/>
        </a:stretch>
      </xdr:blipFill>
      <xdr:spPr bwMode="auto">
        <a:xfrm>
          <a:off x="14508480" y="11209020"/>
          <a:ext cx="3680460" cy="68580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pic>
    <xdr:clientData/>
  </xdr:twoCellAnchor>
  <xdr:twoCellAnchor>
    <xdr:from>
      <xdr:col>7</xdr:col>
      <xdr:colOff>792480</xdr:colOff>
      <xdr:row>10</xdr:row>
      <xdr:rowOff>160020</xdr:rowOff>
    </xdr:from>
    <xdr:to>
      <xdr:col>7</xdr:col>
      <xdr:colOff>5105400</xdr:colOff>
      <xdr:row>10</xdr:row>
      <xdr:rowOff>1249680</xdr:rowOff>
    </xdr:to>
    <xdr:pic>
      <xdr:nvPicPr>
        <xdr:cNvPr id="33" name="Picture 224">
          <a:extLst>
            <a:ext xmlns:a16="http://schemas.microsoft.com/office/drawing/2014/main" uri="{FF2B5EF4-FFF2-40B4-BE49-F238E27FC236}">
              <a16:creationId xmlns:a16="http://schemas.microsoft.com/office/drawing/2014/main" id="{00000000-0008-0000-0600-000021000000}"/>
            </a:ext>
          </a:extLst>
        </xdr:cNvPr>
        <xdr:cNvPicPr>
          <a:picLocks noChangeAspect="true" noChangeArrowheads="true"/>
        </xdr:cNvPicPr>
      </xdr:nvPicPr>
      <xdr:blipFill>
        <a:blip r:embed="rId32" cstate="print">
          <a:extLst>
            <a:ext xmlns:a14="http://schemas.microsoft.com/office/drawing/2010/main" uri="{28A0092B-C50C-407E-A947-70E740481C1C}">
              <a14:useLocalDpi xmlns:a14="http://schemas.microsoft.com/office/drawing/2010/main" val="0"/>
            </a:ext>
          </a:extLst>
        </a:blip>
        <a:srcRect/>
        <a:stretch>
          <a:fillRect/>
        </a:stretch>
      </xdr:blipFill>
      <xdr:spPr bwMode="auto">
        <a:xfrm>
          <a:off x="14074140" y="12199620"/>
          <a:ext cx="4312920" cy="108966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pic>
    <xdr:clientData/>
  </xdr:twoCellAnchor>
  <xdr:twoCellAnchor>
    <xdr:from>
      <xdr:col>7</xdr:col>
      <xdr:colOff>182880</xdr:colOff>
      <xdr:row>19</xdr:row>
      <xdr:rowOff>335280</xdr:rowOff>
    </xdr:from>
    <xdr:to>
      <xdr:col>7</xdr:col>
      <xdr:colOff>3192780</xdr:colOff>
      <xdr:row>19</xdr:row>
      <xdr:rowOff>746760</xdr:rowOff>
    </xdr:to>
    <xdr:pic>
      <xdr:nvPicPr>
        <xdr:cNvPr id="34" name="Picture 230">
          <a:extLst>
            <a:ext xmlns:a16="http://schemas.microsoft.com/office/drawing/2014/main" uri="{FF2B5EF4-FFF2-40B4-BE49-F238E27FC236}">
              <a16:creationId xmlns:a16="http://schemas.microsoft.com/office/drawing/2014/main" id="{00000000-0008-0000-0600-000022000000}"/>
            </a:ext>
          </a:extLst>
        </xdr:cNvPr>
        <xdr:cNvPicPr>
          <a:picLocks noChangeAspect="true" noChangeArrowheads="true"/>
        </xdr:cNvPicPr>
      </xdr:nvPicPr>
      <xdr:blipFill>
        <a:blip r:embed="rId33" cstate="print">
          <a:extLst>
            <a:ext xmlns:a14="http://schemas.microsoft.com/office/drawing/2010/main" uri="{28A0092B-C50C-407E-A947-70E740481C1C}">
              <a14:useLocalDpi xmlns:a14="http://schemas.microsoft.com/office/drawing/2010/main" val="0"/>
            </a:ext>
          </a:extLst>
        </a:blip>
        <a:srcRect/>
        <a:stretch>
          <a:fillRect/>
        </a:stretch>
      </xdr:blipFill>
      <xdr:spPr bwMode="auto">
        <a:xfrm>
          <a:off x="13464540" y="21976080"/>
          <a:ext cx="3009900" cy="41148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pic>
    <xdr:clientData/>
  </xdr:twoCellAnchor>
  <xdr:twoCellAnchor>
    <xdr:from>
      <xdr:col>7</xdr:col>
      <xdr:colOff>3573780</xdr:colOff>
      <xdr:row>19</xdr:row>
      <xdr:rowOff>106680</xdr:rowOff>
    </xdr:from>
    <xdr:to>
      <xdr:col>7</xdr:col>
      <xdr:colOff>5402580</xdr:colOff>
      <xdr:row>19</xdr:row>
      <xdr:rowOff>868680</xdr:rowOff>
    </xdr:to>
    <xdr:pic>
      <xdr:nvPicPr>
        <xdr:cNvPr id="35" name="Picture 231">
          <a:extLst>
            <a:ext xmlns:a16="http://schemas.microsoft.com/office/drawing/2014/main" uri="{FF2B5EF4-FFF2-40B4-BE49-F238E27FC236}">
              <a16:creationId xmlns:a16="http://schemas.microsoft.com/office/drawing/2014/main" id="{00000000-0008-0000-0600-000023000000}"/>
            </a:ext>
          </a:extLst>
        </xdr:cNvPr>
        <xdr:cNvPicPr>
          <a:picLocks noChangeAspect="true" noChangeArrowheads="true"/>
        </xdr:cNvPicPr>
      </xdr:nvPicPr>
      <xdr:blipFill>
        <a:blip r:embed="rId34" cstate="print">
          <a:extLst>
            <a:ext xmlns:a14="http://schemas.microsoft.com/office/drawing/2010/main" uri="{28A0092B-C50C-407E-A947-70E740481C1C}">
              <a14:useLocalDpi xmlns:a14="http://schemas.microsoft.com/office/drawing/2010/main" val="0"/>
            </a:ext>
          </a:extLst>
        </a:blip>
        <a:srcRect/>
        <a:stretch>
          <a:fillRect/>
        </a:stretch>
      </xdr:blipFill>
      <xdr:spPr bwMode="auto">
        <a:xfrm>
          <a:off x="16855440" y="21747480"/>
          <a:ext cx="1828800" cy="76200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pic>
    <xdr:clientData/>
  </xdr:twoCellAnchor>
  <xdr:twoCellAnchor>
    <xdr:from>
      <xdr:col>7</xdr:col>
      <xdr:colOff>1051560</xdr:colOff>
      <xdr:row>12</xdr:row>
      <xdr:rowOff>182880</xdr:rowOff>
    </xdr:from>
    <xdr:to>
      <xdr:col>7</xdr:col>
      <xdr:colOff>5151120</xdr:colOff>
      <xdr:row>12</xdr:row>
      <xdr:rowOff>838200</xdr:rowOff>
    </xdr:to>
    <xdr:pic>
      <xdr:nvPicPr>
        <xdr:cNvPr id="36" name="Picture 276">
          <a:extLst>
            <a:ext xmlns:a16="http://schemas.microsoft.com/office/drawing/2014/main" uri="{FF2B5EF4-FFF2-40B4-BE49-F238E27FC236}">
              <a16:creationId xmlns:a16="http://schemas.microsoft.com/office/drawing/2014/main" id="{00000000-0008-0000-0600-000024000000}"/>
            </a:ext>
          </a:extLst>
        </xdr:cNvPr>
        <xdr:cNvPicPr>
          <a:picLocks noChangeAspect="true" noChangeArrowheads="true"/>
        </xdr:cNvPicPr>
      </xdr:nvPicPr>
      <xdr:blipFill>
        <a:blip r:embed="rId35" cstate="print">
          <a:extLst>
            <a:ext xmlns:a14="http://schemas.microsoft.com/office/drawing/2010/main" uri="{28A0092B-C50C-407E-A947-70E740481C1C}">
              <a14:useLocalDpi xmlns:a14="http://schemas.microsoft.com/office/drawing/2010/main" val="0"/>
            </a:ext>
          </a:extLst>
        </a:blip>
        <a:srcRect/>
        <a:stretch>
          <a:fillRect/>
        </a:stretch>
      </xdr:blipFill>
      <xdr:spPr bwMode="auto">
        <a:xfrm>
          <a:off x="14333220" y="14866620"/>
          <a:ext cx="4099560" cy="65532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pic>
    <xdr:clientData/>
  </xdr:twoCellAnchor>
</xdr:wsDr>
</file>

<file path=xl/drawings/drawing6.xml><?xml version="1.0" encoding="utf-8"?>
<xdr:wsDr xmlns:a="http://schemas.openxmlformats.org/drawingml/2006/main" xmlns:xdr="http://schemas.openxmlformats.org/drawingml/2006/spreadsheetDrawing" xmlns:r="http://schemas.openxmlformats.org/officeDocument/2006/relationships">
  <xdr:twoCellAnchor>
    <xdr:from>
      <xdr:col>16</xdr:col>
      <xdr:colOff>0</xdr:colOff>
      <xdr:row>4</xdr:row>
      <xdr:rowOff>0</xdr:rowOff>
    </xdr:from>
    <xdr:to>
      <xdr:col>33</xdr:col>
      <xdr:colOff>21312</xdr:colOff>
      <xdr:row>26</xdr:row>
      <xdr:rowOff>354894</xdr:rowOff>
    </xdr:to>
    <xdr:graphicFrame macro="">
      <xdr:nvGraphicFramePr>
        <xdr:cNvPr id="2" name="Chart 1">
          <a:extLst>
            <a:ext xmlns:a16="http://schemas.microsoft.com/office/drawing/2014/main" uri="{FF2B5EF4-FFF2-40B4-BE49-F238E27FC236}">
              <a16:creationId xmlns:a16="http://schemas.microsoft.com/office/drawing/2014/main" id="{00000000-0008-0000-0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16</xdr:col>
      <xdr:colOff>0</xdr:colOff>
      <xdr:row>42</xdr:row>
      <xdr:rowOff>0</xdr:rowOff>
    </xdr:from>
    <xdr:to>
      <xdr:col>90</xdr:col>
      <xdr:colOff>270101</xdr:colOff>
      <xdr:row>173</xdr:row>
      <xdr:rowOff>90487</xdr:rowOff>
    </xdr:to>
    <xdr:graphicFrame macro="">
      <xdr:nvGraphicFramePr>
        <xdr:cNvPr id="3" name="Chart 2">
          <a:extLst>
            <a:ext xmlns:a16="http://schemas.microsoft.com/office/drawing/2014/main" uri="{FF2B5EF4-FFF2-40B4-BE49-F238E27FC236}">
              <a16:creationId xmlns:a16="http://schemas.microsoft.com/office/drawing/2014/main" id="{00000000-0008-0000-07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16</xdr:col>
      <xdr:colOff>0</xdr:colOff>
      <xdr:row>185</xdr:row>
      <xdr:rowOff>0</xdr:rowOff>
    </xdr:from>
    <xdr:to>
      <xdr:col>30</xdr:col>
      <xdr:colOff>438277</xdr:colOff>
      <xdr:row>213</xdr:row>
      <xdr:rowOff>174054</xdr:rowOff>
    </xdr:to>
    <xdr:graphicFrame macro="">
      <xdr:nvGraphicFramePr>
        <xdr:cNvPr id="4" name="Chart 3">
          <a:extLst>
            <a:ext xmlns:a16="http://schemas.microsoft.com/office/drawing/2014/main" uri="{FF2B5EF4-FFF2-40B4-BE49-F238E27FC236}">
              <a16:creationId xmlns:a16="http://schemas.microsoft.com/office/drawing/2014/main" id="{00000000-0008-0000-07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16</xdr:col>
      <xdr:colOff>0</xdr:colOff>
      <xdr:row>226</xdr:row>
      <xdr:rowOff>0</xdr:rowOff>
    </xdr:from>
    <xdr:to>
      <xdr:col>40</xdr:col>
      <xdr:colOff>163286</xdr:colOff>
      <xdr:row>259</xdr:row>
      <xdr:rowOff>284390</xdr:rowOff>
    </xdr:to>
    <xdr:graphicFrame macro="">
      <xdr:nvGraphicFramePr>
        <xdr:cNvPr id="5" name="Chart 4">
          <a:extLst>
            <a:ext xmlns:a16="http://schemas.microsoft.com/office/drawing/2014/main" uri="{FF2B5EF4-FFF2-40B4-BE49-F238E27FC236}">
              <a16:creationId xmlns:a16="http://schemas.microsoft.com/office/drawing/2014/main" id="{00000000-0008-0000-07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Relationships xmlns="http://schemas.openxmlformats.org/package/2006/relationships"><Relationship Target="../drawings/vmlDrawing1.vml" Type="http://schemas.openxmlformats.org/officeDocument/2006/relationships/vmlDrawing" Id="rId3"/><Relationship Target="../drawings/drawing1.xml" Type="http://schemas.openxmlformats.org/officeDocument/2006/relationships/drawing" Id="rId2"/><Relationship Target="../printerSettings/printerSettings1.bin" Type="http://schemas.openxmlformats.org/officeDocument/2006/relationships/printerSettings" Id="rId1"/><Relationship Target="../comments1.xml" Type="http://schemas.openxmlformats.org/officeDocument/2006/relationships/comments" Id="rId4"/></Relationships>
</file>

<file path=xl/worksheets/_rels/sheet2.xml.rels><?xml version="1.0" encoding="UTF-8"?><Relationships xmlns="http://schemas.openxmlformats.org/package/2006/relationships"><Relationship Target="../comments2.xml" Type="http://schemas.openxmlformats.org/officeDocument/2006/relationships/comments" Id="rId3"/><Relationship Target="../drawings/vmlDrawing2.vml" Type="http://schemas.openxmlformats.org/officeDocument/2006/relationships/vmlDrawing" Id="rId2"/><Relationship Target="../printerSettings/printerSettings2.bin" Type="http://schemas.openxmlformats.org/officeDocument/2006/relationships/printerSettings" Id="rId1"/></Relationships>
</file>

<file path=xl/worksheets/_rels/sheet3.xml.rels><?xml version="1.0" encoding="UTF-8"?><Relationships xmlns="http://schemas.openxmlformats.org/package/2006/relationships"><Relationship Target="../comments3.xml" Type="http://schemas.openxmlformats.org/officeDocument/2006/relationships/comments" Id="rId3"/><Relationship Target="../drawings/vmlDrawing3.vml" Type="http://schemas.openxmlformats.org/officeDocument/2006/relationships/vmlDrawing" Id="rId2"/><Relationship Target="../printerSettings/printerSettings3.bin" Type="http://schemas.openxmlformats.org/officeDocument/2006/relationships/printerSettings" Id="rId1"/></Relationships>
</file>

<file path=xl/worksheets/_rels/sheet4.xml.rels><?xml version="1.0" encoding="UTF-8"?><Relationships xmlns="http://schemas.openxmlformats.org/package/2006/relationships"><Relationship Target="../drawings/vmlDrawing4.vml" Type="http://schemas.openxmlformats.org/officeDocument/2006/relationships/vmlDrawing" Id="rId3"/><Relationship Target="../drawings/drawing2.xml" Type="http://schemas.openxmlformats.org/officeDocument/2006/relationships/drawing" Id="rId2"/><Relationship Target="../printerSettings/printerSettings4.bin" Type="http://schemas.openxmlformats.org/officeDocument/2006/relationships/printerSettings" Id="rId1"/><Relationship Target="../comments4.xml" Type="http://schemas.openxmlformats.org/officeDocument/2006/relationships/comments" Id="rId6"/><Relationship Target="../media/image3.emf" Type="http://schemas.openxmlformats.org/officeDocument/2006/relationships/image" Id="rId5"/><Relationship Target="../embeddings/oleObject1.bin" Type="http://schemas.openxmlformats.org/officeDocument/2006/relationships/oleObject" Id="rId4"/></Relationships>
</file>

<file path=xl/worksheets/_rels/sheet5.xml.rels><?xml version="1.0" encoding="UTF-8"?><Relationships xmlns="http://schemas.openxmlformats.org/package/2006/relationships"><Relationship Target="../drawings/vmlDrawing5.vml" Type="http://schemas.openxmlformats.org/officeDocument/2006/relationships/vmlDrawing" Id="rId3"/><Relationship Target="../drawings/drawing3.xml" Type="http://schemas.openxmlformats.org/officeDocument/2006/relationships/drawing" Id="rId2"/><Relationship Target="../printerSettings/printerSettings5.bin" Type="http://schemas.openxmlformats.org/officeDocument/2006/relationships/printerSettings" Id="rId1"/><Relationship Target="../comments5.xml" Type="http://schemas.openxmlformats.org/officeDocument/2006/relationships/comments" Id="rId6"/><Relationship Target="../media/image29.emf" Type="http://schemas.openxmlformats.org/officeDocument/2006/relationships/image" Id="rId5"/><Relationship Target="../embeddings/oleObject2.bin" Type="http://schemas.openxmlformats.org/officeDocument/2006/relationships/oleObject" Id="rId4"/></Relationships>
</file>

<file path=xl/worksheets/_rels/sheet6.xml.rels><?xml version="1.0" encoding="UTF-8"?><Relationships xmlns="http://schemas.openxmlformats.org/package/2006/relationships"><Relationship Target="../drawings/vmlDrawing6.vml" Type="http://schemas.openxmlformats.org/officeDocument/2006/relationships/vmlDrawing" Id="rId3"/><Relationship Target="../drawings/drawing4.xml" Type="http://schemas.openxmlformats.org/officeDocument/2006/relationships/drawing" Id="rId2"/><Relationship Target="../printerSettings/printerSettings6.bin" Type="http://schemas.openxmlformats.org/officeDocument/2006/relationships/printerSettings" Id="rId1"/><Relationship Target="../comments6.xml" Type="http://schemas.openxmlformats.org/officeDocument/2006/relationships/comments" Id="rId6"/><Relationship Target="../media/image93.emf" Type="http://schemas.openxmlformats.org/officeDocument/2006/relationships/image" Id="rId5"/><Relationship Target="../embeddings/oleObject3.bin" Type="http://schemas.openxmlformats.org/officeDocument/2006/relationships/oleObject" Id="rId4"/></Relationships>
</file>

<file path=xl/worksheets/_rels/sheet7.xml.rels><?xml version="1.0" encoding="UTF-8"?><Relationships xmlns="http://schemas.openxmlformats.org/package/2006/relationships"><Relationship Target="../drawings/vmlDrawing7.vml" Type="http://schemas.openxmlformats.org/officeDocument/2006/relationships/vmlDrawing" Id="rId3"/><Relationship Target="../drawings/drawing5.xml" Type="http://schemas.openxmlformats.org/officeDocument/2006/relationships/drawing" Id="rId2"/><Relationship Target="../printerSettings/printerSettings7.bin" Type="http://schemas.openxmlformats.org/officeDocument/2006/relationships/printerSettings" Id="rId1"/><Relationship Target="../comments7.xml" Type="http://schemas.openxmlformats.org/officeDocument/2006/relationships/comments" Id="rId6"/><Relationship Target="../media/image107.emf" Type="http://schemas.openxmlformats.org/officeDocument/2006/relationships/image" Id="rId5"/><Relationship Target="../embeddings/oleObject4.bin" Type="http://schemas.openxmlformats.org/officeDocument/2006/relationships/oleObject" Id="rId4"/></Relationships>
</file>

<file path=xl/worksheets/_rels/sheet8.xml.rels><?xml version="1.0" encoding="UTF-8"?><Relationships xmlns="http://schemas.openxmlformats.org/package/2006/relationships"><Relationship Target="../drawings/drawing6.xml" Type="http://schemas.openxmlformats.org/officeDocument/2006/relationships/drawing" Id="rId2"/><Relationship Target="../printerSettings/printerSettings8.bin" Type="http://schemas.openxmlformats.org/officeDocument/2006/relationships/printerSettings" Id="rId1"/></Relationships>
</file>

<file path=xl/worksheets/_rels/sheet9.xml.rels><?xml version="1.0" encoding="UTF-8"?><Relationships xmlns="http://schemas.openxmlformats.org/package/2006/relationships"><Relationship Target="../printerSettings/printerSettings9.bin" Type="http://schemas.openxmlformats.org/officeDocument/2006/relationships/printerSettings" Id="rId1"/></Relationships>
</file>

<file path=xl/worksheets/_rels/sheet10.xml.rels><?xml version="1.0" encoding="UTF-8"?><Relationships xmlns="http://schemas.openxmlformats.org/package/2006/relationships"><Relationship Target="../comments8.xml" Type="http://schemas.openxmlformats.org/officeDocument/2006/relationships/comments" Id="rId2"/><Relationship Target="../drawings/vmlDrawing8.vml" Type="http://schemas.openxmlformats.org/officeDocument/2006/relationships/vmlDrawing" Id="rId1"/></Relationships>
</file>

<file path=xl/worksheets/_rels/sheet11.xml.rels><?xml version="1.0" encoding="UTF-8"?><Relationships xmlns="http://schemas.openxmlformats.org/package/2006/relationships"><Relationship Target="../comments9.xml" Type="http://schemas.openxmlformats.org/officeDocument/2006/relationships/comments" Id="rId3"/><Relationship Target="../drawings/vmlDrawing9.vml" Type="http://schemas.openxmlformats.org/officeDocument/2006/relationships/vmlDrawing" Id="rId2"/><Relationship Target="../printerSettings/printerSettings10.bin" Type="http://schemas.openxmlformats.org/officeDocument/2006/relationships/printerSettings" Id="rId1"/></Relationships>
</file>

<file path=xl/worksheets/_rels/sheet12.xml.rels><?xml version="1.0" encoding="UTF-8"?><Relationships xmlns="http://schemas.openxmlformats.org/package/2006/relationships"><Relationship Target="../printerSettings/printerSettings11.bin" Type="http://schemas.openxmlformats.org/officeDocument/2006/relationships/printerSettings" Id="rId1"/></Relationships>
</file>

<file path=xl/worksheets/_rels/sheet13.xml.rels><?xml version="1.0" encoding="UTF-8"?><Relationships xmlns="http://schemas.openxmlformats.org/package/2006/relationships"><Relationship Target="../printerSettings/printerSettings12.bin" Type="http://schemas.openxmlformats.org/officeDocument/2006/relationships/printerSettings" Id="rId1"/></Relationships>
</file>

<file path=xl/worksheets/_rels/sheet14.xml.rels><?xml version="1.0" encoding="UTF-8"?><Relationships xmlns="http://schemas.openxmlformats.org/package/2006/relationships"><Relationship Target="../printerSettings/printerSettings13.bin" Type="http://schemas.openxmlformats.org/officeDocument/2006/relationships/printerSettings" Id="rId1"/></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2:FD443"/>
  <sheetViews>
    <sheetView topLeftCell="B195" zoomScale="60" zoomScaleNormal="60" workbookViewId="0">
      <selection activeCell="L220" sqref="L220"/>
    </sheetView>
  </sheetViews>
  <sheetFormatPr defaultColWidth="10.6640625" defaultRowHeight="17.4" x14ac:dyDescent="0.25"/>
  <cols>
    <col min="1" max="2" width="10.6640625" style="8"/>
    <col min="3" max="3" width="15.6640625" style="8" customWidth="true"/>
    <col min="4" max="4" width="23.33203125" style="10" customWidth="true"/>
    <col min="5" max="5" width="26.5546875" style="8" customWidth="true"/>
    <col min="6" max="6" width="32.44140625" style="8" customWidth="true"/>
    <col min="7" max="7" width="26.5546875" style="8" customWidth="true"/>
    <col min="8" max="8" width="49.48828125" style="9" customWidth="true"/>
    <col min="9" max="10" width="22.5546875" style="9" customWidth="true"/>
    <col min="11" max="11" width="49.48828125" style="8" customWidth="true"/>
    <col min="12" max="15" width="22.5546875" style="8" customWidth="true"/>
    <col min="16" max="17" width="22.5546875" style="758" customWidth="true"/>
    <col min="18" max="20" width="32.109375" style="758" customWidth="true"/>
    <col min="21" max="25" width="22.5546875" style="9" customWidth="true"/>
    <col min="26" max="28" width="23.6640625" style="9" customWidth="true"/>
    <col min="29" max="29" width="23.6640625" style="759" customWidth="true"/>
    <col min="30" max="30" width="23.6640625" style="9" customWidth="true"/>
    <col min="31" max="31" width="23.6640625" style="8" customWidth="true"/>
    <col min="32" max="36" width="23.6640625" style="9" customWidth="true"/>
    <col min="37" max="37" width="23.6640625" style="8" customWidth="true"/>
    <col min="38" max="38" width="23.6640625" style="101" customWidth="true"/>
    <col min="39" max="39" width="25.88671875" style="101" customWidth="true"/>
    <col min="40" max="47" width="23.6640625" style="101" customWidth="true"/>
    <col min="48" max="57" width="23.6640625" style="8" customWidth="true"/>
    <col min="58" max="58" width="25.109375" style="8" customWidth="true"/>
    <col min="59" max="59" width="22.6640625" style="8" customWidth="true"/>
    <col min="60" max="60" width="23.6640625" style="8" customWidth="true"/>
    <col min="61" max="61" width="22.6640625" style="8" customWidth="true"/>
    <col min="62" max="62" width="21" style="8" customWidth="true"/>
    <col min="63" max="63" width="22.109375" style="758" customWidth="true"/>
    <col min="64" max="66" width="22.109375" style="8" customWidth="true"/>
    <col min="67" max="68" width="26.5546875" style="8" customWidth="true"/>
    <col min="69" max="69" width="26.5546875" customWidth="true"/>
    <col min="70" max="70" width="26.5546875" style="8" customWidth="true"/>
    <col min="71" max="71" width="26.5546875" customWidth="true"/>
    <col min="72" max="73" width="26.5546875" style="8" customWidth="true"/>
    <col min="74" max="75" width="26.5546875" customWidth="true"/>
    <col min="76" max="76" width="26.5546875" style="8" customWidth="true"/>
    <col min="77" max="77" width="26.5546875" style="9" customWidth="true"/>
    <col min="78" max="80" width="26.5546875" style="8" customWidth="true"/>
    <col min="81" max="81" width="26.5546875" style="9" customWidth="true"/>
    <col min="82" max="82" width="26.5546875" style="8" customWidth="true"/>
    <col min="83" max="83" width="26.5546875" style="9" customWidth="true"/>
    <col min="84" max="97" width="26.5546875" style="8" customWidth="true"/>
    <col min="98" max="100" width="23.6640625" style="8" customWidth="true"/>
    <col min="101" max="102" width="22.109375" style="8" customWidth="true"/>
    <col min="103" max="103" width="22.109375" customWidth="true"/>
    <col min="104" max="157" width="22.109375" style="8" customWidth="true"/>
    <col min="158" max="16384" width="10.6640625" style="8"/>
  </cols>
  <sheetData>
    <row r="2" ht="18" thickBot="true" x14ac:dyDescent="0.3"/>
    <row r="3" ht="90.6" thickBot="true" x14ac:dyDescent="1.5">
      <c r="C3" s="1766" t="s">
        <v>2323</v>
      </c>
      <c r="D3" s="1767"/>
      <c r="E3" s="1767"/>
      <c r="F3" s="1767"/>
      <c r="G3" s="1767"/>
      <c r="H3" s="1767"/>
      <c r="I3" s="1767"/>
      <c r="J3" s="1767"/>
      <c r="K3" s="1768"/>
    </row>
    <row r="4" ht="45.6" thickBot="true" x14ac:dyDescent="0.8">
      <c r="C4" s="6"/>
      <c r="D4" s="7"/>
      <c r="E4" s="6"/>
    </row>
    <row r="5" ht="45" x14ac:dyDescent="0.75">
      <c r="C5" s="1769" t="s">
        <v>2180</v>
      </c>
      <c r="D5" s="1770"/>
      <c r="E5" s="1770"/>
      <c r="F5" s="1770"/>
      <c r="G5" s="1770"/>
      <c r="H5" s="1770"/>
      <c r="I5" s="1770"/>
      <c r="J5" s="1770"/>
      <c r="K5" s="1771"/>
    </row>
    <row r="6" ht="51.6" x14ac:dyDescent="0.25">
      <c r="C6" s="1772" t="s">
        <v>2213</v>
      </c>
      <c r="D6" s="1773"/>
      <c r="E6" s="1773"/>
      <c r="F6" s="1773"/>
      <c r="G6" s="1773"/>
      <c r="H6" s="1773"/>
      <c r="I6" s="1773"/>
      <c r="J6" s="1773"/>
      <c r="K6" s="1774"/>
    </row>
    <row r="7" ht="45" x14ac:dyDescent="0.25">
      <c r="C7" s="1772" t="s">
        <v>2181</v>
      </c>
      <c r="D7" s="1773"/>
      <c r="E7" s="1773"/>
      <c r="F7" s="1773"/>
      <c r="G7" s="1773"/>
      <c r="H7" s="1773"/>
      <c r="I7" s="1773"/>
      <c r="J7" s="1773"/>
      <c r="K7" s="1774"/>
    </row>
    <row r="8" ht="45.6" thickBot="true" x14ac:dyDescent="0.3">
      <c r="C8" s="1775" t="s">
        <v>2182</v>
      </c>
      <c r="D8" s="1776"/>
      <c r="E8" s="1776"/>
      <c r="F8" s="1776"/>
      <c r="G8" s="1776"/>
      <c r="H8" s="1776"/>
      <c r="I8" s="1776"/>
      <c r="J8" s="1776"/>
      <c r="K8" s="1777"/>
    </row>
    <row r="9" ht="18" thickBot="true" x14ac:dyDescent="0.3"/>
    <row r="10" ht="38.25" customHeight="true" thickBot="true" x14ac:dyDescent="0.3">
      <c r="C10" s="1785" t="s">
        <v>2214</v>
      </c>
      <c r="D10" s="1786"/>
      <c r="E10" s="1786"/>
      <c r="F10" s="1786"/>
      <c r="G10" s="1786"/>
      <c r="H10" s="1786"/>
      <c r="I10" s="1786"/>
      <c r="J10" s="1786"/>
      <c r="K10" s="1787"/>
    </row>
    <row r="15" ht="45" x14ac:dyDescent="0.25">
      <c r="C15" s="1709" t="s">
        <v>1830</v>
      </c>
      <c r="D15" s="1709"/>
      <c r="E15" s="1709"/>
      <c r="F15" s="1709"/>
      <c r="G15" s="1709"/>
      <c r="H15" s="1709"/>
    </row>
    <row r="16" ht="18" thickBot="true" x14ac:dyDescent="0.3"/>
    <row r="17" ht="38.4" thickBot="true" x14ac:dyDescent="0.3">
      <c r="B17" s="743" t="s">
        <v>2325</v>
      </c>
      <c r="C17" s="142"/>
      <c r="D17" s="760"/>
      <c r="E17" s="142"/>
      <c r="F17" s="142"/>
      <c r="G17" s="148"/>
    </row>
    <row r="18" ht="20.25" customHeight="true" x14ac:dyDescent="0.25">
      <c r="B18" s="744"/>
      <c r="C18" s="140"/>
      <c r="D18" s="761"/>
      <c r="E18" s="1080" t="s">
        <v>275</v>
      </c>
      <c r="F18" s="1470">
        <f>COUNTIF(D32:D81,"*")</f>
        <v>4</v>
      </c>
      <c r="G18" s="147"/>
    </row>
    <row r="19" ht="20.25" customHeight="true" x14ac:dyDescent="0.4">
      <c r="B19" s="744"/>
      <c r="C19" s="140"/>
      <c r="D19" s="762"/>
      <c r="E19" s="1081" t="s">
        <v>1833</v>
      </c>
      <c r="F19" s="1016">
        <v>950</v>
      </c>
      <c r="G19" s="147"/>
      <c r="H19" s="8"/>
    </row>
    <row r="20" ht="20.25" customHeight="true" x14ac:dyDescent="0.4">
      <c r="B20" s="744"/>
      <c r="C20" s="140"/>
      <c r="D20" s="762"/>
      <c r="E20" s="1081" t="s">
        <v>1831</v>
      </c>
      <c r="F20" s="1016">
        <v>25</v>
      </c>
      <c r="G20" s="147"/>
    </row>
    <row r="21" ht="20.25" customHeight="true" x14ac:dyDescent="0.4">
      <c r="B21" s="744"/>
      <c r="C21" s="140"/>
      <c r="D21" s="761"/>
      <c r="E21" s="1081" t="s">
        <v>1832</v>
      </c>
      <c r="F21" s="1016">
        <v>101.325</v>
      </c>
      <c r="G21" s="147"/>
    </row>
    <row r="22" ht="20.25" customHeight="true" thickBot="true" x14ac:dyDescent="0.3">
      <c r="B22" s="744"/>
      <c r="C22" s="140"/>
      <c r="D22" s="761"/>
      <c r="E22" s="1082" t="s">
        <v>1630</v>
      </c>
      <c r="F22" s="1471">
        <f>0.008314</f>
        <v>8.3140000000000002E-3</v>
      </c>
      <c r="G22" s="147"/>
    </row>
    <row r="23" ht="18" thickBot="true" x14ac:dyDescent="0.3">
      <c r="B23" s="745"/>
      <c r="C23" s="141"/>
      <c r="D23" s="763"/>
      <c r="E23" s="141"/>
      <c r="F23" s="141"/>
      <c r="G23" s="145"/>
    </row>
    <row r="24" ht="18" thickBot="true" x14ac:dyDescent="0.3"/>
    <row r="25" ht="34.5" customHeight="true" thickBot="true" x14ac:dyDescent="0.7">
      <c r="B25" s="743" t="s">
        <v>2324</v>
      </c>
      <c r="C25" s="142"/>
      <c r="D25" s="142"/>
      <c r="E25" s="1645" t="s">
        <v>2215</v>
      </c>
      <c r="F25" s="1645"/>
      <c r="G25" s="1645" t="s">
        <v>2162</v>
      </c>
      <c r="H25" s="1645"/>
      <c r="I25" s="1162"/>
      <c r="J25" s="1162"/>
      <c r="K25" s="142"/>
      <c r="L25" s="142"/>
      <c r="M25" s="142"/>
      <c r="N25" s="142"/>
      <c r="O25" s="142"/>
      <c r="P25" s="764"/>
      <c r="Q25" s="764"/>
      <c r="R25" s="764"/>
      <c r="S25" s="764"/>
      <c r="T25" s="764"/>
      <c r="U25" s="1162"/>
      <c r="V25" s="1162"/>
      <c r="W25" s="1162"/>
      <c r="X25" s="1162"/>
      <c r="Y25" s="1162"/>
      <c r="Z25" s="1162"/>
      <c r="AA25" s="1162"/>
      <c r="AB25" s="1162"/>
      <c r="AC25" s="765"/>
      <c r="AD25" s="1162"/>
      <c r="AE25" s="142"/>
      <c r="AF25" s="1162"/>
      <c r="AG25" s="1162"/>
      <c r="AH25" s="1162"/>
      <c r="AI25" s="1162"/>
      <c r="AJ25" s="1162"/>
      <c r="AK25" s="142"/>
      <c r="AL25" s="766"/>
      <c r="AM25" s="766"/>
      <c r="AN25" s="766"/>
      <c r="AO25" s="766"/>
      <c r="AP25" s="766"/>
      <c r="AQ25" s="766"/>
      <c r="AR25" s="766"/>
      <c r="AS25" s="766"/>
      <c r="AT25" s="766"/>
      <c r="AU25" s="766"/>
      <c r="AV25" s="142"/>
      <c r="AW25" s="142"/>
      <c r="AX25" s="142"/>
      <c r="AY25" s="142"/>
      <c r="AZ25" s="142"/>
      <c r="BA25" s="142"/>
      <c r="BB25" s="142"/>
      <c r="BC25" s="142"/>
      <c r="BD25" s="142"/>
      <c r="BE25" s="142"/>
      <c r="BF25" s="142"/>
      <c r="BG25" s="142"/>
      <c r="BH25" s="142"/>
      <c r="BI25" s="142"/>
      <c r="BJ25" s="142"/>
      <c r="BK25" s="764"/>
      <c r="BL25" s="142"/>
      <c r="BM25" s="142"/>
      <c r="BN25" s="142"/>
      <c r="BO25" s="142"/>
      <c r="BP25" s="142"/>
      <c r="BQ25" s="155"/>
      <c r="BR25" s="142"/>
      <c r="BS25" s="155"/>
      <c r="BT25" s="142"/>
      <c r="BU25" s="142"/>
      <c r="BV25" s="155"/>
      <c r="BW25" s="155"/>
      <c r="BX25" s="142"/>
      <c r="BY25" s="1162"/>
      <c r="BZ25" s="142"/>
      <c r="CA25" s="142"/>
      <c r="CB25" s="142"/>
      <c r="CC25" s="1162"/>
      <c r="CD25" s="142"/>
      <c r="CE25" s="1162"/>
      <c r="CF25" s="142"/>
      <c r="CG25" s="142"/>
      <c r="CH25" s="142"/>
      <c r="CI25" s="142"/>
      <c r="CJ25" s="142"/>
      <c r="CK25" s="142"/>
      <c r="CL25" s="142"/>
      <c r="CM25" s="142"/>
      <c r="CN25" s="142"/>
      <c r="CO25" s="142"/>
      <c r="CP25" s="142"/>
      <c r="CQ25" s="142"/>
      <c r="CR25" s="142"/>
      <c r="CS25" s="142"/>
      <c r="CT25" s="142"/>
      <c r="CU25" s="142"/>
      <c r="CV25" s="142"/>
      <c r="CW25" s="142"/>
      <c r="CX25" s="142"/>
      <c r="CY25" s="155"/>
      <c r="CZ25" s="142"/>
      <c r="DA25" s="142"/>
      <c r="DB25" s="142"/>
      <c r="DC25" s="142"/>
      <c r="DD25" s="142"/>
      <c r="DE25" s="142"/>
      <c r="DF25" s="142"/>
      <c r="DG25" s="142"/>
      <c r="DH25" s="142"/>
      <c r="DI25" s="142"/>
      <c r="DJ25" s="142"/>
      <c r="DK25" s="142"/>
      <c r="DL25" s="142"/>
      <c r="DM25" s="142"/>
      <c r="DN25" s="142"/>
      <c r="DO25" s="142"/>
      <c r="DP25" s="142"/>
      <c r="DQ25" s="142"/>
      <c r="DR25" s="142"/>
      <c r="DS25" s="142"/>
      <c r="DT25" s="142"/>
      <c r="DU25" s="142"/>
      <c r="DV25" s="142"/>
      <c r="DW25" s="142"/>
      <c r="DX25" s="148"/>
    </row>
    <row r="26" ht="34.5" customHeight="true" thickBot="true" x14ac:dyDescent="0.7">
      <c r="B26" s="744"/>
      <c r="C26" s="140"/>
      <c r="D26" s="767"/>
      <c r="E26" s="663"/>
      <c r="F26" s="663"/>
      <c r="G26" s="663"/>
      <c r="H26" s="663"/>
      <c r="I26" s="1163"/>
      <c r="J26" s="1163"/>
      <c r="K26" s="140"/>
      <c r="L26" s="140"/>
      <c r="M26" s="140"/>
      <c r="N26" s="140"/>
      <c r="O26" s="140"/>
      <c r="P26" s="1160"/>
      <c r="Q26" s="1160"/>
      <c r="R26" s="1160"/>
      <c r="S26" s="1160"/>
      <c r="T26" s="1160"/>
      <c r="U26" s="1163"/>
      <c r="V26" s="1163"/>
      <c r="W26" s="1163"/>
      <c r="X26" s="1163"/>
      <c r="Y26" s="1163"/>
      <c r="Z26" s="1163"/>
      <c r="AA26" s="1163"/>
      <c r="AB26" s="1163"/>
      <c r="AC26" s="768"/>
      <c r="AD26" s="1163"/>
      <c r="AE26" s="140"/>
      <c r="AF26" s="1163"/>
      <c r="AG26" s="1163"/>
      <c r="AH26" s="1163"/>
      <c r="AI26" s="1163"/>
      <c r="AJ26" s="1163"/>
      <c r="AK26" s="140"/>
      <c r="AL26" s="769"/>
      <c r="AM26" s="769"/>
      <c r="AN26" s="769"/>
      <c r="AO26" s="769"/>
      <c r="AP26" s="769"/>
      <c r="AQ26" s="769"/>
      <c r="AR26" s="769"/>
      <c r="AS26" s="769"/>
      <c r="AT26" s="769"/>
      <c r="AU26" s="769"/>
      <c r="AV26" s="140"/>
      <c r="AW26" s="140"/>
      <c r="AX26" s="140"/>
      <c r="AY26" s="140"/>
      <c r="AZ26" s="140"/>
      <c r="BA26" s="140"/>
      <c r="BB26" s="140"/>
      <c r="BC26" s="140"/>
      <c r="BD26" s="140"/>
      <c r="BE26" s="140"/>
      <c r="BF26" s="140"/>
      <c r="BG26" s="140"/>
      <c r="BH26" s="140"/>
      <c r="BI26" s="140"/>
      <c r="BJ26" s="140"/>
      <c r="BK26" s="1160"/>
      <c r="BL26" s="140"/>
      <c r="BM26" s="140"/>
      <c r="BN26" s="140"/>
      <c r="BO26" s="140"/>
      <c r="BP26" s="140"/>
      <c r="BQ26" s="557"/>
      <c r="BR26" s="140"/>
      <c r="BS26" s="557"/>
      <c r="BT26" s="140"/>
      <c r="BU26" s="140"/>
      <c r="BV26" s="557"/>
      <c r="BW26" s="557"/>
      <c r="BX26" s="140"/>
      <c r="BY26" s="1163"/>
      <c r="BZ26" s="140"/>
      <c r="CA26" s="140"/>
      <c r="CB26" s="140"/>
      <c r="CC26" s="1163"/>
      <c r="CD26" s="140"/>
      <c r="CE26" s="1163"/>
      <c r="CF26" s="140"/>
      <c r="CG26" s="140"/>
      <c r="CH26" s="140"/>
      <c r="CI26" s="140"/>
      <c r="CJ26" s="140"/>
      <c r="CK26" s="140"/>
      <c r="CL26" s="140"/>
      <c r="CM26" s="140"/>
      <c r="CN26" s="140"/>
      <c r="CO26" s="140"/>
      <c r="CP26" s="140"/>
      <c r="CQ26" s="140"/>
      <c r="CR26" s="140"/>
      <c r="CS26" s="140"/>
      <c r="CT26" s="140"/>
      <c r="CU26" s="140"/>
      <c r="CV26" s="140"/>
      <c r="CW26" s="140"/>
      <c r="CX26" s="140"/>
      <c r="CY26" s="557"/>
      <c r="CZ26" s="140"/>
      <c r="DA26" s="140"/>
      <c r="DB26" s="140"/>
      <c r="DC26" s="140"/>
      <c r="DD26" s="140"/>
      <c r="DE26" s="140"/>
      <c r="DF26" s="140"/>
      <c r="DG26" s="140"/>
      <c r="DH26" s="140"/>
      <c r="DI26" s="140"/>
      <c r="DJ26" s="140"/>
      <c r="DK26" s="140"/>
      <c r="DL26" s="140"/>
      <c r="DM26" s="140"/>
      <c r="DN26" s="140"/>
      <c r="DO26" s="140"/>
      <c r="DP26" s="140"/>
      <c r="DQ26" s="140"/>
      <c r="DR26" s="140"/>
      <c r="DS26" s="140"/>
      <c r="DT26" s="140"/>
      <c r="DU26" s="140"/>
      <c r="DV26" s="140"/>
      <c r="DW26" s="140"/>
      <c r="DX26" s="147"/>
    </row>
    <row r="27" ht="21.6" thickBot="true" x14ac:dyDescent="0.3">
      <c r="B27" s="744"/>
      <c r="C27" s="140"/>
      <c r="D27" s="761"/>
      <c r="E27" s="140"/>
      <c r="F27" s="140"/>
      <c r="G27" s="140"/>
      <c r="H27" s="1622">
        <v>1</v>
      </c>
      <c r="I27" s="1623"/>
      <c r="J27" s="1624"/>
      <c r="K27" s="1622">
        <v>2</v>
      </c>
      <c r="L27" s="1623"/>
      <c r="M27" s="1624"/>
      <c r="N27" s="1622">
        <v>3</v>
      </c>
      <c r="O27" s="1623"/>
      <c r="P27" s="1624"/>
      <c r="Q27" s="1622">
        <v>4</v>
      </c>
      <c r="R27" s="1623"/>
      <c r="S27" s="1624"/>
      <c r="T27" s="1622">
        <v>5</v>
      </c>
      <c r="U27" s="1623"/>
      <c r="V27" s="1624"/>
      <c r="W27" s="1622">
        <v>6</v>
      </c>
      <c r="X27" s="1623"/>
      <c r="Y27" s="1624"/>
      <c r="Z27" s="1622">
        <v>7</v>
      </c>
      <c r="AA27" s="1623"/>
      <c r="AB27" s="1624"/>
      <c r="AC27" s="1622">
        <v>8</v>
      </c>
      <c r="AD27" s="1623"/>
      <c r="AE27" s="1624"/>
      <c r="AF27" s="1622">
        <v>9</v>
      </c>
      <c r="AG27" s="1623"/>
      <c r="AH27" s="1624"/>
      <c r="AI27" s="1622">
        <v>10</v>
      </c>
      <c r="AJ27" s="1623"/>
      <c r="AK27" s="1624"/>
      <c r="AL27" s="1622">
        <v>11</v>
      </c>
      <c r="AM27" s="1623"/>
      <c r="AN27" s="1624"/>
      <c r="AO27" s="1622">
        <v>12</v>
      </c>
      <c r="AP27" s="1623"/>
      <c r="AQ27" s="1624"/>
      <c r="AR27" s="1622">
        <v>13</v>
      </c>
      <c r="AS27" s="1623"/>
      <c r="AT27" s="1624"/>
      <c r="AU27" s="1622">
        <v>14</v>
      </c>
      <c r="AV27" s="1623"/>
      <c r="AW27" s="1624"/>
      <c r="AX27" s="1622">
        <v>15</v>
      </c>
      <c r="AY27" s="1623"/>
      <c r="AZ27" s="1624"/>
      <c r="BA27" s="1622">
        <v>16</v>
      </c>
      <c r="BB27" s="1623"/>
      <c r="BC27" s="1624"/>
      <c r="BD27" s="1622">
        <v>17</v>
      </c>
      <c r="BE27" s="1623"/>
      <c r="BF27" s="1624"/>
      <c r="BG27" s="1622">
        <v>18</v>
      </c>
      <c r="BH27" s="1623"/>
      <c r="BI27" s="1624"/>
      <c r="BJ27" s="1622">
        <v>19</v>
      </c>
      <c r="BK27" s="1623"/>
      <c r="BL27" s="1624"/>
      <c r="BM27" s="1622">
        <v>20</v>
      </c>
      <c r="BN27" s="1623"/>
      <c r="BO27" s="1624"/>
      <c r="BP27" s="1622">
        <v>21</v>
      </c>
      <c r="BQ27" s="1623"/>
      <c r="BR27" s="1624"/>
      <c r="BS27" s="1622">
        <v>22</v>
      </c>
      <c r="BT27" s="1623"/>
      <c r="BU27" s="1624"/>
      <c r="BV27" s="1622">
        <v>23</v>
      </c>
      <c r="BW27" s="1623"/>
      <c r="BX27" s="1624"/>
      <c r="BY27" s="1622">
        <v>24</v>
      </c>
      <c r="BZ27" s="1623"/>
      <c r="CA27" s="1624"/>
      <c r="CB27" s="1622">
        <v>25</v>
      </c>
      <c r="CC27" s="1623"/>
      <c r="CD27" s="1624"/>
      <c r="CE27" s="1622">
        <v>26</v>
      </c>
      <c r="CF27" s="1623"/>
      <c r="CG27" s="1624"/>
      <c r="CH27" s="1622">
        <v>27</v>
      </c>
      <c r="CI27" s="1623"/>
      <c r="CJ27" s="1624"/>
      <c r="CK27" s="1622">
        <v>28</v>
      </c>
      <c r="CL27" s="1623"/>
      <c r="CM27" s="1624"/>
      <c r="CN27" s="1622">
        <v>29</v>
      </c>
      <c r="CO27" s="1623"/>
      <c r="CP27" s="1624"/>
      <c r="CQ27" s="1622">
        <v>30</v>
      </c>
      <c r="CR27" s="1623"/>
      <c r="CS27" s="1624"/>
      <c r="CT27" s="1622">
        <v>31</v>
      </c>
      <c r="CU27" s="1623"/>
      <c r="CV27" s="1624"/>
      <c r="CW27" s="1622">
        <v>32</v>
      </c>
      <c r="CX27" s="1623"/>
      <c r="CY27" s="1624"/>
      <c r="CZ27" s="1622">
        <v>33</v>
      </c>
      <c r="DA27" s="1623"/>
      <c r="DB27" s="1624"/>
      <c r="DC27" s="1622">
        <v>34</v>
      </c>
      <c r="DD27" s="1623"/>
      <c r="DE27" s="1624"/>
      <c r="DF27" s="1622">
        <v>35</v>
      </c>
      <c r="DG27" s="1623"/>
      <c r="DH27" s="1624"/>
      <c r="DI27" s="1622">
        <v>36</v>
      </c>
      <c r="DJ27" s="1623"/>
      <c r="DK27" s="1624"/>
      <c r="DL27" s="1622">
        <v>37</v>
      </c>
      <c r="DM27" s="1623"/>
      <c r="DN27" s="1624"/>
      <c r="DO27" s="1622">
        <v>38</v>
      </c>
      <c r="DP27" s="1623"/>
      <c r="DQ27" s="1624"/>
      <c r="DR27" s="1622">
        <v>39</v>
      </c>
      <c r="DS27" s="1623"/>
      <c r="DT27" s="1624"/>
      <c r="DU27" s="1622">
        <v>40</v>
      </c>
      <c r="DV27" s="1623"/>
      <c r="DW27" s="1624"/>
      <c r="DX27" s="770"/>
      <c r="DY27" s="771"/>
      <c r="DZ27" s="771"/>
      <c r="EA27" s="771"/>
      <c r="EB27" s="771"/>
      <c r="EC27" s="771"/>
      <c r="ED27" s="771"/>
      <c r="EE27" s="771"/>
      <c r="EF27" s="771"/>
      <c r="EG27" s="771"/>
      <c r="EH27" s="771"/>
      <c r="EI27" s="771"/>
      <c r="EJ27" s="771"/>
      <c r="EK27" s="771"/>
      <c r="EL27" s="771"/>
      <c r="EM27" s="771"/>
      <c r="EN27" s="771"/>
      <c r="EO27" s="771"/>
      <c r="EP27" s="771"/>
      <c r="EQ27" s="771"/>
      <c r="ER27" s="771"/>
      <c r="ES27" s="771"/>
      <c r="ET27" s="771"/>
      <c r="EU27" s="771"/>
      <c r="EV27" s="771"/>
      <c r="EW27" s="771"/>
      <c r="EX27" s="771"/>
      <c r="EY27" s="771"/>
      <c r="EZ27" s="771"/>
      <c r="FA27" s="771"/>
      <c r="FB27" s="771"/>
      <c r="FC27" s="771"/>
      <c r="FD27" s="771"/>
    </row>
    <row r="28" x14ac:dyDescent="0.3">
      <c r="B28" s="744"/>
      <c r="C28" s="140"/>
      <c r="D28" s="761"/>
      <c r="E28" s="140"/>
      <c r="F28" s="140"/>
      <c r="G28" s="140"/>
      <c r="H28" s="26" t="s">
        <v>1520</v>
      </c>
      <c r="I28" s="1017" t="s">
        <v>2412</v>
      </c>
      <c r="J28" s="1603"/>
      <c r="K28" s="26" t="s">
        <v>1520</v>
      </c>
      <c r="L28" s="1017"/>
      <c r="M28" s="1603"/>
      <c r="N28" s="26" t="s">
        <v>1520</v>
      </c>
      <c r="O28" s="1017"/>
      <c r="P28" s="1603"/>
      <c r="Q28" s="26" t="s">
        <v>1520</v>
      </c>
      <c r="R28" s="1017"/>
      <c r="S28" s="1603"/>
      <c r="T28" s="26" t="s">
        <v>1520</v>
      </c>
      <c r="U28" s="1017"/>
      <c r="V28" s="1603"/>
      <c r="W28" s="28" t="s">
        <v>1520</v>
      </c>
      <c r="X28" s="1018"/>
      <c r="Y28" s="1603"/>
      <c r="Z28" s="26" t="s">
        <v>1520</v>
      </c>
      <c r="AA28" s="1019"/>
      <c r="AB28" s="773"/>
      <c r="AC28" s="28" t="s">
        <v>1520</v>
      </c>
      <c r="AD28" s="1017"/>
      <c r="AE28" s="1603"/>
      <c r="AF28" s="26" t="s">
        <v>1520</v>
      </c>
      <c r="AG28" s="1017"/>
      <c r="AH28" s="1603"/>
      <c r="AI28" s="26" t="s">
        <v>1520</v>
      </c>
      <c r="AJ28" s="1017"/>
      <c r="AK28" s="1603"/>
      <c r="AL28" s="26" t="s">
        <v>1520</v>
      </c>
      <c r="AM28" s="1017"/>
      <c r="AN28" s="1603"/>
      <c r="AO28" s="26" t="s">
        <v>1520</v>
      </c>
      <c r="AP28" s="1017"/>
      <c r="AQ28" s="1603"/>
      <c r="AR28" s="26" t="s">
        <v>1520</v>
      </c>
      <c r="AS28" s="1017"/>
      <c r="AT28" s="1603"/>
      <c r="AU28" s="26" t="s">
        <v>1520</v>
      </c>
      <c r="AV28" s="1017"/>
      <c r="AW28" s="1603"/>
      <c r="AX28" s="26" t="s">
        <v>1520</v>
      </c>
      <c r="AY28" s="1017"/>
      <c r="AZ28" s="1603"/>
      <c r="BA28" s="26" t="s">
        <v>1520</v>
      </c>
      <c r="BB28" s="1017"/>
      <c r="BC28" s="1603"/>
      <c r="BD28" s="26" t="s">
        <v>1520</v>
      </c>
      <c r="BE28" s="1017"/>
      <c r="BF28" s="1603"/>
      <c r="BG28" s="26" t="s">
        <v>1520</v>
      </c>
      <c r="BH28" s="1017"/>
      <c r="BI28" s="1603"/>
      <c r="BJ28" s="26" t="s">
        <v>1520</v>
      </c>
      <c r="BK28" s="1017"/>
      <c r="BL28" s="1603"/>
      <c r="BM28" s="26" t="s">
        <v>1520</v>
      </c>
      <c r="BN28" s="1017"/>
      <c r="BO28" s="1603"/>
      <c r="BP28" s="26" t="s">
        <v>1520</v>
      </c>
      <c r="BQ28" s="1017"/>
      <c r="BR28" s="1603"/>
      <c r="BS28" s="26" t="s">
        <v>1520</v>
      </c>
      <c r="BT28" s="1017"/>
      <c r="BU28" s="1603"/>
      <c r="BV28" s="26" t="s">
        <v>1520</v>
      </c>
      <c r="BW28" s="1017"/>
      <c r="BX28" s="1603"/>
      <c r="BY28" s="26" t="s">
        <v>1520</v>
      </c>
      <c r="BZ28" s="1017"/>
      <c r="CA28" s="1603"/>
      <c r="CB28" s="26" t="s">
        <v>1520</v>
      </c>
      <c r="CC28" s="1017"/>
      <c r="CD28" s="1603"/>
      <c r="CE28" s="26" t="s">
        <v>1520</v>
      </c>
      <c r="CF28" s="1017"/>
      <c r="CG28" s="1603"/>
      <c r="CH28" s="26" t="s">
        <v>1520</v>
      </c>
      <c r="CI28" s="1017"/>
      <c r="CJ28" s="1603"/>
      <c r="CK28" s="26" t="s">
        <v>1520</v>
      </c>
      <c r="CL28" s="1017"/>
      <c r="CM28" s="1603"/>
      <c r="CN28" s="26" t="s">
        <v>1520</v>
      </c>
      <c r="CO28" s="1017"/>
      <c r="CP28" s="1603"/>
      <c r="CQ28" s="26" t="s">
        <v>1520</v>
      </c>
      <c r="CR28" s="1017"/>
      <c r="CS28" s="1603"/>
      <c r="CT28" s="26" t="s">
        <v>1520</v>
      </c>
      <c r="CU28" s="1017"/>
      <c r="CV28" s="1603"/>
      <c r="CW28" s="26" t="s">
        <v>1520</v>
      </c>
      <c r="CX28" s="1017"/>
      <c r="CY28" s="1603"/>
      <c r="CZ28" s="26" t="s">
        <v>1520</v>
      </c>
      <c r="DA28" s="1017"/>
      <c r="DB28" s="1603"/>
      <c r="DC28" s="26" t="s">
        <v>1520</v>
      </c>
      <c r="DD28" s="1017"/>
      <c r="DE28" s="1603"/>
      <c r="DF28" s="26" t="s">
        <v>1520</v>
      </c>
      <c r="DG28" s="1017"/>
      <c r="DH28" s="1603"/>
      <c r="DI28" s="26" t="s">
        <v>1520</v>
      </c>
      <c r="DJ28" s="1017"/>
      <c r="DK28" s="1603"/>
      <c r="DL28" s="26" t="s">
        <v>1520</v>
      </c>
      <c r="DM28" s="1017"/>
      <c r="DN28" s="1603"/>
      <c r="DO28" s="26" t="s">
        <v>1520</v>
      </c>
      <c r="DP28" s="1017"/>
      <c r="DQ28" s="1603"/>
      <c r="DR28" s="26" t="s">
        <v>1520</v>
      </c>
      <c r="DS28" s="1017"/>
      <c r="DT28" s="1603"/>
      <c r="DU28" s="26" t="s">
        <v>1520</v>
      </c>
      <c r="DV28" s="1017"/>
      <c r="DW28" s="1603"/>
      <c r="DX28" s="147"/>
    </row>
    <row r="29" x14ac:dyDescent="0.25">
      <c r="B29" s="744"/>
      <c r="C29" s="140"/>
      <c r="D29" s="761"/>
      <c r="E29" s="140"/>
      <c r="F29" s="140"/>
      <c r="G29" s="140"/>
      <c r="H29" s="17" t="s">
        <v>1309</v>
      </c>
      <c r="I29" s="1020" t="s">
        <v>2413</v>
      </c>
      <c r="J29" s="1604"/>
      <c r="K29" s="17" t="s">
        <v>1309</v>
      </c>
      <c r="L29" s="1020"/>
      <c r="M29" s="1604"/>
      <c r="N29" s="17" t="s">
        <v>1309</v>
      </c>
      <c r="O29" s="1020"/>
      <c r="P29" s="1604"/>
      <c r="Q29" s="17" t="s">
        <v>1309</v>
      </c>
      <c r="R29" s="1020"/>
      <c r="S29" s="1604"/>
      <c r="T29" s="17" t="s">
        <v>1309</v>
      </c>
      <c r="U29" s="1020"/>
      <c r="V29" s="1604"/>
      <c r="W29" s="29" t="s">
        <v>1309</v>
      </c>
      <c r="X29" s="1020"/>
      <c r="Y29" s="1604"/>
      <c r="Z29" s="17" t="s">
        <v>1309</v>
      </c>
      <c r="AA29" s="1021"/>
      <c r="AB29" s="774"/>
      <c r="AC29" s="29" t="s">
        <v>1309</v>
      </c>
      <c r="AD29" s="1020"/>
      <c r="AE29" s="1604"/>
      <c r="AF29" s="17" t="s">
        <v>1309</v>
      </c>
      <c r="AG29" s="1020"/>
      <c r="AH29" s="1604"/>
      <c r="AI29" s="17" t="s">
        <v>1309</v>
      </c>
      <c r="AJ29" s="1020"/>
      <c r="AK29" s="1604"/>
      <c r="AL29" s="17" t="s">
        <v>1309</v>
      </c>
      <c r="AM29" s="1020"/>
      <c r="AN29" s="1604"/>
      <c r="AO29" s="17" t="s">
        <v>1309</v>
      </c>
      <c r="AP29" s="1020"/>
      <c r="AQ29" s="1604"/>
      <c r="AR29" s="17" t="s">
        <v>1309</v>
      </c>
      <c r="AS29" s="1020"/>
      <c r="AT29" s="1604"/>
      <c r="AU29" s="17" t="s">
        <v>1309</v>
      </c>
      <c r="AV29" s="1020"/>
      <c r="AW29" s="1604"/>
      <c r="AX29" s="17" t="s">
        <v>1309</v>
      </c>
      <c r="AY29" s="1020"/>
      <c r="AZ29" s="1604"/>
      <c r="BA29" s="17" t="s">
        <v>1309</v>
      </c>
      <c r="BB29" s="1020"/>
      <c r="BC29" s="1604"/>
      <c r="BD29" s="17" t="s">
        <v>1309</v>
      </c>
      <c r="BE29" s="1020"/>
      <c r="BF29" s="1604"/>
      <c r="BG29" s="17" t="s">
        <v>1309</v>
      </c>
      <c r="BH29" s="1020"/>
      <c r="BI29" s="1604"/>
      <c r="BJ29" s="17" t="s">
        <v>1309</v>
      </c>
      <c r="BK29" s="1020"/>
      <c r="BL29" s="1604"/>
      <c r="BM29" s="17" t="s">
        <v>1309</v>
      </c>
      <c r="BN29" s="1020"/>
      <c r="BO29" s="1604"/>
      <c r="BP29" s="17" t="s">
        <v>1309</v>
      </c>
      <c r="BQ29" s="1020"/>
      <c r="BR29" s="1604"/>
      <c r="BS29" s="17" t="s">
        <v>1309</v>
      </c>
      <c r="BT29" s="1020"/>
      <c r="BU29" s="1604"/>
      <c r="BV29" s="17" t="s">
        <v>1309</v>
      </c>
      <c r="BW29" s="1020"/>
      <c r="BX29" s="1604"/>
      <c r="BY29" s="17" t="s">
        <v>1309</v>
      </c>
      <c r="BZ29" s="1020"/>
      <c r="CA29" s="1604"/>
      <c r="CB29" s="17" t="s">
        <v>1309</v>
      </c>
      <c r="CC29" s="1020"/>
      <c r="CD29" s="1604"/>
      <c r="CE29" s="17" t="s">
        <v>1309</v>
      </c>
      <c r="CF29" s="1020"/>
      <c r="CG29" s="1604"/>
      <c r="CH29" s="17" t="s">
        <v>1309</v>
      </c>
      <c r="CI29" s="1020"/>
      <c r="CJ29" s="1604"/>
      <c r="CK29" s="17" t="s">
        <v>1309</v>
      </c>
      <c r="CL29" s="1020"/>
      <c r="CM29" s="1604"/>
      <c r="CN29" s="17" t="s">
        <v>1309</v>
      </c>
      <c r="CO29" s="1020"/>
      <c r="CP29" s="1604"/>
      <c r="CQ29" s="17" t="s">
        <v>1309</v>
      </c>
      <c r="CR29" s="1020"/>
      <c r="CS29" s="1604"/>
      <c r="CT29" s="17" t="s">
        <v>1309</v>
      </c>
      <c r="CU29" s="1020"/>
      <c r="CV29" s="1604"/>
      <c r="CW29" s="17" t="s">
        <v>1309</v>
      </c>
      <c r="CX29" s="1020"/>
      <c r="CY29" s="1604"/>
      <c r="CZ29" s="17" t="s">
        <v>1309</v>
      </c>
      <c r="DA29" s="1020"/>
      <c r="DB29" s="1604"/>
      <c r="DC29" s="17" t="s">
        <v>1309</v>
      </c>
      <c r="DD29" s="1020"/>
      <c r="DE29" s="1604"/>
      <c r="DF29" s="17" t="s">
        <v>1309</v>
      </c>
      <c r="DG29" s="1020"/>
      <c r="DH29" s="1604"/>
      <c r="DI29" s="17" t="s">
        <v>1309</v>
      </c>
      <c r="DJ29" s="1020"/>
      <c r="DK29" s="1604"/>
      <c r="DL29" s="17" t="s">
        <v>1309</v>
      </c>
      <c r="DM29" s="1020"/>
      <c r="DN29" s="1604"/>
      <c r="DO29" s="17" t="s">
        <v>1309</v>
      </c>
      <c r="DP29" s="1020"/>
      <c r="DQ29" s="1604"/>
      <c r="DR29" s="17" t="s">
        <v>1309</v>
      </c>
      <c r="DS29" s="1020"/>
      <c r="DT29" s="1604"/>
      <c r="DU29" s="17" t="s">
        <v>1309</v>
      </c>
      <c r="DV29" s="1020"/>
      <c r="DW29" s="1604"/>
      <c r="DX29" s="147"/>
    </row>
    <row r="30" x14ac:dyDescent="0.25">
      <c r="B30" s="744"/>
      <c r="C30" s="140"/>
      <c r="D30" s="761"/>
      <c r="E30" s="140"/>
      <c r="F30" s="140"/>
      <c r="G30" s="140"/>
      <c r="H30" s="17" t="s">
        <v>28</v>
      </c>
      <c r="I30" s="1020" t="s">
        <v>1158</v>
      </c>
      <c r="J30" s="1605"/>
      <c r="K30" s="17" t="s">
        <v>28</v>
      </c>
      <c r="L30" s="1020"/>
      <c r="M30" s="1605"/>
      <c r="N30" s="17" t="s">
        <v>28</v>
      </c>
      <c r="O30" s="1020"/>
      <c r="P30" s="1605"/>
      <c r="Q30" s="17" t="s">
        <v>28</v>
      </c>
      <c r="R30" s="1020"/>
      <c r="S30" s="1605"/>
      <c r="T30" s="17" t="s">
        <v>28</v>
      </c>
      <c r="U30" s="1020"/>
      <c r="V30" s="1605"/>
      <c r="W30" s="29" t="s">
        <v>28</v>
      </c>
      <c r="X30" s="1020"/>
      <c r="Y30" s="1605"/>
      <c r="Z30" s="17" t="s">
        <v>28</v>
      </c>
      <c r="AA30" s="1020"/>
      <c r="AB30" s="1155"/>
      <c r="AC30" s="29" t="s">
        <v>28</v>
      </c>
      <c r="AD30" s="1020"/>
      <c r="AE30" s="1605"/>
      <c r="AF30" s="17" t="s">
        <v>28</v>
      </c>
      <c r="AG30" s="1020"/>
      <c r="AH30" s="1605"/>
      <c r="AI30" s="17" t="s">
        <v>28</v>
      </c>
      <c r="AJ30" s="1020"/>
      <c r="AK30" s="1605"/>
      <c r="AL30" s="17" t="s">
        <v>28</v>
      </c>
      <c r="AM30" s="1020"/>
      <c r="AN30" s="1605"/>
      <c r="AO30" s="17" t="s">
        <v>28</v>
      </c>
      <c r="AP30" s="1020"/>
      <c r="AQ30" s="1605"/>
      <c r="AR30" s="17" t="s">
        <v>28</v>
      </c>
      <c r="AS30" s="1020"/>
      <c r="AT30" s="1605"/>
      <c r="AU30" s="17" t="s">
        <v>28</v>
      </c>
      <c r="AV30" s="1020"/>
      <c r="AW30" s="1605"/>
      <c r="AX30" s="17" t="s">
        <v>28</v>
      </c>
      <c r="AY30" s="1020"/>
      <c r="AZ30" s="1605"/>
      <c r="BA30" s="17" t="s">
        <v>28</v>
      </c>
      <c r="BB30" s="1020"/>
      <c r="BC30" s="1605"/>
      <c r="BD30" s="17" t="s">
        <v>28</v>
      </c>
      <c r="BE30" s="1020"/>
      <c r="BF30" s="1605"/>
      <c r="BG30" s="17" t="s">
        <v>28</v>
      </c>
      <c r="BH30" s="1020"/>
      <c r="BI30" s="1605"/>
      <c r="BJ30" s="17" t="s">
        <v>28</v>
      </c>
      <c r="BK30" s="1020"/>
      <c r="BL30" s="1605"/>
      <c r="BM30" s="17" t="s">
        <v>28</v>
      </c>
      <c r="BN30" s="1020"/>
      <c r="BO30" s="1605"/>
      <c r="BP30" s="17" t="s">
        <v>28</v>
      </c>
      <c r="BQ30" s="1020"/>
      <c r="BR30" s="1605"/>
      <c r="BS30" s="17" t="s">
        <v>28</v>
      </c>
      <c r="BT30" s="1020"/>
      <c r="BU30" s="1605"/>
      <c r="BV30" s="17" t="s">
        <v>28</v>
      </c>
      <c r="BW30" s="1020"/>
      <c r="BX30" s="1605"/>
      <c r="BY30" s="17" t="s">
        <v>28</v>
      </c>
      <c r="BZ30" s="1020"/>
      <c r="CA30" s="1605"/>
      <c r="CB30" s="17" t="s">
        <v>28</v>
      </c>
      <c r="CC30" s="1020"/>
      <c r="CD30" s="1605"/>
      <c r="CE30" s="17" t="s">
        <v>28</v>
      </c>
      <c r="CF30" s="1020"/>
      <c r="CG30" s="1605"/>
      <c r="CH30" s="17" t="s">
        <v>28</v>
      </c>
      <c r="CI30" s="1020"/>
      <c r="CJ30" s="1605"/>
      <c r="CK30" s="17" t="s">
        <v>28</v>
      </c>
      <c r="CL30" s="1020"/>
      <c r="CM30" s="1605"/>
      <c r="CN30" s="17" t="s">
        <v>28</v>
      </c>
      <c r="CO30" s="1020"/>
      <c r="CP30" s="1605"/>
      <c r="CQ30" s="17" t="s">
        <v>28</v>
      </c>
      <c r="CR30" s="1020"/>
      <c r="CS30" s="1605"/>
      <c r="CT30" s="17" t="s">
        <v>28</v>
      </c>
      <c r="CU30" s="1020"/>
      <c r="CV30" s="1605"/>
      <c r="CW30" s="17" t="s">
        <v>28</v>
      </c>
      <c r="CX30" s="1020"/>
      <c r="CY30" s="1605"/>
      <c r="CZ30" s="17" t="s">
        <v>28</v>
      </c>
      <c r="DA30" s="1020"/>
      <c r="DB30" s="1605"/>
      <c r="DC30" s="17" t="s">
        <v>28</v>
      </c>
      <c r="DD30" s="1020"/>
      <c r="DE30" s="1605"/>
      <c r="DF30" s="17" t="s">
        <v>28</v>
      </c>
      <c r="DG30" s="1020"/>
      <c r="DH30" s="1605"/>
      <c r="DI30" s="17" t="s">
        <v>28</v>
      </c>
      <c r="DJ30" s="1020"/>
      <c r="DK30" s="1605"/>
      <c r="DL30" s="17" t="s">
        <v>28</v>
      </c>
      <c r="DM30" s="1020"/>
      <c r="DN30" s="1605"/>
      <c r="DO30" s="17" t="s">
        <v>28</v>
      </c>
      <c r="DP30" s="1020"/>
      <c r="DQ30" s="1605"/>
      <c r="DR30" s="17" t="s">
        <v>28</v>
      </c>
      <c r="DS30" s="1020"/>
      <c r="DT30" s="1605"/>
      <c r="DU30" s="17" t="s">
        <v>28</v>
      </c>
      <c r="DV30" s="1020"/>
      <c r="DW30" s="1605"/>
      <c r="DX30" s="147"/>
    </row>
    <row r="31" s="135" customFormat="true" ht="18" x14ac:dyDescent="0.25">
      <c r="B31" s="1083"/>
      <c r="C31" s="1084" t="s">
        <v>1469</v>
      </c>
      <c r="D31" s="1085" t="s">
        <v>2160</v>
      </c>
      <c r="E31" s="1086" t="s">
        <v>2159</v>
      </c>
      <c r="F31" s="1086" t="s">
        <v>204</v>
      </c>
      <c r="G31" s="1087" t="s">
        <v>186</v>
      </c>
      <c r="H31" s="1088" t="s">
        <v>1476</v>
      </c>
      <c r="I31" s="1089" t="s">
        <v>1478</v>
      </c>
      <c r="J31" s="1090" t="s">
        <v>1479</v>
      </c>
      <c r="K31" s="1088" t="s">
        <v>1476</v>
      </c>
      <c r="L31" s="1089" t="s">
        <v>1478</v>
      </c>
      <c r="M31" s="1090" t="s">
        <v>1479</v>
      </c>
      <c r="N31" s="1088" t="s">
        <v>1476</v>
      </c>
      <c r="O31" s="1089" t="s">
        <v>1478</v>
      </c>
      <c r="P31" s="1090" t="s">
        <v>1479</v>
      </c>
      <c r="Q31" s="1088" t="s">
        <v>1476</v>
      </c>
      <c r="R31" s="1089" t="s">
        <v>1478</v>
      </c>
      <c r="S31" s="1091" t="s">
        <v>1479</v>
      </c>
      <c r="T31" s="1088" t="s">
        <v>1476</v>
      </c>
      <c r="U31" s="1089" t="s">
        <v>1478</v>
      </c>
      <c r="V31" s="1090" t="s">
        <v>1479</v>
      </c>
      <c r="W31" s="1092" t="s">
        <v>1476</v>
      </c>
      <c r="X31" s="1089" t="s">
        <v>1478</v>
      </c>
      <c r="Y31" s="1090" t="s">
        <v>1479</v>
      </c>
      <c r="Z31" s="1088" t="s">
        <v>1476</v>
      </c>
      <c r="AA31" s="1089" t="s">
        <v>1478</v>
      </c>
      <c r="AB31" s="1093" t="s">
        <v>1479</v>
      </c>
      <c r="AC31" s="1092" t="s">
        <v>1476</v>
      </c>
      <c r="AD31" s="1089" t="s">
        <v>1478</v>
      </c>
      <c r="AE31" s="1090" t="s">
        <v>1479</v>
      </c>
      <c r="AF31" s="1088" t="s">
        <v>1476</v>
      </c>
      <c r="AG31" s="1089" t="s">
        <v>1478</v>
      </c>
      <c r="AH31" s="1090" t="s">
        <v>1479</v>
      </c>
      <c r="AI31" s="1088" t="s">
        <v>1476</v>
      </c>
      <c r="AJ31" s="1089" t="s">
        <v>1478</v>
      </c>
      <c r="AK31" s="1090" t="s">
        <v>1479</v>
      </c>
      <c r="AL31" s="1088" t="s">
        <v>1476</v>
      </c>
      <c r="AM31" s="1089" t="s">
        <v>1478</v>
      </c>
      <c r="AN31" s="1090" t="s">
        <v>1479</v>
      </c>
      <c r="AO31" s="1088" t="s">
        <v>1476</v>
      </c>
      <c r="AP31" s="1089" t="s">
        <v>1478</v>
      </c>
      <c r="AQ31" s="1090" t="s">
        <v>1479</v>
      </c>
      <c r="AR31" s="1088" t="s">
        <v>1476</v>
      </c>
      <c r="AS31" s="1089" t="s">
        <v>1478</v>
      </c>
      <c r="AT31" s="1090" t="s">
        <v>1479</v>
      </c>
      <c r="AU31" s="1088" t="s">
        <v>1476</v>
      </c>
      <c r="AV31" s="1089" t="s">
        <v>1478</v>
      </c>
      <c r="AW31" s="1090" t="s">
        <v>1479</v>
      </c>
      <c r="AX31" s="1088" t="s">
        <v>1476</v>
      </c>
      <c r="AY31" s="1089" t="s">
        <v>1478</v>
      </c>
      <c r="AZ31" s="1090" t="s">
        <v>1479</v>
      </c>
      <c r="BA31" s="1088" t="s">
        <v>1476</v>
      </c>
      <c r="BB31" s="1089" t="s">
        <v>1478</v>
      </c>
      <c r="BC31" s="1090" t="s">
        <v>1479</v>
      </c>
      <c r="BD31" s="1088" t="s">
        <v>1476</v>
      </c>
      <c r="BE31" s="1089" t="s">
        <v>1478</v>
      </c>
      <c r="BF31" s="1090" t="s">
        <v>1479</v>
      </c>
      <c r="BG31" s="1088" t="s">
        <v>1476</v>
      </c>
      <c r="BH31" s="1089" t="s">
        <v>1478</v>
      </c>
      <c r="BI31" s="1090" t="s">
        <v>1479</v>
      </c>
      <c r="BJ31" s="1088" t="s">
        <v>1476</v>
      </c>
      <c r="BK31" s="1089" t="s">
        <v>1478</v>
      </c>
      <c r="BL31" s="1090" t="s">
        <v>1479</v>
      </c>
      <c r="BM31" s="1088" t="s">
        <v>1476</v>
      </c>
      <c r="BN31" s="1089" t="s">
        <v>1478</v>
      </c>
      <c r="BO31" s="1090" t="s">
        <v>1479</v>
      </c>
      <c r="BP31" s="1088" t="s">
        <v>1476</v>
      </c>
      <c r="BQ31" s="1089" t="s">
        <v>1478</v>
      </c>
      <c r="BR31" s="1090" t="s">
        <v>1479</v>
      </c>
      <c r="BS31" s="1088" t="s">
        <v>1476</v>
      </c>
      <c r="BT31" s="1089" t="s">
        <v>1478</v>
      </c>
      <c r="BU31" s="1090" t="s">
        <v>1479</v>
      </c>
      <c r="BV31" s="1088" t="s">
        <v>1476</v>
      </c>
      <c r="BW31" s="1089" t="s">
        <v>1478</v>
      </c>
      <c r="BX31" s="1090" t="s">
        <v>1479</v>
      </c>
      <c r="BY31" s="1088" t="s">
        <v>1476</v>
      </c>
      <c r="BZ31" s="1089" t="s">
        <v>1478</v>
      </c>
      <c r="CA31" s="1090" t="s">
        <v>1479</v>
      </c>
      <c r="CB31" s="1088" t="s">
        <v>1476</v>
      </c>
      <c r="CC31" s="1089" t="s">
        <v>1478</v>
      </c>
      <c r="CD31" s="1090" t="s">
        <v>1479</v>
      </c>
      <c r="CE31" s="1088" t="s">
        <v>1476</v>
      </c>
      <c r="CF31" s="1089" t="s">
        <v>1478</v>
      </c>
      <c r="CG31" s="1090" t="s">
        <v>1479</v>
      </c>
      <c r="CH31" s="1088" t="s">
        <v>1476</v>
      </c>
      <c r="CI31" s="1089" t="s">
        <v>1478</v>
      </c>
      <c r="CJ31" s="1090" t="s">
        <v>1479</v>
      </c>
      <c r="CK31" s="1088" t="s">
        <v>1476</v>
      </c>
      <c r="CL31" s="1089" t="s">
        <v>1478</v>
      </c>
      <c r="CM31" s="1090" t="s">
        <v>1479</v>
      </c>
      <c r="CN31" s="1088" t="s">
        <v>1476</v>
      </c>
      <c r="CO31" s="1089" t="s">
        <v>1478</v>
      </c>
      <c r="CP31" s="1090" t="s">
        <v>1479</v>
      </c>
      <c r="CQ31" s="1088" t="s">
        <v>1476</v>
      </c>
      <c r="CR31" s="1089" t="s">
        <v>1478</v>
      </c>
      <c r="CS31" s="1090" t="s">
        <v>1479</v>
      </c>
      <c r="CT31" s="1088" t="s">
        <v>1476</v>
      </c>
      <c r="CU31" s="1089" t="s">
        <v>1478</v>
      </c>
      <c r="CV31" s="1090" t="s">
        <v>1479</v>
      </c>
      <c r="CW31" s="1088" t="s">
        <v>1476</v>
      </c>
      <c r="CX31" s="1089" t="s">
        <v>1478</v>
      </c>
      <c r="CY31" s="1090" t="s">
        <v>1479</v>
      </c>
      <c r="CZ31" s="1088" t="s">
        <v>1476</v>
      </c>
      <c r="DA31" s="1089" t="s">
        <v>1478</v>
      </c>
      <c r="DB31" s="1090" t="s">
        <v>1479</v>
      </c>
      <c r="DC31" s="1088" t="s">
        <v>1476</v>
      </c>
      <c r="DD31" s="1089" t="s">
        <v>1478</v>
      </c>
      <c r="DE31" s="1090" t="s">
        <v>1479</v>
      </c>
      <c r="DF31" s="1088" t="s">
        <v>1476</v>
      </c>
      <c r="DG31" s="1089" t="s">
        <v>1478</v>
      </c>
      <c r="DH31" s="1090" t="s">
        <v>1479</v>
      </c>
      <c r="DI31" s="1088" t="s">
        <v>1476</v>
      </c>
      <c r="DJ31" s="1089" t="s">
        <v>1478</v>
      </c>
      <c r="DK31" s="1090" t="s">
        <v>1479</v>
      </c>
      <c r="DL31" s="1088" t="s">
        <v>1476</v>
      </c>
      <c r="DM31" s="1089" t="s">
        <v>1478</v>
      </c>
      <c r="DN31" s="1090" t="s">
        <v>1479</v>
      </c>
      <c r="DO31" s="1088" t="s">
        <v>1476</v>
      </c>
      <c r="DP31" s="1089" t="s">
        <v>1478</v>
      </c>
      <c r="DQ31" s="1090" t="s">
        <v>1479</v>
      </c>
      <c r="DR31" s="1088" t="s">
        <v>1476</v>
      </c>
      <c r="DS31" s="1089" t="s">
        <v>1478</v>
      </c>
      <c r="DT31" s="1090" t="s">
        <v>1479</v>
      </c>
      <c r="DU31" s="1088" t="s">
        <v>1476</v>
      </c>
      <c r="DV31" s="1089" t="s">
        <v>1478</v>
      </c>
      <c r="DW31" s="1090" t="s">
        <v>1479</v>
      </c>
      <c r="DX31" s="1094"/>
    </row>
    <row r="32" ht="23.25" customHeight="true" x14ac:dyDescent="0.25">
      <c r="B32" s="744"/>
      <c r="C32" s="664">
        <v>1</v>
      </c>
      <c r="D32" s="1024" t="s">
        <v>2403</v>
      </c>
      <c r="E32" s="1025" t="s">
        <v>2406</v>
      </c>
      <c r="F32" s="1026">
        <v>44.009500000000003</v>
      </c>
      <c r="G32" s="1027" t="s">
        <v>1993</v>
      </c>
      <c r="H32" s="1028">
        <v>0</v>
      </c>
      <c r="I32" s="130">
        <f t="shared" ref="I32:I51" si="0">IF(F32&gt;0,H32/F32,"")</f>
        <v>0</v>
      </c>
      <c r="J32" s="1472">
        <f t="shared" ref="J32:J51" si="1">IF(I32="","",IF(I$82=0,0,I32/I$82))</f>
        <v>0</v>
      </c>
      <c r="K32" s="1028"/>
      <c r="L32" s="130">
        <f t="shared" ref="L32:L51" si="2">IF($F32&gt;0,K32/$F32,"")</f>
        <v>0</v>
      </c>
      <c r="M32" s="1472">
        <f t="shared" ref="M32:M51" si="3">IF(L32="","",IF(L$82=0,0,L32/L$82))</f>
        <v>0</v>
      </c>
      <c r="N32" s="1028"/>
      <c r="O32" s="130">
        <f t="shared" ref="O32:O51" si="4">IF($F32&gt;0,N32/$F32,"")</f>
        <v>0</v>
      </c>
      <c r="P32" s="1472">
        <f t="shared" ref="P32:P51" si="5">IF(O32="","",IF(O$82=0,0,O32/O$82))</f>
        <v>0</v>
      </c>
      <c r="Q32" s="1028"/>
      <c r="R32" s="130">
        <f t="shared" ref="R32:R51" si="6">IF($F32&gt;0,Q32/$F32,"")</f>
        <v>0</v>
      </c>
      <c r="S32" s="1473">
        <f t="shared" ref="S32:S51" si="7">IF(R32="","",IF(R$82=0,0,R32/R$82))</f>
        <v>0</v>
      </c>
      <c r="T32" s="1028"/>
      <c r="U32" s="130">
        <f t="shared" ref="U32:U51" si="8">IF($F32&gt;0,T32/$F32,"")</f>
        <v>0</v>
      </c>
      <c r="V32" s="1472">
        <f t="shared" ref="V32:V51" si="9">IF(U32="","",IF(U$82=0,0,U32/U$82))</f>
        <v>0</v>
      </c>
      <c r="W32" s="1029"/>
      <c r="X32" s="130">
        <f t="shared" ref="X32:X51" si="10">IF($F32&gt;0,W32/$F32,"")</f>
        <v>0</v>
      </c>
      <c r="Y32" s="5">
        <f t="shared" ref="Y32:Y51" si="11">IF(X32="","",IF(X$82=0,0,X32/X$82))</f>
        <v>0</v>
      </c>
      <c r="Z32" s="1028"/>
      <c r="AA32" s="130">
        <f t="shared" ref="AA32:AA51" si="12">IF($F32&gt;0,Z32/$F32,"")</f>
        <v>0</v>
      </c>
      <c r="AB32" s="5">
        <f t="shared" ref="AB32:AB51" si="13">IF(AA32="","",IF(AA$82=0,0,AA32/AA$82))</f>
        <v>0</v>
      </c>
      <c r="AC32" s="1029"/>
      <c r="AD32" s="130">
        <f>IF($F32&gt;0,AC32/$F32,"")</f>
        <v>0</v>
      </c>
      <c r="AE32" s="5">
        <f t="shared" ref="AE32:AE51" si="14">IF(AD32="","",IF(AD$82=0,0,AD32/AD$82))</f>
        <v>0</v>
      </c>
      <c r="AF32" s="1028"/>
      <c r="AG32" s="130">
        <f t="shared" ref="AG32:AG51" si="15">IF($F32&gt;0,AF32/$F32,"")</f>
        <v>0</v>
      </c>
      <c r="AH32" s="5">
        <f t="shared" ref="AH32:AH51" si="16">IF(AG32="","",IF(AG$82=0,0,AG32/AG$82))</f>
        <v>0</v>
      </c>
      <c r="AI32" s="1028"/>
      <c r="AJ32" s="130">
        <f t="shared" ref="AJ32:AJ51" si="17">IF($F32&gt;0,AI32/$F32,"")</f>
        <v>0</v>
      </c>
      <c r="AK32" s="5">
        <f t="shared" ref="AK32:AK51" si="18">IF(AJ32="","",IF(AJ$82=0,0,AJ32/AJ$82))</f>
        <v>0</v>
      </c>
      <c r="AL32" s="1028"/>
      <c r="AM32" s="130">
        <f t="shared" ref="AM32:AM51" si="19">IF($F32&gt;0,AL32/$F32,"")</f>
        <v>0</v>
      </c>
      <c r="AN32" s="5">
        <f t="shared" ref="AN32:AN51" si="20">IF(AM32="","",IF(AM$82=0,0,AM32/AM$82))</f>
        <v>0</v>
      </c>
      <c r="AO32" s="1028"/>
      <c r="AP32" s="130">
        <f t="shared" ref="AP32:AP51" si="21">IF($F32&gt;0,AO32/$F32,"")</f>
        <v>0</v>
      </c>
      <c r="AQ32" s="5">
        <f t="shared" ref="AQ32:AQ51" si="22">IF(AP32="","",IF(AP$82=0,0,AP32/AP$82))</f>
        <v>0</v>
      </c>
      <c r="AR32" s="1028"/>
      <c r="AS32" s="130">
        <f t="shared" ref="AS32:AS51" si="23">IF($F32&gt;0,AR32/$F32,"")</f>
        <v>0</v>
      </c>
      <c r="AT32" s="5">
        <f t="shared" ref="AT32:AT51" si="24">IF(AS32="","",IF(AS$82=0,0,AS32/AS$82))</f>
        <v>0</v>
      </c>
      <c r="AU32" s="1028"/>
      <c r="AV32" s="130">
        <f t="shared" ref="AV32:AV51" si="25">IF($F32&gt;0,AU32/$F32,"")</f>
        <v>0</v>
      </c>
      <c r="AW32" s="5">
        <f t="shared" ref="AW32:AW51" si="26">IF(AV32="","",IF(AV$82=0,0,AV32/AV$82))</f>
        <v>0</v>
      </c>
      <c r="AX32" s="1028"/>
      <c r="AY32" s="130">
        <f t="shared" ref="AY32:AY51" si="27">IF($F32&gt;0,AX32/$F32,"")</f>
        <v>0</v>
      </c>
      <c r="AZ32" s="5">
        <f t="shared" ref="AZ32:AZ51" si="28">IF(AY32="","",IF(AY$82=0,0,AY32/AY$82))</f>
        <v>0</v>
      </c>
      <c r="BA32" s="1028"/>
      <c r="BB32" s="130">
        <f t="shared" ref="BB32:BB51" si="29">IF($F32&gt;0,BA32/$F32,"")</f>
        <v>0</v>
      </c>
      <c r="BC32" s="5">
        <f t="shared" ref="BC32:BC51" si="30">IF(BB32="","",IF(BB$82=0,0,BB32/BB$82))</f>
        <v>0</v>
      </c>
      <c r="BD32" s="1028"/>
      <c r="BE32" s="130">
        <f t="shared" ref="BE32:BE51" si="31">IF($F32&gt;0,BD32/$F32,"")</f>
        <v>0</v>
      </c>
      <c r="BF32" s="5">
        <f t="shared" ref="BF32:BF51" si="32">IF(BE32="","",IF(BE$82=0,0,BE32/BE$82))</f>
        <v>0</v>
      </c>
      <c r="BG32" s="1028"/>
      <c r="BH32" s="130">
        <f t="shared" ref="BH32:BH51" si="33">IF($F32&gt;0,BG32/$F32,"")</f>
        <v>0</v>
      </c>
      <c r="BI32" s="5">
        <f t="shared" ref="BI32:BI51" si="34">IF(BH32="","",IF(BH$82=0,0,BH32/BH$82))</f>
        <v>0</v>
      </c>
      <c r="BJ32" s="1028"/>
      <c r="BK32" s="130">
        <f t="shared" ref="BK32:BK51" si="35">IF($F32&gt;0,BJ32/$F32,"")</f>
        <v>0</v>
      </c>
      <c r="BL32" s="5">
        <f t="shared" ref="BL32:BL51" si="36">IF(BK32="","",IF(BK$82=0,0,BK32/BK$82))</f>
        <v>0</v>
      </c>
      <c r="BM32" s="1028"/>
      <c r="BN32" s="130">
        <f t="shared" ref="BN32:BN51" si="37">IF($F32&gt;0,BM32/$F32,"")</f>
        <v>0</v>
      </c>
      <c r="BO32" s="5">
        <f t="shared" ref="BO32:BO51" si="38">IF(BN32="","",IF(BN$82=0,0,BN32/BN$82))</f>
        <v>0</v>
      </c>
      <c r="BP32" s="1028"/>
      <c r="BQ32" s="130">
        <f t="shared" ref="BQ32:BQ51" si="39">IF($F32&gt;0,BP32/$F32,"")</f>
        <v>0</v>
      </c>
      <c r="BR32" s="5">
        <f t="shared" ref="BR32:BR51" si="40">IF(BQ32="","",IF(BQ$82=0,0,BQ32/BQ$82))</f>
        <v>0</v>
      </c>
      <c r="BS32" s="1028"/>
      <c r="BT32" s="130">
        <f t="shared" ref="BT32:BT51" si="41">IF($F32&gt;0,BS32/$F32,"")</f>
        <v>0</v>
      </c>
      <c r="BU32" s="5">
        <f t="shared" ref="BU32:BU51" si="42">IF(BT32="","",IF(BT$82=0,0,BT32/BT$82))</f>
        <v>0</v>
      </c>
      <c r="BV32" s="1028"/>
      <c r="BW32" s="130">
        <f t="shared" ref="BW32:BW51" si="43">IF($F32&gt;0,BV32/$F32,"")</f>
        <v>0</v>
      </c>
      <c r="BX32" s="5">
        <f t="shared" ref="BX32:BX51" si="44">IF(BW32="","",IF(BW$82=0,0,BW32/BW$82))</f>
        <v>0</v>
      </c>
      <c r="BY32" s="1028"/>
      <c r="BZ32" s="130">
        <f t="shared" ref="BZ32:BZ51" si="45">IF($F32&gt;0,BY32/$F32,"")</f>
        <v>0</v>
      </c>
      <c r="CA32" s="5">
        <f t="shared" ref="CA32:CA51" si="46">IF(BZ32="","",IF(BZ$82=0,0,BZ32/BZ$82))</f>
        <v>0</v>
      </c>
      <c r="CB32" s="1028"/>
      <c r="CC32" s="130">
        <f t="shared" ref="CC32:CC51" si="47">IF($F32&gt;0,CB32/$F32,"")</f>
        <v>0</v>
      </c>
      <c r="CD32" s="5">
        <f t="shared" ref="CD32:CD51" si="48">IF(CC32="","",IF(CC$82=0,0,CC32/CC$82))</f>
        <v>0</v>
      </c>
      <c r="CE32" s="1028"/>
      <c r="CF32" s="130">
        <f t="shared" ref="CF32:CF51" si="49">IF($F32&gt;0,CE32/$F32,"")</f>
        <v>0</v>
      </c>
      <c r="CG32" s="5">
        <f t="shared" ref="CG32:CG51" si="50">IF(CF32="","",IF(CF$82=0,0,CF32/CF$82))</f>
        <v>0</v>
      </c>
      <c r="CH32" s="1028"/>
      <c r="CI32" s="130">
        <f t="shared" ref="CI32:CI51" si="51">IF($F32&gt;0,CH32/$F32,"")</f>
        <v>0</v>
      </c>
      <c r="CJ32" s="5">
        <f t="shared" ref="CJ32:CJ51" si="52">IF(CI32="","",IF(CI$82=0,0,CI32/CI$82))</f>
        <v>0</v>
      </c>
      <c r="CK32" s="1028"/>
      <c r="CL32" s="130">
        <f t="shared" ref="CL32:CL51" si="53">IF($F32&gt;0,CK32/$F32,"")</f>
        <v>0</v>
      </c>
      <c r="CM32" s="5">
        <f t="shared" ref="CM32:CM51" si="54">IF(CL32="","",IF(CL$82=0,0,CL32/CL$82))</f>
        <v>0</v>
      </c>
      <c r="CN32" s="1028"/>
      <c r="CO32" s="130">
        <f t="shared" ref="CO32:CO51" si="55">IF($F32&gt;0,CN32/$F32,"")</f>
        <v>0</v>
      </c>
      <c r="CP32" s="5">
        <f t="shared" ref="CP32:CP51" si="56">IF(CO32="","",IF(CO$82=0,0,CO32/CO$82))</f>
        <v>0</v>
      </c>
      <c r="CQ32" s="1028"/>
      <c r="CR32" s="130">
        <f t="shared" ref="CR32:CR51" si="57">IF($F32&gt;0,CQ32/$F32,"")</f>
        <v>0</v>
      </c>
      <c r="CS32" s="5">
        <f t="shared" ref="CS32:CS51" si="58">IF(CR32="","",IF(CR$82=0,0,CR32/CR$82))</f>
        <v>0</v>
      </c>
      <c r="CT32" s="1028"/>
      <c r="CU32" s="130">
        <f t="shared" ref="CU32:CU51" si="59">IF($F32&gt;0,CT32/$F32,"")</f>
        <v>0</v>
      </c>
      <c r="CV32" s="5">
        <f t="shared" ref="CV32:CV51" si="60">IF(CU32="","",IF(CU$82=0,0,CU32/CU$82))</f>
        <v>0</v>
      </c>
      <c r="CW32" s="1028"/>
      <c r="CX32" s="130">
        <f t="shared" ref="CX32:CX51" si="61">IF($F32&gt;0,CW32/$F32,"")</f>
        <v>0</v>
      </c>
      <c r="CY32" s="5">
        <f t="shared" ref="CY32:CY51" si="62">IF(CX32="","",IF(CX$82=0,0,CX32/CX$82))</f>
        <v>0</v>
      </c>
      <c r="CZ32" s="1028"/>
      <c r="DA32" s="130">
        <f t="shared" ref="DA32:DA51" si="63">IF($F32&gt;0,CZ32/$F32,"")</f>
        <v>0</v>
      </c>
      <c r="DB32" s="5">
        <f t="shared" ref="DB32:DB51" si="64">IF(DA32="","",IF(DA$82=0,0,DA32/DA$82))</f>
        <v>0</v>
      </c>
      <c r="DC32" s="1028"/>
      <c r="DD32" s="130">
        <f t="shared" ref="DD32:DD51" si="65">IF($F32&gt;0,DC32/$F32,"")</f>
        <v>0</v>
      </c>
      <c r="DE32" s="5">
        <f t="shared" ref="DE32:DE51" si="66">IF(DD32="","",IF(DD$82=0,0,DD32/DD$82))</f>
        <v>0</v>
      </c>
      <c r="DF32" s="1028"/>
      <c r="DG32" s="130">
        <f t="shared" ref="DG32:DG51" si="67">IF($F32&gt;0,DF32/$F32,"")</f>
        <v>0</v>
      </c>
      <c r="DH32" s="5">
        <f t="shared" ref="DH32:DH51" si="68">IF(DG32="","",IF(DG$82=0,0,DG32/DG$82))</f>
        <v>0</v>
      </c>
      <c r="DI32" s="1028"/>
      <c r="DJ32" s="130">
        <f t="shared" ref="DJ32:DJ51" si="69">IF($F32&gt;0,DI32/$F32,"")</f>
        <v>0</v>
      </c>
      <c r="DK32" s="5">
        <f t="shared" ref="DK32:DK51" si="70">IF(DJ32="","",IF(DJ$82=0,0,DJ32/DJ$82))</f>
        <v>0</v>
      </c>
      <c r="DL32" s="1028"/>
      <c r="DM32" s="130">
        <f t="shared" ref="DM32:DM51" si="71">IF($F32&gt;0,DL32/$F32,"")</f>
        <v>0</v>
      </c>
      <c r="DN32" s="5">
        <f t="shared" ref="DN32:DN51" si="72">IF(DM32="","",IF(DM$82=0,0,DM32/DM$82))</f>
        <v>0</v>
      </c>
      <c r="DO32" s="1028"/>
      <c r="DP32" s="130">
        <f t="shared" ref="DP32:DP51" si="73">IF($F32&gt;0,DO32/$F32,"")</f>
        <v>0</v>
      </c>
      <c r="DQ32" s="5">
        <f t="shared" ref="DQ32:DQ51" si="74">IF(DP32="","",IF(DP$82=0,0,DP32/DP$82))</f>
        <v>0</v>
      </c>
      <c r="DR32" s="1028"/>
      <c r="DS32" s="130">
        <f t="shared" ref="DS32:DS51" si="75">IF($F32&gt;0,DR32/$F32,"")</f>
        <v>0</v>
      </c>
      <c r="DT32" s="5">
        <f t="shared" ref="DT32:DT51" si="76">IF(DS32="","",IF(DS$82=0,0,DS32/DS$82))</f>
        <v>0</v>
      </c>
      <c r="DU32" s="1028"/>
      <c r="DV32" s="130">
        <f t="shared" ref="DV32:DV51" si="77">IF($F32&gt;0,DU32/$F32,"")</f>
        <v>0</v>
      </c>
      <c r="DW32" s="5">
        <f t="shared" ref="DW32:DW51" si="78">IF(DV32="","",IF(DV$82=0,0,DV32/DV$82))</f>
        <v>0</v>
      </c>
      <c r="DX32" s="147"/>
    </row>
    <row r="33" ht="23.25" customHeight="true" x14ac:dyDescent="0.25">
      <c r="B33" s="744"/>
      <c r="C33" s="664">
        <f t="shared" ref="C33:C39" si="79">C32+1</f>
        <v>2</v>
      </c>
      <c r="D33" s="1024" t="s">
        <v>77</v>
      </c>
      <c r="E33" s="1025" t="s">
        <v>87</v>
      </c>
      <c r="F33" s="1026">
        <v>18.0153</v>
      </c>
      <c r="G33" s="1027" t="s">
        <v>203</v>
      </c>
      <c r="H33" s="1028">
        <v>0</v>
      </c>
      <c r="I33" s="130">
        <f t="shared" si="0"/>
        <v>0</v>
      </c>
      <c r="J33" s="1472">
        <f t="shared" si="1"/>
        <v>0</v>
      </c>
      <c r="K33" s="1028"/>
      <c r="L33" s="130">
        <f t="shared" si="2"/>
        <v>0</v>
      </c>
      <c r="M33" s="1472">
        <f t="shared" si="3"/>
        <v>0</v>
      </c>
      <c r="N33" s="1028"/>
      <c r="O33" s="130">
        <f t="shared" si="4"/>
        <v>0</v>
      </c>
      <c r="P33" s="1472">
        <f t="shared" si="5"/>
        <v>0</v>
      </c>
      <c r="Q33" s="1028"/>
      <c r="R33" s="130">
        <f t="shared" si="6"/>
        <v>0</v>
      </c>
      <c r="S33" s="1473">
        <f t="shared" si="7"/>
        <v>0</v>
      </c>
      <c r="T33" s="1028"/>
      <c r="U33" s="130">
        <f t="shared" si="8"/>
        <v>0</v>
      </c>
      <c r="V33" s="1472">
        <f t="shared" si="9"/>
        <v>0</v>
      </c>
      <c r="W33" s="1029"/>
      <c r="X33" s="130">
        <f t="shared" si="10"/>
        <v>0</v>
      </c>
      <c r="Y33" s="5">
        <f t="shared" si="11"/>
        <v>0</v>
      </c>
      <c r="Z33" s="1028"/>
      <c r="AA33" s="130">
        <f t="shared" si="12"/>
        <v>0</v>
      </c>
      <c r="AB33" s="5">
        <f t="shared" si="13"/>
        <v>0</v>
      </c>
      <c r="AC33" s="1029"/>
      <c r="AD33" s="130">
        <f t="shared" ref="AD33:AD51" si="80">IF($F33&gt;0,AC33/$F33,"")</f>
        <v>0</v>
      </c>
      <c r="AE33" s="5">
        <f t="shared" si="14"/>
        <v>0</v>
      </c>
      <c r="AF33" s="1028"/>
      <c r="AG33" s="130">
        <f t="shared" si="15"/>
        <v>0</v>
      </c>
      <c r="AH33" s="5">
        <f t="shared" si="16"/>
        <v>0</v>
      </c>
      <c r="AI33" s="1028"/>
      <c r="AJ33" s="130">
        <f t="shared" si="17"/>
        <v>0</v>
      </c>
      <c r="AK33" s="5">
        <f t="shared" si="18"/>
        <v>0</v>
      </c>
      <c r="AL33" s="1028"/>
      <c r="AM33" s="130">
        <f t="shared" si="19"/>
        <v>0</v>
      </c>
      <c r="AN33" s="5">
        <f t="shared" si="20"/>
        <v>0</v>
      </c>
      <c r="AO33" s="1028"/>
      <c r="AP33" s="130">
        <f t="shared" si="21"/>
        <v>0</v>
      </c>
      <c r="AQ33" s="5">
        <f t="shared" si="22"/>
        <v>0</v>
      </c>
      <c r="AR33" s="1028"/>
      <c r="AS33" s="130">
        <f t="shared" si="23"/>
        <v>0</v>
      </c>
      <c r="AT33" s="5">
        <f t="shared" si="24"/>
        <v>0</v>
      </c>
      <c r="AU33" s="1028"/>
      <c r="AV33" s="130">
        <f t="shared" si="25"/>
        <v>0</v>
      </c>
      <c r="AW33" s="5">
        <f t="shared" si="26"/>
        <v>0</v>
      </c>
      <c r="AX33" s="1028"/>
      <c r="AY33" s="130">
        <f t="shared" si="27"/>
        <v>0</v>
      </c>
      <c r="AZ33" s="5">
        <f t="shared" si="28"/>
        <v>0</v>
      </c>
      <c r="BA33" s="1028"/>
      <c r="BB33" s="130">
        <f t="shared" si="29"/>
        <v>0</v>
      </c>
      <c r="BC33" s="5">
        <f t="shared" si="30"/>
        <v>0</v>
      </c>
      <c r="BD33" s="1028"/>
      <c r="BE33" s="130">
        <f t="shared" si="31"/>
        <v>0</v>
      </c>
      <c r="BF33" s="5">
        <f t="shared" si="32"/>
        <v>0</v>
      </c>
      <c r="BG33" s="1028"/>
      <c r="BH33" s="130">
        <f t="shared" si="33"/>
        <v>0</v>
      </c>
      <c r="BI33" s="5">
        <f t="shared" si="34"/>
        <v>0</v>
      </c>
      <c r="BJ33" s="1028"/>
      <c r="BK33" s="130">
        <f t="shared" si="35"/>
        <v>0</v>
      </c>
      <c r="BL33" s="5">
        <f t="shared" si="36"/>
        <v>0</v>
      </c>
      <c r="BM33" s="1028"/>
      <c r="BN33" s="130">
        <f t="shared" si="37"/>
        <v>0</v>
      </c>
      <c r="BO33" s="5">
        <f t="shared" si="38"/>
        <v>0</v>
      </c>
      <c r="BP33" s="1028"/>
      <c r="BQ33" s="130">
        <f t="shared" si="39"/>
        <v>0</v>
      </c>
      <c r="BR33" s="5">
        <f t="shared" si="40"/>
        <v>0</v>
      </c>
      <c r="BS33" s="1028"/>
      <c r="BT33" s="130">
        <f t="shared" si="41"/>
        <v>0</v>
      </c>
      <c r="BU33" s="5">
        <f t="shared" si="42"/>
        <v>0</v>
      </c>
      <c r="BV33" s="1028"/>
      <c r="BW33" s="130">
        <f t="shared" si="43"/>
        <v>0</v>
      </c>
      <c r="BX33" s="5">
        <f t="shared" si="44"/>
        <v>0</v>
      </c>
      <c r="BY33" s="1028"/>
      <c r="BZ33" s="130">
        <f t="shared" si="45"/>
        <v>0</v>
      </c>
      <c r="CA33" s="5">
        <f t="shared" si="46"/>
        <v>0</v>
      </c>
      <c r="CB33" s="1028"/>
      <c r="CC33" s="130">
        <f t="shared" si="47"/>
        <v>0</v>
      </c>
      <c r="CD33" s="5">
        <f t="shared" si="48"/>
        <v>0</v>
      </c>
      <c r="CE33" s="1028"/>
      <c r="CF33" s="130">
        <f t="shared" si="49"/>
        <v>0</v>
      </c>
      <c r="CG33" s="5">
        <f t="shared" si="50"/>
        <v>0</v>
      </c>
      <c r="CH33" s="1028"/>
      <c r="CI33" s="130">
        <f t="shared" si="51"/>
        <v>0</v>
      </c>
      <c r="CJ33" s="5">
        <f t="shared" si="52"/>
        <v>0</v>
      </c>
      <c r="CK33" s="1028"/>
      <c r="CL33" s="130">
        <f t="shared" si="53"/>
        <v>0</v>
      </c>
      <c r="CM33" s="5">
        <f t="shared" si="54"/>
        <v>0</v>
      </c>
      <c r="CN33" s="1028"/>
      <c r="CO33" s="130">
        <f t="shared" si="55"/>
        <v>0</v>
      </c>
      <c r="CP33" s="5">
        <f t="shared" si="56"/>
        <v>0</v>
      </c>
      <c r="CQ33" s="1028"/>
      <c r="CR33" s="130">
        <f t="shared" si="57"/>
        <v>0</v>
      </c>
      <c r="CS33" s="5">
        <f t="shared" si="58"/>
        <v>0</v>
      </c>
      <c r="CT33" s="1028"/>
      <c r="CU33" s="130">
        <f t="shared" si="59"/>
        <v>0</v>
      </c>
      <c r="CV33" s="5">
        <f t="shared" si="60"/>
        <v>0</v>
      </c>
      <c r="CW33" s="1028"/>
      <c r="CX33" s="130">
        <f t="shared" si="61"/>
        <v>0</v>
      </c>
      <c r="CY33" s="5">
        <f t="shared" si="62"/>
        <v>0</v>
      </c>
      <c r="CZ33" s="1028"/>
      <c r="DA33" s="130">
        <f t="shared" si="63"/>
        <v>0</v>
      </c>
      <c r="DB33" s="5">
        <f t="shared" si="64"/>
        <v>0</v>
      </c>
      <c r="DC33" s="1028"/>
      <c r="DD33" s="130">
        <f t="shared" si="65"/>
        <v>0</v>
      </c>
      <c r="DE33" s="5">
        <f t="shared" si="66"/>
        <v>0</v>
      </c>
      <c r="DF33" s="1028"/>
      <c r="DG33" s="130">
        <f t="shared" si="67"/>
        <v>0</v>
      </c>
      <c r="DH33" s="5">
        <f t="shared" si="68"/>
        <v>0</v>
      </c>
      <c r="DI33" s="1028"/>
      <c r="DJ33" s="130">
        <f t="shared" si="69"/>
        <v>0</v>
      </c>
      <c r="DK33" s="5">
        <f t="shared" si="70"/>
        <v>0</v>
      </c>
      <c r="DL33" s="1028"/>
      <c r="DM33" s="130">
        <f t="shared" si="71"/>
        <v>0</v>
      </c>
      <c r="DN33" s="5">
        <f t="shared" si="72"/>
        <v>0</v>
      </c>
      <c r="DO33" s="1028"/>
      <c r="DP33" s="130">
        <f t="shared" si="73"/>
        <v>0</v>
      </c>
      <c r="DQ33" s="5">
        <f t="shared" si="74"/>
        <v>0</v>
      </c>
      <c r="DR33" s="1028"/>
      <c r="DS33" s="130">
        <f t="shared" si="75"/>
        <v>0</v>
      </c>
      <c r="DT33" s="5">
        <f t="shared" si="76"/>
        <v>0</v>
      </c>
      <c r="DU33" s="1028"/>
      <c r="DV33" s="130">
        <f t="shared" si="77"/>
        <v>0</v>
      </c>
      <c r="DW33" s="5">
        <f t="shared" si="78"/>
        <v>0</v>
      </c>
      <c r="DX33" s="147"/>
    </row>
    <row r="34" ht="23.25" customHeight="true" x14ac:dyDescent="0.25">
      <c r="B34" s="744"/>
      <c r="C34" s="664">
        <f t="shared" si="79"/>
        <v>3</v>
      </c>
      <c r="D34" s="1024" t="s">
        <v>2404</v>
      </c>
      <c r="E34" s="1025" t="s">
        <v>2407</v>
      </c>
      <c r="F34" s="1026">
        <v>56.076999999999998</v>
      </c>
      <c r="G34" s="1027" t="s">
        <v>2409</v>
      </c>
      <c r="H34" s="1028">
        <v>0</v>
      </c>
      <c r="I34" s="130">
        <f t="shared" si="0"/>
        <v>0</v>
      </c>
      <c r="J34" s="1472">
        <f t="shared" si="1"/>
        <v>0</v>
      </c>
      <c r="K34" s="1028"/>
      <c r="L34" s="130">
        <f t="shared" si="2"/>
        <v>0</v>
      </c>
      <c r="M34" s="1472">
        <f t="shared" si="3"/>
        <v>0</v>
      </c>
      <c r="N34" s="1028"/>
      <c r="O34" s="130">
        <f t="shared" si="4"/>
        <v>0</v>
      </c>
      <c r="P34" s="1472">
        <f t="shared" si="5"/>
        <v>0</v>
      </c>
      <c r="Q34" s="1028"/>
      <c r="R34" s="130">
        <f t="shared" si="6"/>
        <v>0</v>
      </c>
      <c r="S34" s="1473">
        <f t="shared" si="7"/>
        <v>0</v>
      </c>
      <c r="T34" s="1028"/>
      <c r="U34" s="130">
        <f t="shared" si="8"/>
        <v>0</v>
      </c>
      <c r="V34" s="1472">
        <f t="shared" si="9"/>
        <v>0</v>
      </c>
      <c r="W34" s="1029"/>
      <c r="X34" s="130">
        <f t="shared" si="10"/>
        <v>0</v>
      </c>
      <c r="Y34" s="5">
        <f t="shared" si="11"/>
        <v>0</v>
      </c>
      <c r="Z34" s="1028"/>
      <c r="AA34" s="130">
        <f t="shared" si="12"/>
        <v>0</v>
      </c>
      <c r="AB34" s="5">
        <f t="shared" si="13"/>
        <v>0</v>
      </c>
      <c r="AC34" s="1029"/>
      <c r="AD34" s="130">
        <f t="shared" si="80"/>
        <v>0</v>
      </c>
      <c r="AE34" s="5">
        <f t="shared" si="14"/>
        <v>0</v>
      </c>
      <c r="AF34" s="1028"/>
      <c r="AG34" s="130">
        <f t="shared" si="15"/>
        <v>0</v>
      </c>
      <c r="AH34" s="5">
        <f t="shared" si="16"/>
        <v>0</v>
      </c>
      <c r="AI34" s="1028"/>
      <c r="AJ34" s="130">
        <f t="shared" si="17"/>
        <v>0</v>
      </c>
      <c r="AK34" s="5">
        <f t="shared" si="18"/>
        <v>0</v>
      </c>
      <c r="AL34" s="1028"/>
      <c r="AM34" s="130">
        <f t="shared" si="19"/>
        <v>0</v>
      </c>
      <c r="AN34" s="5">
        <f t="shared" si="20"/>
        <v>0</v>
      </c>
      <c r="AO34" s="1028"/>
      <c r="AP34" s="130">
        <f t="shared" si="21"/>
        <v>0</v>
      </c>
      <c r="AQ34" s="5">
        <f t="shared" si="22"/>
        <v>0</v>
      </c>
      <c r="AR34" s="1028"/>
      <c r="AS34" s="130">
        <f t="shared" si="23"/>
        <v>0</v>
      </c>
      <c r="AT34" s="5">
        <f t="shared" si="24"/>
        <v>0</v>
      </c>
      <c r="AU34" s="1028"/>
      <c r="AV34" s="130">
        <f t="shared" si="25"/>
        <v>0</v>
      </c>
      <c r="AW34" s="5">
        <f t="shared" si="26"/>
        <v>0</v>
      </c>
      <c r="AX34" s="1028"/>
      <c r="AY34" s="130">
        <f t="shared" si="27"/>
        <v>0</v>
      </c>
      <c r="AZ34" s="5">
        <f t="shared" si="28"/>
        <v>0</v>
      </c>
      <c r="BA34" s="1028"/>
      <c r="BB34" s="130">
        <f t="shared" si="29"/>
        <v>0</v>
      </c>
      <c r="BC34" s="5">
        <f t="shared" si="30"/>
        <v>0</v>
      </c>
      <c r="BD34" s="1028"/>
      <c r="BE34" s="130">
        <f t="shared" si="31"/>
        <v>0</v>
      </c>
      <c r="BF34" s="5">
        <f t="shared" si="32"/>
        <v>0</v>
      </c>
      <c r="BG34" s="1028"/>
      <c r="BH34" s="130">
        <f t="shared" si="33"/>
        <v>0</v>
      </c>
      <c r="BI34" s="5">
        <f t="shared" si="34"/>
        <v>0</v>
      </c>
      <c r="BJ34" s="1028"/>
      <c r="BK34" s="130">
        <f t="shared" si="35"/>
        <v>0</v>
      </c>
      <c r="BL34" s="5">
        <f t="shared" si="36"/>
        <v>0</v>
      </c>
      <c r="BM34" s="1028"/>
      <c r="BN34" s="130">
        <f t="shared" si="37"/>
        <v>0</v>
      </c>
      <c r="BO34" s="5">
        <f t="shared" si="38"/>
        <v>0</v>
      </c>
      <c r="BP34" s="1028"/>
      <c r="BQ34" s="130">
        <f t="shared" si="39"/>
        <v>0</v>
      </c>
      <c r="BR34" s="5">
        <f t="shared" si="40"/>
        <v>0</v>
      </c>
      <c r="BS34" s="1028"/>
      <c r="BT34" s="130">
        <f t="shared" si="41"/>
        <v>0</v>
      </c>
      <c r="BU34" s="5">
        <f t="shared" si="42"/>
        <v>0</v>
      </c>
      <c r="BV34" s="1028"/>
      <c r="BW34" s="130">
        <f t="shared" si="43"/>
        <v>0</v>
      </c>
      <c r="BX34" s="5">
        <f t="shared" si="44"/>
        <v>0</v>
      </c>
      <c r="BY34" s="1028"/>
      <c r="BZ34" s="130">
        <f t="shared" si="45"/>
        <v>0</v>
      </c>
      <c r="CA34" s="5">
        <f t="shared" si="46"/>
        <v>0</v>
      </c>
      <c r="CB34" s="1028"/>
      <c r="CC34" s="130">
        <f t="shared" si="47"/>
        <v>0</v>
      </c>
      <c r="CD34" s="5">
        <f t="shared" si="48"/>
        <v>0</v>
      </c>
      <c r="CE34" s="1028"/>
      <c r="CF34" s="130">
        <f t="shared" si="49"/>
        <v>0</v>
      </c>
      <c r="CG34" s="5">
        <f t="shared" si="50"/>
        <v>0</v>
      </c>
      <c r="CH34" s="1028"/>
      <c r="CI34" s="130">
        <f t="shared" si="51"/>
        <v>0</v>
      </c>
      <c r="CJ34" s="5">
        <f t="shared" si="52"/>
        <v>0</v>
      </c>
      <c r="CK34" s="1028"/>
      <c r="CL34" s="130">
        <f t="shared" si="53"/>
        <v>0</v>
      </c>
      <c r="CM34" s="5">
        <f t="shared" si="54"/>
        <v>0</v>
      </c>
      <c r="CN34" s="1028"/>
      <c r="CO34" s="130">
        <f t="shared" si="55"/>
        <v>0</v>
      </c>
      <c r="CP34" s="5">
        <f t="shared" si="56"/>
        <v>0</v>
      </c>
      <c r="CQ34" s="1028"/>
      <c r="CR34" s="130">
        <f t="shared" si="57"/>
        <v>0</v>
      </c>
      <c r="CS34" s="5">
        <f t="shared" si="58"/>
        <v>0</v>
      </c>
      <c r="CT34" s="1028"/>
      <c r="CU34" s="130">
        <f t="shared" si="59"/>
        <v>0</v>
      </c>
      <c r="CV34" s="5">
        <f t="shared" si="60"/>
        <v>0</v>
      </c>
      <c r="CW34" s="1028"/>
      <c r="CX34" s="130">
        <f t="shared" si="61"/>
        <v>0</v>
      </c>
      <c r="CY34" s="5">
        <f t="shared" si="62"/>
        <v>0</v>
      </c>
      <c r="CZ34" s="1028"/>
      <c r="DA34" s="130">
        <f t="shared" si="63"/>
        <v>0</v>
      </c>
      <c r="DB34" s="5">
        <f t="shared" si="64"/>
        <v>0</v>
      </c>
      <c r="DC34" s="1028"/>
      <c r="DD34" s="130">
        <f t="shared" si="65"/>
        <v>0</v>
      </c>
      <c r="DE34" s="5">
        <f t="shared" si="66"/>
        <v>0</v>
      </c>
      <c r="DF34" s="1028"/>
      <c r="DG34" s="130">
        <f t="shared" si="67"/>
        <v>0</v>
      </c>
      <c r="DH34" s="5">
        <f t="shared" si="68"/>
        <v>0</v>
      </c>
      <c r="DI34" s="1028"/>
      <c r="DJ34" s="130">
        <f t="shared" si="69"/>
        <v>0</v>
      </c>
      <c r="DK34" s="5">
        <f t="shared" si="70"/>
        <v>0</v>
      </c>
      <c r="DL34" s="1028"/>
      <c r="DM34" s="130">
        <f t="shared" si="71"/>
        <v>0</v>
      </c>
      <c r="DN34" s="5">
        <f t="shared" si="72"/>
        <v>0</v>
      </c>
      <c r="DO34" s="1028"/>
      <c r="DP34" s="130">
        <f t="shared" si="73"/>
        <v>0</v>
      </c>
      <c r="DQ34" s="5">
        <f t="shared" si="74"/>
        <v>0</v>
      </c>
      <c r="DR34" s="1028"/>
      <c r="DS34" s="130">
        <f t="shared" si="75"/>
        <v>0</v>
      </c>
      <c r="DT34" s="5">
        <f t="shared" si="76"/>
        <v>0</v>
      </c>
      <c r="DU34" s="1028"/>
      <c r="DV34" s="130">
        <f t="shared" si="77"/>
        <v>0</v>
      </c>
      <c r="DW34" s="5">
        <f t="shared" si="78"/>
        <v>0</v>
      </c>
      <c r="DX34" s="147"/>
    </row>
    <row r="35" ht="23.25" customHeight="true" x14ac:dyDescent="0.25">
      <c r="B35" s="744"/>
      <c r="C35" s="664">
        <f t="shared" si="79"/>
        <v>4</v>
      </c>
      <c r="D35" s="1024" t="s">
        <v>2405</v>
      </c>
      <c r="E35" s="1025" t="s">
        <v>2408</v>
      </c>
      <c r="F35" s="1026">
        <v>100.087</v>
      </c>
      <c r="G35" s="1027" t="s">
        <v>2410</v>
      </c>
      <c r="H35" s="1028">
        <v>6778.7792000553327</v>
      </c>
      <c r="I35" s="130">
        <f t="shared" si="0"/>
        <v>67.728867885492946</v>
      </c>
      <c r="J35" s="1472">
        <f t="shared" si="1"/>
        <v>1</v>
      </c>
      <c r="K35" s="1028"/>
      <c r="L35" s="130">
        <f t="shared" si="2"/>
        <v>0</v>
      </c>
      <c r="M35" s="1472">
        <f t="shared" si="3"/>
        <v>0</v>
      </c>
      <c r="N35" s="1028"/>
      <c r="O35" s="130">
        <f t="shared" si="4"/>
        <v>0</v>
      </c>
      <c r="P35" s="1472">
        <f t="shared" si="5"/>
        <v>0</v>
      </c>
      <c r="Q35" s="1028"/>
      <c r="R35" s="130">
        <f t="shared" si="6"/>
        <v>0</v>
      </c>
      <c r="S35" s="1473">
        <f t="shared" si="7"/>
        <v>0</v>
      </c>
      <c r="T35" s="1028"/>
      <c r="U35" s="130">
        <f t="shared" si="8"/>
        <v>0</v>
      </c>
      <c r="V35" s="1472">
        <f t="shared" si="9"/>
        <v>0</v>
      </c>
      <c r="W35" s="1029"/>
      <c r="X35" s="130">
        <f t="shared" si="10"/>
        <v>0</v>
      </c>
      <c r="Y35" s="5">
        <f t="shared" si="11"/>
        <v>0</v>
      </c>
      <c r="Z35" s="1028"/>
      <c r="AA35" s="130">
        <f t="shared" si="12"/>
        <v>0</v>
      </c>
      <c r="AB35" s="5">
        <f t="shared" si="13"/>
        <v>0</v>
      </c>
      <c r="AC35" s="1029"/>
      <c r="AD35" s="130">
        <f t="shared" si="80"/>
        <v>0</v>
      </c>
      <c r="AE35" s="5">
        <f t="shared" si="14"/>
        <v>0</v>
      </c>
      <c r="AF35" s="1028"/>
      <c r="AG35" s="130">
        <f t="shared" si="15"/>
        <v>0</v>
      </c>
      <c r="AH35" s="5">
        <f t="shared" si="16"/>
        <v>0</v>
      </c>
      <c r="AI35" s="1028"/>
      <c r="AJ35" s="130">
        <f t="shared" si="17"/>
        <v>0</v>
      </c>
      <c r="AK35" s="5">
        <f t="shared" si="18"/>
        <v>0</v>
      </c>
      <c r="AL35" s="1028"/>
      <c r="AM35" s="130">
        <f t="shared" si="19"/>
        <v>0</v>
      </c>
      <c r="AN35" s="5">
        <f t="shared" si="20"/>
        <v>0</v>
      </c>
      <c r="AO35" s="1028"/>
      <c r="AP35" s="130">
        <f t="shared" si="21"/>
        <v>0</v>
      </c>
      <c r="AQ35" s="5">
        <f t="shared" si="22"/>
        <v>0</v>
      </c>
      <c r="AR35" s="1028"/>
      <c r="AS35" s="130">
        <f t="shared" si="23"/>
        <v>0</v>
      </c>
      <c r="AT35" s="5">
        <f t="shared" si="24"/>
        <v>0</v>
      </c>
      <c r="AU35" s="1028"/>
      <c r="AV35" s="130">
        <f t="shared" si="25"/>
        <v>0</v>
      </c>
      <c r="AW35" s="5">
        <f t="shared" si="26"/>
        <v>0</v>
      </c>
      <c r="AX35" s="1028"/>
      <c r="AY35" s="130">
        <f t="shared" si="27"/>
        <v>0</v>
      </c>
      <c r="AZ35" s="5">
        <f t="shared" si="28"/>
        <v>0</v>
      </c>
      <c r="BA35" s="1028"/>
      <c r="BB35" s="130">
        <f t="shared" si="29"/>
        <v>0</v>
      </c>
      <c r="BC35" s="5">
        <f t="shared" si="30"/>
        <v>0</v>
      </c>
      <c r="BD35" s="1028"/>
      <c r="BE35" s="130">
        <f t="shared" si="31"/>
        <v>0</v>
      </c>
      <c r="BF35" s="5">
        <f t="shared" si="32"/>
        <v>0</v>
      </c>
      <c r="BG35" s="1028"/>
      <c r="BH35" s="130">
        <f t="shared" si="33"/>
        <v>0</v>
      </c>
      <c r="BI35" s="5">
        <f t="shared" si="34"/>
        <v>0</v>
      </c>
      <c r="BJ35" s="1028"/>
      <c r="BK35" s="130">
        <f t="shared" si="35"/>
        <v>0</v>
      </c>
      <c r="BL35" s="5">
        <f t="shared" si="36"/>
        <v>0</v>
      </c>
      <c r="BM35" s="1028"/>
      <c r="BN35" s="130">
        <f t="shared" si="37"/>
        <v>0</v>
      </c>
      <c r="BO35" s="5">
        <f t="shared" si="38"/>
        <v>0</v>
      </c>
      <c r="BP35" s="1028"/>
      <c r="BQ35" s="130">
        <f t="shared" si="39"/>
        <v>0</v>
      </c>
      <c r="BR35" s="5">
        <f t="shared" si="40"/>
        <v>0</v>
      </c>
      <c r="BS35" s="1028"/>
      <c r="BT35" s="130">
        <f t="shared" si="41"/>
        <v>0</v>
      </c>
      <c r="BU35" s="5">
        <f t="shared" si="42"/>
        <v>0</v>
      </c>
      <c r="BV35" s="1028"/>
      <c r="BW35" s="130">
        <f t="shared" si="43"/>
        <v>0</v>
      </c>
      <c r="BX35" s="5">
        <f t="shared" si="44"/>
        <v>0</v>
      </c>
      <c r="BY35" s="1028"/>
      <c r="BZ35" s="130">
        <f t="shared" si="45"/>
        <v>0</v>
      </c>
      <c r="CA35" s="5">
        <f t="shared" si="46"/>
        <v>0</v>
      </c>
      <c r="CB35" s="1028"/>
      <c r="CC35" s="130">
        <f t="shared" si="47"/>
        <v>0</v>
      </c>
      <c r="CD35" s="5">
        <f t="shared" si="48"/>
        <v>0</v>
      </c>
      <c r="CE35" s="1028"/>
      <c r="CF35" s="130">
        <f t="shared" si="49"/>
        <v>0</v>
      </c>
      <c r="CG35" s="5">
        <f t="shared" si="50"/>
        <v>0</v>
      </c>
      <c r="CH35" s="1028"/>
      <c r="CI35" s="130">
        <f t="shared" si="51"/>
        <v>0</v>
      </c>
      <c r="CJ35" s="5">
        <f t="shared" si="52"/>
        <v>0</v>
      </c>
      <c r="CK35" s="1028"/>
      <c r="CL35" s="130">
        <f t="shared" si="53"/>
        <v>0</v>
      </c>
      <c r="CM35" s="5">
        <f t="shared" si="54"/>
        <v>0</v>
      </c>
      <c r="CN35" s="1028"/>
      <c r="CO35" s="130">
        <f t="shared" si="55"/>
        <v>0</v>
      </c>
      <c r="CP35" s="5">
        <f t="shared" si="56"/>
        <v>0</v>
      </c>
      <c r="CQ35" s="1028"/>
      <c r="CR35" s="130">
        <f t="shared" si="57"/>
        <v>0</v>
      </c>
      <c r="CS35" s="5">
        <f t="shared" si="58"/>
        <v>0</v>
      </c>
      <c r="CT35" s="1028"/>
      <c r="CU35" s="130">
        <f t="shared" si="59"/>
        <v>0</v>
      </c>
      <c r="CV35" s="5">
        <f t="shared" si="60"/>
        <v>0</v>
      </c>
      <c r="CW35" s="1028"/>
      <c r="CX35" s="130">
        <f t="shared" si="61"/>
        <v>0</v>
      </c>
      <c r="CY35" s="5">
        <f t="shared" si="62"/>
        <v>0</v>
      </c>
      <c r="CZ35" s="1028"/>
      <c r="DA35" s="130">
        <f t="shared" si="63"/>
        <v>0</v>
      </c>
      <c r="DB35" s="5">
        <f t="shared" si="64"/>
        <v>0</v>
      </c>
      <c r="DC35" s="1028"/>
      <c r="DD35" s="130">
        <f t="shared" si="65"/>
        <v>0</v>
      </c>
      <c r="DE35" s="5">
        <f t="shared" si="66"/>
        <v>0</v>
      </c>
      <c r="DF35" s="1028"/>
      <c r="DG35" s="130">
        <f t="shared" si="67"/>
        <v>0</v>
      </c>
      <c r="DH35" s="5">
        <f t="shared" si="68"/>
        <v>0</v>
      </c>
      <c r="DI35" s="1028"/>
      <c r="DJ35" s="130">
        <f t="shared" si="69"/>
        <v>0</v>
      </c>
      <c r="DK35" s="5">
        <f t="shared" si="70"/>
        <v>0</v>
      </c>
      <c r="DL35" s="1028"/>
      <c r="DM35" s="130">
        <f t="shared" si="71"/>
        <v>0</v>
      </c>
      <c r="DN35" s="5">
        <f t="shared" si="72"/>
        <v>0</v>
      </c>
      <c r="DO35" s="1028"/>
      <c r="DP35" s="130">
        <f t="shared" si="73"/>
        <v>0</v>
      </c>
      <c r="DQ35" s="5">
        <f t="shared" si="74"/>
        <v>0</v>
      </c>
      <c r="DR35" s="1028"/>
      <c r="DS35" s="130">
        <f t="shared" si="75"/>
        <v>0</v>
      </c>
      <c r="DT35" s="5">
        <f t="shared" si="76"/>
        <v>0</v>
      </c>
      <c r="DU35" s="1028"/>
      <c r="DV35" s="130">
        <f t="shared" si="77"/>
        <v>0</v>
      </c>
      <c r="DW35" s="5">
        <f t="shared" si="78"/>
        <v>0</v>
      </c>
      <c r="DX35" s="147"/>
    </row>
    <row r="36" ht="23.25" customHeight="true" x14ac:dyDescent="0.25">
      <c r="B36" s="744"/>
      <c r="C36" s="664">
        <f t="shared" si="79"/>
        <v>5</v>
      </c>
      <c r="D36" s="1024"/>
      <c r="E36" s="1025"/>
      <c r="F36" s="1026"/>
      <c r="G36" s="1027"/>
      <c r="H36" s="1028"/>
      <c r="I36" s="130" t="str">
        <f t="shared" si="0"/>
        <v/>
      </c>
      <c r="J36" s="1472" t="str">
        <f t="shared" si="1"/>
        <v/>
      </c>
      <c r="K36" s="1028"/>
      <c r="L36" s="130" t="str">
        <f t="shared" si="2"/>
        <v/>
      </c>
      <c r="M36" s="1472" t="str">
        <f t="shared" si="3"/>
        <v/>
      </c>
      <c r="N36" s="1028"/>
      <c r="O36" s="130" t="str">
        <f t="shared" si="4"/>
        <v/>
      </c>
      <c r="P36" s="1472" t="str">
        <f t="shared" si="5"/>
        <v/>
      </c>
      <c r="Q36" s="1028"/>
      <c r="R36" s="130" t="str">
        <f t="shared" si="6"/>
        <v/>
      </c>
      <c r="S36" s="1473" t="str">
        <f t="shared" si="7"/>
        <v/>
      </c>
      <c r="T36" s="1028"/>
      <c r="U36" s="130" t="str">
        <f t="shared" si="8"/>
        <v/>
      </c>
      <c r="V36" s="1472" t="str">
        <f t="shared" si="9"/>
        <v/>
      </c>
      <c r="W36" s="1029"/>
      <c r="X36" s="130" t="str">
        <f t="shared" si="10"/>
        <v/>
      </c>
      <c r="Y36" s="5" t="str">
        <f t="shared" si="11"/>
        <v/>
      </c>
      <c r="Z36" s="1028"/>
      <c r="AA36" s="130" t="str">
        <f t="shared" si="12"/>
        <v/>
      </c>
      <c r="AB36" s="5" t="str">
        <f t="shared" si="13"/>
        <v/>
      </c>
      <c r="AC36" s="1029"/>
      <c r="AD36" s="130" t="str">
        <f t="shared" si="80"/>
        <v/>
      </c>
      <c r="AE36" s="5" t="str">
        <f t="shared" si="14"/>
        <v/>
      </c>
      <c r="AF36" s="1028"/>
      <c r="AG36" s="130" t="str">
        <f t="shared" si="15"/>
        <v/>
      </c>
      <c r="AH36" s="5" t="str">
        <f t="shared" si="16"/>
        <v/>
      </c>
      <c r="AI36" s="1028"/>
      <c r="AJ36" s="130" t="str">
        <f t="shared" si="17"/>
        <v/>
      </c>
      <c r="AK36" s="5" t="str">
        <f t="shared" si="18"/>
        <v/>
      </c>
      <c r="AL36" s="1028"/>
      <c r="AM36" s="130" t="str">
        <f t="shared" si="19"/>
        <v/>
      </c>
      <c r="AN36" s="5" t="str">
        <f t="shared" si="20"/>
        <v/>
      </c>
      <c r="AO36" s="1028"/>
      <c r="AP36" s="130" t="str">
        <f t="shared" si="21"/>
        <v/>
      </c>
      <c r="AQ36" s="5" t="str">
        <f t="shared" si="22"/>
        <v/>
      </c>
      <c r="AR36" s="1028"/>
      <c r="AS36" s="130" t="str">
        <f t="shared" si="23"/>
        <v/>
      </c>
      <c r="AT36" s="5" t="str">
        <f t="shared" si="24"/>
        <v/>
      </c>
      <c r="AU36" s="1028"/>
      <c r="AV36" s="130" t="str">
        <f t="shared" si="25"/>
        <v/>
      </c>
      <c r="AW36" s="5" t="str">
        <f t="shared" si="26"/>
        <v/>
      </c>
      <c r="AX36" s="1028"/>
      <c r="AY36" s="130" t="str">
        <f t="shared" si="27"/>
        <v/>
      </c>
      <c r="AZ36" s="5" t="str">
        <f t="shared" si="28"/>
        <v/>
      </c>
      <c r="BA36" s="1028"/>
      <c r="BB36" s="130" t="str">
        <f t="shared" si="29"/>
        <v/>
      </c>
      <c r="BC36" s="5" t="str">
        <f t="shared" si="30"/>
        <v/>
      </c>
      <c r="BD36" s="1028"/>
      <c r="BE36" s="130" t="str">
        <f t="shared" si="31"/>
        <v/>
      </c>
      <c r="BF36" s="5" t="str">
        <f t="shared" si="32"/>
        <v/>
      </c>
      <c r="BG36" s="1028"/>
      <c r="BH36" s="130" t="str">
        <f t="shared" si="33"/>
        <v/>
      </c>
      <c r="BI36" s="5" t="str">
        <f t="shared" si="34"/>
        <v/>
      </c>
      <c r="BJ36" s="1028"/>
      <c r="BK36" s="130" t="str">
        <f t="shared" si="35"/>
        <v/>
      </c>
      <c r="BL36" s="5" t="str">
        <f t="shared" si="36"/>
        <v/>
      </c>
      <c r="BM36" s="1028"/>
      <c r="BN36" s="130" t="str">
        <f t="shared" si="37"/>
        <v/>
      </c>
      <c r="BO36" s="5" t="str">
        <f t="shared" si="38"/>
        <v/>
      </c>
      <c r="BP36" s="1028"/>
      <c r="BQ36" s="130" t="str">
        <f t="shared" si="39"/>
        <v/>
      </c>
      <c r="BR36" s="5" t="str">
        <f t="shared" si="40"/>
        <v/>
      </c>
      <c r="BS36" s="1028"/>
      <c r="BT36" s="130" t="str">
        <f t="shared" si="41"/>
        <v/>
      </c>
      <c r="BU36" s="5" t="str">
        <f t="shared" si="42"/>
        <v/>
      </c>
      <c r="BV36" s="1028"/>
      <c r="BW36" s="130" t="str">
        <f t="shared" si="43"/>
        <v/>
      </c>
      <c r="BX36" s="5" t="str">
        <f t="shared" si="44"/>
        <v/>
      </c>
      <c r="BY36" s="1028"/>
      <c r="BZ36" s="130" t="str">
        <f t="shared" si="45"/>
        <v/>
      </c>
      <c r="CA36" s="5" t="str">
        <f t="shared" si="46"/>
        <v/>
      </c>
      <c r="CB36" s="1028"/>
      <c r="CC36" s="130" t="str">
        <f t="shared" si="47"/>
        <v/>
      </c>
      <c r="CD36" s="5" t="str">
        <f t="shared" si="48"/>
        <v/>
      </c>
      <c r="CE36" s="1028"/>
      <c r="CF36" s="130" t="str">
        <f t="shared" si="49"/>
        <v/>
      </c>
      <c r="CG36" s="5" t="str">
        <f t="shared" si="50"/>
        <v/>
      </c>
      <c r="CH36" s="1028"/>
      <c r="CI36" s="130" t="str">
        <f t="shared" si="51"/>
        <v/>
      </c>
      <c r="CJ36" s="5" t="str">
        <f t="shared" si="52"/>
        <v/>
      </c>
      <c r="CK36" s="1028"/>
      <c r="CL36" s="130" t="str">
        <f t="shared" si="53"/>
        <v/>
      </c>
      <c r="CM36" s="5" t="str">
        <f t="shared" si="54"/>
        <v/>
      </c>
      <c r="CN36" s="1028"/>
      <c r="CO36" s="130" t="str">
        <f t="shared" si="55"/>
        <v/>
      </c>
      <c r="CP36" s="5" t="str">
        <f t="shared" si="56"/>
        <v/>
      </c>
      <c r="CQ36" s="1028"/>
      <c r="CR36" s="130" t="str">
        <f t="shared" si="57"/>
        <v/>
      </c>
      <c r="CS36" s="5" t="str">
        <f t="shared" si="58"/>
        <v/>
      </c>
      <c r="CT36" s="1028"/>
      <c r="CU36" s="130" t="str">
        <f t="shared" si="59"/>
        <v/>
      </c>
      <c r="CV36" s="5" t="str">
        <f t="shared" si="60"/>
        <v/>
      </c>
      <c r="CW36" s="1028"/>
      <c r="CX36" s="130" t="str">
        <f t="shared" si="61"/>
        <v/>
      </c>
      <c r="CY36" s="5" t="str">
        <f t="shared" si="62"/>
        <v/>
      </c>
      <c r="CZ36" s="1028"/>
      <c r="DA36" s="130" t="str">
        <f t="shared" si="63"/>
        <v/>
      </c>
      <c r="DB36" s="5" t="str">
        <f t="shared" si="64"/>
        <v/>
      </c>
      <c r="DC36" s="1028"/>
      <c r="DD36" s="130" t="str">
        <f t="shared" si="65"/>
        <v/>
      </c>
      <c r="DE36" s="5" t="str">
        <f t="shared" si="66"/>
        <v/>
      </c>
      <c r="DF36" s="1028"/>
      <c r="DG36" s="130" t="str">
        <f t="shared" si="67"/>
        <v/>
      </c>
      <c r="DH36" s="5" t="str">
        <f t="shared" si="68"/>
        <v/>
      </c>
      <c r="DI36" s="1028"/>
      <c r="DJ36" s="130" t="str">
        <f t="shared" si="69"/>
        <v/>
      </c>
      <c r="DK36" s="5" t="str">
        <f t="shared" si="70"/>
        <v/>
      </c>
      <c r="DL36" s="1028"/>
      <c r="DM36" s="130" t="str">
        <f t="shared" si="71"/>
        <v/>
      </c>
      <c r="DN36" s="5" t="str">
        <f t="shared" si="72"/>
        <v/>
      </c>
      <c r="DO36" s="1028"/>
      <c r="DP36" s="130" t="str">
        <f t="shared" si="73"/>
        <v/>
      </c>
      <c r="DQ36" s="5" t="str">
        <f t="shared" si="74"/>
        <v/>
      </c>
      <c r="DR36" s="1028"/>
      <c r="DS36" s="130" t="str">
        <f t="shared" si="75"/>
        <v/>
      </c>
      <c r="DT36" s="5" t="str">
        <f t="shared" si="76"/>
        <v/>
      </c>
      <c r="DU36" s="1028"/>
      <c r="DV36" s="130" t="str">
        <f t="shared" si="77"/>
        <v/>
      </c>
      <c r="DW36" s="5" t="str">
        <f t="shared" si="78"/>
        <v/>
      </c>
      <c r="DX36" s="147"/>
    </row>
    <row r="37" s="776" customFormat="true" ht="23.25" customHeight="true" x14ac:dyDescent="0.25">
      <c r="A37" s="8"/>
      <c r="B37" s="744"/>
      <c r="C37" s="664">
        <f t="shared" si="79"/>
        <v>6</v>
      </c>
      <c r="D37" s="1024"/>
      <c r="E37" s="1025"/>
      <c r="F37" s="1026"/>
      <c r="G37" s="1027"/>
      <c r="H37" s="1028"/>
      <c r="I37" s="130" t="str">
        <f t="shared" si="0"/>
        <v/>
      </c>
      <c r="J37" s="1472" t="str">
        <f t="shared" si="1"/>
        <v/>
      </c>
      <c r="K37" s="1028"/>
      <c r="L37" s="130" t="str">
        <f t="shared" si="2"/>
        <v/>
      </c>
      <c r="M37" s="1472" t="str">
        <f t="shared" si="3"/>
        <v/>
      </c>
      <c r="N37" s="1028"/>
      <c r="O37" s="130" t="str">
        <f t="shared" si="4"/>
        <v/>
      </c>
      <c r="P37" s="1472" t="str">
        <f t="shared" si="5"/>
        <v/>
      </c>
      <c r="Q37" s="1028"/>
      <c r="R37" s="130" t="str">
        <f t="shared" si="6"/>
        <v/>
      </c>
      <c r="S37" s="1473" t="str">
        <f t="shared" si="7"/>
        <v/>
      </c>
      <c r="T37" s="1028"/>
      <c r="U37" s="130" t="str">
        <f t="shared" si="8"/>
        <v/>
      </c>
      <c r="V37" s="1472" t="str">
        <f t="shared" si="9"/>
        <v/>
      </c>
      <c r="W37" s="1029"/>
      <c r="X37" s="130" t="str">
        <f t="shared" si="10"/>
        <v/>
      </c>
      <c r="Y37" s="5" t="str">
        <f t="shared" si="11"/>
        <v/>
      </c>
      <c r="Z37" s="1028"/>
      <c r="AA37" s="130" t="str">
        <f t="shared" si="12"/>
        <v/>
      </c>
      <c r="AB37" s="5" t="str">
        <f t="shared" si="13"/>
        <v/>
      </c>
      <c r="AC37" s="1029"/>
      <c r="AD37" s="130" t="str">
        <f t="shared" si="80"/>
        <v/>
      </c>
      <c r="AE37" s="5" t="str">
        <f t="shared" si="14"/>
        <v/>
      </c>
      <c r="AF37" s="1028"/>
      <c r="AG37" s="130" t="str">
        <f t="shared" si="15"/>
        <v/>
      </c>
      <c r="AH37" s="5" t="str">
        <f t="shared" si="16"/>
        <v/>
      </c>
      <c r="AI37" s="1028"/>
      <c r="AJ37" s="130" t="str">
        <f t="shared" si="17"/>
        <v/>
      </c>
      <c r="AK37" s="5" t="str">
        <f t="shared" si="18"/>
        <v/>
      </c>
      <c r="AL37" s="1028"/>
      <c r="AM37" s="130" t="str">
        <f t="shared" si="19"/>
        <v/>
      </c>
      <c r="AN37" s="5" t="str">
        <f t="shared" si="20"/>
        <v/>
      </c>
      <c r="AO37" s="1028"/>
      <c r="AP37" s="130" t="str">
        <f t="shared" si="21"/>
        <v/>
      </c>
      <c r="AQ37" s="5" t="str">
        <f t="shared" si="22"/>
        <v/>
      </c>
      <c r="AR37" s="1028"/>
      <c r="AS37" s="130" t="str">
        <f t="shared" si="23"/>
        <v/>
      </c>
      <c r="AT37" s="5" t="str">
        <f t="shared" si="24"/>
        <v/>
      </c>
      <c r="AU37" s="1028"/>
      <c r="AV37" s="130" t="str">
        <f t="shared" si="25"/>
        <v/>
      </c>
      <c r="AW37" s="5" t="str">
        <f t="shared" si="26"/>
        <v/>
      </c>
      <c r="AX37" s="1028"/>
      <c r="AY37" s="130" t="str">
        <f t="shared" si="27"/>
        <v/>
      </c>
      <c r="AZ37" s="5" t="str">
        <f t="shared" si="28"/>
        <v/>
      </c>
      <c r="BA37" s="1028"/>
      <c r="BB37" s="130" t="str">
        <f t="shared" si="29"/>
        <v/>
      </c>
      <c r="BC37" s="5" t="str">
        <f t="shared" si="30"/>
        <v/>
      </c>
      <c r="BD37" s="1028"/>
      <c r="BE37" s="130" t="str">
        <f t="shared" si="31"/>
        <v/>
      </c>
      <c r="BF37" s="5" t="str">
        <f t="shared" si="32"/>
        <v/>
      </c>
      <c r="BG37" s="1028"/>
      <c r="BH37" s="130" t="str">
        <f t="shared" si="33"/>
        <v/>
      </c>
      <c r="BI37" s="5" t="str">
        <f t="shared" si="34"/>
        <v/>
      </c>
      <c r="BJ37" s="1028"/>
      <c r="BK37" s="130" t="str">
        <f t="shared" si="35"/>
        <v/>
      </c>
      <c r="BL37" s="5" t="str">
        <f t="shared" si="36"/>
        <v/>
      </c>
      <c r="BM37" s="1028"/>
      <c r="BN37" s="130" t="str">
        <f t="shared" si="37"/>
        <v/>
      </c>
      <c r="BO37" s="5" t="str">
        <f t="shared" si="38"/>
        <v/>
      </c>
      <c r="BP37" s="1028"/>
      <c r="BQ37" s="130" t="str">
        <f t="shared" si="39"/>
        <v/>
      </c>
      <c r="BR37" s="5" t="str">
        <f t="shared" si="40"/>
        <v/>
      </c>
      <c r="BS37" s="1028"/>
      <c r="BT37" s="130" t="str">
        <f t="shared" si="41"/>
        <v/>
      </c>
      <c r="BU37" s="5" t="str">
        <f t="shared" si="42"/>
        <v/>
      </c>
      <c r="BV37" s="1028"/>
      <c r="BW37" s="130" t="str">
        <f t="shared" si="43"/>
        <v/>
      </c>
      <c r="BX37" s="5" t="str">
        <f t="shared" si="44"/>
        <v/>
      </c>
      <c r="BY37" s="1028"/>
      <c r="BZ37" s="130" t="str">
        <f t="shared" si="45"/>
        <v/>
      </c>
      <c r="CA37" s="5" t="str">
        <f t="shared" si="46"/>
        <v/>
      </c>
      <c r="CB37" s="1028"/>
      <c r="CC37" s="130" t="str">
        <f t="shared" si="47"/>
        <v/>
      </c>
      <c r="CD37" s="5" t="str">
        <f t="shared" si="48"/>
        <v/>
      </c>
      <c r="CE37" s="1028"/>
      <c r="CF37" s="130" t="str">
        <f t="shared" si="49"/>
        <v/>
      </c>
      <c r="CG37" s="5" t="str">
        <f t="shared" si="50"/>
        <v/>
      </c>
      <c r="CH37" s="1028"/>
      <c r="CI37" s="130" t="str">
        <f t="shared" si="51"/>
        <v/>
      </c>
      <c r="CJ37" s="5" t="str">
        <f t="shared" si="52"/>
        <v/>
      </c>
      <c r="CK37" s="1028"/>
      <c r="CL37" s="130" t="str">
        <f t="shared" si="53"/>
        <v/>
      </c>
      <c r="CM37" s="5" t="str">
        <f t="shared" si="54"/>
        <v/>
      </c>
      <c r="CN37" s="1028"/>
      <c r="CO37" s="130" t="str">
        <f t="shared" si="55"/>
        <v/>
      </c>
      <c r="CP37" s="5" t="str">
        <f t="shared" si="56"/>
        <v/>
      </c>
      <c r="CQ37" s="1028"/>
      <c r="CR37" s="130" t="str">
        <f t="shared" si="57"/>
        <v/>
      </c>
      <c r="CS37" s="5" t="str">
        <f t="shared" si="58"/>
        <v/>
      </c>
      <c r="CT37" s="1028"/>
      <c r="CU37" s="130" t="str">
        <f t="shared" si="59"/>
        <v/>
      </c>
      <c r="CV37" s="5" t="str">
        <f t="shared" si="60"/>
        <v/>
      </c>
      <c r="CW37" s="1028"/>
      <c r="CX37" s="130" t="str">
        <f t="shared" si="61"/>
        <v/>
      </c>
      <c r="CY37" s="5" t="str">
        <f t="shared" si="62"/>
        <v/>
      </c>
      <c r="CZ37" s="1028"/>
      <c r="DA37" s="130" t="str">
        <f t="shared" si="63"/>
        <v/>
      </c>
      <c r="DB37" s="5" t="str">
        <f t="shared" si="64"/>
        <v/>
      </c>
      <c r="DC37" s="1028"/>
      <c r="DD37" s="130" t="str">
        <f t="shared" si="65"/>
        <v/>
      </c>
      <c r="DE37" s="5" t="str">
        <f t="shared" si="66"/>
        <v/>
      </c>
      <c r="DF37" s="1028"/>
      <c r="DG37" s="130" t="str">
        <f t="shared" si="67"/>
        <v/>
      </c>
      <c r="DH37" s="5" t="str">
        <f t="shared" si="68"/>
        <v/>
      </c>
      <c r="DI37" s="1028"/>
      <c r="DJ37" s="130" t="str">
        <f t="shared" si="69"/>
        <v/>
      </c>
      <c r="DK37" s="5" t="str">
        <f t="shared" si="70"/>
        <v/>
      </c>
      <c r="DL37" s="1028"/>
      <c r="DM37" s="130" t="str">
        <f t="shared" si="71"/>
        <v/>
      </c>
      <c r="DN37" s="5" t="str">
        <f t="shared" si="72"/>
        <v/>
      </c>
      <c r="DO37" s="1028"/>
      <c r="DP37" s="130" t="str">
        <f t="shared" si="73"/>
        <v/>
      </c>
      <c r="DQ37" s="5" t="str">
        <f t="shared" si="74"/>
        <v/>
      </c>
      <c r="DR37" s="1028"/>
      <c r="DS37" s="130" t="str">
        <f t="shared" si="75"/>
        <v/>
      </c>
      <c r="DT37" s="5" t="str">
        <f t="shared" si="76"/>
        <v/>
      </c>
      <c r="DU37" s="1028"/>
      <c r="DV37" s="130" t="str">
        <f t="shared" si="77"/>
        <v/>
      </c>
      <c r="DW37" s="5" t="str">
        <f t="shared" si="78"/>
        <v/>
      </c>
      <c r="DX37" s="775"/>
    </row>
    <row r="38" ht="23.25" customHeight="true" x14ac:dyDescent="0.25">
      <c r="B38" s="744"/>
      <c r="C38" s="664">
        <f t="shared" si="79"/>
        <v>7</v>
      </c>
      <c r="D38" s="1024"/>
      <c r="E38" s="1025"/>
      <c r="F38" s="1026"/>
      <c r="G38" s="1027"/>
      <c r="H38" s="1028"/>
      <c r="I38" s="130" t="str">
        <f>IF(F38&gt;0,H38/F38,"")</f>
        <v/>
      </c>
      <c r="J38" s="1472" t="str">
        <f t="shared" si="1"/>
        <v/>
      </c>
      <c r="K38" s="1028"/>
      <c r="L38" s="130" t="str">
        <f t="shared" si="2"/>
        <v/>
      </c>
      <c r="M38" s="1472" t="str">
        <f t="shared" si="3"/>
        <v/>
      </c>
      <c r="N38" s="1028"/>
      <c r="O38" s="130" t="str">
        <f t="shared" si="4"/>
        <v/>
      </c>
      <c r="P38" s="1472" t="str">
        <f t="shared" si="5"/>
        <v/>
      </c>
      <c r="Q38" s="1028"/>
      <c r="R38" s="130" t="str">
        <f t="shared" si="6"/>
        <v/>
      </c>
      <c r="S38" s="1473" t="str">
        <f t="shared" si="7"/>
        <v/>
      </c>
      <c r="T38" s="1028"/>
      <c r="U38" s="130" t="str">
        <f t="shared" si="8"/>
        <v/>
      </c>
      <c r="V38" s="1472" t="str">
        <f t="shared" si="9"/>
        <v/>
      </c>
      <c r="W38" s="1029"/>
      <c r="X38" s="130" t="str">
        <f t="shared" si="10"/>
        <v/>
      </c>
      <c r="Y38" s="5" t="str">
        <f t="shared" si="11"/>
        <v/>
      </c>
      <c r="Z38" s="1028"/>
      <c r="AA38" s="130" t="str">
        <f t="shared" si="12"/>
        <v/>
      </c>
      <c r="AB38" s="5" t="str">
        <f t="shared" si="13"/>
        <v/>
      </c>
      <c r="AC38" s="1029"/>
      <c r="AD38" s="130" t="str">
        <f t="shared" si="80"/>
        <v/>
      </c>
      <c r="AE38" s="5" t="str">
        <f t="shared" si="14"/>
        <v/>
      </c>
      <c r="AF38" s="1028"/>
      <c r="AG38" s="130" t="str">
        <f t="shared" si="15"/>
        <v/>
      </c>
      <c r="AH38" s="5" t="str">
        <f t="shared" si="16"/>
        <v/>
      </c>
      <c r="AI38" s="1028"/>
      <c r="AJ38" s="130" t="str">
        <f t="shared" si="17"/>
        <v/>
      </c>
      <c r="AK38" s="5" t="str">
        <f t="shared" si="18"/>
        <v/>
      </c>
      <c r="AL38" s="1028"/>
      <c r="AM38" s="130" t="str">
        <f t="shared" si="19"/>
        <v/>
      </c>
      <c r="AN38" s="5" t="str">
        <f t="shared" si="20"/>
        <v/>
      </c>
      <c r="AO38" s="1028"/>
      <c r="AP38" s="130" t="str">
        <f t="shared" si="21"/>
        <v/>
      </c>
      <c r="AQ38" s="5" t="str">
        <f t="shared" si="22"/>
        <v/>
      </c>
      <c r="AR38" s="1028"/>
      <c r="AS38" s="130" t="str">
        <f t="shared" si="23"/>
        <v/>
      </c>
      <c r="AT38" s="5" t="str">
        <f t="shared" si="24"/>
        <v/>
      </c>
      <c r="AU38" s="1028"/>
      <c r="AV38" s="130" t="str">
        <f t="shared" si="25"/>
        <v/>
      </c>
      <c r="AW38" s="5" t="str">
        <f t="shared" si="26"/>
        <v/>
      </c>
      <c r="AX38" s="1028"/>
      <c r="AY38" s="130" t="str">
        <f t="shared" si="27"/>
        <v/>
      </c>
      <c r="AZ38" s="5" t="str">
        <f t="shared" si="28"/>
        <v/>
      </c>
      <c r="BA38" s="1028"/>
      <c r="BB38" s="130" t="str">
        <f t="shared" si="29"/>
        <v/>
      </c>
      <c r="BC38" s="5" t="str">
        <f t="shared" si="30"/>
        <v/>
      </c>
      <c r="BD38" s="1028"/>
      <c r="BE38" s="130" t="str">
        <f t="shared" si="31"/>
        <v/>
      </c>
      <c r="BF38" s="5" t="str">
        <f t="shared" si="32"/>
        <v/>
      </c>
      <c r="BG38" s="1028"/>
      <c r="BH38" s="130" t="str">
        <f t="shared" si="33"/>
        <v/>
      </c>
      <c r="BI38" s="5" t="str">
        <f t="shared" si="34"/>
        <v/>
      </c>
      <c r="BJ38" s="1028"/>
      <c r="BK38" s="130" t="str">
        <f t="shared" si="35"/>
        <v/>
      </c>
      <c r="BL38" s="5" t="str">
        <f t="shared" si="36"/>
        <v/>
      </c>
      <c r="BM38" s="1028"/>
      <c r="BN38" s="130" t="str">
        <f t="shared" si="37"/>
        <v/>
      </c>
      <c r="BO38" s="5" t="str">
        <f t="shared" si="38"/>
        <v/>
      </c>
      <c r="BP38" s="1028"/>
      <c r="BQ38" s="130" t="str">
        <f t="shared" si="39"/>
        <v/>
      </c>
      <c r="BR38" s="5" t="str">
        <f t="shared" si="40"/>
        <v/>
      </c>
      <c r="BS38" s="1028"/>
      <c r="BT38" s="130" t="str">
        <f t="shared" si="41"/>
        <v/>
      </c>
      <c r="BU38" s="5" t="str">
        <f t="shared" si="42"/>
        <v/>
      </c>
      <c r="BV38" s="1028"/>
      <c r="BW38" s="130" t="str">
        <f t="shared" si="43"/>
        <v/>
      </c>
      <c r="BX38" s="5" t="str">
        <f t="shared" si="44"/>
        <v/>
      </c>
      <c r="BY38" s="1028"/>
      <c r="BZ38" s="130" t="str">
        <f t="shared" si="45"/>
        <v/>
      </c>
      <c r="CA38" s="5" t="str">
        <f t="shared" si="46"/>
        <v/>
      </c>
      <c r="CB38" s="1028"/>
      <c r="CC38" s="130" t="str">
        <f t="shared" si="47"/>
        <v/>
      </c>
      <c r="CD38" s="5" t="str">
        <f t="shared" si="48"/>
        <v/>
      </c>
      <c r="CE38" s="1028"/>
      <c r="CF38" s="130" t="str">
        <f t="shared" si="49"/>
        <v/>
      </c>
      <c r="CG38" s="5" t="str">
        <f t="shared" si="50"/>
        <v/>
      </c>
      <c r="CH38" s="1028"/>
      <c r="CI38" s="130" t="str">
        <f t="shared" si="51"/>
        <v/>
      </c>
      <c r="CJ38" s="5" t="str">
        <f t="shared" si="52"/>
        <v/>
      </c>
      <c r="CK38" s="1028"/>
      <c r="CL38" s="130" t="str">
        <f t="shared" si="53"/>
        <v/>
      </c>
      <c r="CM38" s="5" t="str">
        <f t="shared" si="54"/>
        <v/>
      </c>
      <c r="CN38" s="1028"/>
      <c r="CO38" s="130" t="str">
        <f t="shared" si="55"/>
        <v/>
      </c>
      <c r="CP38" s="5" t="str">
        <f t="shared" si="56"/>
        <v/>
      </c>
      <c r="CQ38" s="1028"/>
      <c r="CR38" s="130" t="str">
        <f t="shared" si="57"/>
        <v/>
      </c>
      <c r="CS38" s="5" t="str">
        <f t="shared" si="58"/>
        <v/>
      </c>
      <c r="CT38" s="1028"/>
      <c r="CU38" s="130" t="str">
        <f t="shared" si="59"/>
        <v/>
      </c>
      <c r="CV38" s="5" t="str">
        <f t="shared" si="60"/>
        <v/>
      </c>
      <c r="CW38" s="1028"/>
      <c r="CX38" s="130" t="str">
        <f t="shared" si="61"/>
        <v/>
      </c>
      <c r="CY38" s="5" t="str">
        <f t="shared" si="62"/>
        <v/>
      </c>
      <c r="CZ38" s="1028"/>
      <c r="DA38" s="130" t="str">
        <f t="shared" si="63"/>
        <v/>
      </c>
      <c r="DB38" s="5" t="str">
        <f t="shared" si="64"/>
        <v/>
      </c>
      <c r="DC38" s="1028"/>
      <c r="DD38" s="130" t="str">
        <f t="shared" si="65"/>
        <v/>
      </c>
      <c r="DE38" s="5" t="str">
        <f t="shared" si="66"/>
        <v/>
      </c>
      <c r="DF38" s="1028"/>
      <c r="DG38" s="130" t="str">
        <f t="shared" si="67"/>
        <v/>
      </c>
      <c r="DH38" s="5" t="str">
        <f t="shared" si="68"/>
        <v/>
      </c>
      <c r="DI38" s="1028"/>
      <c r="DJ38" s="130" t="str">
        <f t="shared" si="69"/>
        <v/>
      </c>
      <c r="DK38" s="5" t="str">
        <f t="shared" si="70"/>
        <v/>
      </c>
      <c r="DL38" s="1028"/>
      <c r="DM38" s="130" t="str">
        <f t="shared" si="71"/>
        <v/>
      </c>
      <c r="DN38" s="5" t="str">
        <f t="shared" si="72"/>
        <v/>
      </c>
      <c r="DO38" s="1028"/>
      <c r="DP38" s="130" t="str">
        <f t="shared" si="73"/>
        <v/>
      </c>
      <c r="DQ38" s="5" t="str">
        <f t="shared" si="74"/>
        <v/>
      </c>
      <c r="DR38" s="1028"/>
      <c r="DS38" s="130" t="str">
        <f t="shared" si="75"/>
        <v/>
      </c>
      <c r="DT38" s="5" t="str">
        <f t="shared" si="76"/>
        <v/>
      </c>
      <c r="DU38" s="1028"/>
      <c r="DV38" s="130" t="str">
        <f t="shared" si="77"/>
        <v/>
      </c>
      <c r="DW38" s="5" t="str">
        <f t="shared" si="78"/>
        <v/>
      </c>
      <c r="DX38" s="147"/>
    </row>
    <row r="39" ht="23.25" customHeight="true" x14ac:dyDescent="0.25">
      <c r="B39" s="744"/>
      <c r="C39" s="664">
        <f t="shared" si="79"/>
        <v>8</v>
      </c>
      <c r="D39" s="1024"/>
      <c r="E39" s="1025"/>
      <c r="F39" s="1026"/>
      <c r="G39" s="1027"/>
      <c r="H39" s="1028"/>
      <c r="I39" s="130" t="str">
        <f t="shared" si="0"/>
        <v/>
      </c>
      <c r="J39" s="1472" t="str">
        <f t="shared" si="1"/>
        <v/>
      </c>
      <c r="K39" s="1028"/>
      <c r="L39" s="130" t="str">
        <f t="shared" si="2"/>
        <v/>
      </c>
      <c r="M39" s="1472" t="str">
        <f t="shared" si="3"/>
        <v/>
      </c>
      <c r="N39" s="1028"/>
      <c r="O39" s="130" t="str">
        <f t="shared" si="4"/>
        <v/>
      </c>
      <c r="P39" s="1472" t="str">
        <f t="shared" si="5"/>
        <v/>
      </c>
      <c r="Q39" s="1028"/>
      <c r="R39" s="130" t="str">
        <f t="shared" si="6"/>
        <v/>
      </c>
      <c r="S39" s="1473" t="str">
        <f t="shared" si="7"/>
        <v/>
      </c>
      <c r="T39" s="1028"/>
      <c r="U39" s="130" t="str">
        <f t="shared" si="8"/>
        <v/>
      </c>
      <c r="V39" s="1472" t="str">
        <f t="shared" si="9"/>
        <v/>
      </c>
      <c r="W39" s="1029"/>
      <c r="X39" s="130" t="str">
        <f t="shared" si="10"/>
        <v/>
      </c>
      <c r="Y39" s="5" t="str">
        <f t="shared" si="11"/>
        <v/>
      </c>
      <c r="Z39" s="1028"/>
      <c r="AA39" s="130" t="str">
        <f t="shared" si="12"/>
        <v/>
      </c>
      <c r="AB39" s="5" t="str">
        <f t="shared" si="13"/>
        <v/>
      </c>
      <c r="AC39" s="1029"/>
      <c r="AD39" s="130" t="str">
        <f t="shared" si="80"/>
        <v/>
      </c>
      <c r="AE39" s="5" t="str">
        <f t="shared" si="14"/>
        <v/>
      </c>
      <c r="AF39" s="1028"/>
      <c r="AG39" s="130" t="str">
        <f t="shared" si="15"/>
        <v/>
      </c>
      <c r="AH39" s="5" t="str">
        <f t="shared" si="16"/>
        <v/>
      </c>
      <c r="AI39" s="1028"/>
      <c r="AJ39" s="130" t="str">
        <f t="shared" si="17"/>
        <v/>
      </c>
      <c r="AK39" s="5" t="str">
        <f t="shared" si="18"/>
        <v/>
      </c>
      <c r="AL39" s="1028"/>
      <c r="AM39" s="130" t="str">
        <f t="shared" si="19"/>
        <v/>
      </c>
      <c r="AN39" s="5" t="str">
        <f t="shared" si="20"/>
        <v/>
      </c>
      <c r="AO39" s="1028"/>
      <c r="AP39" s="130" t="str">
        <f t="shared" si="21"/>
        <v/>
      </c>
      <c r="AQ39" s="5" t="str">
        <f t="shared" si="22"/>
        <v/>
      </c>
      <c r="AR39" s="1028"/>
      <c r="AS39" s="130" t="str">
        <f t="shared" si="23"/>
        <v/>
      </c>
      <c r="AT39" s="5" t="str">
        <f t="shared" si="24"/>
        <v/>
      </c>
      <c r="AU39" s="1028"/>
      <c r="AV39" s="130" t="str">
        <f t="shared" si="25"/>
        <v/>
      </c>
      <c r="AW39" s="5" t="str">
        <f t="shared" si="26"/>
        <v/>
      </c>
      <c r="AX39" s="1028"/>
      <c r="AY39" s="130" t="str">
        <f t="shared" si="27"/>
        <v/>
      </c>
      <c r="AZ39" s="5" t="str">
        <f t="shared" si="28"/>
        <v/>
      </c>
      <c r="BA39" s="1028"/>
      <c r="BB39" s="130" t="str">
        <f t="shared" si="29"/>
        <v/>
      </c>
      <c r="BC39" s="5" t="str">
        <f t="shared" si="30"/>
        <v/>
      </c>
      <c r="BD39" s="1028"/>
      <c r="BE39" s="130" t="str">
        <f t="shared" si="31"/>
        <v/>
      </c>
      <c r="BF39" s="5" t="str">
        <f t="shared" si="32"/>
        <v/>
      </c>
      <c r="BG39" s="1028"/>
      <c r="BH39" s="130" t="str">
        <f t="shared" si="33"/>
        <v/>
      </c>
      <c r="BI39" s="5" t="str">
        <f t="shared" si="34"/>
        <v/>
      </c>
      <c r="BJ39" s="1028"/>
      <c r="BK39" s="130" t="str">
        <f t="shared" si="35"/>
        <v/>
      </c>
      <c r="BL39" s="5" t="str">
        <f t="shared" si="36"/>
        <v/>
      </c>
      <c r="BM39" s="1028"/>
      <c r="BN39" s="130" t="str">
        <f t="shared" si="37"/>
        <v/>
      </c>
      <c r="BO39" s="5" t="str">
        <f t="shared" si="38"/>
        <v/>
      </c>
      <c r="BP39" s="1028"/>
      <c r="BQ39" s="130" t="str">
        <f t="shared" si="39"/>
        <v/>
      </c>
      <c r="BR39" s="5" t="str">
        <f t="shared" si="40"/>
        <v/>
      </c>
      <c r="BS39" s="1028"/>
      <c r="BT39" s="130" t="str">
        <f t="shared" si="41"/>
        <v/>
      </c>
      <c r="BU39" s="5" t="str">
        <f t="shared" si="42"/>
        <v/>
      </c>
      <c r="BV39" s="1028"/>
      <c r="BW39" s="130" t="str">
        <f t="shared" si="43"/>
        <v/>
      </c>
      <c r="BX39" s="5" t="str">
        <f t="shared" si="44"/>
        <v/>
      </c>
      <c r="BY39" s="1028"/>
      <c r="BZ39" s="130" t="str">
        <f t="shared" si="45"/>
        <v/>
      </c>
      <c r="CA39" s="5" t="str">
        <f t="shared" si="46"/>
        <v/>
      </c>
      <c r="CB39" s="1028"/>
      <c r="CC39" s="130" t="str">
        <f t="shared" si="47"/>
        <v/>
      </c>
      <c r="CD39" s="5" t="str">
        <f t="shared" si="48"/>
        <v/>
      </c>
      <c r="CE39" s="1028"/>
      <c r="CF39" s="130" t="str">
        <f t="shared" si="49"/>
        <v/>
      </c>
      <c r="CG39" s="5" t="str">
        <f t="shared" si="50"/>
        <v/>
      </c>
      <c r="CH39" s="1028"/>
      <c r="CI39" s="130" t="str">
        <f t="shared" si="51"/>
        <v/>
      </c>
      <c r="CJ39" s="5" t="str">
        <f t="shared" si="52"/>
        <v/>
      </c>
      <c r="CK39" s="1028"/>
      <c r="CL39" s="130" t="str">
        <f t="shared" si="53"/>
        <v/>
      </c>
      <c r="CM39" s="5" t="str">
        <f t="shared" si="54"/>
        <v/>
      </c>
      <c r="CN39" s="1028"/>
      <c r="CO39" s="130" t="str">
        <f t="shared" si="55"/>
        <v/>
      </c>
      <c r="CP39" s="5" t="str">
        <f t="shared" si="56"/>
        <v/>
      </c>
      <c r="CQ39" s="1028"/>
      <c r="CR39" s="130" t="str">
        <f t="shared" si="57"/>
        <v/>
      </c>
      <c r="CS39" s="5" t="str">
        <f t="shared" si="58"/>
        <v/>
      </c>
      <c r="CT39" s="1028"/>
      <c r="CU39" s="130" t="str">
        <f t="shared" si="59"/>
        <v/>
      </c>
      <c r="CV39" s="5" t="str">
        <f t="shared" si="60"/>
        <v/>
      </c>
      <c r="CW39" s="1028"/>
      <c r="CX39" s="130" t="str">
        <f t="shared" si="61"/>
        <v/>
      </c>
      <c r="CY39" s="5" t="str">
        <f t="shared" si="62"/>
        <v/>
      </c>
      <c r="CZ39" s="1028"/>
      <c r="DA39" s="130" t="str">
        <f t="shared" si="63"/>
        <v/>
      </c>
      <c r="DB39" s="5" t="str">
        <f t="shared" si="64"/>
        <v/>
      </c>
      <c r="DC39" s="1028"/>
      <c r="DD39" s="130" t="str">
        <f t="shared" si="65"/>
        <v/>
      </c>
      <c r="DE39" s="5" t="str">
        <f t="shared" si="66"/>
        <v/>
      </c>
      <c r="DF39" s="1028"/>
      <c r="DG39" s="130" t="str">
        <f t="shared" si="67"/>
        <v/>
      </c>
      <c r="DH39" s="5" t="str">
        <f t="shared" si="68"/>
        <v/>
      </c>
      <c r="DI39" s="1028"/>
      <c r="DJ39" s="130" t="str">
        <f t="shared" si="69"/>
        <v/>
      </c>
      <c r="DK39" s="5" t="str">
        <f t="shared" si="70"/>
        <v/>
      </c>
      <c r="DL39" s="1028"/>
      <c r="DM39" s="130" t="str">
        <f t="shared" si="71"/>
        <v/>
      </c>
      <c r="DN39" s="5" t="str">
        <f t="shared" si="72"/>
        <v/>
      </c>
      <c r="DO39" s="1028"/>
      <c r="DP39" s="130" t="str">
        <f t="shared" si="73"/>
        <v/>
      </c>
      <c r="DQ39" s="5" t="str">
        <f t="shared" si="74"/>
        <v/>
      </c>
      <c r="DR39" s="1028"/>
      <c r="DS39" s="130" t="str">
        <f t="shared" si="75"/>
        <v/>
      </c>
      <c r="DT39" s="5" t="str">
        <f t="shared" si="76"/>
        <v/>
      </c>
      <c r="DU39" s="1028"/>
      <c r="DV39" s="130" t="str">
        <f t="shared" si="77"/>
        <v/>
      </c>
      <c r="DW39" s="5" t="str">
        <f t="shared" si="78"/>
        <v/>
      </c>
      <c r="DX39" s="147"/>
    </row>
    <row r="40" ht="23.25" customHeight="true" x14ac:dyDescent="0.25">
      <c r="B40" s="744"/>
      <c r="C40" s="664">
        <f t="shared" ref="C40:C81" si="81">C39+1</f>
        <v>9</v>
      </c>
      <c r="D40" s="1030"/>
      <c r="E40" s="1022"/>
      <c r="F40" s="1026"/>
      <c r="G40" s="1027"/>
      <c r="H40" s="1028"/>
      <c r="I40" s="130" t="str">
        <f t="shared" si="0"/>
        <v/>
      </c>
      <c r="J40" s="1472" t="str">
        <f t="shared" si="1"/>
        <v/>
      </c>
      <c r="K40" s="1028"/>
      <c r="L40" s="130" t="str">
        <f t="shared" si="2"/>
        <v/>
      </c>
      <c r="M40" s="1472" t="str">
        <f t="shared" si="3"/>
        <v/>
      </c>
      <c r="N40" s="1028"/>
      <c r="O40" s="130" t="str">
        <f t="shared" si="4"/>
        <v/>
      </c>
      <c r="P40" s="1472" t="str">
        <f t="shared" si="5"/>
        <v/>
      </c>
      <c r="Q40" s="1028"/>
      <c r="R40" s="130" t="str">
        <f t="shared" si="6"/>
        <v/>
      </c>
      <c r="S40" s="1473" t="str">
        <f t="shared" si="7"/>
        <v/>
      </c>
      <c r="T40" s="1028"/>
      <c r="U40" s="130" t="str">
        <f t="shared" si="8"/>
        <v/>
      </c>
      <c r="V40" s="1472" t="str">
        <f t="shared" si="9"/>
        <v/>
      </c>
      <c r="W40" s="1029"/>
      <c r="X40" s="130" t="str">
        <f t="shared" si="10"/>
        <v/>
      </c>
      <c r="Y40" s="5" t="str">
        <f t="shared" si="11"/>
        <v/>
      </c>
      <c r="Z40" s="1028"/>
      <c r="AA40" s="130" t="str">
        <f t="shared" si="12"/>
        <v/>
      </c>
      <c r="AB40" s="5" t="str">
        <f t="shared" si="13"/>
        <v/>
      </c>
      <c r="AC40" s="1029"/>
      <c r="AD40" s="130" t="str">
        <f t="shared" si="80"/>
        <v/>
      </c>
      <c r="AE40" s="5" t="str">
        <f t="shared" si="14"/>
        <v/>
      </c>
      <c r="AF40" s="1028"/>
      <c r="AG40" s="130" t="str">
        <f t="shared" si="15"/>
        <v/>
      </c>
      <c r="AH40" s="5" t="str">
        <f t="shared" si="16"/>
        <v/>
      </c>
      <c r="AI40" s="1028"/>
      <c r="AJ40" s="130" t="str">
        <f t="shared" si="17"/>
        <v/>
      </c>
      <c r="AK40" s="5" t="str">
        <f t="shared" si="18"/>
        <v/>
      </c>
      <c r="AL40" s="1028"/>
      <c r="AM40" s="130" t="str">
        <f t="shared" si="19"/>
        <v/>
      </c>
      <c r="AN40" s="5" t="str">
        <f t="shared" si="20"/>
        <v/>
      </c>
      <c r="AO40" s="1028"/>
      <c r="AP40" s="130" t="str">
        <f t="shared" si="21"/>
        <v/>
      </c>
      <c r="AQ40" s="5" t="str">
        <f t="shared" si="22"/>
        <v/>
      </c>
      <c r="AR40" s="1028"/>
      <c r="AS40" s="130" t="str">
        <f t="shared" si="23"/>
        <v/>
      </c>
      <c r="AT40" s="5" t="str">
        <f t="shared" si="24"/>
        <v/>
      </c>
      <c r="AU40" s="1028"/>
      <c r="AV40" s="130" t="str">
        <f t="shared" si="25"/>
        <v/>
      </c>
      <c r="AW40" s="5" t="str">
        <f t="shared" si="26"/>
        <v/>
      </c>
      <c r="AX40" s="1028"/>
      <c r="AY40" s="130" t="str">
        <f t="shared" si="27"/>
        <v/>
      </c>
      <c r="AZ40" s="5" t="str">
        <f t="shared" si="28"/>
        <v/>
      </c>
      <c r="BA40" s="1028"/>
      <c r="BB40" s="130" t="str">
        <f t="shared" si="29"/>
        <v/>
      </c>
      <c r="BC40" s="5" t="str">
        <f t="shared" si="30"/>
        <v/>
      </c>
      <c r="BD40" s="1028"/>
      <c r="BE40" s="130" t="str">
        <f t="shared" si="31"/>
        <v/>
      </c>
      <c r="BF40" s="5" t="str">
        <f t="shared" si="32"/>
        <v/>
      </c>
      <c r="BG40" s="1028"/>
      <c r="BH40" s="130" t="str">
        <f t="shared" si="33"/>
        <v/>
      </c>
      <c r="BI40" s="5" t="str">
        <f t="shared" si="34"/>
        <v/>
      </c>
      <c r="BJ40" s="1028"/>
      <c r="BK40" s="130" t="str">
        <f t="shared" si="35"/>
        <v/>
      </c>
      <c r="BL40" s="5" t="str">
        <f t="shared" si="36"/>
        <v/>
      </c>
      <c r="BM40" s="1028"/>
      <c r="BN40" s="130" t="str">
        <f t="shared" si="37"/>
        <v/>
      </c>
      <c r="BO40" s="5" t="str">
        <f t="shared" si="38"/>
        <v/>
      </c>
      <c r="BP40" s="1028"/>
      <c r="BQ40" s="130" t="str">
        <f t="shared" si="39"/>
        <v/>
      </c>
      <c r="BR40" s="5" t="str">
        <f t="shared" si="40"/>
        <v/>
      </c>
      <c r="BS40" s="1028"/>
      <c r="BT40" s="130" t="str">
        <f t="shared" si="41"/>
        <v/>
      </c>
      <c r="BU40" s="5" t="str">
        <f t="shared" si="42"/>
        <v/>
      </c>
      <c r="BV40" s="1028"/>
      <c r="BW40" s="130" t="str">
        <f t="shared" si="43"/>
        <v/>
      </c>
      <c r="BX40" s="5" t="str">
        <f t="shared" si="44"/>
        <v/>
      </c>
      <c r="BY40" s="1028"/>
      <c r="BZ40" s="130" t="str">
        <f t="shared" si="45"/>
        <v/>
      </c>
      <c r="CA40" s="5" t="str">
        <f t="shared" si="46"/>
        <v/>
      </c>
      <c r="CB40" s="1028"/>
      <c r="CC40" s="130" t="str">
        <f t="shared" si="47"/>
        <v/>
      </c>
      <c r="CD40" s="5" t="str">
        <f t="shared" si="48"/>
        <v/>
      </c>
      <c r="CE40" s="1028"/>
      <c r="CF40" s="130" t="str">
        <f t="shared" si="49"/>
        <v/>
      </c>
      <c r="CG40" s="5" t="str">
        <f t="shared" si="50"/>
        <v/>
      </c>
      <c r="CH40" s="1028"/>
      <c r="CI40" s="130" t="str">
        <f t="shared" si="51"/>
        <v/>
      </c>
      <c r="CJ40" s="5" t="str">
        <f t="shared" si="52"/>
        <v/>
      </c>
      <c r="CK40" s="1028"/>
      <c r="CL40" s="130" t="str">
        <f t="shared" si="53"/>
        <v/>
      </c>
      <c r="CM40" s="5" t="str">
        <f t="shared" si="54"/>
        <v/>
      </c>
      <c r="CN40" s="1028"/>
      <c r="CO40" s="130" t="str">
        <f t="shared" si="55"/>
        <v/>
      </c>
      <c r="CP40" s="5" t="str">
        <f t="shared" si="56"/>
        <v/>
      </c>
      <c r="CQ40" s="1028"/>
      <c r="CR40" s="130" t="str">
        <f t="shared" si="57"/>
        <v/>
      </c>
      <c r="CS40" s="5" t="str">
        <f t="shared" si="58"/>
        <v/>
      </c>
      <c r="CT40" s="1028"/>
      <c r="CU40" s="130" t="str">
        <f t="shared" si="59"/>
        <v/>
      </c>
      <c r="CV40" s="5" t="str">
        <f t="shared" si="60"/>
        <v/>
      </c>
      <c r="CW40" s="1028"/>
      <c r="CX40" s="130" t="str">
        <f t="shared" si="61"/>
        <v/>
      </c>
      <c r="CY40" s="5" t="str">
        <f t="shared" si="62"/>
        <v/>
      </c>
      <c r="CZ40" s="1028"/>
      <c r="DA40" s="130" t="str">
        <f t="shared" si="63"/>
        <v/>
      </c>
      <c r="DB40" s="5" t="str">
        <f t="shared" si="64"/>
        <v/>
      </c>
      <c r="DC40" s="1028"/>
      <c r="DD40" s="130" t="str">
        <f t="shared" si="65"/>
        <v/>
      </c>
      <c r="DE40" s="5" t="str">
        <f t="shared" si="66"/>
        <v/>
      </c>
      <c r="DF40" s="1028"/>
      <c r="DG40" s="130" t="str">
        <f t="shared" si="67"/>
        <v/>
      </c>
      <c r="DH40" s="5" t="str">
        <f t="shared" si="68"/>
        <v/>
      </c>
      <c r="DI40" s="1028"/>
      <c r="DJ40" s="130" t="str">
        <f t="shared" si="69"/>
        <v/>
      </c>
      <c r="DK40" s="5" t="str">
        <f t="shared" si="70"/>
        <v/>
      </c>
      <c r="DL40" s="1028"/>
      <c r="DM40" s="130" t="str">
        <f t="shared" si="71"/>
        <v/>
      </c>
      <c r="DN40" s="5" t="str">
        <f t="shared" si="72"/>
        <v/>
      </c>
      <c r="DO40" s="1028"/>
      <c r="DP40" s="130" t="str">
        <f t="shared" si="73"/>
        <v/>
      </c>
      <c r="DQ40" s="5" t="str">
        <f t="shared" si="74"/>
        <v/>
      </c>
      <c r="DR40" s="1028"/>
      <c r="DS40" s="130" t="str">
        <f t="shared" si="75"/>
        <v/>
      </c>
      <c r="DT40" s="5" t="str">
        <f t="shared" si="76"/>
        <v/>
      </c>
      <c r="DU40" s="1028"/>
      <c r="DV40" s="130" t="str">
        <f t="shared" si="77"/>
        <v/>
      </c>
      <c r="DW40" s="5" t="str">
        <f t="shared" si="78"/>
        <v/>
      </c>
      <c r="DX40" s="147"/>
    </row>
    <row r="41" ht="23.25" customHeight="true" x14ac:dyDescent="0.25">
      <c r="B41" s="744"/>
      <c r="C41" s="664">
        <f t="shared" si="81"/>
        <v>10</v>
      </c>
      <c r="D41" s="1030"/>
      <c r="E41" s="1022"/>
      <c r="F41" s="1022"/>
      <c r="G41" s="1027"/>
      <c r="H41" s="1028"/>
      <c r="I41" s="130" t="str">
        <f t="shared" si="0"/>
        <v/>
      </c>
      <c r="J41" s="1472" t="str">
        <f t="shared" si="1"/>
        <v/>
      </c>
      <c r="K41" s="1028"/>
      <c r="L41" s="130" t="str">
        <f t="shared" si="2"/>
        <v/>
      </c>
      <c r="M41" s="1472" t="str">
        <f t="shared" si="3"/>
        <v/>
      </c>
      <c r="N41" s="1028"/>
      <c r="O41" s="130" t="str">
        <f t="shared" si="4"/>
        <v/>
      </c>
      <c r="P41" s="1472" t="str">
        <f t="shared" si="5"/>
        <v/>
      </c>
      <c r="Q41" s="1028"/>
      <c r="R41" s="130" t="str">
        <f t="shared" si="6"/>
        <v/>
      </c>
      <c r="S41" s="1473" t="str">
        <f t="shared" si="7"/>
        <v/>
      </c>
      <c r="T41" s="1028"/>
      <c r="U41" s="130" t="str">
        <f t="shared" si="8"/>
        <v/>
      </c>
      <c r="V41" s="1472" t="str">
        <f t="shared" si="9"/>
        <v/>
      </c>
      <c r="W41" s="1029"/>
      <c r="X41" s="130" t="str">
        <f t="shared" si="10"/>
        <v/>
      </c>
      <c r="Y41" s="5" t="str">
        <f t="shared" si="11"/>
        <v/>
      </c>
      <c r="Z41" s="1028"/>
      <c r="AA41" s="130" t="str">
        <f t="shared" si="12"/>
        <v/>
      </c>
      <c r="AB41" s="5" t="str">
        <f t="shared" si="13"/>
        <v/>
      </c>
      <c r="AC41" s="1029"/>
      <c r="AD41" s="130" t="str">
        <f t="shared" si="80"/>
        <v/>
      </c>
      <c r="AE41" s="5" t="str">
        <f t="shared" si="14"/>
        <v/>
      </c>
      <c r="AF41" s="1028"/>
      <c r="AG41" s="130" t="str">
        <f t="shared" si="15"/>
        <v/>
      </c>
      <c r="AH41" s="5" t="str">
        <f t="shared" si="16"/>
        <v/>
      </c>
      <c r="AI41" s="1028"/>
      <c r="AJ41" s="130" t="str">
        <f t="shared" si="17"/>
        <v/>
      </c>
      <c r="AK41" s="5" t="str">
        <f t="shared" si="18"/>
        <v/>
      </c>
      <c r="AL41" s="1028"/>
      <c r="AM41" s="130" t="str">
        <f t="shared" si="19"/>
        <v/>
      </c>
      <c r="AN41" s="5" t="str">
        <f t="shared" si="20"/>
        <v/>
      </c>
      <c r="AO41" s="1028"/>
      <c r="AP41" s="130" t="str">
        <f t="shared" si="21"/>
        <v/>
      </c>
      <c r="AQ41" s="5" t="str">
        <f t="shared" si="22"/>
        <v/>
      </c>
      <c r="AR41" s="1028"/>
      <c r="AS41" s="130" t="str">
        <f t="shared" si="23"/>
        <v/>
      </c>
      <c r="AT41" s="5" t="str">
        <f t="shared" si="24"/>
        <v/>
      </c>
      <c r="AU41" s="1028"/>
      <c r="AV41" s="130" t="str">
        <f t="shared" si="25"/>
        <v/>
      </c>
      <c r="AW41" s="5" t="str">
        <f t="shared" si="26"/>
        <v/>
      </c>
      <c r="AX41" s="1028"/>
      <c r="AY41" s="130" t="str">
        <f t="shared" si="27"/>
        <v/>
      </c>
      <c r="AZ41" s="5" t="str">
        <f t="shared" si="28"/>
        <v/>
      </c>
      <c r="BA41" s="1028"/>
      <c r="BB41" s="130" t="str">
        <f t="shared" si="29"/>
        <v/>
      </c>
      <c r="BC41" s="5" t="str">
        <f t="shared" si="30"/>
        <v/>
      </c>
      <c r="BD41" s="1028"/>
      <c r="BE41" s="130" t="str">
        <f t="shared" si="31"/>
        <v/>
      </c>
      <c r="BF41" s="5" t="str">
        <f t="shared" si="32"/>
        <v/>
      </c>
      <c r="BG41" s="1028"/>
      <c r="BH41" s="130" t="str">
        <f t="shared" si="33"/>
        <v/>
      </c>
      <c r="BI41" s="5" t="str">
        <f t="shared" si="34"/>
        <v/>
      </c>
      <c r="BJ41" s="1028"/>
      <c r="BK41" s="130" t="str">
        <f t="shared" si="35"/>
        <v/>
      </c>
      <c r="BL41" s="5" t="str">
        <f t="shared" si="36"/>
        <v/>
      </c>
      <c r="BM41" s="1028"/>
      <c r="BN41" s="130" t="str">
        <f t="shared" si="37"/>
        <v/>
      </c>
      <c r="BO41" s="5" t="str">
        <f t="shared" si="38"/>
        <v/>
      </c>
      <c r="BP41" s="1028"/>
      <c r="BQ41" s="130" t="str">
        <f t="shared" si="39"/>
        <v/>
      </c>
      <c r="BR41" s="5" t="str">
        <f t="shared" si="40"/>
        <v/>
      </c>
      <c r="BS41" s="1028"/>
      <c r="BT41" s="130" t="str">
        <f t="shared" si="41"/>
        <v/>
      </c>
      <c r="BU41" s="5" t="str">
        <f t="shared" si="42"/>
        <v/>
      </c>
      <c r="BV41" s="1028"/>
      <c r="BW41" s="130" t="str">
        <f t="shared" si="43"/>
        <v/>
      </c>
      <c r="BX41" s="5" t="str">
        <f t="shared" si="44"/>
        <v/>
      </c>
      <c r="BY41" s="1028"/>
      <c r="BZ41" s="130" t="str">
        <f t="shared" si="45"/>
        <v/>
      </c>
      <c r="CA41" s="5" t="str">
        <f t="shared" si="46"/>
        <v/>
      </c>
      <c r="CB41" s="1028"/>
      <c r="CC41" s="130" t="str">
        <f t="shared" si="47"/>
        <v/>
      </c>
      <c r="CD41" s="5" t="str">
        <f t="shared" si="48"/>
        <v/>
      </c>
      <c r="CE41" s="1028"/>
      <c r="CF41" s="130" t="str">
        <f t="shared" si="49"/>
        <v/>
      </c>
      <c r="CG41" s="5" t="str">
        <f t="shared" si="50"/>
        <v/>
      </c>
      <c r="CH41" s="1028"/>
      <c r="CI41" s="130" t="str">
        <f t="shared" si="51"/>
        <v/>
      </c>
      <c r="CJ41" s="5" t="str">
        <f t="shared" si="52"/>
        <v/>
      </c>
      <c r="CK41" s="1028"/>
      <c r="CL41" s="130" t="str">
        <f t="shared" si="53"/>
        <v/>
      </c>
      <c r="CM41" s="5" t="str">
        <f t="shared" si="54"/>
        <v/>
      </c>
      <c r="CN41" s="1028"/>
      <c r="CO41" s="130" t="str">
        <f t="shared" si="55"/>
        <v/>
      </c>
      <c r="CP41" s="5" t="str">
        <f t="shared" si="56"/>
        <v/>
      </c>
      <c r="CQ41" s="1028"/>
      <c r="CR41" s="130" t="str">
        <f t="shared" si="57"/>
        <v/>
      </c>
      <c r="CS41" s="5" t="str">
        <f t="shared" si="58"/>
        <v/>
      </c>
      <c r="CT41" s="1028"/>
      <c r="CU41" s="130" t="str">
        <f t="shared" si="59"/>
        <v/>
      </c>
      <c r="CV41" s="5" t="str">
        <f t="shared" si="60"/>
        <v/>
      </c>
      <c r="CW41" s="1028"/>
      <c r="CX41" s="130" t="str">
        <f t="shared" si="61"/>
        <v/>
      </c>
      <c r="CY41" s="5" t="str">
        <f t="shared" si="62"/>
        <v/>
      </c>
      <c r="CZ41" s="1028"/>
      <c r="DA41" s="130" t="str">
        <f t="shared" si="63"/>
        <v/>
      </c>
      <c r="DB41" s="5" t="str">
        <f t="shared" si="64"/>
        <v/>
      </c>
      <c r="DC41" s="1028"/>
      <c r="DD41" s="130" t="str">
        <f t="shared" si="65"/>
        <v/>
      </c>
      <c r="DE41" s="5" t="str">
        <f t="shared" si="66"/>
        <v/>
      </c>
      <c r="DF41" s="1028"/>
      <c r="DG41" s="130" t="str">
        <f t="shared" si="67"/>
        <v/>
      </c>
      <c r="DH41" s="5" t="str">
        <f t="shared" si="68"/>
        <v/>
      </c>
      <c r="DI41" s="1028"/>
      <c r="DJ41" s="130" t="str">
        <f t="shared" si="69"/>
        <v/>
      </c>
      <c r="DK41" s="5" t="str">
        <f t="shared" si="70"/>
        <v/>
      </c>
      <c r="DL41" s="1028"/>
      <c r="DM41" s="130" t="str">
        <f t="shared" si="71"/>
        <v/>
      </c>
      <c r="DN41" s="5" t="str">
        <f t="shared" si="72"/>
        <v/>
      </c>
      <c r="DO41" s="1028"/>
      <c r="DP41" s="130" t="str">
        <f t="shared" si="73"/>
        <v/>
      </c>
      <c r="DQ41" s="5" t="str">
        <f t="shared" si="74"/>
        <v/>
      </c>
      <c r="DR41" s="1028"/>
      <c r="DS41" s="130" t="str">
        <f t="shared" si="75"/>
        <v/>
      </c>
      <c r="DT41" s="5" t="str">
        <f t="shared" si="76"/>
        <v/>
      </c>
      <c r="DU41" s="1028"/>
      <c r="DV41" s="130" t="str">
        <f t="shared" si="77"/>
        <v/>
      </c>
      <c r="DW41" s="5" t="str">
        <f t="shared" si="78"/>
        <v/>
      </c>
      <c r="DX41" s="147"/>
    </row>
    <row r="42" ht="23.25" customHeight="true" x14ac:dyDescent="0.25">
      <c r="B42" s="744"/>
      <c r="C42" s="664">
        <f t="shared" si="81"/>
        <v>11</v>
      </c>
      <c r="D42" s="1030"/>
      <c r="E42" s="1022"/>
      <c r="F42" s="1022"/>
      <c r="G42" s="1027"/>
      <c r="H42" s="1028"/>
      <c r="I42" s="130" t="str">
        <f t="shared" si="0"/>
        <v/>
      </c>
      <c r="J42" s="1472" t="str">
        <f t="shared" si="1"/>
        <v/>
      </c>
      <c r="K42" s="1028"/>
      <c r="L42" s="130" t="str">
        <f t="shared" si="2"/>
        <v/>
      </c>
      <c r="M42" s="1472" t="str">
        <f t="shared" si="3"/>
        <v/>
      </c>
      <c r="N42" s="1028"/>
      <c r="O42" s="130" t="str">
        <f t="shared" si="4"/>
        <v/>
      </c>
      <c r="P42" s="1472" t="str">
        <f t="shared" si="5"/>
        <v/>
      </c>
      <c r="Q42" s="1028"/>
      <c r="R42" s="130" t="str">
        <f t="shared" si="6"/>
        <v/>
      </c>
      <c r="S42" s="1473" t="str">
        <f t="shared" si="7"/>
        <v/>
      </c>
      <c r="T42" s="1028"/>
      <c r="U42" s="130" t="str">
        <f t="shared" si="8"/>
        <v/>
      </c>
      <c r="V42" s="1472" t="str">
        <f t="shared" si="9"/>
        <v/>
      </c>
      <c r="W42" s="1029"/>
      <c r="X42" s="130" t="str">
        <f t="shared" si="10"/>
        <v/>
      </c>
      <c r="Y42" s="5" t="str">
        <f t="shared" si="11"/>
        <v/>
      </c>
      <c r="Z42" s="1028"/>
      <c r="AA42" s="130" t="str">
        <f t="shared" si="12"/>
        <v/>
      </c>
      <c r="AB42" s="5" t="str">
        <f t="shared" si="13"/>
        <v/>
      </c>
      <c r="AC42" s="1029"/>
      <c r="AD42" s="130" t="str">
        <f t="shared" si="80"/>
        <v/>
      </c>
      <c r="AE42" s="5" t="str">
        <f t="shared" si="14"/>
        <v/>
      </c>
      <c r="AF42" s="1028"/>
      <c r="AG42" s="130" t="str">
        <f t="shared" si="15"/>
        <v/>
      </c>
      <c r="AH42" s="5" t="str">
        <f t="shared" si="16"/>
        <v/>
      </c>
      <c r="AI42" s="1028"/>
      <c r="AJ42" s="130" t="str">
        <f t="shared" si="17"/>
        <v/>
      </c>
      <c r="AK42" s="5" t="str">
        <f t="shared" si="18"/>
        <v/>
      </c>
      <c r="AL42" s="1028"/>
      <c r="AM42" s="130" t="str">
        <f t="shared" si="19"/>
        <v/>
      </c>
      <c r="AN42" s="5" t="str">
        <f t="shared" si="20"/>
        <v/>
      </c>
      <c r="AO42" s="1028"/>
      <c r="AP42" s="130" t="str">
        <f t="shared" si="21"/>
        <v/>
      </c>
      <c r="AQ42" s="5" t="str">
        <f t="shared" si="22"/>
        <v/>
      </c>
      <c r="AR42" s="1028"/>
      <c r="AS42" s="130" t="str">
        <f t="shared" si="23"/>
        <v/>
      </c>
      <c r="AT42" s="5" t="str">
        <f t="shared" si="24"/>
        <v/>
      </c>
      <c r="AU42" s="1028"/>
      <c r="AV42" s="130" t="str">
        <f t="shared" si="25"/>
        <v/>
      </c>
      <c r="AW42" s="5" t="str">
        <f t="shared" si="26"/>
        <v/>
      </c>
      <c r="AX42" s="1028"/>
      <c r="AY42" s="130" t="str">
        <f t="shared" si="27"/>
        <v/>
      </c>
      <c r="AZ42" s="5" t="str">
        <f t="shared" si="28"/>
        <v/>
      </c>
      <c r="BA42" s="1028"/>
      <c r="BB42" s="130" t="str">
        <f t="shared" si="29"/>
        <v/>
      </c>
      <c r="BC42" s="5" t="str">
        <f t="shared" si="30"/>
        <v/>
      </c>
      <c r="BD42" s="1028"/>
      <c r="BE42" s="130" t="str">
        <f t="shared" si="31"/>
        <v/>
      </c>
      <c r="BF42" s="5" t="str">
        <f t="shared" si="32"/>
        <v/>
      </c>
      <c r="BG42" s="1028"/>
      <c r="BH42" s="130" t="str">
        <f t="shared" si="33"/>
        <v/>
      </c>
      <c r="BI42" s="5" t="str">
        <f t="shared" si="34"/>
        <v/>
      </c>
      <c r="BJ42" s="1028"/>
      <c r="BK42" s="130" t="str">
        <f t="shared" si="35"/>
        <v/>
      </c>
      <c r="BL42" s="5" t="str">
        <f t="shared" si="36"/>
        <v/>
      </c>
      <c r="BM42" s="1028"/>
      <c r="BN42" s="130" t="str">
        <f t="shared" si="37"/>
        <v/>
      </c>
      <c r="BO42" s="5" t="str">
        <f t="shared" si="38"/>
        <v/>
      </c>
      <c r="BP42" s="1028"/>
      <c r="BQ42" s="130" t="str">
        <f t="shared" si="39"/>
        <v/>
      </c>
      <c r="BR42" s="5" t="str">
        <f t="shared" si="40"/>
        <v/>
      </c>
      <c r="BS42" s="1028"/>
      <c r="BT42" s="130" t="str">
        <f t="shared" si="41"/>
        <v/>
      </c>
      <c r="BU42" s="5" t="str">
        <f t="shared" si="42"/>
        <v/>
      </c>
      <c r="BV42" s="1028"/>
      <c r="BW42" s="130" t="str">
        <f t="shared" si="43"/>
        <v/>
      </c>
      <c r="BX42" s="5" t="str">
        <f t="shared" si="44"/>
        <v/>
      </c>
      <c r="BY42" s="1028"/>
      <c r="BZ42" s="130" t="str">
        <f t="shared" si="45"/>
        <v/>
      </c>
      <c r="CA42" s="5" t="str">
        <f t="shared" si="46"/>
        <v/>
      </c>
      <c r="CB42" s="1028"/>
      <c r="CC42" s="130" t="str">
        <f t="shared" si="47"/>
        <v/>
      </c>
      <c r="CD42" s="5" t="str">
        <f t="shared" si="48"/>
        <v/>
      </c>
      <c r="CE42" s="1028"/>
      <c r="CF42" s="130" t="str">
        <f t="shared" si="49"/>
        <v/>
      </c>
      <c r="CG42" s="5" t="str">
        <f t="shared" si="50"/>
        <v/>
      </c>
      <c r="CH42" s="1028"/>
      <c r="CI42" s="130" t="str">
        <f t="shared" si="51"/>
        <v/>
      </c>
      <c r="CJ42" s="5" t="str">
        <f t="shared" si="52"/>
        <v/>
      </c>
      <c r="CK42" s="1028"/>
      <c r="CL42" s="130" t="str">
        <f t="shared" si="53"/>
        <v/>
      </c>
      <c r="CM42" s="5" t="str">
        <f t="shared" si="54"/>
        <v/>
      </c>
      <c r="CN42" s="1028"/>
      <c r="CO42" s="130" t="str">
        <f t="shared" si="55"/>
        <v/>
      </c>
      <c r="CP42" s="5" t="str">
        <f t="shared" si="56"/>
        <v/>
      </c>
      <c r="CQ42" s="1028"/>
      <c r="CR42" s="130" t="str">
        <f t="shared" si="57"/>
        <v/>
      </c>
      <c r="CS42" s="5" t="str">
        <f t="shared" si="58"/>
        <v/>
      </c>
      <c r="CT42" s="1028"/>
      <c r="CU42" s="130" t="str">
        <f t="shared" si="59"/>
        <v/>
      </c>
      <c r="CV42" s="5" t="str">
        <f t="shared" si="60"/>
        <v/>
      </c>
      <c r="CW42" s="1028"/>
      <c r="CX42" s="130" t="str">
        <f t="shared" si="61"/>
        <v/>
      </c>
      <c r="CY42" s="5" t="str">
        <f t="shared" si="62"/>
        <v/>
      </c>
      <c r="CZ42" s="1028"/>
      <c r="DA42" s="130" t="str">
        <f t="shared" si="63"/>
        <v/>
      </c>
      <c r="DB42" s="5" t="str">
        <f t="shared" si="64"/>
        <v/>
      </c>
      <c r="DC42" s="1028"/>
      <c r="DD42" s="130" t="str">
        <f t="shared" si="65"/>
        <v/>
      </c>
      <c r="DE42" s="5" t="str">
        <f t="shared" si="66"/>
        <v/>
      </c>
      <c r="DF42" s="1028"/>
      <c r="DG42" s="130" t="str">
        <f t="shared" si="67"/>
        <v/>
      </c>
      <c r="DH42" s="5" t="str">
        <f t="shared" si="68"/>
        <v/>
      </c>
      <c r="DI42" s="1028"/>
      <c r="DJ42" s="130" t="str">
        <f t="shared" si="69"/>
        <v/>
      </c>
      <c r="DK42" s="5" t="str">
        <f t="shared" si="70"/>
        <v/>
      </c>
      <c r="DL42" s="1028"/>
      <c r="DM42" s="130" t="str">
        <f t="shared" si="71"/>
        <v/>
      </c>
      <c r="DN42" s="5" t="str">
        <f t="shared" si="72"/>
        <v/>
      </c>
      <c r="DO42" s="1028"/>
      <c r="DP42" s="130" t="str">
        <f t="shared" si="73"/>
        <v/>
      </c>
      <c r="DQ42" s="5" t="str">
        <f t="shared" si="74"/>
        <v/>
      </c>
      <c r="DR42" s="1028"/>
      <c r="DS42" s="130" t="str">
        <f t="shared" si="75"/>
        <v/>
      </c>
      <c r="DT42" s="5" t="str">
        <f t="shared" si="76"/>
        <v/>
      </c>
      <c r="DU42" s="1028"/>
      <c r="DV42" s="130" t="str">
        <f t="shared" si="77"/>
        <v/>
      </c>
      <c r="DW42" s="5" t="str">
        <f t="shared" si="78"/>
        <v/>
      </c>
      <c r="DX42" s="147"/>
    </row>
    <row r="43" ht="23.25" customHeight="true" x14ac:dyDescent="0.25">
      <c r="B43" s="744"/>
      <c r="C43" s="664">
        <f t="shared" si="81"/>
        <v>12</v>
      </c>
      <c r="D43" s="1030"/>
      <c r="E43" s="1022"/>
      <c r="F43" s="1022"/>
      <c r="G43" s="1027"/>
      <c r="H43" s="1028"/>
      <c r="I43" s="130" t="str">
        <f t="shared" si="0"/>
        <v/>
      </c>
      <c r="J43" s="1472" t="str">
        <f t="shared" si="1"/>
        <v/>
      </c>
      <c r="K43" s="1028"/>
      <c r="L43" s="130" t="str">
        <f t="shared" si="2"/>
        <v/>
      </c>
      <c r="M43" s="1472" t="str">
        <f t="shared" si="3"/>
        <v/>
      </c>
      <c r="N43" s="1028"/>
      <c r="O43" s="130" t="str">
        <f t="shared" si="4"/>
        <v/>
      </c>
      <c r="P43" s="1472" t="str">
        <f t="shared" si="5"/>
        <v/>
      </c>
      <c r="Q43" s="1028"/>
      <c r="R43" s="130" t="str">
        <f t="shared" si="6"/>
        <v/>
      </c>
      <c r="S43" s="1473" t="str">
        <f t="shared" si="7"/>
        <v/>
      </c>
      <c r="T43" s="1028"/>
      <c r="U43" s="130" t="str">
        <f t="shared" si="8"/>
        <v/>
      </c>
      <c r="V43" s="1472" t="str">
        <f t="shared" si="9"/>
        <v/>
      </c>
      <c r="W43" s="1029"/>
      <c r="X43" s="130" t="str">
        <f t="shared" si="10"/>
        <v/>
      </c>
      <c r="Y43" s="5" t="str">
        <f t="shared" si="11"/>
        <v/>
      </c>
      <c r="Z43" s="1028"/>
      <c r="AA43" s="130" t="str">
        <f t="shared" si="12"/>
        <v/>
      </c>
      <c r="AB43" s="5" t="str">
        <f t="shared" si="13"/>
        <v/>
      </c>
      <c r="AC43" s="1029"/>
      <c r="AD43" s="130" t="str">
        <f t="shared" si="80"/>
        <v/>
      </c>
      <c r="AE43" s="5" t="str">
        <f t="shared" si="14"/>
        <v/>
      </c>
      <c r="AF43" s="1028"/>
      <c r="AG43" s="130" t="str">
        <f t="shared" si="15"/>
        <v/>
      </c>
      <c r="AH43" s="5" t="str">
        <f t="shared" si="16"/>
        <v/>
      </c>
      <c r="AI43" s="1028"/>
      <c r="AJ43" s="130" t="str">
        <f t="shared" si="17"/>
        <v/>
      </c>
      <c r="AK43" s="5" t="str">
        <f t="shared" si="18"/>
        <v/>
      </c>
      <c r="AL43" s="1028"/>
      <c r="AM43" s="130" t="str">
        <f t="shared" si="19"/>
        <v/>
      </c>
      <c r="AN43" s="5" t="str">
        <f t="shared" si="20"/>
        <v/>
      </c>
      <c r="AO43" s="1028"/>
      <c r="AP43" s="130" t="str">
        <f t="shared" si="21"/>
        <v/>
      </c>
      <c r="AQ43" s="5" t="str">
        <f t="shared" si="22"/>
        <v/>
      </c>
      <c r="AR43" s="1028"/>
      <c r="AS43" s="130" t="str">
        <f t="shared" si="23"/>
        <v/>
      </c>
      <c r="AT43" s="5" t="str">
        <f t="shared" si="24"/>
        <v/>
      </c>
      <c r="AU43" s="1028"/>
      <c r="AV43" s="130" t="str">
        <f t="shared" si="25"/>
        <v/>
      </c>
      <c r="AW43" s="5" t="str">
        <f t="shared" si="26"/>
        <v/>
      </c>
      <c r="AX43" s="1028"/>
      <c r="AY43" s="130" t="str">
        <f t="shared" si="27"/>
        <v/>
      </c>
      <c r="AZ43" s="5" t="str">
        <f t="shared" si="28"/>
        <v/>
      </c>
      <c r="BA43" s="1028"/>
      <c r="BB43" s="130" t="str">
        <f t="shared" si="29"/>
        <v/>
      </c>
      <c r="BC43" s="5" t="str">
        <f t="shared" si="30"/>
        <v/>
      </c>
      <c r="BD43" s="1028"/>
      <c r="BE43" s="130" t="str">
        <f t="shared" si="31"/>
        <v/>
      </c>
      <c r="BF43" s="5" t="str">
        <f t="shared" si="32"/>
        <v/>
      </c>
      <c r="BG43" s="1028"/>
      <c r="BH43" s="130" t="str">
        <f t="shared" si="33"/>
        <v/>
      </c>
      <c r="BI43" s="5" t="str">
        <f t="shared" si="34"/>
        <v/>
      </c>
      <c r="BJ43" s="1028"/>
      <c r="BK43" s="130" t="str">
        <f t="shared" si="35"/>
        <v/>
      </c>
      <c r="BL43" s="5" t="str">
        <f t="shared" si="36"/>
        <v/>
      </c>
      <c r="BM43" s="1028"/>
      <c r="BN43" s="130" t="str">
        <f t="shared" si="37"/>
        <v/>
      </c>
      <c r="BO43" s="5" t="str">
        <f t="shared" si="38"/>
        <v/>
      </c>
      <c r="BP43" s="1028"/>
      <c r="BQ43" s="130" t="str">
        <f t="shared" si="39"/>
        <v/>
      </c>
      <c r="BR43" s="5" t="str">
        <f t="shared" si="40"/>
        <v/>
      </c>
      <c r="BS43" s="1028"/>
      <c r="BT43" s="130" t="str">
        <f t="shared" si="41"/>
        <v/>
      </c>
      <c r="BU43" s="5" t="str">
        <f t="shared" si="42"/>
        <v/>
      </c>
      <c r="BV43" s="1028"/>
      <c r="BW43" s="130" t="str">
        <f t="shared" si="43"/>
        <v/>
      </c>
      <c r="BX43" s="5" t="str">
        <f t="shared" si="44"/>
        <v/>
      </c>
      <c r="BY43" s="1028"/>
      <c r="BZ43" s="130" t="str">
        <f t="shared" si="45"/>
        <v/>
      </c>
      <c r="CA43" s="5" t="str">
        <f t="shared" si="46"/>
        <v/>
      </c>
      <c r="CB43" s="1028"/>
      <c r="CC43" s="130" t="str">
        <f t="shared" si="47"/>
        <v/>
      </c>
      <c r="CD43" s="5" t="str">
        <f t="shared" si="48"/>
        <v/>
      </c>
      <c r="CE43" s="1028"/>
      <c r="CF43" s="130" t="str">
        <f t="shared" si="49"/>
        <v/>
      </c>
      <c r="CG43" s="5" t="str">
        <f t="shared" si="50"/>
        <v/>
      </c>
      <c r="CH43" s="1028"/>
      <c r="CI43" s="130" t="str">
        <f t="shared" si="51"/>
        <v/>
      </c>
      <c r="CJ43" s="5" t="str">
        <f t="shared" si="52"/>
        <v/>
      </c>
      <c r="CK43" s="1028"/>
      <c r="CL43" s="130" t="str">
        <f t="shared" si="53"/>
        <v/>
      </c>
      <c r="CM43" s="5" t="str">
        <f t="shared" si="54"/>
        <v/>
      </c>
      <c r="CN43" s="1028"/>
      <c r="CO43" s="130" t="str">
        <f t="shared" si="55"/>
        <v/>
      </c>
      <c r="CP43" s="5" t="str">
        <f t="shared" si="56"/>
        <v/>
      </c>
      <c r="CQ43" s="1028"/>
      <c r="CR43" s="130" t="str">
        <f t="shared" si="57"/>
        <v/>
      </c>
      <c r="CS43" s="5" t="str">
        <f t="shared" si="58"/>
        <v/>
      </c>
      <c r="CT43" s="1028"/>
      <c r="CU43" s="130" t="str">
        <f t="shared" si="59"/>
        <v/>
      </c>
      <c r="CV43" s="5" t="str">
        <f t="shared" si="60"/>
        <v/>
      </c>
      <c r="CW43" s="1028"/>
      <c r="CX43" s="130" t="str">
        <f t="shared" si="61"/>
        <v/>
      </c>
      <c r="CY43" s="5" t="str">
        <f t="shared" si="62"/>
        <v/>
      </c>
      <c r="CZ43" s="1028"/>
      <c r="DA43" s="130" t="str">
        <f t="shared" si="63"/>
        <v/>
      </c>
      <c r="DB43" s="5" t="str">
        <f t="shared" si="64"/>
        <v/>
      </c>
      <c r="DC43" s="1028"/>
      <c r="DD43" s="130" t="str">
        <f t="shared" si="65"/>
        <v/>
      </c>
      <c r="DE43" s="5" t="str">
        <f t="shared" si="66"/>
        <v/>
      </c>
      <c r="DF43" s="1028"/>
      <c r="DG43" s="130" t="str">
        <f t="shared" si="67"/>
        <v/>
      </c>
      <c r="DH43" s="5" t="str">
        <f t="shared" si="68"/>
        <v/>
      </c>
      <c r="DI43" s="1028"/>
      <c r="DJ43" s="130" t="str">
        <f t="shared" si="69"/>
        <v/>
      </c>
      <c r="DK43" s="5" t="str">
        <f t="shared" si="70"/>
        <v/>
      </c>
      <c r="DL43" s="1028"/>
      <c r="DM43" s="130" t="str">
        <f t="shared" si="71"/>
        <v/>
      </c>
      <c r="DN43" s="5" t="str">
        <f t="shared" si="72"/>
        <v/>
      </c>
      <c r="DO43" s="1028"/>
      <c r="DP43" s="130" t="str">
        <f t="shared" si="73"/>
        <v/>
      </c>
      <c r="DQ43" s="5" t="str">
        <f t="shared" si="74"/>
        <v/>
      </c>
      <c r="DR43" s="1028"/>
      <c r="DS43" s="130" t="str">
        <f t="shared" si="75"/>
        <v/>
      </c>
      <c r="DT43" s="5" t="str">
        <f t="shared" si="76"/>
        <v/>
      </c>
      <c r="DU43" s="1028"/>
      <c r="DV43" s="130" t="str">
        <f t="shared" si="77"/>
        <v/>
      </c>
      <c r="DW43" s="5" t="str">
        <f t="shared" si="78"/>
        <v/>
      </c>
      <c r="DX43" s="147"/>
    </row>
    <row r="44" ht="23.25" customHeight="true" x14ac:dyDescent="0.25">
      <c r="B44" s="744"/>
      <c r="C44" s="664">
        <f t="shared" si="81"/>
        <v>13</v>
      </c>
      <c r="D44" s="1030"/>
      <c r="E44" s="1022"/>
      <c r="F44" s="1022"/>
      <c r="G44" s="1027"/>
      <c r="H44" s="1028"/>
      <c r="I44" s="130" t="str">
        <f t="shared" si="0"/>
        <v/>
      </c>
      <c r="J44" s="1472" t="str">
        <f t="shared" si="1"/>
        <v/>
      </c>
      <c r="K44" s="1028"/>
      <c r="L44" s="130" t="str">
        <f t="shared" si="2"/>
        <v/>
      </c>
      <c r="M44" s="1472" t="str">
        <f t="shared" si="3"/>
        <v/>
      </c>
      <c r="N44" s="1028"/>
      <c r="O44" s="130" t="str">
        <f t="shared" si="4"/>
        <v/>
      </c>
      <c r="P44" s="1472" t="str">
        <f t="shared" si="5"/>
        <v/>
      </c>
      <c r="Q44" s="1028"/>
      <c r="R44" s="130" t="str">
        <f t="shared" si="6"/>
        <v/>
      </c>
      <c r="S44" s="1473" t="str">
        <f t="shared" si="7"/>
        <v/>
      </c>
      <c r="T44" s="1028"/>
      <c r="U44" s="130" t="str">
        <f t="shared" si="8"/>
        <v/>
      </c>
      <c r="V44" s="1472" t="str">
        <f t="shared" si="9"/>
        <v/>
      </c>
      <c r="W44" s="1029"/>
      <c r="X44" s="130" t="str">
        <f t="shared" si="10"/>
        <v/>
      </c>
      <c r="Y44" s="5" t="str">
        <f t="shared" si="11"/>
        <v/>
      </c>
      <c r="Z44" s="1028"/>
      <c r="AA44" s="130" t="str">
        <f t="shared" si="12"/>
        <v/>
      </c>
      <c r="AB44" s="5" t="str">
        <f t="shared" si="13"/>
        <v/>
      </c>
      <c r="AC44" s="1029"/>
      <c r="AD44" s="130" t="str">
        <f t="shared" si="80"/>
        <v/>
      </c>
      <c r="AE44" s="5" t="str">
        <f t="shared" si="14"/>
        <v/>
      </c>
      <c r="AF44" s="1028"/>
      <c r="AG44" s="130" t="str">
        <f t="shared" si="15"/>
        <v/>
      </c>
      <c r="AH44" s="5" t="str">
        <f t="shared" si="16"/>
        <v/>
      </c>
      <c r="AI44" s="1028"/>
      <c r="AJ44" s="130" t="str">
        <f t="shared" si="17"/>
        <v/>
      </c>
      <c r="AK44" s="5" t="str">
        <f t="shared" si="18"/>
        <v/>
      </c>
      <c r="AL44" s="1028"/>
      <c r="AM44" s="130" t="str">
        <f t="shared" si="19"/>
        <v/>
      </c>
      <c r="AN44" s="5" t="str">
        <f t="shared" si="20"/>
        <v/>
      </c>
      <c r="AO44" s="1028"/>
      <c r="AP44" s="130" t="str">
        <f t="shared" si="21"/>
        <v/>
      </c>
      <c r="AQ44" s="5" t="str">
        <f t="shared" si="22"/>
        <v/>
      </c>
      <c r="AR44" s="1028"/>
      <c r="AS44" s="130" t="str">
        <f t="shared" si="23"/>
        <v/>
      </c>
      <c r="AT44" s="5" t="str">
        <f t="shared" si="24"/>
        <v/>
      </c>
      <c r="AU44" s="1028"/>
      <c r="AV44" s="130" t="str">
        <f t="shared" si="25"/>
        <v/>
      </c>
      <c r="AW44" s="5" t="str">
        <f t="shared" si="26"/>
        <v/>
      </c>
      <c r="AX44" s="1028"/>
      <c r="AY44" s="130" t="str">
        <f t="shared" si="27"/>
        <v/>
      </c>
      <c r="AZ44" s="5" t="str">
        <f t="shared" si="28"/>
        <v/>
      </c>
      <c r="BA44" s="1028"/>
      <c r="BB44" s="130" t="str">
        <f t="shared" si="29"/>
        <v/>
      </c>
      <c r="BC44" s="5" t="str">
        <f t="shared" si="30"/>
        <v/>
      </c>
      <c r="BD44" s="1028"/>
      <c r="BE44" s="130" t="str">
        <f t="shared" si="31"/>
        <v/>
      </c>
      <c r="BF44" s="5" t="str">
        <f t="shared" si="32"/>
        <v/>
      </c>
      <c r="BG44" s="1028"/>
      <c r="BH44" s="130" t="str">
        <f t="shared" si="33"/>
        <v/>
      </c>
      <c r="BI44" s="5" t="str">
        <f t="shared" si="34"/>
        <v/>
      </c>
      <c r="BJ44" s="1028"/>
      <c r="BK44" s="130" t="str">
        <f t="shared" si="35"/>
        <v/>
      </c>
      <c r="BL44" s="5" t="str">
        <f t="shared" si="36"/>
        <v/>
      </c>
      <c r="BM44" s="1028"/>
      <c r="BN44" s="130" t="str">
        <f t="shared" si="37"/>
        <v/>
      </c>
      <c r="BO44" s="5" t="str">
        <f t="shared" si="38"/>
        <v/>
      </c>
      <c r="BP44" s="1028"/>
      <c r="BQ44" s="130" t="str">
        <f t="shared" si="39"/>
        <v/>
      </c>
      <c r="BR44" s="5" t="str">
        <f t="shared" si="40"/>
        <v/>
      </c>
      <c r="BS44" s="1028"/>
      <c r="BT44" s="130" t="str">
        <f t="shared" si="41"/>
        <v/>
      </c>
      <c r="BU44" s="5" t="str">
        <f t="shared" si="42"/>
        <v/>
      </c>
      <c r="BV44" s="1028"/>
      <c r="BW44" s="130" t="str">
        <f t="shared" si="43"/>
        <v/>
      </c>
      <c r="BX44" s="5" t="str">
        <f t="shared" si="44"/>
        <v/>
      </c>
      <c r="BY44" s="1028"/>
      <c r="BZ44" s="130" t="str">
        <f t="shared" si="45"/>
        <v/>
      </c>
      <c r="CA44" s="5" t="str">
        <f t="shared" si="46"/>
        <v/>
      </c>
      <c r="CB44" s="1028"/>
      <c r="CC44" s="130" t="str">
        <f t="shared" si="47"/>
        <v/>
      </c>
      <c r="CD44" s="5" t="str">
        <f t="shared" si="48"/>
        <v/>
      </c>
      <c r="CE44" s="1028"/>
      <c r="CF44" s="130" t="str">
        <f t="shared" si="49"/>
        <v/>
      </c>
      <c r="CG44" s="5" t="str">
        <f t="shared" si="50"/>
        <v/>
      </c>
      <c r="CH44" s="1028"/>
      <c r="CI44" s="130" t="str">
        <f t="shared" si="51"/>
        <v/>
      </c>
      <c r="CJ44" s="5" t="str">
        <f t="shared" si="52"/>
        <v/>
      </c>
      <c r="CK44" s="1028"/>
      <c r="CL44" s="130" t="str">
        <f t="shared" si="53"/>
        <v/>
      </c>
      <c r="CM44" s="5" t="str">
        <f t="shared" si="54"/>
        <v/>
      </c>
      <c r="CN44" s="1028"/>
      <c r="CO44" s="130" t="str">
        <f t="shared" si="55"/>
        <v/>
      </c>
      <c r="CP44" s="5" t="str">
        <f t="shared" si="56"/>
        <v/>
      </c>
      <c r="CQ44" s="1028"/>
      <c r="CR44" s="130" t="str">
        <f t="shared" si="57"/>
        <v/>
      </c>
      <c r="CS44" s="5" t="str">
        <f t="shared" si="58"/>
        <v/>
      </c>
      <c r="CT44" s="1028"/>
      <c r="CU44" s="130" t="str">
        <f t="shared" si="59"/>
        <v/>
      </c>
      <c r="CV44" s="5" t="str">
        <f t="shared" si="60"/>
        <v/>
      </c>
      <c r="CW44" s="1028"/>
      <c r="CX44" s="130" t="str">
        <f t="shared" si="61"/>
        <v/>
      </c>
      <c r="CY44" s="5" t="str">
        <f t="shared" si="62"/>
        <v/>
      </c>
      <c r="CZ44" s="1028"/>
      <c r="DA44" s="130" t="str">
        <f t="shared" si="63"/>
        <v/>
      </c>
      <c r="DB44" s="5" t="str">
        <f t="shared" si="64"/>
        <v/>
      </c>
      <c r="DC44" s="1028"/>
      <c r="DD44" s="130" t="str">
        <f t="shared" si="65"/>
        <v/>
      </c>
      <c r="DE44" s="5" t="str">
        <f t="shared" si="66"/>
        <v/>
      </c>
      <c r="DF44" s="1028"/>
      <c r="DG44" s="130" t="str">
        <f t="shared" si="67"/>
        <v/>
      </c>
      <c r="DH44" s="5" t="str">
        <f t="shared" si="68"/>
        <v/>
      </c>
      <c r="DI44" s="1028"/>
      <c r="DJ44" s="130" t="str">
        <f t="shared" si="69"/>
        <v/>
      </c>
      <c r="DK44" s="5" t="str">
        <f t="shared" si="70"/>
        <v/>
      </c>
      <c r="DL44" s="1028"/>
      <c r="DM44" s="130" t="str">
        <f t="shared" si="71"/>
        <v/>
      </c>
      <c r="DN44" s="5" t="str">
        <f t="shared" si="72"/>
        <v/>
      </c>
      <c r="DO44" s="1028"/>
      <c r="DP44" s="130" t="str">
        <f t="shared" si="73"/>
        <v/>
      </c>
      <c r="DQ44" s="5" t="str">
        <f t="shared" si="74"/>
        <v/>
      </c>
      <c r="DR44" s="1028"/>
      <c r="DS44" s="130" t="str">
        <f t="shared" si="75"/>
        <v/>
      </c>
      <c r="DT44" s="5" t="str">
        <f t="shared" si="76"/>
        <v/>
      </c>
      <c r="DU44" s="1028"/>
      <c r="DV44" s="130" t="str">
        <f t="shared" si="77"/>
        <v/>
      </c>
      <c r="DW44" s="5" t="str">
        <f t="shared" si="78"/>
        <v/>
      </c>
      <c r="DX44" s="147"/>
    </row>
    <row r="45" ht="23.25" customHeight="true" x14ac:dyDescent="0.25">
      <c r="B45" s="744"/>
      <c r="C45" s="664">
        <f t="shared" si="81"/>
        <v>14</v>
      </c>
      <c r="D45" s="1030"/>
      <c r="E45" s="1022"/>
      <c r="F45" s="1022"/>
      <c r="G45" s="1027"/>
      <c r="H45" s="1028"/>
      <c r="I45" s="130" t="str">
        <f t="shared" si="0"/>
        <v/>
      </c>
      <c r="J45" s="1472" t="str">
        <f t="shared" si="1"/>
        <v/>
      </c>
      <c r="K45" s="1028"/>
      <c r="L45" s="130" t="str">
        <f t="shared" si="2"/>
        <v/>
      </c>
      <c r="M45" s="1472" t="str">
        <f t="shared" si="3"/>
        <v/>
      </c>
      <c r="N45" s="1028"/>
      <c r="O45" s="130" t="str">
        <f t="shared" si="4"/>
        <v/>
      </c>
      <c r="P45" s="1472" t="str">
        <f t="shared" si="5"/>
        <v/>
      </c>
      <c r="Q45" s="1028"/>
      <c r="R45" s="130" t="str">
        <f t="shared" si="6"/>
        <v/>
      </c>
      <c r="S45" s="1473" t="str">
        <f t="shared" si="7"/>
        <v/>
      </c>
      <c r="T45" s="1028"/>
      <c r="U45" s="130" t="str">
        <f t="shared" si="8"/>
        <v/>
      </c>
      <c r="V45" s="1472" t="str">
        <f t="shared" si="9"/>
        <v/>
      </c>
      <c r="W45" s="1029"/>
      <c r="X45" s="130" t="str">
        <f t="shared" si="10"/>
        <v/>
      </c>
      <c r="Y45" s="5" t="str">
        <f t="shared" si="11"/>
        <v/>
      </c>
      <c r="Z45" s="1028"/>
      <c r="AA45" s="130" t="str">
        <f t="shared" si="12"/>
        <v/>
      </c>
      <c r="AB45" s="5" t="str">
        <f t="shared" si="13"/>
        <v/>
      </c>
      <c r="AC45" s="1029"/>
      <c r="AD45" s="130" t="str">
        <f t="shared" si="80"/>
        <v/>
      </c>
      <c r="AE45" s="5" t="str">
        <f t="shared" si="14"/>
        <v/>
      </c>
      <c r="AF45" s="1028"/>
      <c r="AG45" s="130" t="str">
        <f t="shared" si="15"/>
        <v/>
      </c>
      <c r="AH45" s="5" t="str">
        <f t="shared" si="16"/>
        <v/>
      </c>
      <c r="AI45" s="1028"/>
      <c r="AJ45" s="130" t="str">
        <f t="shared" si="17"/>
        <v/>
      </c>
      <c r="AK45" s="5" t="str">
        <f t="shared" si="18"/>
        <v/>
      </c>
      <c r="AL45" s="1028"/>
      <c r="AM45" s="130" t="str">
        <f t="shared" si="19"/>
        <v/>
      </c>
      <c r="AN45" s="5" t="str">
        <f t="shared" si="20"/>
        <v/>
      </c>
      <c r="AO45" s="1028"/>
      <c r="AP45" s="130" t="str">
        <f t="shared" si="21"/>
        <v/>
      </c>
      <c r="AQ45" s="5" t="str">
        <f t="shared" si="22"/>
        <v/>
      </c>
      <c r="AR45" s="1028"/>
      <c r="AS45" s="130" t="str">
        <f t="shared" si="23"/>
        <v/>
      </c>
      <c r="AT45" s="5" t="str">
        <f t="shared" si="24"/>
        <v/>
      </c>
      <c r="AU45" s="1028"/>
      <c r="AV45" s="130" t="str">
        <f t="shared" si="25"/>
        <v/>
      </c>
      <c r="AW45" s="5" t="str">
        <f t="shared" si="26"/>
        <v/>
      </c>
      <c r="AX45" s="1028"/>
      <c r="AY45" s="130" t="str">
        <f t="shared" si="27"/>
        <v/>
      </c>
      <c r="AZ45" s="5" t="str">
        <f t="shared" si="28"/>
        <v/>
      </c>
      <c r="BA45" s="1028"/>
      <c r="BB45" s="130" t="str">
        <f t="shared" si="29"/>
        <v/>
      </c>
      <c r="BC45" s="5" t="str">
        <f t="shared" si="30"/>
        <v/>
      </c>
      <c r="BD45" s="1028"/>
      <c r="BE45" s="130" t="str">
        <f t="shared" si="31"/>
        <v/>
      </c>
      <c r="BF45" s="5" t="str">
        <f t="shared" si="32"/>
        <v/>
      </c>
      <c r="BG45" s="1028"/>
      <c r="BH45" s="130" t="str">
        <f t="shared" si="33"/>
        <v/>
      </c>
      <c r="BI45" s="5" t="str">
        <f t="shared" si="34"/>
        <v/>
      </c>
      <c r="BJ45" s="1028"/>
      <c r="BK45" s="130" t="str">
        <f t="shared" si="35"/>
        <v/>
      </c>
      <c r="BL45" s="5" t="str">
        <f t="shared" si="36"/>
        <v/>
      </c>
      <c r="BM45" s="1028"/>
      <c r="BN45" s="130" t="str">
        <f t="shared" si="37"/>
        <v/>
      </c>
      <c r="BO45" s="5" t="str">
        <f t="shared" si="38"/>
        <v/>
      </c>
      <c r="BP45" s="1028"/>
      <c r="BQ45" s="130" t="str">
        <f t="shared" si="39"/>
        <v/>
      </c>
      <c r="BR45" s="5" t="str">
        <f t="shared" si="40"/>
        <v/>
      </c>
      <c r="BS45" s="1028"/>
      <c r="BT45" s="130" t="str">
        <f t="shared" si="41"/>
        <v/>
      </c>
      <c r="BU45" s="5" t="str">
        <f t="shared" si="42"/>
        <v/>
      </c>
      <c r="BV45" s="1028"/>
      <c r="BW45" s="130" t="str">
        <f t="shared" si="43"/>
        <v/>
      </c>
      <c r="BX45" s="5" t="str">
        <f t="shared" si="44"/>
        <v/>
      </c>
      <c r="BY45" s="1028"/>
      <c r="BZ45" s="130" t="str">
        <f t="shared" si="45"/>
        <v/>
      </c>
      <c r="CA45" s="5" t="str">
        <f t="shared" si="46"/>
        <v/>
      </c>
      <c r="CB45" s="1028"/>
      <c r="CC45" s="130" t="str">
        <f t="shared" si="47"/>
        <v/>
      </c>
      <c r="CD45" s="5" t="str">
        <f t="shared" si="48"/>
        <v/>
      </c>
      <c r="CE45" s="1028"/>
      <c r="CF45" s="130" t="str">
        <f t="shared" si="49"/>
        <v/>
      </c>
      <c r="CG45" s="5" t="str">
        <f t="shared" si="50"/>
        <v/>
      </c>
      <c r="CH45" s="1028"/>
      <c r="CI45" s="130" t="str">
        <f t="shared" si="51"/>
        <v/>
      </c>
      <c r="CJ45" s="5" t="str">
        <f t="shared" si="52"/>
        <v/>
      </c>
      <c r="CK45" s="1028"/>
      <c r="CL45" s="130" t="str">
        <f t="shared" si="53"/>
        <v/>
      </c>
      <c r="CM45" s="5" t="str">
        <f t="shared" si="54"/>
        <v/>
      </c>
      <c r="CN45" s="1028"/>
      <c r="CO45" s="130" t="str">
        <f t="shared" si="55"/>
        <v/>
      </c>
      <c r="CP45" s="5" t="str">
        <f t="shared" si="56"/>
        <v/>
      </c>
      <c r="CQ45" s="1028"/>
      <c r="CR45" s="130" t="str">
        <f t="shared" si="57"/>
        <v/>
      </c>
      <c r="CS45" s="5" t="str">
        <f t="shared" si="58"/>
        <v/>
      </c>
      <c r="CT45" s="1028"/>
      <c r="CU45" s="130" t="str">
        <f t="shared" si="59"/>
        <v/>
      </c>
      <c r="CV45" s="5" t="str">
        <f t="shared" si="60"/>
        <v/>
      </c>
      <c r="CW45" s="1028"/>
      <c r="CX45" s="130" t="str">
        <f t="shared" si="61"/>
        <v/>
      </c>
      <c r="CY45" s="5" t="str">
        <f t="shared" si="62"/>
        <v/>
      </c>
      <c r="CZ45" s="1028"/>
      <c r="DA45" s="130" t="str">
        <f t="shared" si="63"/>
        <v/>
      </c>
      <c r="DB45" s="5" t="str">
        <f t="shared" si="64"/>
        <v/>
      </c>
      <c r="DC45" s="1028"/>
      <c r="DD45" s="130" t="str">
        <f t="shared" si="65"/>
        <v/>
      </c>
      <c r="DE45" s="5" t="str">
        <f t="shared" si="66"/>
        <v/>
      </c>
      <c r="DF45" s="1028"/>
      <c r="DG45" s="130" t="str">
        <f t="shared" si="67"/>
        <v/>
      </c>
      <c r="DH45" s="5" t="str">
        <f t="shared" si="68"/>
        <v/>
      </c>
      <c r="DI45" s="1028"/>
      <c r="DJ45" s="130" t="str">
        <f t="shared" si="69"/>
        <v/>
      </c>
      <c r="DK45" s="5" t="str">
        <f t="shared" si="70"/>
        <v/>
      </c>
      <c r="DL45" s="1028"/>
      <c r="DM45" s="130" t="str">
        <f t="shared" si="71"/>
        <v/>
      </c>
      <c r="DN45" s="5" t="str">
        <f t="shared" si="72"/>
        <v/>
      </c>
      <c r="DO45" s="1028"/>
      <c r="DP45" s="130" t="str">
        <f t="shared" si="73"/>
        <v/>
      </c>
      <c r="DQ45" s="5" t="str">
        <f t="shared" si="74"/>
        <v/>
      </c>
      <c r="DR45" s="1028"/>
      <c r="DS45" s="130" t="str">
        <f t="shared" si="75"/>
        <v/>
      </c>
      <c r="DT45" s="5" t="str">
        <f t="shared" si="76"/>
        <v/>
      </c>
      <c r="DU45" s="1028"/>
      <c r="DV45" s="130" t="str">
        <f t="shared" si="77"/>
        <v/>
      </c>
      <c r="DW45" s="5" t="str">
        <f t="shared" si="78"/>
        <v/>
      </c>
      <c r="DX45" s="147"/>
    </row>
    <row r="46" ht="23.25" customHeight="true" x14ac:dyDescent="0.25">
      <c r="B46" s="744"/>
      <c r="C46" s="664">
        <f t="shared" si="81"/>
        <v>15</v>
      </c>
      <c r="D46" s="1030"/>
      <c r="E46" s="1022"/>
      <c r="F46" s="1022"/>
      <c r="G46" s="1027"/>
      <c r="H46" s="1028"/>
      <c r="I46" s="130" t="str">
        <f t="shared" si="0"/>
        <v/>
      </c>
      <c r="J46" s="1472" t="str">
        <f t="shared" si="1"/>
        <v/>
      </c>
      <c r="K46" s="1028"/>
      <c r="L46" s="130" t="str">
        <f t="shared" si="2"/>
        <v/>
      </c>
      <c r="M46" s="1472" t="str">
        <f t="shared" si="3"/>
        <v/>
      </c>
      <c r="N46" s="1028"/>
      <c r="O46" s="130" t="str">
        <f t="shared" si="4"/>
        <v/>
      </c>
      <c r="P46" s="1472" t="str">
        <f t="shared" si="5"/>
        <v/>
      </c>
      <c r="Q46" s="1028"/>
      <c r="R46" s="130" t="str">
        <f t="shared" si="6"/>
        <v/>
      </c>
      <c r="S46" s="1473" t="str">
        <f t="shared" si="7"/>
        <v/>
      </c>
      <c r="T46" s="1028"/>
      <c r="U46" s="130" t="str">
        <f t="shared" si="8"/>
        <v/>
      </c>
      <c r="V46" s="1472" t="str">
        <f t="shared" si="9"/>
        <v/>
      </c>
      <c r="W46" s="1029"/>
      <c r="X46" s="130" t="str">
        <f t="shared" si="10"/>
        <v/>
      </c>
      <c r="Y46" s="5" t="str">
        <f t="shared" si="11"/>
        <v/>
      </c>
      <c r="Z46" s="1028"/>
      <c r="AA46" s="130" t="str">
        <f t="shared" si="12"/>
        <v/>
      </c>
      <c r="AB46" s="5" t="str">
        <f t="shared" si="13"/>
        <v/>
      </c>
      <c r="AC46" s="1029"/>
      <c r="AD46" s="130" t="str">
        <f t="shared" si="80"/>
        <v/>
      </c>
      <c r="AE46" s="5" t="str">
        <f t="shared" si="14"/>
        <v/>
      </c>
      <c r="AF46" s="1028"/>
      <c r="AG46" s="130" t="str">
        <f t="shared" si="15"/>
        <v/>
      </c>
      <c r="AH46" s="5" t="str">
        <f t="shared" si="16"/>
        <v/>
      </c>
      <c r="AI46" s="1028"/>
      <c r="AJ46" s="130" t="str">
        <f t="shared" si="17"/>
        <v/>
      </c>
      <c r="AK46" s="5" t="str">
        <f t="shared" si="18"/>
        <v/>
      </c>
      <c r="AL46" s="1028"/>
      <c r="AM46" s="130" t="str">
        <f t="shared" si="19"/>
        <v/>
      </c>
      <c r="AN46" s="5" t="str">
        <f t="shared" si="20"/>
        <v/>
      </c>
      <c r="AO46" s="1028"/>
      <c r="AP46" s="130" t="str">
        <f t="shared" si="21"/>
        <v/>
      </c>
      <c r="AQ46" s="5" t="str">
        <f t="shared" si="22"/>
        <v/>
      </c>
      <c r="AR46" s="1028"/>
      <c r="AS46" s="130" t="str">
        <f t="shared" si="23"/>
        <v/>
      </c>
      <c r="AT46" s="5" t="str">
        <f t="shared" si="24"/>
        <v/>
      </c>
      <c r="AU46" s="1028"/>
      <c r="AV46" s="130" t="str">
        <f t="shared" si="25"/>
        <v/>
      </c>
      <c r="AW46" s="5" t="str">
        <f t="shared" si="26"/>
        <v/>
      </c>
      <c r="AX46" s="1028"/>
      <c r="AY46" s="130" t="str">
        <f t="shared" si="27"/>
        <v/>
      </c>
      <c r="AZ46" s="5" t="str">
        <f t="shared" si="28"/>
        <v/>
      </c>
      <c r="BA46" s="1028"/>
      <c r="BB46" s="130" t="str">
        <f t="shared" si="29"/>
        <v/>
      </c>
      <c r="BC46" s="5" t="str">
        <f t="shared" si="30"/>
        <v/>
      </c>
      <c r="BD46" s="1028"/>
      <c r="BE46" s="130" t="str">
        <f t="shared" si="31"/>
        <v/>
      </c>
      <c r="BF46" s="5" t="str">
        <f t="shared" si="32"/>
        <v/>
      </c>
      <c r="BG46" s="1028"/>
      <c r="BH46" s="130" t="str">
        <f t="shared" si="33"/>
        <v/>
      </c>
      <c r="BI46" s="5" t="str">
        <f t="shared" si="34"/>
        <v/>
      </c>
      <c r="BJ46" s="1028"/>
      <c r="BK46" s="130" t="str">
        <f t="shared" si="35"/>
        <v/>
      </c>
      <c r="BL46" s="5" t="str">
        <f t="shared" si="36"/>
        <v/>
      </c>
      <c r="BM46" s="1028"/>
      <c r="BN46" s="130" t="str">
        <f t="shared" si="37"/>
        <v/>
      </c>
      <c r="BO46" s="5" t="str">
        <f t="shared" si="38"/>
        <v/>
      </c>
      <c r="BP46" s="1028"/>
      <c r="BQ46" s="130" t="str">
        <f t="shared" si="39"/>
        <v/>
      </c>
      <c r="BR46" s="5" t="str">
        <f t="shared" si="40"/>
        <v/>
      </c>
      <c r="BS46" s="1028"/>
      <c r="BT46" s="130" t="str">
        <f t="shared" si="41"/>
        <v/>
      </c>
      <c r="BU46" s="5" t="str">
        <f t="shared" si="42"/>
        <v/>
      </c>
      <c r="BV46" s="1028"/>
      <c r="BW46" s="130" t="str">
        <f t="shared" si="43"/>
        <v/>
      </c>
      <c r="BX46" s="5" t="str">
        <f t="shared" si="44"/>
        <v/>
      </c>
      <c r="BY46" s="1028"/>
      <c r="BZ46" s="130" t="str">
        <f t="shared" si="45"/>
        <v/>
      </c>
      <c r="CA46" s="5" t="str">
        <f t="shared" si="46"/>
        <v/>
      </c>
      <c r="CB46" s="1028"/>
      <c r="CC46" s="130" t="str">
        <f t="shared" si="47"/>
        <v/>
      </c>
      <c r="CD46" s="5" t="str">
        <f t="shared" si="48"/>
        <v/>
      </c>
      <c r="CE46" s="1028"/>
      <c r="CF46" s="130" t="str">
        <f t="shared" si="49"/>
        <v/>
      </c>
      <c r="CG46" s="5" t="str">
        <f t="shared" si="50"/>
        <v/>
      </c>
      <c r="CH46" s="1028"/>
      <c r="CI46" s="130" t="str">
        <f t="shared" si="51"/>
        <v/>
      </c>
      <c r="CJ46" s="5" t="str">
        <f t="shared" si="52"/>
        <v/>
      </c>
      <c r="CK46" s="1028"/>
      <c r="CL46" s="130" t="str">
        <f t="shared" si="53"/>
        <v/>
      </c>
      <c r="CM46" s="5" t="str">
        <f t="shared" si="54"/>
        <v/>
      </c>
      <c r="CN46" s="1028"/>
      <c r="CO46" s="130" t="str">
        <f t="shared" si="55"/>
        <v/>
      </c>
      <c r="CP46" s="5" t="str">
        <f t="shared" si="56"/>
        <v/>
      </c>
      <c r="CQ46" s="1028"/>
      <c r="CR46" s="130" t="str">
        <f t="shared" si="57"/>
        <v/>
      </c>
      <c r="CS46" s="5" t="str">
        <f t="shared" si="58"/>
        <v/>
      </c>
      <c r="CT46" s="1028"/>
      <c r="CU46" s="130" t="str">
        <f t="shared" si="59"/>
        <v/>
      </c>
      <c r="CV46" s="5" t="str">
        <f t="shared" si="60"/>
        <v/>
      </c>
      <c r="CW46" s="1028"/>
      <c r="CX46" s="130" t="str">
        <f t="shared" si="61"/>
        <v/>
      </c>
      <c r="CY46" s="5" t="str">
        <f t="shared" si="62"/>
        <v/>
      </c>
      <c r="CZ46" s="1028"/>
      <c r="DA46" s="130" t="str">
        <f t="shared" si="63"/>
        <v/>
      </c>
      <c r="DB46" s="5" t="str">
        <f t="shared" si="64"/>
        <v/>
      </c>
      <c r="DC46" s="1028"/>
      <c r="DD46" s="130" t="str">
        <f t="shared" si="65"/>
        <v/>
      </c>
      <c r="DE46" s="5" t="str">
        <f t="shared" si="66"/>
        <v/>
      </c>
      <c r="DF46" s="1028"/>
      <c r="DG46" s="130" t="str">
        <f t="shared" si="67"/>
        <v/>
      </c>
      <c r="DH46" s="5" t="str">
        <f t="shared" si="68"/>
        <v/>
      </c>
      <c r="DI46" s="1028"/>
      <c r="DJ46" s="130" t="str">
        <f t="shared" si="69"/>
        <v/>
      </c>
      <c r="DK46" s="5" t="str">
        <f t="shared" si="70"/>
        <v/>
      </c>
      <c r="DL46" s="1028"/>
      <c r="DM46" s="130" t="str">
        <f t="shared" si="71"/>
        <v/>
      </c>
      <c r="DN46" s="5" t="str">
        <f t="shared" si="72"/>
        <v/>
      </c>
      <c r="DO46" s="1028"/>
      <c r="DP46" s="130" t="str">
        <f t="shared" si="73"/>
        <v/>
      </c>
      <c r="DQ46" s="5" t="str">
        <f t="shared" si="74"/>
        <v/>
      </c>
      <c r="DR46" s="1028"/>
      <c r="DS46" s="130" t="str">
        <f t="shared" si="75"/>
        <v/>
      </c>
      <c r="DT46" s="5" t="str">
        <f t="shared" si="76"/>
        <v/>
      </c>
      <c r="DU46" s="1028"/>
      <c r="DV46" s="130" t="str">
        <f t="shared" si="77"/>
        <v/>
      </c>
      <c r="DW46" s="5" t="str">
        <f t="shared" si="78"/>
        <v/>
      </c>
      <c r="DX46" s="147"/>
    </row>
    <row r="47" ht="23.25" customHeight="true" x14ac:dyDescent="0.25">
      <c r="B47" s="744"/>
      <c r="C47" s="664">
        <f t="shared" si="81"/>
        <v>16</v>
      </c>
      <c r="D47" s="1030"/>
      <c r="E47" s="1022"/>
      <c r="F47" s="1022"/>
      <c r="G47" s="1027"/>
      <c r="H47" s="1028"/>
      <c r="I47" s="130" t="str">
        <f t="shared" si="0"/>
        <v/>
      </c>
      <c r="J47" s="1472" t="str">
        <f t="shared" si="1"/>
        <v/>
      </c>
      <c r="K47" s="1028"/>
      <c r="L47" s="130" t="str">
        <f t="shared" si="2"/>
        <v/>
      </c>
      <c r="M47" s="1472" t="str">
        <f t="shared" si="3"/>
        <v/>
      </c>
      <c r="N47" s="1028"/>
      <c r="O47" s="130" t="str">
        <f t="shared" si="4"/>
        <v/>
      </c>
      <c r="P47" s="1472" t="str">
        <f t="shared" si="5"/>
        <v/>
      </c>
      <c r="Q47" s="1028"/>
      <c r="R47" s="130" t="str">
        <f t="shared" si="6"/>
        <v/>
      </c>
      <c r="S47" s="1473" t="str">
        <f t="shared" si="7"/>
        <v/>
      </c>
      <c r="T47" s="1028"/>
      <c r="U47" s="130" t="str">
        <f t="shared" si="8"/>
        <v/>
      </c>
      <c r="V47" s="1472" t="str">
        <f t="shared" si="9"/>
        <v/>
      </c>
      <c r="W47" s="1029"/>
      <c r="X47" s="130" t="str">
        <f t="shared" si="10"/>
        <v/>
      </c>
      <c r="Y47" s="5" t="str">
        <f t="shared" si="11"/>
        <v/>
      </c>
      <c r="Z47" s="1028"/>
      <c r="AA47" s="130" t="str">
        <f t="shared" si="12"/>
        <v/>
      </c>
      <c r="AB47" s="5" t="str">
        <f t="shared" si="13"/>
        <v/>
      </c>
      <c r="AC47" s="1029"/>
      <c r="AD47" s="130" t="str">
        <f t="shared" si="80"/>
        <v/>
      </c>
      <c r="AE47" s="5" t="str">
        <f t="shared" si="14"/>
        <v/>
      </c>
      <c r="AF47" s="1028"/>
      <c r="AG47" s="130" t="str">
        <f t="shared" si="15"/>
        <v/>
      </c>
      <c r="AH47" s="5" t="str">
        <f t="shared" si="16"/>
        <v/>
      </c>
      <c r="AI47" s="1028"/>
      <c r="AJ47" s="130" t="str">
        <f t="shared" si="17"/>
        <v/>
      </c>
      <c r="AK47" s="5" t="str">
        <f t="shared" si="18"/>
        <v/>
      </c>
      <c r="AL47" s="1028"/>
      <c r="AM47" s="130" t="str">
        <f t="shared" si="19"/>
        <v/>
      </c>
      <c r="AN47" s="5" t="str">
        <f t="shared" si="20"/>
        <v/>
      </c>
      <c r="AO47" s="1028"/>
      <c r="AP47" s="130" t="str">
        <f t="shared" si="21"/>
        <v/>
      </c>
      <c r="AQ47" s="5" t="str">
        <f t="shared" si="22"/>
        <v/>
      </c>
      <c r="AR47" s="1028"/>
      <c r="AS47" s="130" t="str">
        <f t="shared" si="23"/>
        <v/>
      </c>
      <c r="AT47" s="5" t="str">
        <f t="shared" si="24"/>
        <v/>
      </c>
      <c r="AU47" s="1028"/>
      <c r="AV47" s="130" t="str">
        <f t="shared" si="25"/>
        <v/>
      </c>
      <c r="AW47" s="5" t="str">
        <f t="shared" si="26"/>
        <v/>
      </c>
      <c r="AX47" s="1028"/>
      <c r="AY47" s="130" t="str">
        <f t="shared" si="27"/>
        <v/>
      </c>
      <c r="AZ47" s="5" t="str">
        <f t="shared" si="28"/>
        <v/>
      </c>
      <c r="BA47" s="1028"/>
      <c r="BB47" s="130" t="str">
        <f t="shared" si="29"/>
        <v/>
      </c>
      <c r="BC47" s="5" t="str">
        <f t="shared" si="30"/>
        <v/>
      </c>
      <c r="BD47" s="1028"/>
      <c r="BE47" s="130" t="str">
        <f t="shared" si="31"/>
        <v/>
      </c>
      <c r="BF47" s="5" t="str">
        <f t="shared" si="32"/>
        <v/>
      </c>
      <c r="BG47" s="1028"/>
      <c r="BH47" s="130" t="str">
        <f t="shared" si="33"/>
        <v/>
      </c>
      <c r="BI47" s="5" t="str">
        <f t="shared" si="34"/>
        <v/>
      </c>
      <c r="BJ47" s="1028"/>
      <c r="BK47" s="130" t="str">
        <f t="shared" si="35"/>
        <v/>
      </c>
      <c r="BL47" s="5" t="str">
        <f t="shared" si="36"/>
        <v/>
      </c>
      <c r="BM47" s="1028"/>
      <c r="BN47" s="130" t="str">
        <f t="shared" si="37"/>
        <v/>
      </c>
      <c r="BO47" s="5" t="str">
        <f t="shared" si="38"/>
        <v/>
      </c>
      <c r="BP47" s="1028"/>
      <c r="BQ47" s="130" t="str">
        <f t="shared" si="39"/>
        <v/>
      </c>
      <c r="BR47" s="5" t="str">
        <f t="shared" si="40"/>
        <v/>
      </c>
      <c r="BS47" s="1028"/>
      <c r="BT47" s="130" t="str">
        <f t="shared" si="41"/>
        <v/>
      </c>
      <c r="BU47" s="5" t="str">
        <f t="shared" si="42"/>
        <v/>
      </c>
      <c r="BV47" s="1028"/>
      <c r="BW47" s="130" t="str">
        <f t="shared" si="43"/>
        <v/>
      </c>
      <c r="BX47" s="5" t="str">
        <f t="shared" si="44"/>
        <v/>
      </c>
      <c r="BY47" s="1028"/>
      <c r="BZ47" s="130" t="str">
        <f t="shared" si="45"/>
        <v/>
      </c>
      <c r="CA47" s="5" t="str">
        <f t="shared" si="46"/>
        <v/>
      </c>
      <c r="CB47" s="1028"/>
      <c r="CC47" s="130" t="str">
        <f t="shared" si="47"/>
        <v/>
      </c>
      <c r="CD47" s="5" t="str">
        <f t="shared" si="48"/>
        <v/>
      </c>
      <c r="CE47" s="1028"/>
      <c r="CF47" s="130" t="str">
        <f t="shared" si="49"/>
        <v/>
      </c>
      <c r="CG47" s="5" t="str">
        <f t="shared" si="50"/>
        <v/>
      </c>
      <c r="CH47" s="1028"/>
      <c r="CI47" s="130" t="str">
        <f t="shared" si="51"/>
        <v/>
      </c>
      <c r="CJ47" s="5" t="str">
        <f t="shared" si="52"/>
        <v/>
      </c>
      <c r="CK47" s="1028"/>
      <c r="CL47" s="130" t="str">
        <f t="shared" si="53"/>
        <v/>
      </c>
      <c r="CM47" s="5" t="str">
        <f t="shared" si="54"/>
        <v/>
      </c>
      <c r="CN47" s="1028"/>
      <c r="CO47" s="130" t="str">
        <f t="shared" si="55"/>
        <v/>
      </c>
      <c r="CP47" s="5" t="str">
        <f t="shared" si="56"/>
        <v/>
      </c>
      <c r="CQ47" s="1028"/>
      <c r="CR47" s="130" t="str">
        <f t="shared" si="57"/>
        <v/>
      </c>
      <c r="CS47" s="5" t="str">
        <f t="shared" si="58"/>
        <v/>
      </c>
      <c r="CT47" s="1028"/>
      <c r="CU47" s="130" t="str">
        <f t="shared" si="59"/>
        <v/>
      </c>
      <c r="CV47" s="5" t="str">
        <f t="shared" si="60"/>
        <v/>
      </c>
      <c r="CW47" s="1028"/>
      <c r="CX47" s="130" t="str">
        <f t="shared" si="61"/>
        <v/>
      </c>
      <c r="CY47" s="5" t="str">
        <f t="shared" si="62"/>
        <v/>
      </c>
      <c r="CZ47" s="1028"/>
      <c r="DA47" s="130" t="str">
        <f t="shared" si="63"/>
        <v/>
      </c>
      <c r="DB47" s="5" t="str">
        <f t="shared" si="64"/>
        <v/>
      </c>
      <c r="DC47" s="1028"/>
      <c r="DD47" s="130" t="str">
        <f t="shared" si="65"/>
        <v/>
      </c>
      <c r="DE47" s="5" t="str">
        <f t="shared" si="66"/>
        <v/>
      </c>
      <c r="DF47" s="1028"/>
      <c r="DG47" s="130" t="str">
        <f t="shared" si="67"/>
        <v/>
      </c>
      <c r="DH47" s="5" t="str">
        <f t="shared" si="68"/>
        <v/>
      </c>
      <c r="DI47" s="1028"/>
      <c r="DJ47" s="130" t="str">
        <f t="shared" si="69"/>
        <v/>
      </c>
      <c r="DK47" s="5" t="str">
        <f t="shared" si="70"/>
        <v/>
      </c>
      <c r="DL47" s="1028"/>
      <c r="DM47" s="130" t="str">
        <f t="shared" si="71"/>
        <v/>
      </c>
      <c r="DN47" s="5" t="str">
        <f t="shared" si="72"/>
        <v/>
      </c>
      <c r="DO47" s="1028"/>
      <c r="DP47" s="130" t="str">
        <f t="shared" si="73"/>
        <v/>
      </c>
      <c r="DQ47" s="5" t="str">
        <f t="shared" si="74"/>
        <v/>
      </c>
      <c r="DR47" s="1028"/>
      <c r="DS47" s="130" t="str">
        <f t="shared" si="75"/>
        <v/>
      </c>
      <c r="DT47" s="5" t="str">
        <f t="shared" si="76"/>
        <v/>
      </c>
      <c r="DU47" s="1028"/>
      <c r="DV47" s="130" t="str">
        <f t="shared" si="77"/>
        <v/>
      </c>
      <c r="DW47" s="5" t="str">
        <f t="shared" si="78"/>
        <v/>
      </c>
      <c r="DX47" s="147"/>
    </row>
    <row r="48" ht="23.25" customHeight="true" x14ac:dyDescent="0.25">
      <c r="B48" s="744"/>
      <c r="C48" s="664">
        <f t="shared" si="81"/>
        <v>17</v>
      </c>
      <c r="D48" s="1030"/>
      <c r="E48" s="1022"/>
      <c r="F48" s="1022"/>
      <c r="G48" s="1027"/>
      <c r="H48" s="1028"/>
      <c r="I48" s="130" t="str">
        <f t="shared" si="0"/>
        <v/>
      </c>
      <c r="J48" s="1472" t="str">
        <f t="shared" si="1"/>
        <v/>
      </c>
      <c r="K48" s="1028"/>
      <c r="L48" s="130" t="str">
        <f t="shared" si="2"/>
        <v/>
      </c>
      <c r="M48" s="1472" t="str">
        <f t="shared" si="3"/>
        <v/>
      </c>
      <c r="N48" s="1028"/>
      <c r="O48" s="130" t="str">
        <f t="shared" si="4"/>
        <v/>
      </c>
      <c r="P48" s="1472" t="str">
        <f t="shared" si="5"/>
        <v/>
      </c>
      <c r="Q48" s="1028"/>
      <c r="R48" s="130" t="str">
        <f t="shared" si="6"/>
        <v/>
      </c>
      <c r="S48" s="1473" t="str">
        <f t="shared" si="7"/>
        <v/>
      </c>
      <c r="T48" s="1028"/>
      <c r="U48" s="130" t="str">
        <f t="shared" si="8"/>
        <v/>
      </c>
      <c r="V48" s="1472" t="str">
        <f t="shared" si="9"/>
        <v/>
      </c>
      <c r="W48" s="1029"/>
      <c r="X48" s="130" t="str">
        <f t="shared" si="10"/>
        <v/>
      </c>
      <c r="Y48" s="5" t="str">
        <f t="shared" si="11"/>
        <v/>
      </c>
      <c r="Z48" s="1028"/>
      <c r="AA48" s="130" t="str">
        <f t="shared" si="12"/>
        <v/>
      </c>
      <c r="AB48" s="5" t="str">
        <f t="shared" si="13"/>
        <v/>
      </c>
      <c r="AC48" s="1029"/>
      <c r="AD48" s="130" t="str">
        <f t="shared" si="80"/>
        <v/>
      </c>
      <c r="AE48" s="5" t="str">
        <f t="shared" si="14"/>
        <v/>
      </c>
      <c r="AF48" s="1028"/>
      <c r="AG48" s="130" t="str">
        <f t="shared" si="15"/>
        <v/>
      </c>
      <c r="AH48" s="5" t="str">
        <f t="shared" si="16"/>
        <v/>
      </c>
      <c r="AI48" s="1028"/>
      <c r="AJ48" s="130" t="str">
        <f t="shared" si="17"/>
        <v/>
      </c>
      <c r="AK48" s="5" t="str">
        <f t="shared" si="18"/>
        <v/>
      </c>
      <c r="AL48" s="1028"/>
      <c r="AM48" s="130" t="str">
        <f t="shared" si="19"/>
        <v/>
      </c>
      <c r="AN48" s="5" t="str">
        <f t="shared" si="20"/>
        <v/>
      </c>
      <c r="AO48" s="1028"/>
      <c r="AP48" s="130" t="str">
        <f t="shared" si="21"/>
        <v/>
      </c>
      <c r="AQ48" s="5" t="str">
        <f t="shared" si="22"/>
        <v/>
      </c>
      <c r="AR48" s="1028"/>
      <c r="AS48" s="130" t="str">
        <f t="shared" si="23"/>
        <v/>
      </c>
      <c r="AT48" s="5" t="str">
        <f t="shared" si="24"/>
        <v/>
      </c>
      <c r="AU48" s="1028"/>
      <c r="AV48" s="130" t="str">
        <f t="shared" si="25"/>
        <v/>
      </c>
      <c r="AW48" s="5" t="str">
        <f t="shared" si="26"/>
        <v/>
      </c>
      <c r="AX48" s="1028"/>
      <c r="AY48" s="130" t="str">
        <f t="shared" si="27"/>
        <v/>
      </c>
      <c r="AZ48" s="5" t="str">
        <f t="shared" si="28"/>
        <v/>
      </c>
      <c r="BA48" s="1028"/>
      <c r="BB48" s="130" t="str">
        <f t="shared" si="29"/>
        <v/>
      </c>
      <c r="BC48" s="5" t="str">
        <f t="shared" si="30"/>
        <v/>
      </c>
      <c r="BD48" s="1028"/>
      <c r="BE48" s="130" t="str">
        <f t="shared" si="31"/>
        <v/>
      </c>
      <c r="BF48" s="5" t="str">
        <f t="shared" si="32"/>
        <v/>
      </c>
      <c r="BG48" s="1028"/>
      <c r="BH48" s="130" t="str">
        <f t="shared" si="33"/>
        <v/>
      </c>
      <c r="BI48" s="5" t="str">
        <f t="shared" si="34"/>
        <v/>
      </c>
      <c r="BJ48" s="1028"/>
      <c r="BK48" s="130" t="str">
        <f t="shared" si="35"/>
        <v/>
      </c>
      <c r="BL48" s="5" t="str">
        <f t="shared" si="36"/>
        <v/>
      </c>
      <c r="BM48" s="1028"/>
      <c r="BN48" s="130" t="str">
        <f t="shared" si="37"/>
        <v/>
      </c>
      <c r="BO48" s="5" t="str">
        <f t="shared" si="38"/>
        <v/>
      </c>
      <c r="BP48" s="1028"/>
      <c r="BQ48" s="130" t="str">
        <f t="shared" si="39"/>
        <v/>
      </c>
      <c r="BR48" s="5" t="str">
        <f t="shared" si="40"/>
        <v/>
      </c>
      <c r="BS48" s="1028"/>
      <c r="BT48" s="130" t="str">
        <f t="shared" si="41"/>
        <v/>
      </c>
      <c r="BU48" s="5" t="str">
        <f t="shared" si="42"/>
        <v/>
      </c>
      <c r="BV48" s="1028"/>
      <c r="BW48" s="130" t="str">
        <f t="shared" si="43"/>
        <v/>
      </c>
      <c r="BX48" s="5" t="str">
        <f t="shared" si="44"/>
        <v/>
      </c>
      <c r="BY48" s="1028"/>
      <c r="BZ48" s="130" t="str">
        <f t="shared" si="45"/>
        <v/>
      </c>
      <c r="CA48" s="5" t="str">
        <f t="shared" si="46"/>
        <v/>
      </c>
      <c r="CB48" s="1028"/>
      <c r="CC48" s="130" t="str">
        <f t="shared" si="47"/>
        <v/>
      </c>
      <c r="CD48" s="5" t="str">
        <f t="shared" si="48"/>
        <v/>
      </c>
      <c r="CE48" s="1028"/>
      <c r="CF48" s="130" t="str">
        <f t="shared" si="49"/>
        <v/>
      </c>
      <c r="CG48" s="5" t="str">
        <f t="shared" si="50"/>
        <v/>
      </c>
      <c r="CH48" s="1028"/>
      <c r="CI48" s="130" t="str">
        <f t="shared" si="51"/>
        <v/>
      </c>
      <c r="CJ48" s="5" t="str">
        <f t="shared" si="52"/>
        <v/>
      </c>
      <c r="CK48" s="1028"/>
      <c r="CL48" s="130" t="str">
        <f t="shared" si="53"/>
        <v/>
      </c>
      <c r="CM48" s="5" t="str">
        <f t="shared" si="54"/>
        <v/>
      </c>
      <c r="CN48" s="1028"/>
      <c r="CO48" s="130" t="str">
        <f t="shared" si="55"/>
        <v/>
      </c>
      <c r="CP48" s="5" t="str">
        <f t="shared" si="56"/>
        <v/>
      </c>
      <c r="CQ48" s="1028"/>
      <c r="CR48" s="130" t="str">
        <f t="shared" si="57"/>
        <v/>
      </c>
      <c r="CS48" s="5" t="str">
        <f t="shared" si="58"/>
        <v/>
      </c>
      <c r="CT48" s="1028"/>
      <c r="CU48" s="130" t="str">
        <f t="shared" si="59"/>
        <v/>
      </c>
      <c r="CV48" s="5" t="str">
        <f t="shared" si="60"/>
        <v/>
      </c>
      <c r="CW48" s="1028"/>
      <c r="CX48" s="130" t="str">
        <f t="shared" si="61"/>
        <v/>
      </c>
      <c r="CY48" s="5" t="str">
        <f t="shared" si="62"/>
        <v/>
      </c>
      <c r="CZ48" s="1028"/>
      <c r="DA48" s="130" t="str">
        <f t="shared" si="63"/>
        <v/>
      </c>
      <c r="DB48" s="5" t="str">
        <f t="shared" si="64"/>
        <v/>
      </c>
      <c r="DC48" s="1028"/>
      <c r="DD48" s="130" t="str">
        <f t="shared" si="65"/>
        <v/>
      </c>
      <c r="DE48" s="5" t="str">
        <f t="shared" si="66"/>
        <v/>
      </c>
      <c r="DF48" s="1028"/>
      <c r="DG48" s="130" t="str">
        <f t="shared" si="67"/>
        <v/>
      </c>
      <c r="DH48" s="5" t="str">
        <f t="shared" si="68"/>
        <v/>
      </c>
      <c r="DI48" s="1028"/>
      <c r="DJ48" s="130" t="str">
        <f t="shared" si="69"/>
        <v/>
      </c>
      <c r="DK48" s="5" t="str">
        <f t="shared" si="70"/>
        <v/>
      </c>
      <c r="DL48" s="1028"/>
      <c r="DM48" s="130" t="str">
        <f t="shared" si="71"/>
        <v/>
      </c>
      <c r="DN48" s="5" t="str">
        <f t="shared" si="72"/>
        <v/>
      </c>
      <c r="DO48" s="1028"/>
      <c r="DP48" s="130" t="str">
        <f t="shared" si="73"/>
        <v/>
      </c>
      <c r="DQ48" s="5" t="str">
        <f t="shared" si="74"/>
        <v/>
      </c>
      <c r="DR48" s="1028"/>
      <c r="DS48" s="130" t="str">
        <f t="shared" si="75"/>
        <v/>
      </c>
      <c r="DT48" s="5" t="str">
        <f t="shared" si="76"/>
        <v/>
      </c>
      <c r="DU48" s="1028"/>
      <c r="DV48" s="130" t="str">
        <f t="shared" si="77"/>
        <v/>
      </c>
      <c r="DW48" s="5" t="str">
        <f t="shared" si="78"/>
        <v/>
      </c>
      <c r="DX48" s="147"/>
    </row>
    <row r="49" ht="23.25" customHeight="true" x14ac:dyDescent="0.25">
      <c r="B49" s="744"/>
      <c r="C49" s="664">
        <f t="shared" si="81"/>
        <v>18</v>
      </c>
      <c r="D49" s="1030"/>
      <c r="E49" s="1022"/>
      <c r="F49" s="1022"/>
      <c r="G49" s="1027"/>
      <c r="H49" s="1028"/>
      <c r="I49" s="130" t="str">
        <f t="shared" si="0"/>
        <v/>
      </c>
      <c r="J49" s="1472" t="str">
        <f t="shared" si="1"/>
        <v/>
      </c>
      <c r="K49" s="1028"/>
      <c r="L49" s="130" t="str">
        <f t="shared" si="2"/>
        <v/>
      </c>
      <c r="M49" s="1472" t="str">
        <f t="shared" si="3"/>
        <v/>
      </c>
      <c r="N49" s="1028"/>
      <c r="O49" s="130" t="str">
        <f t="shared" si="4"/>
        <v/>
      </c>
      <c r="P49" s="1472" t="str">
        <f t="shared" si="5"/>
        <v/>
      </c>
      <c r="Q49" s="1028"/>
      <c r="R49" s="130" t="str">
        <f t="shared" si="6"/>
        <v/>
      </c>
      <c r="S49" s="1473" t="str">
        <f t="shared" si="7"/>
        <v/>
      </c>
      <c r="T49" s="1028"/>
      <c r="U49" s="130" t="str">
        <f t="shared" si="8"/>
        <v/>
      </c>
      <c r="V49" s="1472" t="str">
        <f t="shared" si="9"/>
        <v/>
      </c>
      <c r="W49" s="1029"/>
      <c r="X49" s="130" t="str">
        <f t="shared" si="10"/>
        <v/>
      </c>
      <c r="Y49" s="5" t="str">
        <f t="shared" si="11"/>
        <v/>
      </c>
      <c r="Z49" s="1028"/>
      <c r="AA49" s="130" t="str">
        <f t="shared" si="12"/>
        <v/>
      </c>
      <c r="AB49" s="5" t="str">
        <f t="shared" si="13"/>
        <v/>
      </c>
      <c r="AC49" s="1029"/>
      <c r="AD49" s="130" t="str">
        <f t="shared" si="80"/>
        <v/>
      </c>
      <c r="AE49" s="5" t="str">
        <f t="shared" si="14"/>
        <v/>
      </c>
      <c r="AF49" s="1028"/>
      <c r="AG49" s="130" t="str">
        <f t="shared" si="15"/>
        <v/>
      </c>
      <c r="AH49" s="5" t="str">
        <f t="shared" si="16"/>
        <v/>
      </c>
      <c r="AI49" s="1028"/>
      <c r="AJ49" s="130" t="str">
        <f t="shared" si="17"/>
        <v/>
      </c>
      <c r="AK49" s="5" t="str">
        <f t="shared" si="18"/>
        <v/>
      </c>
      <c r="AL49" s="1028"/>
      <c r="AM49" s="130" t="str">
        <f t="shared" si="19"/>
        <v/>
      </c>
      <c r="AN49" s="5" t="str">
        <f t="shared" si="20"/>
        <v/>
      </c>
      <c r="AO49" s="1028"/>
      <c r="AP49" s="130" t="str">
        <f t="shared" si="21"/>
        <v/>
      </c>
      <c r="AQ49" s="5" t="str">
        <f t="shared" si="22"/>
        <v/>
      </c>
      <c r="AR49" s="1028"/>
      <c r="AS49" s="130" t="str">
        <f t="shared" si="23"/>
        <v/>
      </c>
      <c r="AT49" s="5" t="str">
        <f t="shared" si="24"/>
        <v/>
      </c>
      <c r="AU49" s="1028"/>
      <c r="AV49" s="130" t="str">
        <f t="shared" si="25"/>
        <v/>
      </c>
      <c r="AW49" s="5" t="str">
        <f t="shared" si="26"/>
        <v/>
      </c>
      <c r="AX49" s="1028"/>
      <c r="AY49" s="130" t="str">
        <f t="shared" si="27"/>
        <v/>
      </c>
      <c r="AZ49" s="5" t="str">
        <f t="shared" si="28"/>
        <v/>
      </c>
      <c r="BA49" s="1028"/>
      <c r="BB49" s="130" t="str">
        <f t="shared" si="29"/>
        <v/>
      </c>
      <c r="BC49" s="5" t="str">
        <f t="shared" si="30"/>
        <v/>
      </c>
      <c r="BD49" s="1028"/>
      <c r="BE49" s="130" t="str">
        <f t="shared" si="31"/>
        <v/>
      </c>
      <c r="BF49" s="5" t="str">
        <f t="shared" si="32"/>
        <v/>
      </c>
      <c r="BG49" s="1028"/>
      <c r="BH49" s="130" t="str">
        <f t="shared" si="33"/>
        <v/>
      </c>
      <c r="BI49" s="5" t="str">
        <f t="shared" si="34"/>
        <v/>
      </c>
      <c r="BJ49" s="1028"/>
      <c r="BK49" s="130" t="str">
        <f t="shared" si="35"/>
        <v/>
      </c>
      <c r="BL49" s="5" t="str">
        <f t="shared" si="36"/>
        <v/>
      </c>
      <c r="BM49" s="1028"/>
      <c r="BN49" s="130" t="str">
        <f t="shared" si="37"/>
        <v/>
      </c>
      <c r="BO49" s="5" t="str">
        <f t="shared" si="38"/>
        <v/>
      </c>
      <c r="BP49" s="1028"/>
      <c r="BQ49" s="130" t="str">
        <f t="shared" si="39"/>
        <v/>
      </c>
      <c r="BR49" s="5" t="str">
        <f t="shared" si="40"/>
        <v/>
      </c>
      <c r="BS49" s="1028"/>
      <c r="BT49" s="130" t="str">
        <f t="shared" si="41"/>
        <v/>
      </c>
      <c r="BU49" s="5" t="str">
        <f t="shared" si="42"/>
        <v/>
      </c>
      <c r="BV49" s="1028"/>
      <c r="BW49" s="130" t="str">
        <f t="shared" si="43"/>
        <v/>
      </c>
      <c r="BX49" s="5" t="str">
        <f t="shared" si="44"/>
        <v/>
      </c>
      <c r="BY49" s="1028"/>
      <c r="BZ49" s="130" t="str">
        <f t="shared" si="45"/>
        <v/>
      </c>
      <c r="CA49" s="5" t="str">
        <f t="shared" si="46"/>
        <v/>
      </c>
      <c r="CB49" s="1028"/>
      <c r="CC49" s="130" t="str">
        <f t="shared" si="47"/>
        <v/>
      </c>
      <c r="CD49" s="5" t="str">
        <f t="shared" si="48"/>
        <v/>
      </c>
      <c r="CE49" s="1028"/>
      <c r="CF49" s="130" t="str">
        <f t="shared" si="49"/>
        <v/>
      </c>
      <c r="CG49" s="5" t="str">
        <f t="shared" si="50"/>
        <v/>
      </c>
      <c r="CH49" s="1028"/>
      <c r="CI49" s="130" t="str">
        <f t="shared" si="51"/>
        <v/>
      </c>
      <c r="CJ49" s="5" t="str">
        <f t="shared" si="52"/>
        <v/>
      </c>
      <c r="CK49" s="1028"/>
      <c r="CL49" s="130" t="str">
        <f t="shared" si="53"/>
        <v/>
      </c>
      <c r="CM49" s="5" t="str">
        <f t="shared" si="54"/>
        <v/>
      </c>
      <c r="CN49" s="1028"/>
      <c r="CO49" s="130" t="str">
        <f t="shared" si="55"/>
        <v/>
      </c>
      <c r="CP49" s="5" t="str">
        <f t="shared" si="56"/>
        <v/>
      </c>
      <c r="CQ49" s="1028"/>
      <c r="CR49" s="130" t="str">
        <f t="shared" si="57"/>
        <v/>
      </c>
      <c r="CS49" s="5" t="str">
        <f t="shared" si="58"/>
        <v/>
      </c>
      <c r="CT49" s="1028"/>
      <c r="CU49" s="130" t="str">
        <f t="shared" si="59"/>
        <v/>
      </c>
      <c r="CV49" s="5" t="str">
        <f t="shared" si="60"/>
        <v/>
      </c>
      <c r="CW49" s="1028"/>
      <c r="CX49" s="130" t="str">
        <f t="shared" si="61"/>
        <v/>
      </c>
      <c r="CY49" s="5" t="str">
        <f t="shared" si="62"/>
        <v/>
      </c>
      <c r="CZ49" s="1028"/>
      <c r="DA49" s="130" t="str">
        <f t="shared" si="63"/>
        <v/>
      </c>
      <c r="DB49" s="5" t="str">
        <f t="shared" si="64"/>
        <v/>
      </c>
      <c r="DC49" s="1028"/>
      <c r="DD49" s="130" t="str">
        <f t="shared" si="65"/>
        <v/>
      </c>
      <c r="DE49" s="5" t="str">
        <f t="shared" si="66"/>
        <v/>
      </c>
      <c r="DF49" s="1028"/>
      <c r="DG49" s="130" t="str">
        <f t="shared" si="67"/>
        <v/>
      </c>
      <c r="DH49" s="5" t="str">
        <f t="shared" si="68"/>
        <v/>
      </c>
      <c r="DI49" s="1028"/>
      <c r="DJ49" s="130" t="str">
        <f t="shared" si="69"/>
        <v/>
      </c>
      <c r="DK49" s="5" t="str">
        <f t="shared" si="70"/>
        <v/>
      </c>
      <c r="DL49" s="1028"/>
      <c r="DM49" s="130" t="str">
        <f t="shared" si="71"/>
        <v/>
      </c>
      <c r="DN49" s="5" t="str">
        <f t="shared" si="72"/>
        <v/>
      </c>
      <c r="DO49" s="1028"/>
      <c r="DP49" s="130" t="str">
        <f t="shared" si="73"/>
        <v/>
      </c>
      <c r="DQ49" s="5" t="str">
        <f t="shared" si="74"/>
        <v/>
      </c>
      <c r="DR49" s="1028"/>
      <c r="DS49" s="130" t="str">
        <f t="shared" si="75"/>
        <v/>
      </c>
      <c r="DT49" s="5" t="str">
        <f t="shared" si="76"/>
        <v/>
      </c>
      <c r="DU49" s="1028"/>
      <c r="DV49" s="130" t="str">
        <f t="shared" si="77"/>
        <v/>
      </c>
      <c r="DW49" s="5" t="str">
        <f t="shared" si="78"/>
        <v/>
      </c>
      <c r="DX49" s="147"/>
    </row>
    <row r="50" ht="23.25" customHeight="true" x14ac:dyDescent="0.25">
      <c r="B50" s="744"/>
      <c r="C50" s="664">
        <f t="shared" si="81"/>
        <v>19</v>
      </c>
      <c r="D50" s="1030"/>
      <c r="E50" s="1022"/>
      <c r="F50" s="1022"/>
      <c r="G50" s="1027"/>
      <c r="H50" s="1028"/>
      <c r="I50" s="130" t="str">
        <f t="shared" si="0"/>
        <v/>
      </c>
      <c r="J50" s="1472" t="str">
        <f t="shared" si="1"/>
        <v/>
      </c>
      <c r="K50" s="1028"/>
      <c r="L50" s="130" t="str">
        <f t="shared" si="2"/>
        <v/>
      </c>
      <c r="M50" s="1472" t="str">
        <f t="shared" si="3"/>
        <v/>
      </c>
      <c r="N50" s="1028"/>
      <c r="O50" s="130" t="str">
        <f t="shared" si="4"/>
        <v/>
      </c>
      <c r="P50" s="1472" t="str">
        <f t="shared" si="5"/>
        <v/>
      </c>
      <c r="Q50" s="1028"/>
      <c r="R50" s="130" t="str">
        <f t="shared" si="6"/>
        <v/>
      </c>
      <c r="S50" s="1473" t="str">
        <f t="shared" si="7"/>
        <v/>
      </c>
      <c r="T50" s="1028"/>
      <c r="U50" s="130" t="str">
        <f t="shared" si="8"/>
        <v/>
      </c>
      <c r="V50" s="1472" t="str">
        <f t="shared" si="9"/>
        <v/>
      </c>
      <c r="W50" s="1029"/>
      <c r="X50" s="130" t="str">
        <f t="shared" si="10"/>
        <v/>
      </c>
      <c r="Y50" s="5" t="str">
        <f t="shared" si="11"/>
        <v/>
      </c>
      <c r="Z50" s="1028"/>
      <c r="AA50" s="130" t="str">
        <f t="shared" si="12"/>
        <v/>
      </c>
      <c r="AB50" s="5" t="str">
        <f t="shared" si="13"/>
        <v/>
      </c>
      <c r="AC50" s="1029"/>
      <c r="AD50" s="130" t="str">
        <f t="shared" si="80"/>
        <v/>
      </c>
      <c r="AE50" s="5" t="str">
        <f t="shared" si="14"/>
        <v/>
      </c>
      <c r="AF50" s="1028"/>
      <c r="AG50" s="130" t="str">
        <f t="shared" si="15"/>
        <v/>
      </c>
      <c r="AH50" s="5" t="str">
        <f t="shared" si="16"/>
        <v/>
      </c>
      <c r="AI50" s="1028"/>
      <c r="AJ50" s="130" t="str">
        <f t="shared" si="17"/>
        <v/>
      </c>
      <c r="AK50" s="5" t="str">
        <f t="shared" si="18"/>
        <v/>
      </c>
      <c r="AL50" s="1028"/>
      <c r="AM50" s="130" t="str">
        <f t="shared" si="19"/>
        <v/>
      </c>
      <c r="AN50" s="5" t="str">
        <f t="shared" si="20"/>
        <v/>
      </c>
      <c r="AO50" s="1028"/>
      <c r="AP50" s="130" t="str">
        <f t="shared" si="21"/>
        <v/>
      </c>
      <c r="AQ50" s="5" t="str">
        <f t="shared" si="22"/>
        <v/>
      </c>
      <c r="AR50" s="1028"/>
      <c r="AS50" s="130" t="str">
        <f t="shared" si="23"/>
        <v/>
      </c>
      <c r="AT50" s="5" t="str">
        <f t="shared" si="24"/>
        <v/>
      </c>
      <c r="AU50" s="1028"/>
      <c r="AV50" s="130" t="str">
        <f t="shared" si="25"/>
        <v/>
      </c>
      <c r="AW50" s="5" t="str">
        <f t="shared" si="26"/>
        <v/>
      </c>
      <c r="AX50" s="1028"/>
      <c r="AY50" s="130" t="str">
        <f t="shared" si="27"/>
        <v/>
      </c>
      <c r="AZ50" s="5" t="str">
        <f t="shared" si="28"/>
        <v/>
      </c>
      <c r="BA50" s="1028"/>
      <c r="BB50" s="130" t="str">
        <f t="shared" si="29"/>
        <v/>
      </c>
      <c r="BC50" s="5" t="str">
        <f t="shared" si="30"/>
        <v/>
      </c>
      <c r="BD50" s="1028"/>
      <c r="BE50" s="130" t="str">
        <f t="shared" si="31"/>
        <v/>
      </c>
      <c r="BF50" s="5" t="str">
        <f t="shared" si="32"/>
        <v/>
      </c>
      <c r="BG50" s="1028"/>
      <c r="BH50" s="130" t="str">
        <f t="shared" si="33"/>
        <v/>
      </c>
      <c r="BI50" s="5" t="str">
        <f t="shared" si="34"/>
        <v/>
      </c>
      <c r="BJ50" s="1028"/>
      <c r="BK50" s="130" t="str">
        <f t="shared" si="35"/>
        <v/>
      </c>
      <c r="BL50" s="5" t="str">
        <f t="shared" si="36"/>
        <v/>
      </c>
      <c r="BM50" s="1028"/>
      <c r="BN50" s="130" t="str">
        <f t="shared" si="37"/>
        <v/>
      </c>
      <c r="BO50" s="5" t="str">
        <f t="shared" si="38"/>
        <v/>
      </c>
      <c r="BP50" s="1028"/>
      <c r="BQ50" s="130" t="str">
        <f t="shared" si="39"/>
        <v/>
      </c>
      <c r="BR50" s="5" t="str">
        <f t="shared" si="40"/>
        <v/>
      </c>
      <c r="BS50" s="1028"/>
      <c r="BT50" s="130" t="str">
        <f t="shared" si="41"/>
        <v/>
      </c>
      <c r="BU50" s="5" t="str">
        <f t="shared" si="42"/>
        <v/>
      </c>
      <c r="BV50" s="1028"/>
      <c r="BW50" s="130" t="str">
        <f t="shared" si="43"/>
        <v/>
      </c>
      <c r="BX50" s="5" t="str">
        <f t="shared" si="44"/>
        <v/>
      </c>
      <c r="BY50" s="1028"/>
      <c r="BZ50" s="130" t="str">
        <f t="shared" si="45"/>
        <v/>
      </c>
      <c r="CA50" s="5" t="str">
        <f t="shared" si="46"/>
        <v/>
      </c>
      <c r="CB50" s="1028"/>
      <c r="CC50" s="130" t="str">
        <f t="shared" si="47"/>
        <v/>
      </c>
      <c r="CD50" s="5" t="str">
        <f t="shared" si="48"/>
        <v/>
      </c>
      <c r="CE50" s="1028"/>
      <c r="CF50" s="130" t="str">
        <f t="shared" si="49"/>
        <v/>
      </c>
      <c r="CG50" s="5" t="str">
        <f t="shared" si="50"/>
        <v/>
      </c>
      <c r="CH50" s="1028"/>
      <c r="CI50" s="130" t="str">
        <f t="shared" si="51"/>
        <v/>
      </c>
      <c r="CJ50" s="5" t="str">
        <f t="shared" si="52"/>
        <v/>
      </c>
      <c r="CK50" s="1028"/>
      <c r="CL50" s="130" t="str">
        <f t="shared" si="53"/>
        <v/>
      </c>
      <c r="CM50" s="5" t="str">
        <f t="shared" si="54"/>
        <v/>
      </c>
      <c r="CN50" s="1028"/>
      <c r="CO50" s="130" t="str">
        <f t="shared" si="55"/>
        <v/>
      </c>
      <c r="CP50" s="5" t="str">
        <f t="shared" si="56"/>
        <v/>
      </c>
      <c r="CQ50" s="1028"/>
      <c r="CR50" s="130" t="str">
        <f t="shared" si="57"/>
        <v/>
      </c>
      <c r="CS50" s="5" t="str">
        <f t="shared" si="58"/>
        <v/>
      </c>
      <c r="CT50" s="1028"/>
      <c r="CU50" s="130" t="str">
        <f t="shared" si="59"/>
        <v/>
      </c>
      <c r="CV50" s="5" t="str">
        <f t="shared" si="60"/>
        <v/>
      </c>
      <c r="CW50" s="1028"/>
      <c r="CX50" s="130" t="str">
        <f t="shared" si="61"/>
        <v/>
      </c>
      <c r="CY50" s="5" t="str">
        <f t="shared" si="62"/>
        <v/>
      </c>
      <c r="CZ50" s="1028"/>
      <c r="DA50" s="130" t="str">
        <f t="shared" si="63"/>
        <v/>
      </c>
      <c r="DB50" s="5" t="str">
        <f t="shared" si="64"/>
        <v/>
      </c>
      <c r="DC50" s="1028"/>
      <c r="DD50" s="130" t="str">
        <f t="shared" si="65"/>
        <v/>
      </c>
      <c r="DE50" s="5" t="str">
        <f t="shared" si="66"/>
        <v/>
      </c>
      <c r="DF50" s="1028"/>
      <c r="DG50" s="130" t="str">
        <f t="shared" si="67"/>
        <v/>
      </c>
      <c r="DH50" s="5" t="str">
        <f t="shared" si="68"/>
        <v/>
      </c>
      <c r="DI50" s="1028"/>
      <c r="DJ50" s="130" t="str">
        <f t="shared" si="69"/>
        <v/>
      </c>
      <c r="DK50" s="5" t="str">
        <f t="shared" si="70"/>
        <v/>
      </c>
      <c r="DL50" s="1028"/>
      <c r="DM50" s="130" t="str">
        <f t="shared" si="71"/>
        <v/>
      </c>
      <c r="DN50" s="5" t="str">
        <f t="shared" si="72"/>
        <v/>
      </c>
      <c r="DO50" s="1028"/>
      <c r="DP50" s="130" t="str">
        <f t="shared" si="73"/>
        <v/>
      </c>
      <c r="DQ50" s="5" t="str">
        <f t="shared" si="74"/>
        <v/>
      </c>
      <c r="DR50" s="1028"/>
      <c r="DS50" s="130" t="str">
        <f t="shared" si="75"/>
        <v/>
      </c>
      <c r="DT50" s="5" t="str">
        <f t="shared" si="76"/>
        <v/>
      </c>
      <c r="DU50" s="1028"/>
      <c r="DV50" s="130" t="str">
        <f t="shared" si="77"/>
        <v/>
      </c>
      <c r="DW50" s="5" t="str">
        <f t="shared" si="78"/>
        <v/>
      </c>
      <c r="DX50" s="147"/>
    </row>
    <row r="51" ht="23.25" customHeight="true" x14ac:dyDescent="0.25">
      <c r="B51" s="744"/>
      <c r="C51" s="664">
        <f t="shared" si="81"/>
        <v>20</v>
      </c>
      <c r="D51" s="1030"/>
      <c r="E51" s="1022"/>
      <c r="F51" s="1022"/>
      <c r="G51" s="1027"/>
      <c r="H51" s="1028"/>
      <c r="I51" s="130" t="str">
        <f t="shared" si="0"/>
        <v/>
      </c>
      <c r="J51" s="1472" t="str">
        <f t="shared" si="1"/>
        <v/>
      </c>
      <c r="K51" s="1028"/>
      <c r="L51" s="130" t="str">
        <f t="shared" si="2"/>
        <v/>
      </c>
      <c r="M51" s="1472" t="str">
        <f t="shared" si="3"/>
        <v/>
      </c>
      <c r="N51" s="1028"/>
      <c r="O51" s="130" t="str">
        <f t="shared" si="4"/>
        <v/>
      </c>
      <c r="P51" s="1472" t="str">
        <f t="shared" si="5"/>
        <v/>
      </c>
      <c r="Q51" s="1028"/>
      <c r="R51" s="130" t="str">
        <f t="shared" si="6"/>
        <v/>
      </c>
      <c r="S51" s="1473" t="str">
        <f t="shared" si="7"/>
        <v/>
      </c>
      <c r="T51" s="1028"/>
      <c r="U51" s="130" t="str">
        <f t="shared" si="8"/>
        <v/>
      </c>
      <c r="V51" s="1472" t="str">
        <f t="shared" si="9"/>
        <v/>
      </c>
      <c r="W51" s="1029"/>
      <c r="X51" s="130" t="str">
        <f t="shared" si="10"/>
        <v/>
      </c>
      <c r="Y51" s="5" t="str">
        <f t="shared" si="11"/>
        <v/>
      </c>
      <c r="Z51" s="1028"/>
      <c r="AA51" s="130" t="str">
        <f t="shared" si="12"/>
        <v/>
      </c>
      <c r="AB51" s="5" t="str">
        <f t="shared" si="13"/>
        <v/>
      </c>
      <c r="AC51" s="1029"/>
      <c r="AD51" s="130" t="str">
        <f t="shared" si="80"/>
        <v/>
      </c>
      <c r="AE51" s="5" t="str">
        <f t="shared" si="14"/>
        <v/>
      </c>
      <c r="AF51" s="1028"/>
      <c r="AG51" s="130" t="str">
        <f t="shared" si="15"/>
        <v/>
      </c>
      <c r="AH51" s="5" t="str">
        <f t="shared" si="16"/>
        <v/>
      </c>
      <c r="AI51" s="1028"/>
      <c r="AJ51" s="130" t="str">
        <f t="shared" si="17"/>
        <v/>
      </c>
      <c r="AK51" s="5" t="str">
        <f t="shared" si="18"/>
        <v/>
      </c>
      <c r="AL51" s="1028"/>
      <c r="AM51" s="130" t="str">
        <f t="shared" si="19"/>
        <v/>
      </c>
      <c r="AN51" s="5" t="str">
        <f t="shared" si="20"/>
        <v/>
      </c>
      <c r="AO51" s="1028"/>
      <c r="AP51" s="130" t="str">
        <f t="shared" si="21"/>
        <v/>
      </c>
      <c r="AQ51" s="5" t="str">
        <f t="shared" si="22"/>
        <v/>
      </c>
      <c r="AR51" s="1028"/>
      <c r="AS51" s="130" t="str">
        <f t="shared" si="23"/>
        <v/>
      </c>
      <c r="AT51" s="5" t="str">
        <f t="shared" si="24"/>
        <v/>
      </c>
      <c r="AU51" s="1028"/>
      <c r="AV51" s="130" t="str">
        <f t="shared" si="25"/>
        <v/>
      </c>
      <c r="AW51" s="5" t="str">
        <f t="shared" si="26"/>
        <v/>
      </c>
      <c r="AX51" s="1028"/>
      <c r="AY51" s="130" t="str">
        <f t="shared" si="27"/>
        <v/>
      </c>
      <c r="AZ51" s="5" t="str">
        <f t="shared" si="28"/>
        <v/>
      </c>
      <c r="BA51" s="1028"/>
      <c r="BB51" s="130" t="str">
        <f t="shared" si="29"/>
        <v/>
      </c>
      <c r="BC51" s="5" t="str">
        <f t="shared" si="30"/>
        <v/>
      </c>
      <c r="BD51" s="1028"/>
      <c r="BE51" s="130" t="str">
        <f t="shared" si="31"/>
        <v/>
      </c>
      <c r="BF51" s="5" t="str">
        <f t="shared" si="32"/>
        <v/>
      </c>
      <c r="BG51" s="1028"/>
      <c r="BH51" s="130" t="str">
        <f t="shared" si="33"/>
        <v/>
      </c>
      <c r="BI51" s="5" t="str">
        <f t="shared" si="34"/>
        <v/>
      </c>
      <c r="BJ51" s="1028"/>
      <c r="BK51" s="130" t="str">
        <f t="shared" si="35"/>
        <v/>
      </c>
      <c r="BL51" s="5" t="str">
        <f t="shared" si="36"/>
        <v/>
      </c>
      <c r="BM51" s="1028"/>
      <c r="BN51" s="130" t="str">
        <f t="shared" si="37"/>
        <v/>
      </c>
      <c r="BO51" s="5" t="str">
        <f t="shared" si="38"/>
        <v/>
      </c>
      <c r="BP51" s="1028"/>
      <c r="BQ51" s="130" t="str">
        <f t="shared" si="39"/>
        <v/>
      </c>
      <c r="BR51" s="5" t="str">
        <f t="shared" si="40"/>
        <v/>
      </c>
      <c r="BS51" s="1028"/>
      <c r="BT51" s="130" t="str">
        <f t="shared" si="41"/>
        <v/>
      </c>
      <c r="BU51" s="5" t="str">
        <f t="shared" si="42"/>
        <v/>
      </c>
      <c r="BV51" s="1028"/>
      <c r="BW51" s="130" t="str">
        <f t="shared" si="43"/>
        <v/>
      </c>
      <c r="BX51" s="5" t="str">
        <f t="shared" si="44"/>
        <v/>
      </c>
      <c r="BY51" s="1028"/>
      <c r="BZ51" s="130" t="str">
        <f t="shared" si="45"/>
        <v/>
      </c>
      <c r="CA51" s="5" t="str">
        <f t="shared" si="46"/>
        <v/>
      </c>
      <c r="CB51" s="1028"/>
      <c r="CC51" s="130" t="str">
        <f t="shared" si="47"/>
        <v/>
      </c>
      <c r="CD51" s="5" t="str">
        <f t="shared" si="48"/>
        <v/>
      </c>
      <c r="CE51" s="1028"/>
      <c r="CF51" s="130" t="str">
        <f t="shared" si="49"/>
        <v/>
      </c>
      <c r="CG51" s="5" t="str">
        <f t="shared" si="50"/>
        <v/>
      </c>
      <c r="CH51" s="1028"/>
      <c r="CI51" s="130" t="str">
        <f t="shared" si="51"/>
        <v/>
      </c>
      <c r="CJ51" s="5" t="str">
        <f t="shared" si="52"/>
        <v/>
      </c>
      <c r="CK51" s="1028"/>
      <c r="CL51" s="130" t="str">
        <f t="shared" si="53"/>
        <v/>
      </c>
      <c r="CM51" s="5" t="str">
        <f t="shared" si="54"/>
        <v/>
      </c>
      <c r="CN51" s="1028"/>
      <c r="CO51" s="130" t="str">
        <f t="shared" si="55"/>
        <v/>
      </c>
      <c r="CP51" s="5" t="str">
        <f t="shared" si="56"/>
        <v/>
      </c>
      <c r="CQ51" s="1028"/>
      <c r="CR51" s="130" t="str">
        <f t="shared" si="57"/>
        <v/>
      </c>
      <c r="CS51" s="5" t="str">
        <f t="shared" si="58"/>
        <v/>
      </c>
      <c r="CT51" s="1028"/>
      <c r="CU51" s="130" t="str">
        <f t="shared" si="59"/>
        <v/>
      </c>
      <c r="CV51" s="5" t="str">
        <f t="shared" si="60"/>
        <v/>
      </c>
      <c r="CW51" s="1028"/>
      <c r="CX51" s="130" t="str">
        <f t="shared" si="61"/>
        <v/>
      </c>
      <c r="CY51" s="5" t="str">
        <f t="shared" si="62"/>
        <v/>
      </c>
      <c r="CZ51" s="1028"/>
      <c r="DA51" s="130" t="str">
        <f t="shared" si="63"/>
        <v/>
      </c>
      <c r="DB51" s="5" t="str">
        <f t="shared" si="64"/>
        <v/>
      </c>
      <c r="DC51" s="1028"/>
      <c r="DD51" s="130" t="str">
        <f t="shared" si="65"/>
        <v/>
      </c>
      <c r="DE51" s="5" t="str">
        <f t="shared" si="66"/>
        <v/>
      </c>
      <c r="DF51" s="1028"/>
      <c r="DG51" s="130" t="str">
        <f t="shared" si="67"/>
        <v/>
      </c>
      <c r="DH51" s="5" t="str">
        <f t="shared" si="68"/>
        <v/>
      </c>
      <c r="DI51" s="1028"/>
      <c r="DJ51" s="130" t="str">
        <f t="shared" si="69"/>
        <v/>
      </c>
      <c r="DK51" s="5" t="str">
        <f t="shared" si="70"/>
        <v/>
      </c>
      <c r="DL51" s="1028"/>
      <c r="DM51" s="130" t="str">
        <f t="shared" si="71"/>
        <v/>
      </c>
      <c r="DN51" s="5" t="str">
        <f t="shared" si="72"/>
        <v/>
      </c>
      <c r="DO51" s="1028"/>
      <c r="DP51" s="130" t="str">
        <f t="shared" si="73"/>
        <v/>
      </c>
      <c r="DQ51" s="5" t="str">
        <f t="shared" si="74"/>
        <v/>
      </c>
      <c r="DR51" s="1028"/>
      <c r="DS51" s="130" t="str">
        <f t="shared" si="75"/>
        <v/>
      </c>
      <c r="DT51" s="5" t="str">
        <f t="shared" si="76"/>
        <v/>
      </c>
      <c r="DU51" s="1028"/>
      <c r="DV51" s="130" t="str">
        <f t="shared" si="77"/>
        <v/>
      </c>
      <c r="DW51" s="5" t="str">
        <f t="shared" si="78"/>
        <v/>
      </c>
      <c r="DX51" s="147"/>
    </row>
    <row r="52" ht="23.25" customHeight="true" x14ac:dyDescent="0.25">
      <c r="B52" s="744"/>
      <c r="C52" s="664">
        <f t="shared" si="81"/>
        <v>21</v>
      </c>
      <c r="D52" s="1030"/>
      <c r="E52" s="1022"/>
      <c r="F52" s="1022"/>
      <c r="G52" s="1027"/>
      <c r="H52" s="1028"/>
      <c r="I52" s="130" t="str">
        <f t="shared" ref="I52:I81" si="82">IF(F52&gt;0,H52/F52,"")</f>
        <v/>
      </c>
      <c r="J52" s="1472" t="str">
        <f t="shared" ref="J52:J81" si="83">IF(I52="","",IF(I$82=0,0,I52/I$82))</f>
        <v/>
      </c>
      <c r="K52" s="1028"/>
      <c r="L52" s="130" t="str">
        <f t="shared" ref="L52:L81" si="84">IF($F52&gt;0,K52/$F52,"")</f>
        <v/>
      </c>
      <c r="M52" s="1472" t="str">
        <f t="shared" ref="M52:M81" si="85">IF(L52="","",IF(L$82=0,0,L52/L$82))</f>
        <v/>
      </c>
      <c r="N52" s="1028"/>
      <c r="O52" s="130" t="str">
        <f t="shared" ref="O52:O81" si="86">IF($F52&gt;0,N52/$F52,"")</f>
        <v/>
      </c>
      <c r="P52" s="1472" t="str">
        <f t="shared" ref="P52:P81" si="87">IF(O52="","",IF(O$82=0,0,O52/O$82))</f>
        <v/>
      </c>
      <c r="Q52" s="1028"/>
      <c r="R52" s="130" t="str">
        <f t="shared" ref="R52:R81" si="88">IF($F52&gt;0,Q52/$F52,"")</f>
        <v/>
      </c>
      <c r="S52" s="1473" t="str">
        <f t="shared" ref="S52:S81" si="89">IF(R52="","",IF(R$82=0,0,R52/R$82))</f>
        <v/>
      </c>
      <c r="T52" s="1028"/>
      <c r="U52" s="130" t="str">
        <f t="shared" ref="U52:U81" si="90">IF($F52&gt;0,T52/$F52,"")</f>
        <v/>
      </c>
      <c r="V52" s="1472" t="str">
        <f t="shared" ref="V52:V81" si="91">IF(U52="","",IF(U$82=0,0,U52/U$82))</f>
        <v/>
      </c>
      <c r="W52" s="1029"/>
      <c r="X52" s="130" t="str">
        <f t="shared" ref="X52:X81" si="92">IF($F52&gt;0,W52/$F52,"")</f>
        <v/>
      </c>
      <c r="Y52" s="5" t="str">
        <f t="shared" ref="Y52:Y81" si="93">IF(X52="","",IF(X$82=0,0,X52/X$82))</f>
        <v/>
      </c>
      <c r="Z52" s="1028"/>
      <c r="AA52" s="130" t="str">
        <f t="shared" ref="AA52:AA81" si="94">IF($F52&gt;0,Z52/$F52,"")</f>
        <v/>
      </c>
      <c r="AB52" s="5" t="str">
        <f t="shared" ref="AB52:AB81" si="95">IF(AA52="","",IF(AA$82=0,0,AA52/AA$82))</f>
        <v/>
      </c>
      <c r="AC52" s="1029"/>
      <c r="AD52" s="130" t="str">
        <f t="shared" ref="AD52:AD81" si="96">IF($F52&gt;0,AC52/$F52,"")</f>
        <v/>
      </c>
      <c r="AE52" s="5" t="str">
        <f t="shared" ref="AE52:AE81" si="97">IF(AD52="","",IF(AD$82=0,0,AD52/AD$82))</f>
        <v/>
      </c>
      <c r="AF52" s="1028"/>
      <c r="AG52" s="130" t="str">
        <f t="shared" ref="AG52:AG81" si="98">IF($F52&gt;0,AF52/$F52,"")</f>
        <v/>
      </c>
      <c r="AH52" s="5" t="str">
        <f t="shared" ref="AH52:AH81" si="99">IF(AG52="","",IF(AG$82=0,0,AG52/AG$82))</f>
        <v/>
      </c>
      <c r="AI52" s="1028"/>
      <c r="AJ52" s="130" t="str">
        <f t="shared" ref="AJ52:AJ81" si="100">IF($F52&gt;0,AI52/$F52,"")</f>
        <v/>
      </c>
      <c r="AK52" s="5" t="str">
        <f t="shared" ref="AK52:AK81" si="101">IF(AJ52="","",IF(AJ$82=0,0,AJ52/AJ$82))</f>
        <v/>
      </c>
      <c r="AL52" s="1028"/>
      <c r="AM52" s="130" t="str">
        <f t="shared" ref="AM52:AM81" si="102">IF($F52&gt;0,AL52/$F52,"")</f>
        <v/>
      </c>
      <c r="AN52" s="5" t="str">
        <f t="shared" ref="AN52:AN81" si="103">IF(AM52="","",IF(AM$82=0,0,AM52/AM$82))</f>
        <v/>
      </c>
      <c r="AO52" s="1028"/>
      <c r="AP52" s="130" t="str">
        <f t="shared" ref="AP52:AP81" si="104">IF($F52&gt;0,AO52/$F52,"")</f>
        <v/>
      </c>
      <c r="AQ52" s="5" t="str">
        <f t="shared" ref="AQ52:AQ81" si="105">IF(AP52="","",IF(AP$82=0,0,AP52/AP$82))</f>
        <v/>
      </c>
      <c r="AR52" s="1028"/>
      <c r="AS52" s="130" t="str">
        <f t="shared" ref="AS52:AS81" si="106">IF($F52&gt;0,AR52/$F52,"")</f>
        <v/>
      </c>
      <c r="AT52" s="5" t="str">
        <f t="shared" ref="AT52:AT81" si="107">IF(AS52="","",IF(AS$82=0,0,AS52/AS$82))</f>
        <v/>
      </c>
      <c r="AU52" s="1028"/>
      <c r="AV52" s="130" t="str">
        <f t="shared" ref="AV52:AV81" si="108">IF($F52&gt;0,AU52/$F52,"")</f>
        <v/>
      </c>
      <c r="AW52" s="5" t="str">
        <f t="shared" ref="AW52:AW81" si="109">IF(AV52="","",IF(AV$82=0,0,AV52/AV$82))</f>
        <v/>
      </c>
      <c r="AX52" s="1028"/>
      <c r="AY52" s="130" t="str">
        <f t="shared" ref="AY52:AY81" si="110">IF($F52&gt;0,AX52/$F52,"")</f>
        <v/>
      </c>
      <c r="AZ52" s="5" t="str">
        <f t="shared" ref="AZ52:AZ81" si="111">IF(AY52="","",IF(AY$82=0,0,AY52/AY$82))</f>
        <v/>
      </c>
      <c r="BA52" s="1028"/>
      <c r="BB52" s="130" t="str">
        <f t="shared" ref="BB52:BB81" si="112">IF($F52&gt;0,BA52/$F52,"")</f>
        <v/>
      </c>
      <c r="BC52" s="5" t="str">
        <f t="shared" ref="BC52:BC81" si="113">IF(BB52="","",IF(BB$82=0,0,BB52/BB$82))</f>
        <v/>
      </c>
      <c r="BD52" s="1028"/>
      <c r="BE52" s="130" t="str">
        <f t="shared" ref="BE52:BE81" si="114">IF($F52&gt;0,BD52/$F52,"")</f>
        <v/>
      </c>
      <c r="BF52" s="5" t="str">
        <f t="shared" ref="BF52:BF81" si="115">IF(BE52="","",IF(BE$82=0,0,BE52/BE$82))</f>
        <v/>
      </c>
      <c r="BG52" s="1028"/>
      <c r="BH52" s="130" t="str">
        <f t="shared" ref="BH52:BH81" si="116">IF($F52&gt;0,BG52/$F52,"")</f>
        <v/>
      </c>
      <c r="BI52" s="5" t="str">
        <f t="shared" ref="BI52:BI81" si="117">IF(BH52="","",IF(BH$82=0,0,BH52/BH$82))</f>
        <v/>
      </c>
      <c r="BJ52" s="1028"/>
      <c r="BK52" s="130" t="str">
        <f t="shared" ref="BK52:BK81" si="118">IF($F52&gt;0,BJ52/$F52,"")</f>
        <v/>
      </c>
      <c r="BL52" s="5" t="str">
        <f t="shared" ref="BL52:BL81" si="119">IF(BK52="","",IF(BK$82=0,0,BK52/BK$82))</f>
        <v/>
      </c>
      <c r="BM52" s="1028"/>
      <c r="BN52" s="130" t="str">
        <f t="shared" ref="BN52:BN81" si="120">IF($F52&gt;0,BM52/$F52,"")</f>
        <v/>
      </c>
      <c r="BO52" s="5" t="str">
        <f t="shared" ref="BO52:BO81" si="121">IF(BN52="","",IF(BN$82=0,0,BN52/BN$82))</f>
        <v/>
      </c>
      <c r="BP52" s="1028"/>
      <c r="BQ52" s="130" t="str">
        <f t="shared" ref="BQ52:BQ81" si="122">IF($F52&gt;0,BP52/$F52,"")</f>
        <v/>
      </c>
      <c r="BR52" s="5" t="str">
        <f t="shared" ref="BR52:BR81" si="123">IF(BQ52="","",IF(BQ$82=0,0,BQ52/BQ$82))</f>
        <v/>
      </c>
      <c r="BS52" s="1028"/>
      <c r="BT52" s="130" t="str">
        <f t="shared" ref="BT52:BT81" si="124">IF($F52&gt;0,BS52/$F52,"")</f>
        <v/>
      </c>
      <c r="BU52" s="5" t="str">
        <f t="shared" ref="BU52:BU81" si="125">IF(BT52="","",IF(BT$82=0,0,BT52/BT$82))</f>
        <v/>
      </c>
      <c r="BV52" s="1028"/>
      <c r="BW52" s="130" t="str">
        <f t="shared" ref="BW52:BW81" si="126">IF($F52&gt;0,BV52/$F52,"")</f>
        <v/>
      </c>
      <c r="BX52" s="5" t="str">
        <f t="shared" ref="BX52:BX81" si="127">IF(BW52="","",IF(BW$82=0,0,BW52/BW$82))</f>
        <v/>
      </c>
      <c r="BY52" s="1028"/>
      <c r="BZ52" s="130" t="str">
        <f t="shared" ref="BZ52:BZ81" si="128">IF($F52&gt;0,BY52/$F52,"")</f>
        <v/>
      </c>
      <c r="CA52" s="5" t="str">
        <f t="shared" ref="CA52:CA81" si="129">IF(BZ52="","",IF(BZ$82=0,0,BZ52/BZ$82))</f>
        <v/>
      </c>
      <c r="CB52" s="1028"/>
      <c r="CC52" s="130" t="str">
        <f t="shared" ref="CC52:CC81" si="130">IF($F52&gt;0,CB52/$F52,"")</f>
        <v/>
      </c>
      <c r="CD52" s="5" t="str">
        <f t="shared" ref="CD52:CD81" si="131">IF(CC52="","",IF(CC$82=0,0,CC52/CC$82))</f>
        <v/>
      </c>
      <c r="CE52" s="1028"/>
      <c r="CF52" s="130" t="str">
        <f t="shared" ref="CF52:CF81" si="132">IF($F52&gt;0,CE52/$F52,"")</f>
        <v/>
      </c>
      <c r="CG52" s="5" t="str">
        <f t="shared" ref="CG52:CG81" si="133">IF(CF52="","",IF(CF$82=0,0,CF52/CF$82))</f>
        <v/>
      </c>
      <c r="CH52" s="1028"/>
      <c r="CI52" s="130" t="str">
        <f t="shared" ref="CI52:CI81" si="134">IF($F52&gt;0,CH52/$F52,"")</f>
        <v/>
      </c>
      <c r="CJ52" s="5" t="str">
        <f t="shared" ref="CJ52:CJ81" si="135">IF(CI52="","",IF(CI$82=0,0,CI52/CI$82))</f>
        <v/>
      </c>
      <c r="CK52" s="1028"/>
      <c r="CL52" s="130" t="str">
        <f t="shared" ref="CL52:CL81" si="136">IF($F52&gt;0,CK52/$F52,"")</f>
        <v/>
      </c>
      <c r="CM52" s="5" t="str">
        <f t="shared" ref="CM52:CM81" si="137">IF(CL52="","",IF(CL$82=0,0,CL52/CL$82))</f>
        <v/>
      </c>
      <c r="CN52" s="1028"/>
      <c r="CO52" s="130" t="str">
        <f t="shared" ref="CO52:CO81" si="138">IF($F52&gt;0,CN52/$F52,"")</f>
        <v/>
      </c>
      <c r="CP52" s="5" t="str">
        <f t="shared" ref="CP52:CP81" si="139">IF(CO52="","",IF(CO$82=0,0,CO52/CO$82))</f>
        <v/>
      </c>
      <c r="CQ52" s="1028"/>
      <c r="CR52" s="130" t="str">
        <f t="shared" ref="CR52:CR81" si="140">IF($F52&gt;0,CQ52/$F52,"")</f>
        <v/>
      </c>
      <c r="CS52" s="5" t="str">
        <f t="shared" ref="CS52:CS81" si="141">IF(CR52="","",IF(CR$82=0,0,CR52/CR$82))</f>
        <v/>
      </c>
      <c r="CT52" s="1028"/>
      <c r="CU52" s="130" t="str">
        <f t="shared" ref="CU52:CU81" si="142">IF($F52&gt;0,CT52/$F52,"")</f>
        <v/>
      </c>
      <c r="CV52" s="5" t="str">
        <f t="shared" ref="CV52:CV81" si="143">IF(CU52="","",IF(CU$82=0,0,CU52/CU$82))</f>
        <v/>
      </c>
      <c r="CW52" s="1028"/>
      <c r="CX52" s="130" t="str">
        <f t="shared" ref="CX52:CX81" si="144">IF($F52&gt;0,CW52/$F52,"")</f>
        <v/>
      </c>
      <c r="CY52" s="5" t="str">
        <f t="shared" ref="CY52:CY81" si="145">IF(CX52="","",IF(CX$82=0,0,CX52/CX$82))</f>
        <v/>
      </c>
      <c r="CZ52" s="1028"/>
      <c r="DA52" s="130" t="str">
        <f t="shared" ref="DA52:DA81" si="146">IF($F52&gt;0,CZ52/$F52,"")</f>
        <v/>
      </c>
      <c r="DB52" s="5" t="str">
        <f t="shared" ref="DB52:DB81" si="147">IF(DA52="","",IF(DA$82=0,0,DA52/DA$82))</f>
        <v/>
      </c>
      <c r="DC52" s="1028"/>
      <c r="DD52" s="130" t="str">
        <f t="shared" ref="DD52:DD81" si="148">IF($F52&gt;0,DC52/$F52,"")</f>
        <v/>
      </c>
      <c r="DE52" s="5" t="str">
        <f t="shared" ref="DE52:DE81" si="149">IF(DD52="","",IF(DD$82=0,0,DD52/DD$82))</f>
        <v/>
      </c>
      <c r="DF52" s="1028"/>
      <c r="DG52" s="130" t="str">
        <f t="shared" ref="DG52:DG81" si="150">IF($F52&gt;0,DF52/$F52,"")</f>
        <v/>
      </c>
      <c r="DH52" s="5" t="str">
        <f t="shared" ref="DH52:DH81" si="151">IF(DG52="","",IF(DG$82=0,0,DG52/DG$82))</f>
        <v/>
      </c>
      <c r="DI52" s="1028"/>
      <c r="DJ52" s="130" t="str">
        <f t="shared" ref="DJ52:DJ81" si="152">IF($F52&gt;0,DI52/$F52,"")</f>
        <v/>
      </c>
      <c r="DK52" s="5" t="str">
        <f t="shared" ref="DK52:DK81" si="153">IF(DJ52="","",IF(DJ$82=0,0,DJ52/DJ$82))</f>
        <v/>
      </c>
      <c r="DL52" s="1028"/>
      <c r="DM52" s="130" t="str">
        <f t="shared" ref="DM52:DM81" si="154">IF($F52&gt;0,DL52/$F52,"")</f>
        <v/>
      </c>
      <c r="DN52" s="5" t="str">
        <f t="shared" ref="DN52:DN81" si="155">IF(DM52="","",IF(DM$82=0,0,DM52/DM$82))</f>
        <v/>
      </c>
      <c r="DO52" s="1028"/>
      <c r="DP52" s="130" t="str">
        <f t="shared" ref="DP52:DP81" si="156">IF($F52&gt;0,DO52/$F52,"")</f>
        <v/>
      </c>
      <c r="DQ52" s="5" t="str">
        <f t="shared" ref="DQ52:DQ81" si="157">IF(DP52="","",IF(DP$82=0,0,DP52/DP$82))</f>
        <v/>
      </c>
      <c r="DR52" s="1028"/>
      <c r="DS52" s="130" t="str">
        <f t="shared" ref="DS52:DS81" si="158">IF($F52&gt;0,DR52/$F52,"")</f>
        <v/>
      </c>
      <c r="DT52" s="5" t="str">
        <f t="shared" ref="DT52:DT81" si="159">IF(DS52="","",IF(DS$82=0,0,DS52/DS$82))</f>
        <v/>
      </c>
      <c r="DU52" s="1028"/>
      <c r="DV52" s="130" t="str">
        <f t="shared" ref="DV52:DV81" si="160">IF($F52&gt;0,DU52/$F52,"")</f>
        <v/>
      </c>
      <c r="DW52" s="5" t="str">
        <f t="shared" ref="DW52:DW81" si="161">IF(DV52="","",IF(DV$82=0,0,DV52/DV$82))</f>
        <v/>
      </c>
      <c r="DX52" s="147"/>
    </row>
    <row r="53" ht="23.25" customHeight="true" x14ac:dyDescent="0.25">
      <c r="B53" s="744"/>
      <c r="C53" s="664">
        <f t="shared" si="81"/>
        <v>22</v>
      </c>
      <c r="D53" s="1030"/>
      <c r="E53" s="1022"/>
      <c r="F53" s="1022"/>
      <c r="G53" s="1027"/>
      <c r="H53" s="1028"/>
      <c r="I53" s="130" t="str">
        <f t="shared" si="82"/>
        <v/>
      </c>
      <c r="J53" s="1472" t="str">
        <f t="shared" si="83"/>
        <v/>
      </c>
      <c r="K53" s="1028"/>
      <c r="L53" s="130" t="str">
        <f t="shared" si="84"/>
        <v/>
      </c>
      <c r="M53" s="1472" t="str">
        <f t="shared" si="85"/>
        <v/>
      </c>
      <c r="N53" s="1028"/>
      <c r="O53" s="130" t="str">
        <f t="shared" si="86"/>
        <v/>
      </c>
      <c r="P53" s="1472" t="str">
        <f t="shared" si="87"/>
        <v/>
      </c>
      <c r="Q53" s="1028"/>
      <c r="R53" s="130" t="str">
        <f t="shared" si="88"/>
        <v/>
      </c>
      <c r="S53" s="1473" t="str">
        <f t="shared" si="89"/>
        <v/>
      </c>
      <c r="T53" s="1028"/>
      <c r="U53" s="130" t="str">
        <f t="shared" si="90"/>
        <v/>
      </c>
      <c r="V53" s="1472" t="str">
        <f t="shared" si="91"/>
        <v/>
      </c>
      <c r="W53" s="1029"/>
      <c r="X53" s="130" t="str">
        <f t="shared" si="92"/>
        <v/>
      </c>
      <c r="Y53" s="5" t="str">
        <f t="shared" si="93"/>
        <v/>
      </c>
      <c r="Z53" s="1028"/>
      <c r="AA53" s="130" t="str">
        <f t="shared" si="94"/>
        <v/>
      </c>
      <c r="AB53" s="5" t="str">
        <f t="shared" si="95"/>
        <v/>
      </c>
      <c r="AC53" s="1029"/>
      <c r="AD53" s="130" t="str">
        <f t="shared" si="96"/>
        <v/>
      </c>
      <c r="AE53" s="5" t="str">
        <f t="shared" si="97"/>
        <v/>
      </c>
      <c r="AF53" s="1028"/>
      <c r="AG53" s="130" t="str">
        <f t="shared" si="98"/>
        <v/>
      </c>
      <c r="AH53" s="5" t="str">
        <f t="shared" si="99"/>
        <v/>
      </c>
      <c r="AI53" s="1028"/>
      <c r="AJ53" s="130" t="str">
        <f t="shared" si="100"/>
        <v/>
      </c>
      <c r="AK53" s="5" t="str">
        <f t="shared" si="101"/>
        <v/>
      </c>
      <c r="AL53" s="1028"/>
      <c r="AM53" s="130" t="str">
        <f t="shared" si="102"/>
        <v/>
      </c>
      <c r="AN53" s="5" t="str">
        <f t="shared" si="103"/>
        <v/>
      </c>
      <c r="AO53" s="1028"/>
      <c r="AP53" s="130" t="str">
        <f t="shared" si="104"/>
        <v/>
      </c>
      <c r="AQ53" s="5" t="str">
        <f t="shared" si="105"/>
        <v/>
      </c>
      <c r="AR53" s="1028"/>
      <c r="AS53" s="130" t="str">
        <f t="shared" si="106"/>
        <v/>
      </c>
      <c r="AT53" s="5" t="str">
        <f t="shared" si="107"/>
        <v/>
      </c>
      <c r="AU53" s="1028"/>
      <c r="AV53" s="130" t="str">
        <f t="shared" si="108"/>
        <v/>
      </c>
      <c r="AW53" s="5" t="str">
        <f t="shared" si="109"/>
        <v/>
      </c>
      <c r="AX53" s="1028"/>
      <c r="AY53" s="130" t="str">
        <f t="shared" si="110"/>
        <v/>
      </c>
      <c r="AZ53" s="5" t="str">
        <f t="shared" si="111"/>
        <v/>
      </c>
      <c r="BA53" s="1028"/>
      <c r="BB53" s="130" t="str">
        <f t="shared" si="112"/>
        <v/>
      </c>
      <c r="BC53" s="5" t="str">
        <f t="shared" si="113"/>
        <v/>
      </c>
      <c r="BD53" s="1028"/>
      <c r="BE53" s="130" t="str">
        <f t="shared" si="114"/>
        <v/>
      </c>
      <c r="BF53" s="5" t="str">
        <f t="shared" si="115"/>
        <v/>
      </c>
      <c r="BG53" s="1028"/>
      <c r="BH53" s="130" t="str">
        <f t="shared" si="116"/>
        <v/>
      </c>
      <c r="BI53" s="5" t="str">
        <f t="shared" si="117"/>
        <v/>
      </c>
      <c r="BJ53" s="1028"/>
      <c r="BK53" s="130" t="str">
        <f t="shared" si="118"/>
        <v/>
      </c>
      <c r="BL53" s="5" t="str">
        <f t="shared" si="119"/>
        <v/>
      </c>
      <c r="BM53" s="1028"/>
      <c r="BN53" s="130" t="str">
        <f t="shared" si="120"/>
        <v/>
      </c>
      <c r="BO53" s="5" t="str">
        <f t="shared" si="121"/>
        <v/>
      </c>
      <c r="BP53" s="1028"/>
      <c r="BQ53" s="130" t="str">
        <f t="shared" si="122"/>
        <v/>
      </c>
      <c r="BR53" s="5" t="str">
        <f t="shared" si="123"/>
        <v/>
      </c>
      <c r="BS53" s="1028"/>
      <c r="BT53" s="130" t="str">
        <f t="shared" si="124"/>
        <v/>
      </c>
      <c r="BU53" s="5" t="str">
        <f t="shared" si="125"/>
        <v/>
      </c>
      <c r="BV53" s="1028"/>
      <c r="BW53" s="130" t="str">
        <f t="shared" si="126"/>
        <v/>
      </c>
      <c r="BX53" s="5" t="str">
        <f t="shared" si="127"/>
        <v/>
      </c>
      <c r="BY53" s="1028"/>
      <c r="BZ53" s="130" t="str">
        <f t="shared" si="128"/>
        <v/>
      </c>
      <c r="CA53" s="5" t="str">
        <f t="shared" si="129"/>
        <v/>
      </c>
      <c r="CB53" s="1028"/>
      <c r="CC53" s="130" t="str">
        <f t="shared" si="130"/>
        <v/>
      </c>
      <c r="CD53" s="5" t="str">
        <f t="shared" si="131"/>
        <v/>
      </c>
      <c r="CE53" s="1028"/>
      <c r="CF53" s="130" t="str">
        <f t="shared" si="132"/>
        <v/>
      </c>
      <c r="CG53" s="5" t="str">
        <f t="shared" si="133"/>
        <v/>
      </c>
      <c r="CH53" s="1028"/>
      <c r="CI53" s="130" t="str">
        <f t="shared" si="134"/>
        <v/>
      </c>
      <c r="CJ53" s="5" t="str">
        <f t="shared" si="135"/>
        <v/>
      </c>
      <c r="CK53" s="1028"/>
      <c r="CL53" s="130" t="str">
        <f t="shared" si="136"/>
        <v/>
      </c>
      <c r="CM53" s="5" t="str">
        <f t="shared" si="137"/>
        <v/>
      </c>
      <c r="CN53" s="1028"/>
      <c r="CO53" s="130" t="str">
        <f t="shared" si="138"/>
        <v/>
      </c>
      <c r="CP53" s="5" t="str">
        <f t="shared" si="139"/>
        <v/>
      </c>
      <c r="CQ53" s="1028"/>
      <c r="CR53" s="130" t="str">
        <f t="shared" si="140"/>
        <v/>
      </c>
      <c r="CS53" s="5" t="str">
        <f t="shared" si="141"/>
        <v/>
      </c>
      <c r="CT53" s="1028"/>
      <c r="CU53" s="130" t="str">
        <f t="shared" si="142"/>
        <v/>
      </c>
      <c r="CV53" s="5" t="str">
        <f t="shared" si="143"/>
        <v/>
      </c>
      <c r="CW53" s="1028"/>
      <c r="CX53" s="130" t="str">
        <f t="shared" si="144"/>
        <v/>
      </c>
      <c r="CY53" s="5" t="str">
        <f t="shared" si="145"/>
        <v/>
      </c>
      <c r="CZ53" s="1028"/>
      <c r="DA53" s="130" t="str">
        <f t="shared" si="146"/>
        <v/>
      </c>
      <c r="DB53" s="5" t="str">
        <f t="shared" si="147"/>
        <v/>
      </c>
      <c r="DC53" s="1028"/>
      <c r="DD53" s="130" t="str">
        <f t="shared" si="148"/>
        <v/>
      </c>
      <c r="DE53" s="5" t="str">
        <f t="shared" si="149"/>
        <v/>
      </c>
      <c r="DF53" s="1028"/>
      <c r="DG53" s="130" t="str">
        <f t="shared" si="150"/>
        <v/>
      </c>
      <c r="DH53" s="5" t="str">
        <f t="shared" si="151"/>
        <v/>
      </c>
      <c r="DI53" s="1028"/>
      <c r="DJ53" s="130" t="str">
        <f t="shared" si="152"/>
        <v/>
      </c>
      <c r="DK53" s="5" t="str">
        <f t="shared" si="153"/>
        <v/>
      </c>
      <c r="DL53" s="1028"/>
      <c r="DM53" s="130" t="str">
        <f t="shared" si="154"/>
        <v/>
      </c>
      <c r="DN53" s="5" t="str">
        <f t="shared" si="155"/>
        <v/>
      </c>
      <c r="DO53" s="1028"/>
      <c r="DP53" s="130" t="str">
        <f t="shared" si="156"/>
        <v/>
      </c>
      <c r="DQ53" s="5" t="str">
        <f t="shared" si="157"/>
        <v/>
      </c>
      <c r="DR53" s="1028"/>
      <c r="DS53" s="130" t="str">
        <f t="shared" si="158"/>
        <v/>
      </c>
      <c r="DT53" s="5" t="str">
        <f t="shared" si="159"/>
        <v/>
      </c>
      <c r="DU53" s="1028"/>
      <c r="DV53" s="130" t="str">
        <f t="shared" si="160"/>
        <v/>
      </c>
      <c r="DW53" s="5" t="str">
        <f t="shared" si="161"/>
        <v/>
      </c>
      <c r="DX53" s="147"/>
    </row>
    <row r="54" ht="23.25" customHeight="true" x14ac:dyDescent="0.25">
      <c r="B54" s="744"/>
      <c r="C54" s="664">
        <f t="shared" si="81"/>
        <v>23</v>
      </c>
      <c r="D54" s="1030"/>
      <c r="E54" s="1022"/>
      <c r="F54" s="1022"/>
      <c r="G54" s="1027"/>
      <c r="H54" s="1028"/>
      <c r="I54" s="130" t="str">
        <f t="shared" si="82"/>
        <v/>
      </c>
      <c r="J54" s="1472" t="str">
        <f t="shared" si="83"/>
        <v/>
      </c>
      <c r="K54" s="1028"/>
      <c r="L54" s="130" t="str">
        <f t="shared" si="84"/>
        <v/>
      </c>
      <c r="M54" s="1472" t="str">
        <f t="shared" si="85"/>
        <v/>
      </c>
      <c r="N54" s="1028"/>
      <c r="O54" s="130" t="str">
        <f t="shared" si="86"/>
        <v/>
      </c>
      <c r="P54" s="1472" t="str">
        <f t="shared" si="87"/>
        <v/>
      </c>
      <c r="Q54" s="1028"/>
      <c r="R54" s="130" t="str">
        <f t="shared" si="88"/>
        <v/>
      </c>
      <c r="S54" s="1473" t="str">
        <f t="shared" si="89"/>
        <v/>
      </c>
      <c r="T54" s="1028"/>
      <c r="U54" s="130" t="str">
        <f t="shared" si="90"/>
        <v/>
      </c>
      <c r="V54" s="1472" t="str">
        <f t="shared" si="91"/>
        <v/>
      </c>
      <c r="W54" s="1029"/>
      <c r="X54" s="130" t="str">
        <f t="shared" si="92"/>
        <v/>
      </c>
      <c r="Y54" s="5" t="str">
        <f t="shared" si="93"/>
        <v/>
      </c>
      <c r="Z54" s="1028"/>
      <c r="AA54" s="130" t="str">
        <f t="shared" si="94"/>
        <v/>
      </c>
      <c r="AB54" s="5" t="str">
        <f t="shared" si="95"/>
        <v/>
      </c>
      <c r="AC54" s="1029"/>
      <c r="AD54" s="130" t="str">
        <f t="shared" si="96"/>
        <v/>
      </c>
      <c r="AE54" s="5" t="str">
        <f t="shared" si="97"/>
        <v/>
      </c>
      <c r="AF54" s="1028"/>
      <c r="AG54" s="130" t="str">
        <f t="shared" si="98"/>
        <v/>
      </c>
      <c r="AH54" s="5" t="str">
        <f t="shared" si="99"/>
        <v/>
      </c>
      <c r="AI54" s="1028"/>
      <c r="AJ54" s="130" t="str">
        <f t="shared" si="100"/>
        <v/>
      </c>
      <c r="AK54" s="5" t="str">
        <f t="shared" si="101"/>
        <v/>
      </c>
      <c r="AL54" s="1028"/>
      <c r="AM54" s="130" t="str">
        <f t="shared" si="102"/>
        <v/>
      </c>
      <c r="AN54" s="5" t="str">
        <f t="shared" si="103"/>
        <v/>
      </c>
      <c r="AO54" s="1028"/>
      <c r="AP54" s="130" t="str">
        <f t="shared" si="104"/>
        <v/>
      </c>
      <c r="AQ54" s="5" t="str">
        <f t="shared" si="105"/>
        <v/>
      </c>
      <c r="AR54" s="1028"/>
      <c r="AS54" s="130" t="str">
        <f t="shared" si="106"/>
        <v/>
      </c>
      <c r="AT54" s="5" t="str">
        <f t="shared" si="107"/>
        <v/>
      </c>
      <c r="AU54" s="1028"/>
      <c r="AV54" s="130" t="str">
        <f t="shared" si="108"/>
        <v/>
      </c>
      <c r="AW54" s="5" t="str">
        <f t="shared" si="109"/>
        <v/>
      </c>
      <c r="AX54" s="1028"/>
      <c r="AY54" s="130" t="str">
        <f t="shared" si="110"/>
        <v/>
      </c>
      <c r="AZ54" s="5" t="str">
        <f t="shared" si="111"/>
        <v/>
      </c>
      <c r="BA54" s="1028"/>
      <c r="BB54" s="130" t="str">
        <f t="shared" si="112"/>
        <v/>
      </c>
      <c r="BC54" s="5" t="str">
        <f t="shared" si="113"/>
        <v/>
      </c>
      <c r="BD54" s="1028"/>
      <c r="BE54" s="130" t="str">
        <f t="shared" si="114"/>
        <v/>
      </c>
      <c r="BF54" s="5" t="str">
        <f t="shared" si="115"/>
        <v/>
      </c>
      <c r="BG54" s="1028"/>
      <c r="BH54" s="130" t="str">
        <f t="shared" si="116"/>
        <v/>
      </c>
      <c r="BI54" s="5" t="str">
        <f t="shared" si="117"/>
        <v/>
      </c>
      <c r="BJ54" s="1028"/>
      <c r="BK54" s="130" t="str">
        <f t="shared" si="118"/>
        <v/>
      </c>
      <c r="BL54" s="5" t="str">
        <f t="shared" si="119"/>
        <v/>
      </c>
      <c r="BM54" s="1028"/>
      <c r="BN54" s="130" t="str">
        <f t="shared" si="120"/>
        <v/>
      </c>
      <c r="BO54" s="5" t="str">
        <f t="shared" si="121"/>
        <v/>
      </c>
      <c r="BP54" s="1028"/>
      <c r="BQ54" s="130" t="str">
        <f t="shared" si="122"/>
        <v/>
      </c>
      <c r="BR54" s="5" t="str">
        <f t="shared" si="123"/>
        <v/>
      </c>
      <c r="BS54" s="1028"/>
      <c r="BT54" s="130" t="str">
        <f t="shared" si="124"/>
        <v/>
      </c>
      <c r="BU54" s="5" t="str">
        <f t="shared" si="125"/>
        <v/>
      </c>
      <c r="BV54" s="1028"/>
      <c r="BW54" s="130" t="str">
        <f t="shared" si="126"/>
        <v/>
      </c>
      <c r="BX54" s="5" t="str">
        <f t="shared" si="127"/>
        <v/>
      </c>
      <c r="BY54" s="1028"/>
      <c r="BZ54" s="130" t="str">
        <f t="shared" si="128"/>
        <v/>
      </c>
      <c r="CA54" s="5" t="str">
        <f t="shared" si="129"/>
        <v/>
      </c>
      <c r="CB54" s="1028"/>
      <c r="CC54" s="130" t="str">
        <f t="shared" si="130"/>
        <v/>
      </c>
      <c r="CD54" s="5" t="str">
        <f t="shared" si="131"/>
        <v/>
      </c>
      <c r="CE54" s="1028"/>
      <c r="CF54" s="130" t="str">
        <f t="shared" si="132"/>
        <v/>
      </c>
      <c r="CG54" s="5" t="str">
        <f t="shared" si="133"/>
        <v/>
      </c>
      <c r="CH54" s="1028"/>
      <c r="CI54" s="130" t="str">
        <f t="shared" si="134"/>
        <v/>
      </c>
      <c r="CJ54" s="5" t="str">
        <f t="shared" si="135"/>
        <v/>
      </c>
      <c r="CK54" s="1028"/>
      <c r="CL54" s="130" t="str">
        <f t="shared" si="136"/>
        <v/>
      </c>
      <c r="CM54" s="5" t="str">
        <f t="shared" si="137"/>
        <v/>
      </c>
      <c r="CN54" s="1028"/>
      <c r="CO54" s="130" t="str">
        <f t="shared" si="138"/>
        <v/>
      </c>
      <c r="CP54" s="5" t="str">
        <f t="shared" si="139"/>
        <v/>
      </c>
      <c r="CQ54" s="1028"/>
      <c r="CR54" s="130" t="str">
        <f t="shared" si="140"/>
        <v/>
      </c>
      <c r="CS54" s="5" t="str">
        <f t="shared" si="141"/>
        <v/>
      </c>
      <c r="CT54" s="1028"/>
      <c r="CU54" s="130" t="str">
        <f t="shared" si="142"/>
        <v/>
      </c>
      <c r="CV54" s="5" t="str">
        <f t="shared" si="143"/>
        <v/>
      </c>
      <c r="CW54" s="1028"/>
      <c r="CX54" s="130" t="str">
        <f t="shared" si="144"/>
        <v/>
      </c>
      <c r="CY54" s="5" t="str">
        <f t="shared" si="145"/>
        <v/>
      </c>
      <c r="CZ54" s="1028"/>
      <c r="DA54" s="130" t="str">
        <f t="shared" si="146"/>
        <v/>
      </c>
      <c r="DB54" s="5" t="str">
        <f t="shared" si="147"/>
        <v/>
      </c>
      <c r="DC54" s="1028"/>
      <c r="DD54" s="130" t="str">
        <f t="shared" si="148"/>
        <v/>
      </c>
      <c r="DE54" s="5" t="str">
        <f t="shared" si="149"/>
        <v/>
      </c>
      <c r="DF54" s="1028"/>
      <c r="DG54" s="130" t="str">
        <f t="shared" si="150"/>
        <v/>
      </c>
      <c r="DH54" s="5" t="str">
        <f t="shared" si="151"/>
        <v/>
      </c>
      <c r="DI54" s="1028"/>
      <c r="DJ54" s="130" t="str">
        <f t="shared" si="152"/>
        <v/>
      </c>
      <c r="DK54" s="5" t="str">
        <f t="shared" si="153"/>
        <v/>
      </c>
      <c r="DL54" s="1028"/>
      <c r="DM54" s="130" t="str">
        <f t="shared" si="154"/>
        <v/>
      </c>
      <c r="DN54" s="5" t="str">
        <f t="shared" si="155"/>
        <v/>
      </c>
      <c r="DO54" s="1028"/>
      <c r="DP54" s="130" t="str">
        <f t="shared" si="156"/>
        <v/>
      </c>
      <c r="DQ54" s="5" t="str">
        <f t="shared" si="157"/>
        <v/>
      </c>
      <c r="DR54" s="1028"/>
      <c r="DS54" s="130" t="str">
        <f t="shared" si="158"/>
        <v/>
      </c>
      <c r="DT54" s="5" t="str">
        <f t="shared" si="159"/>
        <v/>
      </c>
      <c r="DU54" s="1028"/>
      <c r="DV54" s="130" t="str">
        <f t="shared" si="160"/>
        <v/>
      </c>
      <c r="DW54" s="5" t="str">
        <f t="shared" si="161"/>
        <v/>
      </c>
      <c r="DX54" s="147"/>
    </row>
    <row r="55" ht="23.25" customHeight="true" x14ac:dyDescent="0.25">
      <c r="B55" s="744"/>
      <c r="C55" s="664">
        <f t="shared" si="81"/>
        <v>24</v>
      </c>
      <c r="D55" s="1030"/>
      <c r="E55" s="1022"/>
      <c r="F55" s="1022"/>
      <c r="G55" s="1027"/>
      <c r="H55" s="1028"/>
      <c r="I55" s="130" t="str">
        <f t="shared" si="82"/>
        <v/>
      </c>
      <c r="J55" s="1472" t="str">
        <f t="shared" si="83"/>
        <v/>
      </c>
      <c r="K55" s="1028"/>
      <c r="L55" s="130" t="str">
        <f t="shared" si="84"/>
        <v/>
      </c>
      <c r="M55" s="1472" t="str">
        <f t="shared" si="85"/>
        <v/>
      </c>
      <c r="N55" s="1028"/>
      <c r="O55" s="130" t="str">
        <f t="shared" si="86"/>
        <v/>
      </c>
      <c r="P55" s="1472" t="str">
        <f t="shared" si="87"/>
        <v/>
      </c>
      <c r="Q55" s="1028"/>
      <c r="R55" s="130" t="str">
        <f t="shared" si="88"/>
        <v/>
      </c>
      <c r="S55" s="1473" t="str">
        <f t="shared" si="89"/>
        <v/>
      </c>
      <c r="T55" s="1028"/>
      <c r="U55" s="130" t="str">
        <f t="shared" si="90"/>
        <v/>
      </c>
      <c r="V55" s="1472" t="str">
        <f t="shared" si="91"/>
        <v/>
      </c>
      <c r="W55" s="1029"/>
      <c r="X55" s="130" t="str">
        <f t="shared" si="92"/>
        <v/>
      </c>
      <c r="Y55" s="5" t="str">
        <f t="shared" si="93"/>
        <v/>
      </c>
      <c r="Z55" s="1028"/>
      <c r="AA55" s="130" t="str">
        <f t="shared" si="94"/>
        <v/>
      </c>
      <c r="AB55" s="5" t="str">
        <f t="shared" si="95"/>
        <v/>
      </c>
      <c r="AC55" s="1029"/>
      <c r="AD55" s="130" t="str">
        <f t="shared" si="96"/>
        <v/>
      </c>
      <c r="AE55" s="5" t="str">
        <f t="shared" si="97"/>
        <v/>
      </c>
      <c r="AF55" s="1028"/>
      <c r="AG55" s="130" t="str">
        <f t="shared" si="98"/>
        <v/>
      </c>
      <c r="AH55" s="5" t="str">
        <f t="shared" si="99"/>
        <v/>
      </c>
      <c r="AI55" s="1028"/>
      <c r="AJ55" s="130" t="str">
        <f t="shared" si="100"/>
        <v/>
      </c>
      <c r="AK55" s="5" t="str">
        <f t="shared" si="101"/>
        <v/>
      </c>
      <c r="AL55" s="1028"/>
      <c r="AM55" s="130" t="str">
        <f t="shared" si="102"/>
        <v/>
      </c>
      <c r="AN55" s="5" t="str">
        <f t="shared" si="103"/>
        <v/>
      </c>
      <c r="AO55" s="1028"/>
      <c r="AP55" s="130" t="str">
        <f t="shared" si="104"/>
        <v/>
      </c>
      <c r="AQ55" s="5" t="str">
        <f t="shared" si="105"/>
        <v/>
      </c>
      <c r="AR55" s="1028"/>
      <c r="AS55" s="130" t="str">
        <f t="shared" si="106"/>
        <v/>
      </c>
      <c r="AT55" s="5" t="str">
        <f t="shared" si="107"/>
        <v/>
      </c>
      <c r="AU55" s="1028"/>
      <c r="AV55" s="130" t="str">
        <f t="shared" si="108"/>
        <v/>
      </c>
      <c r="AW55" s="5" t="str">
        <f t="shared" si="109"/>
        <v/>
      </c>
      <c r="AX55" s="1028"/>
      <c r="AY55" s="130" t="str">
        <f t="shared" si="110"/>
        <v/>
      </c>
      <c r="AZ55" s="5" t="str">
        <f t="shared" si="111"/>
        <v/>
      </c>
      <c r="BA55" s="1028"/>
      <c r="BB55" s="130" t="str">
        <f t="shared" si="112"/>
        <v/>
      </c>
      <c r="BC55" s="5" t="str">
        <f t="shared" si="113"/>
        <v/>
      </c>
      <c r="BD55" s="1028"/>
      <c r="BE55" s="130" t="str">
        <f t="shared" si="114"/>
        <v/>
      </c>
      <c r="BF55" s="5" t="str">
        <f t="shared" si="115"/>
        <v/>
      </c>
      <c r="BG55" s="1028"/>
      <c r="BH55" s="130" t="str">
        <f t="shared" si="116"/>
        <v/>
      </c>
      <c r="BI55" s="5" t="str">
        <f t="shared" si="117"/>
        <v/>
      </c>
      <c r="BJ55" s="1028"/>
      <c r="BK55" s="130" t="str">
        <f t="shared" si="118"/>
        <v/>
      </c>
      <c r="BL55" s="5" t="str">
        <f t="shared" si="119"/>
        <v/>
      </c>
      <c r="BM55" s="1028"/>
      <c r="BN55" s="130" t="str">
        <f t="shared" si="120"/>
        <v/>
      </c>
      <c r="BO55" s="5" t="str">
        <f t="shared" si="121"/>
        <v/>
      </c>
      <c r="BP55" s="1028"/>
      <c r="BQ55" s="130" t="str">
        <f t="shared" si="122"/>
        <v/>
      </c>
      <c r="BR55" s="5" t="str">
        <f t="shared" si="123"/>
        <v/>
      </c>
      <c r="BS55" s="1028"/>
      <c r="BT55" s="130" t="str">
        <f t="shared" si="124"/>
        <v/>
      </c>
      <c r="BU55" s="5" t="str">
        <f t="shared" si="125"/>
        <v/>
      </c>
      <c r="BV55" s="1028"/>
      <c r="BW55" s="130" t="str">
        <f t="shared" si="126"/>
        <v/>
      </c>
      <c r="BX55" s="5" t="str">
        <f t="shared" si="127"/>
        <v/>
      </c>
      <c r="BY55" s="1028"/>
      <c r="BZ55" s="130" t="str">
        <f t="shared" si="128"/>
        <v/>
      </c>
      <c r="CA55" s="5" t="str">
        <f t="shared" si="129"/>
        <v/>
      </c>
      <c r="CB55" s="1028"/>
      <c r="CC55" s="130" t="str">
        <f t="shared" si="130"/>
        <v/>
      </c>
      <c r="CD55" s="5" t="str">
        <f t="shared" si="131"/>
        <v/>
      </c>
      <c r="CE55" s="1028"/>
      <c r="CF55" s="130" t="str">
        <f t="shared" si="132"/>
        <v/>
      </c>
      <c r="CG55" s="5" t="str">
        <f t="shared" si="133"/>
        <v/>
      </c>
      <c r="CH55" s="1028"/>
      <c r="CI55" s="130" t="str">
        <f t="shared" si="134"/>
        <v/>
      </c>
      <c r="CJ55" s="5" t="str">
        <f t="shared" si="135"/>
        <v/>
      </c>
      <c r="CK55" s="1028"/>
      <c r="CL55" s="130" t="str">
        <f t="shared" si="136"/>
        <v/>
      </c>
      <c r="CM55" s="5" t="str">
        <f t="shared" si="137"/>
        <v/>
      </c>
      <c r="CN55" s="1028"/>
      <c r="CO55" s="130" t="str">
        <f t="shared" si="138"/>
        <v/>
      </c>
      <c r="CP55" s="5" t="str">
        <f t="shared" si="139"/>
        <v/>
      </c>
      <c r="CQ55" s="1028"/>
      <c r="CR55" s="130" t="str">
        <f t="shared" si="140"/>
        <v/>
      </c>
      <c r="CS55" s="5" t="str">
        <f t="shared" si="141"/>
        <v/>
      </c>
      <c r="CT55" s="1028"/>
      <c r="CU55" s="130" t="str">
        <f t="shared" si="142"/>
        <v/>
      </c>
      <c r="CV55" s="5" t="str">
        <f t="shared" si="143"/>
        <v/>
      </c>
      <c r="CW55" s="1028"/>
      <c r="CX55" s="130" t="str">
        <f t="shared" si="144"/>
        <v/>
      </c>
      <c r="CY55" s="5" t="str">
        <f t="shared" si="145"/>
        <v/>
      </c>
      <c r="CZ55" s="1028"/>
      <c r="DA55" s="130" t="str">
        <f t="shared" si="146"/>
        <v/>
      </c>
      <c r="DB55" s="5" t="str">
        <f t="shared" si="147"/>
        <v/>
      </c>
      <c r="DC55" s="1028"/>
      <c r="DD55" s="130" t="str">
        <f t="shared" si="148"/>
        <v/>
      </c>
      <c r="DE55" s="5" t="str">
        <f t="shared" si="149"/>
        <v/>
      </c>
      <c r="DF55" s="1028"/>
      <c r="DG55" s="130" t="str">
        <f t="shared" si="150"/>
        <v/>
      </c>
      <c r="DH55" s="5" t="str">
        <f t="shared" si="151"/>
        <v/>
      </c>
      <c r="DI55" s="1028"/>
      <c r="DJ55" s="130" t="str">
        <f t="shared" si="152"/>
        <v/>
      </c>
      <c r="DK55" s="5" t="str">
        <f t="shared" si="153"/>
        <v/>
      </c>
      <c r="DL55" s="1028"/>
      <c r="DM55" s="130" t="str">
        <f t="shared" si="154"/>
        <v/>
      </c>
      <c r="DN55" s="5" t="str">
        <f t="shared" si="155"/>
        <v/>
      </c>
      <c r="DO55" s="1028"/>
      <c r="DP55" s="130" t="str">
        <f t="shared" si="156"/>
        <v/>
      </c>
      <c r="DQ55" s="5" t="str">
        <f t="shared" si="157"/>
        <v/>
      </c>
      <c r="DR55" s="1028"/>
      <c r="DS55" s="130" t="str">
        <f t="shared" si="158"/>
        <v/>
      </c>
      <c r="DT55" s="5" t="str">
        <f t="shared" si="159"/>
        <v/>
      </c>
      <c r="DU55" s="1028"/>
      <c r="DV55" s="130" t="str">
        <f t="shared" si="160"/>
        <v/>
      </c>
      <c r="DW55" s="5" t="str">
        <f t="shared" si="161"/>
        <v/>
      </c>
      <c r="DX55" s="147"/>
    </row>
    <row r="56" ht="23.25" customHeight="true" x14ac:dyDescent="0.25">
      <c r="B56" s="744"/>
      <c r="C56" s="664">
        <f t="shared" si="81"/>
        <v>25</v>
      </c>
      <c r="D56" s="1030"/>
      <c r="E56" s="1022"/>
      <c r="F56" s="1022"/>
      <c r="G56" s="1027"/>
      <c r="H56" s="1028"/>
      <c r="I56" s="130" t="str">
        <f t="shared" si="82"/>
        <v/>
      </c>
      <c r="J56" s="1472" t="str">
        <f t="shared" si="83"/>
        <v/>
      </c>
      <c r="K56" s="1028"/>
      <c r="L56" s="130" t="str">
        <f t="shared" si="84"/>
        <v/>
      </c>
      <c r="M56" s="1472" t="str">
        <f t="shared" si="85"/>
        <v/>
      </c>
      <c r="N56" s="1028"/>
      <c r="O56" s="130" t="str">
        <f t="shared" si="86"/>
        <v/>
      </c>
      <c r="P56" s="1472" t="str">
        <f t="shared" si="87"/>
        <v/>
      </c>
      <c r="Q56" s="1028"/>
      <c r="R56" s="130" t="str">
        <f t="shared" si="88"/>
        <v/>
      </c>
      <c r="S56" s="1473" t="str">
        <f t="shared" si="89"/>
        <v/>
      </c>
      <c r="T56" s="1028"/>
      <c r="U56" s="130" t="str">
        <f t="shared" si="90"/>
        <v/>
      </c>
      <c r="V56" s="1472" t="str">
        <f t="shared" si="91"/>
        <v/>
      </c>
      <c r="W56" s="1029"/>
      <c r="X56" s="130" t="str">
        <f t="shared" si="92"/>
        <v/>
      </c>
      <c r="Y56" s="5" t="str">
        <f t="shared" si="93"/>
        <v/>
      </c>
      <c r="Z56" s="1028"/>
      <c r="AA56" s="130" t="str">
        <f t="shared" si="94"/>
        <v/>
      </c>
      <c r="AB56" s="5" t="str">
        <f t="shared" si="95"/>
        <v/>
      </c>
      <c r="AC56" s="1029"/>
      <c r="AD56" s="130" t="str">
        <f t="shared" si="96"/>
        <v/>
      </c>
      <c r="AE56" s="5" t="str">
        <f t="shared" si="97"/>
        <v/>
      </c>
      <c r="AF56" s="1028"/>
      <c r="AG56" s="130" t="str">
        <f t="shared" si="98"/>
        <v/>
      </c>
      <c r="AH56" s="5" t="str">
        <f t="shared" si="99"/>
        <v/>
      </c>
      <c r="AI56" s="1028"/>
      <c r="AJ56" s="130" t="str">
        <f t="shared" si="100"/>
        <v/>
      </c>
      <c r="AK56" s="5" t="str">
        <f t="shared" si="101"/>
        <v/>
      </c>
      <c r="AL56" s="1028"/>
      <c r="AM56" s="130" t="str">
        <f t="shared" si="102"/>
        <v/>
      </c>
      <c r="AN56" s="5" t="str">
        <f t="shared" si="103"/>
        <v/>
      </c>
      <c r="AO56" s="1028"/>
      <c r="AP56" s="130" t="str">
        <f t="shared" si="104"/>
        <v/>
      </c>
      <c r="AQ56" s="5" t="str">
        <f t="shared" si="105"/>
        <v/>
      </c>
      <c r="AR56" s="1028"/>
      <c r="AS56" s="130" t="str">
        <f t="shared" si="106"/>
        <v/>
      </c>
      <c r="AT56" s="5" t="str">
        <f t="shared" si="107"/>
        <v/>
      </c>
      <c r="AU56" s="1028"/>
      <c r="AV56" s="130" t="str">
        <f t="shared" si="108"/>
        <v/>
      </c>
      <c r="AW56" s="5" t="str">
        <f t="shared" si="109"/>
        <v/>
      </c>
      <c r="AX56" s="1028"/>
      <c r="AY56" s="130" t="str">
        <f t="shared" si="110"/>
        <v/>
      </c>
      <c r="AZ56" s="5" t="str">
        <f t="shared" si="111"/>
        <v/>
      </c>
      <c r="BA56" s="1028"/>
      <c r="BB56" s="130" t="str">
        <f t="shared" si="112"/>
        <v/>
      </c>
      <c r="BC56" s="5" t="str">
        <f t="shared" si="113"/>
        <v/>
      </c>
      <c r="BD56" s="1028"/>
      <c r="BE56" s="130" t="str">
        <f t="shared" si="114"/>
        <v/>
      </c>
      <c r="BF56" s="5" t="str">
        <f t="shared" si="115"/>
        <v/>
      </c>
      <c r="BG56" s="1028"/>
      <c r="BH56" s="130" t="str">
        <f t="shared" si="116"/>
        <v/>
      </c>
      <c r="BI56" s="5" t="str">
        <f t="shared" si="117"/>
        <v/>
      </c>
      <c r="BJ56" s="1028"/>
      <c r="BK56" s="130" t="str">
        <f t="shared" si="118"/>
        <v/>
      </c>
      <c r="BL56" s="5" t="str">
        <f t="shared" si="119"/>
        <v/>
      </c>
      <c r="BM56" s="1028"/>
      <c r="BN56" s="130" t="str">
        <f t="shared" si="120"/>
        <v/>
      </c>
      <c r="BO56" s="5" t="str">
        <f t="shared" si="121"/>
        <v/>
      </c>
      <c r="BP56" s="1028"/>
      <c r="BQ56" s="130" t="str">
        <f t="shared" si="122"/>
        <v/>
      </c>
      <c r="BR56" s="5" t="str">
        <f t="shared" si="123"/>
        <v/>
      </c>
      <c r="BS56" s="1028"/>
      <c r="BT56" s="130" t="str">
        <f t="shared" si="124"/>
        <v/>
      </c>
      <c r="BU56" s="5" t="str">
        <f t="shared" si="125"/>
        <v/>
      </c>
      <c r="BV56" s="1028"/>
      <c r="BW56" s="130" t="str">
        <f t="shared" si="126"/>
        <v/>
      </c>
      <c r="BX56" s="5" t="str">
        <f t="shared" si="127"/>
        <v/>
      </c>
      <c r="BY56" s="1028"/>
      <c r="BZ56" s="130" t="str">
        <f t="shared" si="128"/>
        <v/>
      </c>
      <c r="CA56" s="5" t="str">
        <f t="shared" si="129"/>
        <v/>
      </c>
      <c r="CB56" s="1028"/>
      <c r="CC56" s="130" t="str">
        <f t="shared" si="130"/>
        <v/>
      </c>
      <c r="CD56" s="5" t="str">
        <f t="shared" si="131"/>
        <v/>
      </c>
      <c r="CE56" s="1028"/>
      <c r="CF56" s="130" t="str">
        <f t="shared" si="132"/>
        <v/>
      </c>
      <c r="CG56" s="5" t="str">
        <f t="shared" si="133"/>
        <v/>
      </c>
      <c r="CH56" s="1028"/>
      <c r="CI56" s="130" t="str">
        <f t="shared" si="134"/>
        <v/>
      </c>
      <c r="CJ56" s="5" t="str">
        <f t="shared" si="135"/>
        <v/>
      </c>
      <c r="CK56" s="1028"/>
      <c r="CL56" s="130" t="str">
        <f t="shared" si="136"/>
        <v/>
      </c>
      <c r="CM56" s="5" t="str">
        <f t="shared" si="137"/>
        <v/>
      </c>
      <c r="CN56" s="1028"/>
      <c r="CO56" s="130" t="str">
        <f t="shared" si="138"/>
        <v/>
      </c>
      <c r="CP56" s="5" t="str">
        <f t="shared" si="139"/>
        <v/>
      </c>
      <c r="CQ56" s="1028"/>
      <c r="CR56" s="130" t="str">
        <f t="shared" si="140"/>
        <v/>
      </c>
      <c r="CS56" s="5" t="str">
        <f t="shared" si="141"/>
        <v/>
      </c>
      <c r="CT56" s="1028"/>
      <c r="CU56" s="130" t="str">
        <f t="shared" si="142"/>
        <v/>
      </c>
      <c r="CV56" s="5" t="str">
        <f t="shared" si="143"/>
        <v/>
      </c>
      <c r="CW56" s="1028"/>
      <c r="CX56" s="130" t="str">
        <f t="shared" si="144"/>
        <v/>
      </c>
      <c r="CY56" s="5" t="str">
        <f t="shared" si="145"/>
        <v/>
      </c>
      <c r="CZ56" s="1028"/>
      <c r="DA56" s="130" t="str">
        <f t="shared" si="146"/>
        <v/>
      </c>
      <c r="DB56" s="5" t="str">
        <f t="shared" si="147"/>
        <v/>
      </c>
      <c r="DC56" s="1028"/>
      <c r="DD56" s="130" t="str">
        <f t="shared" si="148"/>
        <v/>
      </c>
      <c r="DE56" s="5" t="str">
        <f t="shared" si="149"/>
        <v/>
      </c>
      <c r="DF56" s="1028"/>
      <c r="DG56" s="130" t="str">
        <f t="shared" si="150"/>
        <v/>
      </c>
      <c r="DH56" s="5" t="str">
        <f t="shared" si="151"/>
        <v/>
      </c>
      <c r="DI56" s="1028"/>
      <c r="DJ56" s="130" t="str">
        <f t="shared" si="152"/>
        <v/>
      </c>
      <c r="DK56" s="5" t="str">
        <f t="shared" si="153"/>
        <v/>
      </c>
      <c r="DL56" s="1028"/>
      <c r="DM56" s="130" t="str">
        <f t="shared" si="154"/>
        <v/>
      </c>
      <c r="DN56" s="5" t="str">
        <f t="shared" si="155"/>
        <v/>
      </c>
      <c r="DO56" s="1028"/>
      <c r="DP56" s="130" t="str">
        <f t="shared" si="156"/>
        <v/>
      </c>
      <c r="DQ56" s="5" t="str">
        <f t="shared" si="157"/>
        <v/>
      </c>
      <c r="DR56" s="1028"/>
      <c r="DS56" s="130" t="str">
        <f t="shared" si="158"/>
        <v/>
      </c>
      <c r="DT56" s="5" t="str">
        <f t="shared" si="159"/>
        <v/>
      </c>
      <c r="DU56" s="1028"/>
      <c r="DV56" s="130" t="str">
        <f t="shared" si="160"/>
        <v/>
      </c>
      <c r="DW56" s="5" t="str">
        <f t="shared" si="161"/>
        <v/>
      </c>
      <c r="DX56" s="147"/>
    </row>
    <row r="57" ht="23.25" customHeight="true" x14ac:dyDescent="0.25">
      <c r="B57" s="744"/>
      <c r="C57" s="664">
        <f t="shared" si="81"/>
        <v>26</v>
      </c>
      <c r="D57" s="1030"/>
      <c r="E57" s="1022"/>
      <c r="F57" s="1022"/>
      <c r="G57" s="1027"/>
      <c r="H57" s="1028"/>
      <c r="I57" s="130" t="str">
        <f t="shared" si="82"/>
        <v/>
      </c>
      <c r="J57" s="1472" t="str">
        <f t="shared" si="83"/>
        <v/>
      </c>
      <c r="K57" s="1028"/>
      <c r="L57" s="130" t="str">
        <f t="shared" si="84"/>
        <v/>
      </c>
      <c r="M57" s="1472" t="str">
        <f t="shared" si="85"/>
        <v/>
      </c>
      <c r="N57" s="1028"/>
      <c r="O57" s="130" t="str">
        <f t="shared" si="86"/>
        <v/>
      </c>
      <c r="P57" s="1472" t="str">
        <f t="shared" si="87"/>
        <v/>
      </c>
      <c r="Q57" s="1028"/>
      <c r="R57" s="130" t="str">
        <f t="shared" si="88"/>
        <v/>
      </c>
      <c r="S57" s="1473" t="str">
        <f t="shared" si="89"/>
        <v/>
      </c>
      <c r="T57" s="1028"/>
      <c r="U57" s="130" t="str">
        <f t="shared" si="90"/>
        <v/>
      </c>
      <c r="V57" s="1472" t="str">
        <f t="shared" si="91"/>
        <v/>
      </c>
      <c r="W57" s="1029"/>
      <c r="X57" s="130" t="str">
        <f t="shared" si="92"/>
        <v/>
      </c>
      <c r="Y57" s="5" t="str">
        <f t="shared" si="93"/>
        <v/>
      </c>
      <c r="Z57" s="1028"/>
      <c r="AA57" s="130" t="str">
        <f t="shared" si="94"/>
        <v/>
      </c>
      <c r="AB57" s="5" t="str">
        <f t="shared" si="95"/>
        <v/>
      </c>
      <c r="AC57" s="1029"/>
      <c r="AD57" s="130" t="str">
        <f t="shared" si="96"/>
        <v/>
      </c>
      <c r="AE57" s="5" t="str">
        <f t="shared" si="97"/>
        <v/>
      </c>
      <c r="AF57" s="1028"/>
      <c r="AG57" s="130" t="str">
        <f t="shared" si="98"/>
        <v/>
      </c>
      <c r="AH57" s="5" t="str">
        <f t="shared" si="99"/>
        <v/>
      </c>
      <c r="AI57" s="1028"/>
      <c r="AJ57" s="130" t="str">
        <f t="shared" si="100"/>
        <v/>
      </c>
      <c r="AK57" s="5" t="str">
        <f t="shared" si="101"/>
        <v/>
      </c>
      <c r="AL57" s="1028"/>
      <c r="AM57" s="130" t="str">
        <f t="shared" si="102"/>
        <v/>
      </c>
      <c r="AN57" s="5" t="str">
        <f t="shared" si="103"/>
        <v/>
      </c>
      <c r="AO57" s="1028"/>
      <c r="AP57" s="130" t="str">
        <f t="shared" si="104"/>
        <v/>
      </c>
      <c r="AQ57" s="5" t="str">
        <f t="shared" si="105"/>
        <v/>
      </c>
      <c r="AR57" s="1028"/>
      <c r="AS57" s="130" t="str">
        <f t="shared" si="106"/>
        <v/>
      </c>
      <c r="AT57" s="5" t="str">
        <f t="shared" si="107"/>
        <v/>
      </c>
      <c r="AU57" s="1028"/>
      <c r="AV57" s="130" t="str">
        <f t="shared" si="108"/>
        <v/>
      </c>
      <c r="AW57" s="5" t="str">
        <f t="shared" si="109"/>
        <v/>
      </c>
      <c r="AX57" s="1028"/>
      <c r="AY57" s="130" t="str">
        <f t="shared" si="110"/>
        <v/>
      </c>
      <c r="AZ57" s="5" t="str">
        <f t="shared" si="111"/>
        <v/>
      </c>
      <c r="BA57" s="1028"/>
      <c r="BB57" s="130" t="str">
        <f t="shared" si="112"/>
        <v/>
      </c>
      <c r="BC57" s="5" t="str">
        <f t="shared" si="113"/>
        <v/>
      </c>
      <c r="BD57" s="1028"/>
      <c r="BE57" s="130" t="str">
        <f t="shared" si="114"/>
        <v/>
      </c>
      <c r="BF57" s="5" t="str">
        <f t="shared" si="115"/>
        <v/>
      </c>
      <c r="BG57" s="1028"/>
      <c r="BH57" s="130" t="str">
        <f t="shared" si="116"/>
        <v/>
      </c>
      <c r="BI57" s="5" t="str">
        <f t="shared" si="117"/>
        <v/>
      </c>
      <c r="BJ57" s="1028"/>
      <c r="BK57" s="130" t="str">
        <f t="shared" si="118"/>
        <v/>
      </c>
      <c r="BL57" s="5" t="str">
        <f t="shared" si="119"/>
        <v/>
      </c>
      <c r="BM57" s="1028"/>
      <c r="BN57" s="130" t="str">
        <f t="shared" si="120"/>
        <v/>
      </c>
      <c r="BO57" s="5" t="str">
        <f t="shared" si="121"/>
        <v/>
      </c>
      <c r="BP57" s="1028"/>
      <c r="BQ57" s="130" t="str">
        <f t="shared" si="122"/>
        <v/>
      </c>
      <c r="BR57" s="5" t="str">
        <f t="shared" si="123"/>
        <v/>
      </c>
      <c r="BS57" s="1028"/>
      <c r="BT57" s="130" t="str">
        <f t="shared" si="124"/>
        <v/>
      </c>
      <c r="BU57" s="5" t="str">
        <f t="shared" si="125"/>
        <v/>
      </c>
      <c r="BV57" s="1028"/>
      <c r="BW57" s="130" t="str">
        <f t="shared" si="126"/>
        <v/>
      </c>
      <c r="BX57" s="5" t="str">
        <f t="shared" si="127"/>
        <v/>
      </c>
      <c r="BY57" s="1028"/>
      <c r="BZ57" s="130" t="str">
        <f t="shared" si="128"/>
        <v/>
      </c>
      <c r="CA57" s="5" t="str">
        <f t="shared" si="129"/>
        <v/>
      </c>
      <c r="CB57" s="1028"/>
      <c r="CC57" s="130" t="str">
        <f t="shared" si="130"/>
        <v/>
      </c>
      <c r="CD57" s="5" t="str">
        <f t="shared" si="131"/>
        <v/>
      </c>
      <c r="CE57" s="1028"/>
      <c r="CF57" s="130" t="str">
        <f t="shared" si="132"/>
        <v/>
      </c>
      <c r="CG57" s="5" t="str">
        <f t="shared" si="133"/>
        <v/>
      </c>
      <c r="CH57" s="1028"/>
      <c r="CI57" s="130" t="str">
        <f t="shared" si="134"/>
        <v/>
      </c>
      <c r="CJ57" s="5" t="str">
        <f t="shared" si="135"/>
        <v/>
      </c>
      <c r="CK57" s="1028"/>
      <c r="CL57" s="130" t="str">
        <f t="shared" si="136"/>
        <v/>
      </c>
      <c r="CM57" s="5" t="str">
        <f t="shared" si="137"/>
        <v/>
      </c>
      <c r="CN57" s="1028"/>
      <c r="CO57" s="130" t="str">
        <f t="shared" si="138"/>
        <v/>
      </c>
      <c r="CP57" s="5" t="str">
        <f t="shared" si="139"/>
        <v/>
      </c>
      <c r="CQ57" s="1028"/>
      <c r="CR57" s="130" t="str">
        <f t="shared" si="140"/>
        <v/>
      </c>
      <c r="CS57" s="5" t="str">
        <f t="shared" si="141"/>
        <v/>
      </c>
      <c r="CT57" s="1028"/>
      <c r="CU57" s="130" t="str">
        <f t="shared" si="142"/>
        <v/>
      </c>
      <c r="CV57" s="5" t="str">
        <f t="shared" si="143"/>
        <v/>
      </c>
      <c r="CW57" s="1028"/>
      <c r="CX57" s="130" t="str">
        <f t="shared" si="144"/>
        <v/>
      </c>
      <c r="CY57" s="5" t="str">
        <f t="shared" si="145"/>
        <v/>
      </c>
      <c r="CZ57" s="1028"/>
      <c r="DA57" s="130" t="str">
        <f t="shared" si="146"/>
        <v/>
      </c>
      <c r="DB57" s="5" t="str">
        <f t="shared" si="147"/>
        <v/>
      </c>
      <c r="DC57" s="1028"/>
      <c r="DD57" s="130" t="str">
        <f t="shared" si="148"/>
        <v/>
      </c>
      <c r="DE57" s="5" t="str">
        <f t="shared" si="149"/>
        <v/>
      </c>
      <c r="DF57" s="1028"/>
      <c r="DG57" s="130" t="str">
        <f t="shared" si="150"/>
        <v/>
      </c>
      <c r="DH57" s="5" t="str">
        <f t="shared" si="151"/>
        <v/>
      </c>
      <c r="DI57" s="1028"/>
      <c r="DJ57" s="130" t="str">
        <f t="shared" si="152"/>
        <v/>
      </c>
      <c r="DK57" s="5" t="str">
        <f t="shared" si="153"/>
        <v/>
      </c>
      <c r="DL57" s="1028"/>
      <c r="DM57" s="130" t="str">
        <f t="shared" si="154"/>
        <v/>
      </c>
      <c r="DN57" s="5" t="str">
        <f t="shared" si="155"/>
        <v/>
      </c>
      <c r="DO57" s="1028"/>
      <c r="DP57" s="130" t="str">
        <f t="shared" si="156"/>
        <v/>
      </c>
      <c r="DQ57" s="5" t="str">
        <f t="shared" si="157"/>
        <v/>
      </c>
      <c r="DR57" s="1028"/>
      <c r="DS57" s="130" t="str">
        <f t="shared" si="158"/>
        <v/>
      </c>
      <c r="DT57" s="5" t="str">
        <f t="shared" si="159"/>
        <v/>
      </c>
      <c r="DU57" s="1028"/>
      <c r="DV57" s="130" t="str">
        <f t="shared" si="160"/>
        <v/>
      </c>
      <c r="DW57" s="5" t="str">
        <f t="shared" si="161"/>
        <v/>
      </c>
      <c r="DX57" s="147"/>
    </row>
    <row r="58" ht="23.25" customHeight="true" x14ac:dyDescent="0.25">
      <c r="B58" s="744"/>
      <c r="C58" s="664">
        <f t="shared" si="81"/>
        <v>27</v>
      </c>
      <c r="D58" s="1030"/>
      <c r="E58" s="1022"/>
      <c r="F58" s="1022"/>
      <c r="G58" s="1027"/>
      <c r="H58" s="1028"/>
      <c r="I58" s="130" t="str">
        <f t="shared" si="82"/>
        <v/>
      </c>
      <c r="J58" s="1472" t="str">
        <f t="shared" si="83"/>
        <v/>
      </c>
      <c r="K58" s="1028"/>
      <c r="L58" s="130" t="str">
        <f t="shared" si="84"/>
        <v/>
      </c>
      <c r="M58" s="1472" t="str">
        <f t="shared" si="85"/>
        <v/>
      </c>
      <c r="N58" s="1028"/>
      <c r="O58" s="130" t="str">
        <f t="shared" si="86"/>
        <v/>
      </c>
      <c r="P58" s="1472" t="str">
        <f t="shared" si="87"/>
        <v/>
      </c>
      <c r="Q58" s="1028"/>
      <c r="R58" s="130" t="str">
        <f t="shared" si="88"/>
        <v/>
      </c>
      <c r="S58" s="1473" t="str">
        <f t="shared" si="89"/>
        <v/>
      </c>
      <c r="T58" s="1028"/>
      <c r="U58" s="130" t="str">
        <f t="shared" si="90"/>
        <v/>
      </c>
      <c r="V58" s="1472" t="str">
        <f t="shared" si="91"/>
        <v/>
      </c>
      <c r="W58" s="1029"/>
      <c r="X58" s="130" t="str">
        <f t="shared" si="92"/>
        <v/>
      </c>
      <c r="Y58" s="5" t="str">
        <f t="shared" si="93"/>
        <v/>
      </c>
      <c r="Z58" s="1028"/>
      <c r="AA58" s="130" t="str">
        <f t="shared" si="94"/>
        <v/>
      </c>
      <c r="AB58" s="5" t="str">
        <f t="shared" si="95"/>
        <v/>
      </c>
      <c r="AC58" s="1029"/>
      <c r="AD58" s="130" t="str">
        <f t="shared" si="96"/>
        <v/>
      </c>
      <c r="AE58" s="5" t="str">
        <f t="shared" si="97"/>
        <v/>
      </c>
      <c r="AF58" s="1028"/>
      <c r="AG58" s="130" t="str">
        <f t="shared" si="98"/>
        <v/>
      </c>
      <c r="AH58" s="5" t="str">
        <f t="shared" si="99"/>
        <v/>
      </c>
      <c r="AI58" s="1028"/>
      <c r="AJ58" s="130" t="str">
        <f t="shared" si="100"/>
        <v/>
      </c>
      <c r="AK58" s="5" t="str">
        <f t="shared" si="101"/>
        <v/>
      </c>
      <c r="AL58" s="1028"/>
      <c r="AM58" s="130" t="str">
        <f t="shared" si="102"/>
        <v/>
      </c>
      <c r="AN58" s="5" t="str">
        <f t="shared" si="103"/>
        <v/>
      </c>
      <c r="AO58" s="1028"/>
      <c r="AP58" s="130" t="str">
        <f t="shared" si="104"/>
        <v/>
      </c>
      <c r="AQ58" s="5" t="str">
        <f t="shared" si="105"/>
        <v/>
      </c>
      <c r="AR58" s="1028"/>
      <c r="AS58" s="130" t="str">
        <f t="shared" si="106"/>
        <v/>
      </c>
      <c r="AT58" s="5" t="str">
        <f t="shared" si="107"/>
        <v/>
      </c>
      <c r="AU58" s="1028"/>
      <c r="AV58" s="130" t="str">
        <f t="shared" si="108"/>
        <v/>
      </c>
      <c r="AW58" s="5" t="str">
        <f t="shared" si="109"/>
        <v/>
      </c>
      <c r="AX58" s="1028"/>
      <c r="AY58" s="130" t="str">
        <f t="shared" si="110"/>
        <v/>
      </c>
      <c r="AZ58" s="5" t="str">
        <f t="shared" si="111"/>
        <v/>
      </c>
      <c r="BA58" s="1028"/>
      <c r="BB58" s="130" t="str">
        <f t="shared" si="112"/>
        <v/>
      </c>
      <c r="BC58" s="5" t="str">
        <f t="shared" si="113"/>
        <v/>
      </c>
      <c r="BD58" s="1028"/>
      <c r="BE58" s="130" t="str">
        <f t="shared" si="114"/>
        <v/>
      </c>
      <c r="BF58" s="5" t="str">
        <f t="shared" si="115"/>
        <v/>
      </c>
      <c r="BG58" s="1028"/>
      <c r="BH58" s="130" t="str">
        <f t="shared" si="116"/>
        <v/>
      </c>
      <c r="BI58" s="5" t="str">
        <f t="shared" si="117"/>
        <v/>
      </c>
      <c r="BJ58" s="1028"/>
      <c r="BK58" s="130" t="str">
        <f t="shared" si="118"/>
        <v/>
      </c>
      <c r="BL58" s="5" t="str">
        <f t="shared" si="119"/>
        <v/>
      </c>
      <c r="BM58" s="1028"/>
      <c r="BN58" s="130" t="str">
        <f t="shared" si="120"/>
        <v/>
      </c>
      <c r="BO58" s="5" t="str">
        <f t="shared" si="121"/>
        <v/>
      </c>
      <c r="BP58" s="1028"/>
      <c r="BQ58" s="130" t="str">
        <f t="shared" si="122"/>
        <v/>
      </c>
      <c r="BR58" s="5" t="str">
        <f t="shared" si="123"/>
        <v/>
      </c>
      <c r="BS58" s="1028"/>
      <c r="BT58" s="130" t="str">
        <f t="shared" si="124"/>
        <v/>
      </c>
      <c r="BU58" s="5" t="str">
        <f t="shared" si="125"/>
        <v/>
      </c>
      <c r="BV58" s="1028"/>
      <c r="BW58" s="130" t="str">
        <f t="shared" si="126"/>
        <v/>
      </c>
      <c r="BX58" s="5" t="str">
        <f t="shared" si="127"/>
        <v/>
      </c>
      <c r="BY58" s="1028"/>
      <c r="BZ58" s="130" t="str">
        <f t="shared" si="128"/>
        <v/>
      </c>
      <c r="CA58" s="5" t="str">
        <f t="shared" si="129"/>
        <v/>
      </c>
      <c r="CB58" s="1028"/>
      <c r="CC58" s="130" t="str">
        <f t="shared" si="130"/>
        <v/>
      </c>
      <c r="CD58" s="5" t="str">
        <f t="shared" si="131"/>
        <v/>
      </c>
      <c r="CE58" s="1028"/>
      <c r="CF58" s="130" t="str">
        <f t="shared" si="132"/>
        <v/>
      </c>
      <c r="CG58" s="5" t="str">
        <f t="shared" si="133"/>
        <v/>
      </c>
      <c r="CH58" s="1028"/>
      <c r="CI58" s="130" t="str">
        <f t="shared" si="134"/>
        <v/>
      </c>
      <c r="CJ58" s="5" t="str">
        <f t="shared" si="135"/>
        <v/>
      </c>
      <c r="CK58" s="1028"/>
      <c r="CL58" s="130" t="str">
        <f t="shared" si="136"/>
        <v/>
      </c>
      <c r="CM58" s="5" t="str">
        <f t="shared" si="137"/>
        <v/>
      </c>
      <c r="CN58" s="1028"/>
      <c r="CO58" s="130" t="str">
        <f t="shared" si="138"/>
        <v/>
      </c>
      <c r="CP58" s="5" t="str">
        <f t="shared" si="139"/>
        <v/>
      </c>
      <c r="CQ58" s="1028"/>
      <c r="CR58" s="130" t="str">
        <f t="shared" si="140"/>
        <v/>
      </c>
      <c r="CS58" s="5" t="str">
        <f t="shared" si="141"/>
        <v/>
      </c>
      <c r="CT58" s="1028"/>
      <c r="CU58" s="130" t="str">
        <f t="shared" si="142"/>
        <v/>
      </c>
      <c r="CV58" s="5" t="str">
        <f t="shared" si="143"/>
        <v/>
      </c>
      <c r="CW58" s="1028"/>
      <c r="CX58" s="130" t="str">
        <f t="shared" si="144"/>
        <v/>
      </c>
      <c r="CY58" s="5" t="str">
        <f t="shared" si="145"/>
        <v/>
      </c>
      <c r="CZ58" s="1028"/>
      <c r="DA58" s="130" t="str">
        <f t="shared" si="146"/>
        <v/>
      </c>
      <c r="DB58" s="5" t="str">
        <f t="shared" si="147"/>
        <v/>
      </c>
      <c r="DC58" s="1028"/>
      <c r="DD58" s="130" t="str">
        <f t="shared" si="148"/>
        <v/>
      </c>
      <c r="DE58" s="5" t="str">
        <f t="shared" si="149"/>
        <v/>
      </c>
      <c r="DF58" s="1028"/>
      <c r="DG58" s="130" t="str">
        <f t="shared" si="150"/>
        <v/>
      </c>
      <c r="DH58" s="5" t="str">
        <f t="shared" si="151"/>
        <v/>
      </c>
      <c r="DI58" s="1028"/>
      <c r="DJ58" s="130" t="str">
        <f t="shared" si="152"/>
        <v/>
      </c>
      <c r="DK58" s="5" t="str">
        <f t="shared" si="153"/>
        <v/>
      </c>
      <c r="DL58" s="1028"/>
      <c r="DM58" s="130" t="str">
        <f t="shared" si="154"/>
        <v/>
      </c>
      <c r="DN58" s="5" t="str">
        <f t="shared" si="155"/>
        <v/>
      </c>
      <c r="DO58" s="1028"/>
      <c r="DP58" s="130" t="str">
        <f t="shared" si="156"/>
        <v/>
      </c>
      <c r="DQ58" s="5" t="str">
        <f t="shared" si="157"/>
        <v/>
      </c>
      <c r="DR58" s="1028"/>
      <c r="DS58" s="130" t="str">
        <f t="shared" si="158"/>
        <v/>
      </c>
      <c r="DT58" s="5" t="str">
        <f t="shared" si="159"/>
        <v/>
      </c>
      <c r="DU58" s="1028"/>
      <c r="DV58" s="130" t="str">
        <f t="shared" si="160"/>
        <v/>
      </c>
      <c r="DW58" s="5" t="str">
        <f t="shared" si="161"/>
        <v/>
      </c>
      <c r="DX58" s="147"/>
    </row>
    <row r="59" ht="23.25" customHeight="true" x14ac:dyDescent="0.25">
      <c r="B59" s="744"/>
      <c r="C59" s="664">
        <f t="shared" si="81"/>
        <v>28</v>
      </c>
      <c r="D59" s="1030"/>
      <c r="E59" s="1022"/>
      <c r="F59" s="1022"/>
      <c r="G59" s="1027"/>
      <c r="H59" s="1028"/>
      <c r="I59" s="130" t="str">
        <f t="shared" si="82"/>
        <v/>
      </c>
      <c r="J59" s="1472" t="str">
        <f t="shared" si="83"/>
        <v/>
      </c>
      <c r="K59" s="1028"/>
      <c r="L59" s="130" t="str">
        <f t="shared" si="84"/>
        <v/>
      </c>
      <c r="M59" s="1472" t="str">
        <f t="shared" si="85"/>
        <v/>
      </c>
      <c r="N59" s="1028"/>
      <c r="O59" s="130" t="str">
        <f t="shared" si="86"/>
        <v/>
      </c>
      <c r="P59" s="1472" t="str">
        <f t="shared" si="87"/>
        <v/>
      </c>
      <c r="Q59" s="1028"/>
      <c r="R59" s="130" t="str">
        <f t="shared" si="88"/>
        <v/>
      </c>
      <c r="S59" s="1473" t="str">
        <f t="shared" si="89"/>
        <v/>
      </c>
      <c r="T59" s="1028"/>
      <c r="U59" s="130" t="str">
        <f t="shared" si="90"/>
        <v/>
      </c>
      <c r="V59" s="1472" t="str">
        <f t="shared" si="91"/>
        <v/>
      </c>
      <c r="W59" s="1029"/>
      <c r="X59" s="130" t="str">
        <f t="shared" si="92"/>
        <v/>
      </c>
      <c r="Y59" s="5" t="str">
        <f t="shared" si="93"/>
        <v/>
      </c>
      <c r="Z59" s="1028"/>
      <c r="AA59" s="130" t="str">
        <f t="shared" si="94"/>
        <v/>
      </c>
      <c r="AB59" s="5" t="str">
        <f t="shared" si="95"/>
        <v/>
      </c>
      <c r="AC59" s="1029"/>
      <c r="AD59" s="130" t="str">
        <f t="shared" si="96"/>
        <v/>
      </c>
      <c r="AE59" s="5" t="str">
        <f t="shared" si="97"/>
        <v/>
      </c>
      <c r="AF59" s="1028"/>
      <c r="AG59" s="130" t="str">
        <f t="shared" si="98"/>
        <v/>
      </c>
      <c r="AH59" s="5" t="str">
        <f t="shared" si="99"/>
        <v/>
      </c>
      <c r="AI59" s="1028"/>
      <c r="AJ59" s="130" t="str">
        <f t="shared" si="100"/>
        <v/>
      </c>
      <c r="AK59" s="5" t="str">
        <f t="shared" si="101"/>
        <v/>
      </c>
      <c r="AL59" s="1028"/>
      <c r="AM59" s="130" t="str">
        <f t="shared" si="102"/>
        <v/>
      </c>
      <c r="AN59" s="5" t="str">
        <f t="shared" si="103"/>
        <v/>
      </c>
      <c r="AO59" s="1028"/>
      <c r="AP59" s="130" t="str">
        <f t="shared" si="104"/>
        <v/>
      </c>
      <c r="AQ59" s="5" t="str">
        <f t="shared" si="105"/>
        <v/>
      </c>
      <c r="AR59" s="1028"/>
      <c r="AS59" s="130" t="str">
        <f t="shared" si="106"/>
        <v/>
      </c>
      <c r="AT59" s="5" t="str">
        <f t="shared" si="107"/>
        <v/>
      </c>
      <c r="AU59" s="1028"/>
      <c r="AV59" s="130" t="str">
        <f t="shared" si="108"/>
        <v/>
      </c>
      <c r="AW59" s="5" t="str">
        <f t="shared" si="109"/>
        <v/>
      </c>
      <c r="AX59" s="1028"/>
      <c r="AY59" s="130" t="str">
        <f t="shared" si="110"/>
        <v/>
      </c>
      <c r="AZ59" s="5" t="str">
        <f t="shared" si="111"/>
        <v/>
      </c>
      <c r="BA59" s="1028"/>
      <c r="BB59" s="130" t="str">
        <f t="shared" si="112"/>
        <v/>
      </c>
      <c r="BC59" s="5" t="str">
        <f t="shared" si="113"/>
        <v/>
      </c>
      <c r="BD59" s="1028"/>
      <c r="BE59" s="130" t="str">
        <f t="shared" si="114"/>
        <v/>
      </c>
      <c r="BF59" s="5" t="str">
        <f t="shared" si="115"/>
        <v/>
      </c>
      <c r="BG59" s="1028"/>
      <c r="BH59" s="130" t="str">
        <f t="shared" si="116"/>
        <v/>
      </c>
      <c r="BI59" s="5" t="str">
        <f t="shared" si="117"/>
        <v/>
      </c>
      <c r="BJ59" s="1028"/>
      <c r="BK59" s="130" t="str">
        <f t="shared" si="118"/>
        <v/>
      </c>
      <c r="BL59" s="5" t="str">
        <f t="shared" si="119"/>
        <v/>
      </c>
      <c r="BM59" s="1028"/>
      <c r="BN59" s="130" t="str">
        <f t="shared" si="120"/>
        <v/>
      </c>
      <c r="BO59" s="5" t="str">
        <f t="shared" si="121"/>
        <v/>
      </c>
      <c r="BP59" s="1028"/>
      <c r="BQ59" s="130" t="str">
        <f t="shared" si="122"/>
        <v/>
      </c>
      <c r="BR59" s="5" t="str">
        <f t="shared" si="123"/>
        <v/>
      </c>
      <c r="BS59" s="1028"/>
      <c r="BT59" s="130" t="str">
        <f t="shared" si="124"/>
        <v/>
      </c>
      <c r="BU59" s="5" t="str">
        <f t="shared" si="125"/>
        <v/>
      </c>
      <c r="BV59" s="1028"/>
      <c r="BW59" s="130" t="str">
        <f t="shared" si="126"/>
        <v/>
      </c>
      <c r="BX59" s="5" t="str">
        <f t="shared" si="127"/>
        <v/>
      </c>
      <c r="BY59" s="1028"/>
      <c r="BZ59" s="130" t="str">
        <f t="shared" si="128"/>
        <v/>
      </c>
      <c r="CA59" s="5" t="str">
        <f t="shared" si="129"/>
        <v/>
      </c>
      <c r="CB59" s="1028"/>
      <c r="CC59" s="130" t="str">
        <f t="shared" si="130"/>
        <v/>
      </c>
      <c r="CD59" s="5" t="str">
        <f t="shared" si="131"/>
        <v/>
      </c>
      <c r="CE59" s="1028"/>
      <c r="CF59" s="130" t="str">
        <f t="shared" si="132"/>
        <v/>
      </c>
      <c r="CG59" s="5" t="str">
        <f t="shared" si="133"/>
        <v/>
      </c>
      <c r="CH59" s="1028"/>
      <c r="CI59" s="130" t="str">
        <f t="shared" si="134"/>
        <v/>
      </c>
      <c r="CJ59" s="5" t="str">
        <f t="shared" si="135"/>
        <v/>
      </c>
      <c r="CK59" s="1028"/>
      <c r="CL59" s="130" t="str">
        <f t="shared" si="136"/>
        <v/>
      </c>
      <c r="CM59" s="5" t="str">
        <f t="shared" si="137"/>
        <v/>
      </c>
      <c r="CN59" s="1028"/>
      <c r="CO59" s="130" t="str">
        <f t="shared" si="138"/>
        <v/>
      </c>
      <c r="CP59" s="5" t="str">
        <f t="shared" si="139"/>
        <v/>
      </c>
      <c r="CQ59" s="1028"/>
      <c r="CR59" s="130" t="str">
        <f t="shared" si="140"/>
        <v/>
      </c>
      <c r="CS59" s="5" t="str">
        <f t="shared" si="141"/>
        <v/>
      </c>
      <c r="CT59" s="1028"/>
      <c r="CU59" s="130" t="str">
        <f t="shared" si="142"/>
        <v/>
      </c>
      <c r="CV59" s="5" t="str">
        <f t="shared" si="143"/>
        <v/>
      </c>
      <c r="CW59" s="1028"/>
      <c r="CX59" s="130" t="str">
        <f t="shared" si="144"/>
        <v/>
      </c>
      <c r="CY59" s="5" t="str">
        <f t="shared" si="145"/>
        <v/>
      </c>
      <c r="CZ59" s="1028"/>
      <c r="DA59" s="130" t="str">
        <f t="shared" si="146"/>
        <v/>
      </c>
      <c r="DB59" s="5" t="str">
        <f t="shared" si="147"/>
        <v/>
      </c>
      <c r="DC59" s="1028"/>
      <c r="DD59" s="130" t="str">
        <f t="shared" si="148"/>
        <v/>
      </c>
      <c r="DE59" s="5" t="str">
        <f t="shared" si="149"/>
        <v/>
      </c>
      <c r="DF59" s="1028"/>
      <c r="DG59" s="130" t="str">
        <f t="shared" si="150"/>
        <v/>
      </c>
      <c r="DH59" s="5" t="str">
        <f t="shared" si="151"/>
        <v/>
      </c>
      <c r="DI59" s="1028"/>
      <c r="DJ59" s="130" t="str">
        <f t="shared" si="152"/>
        <v/>
      </c>
      <c r="DK59" s="5" t="str">
        <f t="shared" si="153"/>
        <v/>
      </c>
      <c r="DL59" s="1028"/>
      <c r="DM59" s="130" t="str">
        <f t="shared" si="154"/>
        <v/>
      </c>
      <c r="DN59" s="5" t="str">
        <f t="shared" si="155"/>
        <v/>
      </c>
      <c r="DO59" s="1028"/>
      <c r="DP59" s="130" t="str">
        <f t="shared" si="156"/>
        <v/>
      </c>
      <c r="DQ59" s="5" t="str">
        <f t="shared" si="157"/>
        <v/>
      </c>
      <c r="DR59" s="1028"/>
      <c r="DS59" s="130" t="str">
        <f t="shared" si="158"/>
        <v/>
      </c>
      <c r="DT59" s="5" t="str">
        <f t="shared" si="159"/>
        <v/>
      </c>
      <c r="DU59" s="1028"/>
      <c r="DV59" s="130" t="str">
        <f t="shared" si="160"/>
        <v/>
      </c>
      <c r="DW59" s="5" t="str">
        <f t="shared" si="161"/>
        <v/>
      </c>
      <c r="DX59" s="147"/>
    </row>
    <row r="60" ht="23.25" customHeight="true" x14ac:dyDescent="0.25">
      <c r="B60" s="744"/>
      <c r="C60" s="664">
        <f t="shared" si="81"/>
        <v>29</v>
      </c>
      <c r="D60" s="1030"/>
      <c r="E60" s="1022"/>
      <c r="F60" s="1022"/>
      <c r="G60" s="1027"/>
      <c r="H60" s="1028"/>
      <c r="I60" s="130" t="str">
        <f t="shared" si="82"/>
        <v/>
      </c>
      <c r="J60" s="1472" t="str">
        <f t="shared" si="83"/>
        <v/>
      </c>
      <c r="K60" s="1028"/>
      <c r="L60" s="130" t="str">
        <f t="shared" si="84"/>
        <v/>
      </c>
      <c r="M60" s="1472" t="str">
        <f t="shared" si="85"/>
        <v/>
      </c>
      <c r="N60" s="1028"/>
      <c r="O60" s="130" t="str">
        <f t="shared" si="86"/>
        <v/>
      </c>
      <c r="P60" s="1472" t="str">
        <f t="shared" si="87"/>
        <v/>
      </c>
      <c r="Q60" s="1028"/>
      <c r="R60" s="130" t="str">
        <f t="shared" si="88"/>
        <v/>
      </c>
      <c r="S60" s="1473" t="str">
        <f t="shared" si="89"/>
        <v/>
      </c>
      <c r="T60" s="1028"/>
      <c r="U60" s="130" t="str">
        <f t="shared" si="90"/>
        <v/>
      </c>
      <c r="V60" s="1472" t="str">
        <f t="shared" si="91"/>
        <v/>
      </c>
      <c r="W60" s="1029"/>
      <c r="X60" s="130" t="str">
        <f t="shared" si="92"/>
        <v/>
      </c>
      <c r="Y60" s="5" t="str">
        <f t="shared" si="93"/>
        <v/>
      </c>
      <c r="Z60" s="1028"/>
      <c r="AA60" s="130" t="str">
        <f t="shared" si="94"/>
        <v/>
      </c>
      <c r="AB60" s="5" t="str">
        <f t="shared" si="95"/>
        <v/>
      </c>
      <c r="AC60" s="1029"/>
      <c r="AD60" s="130" t="str">
        <f t="shared" si="96"/>
        <v/>
      </c>
      <c r="AE60" s="5" t="str">
        <f t="shared" si="97"/>
        <v/>
      </c>
      <c r="AF60" s="1028"/>
      <c r="AG60" s="130" t="str">
        <f t="shared" si="98"/>
        <v/>
      </c>
      <c r="AH60" s="5" t="str">
        <f t="shared" si="99"/>
        <v/>
      </c>
      <c r="AI60" s="1028"/>
      <c r="AJ60" s="130" t="str">
        <f t="shared" si="100"/>
        <v/>
      </c>
      <c r="AK60" s="5" t="str">
        <f t="shared" si="101"/>
        <v/>
      </c>
      <c r="AL60" s="1028"/>
      <c r="AM60" s="130" t="str">
        <f t="shared" si="102"/>
        <v/>
      </c>
      <c r="AN60" s="5" t="str">
        <f t="shared" si="103"/>
        <v/>
      </c>
      <c r="AO60" s="1028"/>
      <c r="AP60" s="130" t="str">
        <f t="shared" si="104"/>
        <v/>
      </c>
      <c r="AQ60" s="5" t="str">
        <f t="shared" si="105"/>
        <v/>
      </c>
      <c r="AR60" s="1028"/>
      <c r="AS60" s="130" t="str">
        <f t="shared" si="106"/>
        <v/>
      </c>
      <c r="AT60" s="5" t="str">
        <f t="shared" si="107"/>
        <v/>
      </c>
      <c r="AU60" s="1028"/>
      <c r="AV60" s="130" t="str">
        <f t="shared" si="108"/>
        <v/>
      </c>
      <c r="AW60" s="5" t="str">
        <f t="shared" si="109"/>
        <v/>
      </c>
      <c r="AX60" s="1028"/>
      <c r="AY60" s="130" t="str">
        <f t="shared" si="110"/>
        <v/>
      </c>
      <c r="AZ60" s="5" t="str">
        <f t="shared" si="111"/>
        <v/>
      </c>
      <c r="BA60" s="1028"/>
      <c r="BB60" s="130" t="str">
        <f t="shared" si="112"/>
        <v/>
      </c>
      <c r="BC60" s="5" t="str">
        <f t="shared" si="113"/>
        <v/>
      </c>
      <c r="BD60" s="1028"/>
      <c r="BE60" s="130" t="str">
        <f t="shared" si="114"/>
        <v/>
      </c>
      <c r="BF60" s="5" t="str">
        <f t="shared" si="115"/>
        <v/>
      </c>
      <c r="BG60" s="1028"/>
      <c r="BH60" s="130" t="str">
        <f t="shared" si="116"/>
        <v/>
      </c>
      <c r="BI60" s="5" t="str">
        <f t="shared" si="117"/>
        <v/>
      </c>
      <c r="BJ60" s="1028"/>
      <c r="BK60" s="130" t="str">
        <f t="shared" si="118"/>
        <v/>
      </c>
      <c r="BL60" s="5" t="str">
        <f t="shared" si="119"/>
        <v/>
      </c>
      <c r="BM60" s="1028"/>
      <c r="BN60" s="130" t="str">
        <f t="shared" si="120"/>
        <v/>
      </c>
      <c r="BO60" s="5" t="str">
        <f t="shared" si="121"/>
        <v/>
      </c>
      <c r="BP60" s="1028"/>
      <c r="BQ60" s="130" t="str">
        <f t="shared" si="122"/>
        <v/>
      </c>
      <c r="BR60" s="5" t="str">
        <f t="shared" si="123"/>
        <v/>
      </c>
      <c r="BS60" s="1028"/>
      <c r="BT60" s="130" t="str">
        <f t="shared" si="124"/>
        <v/>
      </c>
      <c r="BU60" s="5" t="str">
        <f t="shared" si="125"/>
        <v/>
      </c>
      <c r="BV60" s="1028"/>
      <c r="BW60" s="130" t="str">
        <f t="shared" si="126"/>
        <v/>
      </c>
      <c r="BX60" s="5" t="str">
        <f t="shared" si="127"/>
        <v/>
      </c>
      <c r="BY60" s="1028"/>
      <c r="BZ60" s="130" t="str">
        <f t="shared" si="128"/>
        <v/>
      </c>
      <c r="CA60" s="5" t="str">
        <f t="shared" si="129"/>
        <v/>
      </c>
      <c r="CB60" s="1028"/>
      <c r="CC60" s="130" t="str">
        <f t="shared" si="130"/>
        <v/>
      </c>
      <c r="CD60" s="5" t="str">
        <f t="shared" si="131"/>
        <v/>
      </c>
      <c r="CE60" s="1028"/>
      <c r="CF60" s="130" t="str">
        <f t="shared" si="132"/>
        <v/>
      </c>
      <c r="CG60" s="5" t="str">
        <f t="shared" si="133"/>
        <v/>
      </c>
      <c r="CH60" s="1028"/>
      <c r="CI60" s="130" t="str">
        <f t="shared" si="134"/>
        <v/>
      </c>
      <c r="CJ60" s="5" t="str">
        <f t="shared" si="135"/>
        <v/>
      </c>
      <c r="CK60" s="1028"/>
      <c r="CL60" s="130" t="str">
        <f t="shared" si="136"/>
        <v/>
      </c>
      <c r="CM60" s="5" t="str">
        <f t="shared" si="137"/>
        <v/>
      </c>
      <c r="CN60" s="1028"/>
      <c r="CO60" s="130" t="str">
        <f t="shared" si="138"/>
        <v/>
      </c>
      <c r="CP60" s="5" t="str">
        <f t="shared" si="139"/>
        <v/>
      </c>
      <c r="CQ60" s="1028"/>
      <c r="CR60" s="130" t="str">
        <f t="shared" si="140"/>
        <v/>
      </c>
      <c r="CS60" s="5" t="str">
        <f t="shared" si="141"/>
        <v/>
      </c>
      <c r="CT60" s="1028"/>
      <c r="CU60" s="130" t="str">
        <f t="shared" si="142"/>
        <v/>
      </c>
      <c r="CV60" s="5" t="str">
        <f t="shared" si="143"/>
        <v/>
      </c>
      <c r="CW60" s="1028"/>
      <c r="CX60" s="130" t="str">
        <f t="shared" si="144"/>
        <v/>
      </c>
      <c r="CY60" s="5" t="str">
        <f t="shared" si="145"/>
        <v/>
      </c>
      <c r="CZ60" s="1028"/>
      <c r="DA60" s="130" t="str">
        <f t="shared" si="146"/>
        <v/>
      </c>
      <c r="DB60" s="5" t="str">
        <f t="shared" si="147"/>
        <v/>
      </c>
      <c r="DC60" s="1028"/>
      <c r="DD60" s="130" t="str">
        <f t="shared" si="148"/>
        <v/>
      </c>
      <c r="DE60" s="5" t="str">
        <f t="shared" si="149"/>
        <v/>
      </c>
      <c r="DF60" s="1028"/>
      <c r="DG60" s="130" t="str">
        <f t="shared" si="150"/>
        <v/>
      </c>
      <c r="DH60" s="5" t="str">
        <f t="shared" si="151"/>
        <v/>
      </c>
      <c r="DI60" s="1028"/>
      <c r="DJ60" s="130" t="str">
        <f t="shared" si="152"/>
        <v/>
      </c>
      <c r="DK60" s="5" t="str">
        <f t="shared" si="153"/>
        <v/>
      </c>
      <c r="DL60" s="1028"/>
      <c r="DM60" s="130" t="str">
        <f t="shared" si="154"/>
        <v/>
      </c>
      <c r="DN60" s="5" t="str">
        <f t="shared" si="155"/>
        <v/>
      </c>
      <c r="DO60" s="1028"/>
      <c r="DP60" s="130" t="str">
        <f t="shared" si="156"/>
        <v/>
      </c>
      <c r="DQ60" s="5" t="str">
        <f t="shared" si="157"/>
        <v/>
      </c>
      <c r="DR60" s="1028"/>
      <c r="DS60" s="130" t="str">
        <f t="shared" si="158"/>
        <v/>
      </c>
      <c r="DT60" s="5" t="str">
        <f t="shared" si="159"/>
        <v/>
      </c>
      <c r="DU60" s="1028"/>
      <c r="DV60" s="130" t="str">
        <f t="shared" si="160"/>
        <v/>
      </c>
      <c r="DW60" s="5" t="str">
        <f t="shared" si="161"/>
        <v/>
      </c>
      <c r="DX60" s="147"/>
    </row>
    <row r="61" ht="23.25" customHeight="true" x14ac:dyDescent="0.25">
      <c r="B61" s="744"/>
      <c r="C61" s="664">
        <f t="shared" si="81"/>
        <v>30</v>
      </c>
      <c r="D61" s="1030"/>
      <c r="E61" s="1022"/>
      <c r="F61" s="1022"/>
      <c r="G61" s="1027"/>
      <c r="H61" s="1028"/>
      <c r="I61" s="130" t="str">
        <f t="shared" si="82"/>
        <v/>
      </c>
      <c r="J61" s="1472" t="str">
        <f t="shared" si="83"/>
        <v/>
      </c>
      <c r="K61" s="1028"/>
      <c r="L61" s="130" t="str">
        <f t="shared" si="84"/>
        <v/>
      </c>
      <c r="M61" s="1472" t="str">
        <f t="shared" si="85"/>
        <v/>
      </c>
      <c r="N61" s="1028"/>
      <c r="O61" s="130" t="str">
        <f t="shared" si="86"/>
        <v/>
      </c>
      <c r="P61" s="1472" t="str">
        <f t="shared" si="87"/>
        <v/>
      </c>
      <c r="Q61" s="1028"/>
      <c r="R61" s="130" t="str">
        <f t="shared" si="88"/>
        <v/>
      </c>
      <c r="S61" s="1473" t="str">
        <f t="shared" si="89"/>
        <v/>
      </c>
      <c r="T61" s="1028"/>
      <c r="U61" s="130" t="str">
        <f t="shared" si="90"/>
        <v/>
      </c>
      <c r="V61" s="1472" t="str">
        <f t="shared" si="91"/>
        <v/>
      </c>
      <c r="W61" s="1029"/>
      <c r="X61" s="130" t="str">
        <f t="shared" si="92"/>
        <v/>
      </c>
      <c r="Y61" s="5" t="str">
        <f t="shared" si="93"/>
        <v/>
      </c>
      <c r="Z61" s="1028"/>
      <c r="AA61" s="130" t="str">
        <f t="shared" si="94"/>
        <v/>
      </c>
      <c r="AB61" s="5" t="str">
        <f t="shared" si="95"/>
        <v/>
      </c>
      <c r="AC61" s="1029"/>
      <c r="AD61" s="130" t="str">
        <f t="shared" si="96"/>
        <v/>
      </c>
      <c r="AE61" s="5" t="str">
        <f t="shared" si="97"/>
        <v/>
      </c>
      <c r="AF61" s="1028"/>
      <c r="AG61" s="130" t="str">
        <f t="shared" si="98"/>
        <v/>
      </c>
      <c r="AH61" s="5" t="str">
        <f t="shared" si="99"/>
        <v/>
      </c>
      <c r="AI61" s="1028"/>
      <c r="AJ61" s="130" t="str">
        <f t="shared" si="100"/>
        <v/>
      </c>
      <c r="AK61" s="5" t="str">
        <f t="shared" si="101"/>
        <v/>
      </c>
      <c r="AL61" s="1028"/>
      <c r="AM61" s="130" t="str">
        <f t="shared" si="102"/>
        <v/>
      </c>
      <c r="AN61" s="5" t="str">
        <f t="shared" si="103"/>
        <v/>
      </c>
      <c r="AO61" s="1028"/>
      <c r="AP61" s="130" t="str">
        <f t="shared" si="104"/>
        <v/>
      </c>
      <c r="AQ61" s="5" t="str">
        <f t="shared" si="105"/>
        <v/>
      </c>
      <c r="AR61" s="1028"/>
      <c r="AS61" s="130" t="str">
        <f t="shared" si="106"/>
        <v/>
      </c>
      <c r="AT61" s="5" t="str">
        <f t="shared" si="107"/>
        <v/>
      </c>
      <c r="AU61" s="1028"/>
      <c r="AV61" s="130" t="str">
        <f t="shared" si="108"/>
        <v/>
      </c>
      <c r="AW61" s="5" t="str">
        <f t="shared" si="109"/>
        <v/>
      </c>
      <c r="AX61" s="1028"/>
      <c r="AY61" s="130" t="str">
        <f t="shared" si="110"/>
        <v/>
      </c>
      <c r="AZ61" s="5" t="str">
        <f t="shared" si="111"/>
        <v/>
      </c>
      <c r="BA61" s="1028"/>
      <c r="BB61" s="130" t="str">
        <f t="shared" si="112"/>
        <v/>
      </c>
      <c r="BC61" s="5" t="str">
        <f t="shared" si="113"/>
        <v/>
      </c>
      <c r="BD61" s="1028"/>
      <c r="BE61" s="130" t="str">
        <f t="shared" si="114"/>
        <v/>
      </c>
      <c r="BF61" s="5" t="str">
        <f t="shared" si="115"/>
        <v/>
      </c>
      <c r="BG61" s="1028"/>
      <c r="BH61" s="130" t="str">
        <f t="shared" si="116"/>
        <v/>
      </c>
      <c r="BI61" s="5" t="str">
        <f t="shared" si="117"/>
        <v/>
      </c>
      <c r="BJ61" s="1028"/>
      <c r="BK61" s="130" t="str">
        <f t="shared" si="118"/>
        <v/>
      </c>
      <c r="BL61" s="5" t="str">
        <f t="shared" si="119"/>
        <v/>
      </c>
      <c r="BM61" s="1028"/>
      <c r="BN61" s="130" t="str">
        <f t="shared" si="120"/>
        <v/>
      </c>
      <c r="BO61" s="5" t="str">
        <f t="shared" si="121"/>
        <v/>
      </c>
      <c r="BP61" s="1028"/>
      <c r="BQ61" s="130" t="str">
        <f t="shared" si="122"/>
        <v/>
      </c>
      <c r="BR61" s="5" t="str">
        <f t="shared" si="123"/>
        <v/>
      </c>
      <c r="BS61" s="1028"/>
      <c r="BT61" s="130" t="str">
        <f t="shared" si="124"/>
        <v/>
      </c>
      <c r="BU61" s="5" t="str">
        <f t="shared" si="125"/>
        <v/>
      </c>
      <c r="BV61" s="1028"/>
      <c r="BW61" s="130" t="str">
        <f t="shared" si="126"/>
        <v/>
      </c>
      <c r="BX61" s="5" t="str">
        <f t="shared" si="127"/>
        <v/>
      </c>
      <c r="BY61" s="1028"/>
      <c r="BZ61" s="130" t="str">
        <f t="shared" si="128"/>
        <v/>
      </c>
      <c r="CA61" s="5" t="str">
        <f t="shared" si="129"/>
        <v/>
      </c>
      <c r="CB61" s="1028"/>
      <c r="CC61" s="130" t="str">
        <f t="shared" si="130"/>
        <v/>
      </c>
      <c r="CD61" s="5" t="str">
        <f t="shared" si="131"/>
        <v/>
      </c>
      <c r="CE61" s="1028"/>
      <c r="CF61" s="130" t="str">
        <f t="shared" si="132"/>
        <v/>
      </c>
      <c r="CG61" s="5" t="str">
        <f t="shared" si="133"/>
        <v/>
      </c>
      <c r="CH61" s="1028"/>
      <c r="CI61" s="130" t="str">
        <f t="shared" si="134"/>
        <v/>
      </c>
      <c r="CJ61" s="5" t="str">
        <f t="shared" si="135"/>
        <v/>
      </c>
      <c r="CK61" s="1028"/>
      <c r="CL61" s="130" t="str">
        <f t="shared" si="136"/>
        <v/>
      </c>
      <c r="CM61" s="5" t="str">
        <f t="shared" si="137"/>
        <v/>
      </c>
      <c r="CN61" s="1028"/>
      <c r="CO61" s="130" t="str">
        <f t="shared" si="138"/>
        <v/>
      </c>
      <c r="CP61" s="5" t="str">
        <f t="shared" si="139"/>
        <v/>
      </c>
      <c r="CQ61" s="1028"/>
      <c r="CR61" s="130" t="str">
        <f t="shared" si="140"/>
        <v/>
      </c>
      <c r="CS61" s="5" t="str">
        <f t="shared" si="141"/>
        <v/>
      </c>
      <c r="CT61" s="1028"/>
      <c r="CU61" s="130" t="str">
        <f t="shared" si="142"/>
        <v/>
      </c>
      <c r="CV61" s="5" t="str">
        <f t="shared" si="143"/>
        <v/>
      </c>
      <c r="CW61" s="1028"/>
      <c r="CX61" s="130" t="str">
        <f t="shared" si="144"/>
        <v/>
      </c>
      <c r="CY61" s="5" t="str">
        <f t="shared" si="145"/>
        <v/>
      </c>
      <c r="CZ61" s="1028"/>
      <c r="DA61" s="130" t="str">
        <f t="shared" si="146"/>
        <v/>
      </c>
      <c r="DB61" s="5" t="str">
        <f t="shared" si="147"/>
        <v/>
      </c>
      <c r="DC61" s="1028"/>
      <c r="DD61" s="130" t="str">
        <f t="shared" si="148"/>
        <v/>
      </c>
      <c r="DE61" s="5" t="str">
        <f t="shared" si="149"/>
        <v/>
      </c>
      <c r="DF61" s="1028"/>
      <c r="DG61" s="130" t="str">
        <f t="shared" si="150"/>
        <v/>
      </c>
      <c r="DH61" s="5" t="str">
        <f t="shared" si="151"/>
        <v/>
      </c>
      <c r="DI61" s="1028"/>
      <c r="DJ61" s="130" t="str">
        <f t="shared" si="152"/>
        <v/>
      </c>
      <c r="DK61" s="5" t="str">
        <f t="shared" si="153"/>
        <v/>
      </c>
      <c r="DL61" s="1028"/>
      <c r="DM61" s="130" t="str">
        <f t="shared" si="154"/>
        <v/>
      </c>
      <c r="DN61" s="5" t="str">
        <f t="shared" si="155"/>
        <v/>
      </c>
      <c r="DO61" s="1028"/>
      <c r="DP61" s="130" t="str">
        <f t="shared" si="156"/>
        <v/>
      </c>
      <c r="DQ61" s="5" t="str">
        <f t="shared" si="157"/>
        <v/>
      </c>
      <c r="DR61" s="1028"/>
      <c r="DS61" s="130" t="str">
        <f t="shared" si="158"/>
        <v/>
      </c>
      <c r="DT61" s="5" t="str">
        <f t="shared" si="159"/>
        <v/>
      </c>
      <c r="DU61" s="1028"/>
      <c r="DV61" s="130" t="str">
        <f t="shared" si="160"/>
        <v/>
      </c>
      <c r="DW61" s="5" t="str">
        <f t="shared" si="161"/>
        <v/>
      </c>
      <c r="DX61" s="147"/>
    </row>
    <row r="62" ht="23.25" customHeight="true" x14ac:dyDescent="0.25">
      <c r="B62" s="744"/>
      <c r="C62" s="664">
        <f t="shared" si="81"/>
        <v>31</v>
      </c>
      <c r="D62" s="1030"/>
      <c r="E62" s="1022"/>
      <c r="F62" s="1022"/>
      <c r="G62" s="1027"/>
      <c r="H62" s="1028"/>
      <c r="I62" s="130" t="str">
        <f t="shared" si="82"/>
        <v/>
      </c>
      <c r="J62" s="1472" t="str">
        <f t="shared" si="83"/>
        <v/>
      </c>
      <c r="K62" s="1028"/>
      <c r="L62" s="130" t="str">
        <f t="shared" si="84"/>
        <v/>
      </c>
      <c r="M62" s="1472" t="str">
        <f t="shared" si="85"/>
        <v/>
      </c>
      <c r="N62" s="1028"/>
      <c r="O62" s="130" t="str">
        <f t="shared" si="86"/>
        <v/>
      </c>
      <c r="P62" s="1472" t="str">
        <f t="shared" si="87"/>
        <v/>
      </c>
      <c r="Q62" s="1028"/>
      <c r="R62" s="130" t="str">
        <f t="shared" si="88"/>
        <v/>
      </c>
      <c r="S62" s="1473" t="str">
        <f t="shared" si="89"/>
        <v/>
      </c>
      <c r="T62" s="1028"/>
      <c r="U62" s="130" t="str">
        <f t="shared" si="90"/>
        <v/>
      </c>
      <c r="V62" s="1472" t="str">
        <f t="shared" si="91"/>
        <v/>
      </c>
      <c r="W62" s="1029"/>
      <c r="X62" s="130" t="str">
        <f t="shared" si="92"/>
        <v/>
      </c>
      <c r="Y62" s="5" t="str">
        <f t="shared" si="93"/>
        <v/>
      </c>
      <c r="Z62" s="1028"/>
      <c r="AA62" s="130" t="str">
        <f t="shared" si="94"/>
        <v/>
      </c>
      <c r="AB62" s="5" t="str">
        <f t="shared" si="95"/>
        <v/>
      </c>
      <c r="AC62" s="1029"/>
      <c r="AD62" s="130" t="str">
        <f t="shared" si="96"/>
        <v/>
      </c>
      <c r="AE62" s="5" t="str">
        <f t="shared" si="97"/>
        <v/>
      </c>
      <c r="AF62" s="1028"/>
      <c r="AG62" s="130" t="str">
        <f t="shared" si="98"/>
        <v/>
      </c>
      <c r="AH62" s="5" t="str">
        <f t="shared" si="99"/>
        <v/>
      </c>
      <c r="AI62" s="1028"/>
      <c r="AJ62" s="130" t="str">
        <f t="shared" si="100"/>
        <v/>
      </c>
      <c r="AK62" s="5" t="str">
        <f t="shared" si="101"/>
        <v/>
      </c>
      <c r="AL62" s="1028"/>
      <c r="AM62" s="130" t="str">
        <f t="shared" si="102"/>
        <v/>
      </c>
      <c r="AN62" s="5" t="str">
        <f t="shared" si="103"/>
        <v/>
      </c>
      <c r="AO62" s="1028"/>
      <c r="AP62" s="130" t="str">
        <f t="shared" si="104"/>
        <v/>
      </c>
      <c r="AQ62" s="5" t="str">
        <f t="shared" si="105"/>
        <v/>
      </c>
      <c r="AR62" s="1028"/>
      <c r="AS62" s="130" t="str">
        <f t="shared" si="106"/>
        <v/>
      </c>
      <c r="AT62" s="5" t="str">
        <f t="shared" si="107"/>
        <v/>
      </c>
      <c r="AU62" s="1028"/>
      <c r="AV62" s="130" t="str">
        <f t="shared" si="108"/>
        <v/>
      </c>
      <c r="AW62" s="5" t="str">
        <f t="shared" si="109"/>
        <v/>
      </c>
      <c r="AX62" s="1028"/>
      <c r="AY62" s="130" t="str">
        <f t="shared" si="110"/>
        <v/>
      </c>
      <c r="AZ62" s="5" t="str">
        <f t="shared" si="111"/>
        <v/>
      </c>
      <c r="BA62" s="1028"/>
      <c r="BB62" s="130" t="str">
        <f t="shared" si="112"/>
        <v/>
      </c>
      <c r="BC62" s="5" t="str">
        <f t="shared" si="113"/>
        <v/>
      </c>
      <c r="BD62" s="1028"/>
      <c r="BE62" s="130" t="str">
        <f t="shared" si="114"/>
        <v/>
      </c>
      <c r="BF62" s="5" t="str">
        <f t="shared" si="115"/>
        <v/>
      </c>
      <c r="BG62" s="1028"/>
      <c r="BH62" s="130" t="str">
        <f t="shared" si="116"/>
        <v/>
      </c>
      <c r="BI62" s="5" t="str">
        <f t="shared" si="117"/>
        <v/>
      </c>
      <c r="BJ62" s="1028"/>
      <c r="BK62" s="130" t="str">
        <f t="shared" si="118"/>
        <v/>
      </c>
      <c r="BL62" s="5" t="str">
        <f t="shared" si="119"/>
        <v/>
      </c>
      <c r="BM62" s="1028"/>
      <c r="BN62" s="130" t="str">
        <f t="shared" si="120"/>
        <v/>
      </c>
      <c r="BO62" s="5" t="str">
        <f t="shared" si="121"/>
        <v/>
      </c>
      <c r="BP62" s="1028"/>
      <c r="BQ62" s="130" t="str">
        <f t="shared" si="122"/>
        <v/>
      </c>
      <c r="BR62" s="5" t="str">
        <f t="shared" si="123"/>
        <v/>
      </c>
      <c r="BS62" s="1028"/>
      <c r="BT62" s="130" t="str">
        <f t="shared" si="124"/>
        <v/>
      </c>
      <c r="BU62" s="5" t="str">
        <f t="shared" si="125"/>
        <v/>
      </c>
      <c r="BV62" s="1028"/>
      <c r="BW62" s="130" t="str">
        <f t="shared" si="126"/>
        <v/>
      </c>
      <c r="BX62" s="5" t="str">
        <f t="shared" si="127"/>
        <v/>
      </c>
      <c r="BY62" s="1028"/>
      <c r="BZ62" s="130" t="str">
        <f t="shared" si="128"/>
        <v/>
      </c>
      <c r="CA62" s="5" t="str">
        <f t="shared" si="129"/>
        <v/>
      </c>
      <c r="CB62" s="1028"/>
      <c r="CC62" s="130" t="str">
        <f t="shared" si="130"/>
        <v/>
      </c>
      <c r="CD62" s="5" t="str">
        <f t="shared" si="131"/>
        <v/>
      </c>
      <c r="CE62" s="1028"/>
      <c r="CF62" s="130" t="str">
        <f t="shared" si="132"/>
        <v/>
      </c>
      <c r="CG62" s="5" t="str">
        <f t="shared" si="133"/>
        <v/>
      </c>
      <c r="CH62" s="1028"/>
      <c r="CI62" s="130" t="str">
        <f t="shared" si="134"/>
        <v/>
      </c>
      <c r="CJ62" s="5" t="str">
        <f t="shared" si="135"/>
        <v/>
      </c>
      <c r="CK62" s="1028"/>
      <c r="CL62" s="130" t="str">
        <f t="shared" si="136"/>
        <v/>
      </c>
      <c r="CM62" s="5" t="str">
        <f t="shared" si="137"/>
        <v/>
      </c>
      <c r="CN62" s="1028"/>
      <c r="CO62" s="130" t="str">
        <f t="shared" si="138"/>
        <v/>
      </c>
      <c r="CP62" s="5" t="str">
        <f t="shared" si="139"/>
        <v/>
      </c>
      <c r="CQ62" s="1028"/>
      <c r="CR62" s="130" t="str">
        <f t="shared" si="140"/>
        <v/>
      </c>
      <c r="CS62" s="5" t="str">
        <f t="shared" si="141"/>
        <v/>
      </c>
      <c r="CT62" s="1028"/>
      <c r="CU62" s="130" t="str">
        <f t="shared" si="142"/>
        <v/>
      </c>
      <c r="CV62" s="5" t="str">
        <f t="shared" si="143"/>
        <v/>
      </c>
      <c r="CW62" s="1028"/>
      <c r="CX62" s="130" t="str">
        <f t="shared" si="144"/>
        <v/>
      </c>
      <c r="CY62" s="5" t="str">
        <f t="shared" si="145"/>
        <v/>
      </c>
      <c r="CZ62" s="1028"/>
      <c r="DA62" s="130" t="str">
        <f t="shared" si="146"/>
        <v/>
      </c>
      <c r="DB62" s="5" t="str">
        <f t="shared" si="147"/>
        <v/>
      </c>
      <c r="DC62" s="1028"/>
      <c r="DD62" s="130" t="str">
        <f t="shared" si="148"/>
        <v/>
      </c>
      <c r="DE62" s="5" t="str">
        <f t="shared" si="149"/>
        <v/>
      </c>
      <c r="DF62" s="1028"/>
      <c r="DG62" s="130" t="str">
        <f t="shared" si="150"/>
        <v/>
      </c>
      <c r="DH62" s="5" t="str">
        <f t="shared" si="151"/>
        <v/>
      </c>
      <c r="DI62" s="1028"/>
      <c r="DJ62" s="130" t="str">
        <f t="shared" si="152"/>
        <v/>
      </c>
      <c r="DK62" s="5" t="str">
        <f t="shared" si="153"/>
        <v/>
      </c>
      <c r="DL62" s="1028"/>
      <c r="DM62" s="130" t="str">
        <f t="shared" si="154"/>
        <v/>
      </c>
      <c r="DN62" s="5" t="str">
        <f t="shared" si="155"/>
        <v/>
      </c>
      <c r="DO62" s="1028"/>
      <c r="DP62" s="130" t="str">
        <f t="shared" si="156"/>
        <v/>
      </c>
      <c r="DQ62" s="5" t="str">
        <f t="shared" si="157"/>
        <v/>
      </c>
      <c r="DR62" s="1028"/>
      <c r="DS62" s="130" t="str">
        <f t="shared" si="158"/>
        <v/>
      </c>
      <c r="DT62" s="5" t="str">
        <f t="shared" si="159"/>
        <v/>
      </c>
      <c r="DU62" s="1028"/>
      <c r="DV62" s="130" t="str">
        <f t="shared" si="160"/>
        <v/>
      </c>
      <c r="DW62" s="5" t="str">
        <f t="shared" si="161"/>
        <v/>
      </c>
      <c r="DX62" s="147"/>
    </row>
    <row r="63" ht="23.25" customHeight="true" x14ac:dyDescent="0.25">
      <c r="B63" s="744"/>
      <c r="C63" s="664">
        <f t="shared" si="81"/>
        <v>32</v>
      </c>
      <c r="D63" s="1030"/>
      <c r="E63" s="1022"/>
      <c r="F63" s="1022"/>
      <c r="G63" s="1027"/>
      <c r="H63" s="1028"/>
      <c r="I63" s="130" t="str">
        <f t="shared" si="82"/>
        <v/>
      </c>
      <c r="J63" s="1472" t="str">
        <f t="shared" si="83"/>
        <v/>
      </c>
      <c r="K63" s="1028"/>
      <c r="L63" s="130" t="str">
        <f t="shared" si="84"/>
        <v/>
      </c>
      <c r="M63" s="1472" t="str">
        <f t="shared" si="85"/>
        <v/>
      </c>
      <c r="N63" s="1028"/>
      <c r="O63" s="130" t="str">
        <f t="shared" si="86"/>
        <v/>
      </c>
      <c r="P63" s="1472" t="str">
        <f t="shared" si="87"/>
        <v/>
      </c>
      <c r="Q63" s="1028"/>
      <c r="R63" s="130" t="str">
        <f t="shared" si="88"/>
        <v/>
      </c>
      <c r="S63" s="1473" t="str">
        <f t="shared" si="89"/>
        <v/>
      </c>
      <c r="T63" s="1028"/>
      <c r="U63" s="130" t="str">
        <f t="shared" si="90"/>
        <v/>
      </c>
      <c r="V63" s="1472" t="str">
        <f t="shared" si="91"/>
        <v/>
      </c>
      <c r="W63" s="1029"/>
      <c r="X63" s="130" t="str">
        <f t="shared" si="92"/>
        <v/>
      </c>
      <c r="Y63" s="5" t="str">
        <f t="shared" si="93"/>
        <v/>
      </c>
      <c r="Z63" s="1028"/>
      <c r="AA63" s="130" t="str">
        <f t="shared" si="94"/>
        <v/>
      </c>
      <c r="AB63" s="5" t="str">
        <f t="shared" si="95"/>
        <v/>
      </c>
      <c r="AC63" s="1029"/>
      <c r="AD63" s="130" t="str">
        <f t="shared" si="96"/>
        <v/>
      </c>
      <c r="AE63" s="5" t="str">
        <f t="shared" si="97"/>
        <v/>
      </c>
      <c r="AF63" s="1028"/>
      <c r="AG63" s="130" t="str">
        <f t="shared" si="98"/>
        <v/>
      </c>
      <c r="AH63" s="5" t="str">
        <f t="shared" si="99"/>
        <v/>
      </c>
      <c r="AI63" s="1028"/>
      <c r="AJ63" s="130" t="str">
        <f t="shared" si="100"/>
        <v/>
      </c>
      <c r="AK63" s="5" t="str">
        <f t="shared" si="101"/>
        <v/>
      </c>
      <c r="AL63" s="1028"/>
      <c r="AM63" s="130" t="str">
        <f t="shared" si="102"/>
        <v/>
      </c>
      <c r="AN63" s="5" t="str">
        <f t="shared" si="103"/>
        <v/>
      </c>
      <c r="AO63" s="1028"/>
      <c r="AP63" s="130" t="str">
        <f t="shared" si="104"/>
        <v/>
      </c>
      <c r="AQ63" s="5" t="str">
        <f t="shared" si="105"/>
        <v/>
      </c>
      <c r="AR63" s="1028"/>
      <c r="AS63" s="130" t="str">
        <f t="shared" si="106"/>
        <v/>
      </c>
      <c r="AT63" s="5" t="str">
        <f t="shared" si="107"/>
        <v/>
      </c>
      <c r="AU63" s="1028"/>
      <c r="AV63" s="130" t="str">
        <f t="shared" si="108"/>
        <v/>
      </c>
      <c r="AW63" s="5" t="str">
        <f t="shared" si="109"/>
        <v/>
      </c>
      <c r="AX63" s="1028"/>
      <c r="AY63" s="130" t="str">
        <f t="shared" si="110"/>
        <v/>
      </c>
      <c r="AZ63" s="5" t="str">
        <f t="shared" si="111"/>
        <v/>
      </c>
      <c r="BA63" s="1028"/>
      <c r="BB63" s="130" t="str">
        <f t="shared" si="112"/>
        <v/>
      </c>
      <c r="BC63" s="5" t="str">
        <f t="shared" si="113"/>
        <v/>
      </c>
      <c r="BD63" s="1028"/>
      <c r="BE63" s="130" t="str">
        <f t="shared" si="114"/>
        <v/>
      </c>
      <c r="BF63" s="5" t="str">
        <f t="shared" si="115"/>
        <v/>
      </c>
      <c r="BG63" s="1028"/>
      <c r="BH63" s="130" t="str">
        <f t="shared" si="116"/>
        <v/>
      </c>
      <c r="BI63" s="5" t="str">
        <f t="shared" si="117"/>
        <v/>
      </c>
      <c r="BJ63" s="1028"/>
      <c r="BK63" s="130" t="str">
        <f t="shared" si="118"/>
        <v/>
      </c>
      <c r="BL63" s="5" t="str">
        <f t="shared" si="119"/>
        <v/>
      </c>
      <c r="BM63" s="1028"/>
      <c r="BN63" s="130" t="str">
        <f t="shared" si="120"/>
        <v/>
      </c>
      <c r="BO63" s="5" t="str">
        <f t="shared" si="121"/>
        <v/>
      </c>
      <c r="BP63" s="1028"/>
      <c r="BQ63" s="130" t="str">
        <f t="shared" si="122"/>
        <v/>
      </c>
      <c r="BR63" s="5" t="str">
        <f t="shared" si="123"/>
        <v/>
      </c>
      <c r="BS63" s="1028"/>
      <c r="BT63" s="130" t="str">
        <f t="shared" si="124"/>
        <v/>
      </c>
      <c r="BU63" s="5" t="str">
        <f t="shared" si="125"/>
        <v/>
      </c>
      <c r="BV63" s="1028"/>
      <c r="BW63" s="130" t="str">
        <f t="shared" si="126"/>
        <v/>
      </c>
      <c r="BX63" s="5" t="str">
        <f t="shared" si="127"/>
        <v/>
      </c>
      <c r="BY63" s="1028"/>
      <c r="BZ63" s="130" t="str">
        <f t="shared" si="128"/>
        <v/>
      </c>
      <c r="CA63" s="5" t="str">
        <f t="shared" si="129"/>
        <v/>
      </c>
      <c r="CB63" s="1028"/>
      <c r="CC63" s="130" t="str">
        <f t="shared" si="130"/>
        <v/>
      </c>
      <c r="CD63" s="5" t="str">
        <f t="shared" si="131"/>
        <v/>
      </c>
      <c r="CE63" s="1028"/>
      <c r="CF63" s="130" t="str">
        <f t="shared" si="132"/>
        <v/>
      </c>
      <c r="CG63" s="5" t="str">
        <f t="shared" si="133"/>
        <v/>
      </c>
      <c r="CH63" s="1028"/>
      <c r="CI63" s="130" t="str">
        <f t="shared" si="134"/>
        <v/>
      </c>
      <c r="CJ63" s="5" t="str">
        <f t="shared" si="135"/>
        <v/>
      </c>
      <c r="CK63" s="1028"/>
      <c r="CL63" s="130" t="str">
        <f t="shared" si="136"/>
        <v/>
      </c>
      <c r="CM63" s="5" t="str">
        <f t="shared" si="137"/>
        <v/>
      </c>
      <c r="CN63" s="1028"/>
      <c r="CO63" s="130" t="str">
        <f t="shared" si="138"/>
        <v/>
      </c>
      <c r="CP63" s="5" t="str">
        <f t="shared" si="139"/>
        <v/>
      </c>
      <c r="CQ63" s="1028"/>
      <c r="CR63" s="130" t="str">
        <f t="shared" si="140"/>
        <v/>
      </c>
      <c r="CS63" s="5" t="str">
        <f t="shared" si="141"/>
        <v/>
      </c>
      <c r="CT63" s="1028"/>
      <c r="CU63" s="130" t="str">
        <f t="shared" si="142"/>
        <v/>
      </c>
      <c r="CV63" s="5" t="str">
        <f t="shared" si="143"/>
        <v/>
      </c>
      <c r="CW63" s="1028"/>
      <c r="CX63" s="130" t="str">
        <f t="shared" si="144"/>
        <v/>
      </c>
      <c r="CY63" s="5" t="str">
        <f t="shared" si="145"/>
        <v/>
      </c>
      <c r="CZ63" s="1028"/>
      <c r="DA63" s="130" t="str">
        <f t="shared" si="146"/>
        <v/>
      </c>
      <c r="DB63" s="5" t="str">
        <f t="shared" si="147"/>
        <v/>
      </c>
      <c r="DC63" s="1028"/>
      <c r="DD63" s="130" t="str">
        <f t="shared" si="148"/>
        <v/>
      </c>
      <c r="DE63" s="5" t="str">
        <f t="shared" si="149"/>
        <v/>
      </c>
      <c r="DF63" s="1028"/>
      <c r="DG63" s="130" t="str">
        <f t="shared" si="150"/>
        <v/>
      </c>
      <c r="DH63" s="5" t="str">
        <f t="shared" si="151"/>
        <v/>
      </c>
      <c r="DI63" s="1028"/>
      <c r="DJ63" s="130" t="str">
        <f t="shared" si="152"/>
        <v/>
      </c>
      <c r="DK63" s="5" t="str">
        <f t="shared" si="153"/>
        <v/>
      </c>
      <c r="DL63" s="1028"/>
      <c r="DM63" s="130" t="str">
        <f t="shared" si="154"/>
        <v/>
      </c>
      <c r="DN63" s="5" t="str">
        <f t="shared" si="155"/>
        <v/>
      </c>
      <c r="DO63" s="1028"/>
      <c r="DP63" s="130" t="str">
        <f t="shared" si="156"/>
        <v/>
      </c>
      <c r="DQ63" s="5" t="str">
        <f t="shared" si="157"/>
        <v/>
      </c>
      <c r="DR63" s="1028"/>
      <c r="DS63" s="130" t="str">
        <f t="shared" si="158"/>
        <v/>
      </c>
      <c r="DT63" s="5" t="str">
        <f t="shared" si="159"/>
        <v/>
      </c>
      <c r="DU63" s="1028"/>
      <c r="DV63" s="130" t="str">
        <f t="shared" si="160"/>
        <v/>
      </c>
      <c r="DW63" s="5" t="str">
        <f t="shared" si="161"/>
        <v/>
      </c>
      <c r="DX63" s="147"/>
    </row>
    <row r="64" ht="23.25" customHeight="true" x14ac:dyDescent="0.25">
      <c r="B64" s="744"/>
      <c r="C64" s="664">
        <f t="shared" si="81"/>
        <v>33</v>
      </c>
      <c r="D64" s="1030"/>
      <c r="E64" s="1022"/>
      <c r="F64" s="1022"/>
      <c r="G64" s="1027"/>
      <c r="H64" s="1028"/>
      <c r="I64" s="130" t="str">
        <f t="shared" si="82"/>
        <v/>
      </c>
      <c r="J64" s="1472" t="str">
        <f t="shared" si="83"/>
        <v/>
      </c>
      <c r="K64" s="1028"/>
      <c r="L64" s="130" t="str">
        <f t="shared" si="84"/>
        <v/>
      </c>
      <c r="M64" s="1472" t="str">
        <f t="shared" si="85"/>
        <v/>
      </c>
      <c r="N64" s="1028"/>
      <c r="O64" s="130" t="str">
        <f t="shared" si="86"/>
        <v/>
      </c>
      <c r="P64" s="1472" t="str">
        <f t="shared" si="87"/>
        <v/>
      </c>
      <c r="Q64" s="1028"/>
      <c r="R64" s="130" t="str">
        <f t="shared" si="88"/>
        <v/>
      </c>
      <c r="S64" s="1473" t="str">
        <f t="shared" si="89"/>
        <v/>
      </c>
      <c r="T64" s="1028"/>
      <c r="U64" s="130" t="str">
        <f t="shared" si="90"/>
        <v/>
      </c>
      <c r="V64" s="1472" t="str">
        <f t="shared" si="91"/>
        <v/>
      </c>
      <c r="W64" s="1029"/>
      <c r="X64" s="130" t="str">
        <f t="shared" si="92"/>
        <v/>
      </c>
      <c r="Y64" s="5" t="str">
        <f t="shared" si="93"/>
        <v/>
      </c>
      <c r="Z64" s="1028"/>
      <c r="AA64" s="130" t="str">
        <f t="shared" si="94"/>
        <v/>
      </c>
      <c r="AB64" s="5" t="str">
        <f t="shared" si="95"/>
        <v/>
      </c>
      <c r="AC64" s="1029"/>
      <c r="AD64" s="130" t="str">
        <f t="shared" si="96"/>
        <v/>
      </c>
      <c r="AE64" s="5" t="str">
        <f t="shared" si="97"/>
        <v/>
      </c>
      <c r="AF64" s="1028"/>
      <c r="AG64" s="130" t="str">
        <f t="shared" si="98"/>
        <v/>
      </c>
      <c r="AH64" s="5" t="str">
        <f t="shared" si="99"/>
        <v/>
      </c>
      <c r="AI64" s="1028"/>
      <c r="AJ64" s="130" t="str">
        <f t="shared" si="100"/>
        <v/>
      </c>
      <c r="AK64" s="5" t="str">
        <f t="shared" si="101"/>
        <v/>
      </c>
      <c r="AL64" s="1028"/>
      <c r="AM64" s="130" t="str">
        <f t="shared" si="102"/>
        <v/>
      </c>
      <c r="AN64" s="5" t="str">
        <f t="shared" si="103"/>
        <v/>
      </c>
      <c r="AO64" s="1028"/>
      <c r="AP64" s="130" t="str">
        <f t="shared" si="104"/>
        <v/>
      </c>
      <c r="AQ64" s="5" t="str">
        <f t="shared" si="105"/>
        <v/>
      </c>
      <c r="AR64" s="1028"/>
      <c r="AS64" s="130" t="str">
        <f t="shared" si="106"/>
        <v/>
      </c>
      <c r="AT64" s="5" t="str">
        <f t="shared" si="107"/>
        <v/>
      </c>
      <c r="AU64" s="1028"/>
      <c r="AV64" s="130" t="str">
        <f t="shared" si="108"/>
        <v/>
      </c>
      <c r="AW64" s="5" t="str">
        <f t="shared" si="109"/>
        <v/>
      </c>
      <c r="AX64" s="1028"/>
      <c r="AY64" s="130" t="str">
        <f t="shared" si="110"/>
        <v/>
      </c>
      <c r="AZ64" s="5" t="str">
        <f t="shared" si="111"/>
        <v/>
      </c>
      <c r="BA64" s="1028"/>
      <c r="BB64" s="130" t="str">
        <f t="shared" si="112"/>
        <v/>
      </c>
      <c r="BC64" s="5" t="str">
        <f t="shared" si="113"/>
        <v/>
      </c>
      <c r="BD64" s="1028"/>
      <c r="BE64" s="130" t="str">
        <f t="shared" si="114"/>
        <v/>
      </c>
      <c r="BF64" s="5" t="str">
        <f t="shared" si="115"/>
        <v/>
      </c>
      <c r="BG64" s="1028"/>
      <c r="BH64" s="130" t="str">
        <f t="shared" si="116"/>
        <v/>
      </c>
      <c r="BI64" s="5" t="str">
        <f t="shared" si="117"/>
        <v/>
      </c>
      <c r="BJ64" s="1028"/>
      <c r="BK64" s="130" t="str">
        <f t="shared" si="118"/>
        <v/>
      </c>
      <c r="BL64" s="5" t="str">
        <f t="shared" si="119"/>
        <v/>
      </c>
      <c r="BM64" s="1028"/>
      <c r="BN64" s="130" t="str">
        <f t="shared" si="120"/>
        <v/>
      </c>
      <c r="BO64" s="5" t="str">
        <f t="shared" si="121"/>
        <v/>
      </c>
      <c r="BP64" s="1028"/>
      <c r="BQ64" s="130" t="str">
        <f t="shared" si="122"/>
        <v/>
      </c>
      <c r="BR64" s="5" t="str">
        <f t="shared" si="123"/>
        <v/>
      </c>
      <c r="BS64" s="1028"/>
      <c r="BT64" s="130" t="str">
        <f t="shared" si="124"/>
        <v/>
      </c>
      <c r="BU64" s="5" t="str">
        <f t="shared" si="125"/>
        <v/>
      </c>
      <c r="BV64" s="1028"/>
      <c r="BW64" s="130" t="str">
        <f t="shared" si="126"/>
        <v/>
      </c>
      <c r="BX64" s="5" t="str">
        <f t="shared" si="127"/>
        <v/>
      </c>
      <c r="BY64" s="1028"/>
      <c r="BZ64" s="130" t="str">
        <f t="shared" si="128"/>
        <v/>
      </c>
      <c r="CA64" s="5" t="str">
        <f t="shared" si="129"/>
        <v/>
      </c>
      <c r="CB64" s="1028"/>
      <c r="CC64" s="130" t="str">
        <f t="shared" si="130"/>
        <v/>
      </c>
      <c r="CD64" s="5" t="str">
        <f t="shared" si="131"/>
        <v/>
      </c>
      <c r="CE64" s="1028"/>
      <c r="CF64" s="130" t="str">
        <f t="shared" si="132"/>
        <v/>
      </c>
      <c r="CG64" s="5" t="str">
        <f t="shared" si="133"/>
        <v/>
      </c>
      <c r="CH64" s="1028"/>
      <c r="CI64" s="130" t="str">
        <f t="shared" si="134"/>
        <v/>
      </c>
      <c r="CJ64" s="5" t="str">
        <f t="shared" si="135"/>
        <v/>
      </c>
      <c r="CK64" s="1028"/>
      <c r="CL64" s="130" t="str">
        <f t="shared" si="136"/>
        <v/>
      </c>
      <c r="CM64" s="5" t="str">
        <f t="shared" si="137"/>
        <v/>
      </c>
      <c r="CN64" s="1028"/>
      <c r="CO64" s="130" t="str">
        <f t="shared" si="138"/>
        <v/>
      </c>
      <c r="CP64" s="5" t="str">
        <f t="shared" si="139"/>
        <v/>
      </c>
      <c r="CQ64" s="1028"/>
      <c r="CR64" s="130" t="str">
        <f t="shared" si="140"/>
        <v/>
      </c>
      <c r="CS64" s="5" t="str">
        <f t="shared" si="141"/>
        <v/>
      </c>
      <c r="CT64" s="1028"/>
      <c r="CU64" s="130" t="str">
        <f t="shared" si="142"/>
        <v/>
      </c>
      <c r="CV64" s="5" t="str">
        <f t="shared" si="143"/>
        <v/>
      </c>
      <c r="CW64" s="1028"/>
      <c r="CX64" s="130" t="str">
        <f t="shared" si="144"/>
        <v/>
      </c>
      <c r="CY64" s="5" t="str">
        <f t="shared" si="145"/>
        <v/>
      </c>
      <c r="CZ64" s="1028"/>
      <c r="DA64" s="130" t="str">
        <f t="shared" si="146"/>
        <v/>
      </c>
      <c r="DB64" s="5" t="str">
        <f t="shared" si="147"/>
        <v/>
      </c>
      <c r="DC64" s="1028"/>
      <c r="DD64" s="130" t="str">
        <f t="shared" si="148"/>
        <v/>
      </c>
      <c r="DE64" s="5" t="str">
        <f t="shared" si="149"/>
        <v/>
      </c>
      <c r="DF64" s="1028"/>
      <c r="DG64" s="130" t="str">
        <f t="shared" si="150"/>
        <v/>
      </c>
      <c r="DH64" s="5" t="str">
        <f t="shared" si="151"/>
        <v/>
      </c>
      <c r="DI64" s="1028"/>
      <c r="DJ64" s="130" t="str">
        <f t="shared" si="152"/>
        <v/>
      </c>
      <c r="DK64" s="5" t="str">
        <f t="shared" si="153"/>
        <v/>
      </c>
      <c r="DL64" s="1028"/>
      <c r="DM64" s="130" t="str">
        <f t="shared" si="154"/>
        <v/>
      </c>
      <c r="DN64" s="5" t="str">
        <f t="shared" si="155"/>
        <v/>
      </c>
      <c r="DO64" s="1028"/>
      <c r="DP64" s="130" t="str">
        <f t="shared" si="156"/>
        <v/>
      </c>
      <c r="DQ64" s="5" t="str">
        <f t="shared" si="157"/>
        <v/>
      </c>
      <c r="DR64" s="1028"/>
      <c r="DS64" s="130" t="str">
        <f t="shared" si="158"/>
        <v/>
      </c>
      <c r="DT64" s="5" t="str">
        <f t="shared" si="159"/>
        <v/>
      </c>
      <c r="DU64" s="1028"/>
      <c r="DV64" s="130" t="str">
        <f t="shared" si="160"/>
        <v/>
      </c>
      <c r="DW64" s="5" t="str">
        <f t="shared" si="161"/>
        <v/>
      </c>
      <c r="DX64" s="147"/>
    </row>
    <row r="65" ht="23.25" customHeight="true" x14ac:dyDescent="0.25">
      <c r="B65" s="744"/>
      <c r="C65" s="664">
        <f t="shared" si="81"/>
        <v>34</v>
      </c>
      <c r="D65" s="1030"/>
      <c r="E65" s="1022"/>
      <c r="F65" s="1022"/>
      <c r="G65" s="1027"/>
      <c r="H65" s="1028"/>
      <c r="I65" s="130" t="str">
        <f t="shared" si="82"/>
        <v/>
      </c>
      <c r="J65" s="1472" t="str">
        <f t="shared" si="83"/>
        <v/>
      </c>
      <c r="K65" s="1028"/>
      <c r="L65" s="130" t="str">
        <f t="shared" si="84"/>
        <v/>
      </c>
      <c r="M65" s="1472" t="str">
        <f t="shared" si="85"/>
        <v/>
      </c>
      <c r="N65" s="1028"/>
      <c r="O65" s="130" t="str">
        <f t="shared" si="86"/>
        <v/>
      </c>
      <c r="P65" s="1472" t="str">
        <f t="shared" si="87"/>
        <v/>
      </c>
      <c r="Q65" s="1028"/>
      <c r="R65" s="130" t="str">
        <f t="shared" si="88"/>
        <v/>
      </c>
      <c r="S65" s="1473" t="str">
        <f t="shared" si="89"/>
        <v/>
      </c>
      <c r="T65" s="1028"/>
      <c r="U65" s="130" t="str">
        <f t="shared" si="90"/>
        <v/>
      </c>
      <c r="V65" s="1472" t="str">
        <f t="shared" si="91"/>
        <v/>
      </c>
      <c r="W65" s="1029"/>
      <c r="X65" s="130" t="str">
        <f t="shared" si="92"/>
        <v/>
      </c>
      <c r="Y65" s="5" t="str">
        <f t="shared" si="93"/>
        <v/>
      </c>
      <c r="Z65" s="1028"/>
      <c r="AA65" s="130" t="str">
        <f t="shared" si="94"/>
        <v/>
      </c>
      <c r="AB65" s="5" t="str">
        <f t="shared" si="95"/>
        <v/>
      </c>
      <c r="AC65" s="1029"/>
      <c r="AD65" s="130" t="str">
        <f t="shared" si="96"/>
        <v/>
      </c>
      <c r="AE65" s="5" t="str">
        <f t="shared" si="97"/>
        <v/>
      </c>
      <c r="AF65" s="1028"/>
      <c r="AG65" s="130" t="str">
        <f t="shared" si="98"/>
        <v/>
      </c>
      <c r="AH65" s="5" t="str">
        <f t="shared" si="99"/>
        <v/>
      </c>
      <c r="AI65" s="1028"/>
      <c r="AJ65" s="130" t="str">
        <f t="shared" si="100"/>
        <v/>
      </c>
      <c r="AK65" s="5" t="str">
        <f t="shared" si="101"/>
        <v/>
      </c>
      <c r="AL65" s="1028"/>
      <c r="AM65" s="130" t="str">
        <f t="shared" si="102"/>
        <v/>
      </c>
      <c r="AN65" s="5" t="str">
        <f t="shared" si="103"/>
        <v/>
      </c>
      <c r="AO65" s="1028"/>
      <c r="AP65" s="130" t="str">
        <f t="shared" si="104"/>
        <v/>
      </c>
      <c r="AQ65" s="5" t="str">
        <f t="shared" si="105"/>
        <v/>
      </c>
      <c r="AR65" s="1028"/>
      <c r="AS65" s="130" t="str">
        <f t="shared" si="106"/>
        <v/>
      </c>
      <c r="AT65" s="5" t="str">
        <f t="shared" si="107"/>
        <v/>
      </c>
      <c r="AU65" s="1028"/>
      <c r="AV65" s="130" t="str">
        <f t="shared" si="108"/>
        <v/>
      </c>
      <c r="AW65" s="5" t="str">
        <f t="shared" si="109"/>
        <v/>
      </c>
      <c r="AX65" s="1028"/>
      <c r="AY65" s="130" t="str">
        <f t="shared" si="110"/>
        <v/>
      </c>
      <c r="AZ65" s="5" t="str">
        <f t="shared" si="111"/>
        <v/>
      </c>
      <c r="BA65" s="1028"/>
      <c r="BB65" s="130" t="str">
        <f t="shared" si="112"/>
        <v/>
      </c>
      <c r="BC65" s="5" t="str">
        <f t="shared" si="113"/>
        <v/>
      </c>
      <c r="BD65" s="1028"/>
      <c r="BE65" s="130" t="str">
        <f t="shared" si="114"/>
        <v/>
      </c>
      <c r="BF65" s="5" t="str">
        <f t="shared" si="115"/>
        <v/>
      </c>
      <c r="BG65" s="1028"/>
      <c r="BH65" s="130" t="str">
        <f t="shared" si="116"/>
        <v/>
      </c>
      <c r="BI65" s="5" t="str">
        <f t="shared" si="117"/>
        <v/>
      </c>
      <c r="BJ65" s="1028"/>
      <c r="BK65" s="130" t="str">
        <f t="shared" si="118"/>
        <v/>
      </c>
      <c r="BL65" s="5" t="str">
        <f t="shared" si="119"/>
        <v/>
      </c>
      <c r="BM65" s="1028"/>
      <c r="BN65" s="130" t="str">
        <f t="shared" si="120"/>
        <v/>
      </c>
      <c r="BO65" s="5" t="str">
        <f t="shared" si="121"/>
        <v/>
      </c>
      <c r="BP65" s="1028"/>
      <c r="BQ65" s="130" t="str">
        <f t="shared" si="122"/>
        <v/>
      </c>
      <c r="BR65" s="5" t="str">
        <f t="shared" si="123"/>
        <v/>
      </c>
      <c r="BS65" s="1028"/>
      <c r="BT65" s="130" t="str">
        <f t="shared" si="124"/>
        <v/>
      </c>
      <c r="BU65" s="5" t="str">
        <f t="shared" si="125"/>
        <v/>
      </c>
      <c r="BV65" s="1028"/>
      <c r="BW65" s="130" t="str">
        <f t="shared" si="126"/>
        <v/>
      </c>
      <c r="BX65" s="5" t="str">
        <f t="shared" si="127"/>
        <v/>
      </c>
      <c r="BY65" s="1028"/>
      <c r="BZ65" s="130" t="str">
        <f t="shared" si="128"/>
        <v/>
      </c>
      <c r="CA65" s="5" t="str">
        <f t="shared" si="129"/>
        <v/>
      </c>
      <c r="CB65" s="1028"/>
      <c r="CC65" s="130" t="str">
        <f t="shared" si="130"/>
        <v/>
      </c>
      <c r="CD65" s="5" t="str">
        <f t="shared" si="131"/>
        <v/>
      </c>
      <c r="CE65" s="1028"/>
      <c r="CF65" s="130" t="str">
        <f t="shared" si="132"/>
        <v/>
      </c>
      <c r="CG65" s="5" t="str">
        <f t="shared" si="133"/>
        <v/>
      </c>
      <c r="CH65" s="1028"/>
      <c r="CI65" s="130" t="str">
        <f t="shared" si="134"/>
        <v/>
      </c>
      <c r="CJ65" s="5" t="str">
        <f t="shared" si="135"/>
        <v/>
      </c>
      <c r="CK65" s="1028"/>
      <c r="CL65" s="130" t="str">
        <f t="shared" si="136"/>
        <v/>
      </c>
      <c r="CM65" s="5" t="str">
        <f t="shared" si="137"/>
        <v/>
      </c>
      <c r="CN65" s="1028"/>
      <c r="CO65" s="130" t="str">
        <f t="shared" si="138"/>
        <v/>
      </c>
      <c r="CP65" s="5" t="str">
        <f t="shared" si="139"/>
        <v/>
      </c>
      <c r="CQ65" s="1028"/>
      <c r="CR65" s="130" t="str">
        <f t="shared" si="140"/>
        <v/>
      </c>
      <c r="CS65" s="5" t="str">
        <f t="shared" si="141"/>
        <v/>
      </c>
      <c r="CT65" s="1028"/>
      <c r="CU65" s="130" t="str">
        <f t="shared" si="142"/>
        <v/>
      </c>
      <c r="CV65" s="5" t="str">
        <f t="shared" si="143"/>
        <v/>
      </c>
      <c r="CW65" s="1028"/>
      <c r="CX65" s="130" t="str">
        <f t="shared" si="144"/>
        <v/>
      </c>
      <c r="CY65" s="5" t="str">
        <f t="shared" si="145"/>
        <v/>
      </c>
      <c r="CZ65" s="1028"/>
      <c r="DA65" s="130" t="str">
        <f t="shared" si="146"/>
        <v/>
      </c>
      <c r="DB65" s="5" t="str">
        <f t="shared" si="147"/>
        <v/>
      </c>
      <c r="DC65" s="1028"/>
      <c r="DD65" s="130" t="str">
        <f t="shared" si="148"/>
        <v/>
      </c>
      <c r="DE65" s="5" t="str">
        <f t="shared" si="149"/>
        <v/>
      </c>
      <c r="DF65" s="1028"/>
      <c r="DG65" s="130" t="str">
        <f t="shared" si="150"/>
        <v/>
      </c>
      <c r="DH65" s="5" t="str">
        <f t="shared" si="151"/>
        <v/>
      </c>
      <c r="DI65" s="1028"/>
      <c r="DJ65" s="130" t="str">
        <f t="shared" si="152"/>
        <v/>
      </c>
      <c r="DK65" s="5" t="str">
        <f t="shared" si="153"/>
        <v/>
      </c>
      <c r="DL65" s="1028"/>
      <c r="DM65" s="130" t="str">
        <f t="shared" si="154"/>
        <v/>
      </c>
      <c r="DN65" s="5" t="str">
        <f t="shared" si="155"/>
        <v/>
      </c>
      <c r="DO65" s="1028"/>
      <c r="DP65" s="130" t="str">
        <f t="shared" si="156"/>
        <v/>
      </c>
      <c r="DQ65" s="5" t="str">
        <f t="shared" si="157"/>
        <v/>
      </c>
      <c r="DR65" s="1028"/>
      <c r="DS65" s="130" t="str">
        <f t="shared" si="158"/>
        <v/>
      </c>
      <c r="DT65" s="5" t="str">
        <f t="shared" si="159"/>
        <v/>
      </c>
      <c r="DU65" s="1028"/>
      <c r="DV65" s="130" t="str">
        <f t="shared" si="160"/>
        <v/>
      </c>
      <c r="DW65" s="5" t="str">
        <f t="shared" si="161"/>
        <v/>
      </c>
      <c r="DX65" s="147"/>
    </row>
    <row r="66" ht="23.25" customHeight="true" x14ac:dyDescent="0.25">
      <c r="B66" s="744"/>
      <c r="C66" s="664">
        <f t="shared" si="81"/>
        <v>35</v>
      </c>
      <c r="D66" s="1030"/>
      <c r="E66" s="1022"/>
      <c r="F66" s="1022"/>
      <c r="G66" s="1027"/>
      <c r="H66" s="1028"/>
      <c r="I66" s="130" t="str">
        <f t="shared" si="82"/>
        <v/>
      </c>
      <c r="J66" s="1472" t="str">
        <f t="shared" si="83"/>
        <v/>
      </c>
      <c r="K66" s="1028"/>
      <c r="L66" s="130" t="str">
        <f t="shared" si="84"/>
        <v/>
      </c>
      <c r="M66" s="1472" t="str">
        <f t="shared" si="85"/>
        <v/>
      </c>
      <c r="N66" s="1028"/>
      <c r="O66" s="130" t="str">
        <f t="shared" si="86"/>
        <v/>
      </c>
      <c r="P66" s="1472" t="str">
        <f t="shared" si="87"/>
        <v/>
      </c>
      <c r="Q66" s="1028"/>
      <c r="R66" s="130" t="str">
        <f t="shared" si="88"/>
        <v/>
      </c>
      <c r="S66" s="1473" t="str">
        <f t="shared" si="89"/>
        <v/>
      </c>
      <c r="T66" s="1028"/>
      <c r="U66" s="130" t="str">
        <f t="shared" si="90"/>
        <v/>
      </c>
      <c r="V66" s="1472" t="str">
        <f t="shared" si="91"/>
        <v/>
      </c>
      <c r="W66" s="1029"/>
      <c r="X66" s="130" t="str">
        <f t="shared" si="92"/>
        <v/>
      </c>
      <c r="Y66" s="5" t="str">
        <f t="shared" si="93"/>
        <v/>
      </c>
      <c r="Z66" s="1028"/>
      <c r="AA66" s="130" t="str">
        <f t="shared" si="94"/>
        <v/>
      </c>
      <c r="AB66" s="5" t="str">
        <f t="shared" si="95"/>
        <v/>
      </c>
      <c r="AC66" s="1029"/>
      <c r="AD66" s="130" t="str">
        <f t="shared" si="96"/>
        <v/>
      </c>
      <c r="AE66" s="5" t="str">
        <f t="shared" si="97"/>
        <v/>
      </c>
      <c r="AF66" s="1028"/>
      <c r="AG66" s="130" t="str">
        <f t="shared" si="98"/>
        <v/>
      </c>
      <c r="AH66" s="5" t="str">
        <f t="shared" si="99"/>
        <v/>
      </c>
      <c r="AI66" s="1028"/>
      <c r="AJ66" s="130" t="str">
        <f t="shared" si="100"/>
        <v/>
      </c>
      <c r="AK66" s="5" t="str">
        <f t="shared" si="101"/>
        <v/>
      </c>
      <c r="AL66" s="1028"/>
      <c r="AM66" s="130" t="str">
        <f t="shared" si="102"/>
        <v/>
      </c>
      <c r="AN66" s="5" t="str">
        <f t="shared" si="103"/>
        <v/>
      </c>
      <c r="AO66" s="1028"/>
      <c r="AP66" s="130" t="str">
        <f t="shared" si="104"/>
        <v/>
      </c>
      <c r="AQ66" s="5" t="str">
        <f t="shared" si="105"/>
        <v/>
      </c>
      <c r="AR66" s="1028"/>
      <c r="AS66" s="130" t="str">
        <f t="shared" si="106"/>
        <v/>
      </c>
      <c r="AT66" s="5" t="str">
        <f t="shared" si="107"/>
        <v/>
      </c>
      <c r="AU66" s="1028"/>
      <c r="AV66" s="130" t="str">
        <f t="shared" si="108"/>
        <v/>
      </c>
      <c r="AW66" s="5" t="str">
        <f t="shared" si="109"/>
        <v/>
      </c>
      <c r="AX66" s="1028"/>
      <c r="AY66" s="130" t="str">
        <f t="shared" si="110"/>
        <v/>
      </c>
      <c r="AZ66" s="5" t="str">
        <f t="shared" si="111"/>
        <v/>
      </c>
      <c r="BA66" s="1028"/>
      <c r="BB66" s="130" t="str">
        <f t="shared" si="112"/>
        <v/>
      </c>
      <c r="BC66" s="5" t="str">
        <f t="shared" si="113"/>
        <v/>
      </c>
      <c r="BD66" s="1028"/>
      <c r="BE66" s="130" t="str">
        <f t="shared" si="114"/>
        <v/>
      </c>
      <c r="BF66" s="5" t="str">
        <f t="shared" si="115"/>
        <v/>
      </c>
      <c r="BG66" s="1028"/>
      <c r="BH66" s="130" t="str">
        <f t="shared" si="116"/>
        <v/>
      </c>
      <c r="BI66" s="5" t="str">
        <f t="shared" si="117"/>
        <v/>
      </c>
      <c r="BJ66" s="1028"/>
      <c r="BK66" s="130" t="str">
        <f t="shared" si="118"/>
        <v/>
      </c>
      <c r="BL66" s="5" t="str">
        <f t="shared" si="119"/>
        <v/>
      </c>
      <c r="BM66" s="1028"/>
      <c r="BN66" s="130" t="str">
        <f t="shared" si="120"/>
        <v/>
      </c>
      <c r="BO66" s="5" t="str">
        <f t="shared" si="121"/>
        <v/>
      </c>
      <c r="BP66" s="1028"/>
      <c r="BQ66" s="130" t="str">
        <f t="shared" si="122"/>
        <v/>
      </c>
      <c r="BR66" s="5" t="str">
        <f t="shared" si="123"/>
        <v/>
      </c>
      <c r="BS66" s="1028"/>
      <c r="BT66" s="130" t="str">
        <f t="shared" si="124"/>
        <v/>
      </c>
      <c r="BU66" s="5" t="str">
        <f t="shared" si="125"/>
        <v/>
      </c>
      <c r="BV66" s="1028"/>
      <c r="BW66" s="130" t="str">
        <f t="shared" si="126"/>
        <v/>
      </c>
      <c r="BX66" s="5" t="str">
        <f t="shared" si="127"/>
        <v/>
      </c>
      <c r="BY66" s="1028"/>
      <c r="BZ66" s="130" t="str">
        <f t="shared" si="128"/>
        <v/>
      </c>
      <c r="CA66" s="5" t="str">
        <f t="shared" si="129"/>
        <v/>
      </c>
      <c r="CB66" s="1028"/>
      <c r="CC66" s="130" t="str">
        <f t="shared" si="130"/>
        <v/>
      </c>
      <c r="CD66" s="5" t="str">
        <f t="shared" si="131"/>
        <v/>
      </c>
      <c r="CE66" s="1028"/>
      <c r="CF66" s="130" t="str">
        <f t="shared" si="132"/>
        <v/>
      </c>
      <c r="CG66" s="5" t="str">
        <f t="shared" si="133"/>
        <v/>
      </c>
      <c r="CH66" s="1028"/>
      <c r="CI66" s="130" t="str">
        <f t="shared" si="134"/>
        <v/>
      </c>
      <c r="CJ66" s="5" t="str">
        <f t="shared" si="135"/>
        <v/>
      </c>
      <c r="CK66" s="1028"/>
      <c r="CL66" s="130" t="str">
        <f t="shared" si="136"/>
        <v/>
      </c>
      <c r="CM66" s="5" t="str">
        <f t="shared" si="137"/>
        <v/>
      </c>
      <c r="CN66" s="1028"/>
      <c r="CO66" s="130" t="str">
        <f t="shared" si="138"/>
        <v/>
      </c>
      <c r="CP66" s="5" t="str">
        <f t="shared" si="139"/>
        <v/>
      </c>
      <c r="CQ66" s="1028"/>
      <c r="CR66" s="130" t="str">
        <f t="shared" si="140"/>
        <v/>
      </c>
      <c r="CS66" s="5" t="str">
        <f t="shared" si="141"/>
        <v/>
      </c>
      <c r="CT66" s="1028"/>
      <c r="CU66" s="130" t="str">
        <f t="shared" si="142"/>
        <v/>
      </c>
      <c r="CV66" s="5" t="str">
        <f t="shared" si="143"/>
        <v/>
      </c>
      <c r="CW66" s="1028"/>
      <c r="CX66" s="130" t="str">
        <f t="shared" si="144"/>
        <v/>
      </c>
      <c r="CY66" s="5" t="str">
        <f t="shared" si="145"/>
        <v/>
      </c>
      <c r="CZ66" s="1028"/>
      <c r="DA66" s="130" t="str">
        <f t="shared" si="146"/>
        <v/>
      </c>
      <c r="DB66" s="5" t="str">
        <f t="shared" si="147"/>
        <v/>
      </c>
      <c r="DC66" s="1028"/>
      <c r="DD66" s="130" t="str">
        <f t="shared" si="148"/>
        <v/>
      </c>
      <c r="DE66" s="5" t="str">
        <f t="shared" si="149"/>
        <v/>
      </c>
      <c r="DF66" s="1028"/>
      <c r="DG66" s="130" t="str">
        <f t="shared" si="150"/>
        <v/>
      </c>
      <c r="DH66" s="5" t="str">
        <f t="shared" si="151"/>
        <v/>
      </c>
      <c r="DI66" s="1028"/>
      <c r="DJ66" s="130" t="str">
        <f t="shared" si="152"/>
        <v/>
      </c>
      <c r="DK66" s="5" t="str">
        <f t="shared" si="153"/>
        <v/>
      </c>
      <c r="DL66" s="1028"/>
      <c r="DM66" s="130" t="str">
        <f t="shared" si="154"/>
        <v/>
      </c>
      <c r="DN66" s="5" t="str">
        <f t="shared" si="155"/>
        <v/>
      </c>
      <c r="DO66" s="1028"/>
      <c r="DP66" s="130" t="str">
        <f t="shared" si="156"/>
        <v/>
      </c>
      <c r="DQ66" s="5" t="str">
        <f t="shared" si="157"/>
        <v/>
      </c>
      <c r="DR66" s="1028"/>
      <c r="DS66" s="130" t="str">
        <f t="shared" si="158"/>
        <v/>
      </c>
      <c r="DT66" s="5" t="str">
        <f t="shared" si="159"/>
        <v/>
      </c>
      <c r="DU66" s="1028"/>
      <c r="DV66" s="130" t="str">
        <f t="shared" si="160"/>
        <v/>
      </c>
      <c r="DW66" s="5" t="str">
        <f t="shared" si="161"/>
        <v/>
      </c>
      <c r="DX66" s="147"/>
    </row>
    <row r="67" ht="23.25" customHeight="true" x14ac:dyDescent="0.25">
      <c r="B67" s="744"/>
      <c r="C67" s="664">
        <f t="shared" si="81"/>
        <v>36</v>
      </c>
      <c r="D67" s="1030"/>
      <c r="E67" s="1022"/>
      <c r="F67" s="1022"/>
      <c r="G67" s="1027"/>
      <c r="H67" s="1028"/>
      <c r="I67" s="130" t="str">
        <f t="shared" si="82"/>
        <v/>
      </c>
      <c r="J67" s="1472" t="str">
        <f t="shared" si="83"/>
        <v/>
      </c>
      <c r="K67" s="1028"/>
      <c r="L67" s="130" t="str">
        <f t="shared" si="84"/>
        <v/>
      </c>
      <c r="M67" s="1472" t="str">
        <f t="shared" si="85"/>
        <v/>
      </c>
      <c r="N67" s="1028"/>
      <c r="O67" s="130" t="str">
        <f t="shared" si="86"/>
        <v/>
      </c>
      <c r="P67" s="1472" t="str">
        <f t="shared" si="87"/>
        <v/>
      </c>
      <c r="Q67" s="1028"/>
      <c r="R67" s="130" t="str">
        <f t="shared" si="88"/>
        <v/>
      </c>
      <c r="S67" s="1473" t="str">
        <f t="shared" si="89"/>
        <v/>
      </c>
      <c r="T67" s="1028"/>
      <c r="U67" s="130" t="str">
        <f t="shared" si="90"/>
        <v/>
      </c>
      <c r="V67" s="1472" t="str">
        <f t="shared" si="91"/>
        <v/>
      </c>
      <c r="W67" s="1029"/>
      <c r="X67" s="130" t="str">
        <f t="shared" si="92"/>
        <v/>
      </c>
      <c r="Y67" s="5" t="str">
        <f t="shared" si="93"/>
        <v/>
      </c>
      <c r="Z67" s="1028"/>
      <c r="AA67" s="130" t="str">
        <f t="shared" si="94"/>
        <v/>
      </c>
      <c r="AB67" s="5" t="str">
        <f t="shared" si="95"/>
        <v/>
      </c>
      <c r="AC67" s="1029"/>
      <c r="AD67" s="130" t="str">
        <f t="shared" si="96"/>
        <v/>
      </c>
      <c r="AE67" s="5" t="str">
        <f t="shared" si="97"/>
        <v/>
      </c>
      <c r="AF67" s="1028"/>
      <c r="AG67" s="130" t="str">
        <f t="shared" si="98"/>
        <v/>
      </c>
      <c r="AH67" s="5" t="str">
        <f t="shared" si="99"/>
        <v/>
      </c>
      <c r="AI67" s="1028"/>
      <c r="AJ67" s="130" t="str">
        <f t="shared" si="100"/>
        <v/>
      </c>
      <c r="AK67" s="5" t="str">
        <f t="shared" si="101"/>
        <v/>
      </c>
      <c r="AL67" s="1028"/>
      <c r="AM67" s="130" t="str">
        <f t="shared" si="102"/>
        <v/>
      </c>
      <c r="AN67" s="5" t="str">
        <f t="shared" si="103"/>
        <v/>
      </c>
      <c r="AO67" s="1028"/>
      <c r="AP67" s="130" t="str">
        <f t="shared" si="104"/>
        <v/>
      </c>
      <c r="AQ67" s="5" t="str">
        <f t="shared" si="105"/>
        <v/>
      </c>
      <c r="AR67" s="1028"/>
      <c r="AS67" s="130" t="str">
        <f t="shared" si="106"/>
        <v/>
      </c>
      <c r="AT67" s="5" t="str">
        <f t="shared" si="107"/>
        <v/>
      </c>
      <c r="AU67" s="1028"/>
      <c r="AV67" s="130" t="str">
        <f t="shared" si="108"/>
        <v/>
      </c>
      <c r="AW67" s="5" t="str">
        <f t="shared" si="109"/>
        <v/>
      </c>
      <c r="AX67" s="1028"/>
      <c r="AY67" s="130" t="str">
        <f t="shared" si="110"/>
        <v/>
      </c>
      <c r="AZ67" s="5" t="str">
        <f t="shared" si="111"/>
        <v/>
      </c>
      <c r="BA67" s="1028"/>
      <c r="BB67" s="130" t="str">
        <f t="shared" si="112"/>
        <v/>
      </c>
      <c r="BC67" s="5" t="str">
        <f t="shared" si="113"/>
        <v/>
      </c>
      <c r="BD67" s="1028"/>
      <c r="BE67" s="130" t="str">
        <f t="shared" si="114"/>
        <v/>
      </c>
      <c r="BF67" s="5" t="str">
        <f t="shared" si="115"/>
        <v/>
      </c>
      <c r="BG67" s="1028"/>
      <c r="BH67" s="130" t="str">
        <f t="shared" si="116"/>
        <v/>
      </c>
      <c r="BI67" s="5" t="str">
        <f t="shared" si="117"/>
        <v/>
      </c>
      <c r="BJ67" s="1028"/>
      <c r="BK67" s="130" t="str">
        <f t="shared" si="118"/>
        <v/>
      </c>
      <c r="BL67" s="5" t="str">
        <f t="shared" si="119"/>
        <v/>
      </c>
      <c r="BM67" s="1028"/>
      <c r="BN67" s="130" t="str">
        <f t="shared" si="120"/>
        <v/>
      </c>
      <c r="BO67" s="5" t="str">
        <f t="shared" si="121"/>
        <v/>
      </c>
      <c r="BP67" s="1028"/>
      <c r="BQ67" s="130" t="str">
        <f t="shared" si="122"/>
        <v/>
      </c>
      <c r="BR67" s="5" t="str">
        <f t="shared" si="123"/>
        <v/>
      </c>
      <c r="BS67" s="1028"/>
      <c r="BT67" s="130" t="str">
        <f t="shared" si="124"/>
        <v/>
      </c>
      <c r="BU67" s="5" t="str">
        <f t="shared" si="125"/>
        <v/>
      </c>
      <c r="BV67" s="1028"/>
      <c r="BW67" s="130" t="str">
        <f t="shared" si="126"/>
        <v/>
      </c>
      <c r="BX67" s="5" t="str">
        <f t="shared" si="127"/>
        <v/>
      </c>
      <c r="BY67" s="1028"/>
      <c r="BZ67" s="130" t="str">
        <f t="shared" si="128"/>
        <v/>
      </c>
      <c r="CA67" s="5" t="str">
        <f t="shared" si="129"/>
        <v/>
      </c>
      <c r="CB67" s="1028"/>
      <c r="CC67" s="130" t="str">
        <f t="shared" si="130"/>
        <v/>
      </c>
      <c r="CD67" s="5" t="str">
        <f t="shared" si="131"/>
        <v/>
      </c>
      <c r="CE67" s="1028"/>
      <c r="CF67" s="130" t="str">
        <f t="shared" si="132"/>
        <v/>
      </c>
      <c r="CG67" s="5" t="str">
        <f t="shared" si="133"/>
        <v/>
      </c>
      <c r="CH67" s="1028"/>
      <c r="CI67" s="130" t="str">
        <f t="shared" si="134"/>
        <v/>
      </c>
      <c r="CJ67" s="5" t="str">
        <f t="shared" si="135"/>
        <v/>
      </c>
      <c r="CK67" s="1028"/>
      <c r="CL67" s="130" t="str">
        <f t="shared" si="136"/>
        <v/>
      </c>
      <c r="CM67" s="5" t="str">
        <f t="shared" si="137"/>
        <v/>
      </c>
      <c r="CN67" s="1028"/>
      <c r="CO67" s="130" t="str">
        <f t="shared" si="138"/>
        <v/>
      </c>
      <c r="CP67" s="5" t="str">
        <f t="shared" si="139"/>
        <v/>
      </c>
      <c r="CQ67" s="1028"/>
      <c r="CR67" s="130" t="str">
        <f t="shared" si="140"/>
        <v/>
      </c>
      <c r="CS67" s="5" t="str">
        <f t="shared" si="141"/>
        <v/>
      </c>
      <c r="CT67" s="1028"/>
      <c r="CU67" s="130" t="str">
        <f t="shared" si="142"/>
        <v/>
      </c>
      <c r="CV67" s="5" t="str">
        <f t="shared" si="143"/>
        <v/>
      </c>
      <c r="CW67" s="1028"/>
      <c r="CX67" s="130" t="str">
        <f t="shared" si="144"/>
        <v/>
      </c>
      <c r="CY67" s="5" t="str">
        <f t="shared" si="145"/>
        <v/>
      </c>
      <c r="CZ67" s="1028"/>
      <c r="DA67" s="130" t="str">
        <f t="shared" si="146"/>
        <v/>
      </c>
      <c r="DB67" s="5" t="str">
        <f t="shared" si="147"/>
        <v/>
      </c>
      <c r="DC67" s="1028"/>
      <c r="DD67" s="130" t="str">
        <f t="shared" si="148"/>
        <v/>
      </c>
      <c r="DE67" s="5" t="str">
        <f t="shared" si="149"/>
        <v/>
      </c>
      <c r="DF67" s="1028"/>
      <c r="DG67" s="130" t="str">
        <f t="shared" si="150"/>
        <v/>
      </c>
      <c r="DH67" s="5" t="str">
        <f t="shared" si="151"/>
        <v/>
      </c>
      <c r="DI67" s="1028"/>
      <c r="DJ67" s="130" t="str">
        <f t="shared" si="152"/>
        <v/>
      </c>
      <c r="DK67" s="5" t="str">
        <f t="shared" si="153"/>
        <v/>
      </c>
      <c r="DL67" s="1028"/>
      <c r="DM67" s="130" t="str">
        <f t="shared" si="154"/>
        <v/>
      </c>
      <c r="DN67" s="5" t="str">
        <f t="shared" si="155"/>
        <v/>
      </c>
      <c r="DO67" s="1028"/>
      <c r="DP67" s="130" t="str">
        <f t="shared" si="156"/>
        <v/>
      </c>
      <c r="DQ67" s="5" t="str">
        <f t="shared" si="157"/>
        <v/>
      </c>
      <c r="DR67" s="1028"/>
      <c r="DS67" s="130" t="str">
        <f t="shared" si="158"/>
        <v/>
      </c>
      <c r="DT67" s="5" t="str">
        <f t="shared" si="159"/>
        <v/>
      </c>
      <c r="DU67" s="1028"/>
      <c r="DV67" s="130" t="str">
        <f t="shared" si="160"/>
        <v/>
      </c>
      <c r="DW67" s="5" t="str">
        <f t="shared" si="161"/>
        <v/>
      </c>
      <c r="DX67" s="147"/>
    </row>
    <row r="68" ht="23.25" customHeight="true" x14ac:dyDescent="0.25">
      <c r="B68" s="744"/>
      <c r="C68" s="664">
        <f t="shared" si="81"/>
        <v>37</v>
      </c>
      <c r="D68" s="1030"/>
      <c r="E68" s="1022"/>
      <c r="F68" s="1022"/>
      <c r="G68" s="1027"/>
      <c r="H68" s="1028"/>
      <c r="I68" s="130" t="str">
        <f t="shared" si="82"/>
        <v/>
      </c>
      <c r="J68" s="1472" t="str">
        <f t="shared" si="83"/>
        <v/>
      </c>
      <c r="K68" s="1028"/>
      <c r="L68" s="130" t="str">
        <f t="shared" si="84"/>
        <v/>
      </c>
      <c r="M68" s="1472" t="str">
        <f t="shared" si="85"/>
        <v/>
      </c>
      <c r="N68" s="1028"/>
      <c r="O68" s="130" t="str">
        <f t="shared" si="86"/>
        <v/>
      </c>
      <c r="P68" s="1472" t="str">
        <f t="shared" si="87"/>
        <v/>
      </c>
      <c r="Q68" s="1028"/>
      <c r="R68" s="130" t="str">
        <f t="shared" si="88"/>
        <v/>
      </c>
      <c r="S68" s="1473" t="str">
        <f t="shared" si="89"/>
        <v/>
      </c>
      <c r="T68" s="1028"/>
      <c r="U68" s="130" t="str">
        <f t="shared" si="90"/>
        <v/>
      </c>
      <c r="V68" s="1472" t="str">
        <f t="shared" si="91"/>
        <v/>
      </c>
      <c r="W68" s="1029"/>
      <c r="X68" s="130" t="str">
        <f t="shared" si="92"/>
        <v/>
      </c>
      <c r="Y68" s="5" t="str">
        <f t="shared" si="93"/>
        <v/>
      </c>
      <c r="Z68" s="1028"/>
      <c r="AA68" s="130" t="str">
        <f t="shared" si="94"/>
        <v/>
      </c>
      <c r="AB68" s="5" t="str">
        <f t="shared" si="95"/>
        <v/>
      </c>
      <c r="AC68" s="1029"/>
      <c r="AD68" s="130" t="str">
        <f t="shared" si="96"/>
        <v/>
      </c>
      <c r="AE68" s="5" t="str">
        <f t="shared" si="97"/>
        <v/>
      </c>
      <c r="AF68" s="1028"/>
      <c r="AG68" s="130" t="str">
        <f t="shared" si="98"/>
        <v/>
      </c>
      <c r="AH68" s="5" t="str">
        <f t="shared" si="99"/>
        <v/>
      </c>
      <c r="AI68" s="1028"/>
      <c r="AJ68" s="130" t="str">
        <f t="shared" si="100"/>
        <v/>
      </c>
      <c r="AK68" s="5" t="str">
        <f t="shared" si="101"/>
        <v/>
      </c>
      <c r="AL68" s="1028"/>
      <c r="AM68" s="130" t="str">
        <f t="shared" si="102"/>
        <v/>
      </c>
      <c r="AN68" s="5" t="str">
        <f t="shared" si="103"/>
        <v/>
      </c>
      <c r="AO68" s="1028"/>
      <c r="AP68" s="130" t="str">
        <f t="shared" si="104"/>
        <v/>
      </c>
      <c r="AQ68" s="5" t="str">
        <f t="shared" si="105"/>
        <v/>
      </c>
      <c r="AR68" s="1028"/>
      <c r="AS68" s="130" t="str">
        <f t="shared" si="106"/>
        <v/>
      </c>
      <c r="AT68" s="5" t="str">
        <f t="shared" si="107"/>
        <v/>
      </c>
      <c r="AU68" s="1028"/>
      <c r="AV68" s="130" t="str">
        <f t="shared" si="108"/>
        <v/>
      </c>
      <c r="AW68" s="5" t="str">
        <f t="shared" si="109"/>
        <v/>
      </c>
      <c r="AX68" s="1028"/>
      <c r="AY68" s="130" t="str">
        <f t="shared" si="110"/>
        <v/>
      </c>
      <c r="AZ68" s="5" t="str">
        <f t="shared" si="111"/>
        <v/>
      </c>
      <c r="BA68" s="1028"/>
      <c r="BB68" s="130" t="str">
        <f t="shared" si="112"/>
        <v/>
      </c>
      <c r="BC68" s="5" t="str">
        <f t="shared" si="113"/>
        <v/>
      </c>
      <c r="BD68" s="1028"/>
      <c r="BE68" s="130" t="str">
        <f t="shared" si="114"/>
        <v/>
      </c>
      <c r="BF68" s="5" t="str">
        <f t="shared" si="115"/>
        <v/>
      </c>
      <c r="BG68" s="1028"/>
      <c r="BH68" s="130" t="str">
        <f t="shared" si="116"/>
        <v/>
      </c>
      <c r="BI68" s="5" t="str">
        <f t="shared" si="117"/>
        <v/>
      </c>
      <c r="BJ68" s="1028"/>
      <c r="BK68" s="130" t="str">
        <f t="shared" si="118"/>
        <v/>
      </c>
      <c r="BL68" s="5" t="str">
        <f t="shared" si="119"/>
        <v/>
      </c>
      <c r="BM68" s="1028"/>
      <c r="BN68" s="130" t="str">
        <f t="shared" si="120"/>
        <v/>
      </c>
      <c r="BO68" s="5" t="str">
        <f t="shared" si="121"/>
        <v/>
      </c>
      <c r="BP68" s="1028"/>
      <c r="BQ68" s="130" t="str">
        <f t="shared" si="122"/>
        <v/>
      </c>
      <c r="BR68" s="5" t="str">
        <f t="shared" si="123"/>
        <v/>
      </c>
      <c r="BS68" s="1028"/>
      <c r="BT68" s="130" t="str">
        <f t="shared" si="124"/>
        <v/>
      </c>
      <c r="BU68" s="5" t="str">
        <f t="shared" si="125"/>
        <v/>
      </c>
      <c r="BV68" s="1028"/>
      <c r="BW68" s="130" t="str">
        <f t="shared" si="126"/>
        <v/>
      </c>
      <c r="BX68" s="5" t="str">
        <f t="shared" si="127"/>
        <v/>
      </c>
      <c r="BY68" s="1028"/>
      <c r="BZ68" s="130" t="str">
        <f t="shared" si="128"/>
        <v/>
      </c>
      <c r="CA68" s="5" t="str">
        <f t="shared" si="129"/>
        <v/>
      </c>
      <c r="CB68" s="1028"/>
      <c r="CC68" s="130" t="str">
        <f t="shared" si="130"/>
        <v/>
      </c>
      <c r="CD68" s="5" t="str">
        <f t="shared" si="131"/>
        <v/>
      </c>
      <c r="CE68" s="1028"/>
      <c r="CF68" s="130" t="str">
        <f t="shared" si="132"/>
        <v/>
      </c>
      <c r="CG68" s="5" t="str">
        <f t="shared" si="133"/>
        <v/>
      </c>
      <c r="CH68" s="1028"/>
      <c r="CI68" s="130" t="str">
        <f t="shared" si="134"/>
        <v/>
      </c>
      <c r="CJ68" s="5" t="str">
        <f t="shared" si="135"/>
        <v/>
      </c>
      <c r="CK68" s="1028"/>
      <c r="CL68" s="130" t="str">
        <f t="shared" si="136"/>
        <v/>
      </c>
      <c r="CM68" s="5" t="str">
        <f t="shared" si="137"/>
        <v/>
      </c>
      <c r="CN68" s="1028"/>
      <c r="CO68" s="130" t="str">
        <f t="shared" si="138"/>
        <v/>
      </c>
      <c r="CP68" s="5" t="str">
        <f t="shared" si="139"/>
        <v/>
      </c>
      <c r="CQ68" s="1028"/>
      <c r="CR68" s="130" t="str">
        <f t="shared" si="140"/>
        <v/>
      </c>
      <c r="CS68" s="5" t="str">
        <f t="shared" si="141"/>
        <v/>
      </c>
      <c r="CT68" s="1028"/>
      <c r="CU68" s="130" t="str">
        <f t="shared" si="142"/>
        <v/>
      </c>
      <c r="CV68" s="5" t="str">
        <f t="shared" si="143"/>
        <v/>
      </c>
      <c r="CW68" s="1028"/>
      <c r="CX68" s="130" t="str">
        <f t="shared" si="144"/>
        <v/>
      </c>
      <c r="CY68" s="5" t="str">
        <f t="shared" si="145"/>
        <v/>
      </c>
      <c r="CZ68" s="1028"/>
      <c r="DA68" s="130" t="str">
        <f t="shared" si="146"/>
        <v/>
      </c>
      <c r="DB68" s="5" t="str">
        <f t="shared" si="147"/>
        <v/>
      </c>
      <c r="DC68" s="1028"/>
      <c r="DD68" s="130" t="str">
        <f t="shared" si="148"/>
        <v/>
      </c>
      <c r="DE68" s="5" t="str">
        <f t="shared" si="149"/>
        <v/>
      </c>
      <c r="DF68" s="1028"/>
      <c r="DG68" s="130" t="str">
        <f t="shared" si="150"/>
        <v/>
      </c>
      <c r="DH68" s="5" t="str">
        <f t="shared" si="151"/>
        <v/>
      </c>
      <c r="DI68" s="1028"/>
      <c r="DJ68" s="130" t="str">
        <f t="shared" si="152"/>
        <v/>
      </c>
      <c r="DK68" s="5" t="str">
        <f t="shared" si="153"/>
        <v/>
      </c>
      <c r="DL68" s="1028"/>
      <c r="DM68" s="130" t="str">
        <f t="shared" si="154"/>
        <v/>
      </c>
      <c r="DN68" s="5" t="str">
        <f t="shared" si="155"/>
        <v/>
      </c>
      <c r="DO68" s="1028"/>
      <c r="DP68" s="130" t="str">
        <f t="shared" si="156"/>
        <v/>
      </c>
      <c r="DQ68" s="5" t="str">
        <f t="shared" si="157"/>
        <v/>
      </c>
      <c r="DR68" s="1028"/>
      <c r="DS68" s="130" t="str">
        <f t="shared" si="158"/>
        <v/>
      </c>
      <c r="DT68" s="5" t="str">
        <f t="shared" si="159"/>
        <v/>
      </c>
      <c r="DU68" s="1028"/>
      <c r="DV68" s="130" t="str">
        <f t="shared" si="160"/>
        <v/>
      </c>
      <c r="DW68" s="5" t="str">
        <f t="shared" si="161"/>
        <v/>
      </c>
      <c r="DX68" s="147"/>
    </row>
    <row r="69" ht="23.25" customHeight="true" x14ac:dyDescent="0.25">
      <c r="B69" s="744"/>
      <c r="C69" s="664">
        <f t="shared" si="81"/>
        <v>38</v>
      </c>
      <c r="D69" s="1030"/>
      <c r="E69" s="1022"/>
      <c r="F69" s="1022"/>
      <c r="G69" s="1027"/>
      <c r="H69" s="1028"/>
      <c r="I69" s="130" t="str">
        <f t="shared" si="82"/>
        <v/>
      </c>
      <c r="J69" s="1472" t="str">
        <f t="shared" si="83"/>
        <v/>
      </c>
      <c r="K69" s="1028"/>
      <c r="L69" s="130" t="str">
        <f t="shared" si="84"/>
        <v/>
      </c>
      <c r="M69" s="1472" t="str">
        <f t="shared" si="85"/>
        <v/>
      </c>
      <c r="N69" s="1028"/>
      <c r="O69" s="130" t="str">
        <f t="shared" si="86"/>
        <v/>
      </c>
      <c r="P69" s="1472" t="str">
        <f t="shared" si="87"/>
        <v/>
      </c>
      <c r="Q69" s="1028"/>
      <c r="R69" s="130" t="str">
        <f t="shared" si="88"/>
        <v/>
      </c>
      <c r="S69" s="1473" t="str">
        <f t="shared" si="89"/>
        <v/>
      </c>
      <c r="T69" s="1028"/>
      <c r="U69" s="130" t="str">
        <f t="shared" si="90"/>
        <v/>
      </c>
      <c r="V69" s="1472" t="str">
        <f t="shared" si="91"/>
        <v/>
      </c>
      <c r="W69" s="1029"/>
      <c r="X69" s="130" t="str">
        <f t="shared" si="92"/>
        <v/>
      </c>
      <c r="Y69" s="5" t="str">
        <f t="shared" si="93"/>
        <v/>
      </c>
      <c r="Z69" s="1028"/>
      <c r="AA69" s="130" t="str">
        <f t="shared" si="94"/>
        <v/>
      </c>
      <c r="AB69" s="5" t="str">
        <f t="shared" si="95"/>
        <v/>
      </c>
      <c r="AC69" s="1029"/>
      <c r="AD69" s="130" t="str">
        <f t="shared" si="96"/>
        <v/>
      </c>
      <c r="AE69" s="5" t="str">
        <f t="shared" si="97"/>
        <v/>
      </c>
      <c r="AF69" s="1028"/>
      <c r="AG69" s="130" t="str">
        <f t="shared" si="98"/>
        <v/>
      </c>
      <c r="AH69" s="5" t="str">
        <f t="shared" si="99"/>
        <v/>
      </c>
      <c r="AI69" s="1028"/>
      <c r="AJ69" s="130" t="str">
        <f t="shared" si="100"/>
        <v/>
      </c>
      <c r="AK69" s="5" t="str">
        <f t="shared" si="101"/>
        <v/>
      </c>
      <c r="AL69" s="1028"/>
      <c r="AM69" s="130" t="str">
        <f t="shared" si="102"/>
        <v/>
      </c>
      <c r="AN69" s="5" t="str">
        <f t="shared" si="103"/>
        <v/>
      </c>
      <c r="AO69" s="1028"/>
      <c r="AP69" s="130" t="str">
        <f t="shared" si="104"/>
        <v/>
      </c>
      <c r="AQ69" s="5" t="str">
        <f t="shared" si="105"/>
        <v/>
      </c>
      <c r="AR69" s="1028"/>
      <c r="AS69" s="130" t="str">
        <f t="shared" si="106"/>
        <v/>
      </c>
      <c r="AT69" s="5" t="str">
        <f t="shared" si="107"/>
        <v/>
      </c>
      <c r="AU69" s="1028"/>
      <c r="AV69" s="130" t="str">
        <f t="shared" si="108"/>
        <v/>
      </c>
      <c r="AW69" s="5" t="str">
        <f t="shared" si="109"/>
        <v/>
      </c>
      <c r="AX69" s="1028"/>
      <c r="AY69" s="130" t="str">
        <f t="shared" si="110"/>
        <v/>
      </c>
      <c r="AZ69" s="5" t="str">
        <f t="shared" si="111"/>
        <v/>
      </c>
      <c r="BA69" s="1028"/>
      <c r="BB69" s="130" t="str">
        <f t="shared" si="112"/>
        <v/>
      </c>
      <c r="BC69" s="5" t="str">
        <f t="shared" si="113"/>
        <v/>
      </c>
      <c r="BD69" s="1028"/>
      <c r="BE69" s="130" t="str">
        <f t="shared" si="114"/>
        <v/>
      </c>
      <c r="BF69" s="5" t="str">
        <f t="shared" si="115"/>
        <v/>
      </c>
      <c r="BG69" s="1028"/>
      <c r="BH69" s="130" t="str">
        <f t="shared" si="116"/>
        <v/>
      </c>
      <c r="BI69" s="5" t="str">
        <f t="shared" si="117"/>
        <v/>
      </c>
      <c r="BJ69" s="1028"/>
      <c r="BK69" s="130" t="str">
        <f t="shared" si="118"/>
        <v/>
      </c>
      <c r="BL69" s="5" t="str">
        <f t="shared" si="119"/>
        <v/>
      </c>
      <c r="BM69" s="1028"/>
      <c r="BN69" s="130" t="str">
        <f t="shared" si="120"/>
        <v/>
      </c>
      <c r="BO69" s="5" t="str">
        <f t="shared" si="121"/>
        <v/>
      </c>
      <c r="BP69" s="1028"/>
      <c r="BQ69" s="130" t="str">
        <f t="shared" si="122"/>
        <v/>
      </c>
      <c r="BR69" s="5" t="str">
        <f t="shared" si="123"/>
        <v/>
      </c>
      <c r="BS69" s="1028"/>
      <c r="BT69" s="130" t="str">
        <f t="shared" si="124"/>
        <v/>
      </c>
      <c r="BU69" s="5" t="str">
        <f t="shared" si="125"/>
        <v/>
      </c>
      <c r="BV69" s="1028"/>
      <c r="BW69" s="130" t="str">
        <f t="shared" si="126"/>
        <v/>
      </c>
      <c r="BX69" s="5" t="str">
        <f t="shared" si="127"/>
        <v/>
      </c>
      <c r="BY69" s="1028"/>
      <c r="BZ69" s="130" t="str">
        <f t="shared" si="128"/>
        <v/>
      </c>
      <c r="CA69" s="5" t="str">
        <f t="shared" si="129"/>
        <v/>
      </c>
      <c r="CB69" s="1028"/>
      <c r="CC69" s="130" t="str">
        <f t="shared" si="130"/>
        <v/>
      </c>
      <c r="CD69" s="5" t="str">
        <f t="shared" si="131"/>
        <v/>
      </c>
      <c r="CE69" s="1028"/>
      <c r="CF69" s="130" t="str">
        <f t="shared" si="132"/>
        <v/>
      </c>
      <c r="CG69" s="5" t="str">
        <f t="shared" si="133"/>
        <v/>
      </c>
      <c r="CH69" s="1028"/>
      <c r="CI69" s="130" t="str">
        <f t="shared" si="134"/>
        <v/>
      </c>
      <c r="CJ69" s="5" t="str">
        <f t="shared" si="135"/>
        <v/>
      </c>
      <c r="CK69" s="1028"/>
      <c r="CL69" s="130" t="str">
        <f t="shared" si="136"/>
        <v/>
      </c>
      <c r="CM69" s="5" t="str">
        <f t="shared" si="137"/>
        <v/>
      </c>
      <c r="CN69" s="1028"/>
      <c r="CO69" s="130" t="str">
        <f t="shared" si="138"/>
        <v/>
      </c>
      <c r="CP69" s="5" t="str">
        <f t="shared" si="139"/>
        <v/>
      </c>
      <c r="CQ69" s="1028"/>
      <c r="CR69" s="130" t="str">
        <f t="shared" si="140"/>
        <v/>
      </c>
      <c r="CS69" s="5" t="str">
        <f t="shared" si="141"/>
        <v/>
      </c>
      <c r="CT69" s="1028"/>
      <c r="CU69" s="130" t="str">
        <f t="shared" si="142"/>
        <v/>
      </c>
      <c r="CV69" s="5" t="str">
        <f t="shared" si="143"/>
        <v/>
      </c>
      <c r="CW69" s="1028"/>
      <c r="CX69" s="130" t="str">
        <f t="shared" si="144"/>
        <v/>
      </c>
      <c r="CY69" s="5" t="str">
        <f t="shared" si="145"/>
        <v/>
      </c>
      <c r="CZ69" s="1028"/>
      <c r="DA69" s="130" t="str">
        <f t="shared" si="146"/>
        <v/>
      </c>
      <c r="DB69" s="5" t="str">
        <f t="shared" si="147"/>
        <v/>
      </c>
      <c r="DC69" s="1028"/>
      <c r="DD69" s="130" t="str">
        <f t="shared" si="148"/>
        <v/>
      </c>
      <c r="DE69" s="5" t="str">
        <f t="shared" si="149"/>
        <v/>
      </c>
      <c r="DF69" s="1028"/>
      <c r="DG69" s="130" t="str">
        <f t="shared" si="150"/>
        <v/>
      </c>
      <c r="DH69" s="5" t="str">
        <f t="shared" si="151"/>
        <v/>
      </c>
      <c r="DI69" s="1028"/>
      <c r="DJ69" s="130" t="str">
        <f t="shared" si="152"/>
        <v/>
      </c>
      <c r="DK69" s="5" t="str">
        <f t="shared" si="153"/>
        <v/>
      </c>
      <c r="DL69" s="1028"/>
      <c r="DM69" s="130" t="str">
        <f t="shared" si="154"/>
        <v/>
      </c>
      <c r="DN69" s="5" t="str">
        <f t="shared" si="155"/>
        <v/>
      </c>
      <c r="DO69" s="1028"/>
      <c r="DP69" s="130" t="str">
        <f t="shared" si="156"/>
        <v/>
      </c>
      <c r="DQ69" s="5" t="str">
        <f t="shared" si="157"/>
        <v/>
      </c>
      <c r="DR69" s="1028"/>
      <c r="DS69" s="130" t="str">
        <f t="shared" si="158"/>
        <v/>
      </c>
      <c r="DT69" s="5" t="str">
        <f t="shared" si="159"/>
        <v/>
      </c>
      <c r="DU69" s="1028"/>
      <c r="DV69" s="130" t="str">
        <f t="shared" si="160"/>
        <v/>
      </c>
      <c r="DW69" s="5" t="str">
        <f t="shared" si="161"/>
        <v/>
      </c>
      <c r="DX69" s="147"/>
    </row>
    <row r="70" ht="23.25" customHeight="true" x14ac:dyDescent="0.25">
      <c r="B70" s="744"/>
      <c r="C70" s="664">
        <f t="shared" si="81"/>
        <v>39</v>
      </c>
      <c r="D70" s="1030"/>
      <c r="E70" s="1022"/>
      <c r="F70" s="1022"/>
      <c r="G70" s="1027"/>
      <c r="H70" s="1028"/>
      <c r="I70" s="130" t="str">
        <f t="shared" si="82"/>
        <v/>
      </c>
      <c r="J70" s="1472" t="str">
        <f t="shared" si="83"/>
        <v/>
      </c>
      <c r="K70" s="1028"/>
      <c r="L70" s="130" t="str">
        <f t="shared" si="84"/>
        <v/>
      </c>
      <c r="M70" s="1472" t="str">
        <f t="shared" si="85"/>
        <v/>
      </c>
      <c r="N70" s="1028"/>
      <c r="O70" s="130" t="str">
        <f t="shared" si="86"/>
        <v/>
      </c>
      <c r="P70" s="1472" t="str">
        <f t="shared" si="87"/>
        <v/>
      </c>
      <c r="Q70" s="1028"/>
      <c r="R70" s="130" t="str">
        <f t="shared" si="88"/>
        <v/>
      </c>
      <c r="S70" s="1473" t="str">
        <f t="shared" si="89"/>
        <v/>
      </c>
      <c r="T70" s="1028"/>
      <c r="U70" s="130" t="str">
        <f t="shared" si="90"/>
        <v/>
      </c>
      <c r="V70" s="1472" t="str">
        <f t="shared" si="91"/>
        <v/>
      </c>
      <c r="W70" s="1029"/>
      <c r="X70" s="130" t="str">
        <f t="shared" si="92"/>
        <v/>
      </c>
      <c r="Y70" s="5" t="str">
        <f t="shared" si="93"/>
        <v/>
      </c>
      <c r="Z70" s="1028"/>
      <c r="AA70" s="130" t="str">
        <f t="shared" si="94"/>
        <v/>
      </c>
      <c r="AB70" s="5" t="str">
        <f t="shared" si="95"/>
        <v/>
      </c>
      <c r="AC70" s="1029"/>
      <c r="AD70" s="130" t="str">
        <f t="shared" si="96"/>
        <v/>
      </c>
      <c r="AE70" s="5" t="str">
        <f t="shared" si="97"/>
        <v/>
      </c>
      <c r="AF70" s="1028"/>
      <c r="AG70" s="130" t="str">
        <f t="shared" si="98"/>
        <v/>
      </c>
      <c r="AH70" s="5" t="str">
        <f t="shared" si="99"/>
        <v/>
      </c>
      <c r="AI70" s="1028"/>
      <c r="AJ70" s="130" t="str">
        <f t="shared" si="100"/>
        <v/>
      </c>
      <c r="AK70" s="5" t="str">
        <f t="shared" si="101"/>
        <v/>
      </c>
      <c r="AL70" s="1028"/>
      <c r="AM70" s="130" t="str">
        <f t="shared" si="102"/>
        <v/>
      </c>
      <c r="AN70" s="5" t="str">
        <f t="shared" si="103"/>
        <v/>
      </c>
      <c r="AO70" s="1028"/>
      <c r="AP70" s="130" t="str">
        <f t="shared" si="104"/>
        <v/>
      </c>
      <c r="AQ70" s="5" t="str">
        <f t="shared" si="105"/>
        <v/>
      </c>
      <c r="AR70" s="1028"/>
      <c r="AS70" s="130" t="str">
        <f t="shared" si="106"/>
        <v/>
      </c>
      <c r="AT70" s="5" t="str">
        <f t="shared" si="107"/>
        <v/>
      </c>
      <c r="AU70" s="1028"/>
      <c r="AV70" s="130" t="str">
        <f t="shared" si="108"/>
        <v/>
      </c>
      <c r="AW70" s="5" t="str">
        <f t="shared" si="109"/>
        <v/>
      </c>
      <c r="AX70" s="1028"/>
      <c r="AY70" s="130" t="str">
        <f t="shared" si="110"/>
        <v/>
      </c>
      <c r="AZ70" s="5" t="str">
        <f t="shared" si="111"/>
        <v/>
      </c>
      <c r="BA70" s="1028"/>
      <c r="BB70" s="130" t="str">
        <f t="shared" si="112"/>
        <v/>
      </c>
      <c r="BC70" s="5" t="str">
        <f t="shared" si="113"/>
        <v/>
      </c>
      <c r="BD70" s="1028"/>
      <c r="BE70" s="130" t="str">
        <f t="shared" si="114"/>
        <v/>
      </c>
      <c r="BF70" s="5" t="str">
        <f t="shared" si="115"/>
        <v/>
      </c>
      <c r="BG70" s="1028"/>
      <c r="BH70" s="130" t="str">
        <f t="shared" si="116"/>
        <v/>
      </c>
      <c r="BI70" s="5" t="str">
        <f t="shared" si="117"/>
        <v/>
      </c>
      <c r="BJ70" s="1028"/>
      <c r="BK70" s="130" t="str">
        <f t="shared" si="118"/>
        <v/>
      </c>
      <c r="BL70" s="5" t="str">
        <f t="shared" si="119"/>
        <v/>
      </c>
      <c r="BM70" s="1028"/>
      <c r="BN70" s="130" t="str">
        <f t="shared" si="120"/>
        <v/>
      </c>
      <c r="BO70" s="5" t="str">
        <f t="shared" si="121"/>
        <v/>
      </c>
      <c r="BP70" s="1028"/>
      <c r="BQ70" s="130" t="str">
        <f t="shared" si="122"/>
        <v/>
      </c>
      <c r="BR70" s="5" t="str">
        <f t="shared" si="123"/>
        <v/>
      </c>
      <c r="BS70" s="1028"/>
      <c r="BT70" s="130" t="str">
        <f t="shared" si="124"/>
        <v/>
      </c>
      <c r="BU70" s="5" t="str">
        <f t="shared" si="125"/>
        <v/>
      </c>
      <c r="BV70" s="1028"/>
      <c r="BW70" s="130" t="str">
        <f t="shared" si="126"/>
        <v/>
      </c>
      <c r="BX70" s="5" t="str">
        <f t="shared" si="127"/>
        <v/>
      </c>
      <c r="BY70" s="1028"/>
      <c r="BZ70" s="130" t="str">
        <f t="shared" si="128"/>
        <v/>
      </c>
      <c r="CA70" s="5" t="str">
        <f t="shared" si="129"/>
        <v/>
      </c>
      <c r="CB70" s="1028"/>
      <c r="CC70" s="130" t="str">
        <f t="shared" si="130"/>
        <v/>
      </c>
      <c r="CD70" s="5" t="str">
        <f t="shared" si="131"/>
        <v/>
      </c>
      <c r="CE70" s="1028"/>
      <c r="CF70" s="130" t="str">
        <f t="shared" si="132"/>
        <v/>
      </c>
      <c r="CG70" s="5" t="str">
        <f t="shared" si="133"/>
        <v/>
      </c>
      <c r="CH70" s="1028"/>
      <c r="CI70" s="130" t="str">
        <f t="shared" si="134"/>
        <v/>
      </c>
      <c r="CJ70" s="5" t="str">
        <f t="shared" si="135"/>
        <v/>
      </c>
      <c r="CK70" s="1028"/>
      <c r="CL70" s="130" t="str">
        <f t="shared" si="136"/>
        <v/>
      </c>
      <c r="CM70" s="5" t="str">
        <f t="shared" si="137"/>
        <v/>
      </c>
      <c r="CN70" s="1028"/>
      <c r="CO70" s="130" t="str">
        <f t="shared" si="138"/>
        <v/>
      </c>
      <c r="CP70" s="5" t="str">
        <f t="shared" si="139"/>
        <v/>
      </c>
      <c r="CQ70" s="1028"/>
      <c r="CR70" s="130" t="str">
        <f t="shared" si="140"/>
        <v/>
      </c>
      <c r="CS70" s="5" t="str">
        <f t="shared" si="141"/>
        <v/>
      </c>
      <c r="CT70" s="1028"/>
      <c r="CU70" s="130" t="str">
        <f t="shared" si="142"/>
        <v/>
      </c>
      <c r="CV70" s="5" t="str">
        <f t="shared" si="143"/>
        <v/>
      </c>
      <c r="CW70" s="1028"/>
      <c r="CX70" s="130" t="str">
        <f t="shared" si="144"/>
        <v/>
      </c>
      <c r="CY70" s="5" t="str">
        <f t="shared" si="145"/>
        <v/>
      </c>
      <c r="CZ70" s="1028"/>
      <c r="DA70" s="130" t="str">
        <f t="shared" si="146"/>
        <v/>
      </c>
      <c r="DB70" s="5" t="str">
        <f t="shared" si="147"/>
        <v/>
      </c>
      <c r="DC70" s="1028"/>
      <c r="DD70" s="130" t="str">
        <f t="shared" si="148"/>
        <v/>
      </c>
      <c r="DE70" s="5" t="str">
        <f t="shared" si="149"/>
        <v/>
      </c>
      <c r="DF70" s="1028"/>
      <c r="DG70" s="130" t="str">
        <f t="shared" si="150"/>
        <v/>
      </c>
      <c r="DH70" s="5" t="str">
        <f t="shared" si="151"/>
        <v/>
      </c>
      <c r="DI70" s="1028"/>
      <c r="DJ70" s="130" t="str">
        <f t="shared" si="152"/>
        <v/>
      </c>
      <c r="DK70" s="5" t="str">
        <f t="shared" si="153"/>
        <v/>
      </c>
      <c r="DL70" s="1028"/>
      <c r="DM70" s="130" t="str">
        <f t="shared" si="154"/>
        <v/>
      </c>
      <c r="DN70" s="5" t="str">
        <f t="shared" si="155"/>
        <v/>
      </c>
      <c r="DO70" s="1028"/>
      <c r="DP70" s="130" t="str">
        <f t="shared" si="156"/>
        <v/>
      </c>
      <c r="DQ70" s="5" t="str">
        <f t="shared" si="157"/>
        <v/>
      </c>
      <c r="DR70" s="1028"/>
      <c r="DS70" s="130" t="str">
        <f t="shared" si="158"/>
        <v/>
      </c>
      <c r="DT70" s="5" t="str">
        <f t="shared" si="159"/>
        <v/>
      </c>
      <c r="DU70" s="1028"/>
      <c r="DV70" s="130" t="str">
        <f t="shared" si="160"/>
        <v/>
      </c>
      <c r="DW70" s="5" t="str">
        <f t="shared" si="161"/>
        <v/>
      </c>
      <c r="DX70" s="147"/>
    </row>
    <row r="71" ht="23.25" customHeight="true" x14ac:dyDescent="0.25">
      <c r="B71" s="744"/>
      <c r="C71" s="664">
        <f t="shared" si="81"/>
        <v>40</v>
      </c>
      <c r="D71" s="1030"/>
      <c r="E71" s="1022"/>
      <c r="F71" s="1022"/>
      <c r="G71" s="1027"/>
      <c r="H71" s="1028"/>
      <c r="I71" s="130" t="str">
        <f t="shared" si="82"/>
        <v/>
      </c>
      <c r="J71" s="1472" t="str">
        <f t="shared" si="83"/>
        <v/>
      </c>
      <c r="K71" s="1028"/>
      <c r="L71" s="130" t="str">
        <f t="shared" si="84"/>
        <v/>
      </c>
      <c r="M71" s="1472" t="str">
        <f t="shared" si="85"/>
        <v/>
      </c>
      <c r="N71" s="1028"/>
      <c r="O71" s="130" t="str">
        <f t="shared" si="86"/>
        <v/>
      </c>
      <c r="P71" s="1472" t="str">
        <f t="shared" si="87"/>
        <v/>
      </c>
      <c r="Q71" s="1028"/>
      <c r="R71" s="130" t="str">
        <f t="shared" si="88"/>
        <v/>
      </c>
      <c r="S71" s="1473" t="str">
        <f t="shared" si="89"/>
        <v/>
      </c>
      <c r="T71" s="1028"/>
      <c r="U71" s="130" t="str">
        <f t="shared" si="90"/>
        <v/>
      </c>
      <c r="V71" s="1472" t="str">
        <f t="shared" si="91"/>
        <v/>
      </c>
      <c r="W71" s="1029"/>
      <c r="X71" s="130" t="str">
        <f t="shared" si="92"/>
        <v/>
      </c>
      <c r="Y71" s="5" t="str">
        <f t="shared" si="93"/>
        <v/>
      </c>
      <c r="Z71" s="1028"/>
      <c r="AA71" s="130" t="str">
        <f t="shared" si="94"/>
        <v/>
      </c>
      <c r="AB71" s="5" t="str">
        <f t="shared" si="95"/>
        <v/>
      </c>
      <c r="AC71" s="1029"/>
      <c r="AD71" s="130" t="str">
        <f t="shared" si="96"/>
        <v/>
      </c>
      <c r="AE71" s="5" t="str">
        <f t="shared" si="97"/>
        <v/>
      </c>
      <c r="AF71" s="1028"/>
      <c r="AG71" s="130" t="str">
        <f t="shared" si="98"/>
        <v/>
      </c>
      <c r="AH71" s="5" t="str">
        <f t="shared" si="99"/>
        <v/>
      </c>
      <c r="AI71" s="1028"/>
      <c r="AJ71" s="130" t="str">
        <f t="shared" si="100"/>
        <v/>
      </c>
      <c r="AK71" s="5" t="str">
        <f t="shared" si="101"/>
        <v/>
      </c>
      <c r="AL71" s="1028"/>
      <c r="AM71" s="130" t="str">
        <f t="shared" si="102"/>
        <v/>
      </c>
      <c r="AN71" s="5" t="str">
        <f t="shared" si="103"/>
        <v/>
      </c>
      <c r="AO71" s="1028"/>
      <c r="AP71" s="130" t="str">
        <f t="shared" si="104"/>
        <v/>
      </c>
      <c r="AQ71" s="5" t="str">
        <f t="shared" si="105"/>
        <v/>
      </c>
      <c r="AR71" s="1028"/>
      <c r="AS71" s="130" t="str">
        <f t="shared" si="106"/>
        <v/>
      </c>
      <c r="AT71" s="5" t="str">
        <f t="shared" si="107"/>
        <v/>
      </c>
      <c r="AU71" s="1028"/>
      <c r="AV71" s="130" t="str">
        <f t="shared" si="108"/>
        <v/>
      </c>
      <c r="AW71" s="5" t="str">
        <f t="shared" si="109"/>
        <v/>
      </c>
      <c r="AX71" s="1028"/>
      <c r="AY71" s="130" t="str">
        <f t="shared" si="110"/>
        <v/>
      </c>
      <c r="AZ71" s="5" t="str">
        <f t="shared" si="111"/>
        <v/>
      </c>
      <c r="BA71" s="1028"/>
      <c r="BB71" s="130" t="str">
        <f t="shared" si="112"/>
        <v/>
      </c>
      <c r="BC71" s="5" t="str">
        <f t="shared" si="113"/>
        <v/>
      </c>
      <c r="BD71" s="1028"/>
      <c r="BE71" s="130" t="str">
        <f t="shared" si="114"/>
        <v/>
      </c>
      <c r="BF71" s="5" t="str">
        <f t="shared" si="115"/>
        <v/>
      </c>
      <c r="BG71" s="1028"/>
      <c r="BH71" s="130" t="str">
        <f t="shared" si="116"/>
        <v/>
      </c>
      <c r="BI71" s="5" t="str">
        <f t="shared" si="117"/>
        <v/>
      </c>
      <c r="BJ71" s="1028"/>
      <c r="BK71" s="130" t="str">
        <f t="shared" si="118"/>
        <v/>
      </c>
      <c r="BL71" s="5" t="str">
        <f t="shared" si="119"/>
        <v/>
      </c>
      <c r="BM71" s="1028"/>
      <c r="BN71" s="130" t="str">
        <f t="shared" si="120"/>
        <v/>
      </c>
      <c r="BO71" s="5" t="str">
        <f t="shared" si="121"/>
        <v/>
      </c>
      <c r="BP71" s="1028"/>
      <c r="BQ71" s="130" t="str">
        <f t="shared" si="122"/>
        <v/>
      </c>
      <c r="BR71" s="5" t="str">
        <f t="shared" si="123"/>
        <v/>
      </c>
      <c r="BS71" s="1028"/>
      <c r="BT71" s="130" t="str">
        <f t="shared" si="124"/>
        <v/>
      </c>
      <c r="BU71" s="5" t="str">
        <f t="shared" si="125"/>
        <v/>
      </c>
      <c r="BV71" s="1028"/>
      <c r="BW71" s="130" t="str">
        <f t="shared" si="126"/>
        <v/>
      </c>
      <c r="BX71" s="5" t="str">
        <f t="shared" si="127"/>
        <v/>
      </c>
      <c r="BY71" s="1028"/>
      <c r="BZ71" s="130" t="str">
        <f t="shared" si="128"/>
        <v/>
      </c>
      <c r="CA71" s="5" t="str">
        <f t="shared" si="129"/>
        <v/>
      </c>
      <c r="CB71" s="1028"/>
      <c r="CC71" s="130" t="str">
        <f t="shared" si="130"/>
        <v/>
      </c>
      <c r="CD71" s="5" t="str">
        <f t="shared" si="131"/>
        <v/>
      </c>
      <c r="CE71" s="1028"/>
      <c r="CF71" s="130" t="str">
        <f t="shared" si="132"/>
        <v/>
      </c>
      <c r="CG71" s="5" t="str">
        <f t="shared" si="133"/>
        <v/>
      </c>
      <c r="CH71" s="1028"/>
      <c r="CI71" s="130" t="str">
        <f t="shared" si="134"/>
        <v/>
      </c>
      <c r="CJ71" s="5" t="str">
        <f t="shared" si="135"/>
        <v/>
      </c>
      <c r="CK71" s="1028"/>
      <c r="CL71" s="130" t="str">
        <f t="shared" si="136"/>
        <v/>
      </c>
      <c r="CM71" s="5" t="str">
        <f t="shared" si="137"/>
        <v/>
      </c>
      <c r="CN71" s="1028"/>
      <c r="CO71" s="130" t="str">
        <f t="shared" si="138"/>
        <v/>
      </c>
      <c r="CP71" s="5" t="str">
        <f t="shared" si="139"/>
        <v/>
      </c>
      <c r="CQ71" s="1028"/>
      <c r="CR71" s="130" t="str">
        <f t="shared" si="140"/>
        <v/>
      </c>
      <c r="CS71" s="5" t="str">
        <f t="shared" si="141"/>
        <v/>
      </c>
      <c r="CT71" s="1028"/>
      <c r="CU71" s="130" t="str">
        <f t="shared" si="142"/>
        <v/>
      </c>
      <c r="CV71" s="5" t="str">
        <f t="shared" si="143"/>
        <v/>
      </c>
      <c r="CW71" s="1028"/>
      <c r="CX71" s="130" t="str">
        <f t="shared" si="144"/>
        <v/>
      </c>
      <c r="CY71" s="5" t="str">
        <f t="shared" si="145"/>
        <v/>
      </c>
      <c r="CZ71" s="1028"/>
      <c r="DA71" s="130" t="str">
        <f t="shared" si="146"/>
        <v/>
      </c>
      <c r="DB71" s="5" t="str">
        <f t="shared" si="147"/>
        <v/>
      </c>
      <c r="DC71" s="1028"/>
      <c r="DD71" s="130" t="str">
        <f t="shared" si="148"/>
        <v/>
      </c>
      <c r="DE71" s="5" t="str">
        <f t="shared" si="149"/>
        <v/>
      </c>
      <c r="DF71" s="1028"/>
      <c r="DG71" s="130" t="str">
        <f t="shared" si="150"/>
        <v/>
      </c>
      <c r="DH71" s="5" t="str">
        <f t="shared" si="151"/>
        <v/>
      </c>
      <c r="DI71" s="1028"/>
      <c r="DJ71" s="130" t="str">
        <f t="shared" si="152"/>
        <v/>
      </c>
      <c r="DK71" s="5" t="str">
        <f t="shared" si="153"/>
        <v/>
      </c>
      <c r="DL71" s="1028"/>
      <c r="DM71" s="130" t="str">
        <f t="shared" si="154"/>
        <v/>
      </c>
      <c r="DN71" s="5" t="str">
        <f t="shared" si="155"/>
        <v/>
      </c>
      <c r="DO71" s="1028"/>
      <c r="DP71" s="130" t="str">
        <f t="shared" si="156"/>
        <v/>
      </c>
      <c r="DQ71" s="5" t="str">
        <f t="shared" si="157"/>
        <v/>
      </c>
      <c r="DR71" s="1028"/>
      <c r="DS71" s="130" t="str">
        <f t="shared" si="158"/>
        <v/>
      </c>
      <c r="DT71" s="5" t="str">
        <f t="shared" si="159"/>
        <v/>
      </c>
      <c r="DU71" s="1028"/>
      <c r="DV71" s="130" t="str">
        <f t="shared" si="160"/>
        <v/>
      </c>
      <c r="DW71" s="5" t="str">
        <f t="shared" si="161"/>
        <v/>
      </c>
      <c r="DX71" s="147"/>
    </row>
    <row r="72" ht="23.25" customHeight="true" x14ac:dyDescent="0.25">
      <c r="B72" s="744"/>
      <c r="C72" s="664">
        <f t="shared" si="81"/>
        <v>41</v>
      </c>
      <c r="D72" s="1030"/>
      <c r="E72" s="1022"/>
      <c r="F72" s="1022"/>
      <c r="G72" s="1027"/>
      <c r="H72" s="1028"/>
      <c r="I72" s="130" t="str">
        <f t="shared" si="82"/>
        <v/>
      </c>
      <c r="J72" s="1472" t="str">
        <f t="shared" si="83"/>
        <v/>
      </c>
      <c r="K72" s="1028"/>
      <c r="L72" s="130" t="str">
        <f t="shared" si="84"/>
        <v/>
      </c>
      <c r="M72" s="1472" t="str">
        <f t="shared" si="85"/>
        <v/>
      </c>
      <c r="N72" s="1028"/>
      <c r="O72" s="130" t="str">
        <f t="shared" si="86"/>
        <v/>
      </c>
      <c r="P72" s="1472" t="str">
        <f t="shared" si="87"/>
        <v/>
      </c>
      <c r="Q72" s="1028"/>
      <c r="R72" s="130" t="str">
        <f t="shared" si="88"/>
        <v/>
      </c>
      <c r="S72" s="1473" t="str">
        <f t="shared" si="89"/>
        <v/>
      </c>
      <c r="T72" s="1028"/>
      <c r="U72" s="130" t="str">
        <f t="shared" si="90"/>
        <v/>
      </c>
      <c r="V72" s="1472" t="str">
        <f t="shared" si="91"/>
        <v/>
      </c>
      <c r="W72" s="1029"/>
      <c r="X72" s="130" t="str">
        <f t="shared" si="92"/>
        <v/>
      </c>
      <c r="Y72" s="5" t="str">
        <f t="shared" si="93"/>
        <v/>
      </c>
      <c r="Z72" s="1028"/>
      <c r="AA72" s="130" t="str">
        <f t="shared" si="94"/>
        <v/>
      </c>
      <c r="AB72" s="5" t="str">
        <f t="shared" si="95"/>
        <v/>
      </c>
      <c r="AC72" s="1029"/>
      <c r="AD72" s="130" t="str">
        <f t="shared" si="96"/>
        <v/>
      </c>
      <c r="AE72" s="5" t="str">
        <f t="shared" si="97"/>
        <v/>
      </c>
      <c r="AF72" s="1028"/>
      <c r="AG72" s="130" t="str">
        <f t="shared" si="98"/>
        <v/>
      </c>
      <c r="AH72" s="5" t="str">
        <f t="shared" si="99"/>
        <v/>
      </c>
      <c r="AI72" s="1028"/>
      <c r="AJ72" s="130" t="str">
        <f t="shared" si="100"/>
        <v/>
      </c>
      <c r="AK72" s="5" t="str">
        <f t="shared" si="101"/>
        <v/>
      </c>
      <c r="AL72" s="1028"/>
      <c r="AM72" s="130" t="str">
        <f t="shared" si="102"/>
        <v/>
      </c>
      <c r="AN72" s="5" t="str">
        <f t="shared" si="103"/>
        <v/>
      </c>
      <c r="AO72" s="1028"/>
      <c r="AP72" s="130" t="str">
        <f t="shared" si="104"/>
        <v/>
      </c>
      <c r="AQ72" s="5" t="str">
        <f t="shared" si="105"/>
        <v/>
      </c>
      <c r="AR72" s="1028"/>
      <c r="AS72" s="130" t="str">
        <f t="shared" si="106"/>
        <v/>
      </c>
      <c r="AT72" s="5" t="str">
        <f t="shared" si="107"/>
        <v/>
      </c>
      <c r="AU72" s="1028"/>
      <c r="AV72" s="130" t="str">
        <f t="shared" si="108"/>
        <v/>
      </c>
      <c r="AW72" s="5" t="str">
        <f t="shared" si="109"/>
        <v/>
      </c>
      <c r="AX72" s="1028"/>
      <c r="AY72" s="130" t="str">
        <f t="shared" si="110"/>
        <v/>
      </c>
      <c r="AZ72" s="5" t="str">
        <f t="shared" si="111"/>
        <v/>
      </c>
      <c r="BA72" s="1028"/>
      <c r="BB72" s="130" t="str">
        <f t="shared" si="112"/>
        <v/>
      </c>
      <c r="BC72" s="5" t="str">
        <f t="shared" si="113"/>
        <v/>
      </c>
      <c r="BD72" s="1028"/>
      <c r="BE72" s="130" t="str">
        <f t="shared" si="114"/>
        <v/>
      </c>
      <c r="BF72" s="5" t="str">
        <f t="shared" si="115"/>
        <v/>
      </c>
      <c r="BG72" s="1028"/>
      <c r="BH72" s="130" t="str">
        <f t="shared" si="116"/>
        <v/>
      </c>
      <c r="BI72" s="5" t="str">
        <f t="shared" si="117"/>
        <v/>
      </c>
      <c r="BJ72" s="1028"/>
      <c r="BK72" s="130" t="str">
        <f t="shared" si="118"/>
        <v/>
      </c>
      <c r="BL72" s="5" t="str">
        <f t="shared" si="119"/>
        <v/>
      </c>
      <c r="BM72" s="1028"/>
      <c r="BN72" s="130" t="str">
        <f t="shared" si="120"/>
        <v/>
      </c>
      <c r="BO72" s="5" t="str">
        <f t="shared" si="121"/>
        <v/>
      </c>
      <c r="BP72" s="1028"/>
      <c r="BQ72" s="130" t="str">
        <f t="shared" si="122"/>
        <v/>
      </c>
      <c r="BR72" s="5" t="str">
        <f t="shared" si="123"/>
        <v/>
      </c>
      <c r="BS72" s="1028"/>
      <c r="BT72" s="130" t="str">
        <f t="shared" si="124"/>
        <v/>
      </c>
      <c r="BU72" s="5" t="str">
        <f t="shared" si="125"/>
        <v/>
      </c>
      <c r="BV72" s="1028"/>
      <c r="BW72" s="130" t="str">
        <f t="shared" si="126"/>
        <v/>
      </c>
      <c r="BX72" s="5" t="str">
        <f t="shared" si="127"/>
        <v/>
      </c>
      <c r="BY72" s="1028"/>
      <c r="BZ72" s="130" t="str">
        <f t="shared" si="128"/>
        <v/>
      </c>
      <c r="CA72" s="5" t="str">
        <f t="shared" si="129"/>
        <v/>
      </c>
      <c r="CB72" s="1028"/>
      <c r="CC72" s="130" t="str">
        <f t="shared" si="130"/>
        <v/>
      </c>
      <c r="CD72" s="5" t="str">
        <f t="shared" si="131"/>
        <v/>
      </c>
      <c r="CE72" s="1028"/>
      <c r="CF72" s="130" t="str">
        <f t="shared" si="132"/>
        <v/>
      </c>
      <c r="CG72" s="5" t="str">
        <f t="shared" si="133"/>
        <v/>
      </c>
      <c r="CH72" s="1028"/>
      <c r="CI72" s="130" t="str">
        <f t="shared" si="134"/>
        <v/>
      </c>
      <c r="CJ72" s="5" t="str">
        <f t="shared" si="135"/>
        <v/>
      </c>
      <c r="CK72" s="1028"/>
      <c r="CL72" s="130" t="str">
        <f t="shared" si="136"/>
        <v/>
      </c>
      <c r="CM72" s="5" t="str">
        <f t="shared" si="137"/>
        <v/>
      </c>
      <c r="CN72" s="1028"/>
      <c r="CO72" s="130" t="str">
        <f t="shared" si="138"/>
        <v/>
      </c>
      <c r="CP72" s="5" t="str">
        <f t="shared" si="139"/>
        <v/>
      </c>
      <c r="CQ72" s="1028"/>
      <c r="CR72" s="130" t="str">
        <f t="shared" si="140"/>
        <v/>
      </c>
      <c r="CS72" s="5" t="str">
        <f t="shared" si="141"/>
        <v/>
      </c>
      <c r="CT72" s="1028"/>
      <c r="CU72" s="130" t="str">
        <f t="shared" si="142"/>
        <v/>
      </c>
      <c r="CV72" s="5" t="str">
        <f t="shared" si="143"/>
        <v/>
      </c>
      <c r="CW72" s="1028"/>
      <c r="CX72" s="130" t="str">
        <f t="shared" si="144"/>
        <v/>
      </c>
      <c r="CY72" s="5" t="str">
        <f t="shared" si="145"/>
        <v/>
      </c>
      <c r="CZ72" s="1028"/>
      <c r="DA72" s="130" t="str">
        <f t="shared" si="146"/>
        <v/>
      </c>
      <c r="DB72" s="5" t="str">
        <f t="shared" si="147"/>
        <v/>
      </c>
      <c r="DC72" s="1028"/>
      <c r="DD72" s="130" t="str">
        <f t="shared" si="148"/>
        <v/>
      </c>
      <c r="DE72" s="5" t="str">
        <f t="shared" si="149"/>
        <v/>
      </c>
      <c r="DF72" s="1028"/>
      <c r="DG72" s="130" t="str">
        <f t="shared" si="150"/>
        <v/>
      </c>
      <c r="DH72" s="5" t="str">
        <f t="shared" si="151"/>
        <v/>
      </c>
      <c r="DI72" s="1028"/>
      <c r="DJ72" s="130" t="str">
        <f t="shared" si="152"/>
        <v/>
      </c>
      <c r="DK72" s="5" t="str">
        <f t="shared" si="153"/>
        <v/>
      </c>
      <c r="DL72" s="1028"/>
      <c r="DM72" s="130" t="str">
        <f t="shared" si="154"/>
        <v/>
      </c>
      <c r="DN72" s="5" t="str">
        <f t="shared" si="155"/>
        <v/>
      </c>
      <c r="DO72" s="1028"/>
      <c r="DP72" s="130" t="str">
        <f t="shared" si="156"/>
        <v/>
      </c>
      <c r="DQ72" s="5" t="str">
        <f t="shared" si="157"/>
        <v/>
      </c>
      <c r="DR72" s="1028"/>
      <c r="DS72" s="130" t="str">
        <f t="shared" si="158"/>
        <v/>
      </c>
      <c r="DT72" s="5" t="str">
        <f t="shared" si="159"/>
        <v/>
      </c>
      <c r="DU72" s="1028"/>
      <c r="DV72" s="130" t="str">
        <f t="shared" si="160"/>
        <v/>
      </c>
      <c r="DW72" s="5" t="str">
        <f t="shared" si="161"/>
        <v/>
      </c>
      <c r="DX72" s="147"/>
    </row>
    <row r="73" ht="23.25" customHeight="true" x14ac:dyDescent="0.25">
      <c r="B73" s="744"/>
      <c r="C73" s="664">
        <f t="shared" si="81"/>
        <v>42</v>
      </c>
      <c r="D73" s="1030"/>
      <c r="E73" s="1022"/>
      <c r="F73" s="1022"/>
      <c r="G73" s="1027"/>
      <c r="H73" s="1028"/>
      <c r="I73" s="130" t="str">
        <f t="shared" si="82"/>
        <v/>
      </c>
      <c r="J73" s="1472" t="str">
        <f t="shared" si="83"/>
        <v/>
      </c>
      <c r="K73" s="1028"/>
      <c r="L73" s="130" t="str">
        <f t="shared" si="84"/>
        <v/>
      </c>
      <c r="M73" s="1472" t="str">
        <f t="shared" si="85"/>
        <v/>
      </c>
      <c r="N73" s="1028"/>
      <c r="O73" s="130" t="str">
        <f t="shared" si="86"/>
        <v/>
      </c>
      <c r="P73" s="1472" t="str">
        <f t="shared" si="87"/>
        <v/>
      </c>
      <c r="Q73" s="1028"/>
      <c r="R73" s="130" t="str">
        <f t="shared" si="88"/>
        <v/>
      </c>
      <c r="S73" s="1473" t="str">
        <f t="shared" si="89"/>
        <v/>
      </c>
      <c r="T73" s="1028"/>
      <c r="U73" s="130" t="str">
        <f t="shared" si="90"/>
        <v/>
      </c>
      <c r="V73" s="1472" t="str">
        <f t="shared" si="91"/>
        <v/>
      </c>
      <c r="W73" s="1029"/>
      <c r="X73" s="130" t="str">
        <f t="shared" si="92"/>
        <v/>
      </c>
      <c r="Y73" s="5" t="str">
        <f t="shared" si="93"/>
        <v/>
      </c>
      <c r="Z73" s="1028"/>
      <c r="AA73" s="130" t="str">
        <f t="shared" si="94"/>
        <v/>
      </c>
      <c r="AB73" s="5" t="str">
        <f t="shared" si="95"/>
        <v/>
      </c>
      <c r="AC73" s="1029"/>
      <c r="AD73" s="130" t="str">
        <f t="shared" si="96"/>
        <v/>
      </c>
      <c r="AE73" s="5" t="str">
        <f t="shared" si="97"/>
        <v/>
      </c>
      <c r="AF73" s="1028"/>
      <c r="AG73" s="130" t="str">
        <f t="shared" si="98"/>
        <v/>
      </c>
      <c r="AH73" s="5" t="str">
        <f t="shared" si="99"/>
        <v/>
      </c>
      <c r="AI73" s="1028"/>
      <c r="AJ73" s="130" t="str">
        <f t="shared" si="100"/>
        <v/>
      </c>
      <c r="AK73" s="5" t="str">
        <f t="shared" si="101"/>
        <v/>
      </c>
      <c r="AL73" s="1028"/>
      <c r="AM73" s="130" t="str">
        <f t="shared" si="102"/>
        <v/>
      </c>
      <c r="AN73" s="5" t="str">
        <f t="shared" si="103"/>
        <v/>
      </c>
      <c r="AO73" s="1028"/>
      <c r="AP73" s="130" t="str">
        <f t="shared" si="104"/>
        <v/>
      </c>
      <c r="AQ73" s="5" t="str">
        <f t="shared" si="105"/>
        <v/>
      </c>
      <c r="AR73" s="1028"/>
      <c r="AS73" s="130" t="str">
        <f t="shared" si="106"/>
        <v/>
      </c>
      <c r="AT73" s="5" t="str">
        <f t="shared" si="107"/>
        <v/>
      </c>
      <c r="AU73" s="1028"/>
      <c r="AV73" s="130" t="str">
        <f t="shared" si="108"/>
        <v/>
      </c>
      <c r="AW73" s="5" t="str">
        <f t="shared" si="109"/>
        <v/>
      </c>
      <c r="AX73" s="1028"/>
      <c r="AY73" s="130" t="str">
        <f t="shared" si="110"/>
        <v/>
      </c>
      <c r="AZ73" s="5" t="str">
        <f t="shared" si="111"/>
        <v/>
      </c>
      <c r="BA73" s="1028"/>
      <c r="BB73" s="130" t="str">
        <f t="shared" si="112"/>
        <v/>
      </c>
      <c r="BC73" s="5" t="str">
        <f t="shared" si="113"/>
        <v/>
      </c>
      <c r="BD73" s="1028"/>
      <c r="BE73" s="130" t="str">
        <f t="shared" si="114"/>
        <v/>
      </c>
      <c r="BF73" s="5" t="str">
        <f t="shared" si="115"/>
        <v/>
      </c>
      <c r="BG73" s="1028"/>
      <c r="BH73" s="130" t="str">
        <f t="shared" si="116"/>
        <v/>
      </c>
      <c r="BI73" s="5" t="str">
        <f t="shared" si="117"/>
        <v/>
      </c>
      <c r="BJ73" s="1028"/>
      <c r="BK73" s="130" t="str">
        <f t="shared" si="118"/>
        <v/>
      </c>
      <c r="BL73" s="5" t="str">
        <f t="shared" si="119"/>
        <v/>
      </c>
      <c r="BM73" s="1028"/>
      <c r="BN73" s="130" t="str">
        <f t="shared" si="120"/>
        <v/>
      </c>
      <c r="BO73" s="5" t="str">
        <f t="shared" si="121"/>
        <v/>
      </c>
      <c r="BP73" s="1028"/>
      <c r="BQ73" s="130" t="str">
        <f t="shared" si="122"/>
        <v/>
      </c>
      <c r="BR73" s="5" t="str">
        <f t="shared" si="123"/>
        <v/>
      </c>
      <c r="BS73" s="1028"/>
      <c r="BT73" s="130" t="str">
        <f t="shared" si="124"/>
        <v/>
      </c>
      <c r="BU73" s="5" t="str">
        <f t="shared" si="125"/>
        <v/>
      </c>
      <c r="BV73" s="1028"/>
      <c r="BW73" s="130" t="str">
        <f t="shared" si="126"/>
        <v/>
      </c>
      <c r="BX73" s="5" t="str">
        <f t="shared" si="127"/>
        <v/>
      </c>
      <c r="BY73" s="1028"/>
      <c r="BZ73" s="130" t="str">
        <f t="shared" si="128"/>
        <v/>
      </c>
      <c r="CA73" s="5" t="str">
        <f t="shared" si="129"/>
        <v/>
      </c>
      <c r="CB73" s="1028"/>
      <c r="CC73" s="130" t="str">
        <f t="shared" si="130"/>
        <v/>
      </c>
      <c r="CD73" s="5" t="str">
        <f t="shared" si="131"/>
        <v/>
      </c>
      <c r="CE73" s="1028"/>
      <c r="CF73" s="130" t="str">
        <f t="shared" si="132"/>
        <v/>
      </c>
      <c r="CG73" s="5" t="str">
        <f t="shared" si="133"/>
        <v/>
      </c>
      <c r="CH73" s="1028"/>
      <c r="CI73" s="130" t="str">
        <f t="shared" si="134"/>
        <v/>
      </c>
      <c r="CJ73" s="5" t="str">
        <f t="shared" si="135"/>
        <v/>
      </c>
      <c r="CK73" s="1028"/>
      <c r="CL73" s="130" t="str">
        <f t="shared" si="136"/>
        <v/>
      </c>
      <c r="CM73" s="5" t="str">
        <f t="shared" si="137"/>
        <v/>
      </c>
      <c r="CN73" s="1028"/>
      <c r="CO73" s="130" t="str">
        <f t="shared" si="138"/>
        <v/>
      </c>
      <c r="CP73" s="5" t="str">
        <f t="shared" si="139"/>
        <v/>
      </c>
      <c r="CQ73" s="1028"/>
      <c r="CR73" s="130" t="str">
        <f t="shared" si="140"/>
        <v/>
      </c>
      <c r="CS73" s="5" t="str">
        <f t="shared" si="141"/>
        <v/>
      </c>
      <c r="CT73" s="1028"/>
      <c r="CU73" s="130" t="str">
        <f t="shared" si="142"/>
        <v/>
      </c>
      <c r="CV73" s="5" t="str">
        <f t="shared" si="143"/>
        <v/>
      </c>
      <c r="CW73" s="1028"/>
      <c r="CX73" s="130" t="str">
        <f t="shared" si="144"/>
        <v/>
      </c>
      <c r="CY73" s="5" t="str">
        <f t="shared" si="145"/>
        <v/>
      </c>
      <c r="CZ73" s="1028"/>
      <c r="DA73" s="130" t="str">
        <f t="shared" si="146"/>
        <v/>
      </c>
      <c r="DB73" s="5" t="str">
        <f t="shared" si="147"/>
        <v/>
      </c>
      <c r="DC73" s="1028"/>
      <c r="DD73" s="130" t="str">
        <f t="shared" si="148"/>
        <v/>
      </c>
      <c r="DE73" s="5" t="str">
        <f t="shared" si="149"/>
        <v/>
      </c>
      <c r="DF73" s="1028"/>
      <c r="DG73" s="130" t="str">
        <f t="shared" si="150"/>
        <v/>
      </c>
      <c r="DH73" s="5" t="str">
        <f t="shared" si="151"/>
        <v/>
      </c>
      <c r="DI73" s="1028"/>
      <c r="DJ73" s="130" t="str">
        <f t="shared" si="152"/>
        <v/>
      </c>
      <c r="DK73" s="5" t="str">
        <f t="shared" si="153"/>
        <v/>
      </c>
      <c r="DL73" s="1028"/>
      <c r="DM73" s="130" t="str">
        <f t="shared" si="154"/>
        <v/>
      </c>
      <c r="DN73" s="5" t="str">
        <f t="shared" si="155"/>
        <v/>
      </c>
      <c r="DO73" s="1028"/>
      <c r="DP73" s="130" t="str">
        <f t="shared" si="156"/>
        <v/>
      </c>
      <c r="DQ73" s="5" t="str">
        <f t="shared" si="157"/>
        <v/>
      </c>
      <c r="DR73" s="1028"/>
      <c r="DS73" s="130" t="str">
        <f t="shared" si="158"/>
        <v/>
      </c>
      <c r="DT73" s="5" t="str">
        <f t="shared" si="159"/>
        <v/>
      </c>
      <c r="DU73" s="1028"/>
      <c r="DV73" s="130" t="str">
        <f t="shared" si="160"/>
        <v/>
      </c>
      <c r="DW73" s="5" t="str">
        <f t="shared" si="161"/>
        <v/>
      </c>
      <c r="DX73" s="147"/>
    </row>
    <row r="74" ht="23.25" customHeight="true" x14ac:dyDescent="0.25">
      <c r="B74" s="744"/>
      <c r="C74" s="664">
        <f t="shared" si="81"/>
        <v>43</v>
      </c>
      <c r="D74" s="1030"/>
      <c r="E74" s="1022"/>
      <c r="F74" s="1022"/>
      <c r="G74" s="1027"/>
      <c r="H74" s="1028"/>
      <c r="I74" s="130" t="str">
        <f t="shared" si="82"/>
        <v/>
      </c>
      <c r="J74" s="1472" t="str">
        <f t="shared" si="83"/>
        <v/>
      </c>
      <c r="K74" s="1028"/>
      <c r="L74" s="130" t="str">
        <f t="shared" si="84"/>
        <v/>
      </c>
      <c r="M74" s="1472" t="str">
        <f t="shared" si="85"/>
        <v/>
      </c>
      <c r="N74" s="1028"/>
      <c r="O74" s="130" t="str">
        <f t="shared" si="86"/>
        <v/>
      </c>
      <c r="P74" s="1472" t="str">
        <f t="shared" si="87"/>
        <v/>
      </c>
      <c r="Q74" s="1028"/>
      <c r="R74" s="130" t="str">
        <f t="shared" si="88"/>
        <v/>
      </c>
      <c r="S74" s="1473" t="str">
        <f t="shared" si="89"/>
        <v/>
      </c>
      <c r="T74" s="1028"/>
      <c r="U74" s="130" t="str">
        <f t="shared" si="90"/>
        <v/>
      </c>
      <c r="V74" s="1472" t="str">
        <f t="shared" si="91"/>
        <v/>
      </c>
      <c r="W74" s="1029"/>
      <c r="X74" s="130" t="str">
        <f t="shared" si="92"/>
        <v/>
      </c>
      <c r="Y74" s="5" t="str">
        <f t="shared" si="93"/>
        <v/>
      </c>
      <c r="Z74" s="1028"/>
      <c r="AA74" s="130" t="str">
        <f t="shared" si="94"/>
        <v/>
      </c>
      <c r="AB74" s="5" t="str">
        <f t="shared" si="95"/>
        <v/>
      </c>
      <c r="AC74" s="1029"/>
      <c r="AD74" s="130" t="str">
        <f t="shared" si="96"/>
        <v/>
      </c>
      <c r="AE74" s="5" t="str">
        <f t="shared" si="97"/>
        <v/>
      </c>
      <c r="AF74" s="1028"/>
      <c r="AG74" s="130" t="str">
        <f t="shared" si="98"/>
        <v/>
      </c>
      <c r="AH74" s="5" t="str">
        <f t="shared" si="99"/>
        <v/>
      </c>
      <c r="AI74" s="1028"/>
      <c r="AJ74" s="130" t="str">
        <f t="shared" si="100"/>
        <v/>
      </c>
      <c r="AK74" s="5" t="str">
        <f t="shared" si="101"/>
        <v/>
      </c>
      <c r="AL74" s="1028"/>
      <c r="AM74" s="130" t="str">
        <f t="shared" si="102"/>
        <v/>
      </c>
      <c r="AN74" s="5" t="str">
        <f t="shared" si="103"/>
        <v/>
      </c>
      <c r="AO74" s="1028"/>
      <c r="AP74" s="130" t="str">
        <f t="shared" si="104"/>
        <v/>
      </c>
      <c r="AQ74" s="5" t="str">
        <f t="shared" si="105"/>
        <v/>
      </c>
      <c r="AR74" s="1028"/>
      <c r="AS74" s="130" t="str">
        <f t="shared" si="106"/>
        <v/>
      </c>
      <c r="AT74" s="5" t="str">
        <f t="shared" si="107"/>
        <v/>
      </c>
      <c r="AU74" s="1028"/>
      <c r="AV74" s="130" t="str">
        <f t="shared" si="108"/>
        <v/>
      </c>
      <c r="AW74" s="5" t="str">
        <f t="shared" si="109"/>
        <v/>
      </c>
      <c r="AX74" s="1028"/>
      <c r="AY74" s="130" t="str">
        <f t="shared" si="110"/>
        <v/>
      </c>
      <c r="AZ74" s="5" t="str">
        <f t="shared" si="111"/>
        <v/>
      </c>
      <c r="BA74" s="1028"/>
      <c r="BB74" s="130" t="str">
        <f t="shared" si="112"/>
        <v/>
      </c>
      <c r="BC74" s="5" t="str">
        <f t="shared" si="113"/>
        <v/>
      </c>
      <c r="BD74" s="1028"/>
      <c r="BE74" s="130" t="str">
        <f t="shared" si="114"/>
        <v/>
      </c>
      <c r="BF74" s="5" t="str">
        <f t="shared" si="115"/>
        <v/>
      </c>
      <c r="BG74" s="1028"/>
      <c r="BH74" s="130" t="str">
        <f t="shared" si="116"/>
        <v/>
      </c>
      <c r="BI74" s="5" t="str">
        <f t="shared" si="117"/>
        <v/>
      </c>
      <c r="BJ74" s="1028"/>
      <c r="BK74" s="130" t="str">
        <f t="shared" si="118"/>
        <v/>
      </c>
      <c r="BL74" s="5" t="str">
        <f t="shared" si="119"/>
        <v/>
      </c>
      <c r="BM74" s="1028"/>
      <c r="BN74" s="130" t="str">
        <f t="shared" si="120"/>
        <v/>
      </c>
      <c r="BO74" s="5" t="str">
        <f t="shared" si="121"/>
        <v/>
      </c>
      <c r="BP74" s="1028"/>
      <c r="BQ74" s="130" t="str">
        <f t="shared" si="122"/>
        <v/>
      </c>
      <c r="BR74" s="5" t="str">
        <f t="shared" si="123"/>
        <v/>
      </c>
      <c r="BS74" s="1028"/>
      <c r="BT74" s="130" t="str">
        <f t="shared" si="124"/>
        <v/>
      </c>
      <c r="BU74" s="5" t="str">
        <f t="shared" si="125"/>
        <v/>
      </c>
      <c r="BV74" s="1028"/>
      <c r="BW74" s="130" t="str">
        <f t="shared" si="126"/>
        <v/>
      </c>
      <c r="BX74" s="5" t="str">
        <f t="shared" si="127"/>
        <v/>
      </c>
      <c r="BY74" s="1028"/>
      <c r="BZ74" s="130" t="str">
        <f t="shared" si="128"/>
        <v/>
      </c>
      <c r="CA74" s="5" t="str">
        <f t="shared" si="129"/>
        <v/>
      </c>
      <c r="CB74" s="1028"/>
      <c r="CC74" s="130" t="str">
        <f t="shared" si="130"/>
        <v/>
      </c>
      <c r="CD74" s="5" t="str">
        <f t="shared" si="131"/>
        <v/>
      </c>
      <c r="CE74" s="1028"/>
      <c r="CF74" s="130" t="str">
        <f t="shared" si="132"/>
        <v/>
      </c>
      <c r="CG74" s="5" t="str">
        <f t="shared" si="133"/>
        <v/>
      </c>
      <c r="CH74" s="1028"/>
      <c r="CI74" s="130" t="str">
        <f t="shared" si="134"/>
        <v/>
      </c>
      <c r="CJ74" s="5" t="str">
        <f t="shared" si="135"/>
        <v/>
      </c>
      <c r="CK74" s="1028"/>
      <c r="CL74" s="130" t="str">
        <f t="shared" si="136"/>
        <v/>
      </c>
      <c r="CM74" s="5" t="str">
        <f t="shared" si="137"/>
        <v/>
      </c>
      <c r="CN74" s="1028"/>
      <c r="CO74" s="130" t="str">
        <f t="shared" si="138"/>
        <v/>
      </c>
      <c r="CP74" s="5" t="str">
        <f t="shared" si="139"/>
        <v/>
      </c>
      <c r="CQ74" s="1028"/>
      <c r="CR74" s="130" t="str">
        <f t="shared" si="140"/>
        <v/>
      </c>
      <c r="CS74" s="5" t="str">
        <f t="shared" si="141"/>
        <v/>
      </c>
      <c r="CT74" s="1028"/>
      <c r="CU74" s="130" t="str">
        <f t="shared" si="142"/>
        <v/>
      </c>
      <c r="CV74" s="5" t="str">
        <f t="shared" si="143"/>
        <v/>
      </c>
      <c r="CW74" s="1028"/>
      <c r="CX74" s="130" t="str">
        <f t="shared" si="144"/>
        <v/>
      </c>
      <c r="CY74" s="5" t="str">
        <f t="shared" si="145"/>
        <v/>
      </c>
      <c r="CZ74" s="1028"/>
      <c r="DA74" s="130" t="str">
        <f t="shared" si="146"/>
        <v/>
      </c>
      <c r="DB74" s="5" t="str">
        <f t="shared" si="147"/>
        <v/>
      </c>
      <c r="DC74" s="1028"/>
      <c r="DD74" s="130" t="str">
        <f t="shared" si="148"/>
        <v/>
      </c>
      <c r="DE74" s="5" t="str">
        <f t="shared" si="149"/>
        <v/>
      </c>
      <c r="DF74" s="1028"/>
      <c r="DG74" s="130" t="str">
        <f t="shared" si="150"/>
        <v/>
      </c>
      <c r="DH74" s="5" t="str">
        <f t="shared" si="151"/>
        <v/>
      </c>
      <c r="DI74" s="1028"/>
      <c r="DJ74" s="130" t="str">
        <f t="shared" si="152"/>
        <v/>
      </c>
      <c r="DK74" s="5" t="str">
        <f t="shared" si="153"/>
        <v/>
      </c>
      <c r="DL74" s="1028"/>
      <c r="DM74" s="130" t="str">
        <f t="shared" si="154"/>
        <v/>
      </c>
      <c r="DN74" s="5" t="str">
        <f t="shared" si="155"/>
        <v/>
      </c>
      <c r="DO74" s="1028"/>
      <c r="DP74" s="130" t="str">
        <f t="shared" si="156"/>
        <v/>
      </c>
      <c r="DQ74" s="5" t="str">
        <f t="shared" si="157"/>
        <v/>
      </c>
      <c r="DR74" s="1028"/>
      <c r="DS74" s="130" t="str">
        <f t="shared" si="158"/>
        <v/>
      </c>
      <c r="DT74" s="5" t="str">
        <f t="shared" si="159"/>
        <v/>
      </c>
      <c r="DU74" s="1028"/>
      <c r="DV74" s="130" t="str">
        <f t="shared" si="160"/>
        <v/>
      </c>
      <c r="DW74" s="5" t="str">
        <f t="shared" si="161"/>
        <v/>
      </c>
      <c r="DX74" s="147"/>
    </row>
    <row r="75" ht="23.25" customHeight="true" x14ac:dyDescent="0.25">
      <c r="B75" s="744"/>
      <c r="C75" s="664">
        <f t="shared" si="81"/>
        <v>44</v>
      </c>
      <c r="D75" s="1030"/>
      <c r="E75" s="1022"/>
      <c r="F75" s="1022"/>
      <c r="G75" s="1027"/>
      <c r="H75" s="1028"/>
      <c r="I75" s="130" t="str">
        <f t="shared" si="82"/>
        <v/>
      </c>
      <c r="J75" s="1472" t="str">
        <f t="shared" si="83"/>
        <v/>
      </c>
      <c r="K75" s="1028"/>
      <c r="L75" s="130" t="str">
        <f t="shared" si="84"/>
        <v/>
      </c>
      <c r="M75" s="1472" t="str">
        <f t="shared" si="85"/>
        <v/>
      </c>
      <c r="N75" s="1028"/>
      <c r="O75" s="130" t="str">
        <f t="shared" si="86"/>
        <v/>
      </c>
      <c r="P75" s="1472" t="str">
        <f t="shared" si="87"/>
        <v/>
      </c>
      <c r="Q75" s="1028"/>
      <c r="R75" s="130" t="str">
        <f t="shared" si="88"/>
        <v/>
      </c>
      <c r="S75" s="1473" t="str">
        <f t="shared" si="89"/>
        <v/>
      </c>
      <c r="T75" s="1028"/>
      <c r="U75" s="130" t="str">
        <f t="shared" si="90"/>
        <v/>
      </c>
      <c r="V75" s="1472" t="str">
        <f t="shared" si="91"/>
        <v/>
      </c>
      <c r="W75" s="1029"/>
      <c r="X75" s="130" t="str">
        <f t="shared" si="92"/>
        <v/>
      </c>
      <c r="Y75" s="5" t="str">
        <f t="shared" si="93"/>
        <v/>
      </c>
      <c r="Z75" s="1028"/>
      <c r="AA75" s="130" t="str">
        <f t="shared" si="94"/>
        <v/>
      </c>
      <c r="AB75" s="5" t="str">
        <f t="shared" si="95"/>
        <v/>
      </c>
      <c r="AC75" s="1029"/>
      <c r="AD75" s="130" t="str">
        <f t="shared" si="96"/>
        <v/>
      </c>
      <c r="AE75" s="5" t="str">
        <f t="shared" si="97"/>
        <v/>
      </c>
      <c r="AF75" s="1028"/>
      <c r="AG75" s="130" t="str">
        <f t="shared" si="98"/>
        <v/>
      </c>
      <c r="AH75" s="5" t="str">
        <f t="shared" si="99"/>
        <v/>
      </c>
      <c r="AI75" s="1028"/>
      <c r="AJ75" s="130" t="str">
        <f t="shared" si="100"/>
        <v/>
      </c>
      <c r="AK75" s="5" t="str">
        <f t="shared" si="101"/>
        <v/>
      </c>
      <c r="AL75" s="1028"/>
      <c r="AM75" s="130" t="str">
        <f t="shared" si="102"/>
        <v/>
      </c>
      <c r="AN75" s="5" t="str">
        <f t="shared" si="103"/>
        <v/>
      </c>
      <c r="AO75" s="1028"/>
      <c r="AP75" s="130" t="str">
        <f t="shared" si="104"/>
        <v/>
      </c>
      <c r="AQ75" s="5" t="str">
        <f t="shared" si="105"/>
        <v/>
      </c>
      <c r="AR75" s="1028"/>
      <c r="AS75" s="130" t="str">
        <f t="shared" si="106"/>
        <v/>
      </c>
      <c r="AT75" s="5" t="str">
        <f t="shared" si="107"/>
        <v/>
      </c>
      <c r="AU75" s="1028"/>
      <c r="AV75" s="130" t="str">
        <f t="shared" si="108"/>
        <v/>
      </c>
      <c r="AW75" s="5" t="str">
        <f t="shared" si="109"/>
        <v/>
      </c>
      <c r="AX75" s="1028"/>
      <c r="AY75" s="130" t="str">
        <f t="shared" si="110"/>
        <v/>
      </c>
      <c r="AZ75" s="5" t="str">
        <f t="shared" si="111"/>
        <v/>
      </c>
      <c r="BA75" s="1028"/>
      <c r="BB75" s="130" t="str">
        <f t="shared" si="112"/>
        <v/>
      </c>
      <c r="BC75" s="5" t="str">
        <f t="shared" si="113"/>
        <v/>
      </c>
      <c r="BD75" s="1028"/>
      <c r="BE75" s="130" t="str">
        <f t="shared" si="114"/>
        <v/>
      </c>
      <c r="BF75" s="5" t="str">
        <f t="shared" si="115"/>
        <v/>
      </c>
      <c r="BG75" s="1028"/>
      <c r="BH75" s="130" t="str">
        <f t="shared" si="116"/>
        <v/>
      </c>
      <c r="BI75" s="5" t="str">
        <f t="shared" si="117"/>
        <v/>
      </c>
      <c r="BJ75" s="1028"/>
      <c r="BK75" s="130" t="str">
        <f t="shared" si="118"/>
        <v/>
      </c>
      <c r="BL75" s="5" t="str">
        <f t="shared" si="119"/>
        <v/>
      </c>
      <c r="BM75" s="1028"/>
      <c r="BN75" s="130" t="str">
        <f t="shared" si="120"/>
        <v/>
      </c>
      <c r="BO75" s="5" t="str">
        <f t="shared" si="121"/>
        <v/>
      </c>
      <c r="BP75" s="1028"/>
      <c r="BQ75" s="130" t="str">
        <f t="shared" si="122"/>
        <v/>
      </c>
      <c r="BR75" s="5" t="str">
        <f t="shared" si="123"/>
        <v/>
      </c>
      <c r="BS75" s="1028"/>
      <c r="BT75" s="130" t="str">
        <f t="shared" si="124"/>
        <v/>
      </c>
      <c r="BU75" s="5" t="str">
        <f t="shared" si="125"/>
        <v/>
      </c>
      <c r="BV75" s="1028"/>
      <c r="BW75" s="130" t="str">
        <f t="shared" si="126"/>
        <v/>
      </c>
      <c r="BX75" s="5" t="str">
        <f t="shared" si="127"/>
        <v/>
      </c>
      <c r="BY75" s="1028"/>
      <c r="BZ75" s="130" t="str">
        <f t="shared" si="128"/>
        <v/>
      </c>
      <c r="CA75" s="5" t="str">
        <f t="shared" si="129"/>
        <v/>
      </c>
      <c r="CB75" s="1028"/>
      <c r="CC75" s="130" t="str">
        <f t="shared" si="130"/>
        <v/>
      </c>
      <c r="CD75" s="5" t="str">
        <f t="shared" si="131"/>
        <v/>
      </c>
      <c r="CE75" s="1028"/>
      <c r="CF75" s="130" t="str">
        <f t="shared" si="132"/>
        <v/>
      </c>
      <c r="CG75" s="5" t="str">
        <f t="shared" si="133"/>
        <v/>
      </c>
      <c r="CH75" s="1028"/>
      <c r="CI75" s="130" t="str">
        <f t="shared" si="134"/>
        <v/>
      </c>
      <c r="CJ75" s="5" t="str">
        <f t="shared" si="135"/>
        <v/>
      </c>
      <c r="CK75" s="1028"/>
      <c r="CL75" s="130" t="str">
        <f t="shared" si="136"/>
        <v/>
      </c>
      <c r="CM75" s="5" t="str">
        <f t="shared" si="137"/>
        <v/>
      </c>
      <c r="CN75" s="1028"/>
      <c r="CO75" s="130" t="str">
        <f t="shared" si="138"/>
        <v/>
      </c>
      <c r="CP75" s="5" t="str">
        <f t="shared" si="139"/>
        <v/>
      </c>
      <c r="CQ75" s="1028"/>
      <c r="CR75" s="130" t="str">
        <f t="shared" si="140"/>
        <v/>
      </c>
      <c r="CS75" s="5" t="str">
        <f t="shared" si="141"/>
        <v/>
      </c>
      <c r="CT75" s="1028"/>
      <c r="CU75" s="130" t="str">
        <f t="shared" si="142"/>
        <v/>
      </c>
      <c r="CV75" s="5" t="str">
        <f t="shared" si="143"/>
        <v/>
      </c>
      <c r="CW75" s="1028"/>
      <c r="CX75" s="130" t="str">
        <f t="shared" si="144"/>
        <v/>
      </c>
      <c r="CY75" s="5" t="str">
        <f t="shared" si="145"/>
        <v/>
      </c>
      <c r="CZ75" s="1028"/>
      <c r="DA75" s="130" t="str">
        <f t="shared" si="146"/>
        <v/>
      </c>
      <c r="DB75" s="5" t="str">
        <f t="shared" si="147"/>
        <v/>
      </c>
      <c r="DC75" s="1028"/>
      <c r="DD75" s="130" t="str">
        <f t="shared" si="148"/>
        <v/>
      </c>
      <c r="DE75" s="5" t="str">
        <f t="shared" si="149"/>
        <v/>
      </c>
      <c r="DF75" s="1028"/>
      <c r="DG75" s="130" t="str">
        <f t="shared" si="150"/>
        <v/>
      </c>
      <c r="DH75" s="5" t="str">
        <f t="shared" si="151"/>
        <v/>
      </c>
      <c r="DI75" s="1028"/>
      <c r="DJ75" s="130" t="str">
        <f t="shared" si="152"/>
        <v/>
      </c>
      <c r="DK75" s="5" t="str">
        <f t="shared" si="153"/>
        <v/>
      </c>
      <c r="DL75" s="1028"/>
      <c r="DM75" s="130" t="str">
        <f t="shared" si="154"/>
        <v/>
      </c>
      <c r="DN75" s="5" t="str">
        <f t="shared" si="155"/>
        <v/>
      </c>
      <c r="DO75" s="1028"/>
      <c r="DP75" s="130" t="str">
        <f t="shared" si="156"/>
        <v/>
      </c>
      <c r="DQ75" s="5" t="str">
        <f t="shared" si="157"/>
        <v/>
      </c>
      <c r="DR75" s="1028"/>
      <c r="DS75" s="130" t="str">
        <f t="shared" si="158"/>
        <v/>
      </c>
      <c r="DT75" s="5" t="str">
        <f t="shared" si="159"/>
        <v/>
      </c>
      <c r="DU75" s="1028"/>
      <c r="DV75" s="130" t="str">
        <f t="shared" si="160"/>
        <v/>
      </c>
      <c r="DW75" s="5" t="str">
        <f t="shared" si="161"/>
        <v/>
      </c>
      <c r="DX75" s="147"/>
    </row>
    <row r="76" ht="23.25" customHeight="true" x14ac:dyDescent="0.25">
      <c r="B76" s="744"/>
      <c r="C76" s="664">
        <f t="shared" si="81"/>
        <v>45</v>
      </c>
      <c r="D76" s="1030"/>
      <c r="E76" s="1022"/>
      <c r="F76" s="1022"/>
      <c r="G76" s="1027"/>
      <c r="H76" s="1028"/>
      <c r="I76" s="130" t="str">
        <f t="shared" si="82"/>
        <v/>
      </c>
      <c r="J76" s="1472" t="str">
        <f t="shared" si="83"/>
        <v/>
      </c>
      <c r="K76" s="1028"/>
      <c r="L76" s="130" t="str">
        <f t="shared" si="84"/>
        <v/>
      </c>
      <c r="M76" s="1472" t="str">
        <f t="shared" si="85"/>
        <v/>
      </c>
      <c r="N76" s="1028"/>
      <c r="O76" s="130" t="str">
        <f t="shared" si="86"/>
        <v/>
      </c>
      <c r="P76" s="1472" t="str">
        <f t="shared" si="87"/>
        <v/>
      </c>
      <c r="Q76" s="1028"/>
      <c r="R76" s="130" t="str">
        <f t="shared" si="88"/>
        <v/>
      </c>
      <c r="S76" s="1473" t="str">
        <f t="shared" si="89"/>
        <v/>
      </c>
      <c r="T76" s="1028"/>
      <c r="U76" s="130" t="str">
        <f t="shared" si="90"/>
        <v/>
      </c>
      <c r="V76" s="1472" t="str">
        <f t="shared" si="91"/>
        <v/>
      </c>
      <c r="W76" s="1029"/>
      <c r="X76" s="130" t="str">
        <f t="shared" si="92"/>
        <v/>
      </c>
      <c r="Y76" s="5" t="str">
        <f t="shared" si="93"/>
        <v/>
      </c>
      <c r="Z76" s="1028"/>
      <c r="AA76" s="130" t="str">
        <f t="shared" si="94"/>
        <v/>
      </c>
      <c r="AB76" s="5" t="str">
        <f t="shared" si="95"/>
        <v/>
      </c>
      <c r="AC76" s="1029"/>
      <c r="AD76" s="130" t="str">
        <f t="shared" si="96"/>
        <v/>
      </c>
      <c r="AE76" s="5" t="str">
        <f t="shared" si="97"/>
        <v/>
      </c>
      <c r="AF76" s="1028"/>
      <c r="AG76" s="130" t="str">
        <f t="shared" si="98"/>
        <v/>
      </c>
      <c r="AH76" s="5" t="str">
        <f t="shared" si="99"/>
        <v/>
      </c>
      <c r="AI76" s="1028"/>
      <c r="AJ76" s="130" t="str">
        <f t="shared" si="100"/>
        <v/>
      </c>
      <c r="AK76" s="5" t="str">
        <f t="shared" si="101"/>
        <v/>
      </c>
      <c r="AL76" s="1028"/>
      <c r="AM76" s="130" t="str">
        <f t="shared" si="102"/>
        <v/>
      </c>
      <c r="AN76" s="5" t="str">
        <f t="shared" si="103"/>
        <v/>
      </c>
      <c r="AO76" s="1028"/>
      <c r="AP76" s="130" t="str">
        <f t="shared" si="104"/>
        <v/>
      </c>
      <c r="AQ76" s="5" t="str">
        <f t="shared" si="105"/>
        <v/>
      </c>
      <c r="AR76" s="1028"/>
      <c r="AS76" s="130" t="str">
        <f t="shared" si="106"/>
        <v/>
      </c>
      <c r="AT76" s="5" t="str">
        <f t="shared" si="107"/>
        <v/>
      </c>
      <c r="AU76" s="1028"/>
      <c r="AV76" s="130" t="str">
        <f t="shared" si="108"/>
        <v/>
      </c>
      <c r="AW76" s="5" t="str">
        <f t="shared" si="109"/>
        <v/>
      </c>
      <c r="AX76" s="1028"/>
      <c r="AY76" s="130" t="str">
        <f t="shared" si="110"/>
        <v/>
      </c>
      <c r="AZ76" s="5" t="str">
        <f t="shared" si="111"/>
        <v/>
      </c>
      <c r="BA76" s="1028"/>
      <c r="BB76" s="130" t="str">
        <f t="shared" si="112"/>
        <v/>
      </c>
      <c r="BC76" s="5" t="str">
        <f t="shared" si="113"/>
        <v/>
      </c>
      <c r="BD76" s="1028"/>
      <c r="BE76" s="130" t="str">
        <f t="shared" si="114"/>
        <v/>
      </c>
      <c r="BF76" s="5" t="str">
        <f t="shared" si="115"/>
        <v/>
      </c>
      <c r="BG76" s="1028"/>
      <c r="BH76" s="130" t="str">
        <f t="shared" si="116"/>
        <v/>
      </c>
      <c r="BI76" s="5" t="str">
        <f t="shared" si="117"/>
        <v/>
      </c>
      <c r="BJ76" s="1028"/>
      <c r="BK76" s="130" t="str">
        <f t="shared" si="118"/>
        <v/>
      </c>
      <c r="BL76" s="5" t="str">
        <f t="shared" si="119"/>
        <v/>
      </c>
      <c r="BM76" s="1028"/>
      <c r="BN76" s="130" t="str">
        <f t="shared" si="120"/>
        <v/>
      </c>
      <c r="BO76" s="5" t="str">
        <f t="shared" si="121"/>
        <v/>
      </c>
      <c r="BP76" s="1028"/>
      <c r="BQ76" s="130" t="str">
        <f t="shared" si="122"/>
        <v/>
      </c>
      <c r="BR76" s="5" t="str">
        <f t="shared" si="123"/>
        <v/>
      </c>
      <c r="BS76" s="1028"/>
      <c r="BT76" s="130" t="str">
        <f t="shared" si="124"/>
        <v/>
      </c>
      <c r="BU76" s="5" t="str">
        <f t="shared" si="125"/>
        <v/>
      </c>
      <c r="BV76" s="1028"/>
      <c r="BW76" s="130" t="str">
        <f t="shared" si="126"/>
        <v/>
      </c>
      <c r="BX76" s="5" t="str">
        <f t="shared" si="127"/>
        <v/>
      </c>
      <c r="BY76" s="1028"/>
      <c r="BZ76" s="130" t="str">
        <f t="shared" si="128"/>
        <v/>
      </c>
      <c r="CA76" s="5" t="str">
        <f t="shared" si="129"/>
        <v/>
      </c>
      <c r="CB76" s="1028"/>
      <c r="CC76" s="130" t="str">
        <f t="shared" si="130"/>
        <v/>
      </c>
      <c r="CD76" s="5" t="str">
        <f t="shared" si="131"/>
        <v/>
      </c>
      <c r="CE76" s="1028"/>
      <c r="CF76" s="130" t="str">
        <f t="shared" si="132"/>
        <v/>
      </c>
      <c r="CG76" s="5" t="str">
        <f t="shared" si="133"/>
        <v/>
      </c>
      <c r="CH76" s="1028"/>
      <c r="CI76" s="130" t="str">
        <f t="shared" si="134"/>
        <v/>
      </c>
      <c r="CJ76" s="5" t="str">
        <f t="shared" si="135"/>
        <v/>
      </c>
      <c r="CK76" s="1028"/>
      <c r="CL76" s="130" t="str">
        <f t="shared" si="136"/>
        <v/>
      </c>
      <c r="CM76" s="5" t="str">
        <f t="shared" si="137"/>
        <v/>
      </c>
      <c r="CN76" s="1028"/>
      <c r="CO76" s="130" t="str">
        <f t="shared" si="138"/>
        <v/>
      </c>
      <c r="CP76" s="5" t="str">
        <f t="shared" si="139"/>
        <v/>
      </c>
      <c r="CQ76" s="1028"/>
      <c r="CR76" s="130" t="str">
        <f t="shared" si="140"/>
        <v/>
      </c>
      <c r="CS76" s="5" t="str">
        <f t="shared" si="141"/>
        <v/>
      </c>
      <c r="CT76" s="1028"/>
      <c r="CU76" s="130" t="str">
        <f t="shared" si="142"/>
        <v/>
      </c>
      <c r="CV76" s="5" t="str">
        <f t="shared" si="143"/>
        <v/>
      </c>
      <c r="CW76" s="1028"/>
      <c r="CX76" s="130" t="str">
        <f t="shared" si="144"/>
        <v/>
      </c>
      <c r="CY76" s="5" t="str">
        <f t="shared" si="145"/>
        <v/>
      </c>
      <c r="CZ76" s="1028"/>
      <c r="DA76" s="130" t="str">
        <f t="shared" si="146"/>
        <v/>
      </c>
      <c r="DB76" s="5" t="str">
        <f t="shared" si="147"/>
        <v/>
      </c>
      <c r="DC76" s="1028"/>
      <c r="DD76" s="130" t="str">
        <f t="shared" si="148"/>
        <v/>
      </c>
      <c r="DE76" s="5" t="str">
        <f t="shared" si="149"/>
        <v/>
      </c>
      <c r="DF76" s="1028"/>
      <c r="DG76" s="130" t="str">
        <f t="shared" si="150"/>
        <v/>
      </c>
      <c r="DH76" s="5" t="str">
        <f t="shared" si="151"/>
        <v/>
      </c>
      <c r="DI76" s="1028"/>
      <c r="DJ76" s="130" t="str">
        <f t="shared" si="152"/>
        <v/>
      </c>
      <c r="DK76" s="5" t="str">
        <f t="shared" si="153"/>
        <v/>
      </c>
      <c r="DL76" s="1028"/>
      <c r="DM76" s="130" t="str">
        <f t="shared" si="154"/>
        <v/>
      </c>
      <c r="DN76" s="5" t="str">
        <f t="shared" si="155"/>
        <v/>
      </c>
      <c r="DO76" s="1028"/>
      <c r="DP76" s="130" t="str">
        <f t="shared" si="156"/>
        <v/>
      </c>
      <c r="DQ76" s="5" t="str">
        <f t="shared" si="157"/>
        <v/>
      </c>
      <c r="DR76" s="1028"/>
      <c r="DS76" s="130" t="str">
        <f t="shared" si="158"/>
        <v/>
      </c>
      <c r="DT76" s="5" t="str">
        <f t="shared" si="159"/>
        <v/>
      </c>
      <c r="DU76" s="1028"/>
      <c r="DV76" s="130" t="str">
        <f t="shared" si="160"/>
        <v/>
      </c>
      <c r="DW76" s="5" t="str">
        <f t="shared" si="161"/>
        <v/>
      </c>
      <c r="DX76" s="147"/>
    </row>
    <row r="77" ht="23.25" customHeight="true" x14ac:dyDescent="0.25">
      <c r="B77" s="744"/>
      <c r="C77" s="664">
        <f t="shared" si="81"/>
        <v>46</v>
      </c>
      <c r="D77" s="1030"/>
      <c r="E77" s="1022"/>
      <c r="F77" s="1022"/>
      <c r="G77" s="1027"/>
      <c r="H77" s="1028"/>
      <c r="I77" s="130" t="str">
        <f t="shared" si="82"/>
        <v/>
      </c>
      <c r="J77" s="1472" t="str">
        <f t="shared" si="83"/>
        <v/>
      </c>
      <c r="K77" s="1028"/>
      <c r="L77" s="130" t="str">
        <f t="shared" si="84"/>
        <v/>
      </c>
      <c r="M77" s="1472" t="str">
        <f t="shared" si="85"/>
        <v/>
      </c>
      <c r="N77" s="1028"/>
      <c r="O77" s="130" t="str">
        <f t="shared" si="86"/>
        <v/>
      </c>
      <c r="P77" s="1472" t="str">
        <f t="shared" si="87"/>
        <v/>
      </c>
      <c r="Q77" s="1028"/>
      <c r="R77" s="130" t="str">
        <f t="shared" si="88"/>
        <v/>
      </c>
      <c r="S77" s="1473" t="str">
        <f t="shared" si="89"/>
        <v/>
      </c>
      <c r="T77" s="1028"/>
      <c r="U77" s="130" t="str">
        <f t="shared" si="90"/>
        <v/>
      </c>
      <c r="V77" s="1472" t="str">
        <f t="shared" si="91"/>
        <v/>
      </c>
      <c r="W77" s="1029"/>
      <c r="X77" s="130" t="str">
        <f t="shared" si="92"/>
        <v/>
      </c>
      <c r="Y77" s="5" t="str">
        <f t="shared" si="93"/>
        <v/>
      </c>
      <c r="Z77" s="1028"/>
      <c r="AA77" s="130" t="str">
        <f t="shared" si="94"/>
        <v/>
      </c>
      <c r="AB77" s="5" t="str">
        <f t="shared" si="95"/>
        <v/>
      </c>
      <c r="AC77" s="1029"/>
      <c r="AD77" s="130" t="str">
        <f t="shared" si="96"/>
        <v/>
      </c>
      <c r="AE77" s="5" t="str">
        <f t="shared" si="97"/>
        <v/>
      </c>
      <c r="AF77" s="1028"/>
      <c r="AG77" s="130" t="str">
        <f t="shared" si="98"/>
        <v/>
      </c>
      <c r="AH77" s="5" t="str">
        <f t="shared" si="99"/>
        <v/>
      </c>
      <c r="AI77" s="1028"/>
      <c r="AJ77" s="130" t="str">
        <f t="shared" si="100"/>
        <v/>
      </c>
      <c r="AK77" s="5" t="str">
        <f t="shared" si="101"/>
        <v/>
      </c>
      <c r="AL77" s="1028"/>
      <c r="AM77" s="130" t="str">
        <f t="shared" si="102"/>
        <v/>
      </c>
      <c r="AN77" s="5" t="str">
        <f t="shared" si="103"/>
        <v/>
      </c>
      <c r="AO77" s="1028"/>
      <c r="AP77" s="130" t="str">
        <f t="shared" si="104"/>
        <v/>
      </c>
      <c r="AQ77" s="5" t="str">
        <f t="shared" si="105"/>
        <v/>
      </c>
      <c r="AR77" s="1028"/>
      <c r="AS77" s="130" t="str">
        <f t="shared" si="106"/>
        <v/>
      </c>
      <c r="AT77" s="5" t="str">
        <f t="shared" si="107"/>
        <v/>
      </c>
      <c r="AU77" s="1028"/>
      <c r="AV77" s="130" t="str">
        <f t="shared" si="108"/>
        <v/>
      </c>
      <c r="AW77" s="5" t="str">
        <f t="shared" si="109"/>
        <v/>
      </c>
      <c r="AX77" s="1028"/>
      <c r="AY77" s="130" t="str">
        <f t="shared" si="110"/>
        <v/>
      </c>
      <c r="AZ77" s="5" t="str">
        <f t="shared" si="111"/>
        <v/>
      </c>
      <c r="BA77" s="1028"/>
      <c r="BB77" s="130" t="str">
        <f t="shared" si="112"/>
        <v/>
      </c>
      <c r="BC77" s="5" t="str">
        <f t="shared" si="113"/>
        <v/>
      </c>
      <c r="BD77" s="1028"/>
      <c r="BE77" s="130" t="str">
        <f t="shared" si="114"/>
        <v/>
      </c>
      <c r="BF77" s="5" t="str">
        <f t="shared" si="115"/>
        <v/>
      </c>
      <c r="BG77" s="1028"/>
      <c r="BH77" s="130" t="str">
        <f t="shared" si="116"/>
        <v/>
      </c>
      <c r="BI77" s="5" t="str">
        <f t="shared" si="117"/>
        <v/>
      </c>
      <c r="BJ77" s="1028"/>
      <c r="BK77" s="130" t="str">
        <f t="shared" si="118"/>
        <v/>
      </c>
      <c r="BL77" s="5" t="str">
        <f t="shared" si="119"/>
        <v/>
      </c>
      <c r="BM77" s="1028"/>
      <c r="BN77" s="130" t="str">
        <f t="shared" si="120"/>
        <v/>
      </c>
      <c r="BO77" s="5" t="str">
        <f t="shared" si="121"/>
        <v/>
      </c>
      <c r="BP77" s="1028"/>
      <c r="BQ77" s="130" t="str">
        <f t="shared" si="122"/>
        <v/>
      </c>
      <c r="BR77" s="5" t="str">
        <f t="shared" si="123"/>
        <v/>
      </c>
      <c r="BS77" s="1028"/>
      <c r="BT77" s="130" t="str">
        <f t="shared" si="124"/>
        <v/>
      </c>
      <c r="BU77" s="5" t="str">
        <f t="shared" si="125"/>
        <v/>
      </c>
      <c r="BV77" s="1028"/>
      <c r="BW77" s="130" t="str">
        <f t="shared" si="126"/>
        <v/>
      </c>
      <c r="BX77" s="5" t="str">
        <f t="shared" si="127"/>
        <v/>
      </c>
      <c r="BY77" s="1028"/>
      <c r="BZ77" s="130" t="str">
        <f t="shared" si="128"/>
        <v/>
      </c>
      <c r="CA77" s="5" t="str">
        <f t="shared" si="129"/>
        <v/>
      </c>
      <c r="CB77" s="1028"/>
      <c r="CC77" s="130" t="str">
        <f t="shared" si="130"/>
        <v/>
      </c>
      <c r="CD77" s="5" t="str">
        <f t="shared" si="131"/>
        <v/>
      </c>
      <c r="CE77" s="1028"/>
      <c r="CF77" s="130" t="str">
        <f t="shared" si="132"/>
        <v/>
      </c>
      <c r="CG77" s="5" t="str">
        <f t="shared" si="133"/>
        <v/>
      </c>
      <c r="CH77" s="1028"/>
      <c r="CI77" s="130" t="str">
        <f t="shared" si="134"/>
        <v/>
      </c>
      <c r="CJ77" s="5" t="str">
        <f t="shared" si="135"/>
        <v/>
      </c>
      <c r="CK77" s="1028"/>
      <c r="CL77" s="130" t="str">
        <f t="shared" si="136"/>
        <v/>
      </c>
      <c r="CM77" s="5" t="str">
        <f t="shared" si="137"/>
        <v/>
      </c>
      <c r="CN77" s="1028"/>
      <c r="CO77" s="130" t="str">
        <f t="shared" si="138"/>
        <v/>
      </c>
      <c r="CP77" s="5" t="str">
        <f t="shared" si="139"/>
        <v/>
      </c>
      <c r="CQ77" s="1028"/>
      <c r="CR77" s="130" t="str">
        <f t="shared" si="140"/>
        <v/>
      </c>
      <c r="CS77" s="5" t="str">
        <f t="shared" si="141"/>
        <v/>
      </c>
      <c r="CT77" s="1028"/>
      <c r="CU77" s="130" t="str">
        <f t="shared" si="142"/>
        <v/>
      </c>
      <c r="CV77" s="5" t="str">
        <f t="shared" si="143"/>
        <v/>
      </c>
      <c r="CW77" s="1028"/>
      <c r="CX77" s="130" t="str">
        <f t="shared" si="144"/>
        <v/>
      </c>
      <c r="CY77" s="5" t="str">
        <f t="shared" si="145"/>
        <v/>
      </c>
      <c r="CZ77" s="1028"/>
      <c r="DA77" s="130" t="str">
        <f t="shared" si="146"/>
        <v/>
      </c>
      <c r="DB77" s="5" t="str">
        <f t="shared" si="147"/>
        <v/>
      </c>
      <c r="DC77" s="1028"/>
      <c r="DD77" s="130" t="str">
        <f t="shared" si="148"/>
        <v/>
      </c>
      <c r="DE77" s="5" t="str">
        <f t="shared" si="149"/>
        <v/>
      </c>
      <c r="DF77" s="1028"/>
      <c r="DG77" s="130" t="str">
        <f t="shared" si="150"/>
        <v/>
      </c>
      <c r="DH77" s="5" t="str">
        <f t="shared" si="151"/>
        <v/>
      </c>
      <c r="DI77" s="1028"/>
      <c r="DJ77" s="130" t="str">
        <f t="shared" si="152"/>
        <v/>
      </c>
      <c r="DK77" s="5" t="str">
        <f t="shared" si="153"/>
        <v/>
      </c>
      <c r="DL77" s="1028"/>
      <c r="DM77" s="130" t="str">
        <f t="shared" si="154"/>
        <v/>
      </c>
      <c r="DN77" s="5" t="str">
        <f t="shared" si="155"/>
        <v/>
      </c>
      <c r="DO77" s="1028"/>
      <c r="DP77" s="130" t="str">
        <f t="shared" si="156"/>
        <v/>
      </c>
      <c r="DQ77" s="5" t="str">
        <f t="shared" si="157"/>
        <v/>
      </c>
      <c r="DR77" s="1028"/>
      <c r="DS77" s="130" t="str">
        <f t="shared" si="158"/>
        <v/>
      </c>
      <c r="DT77" s="5" t="str">
        <f t="shared" si="159"/>
        <v/>
      </c>
      <c r="DU77" s="1028"/>
      <c r="DV77" s="130" t="str">
        <f t="shared" si="160"/>
        <v/>
      </c>
      <c r="DW77" s="5" t="str">
        <f t="shared" si="161"/>
        <v/>
      </c>
      <c r="DX77" s="147"/>
    </row>
    <row r="78" ht="23.25" customHeight="true" x14ac:dyDescent="0.25">
      <c r="B78" s="744"/>
      <c r="C78" s="664">
        <f t="shared" si="81"/>
        <v>47</v>
      </c>
      <c r="D78" s="1030"/>
      <c r="E78" s="1022"/>
      <c r="F78" s="1022"/>
      <c r="G78" s="1027"/>
      <c r="H78" s="1028"/>
      <c r="I78" s="130" t="str">
        <f t="shared" si="82"/>
        <v/>
      </c>
      <c r="J78" s="1472" t="str">
        <f t="shared" si="83"/>
        <v/>
      </c>
      <c r="K78" s="1028"/>
      <c r="L78" s="130" t="str">
        <f t="shared" si="84"/>
        <v/>
      </c>
      <c r="M78" s="1472" t="str">
        <f t="shared" si="85"/>
        <v/>
      </c>
      <c r="N78" s="1028"/>
      <c r="O78" s="130" t="str">
        <f t="shared" si="86"/>
        <v/>
      </c>
      <c r="P78" s="1472" t="str">
        <f t="shared" si="87"/>
        <v/>
      </c>
      <c r="Q78" s="1028"/>
      <c r="R78" s="130" t="str">
        <f t="shared" si="88"/>
        <v/>
      </c>
      <c r="S78" s="1473" t="str">
        <f t="shared" si="89"/>
        <v/>
      </c>
      <c r="T78" s="1028"/>
      <c r="U78" s="130" t="str">
        <f t="shared" si="90"/>
        <v/>
      </c>
      <c r="V78" s="1472" t="str">
        <f t="shared" si="91"/>
        <v/>
      </c>
      <c r="W78" s="1029"/>
      <c r="X78" s="130" t="str">
        <f t="shared" si="92"/>
        <v/>
      </c>
      <c r="Y78" s="5" t="str">
        <f t="shared" si="93"/>
        <v/>
      </c>
      <c r="Z78" s="1028"/>
      <c r="AA78" s="130" t="str">
        <f t="shared" si="94"/>
        <v/>
      </c>
      <c r="AB78" s="5" t="str">
        <f t="shared" si="95"/>
        <v/>
      </c>
      <c r="AC78" s="1029"/>
      <c r="AD78" s="130" t="str">
        <f t="shared" si="96"/>
        <v/>
      </c>
      <c r="AE78" s="5" t="str">
        <f t="shared" si="97"/>
        <v/>
      </c>
      <c r="AF78" s="1028"/>
      <c r="AG78" s="130" t="str">
        <f t="shared" si="98"/>
        <v/>
      </c>
      <c r="AH78" s="5" t="str">
        <f t="shared" si="99"/>
        <v/>
      </c>
      <c r="AI78" s="1028"/>
      <c r="AJ78" s="130" t="str">
        <f t="shared" si="100"/>
        <v/>
      </c>
      <c r="AK78" s="5" t="str">
        <f t="shared" si="101"/>
        <v/>
      </c>
      <c r="AL78" s="1028"/>
      <c r="AM78" s="130" t="str">
        <f t="shared" si="102"/>
        <v/>
      </c>
      <c r="AN78" s="5" t="str">
        <f t="shared" si="103"/>
        <v/>
      </c>
      <c r="AO78" s="1028"/>
      <c r="AP78" s="130" t="str">
        <f t="shared" si="104"/>
        <v/>
      </c>
      <c r="AQ78" s="5" t="str">
        <f t="shared" si="105"/>
        <v/>
      </c>
      <c r="AR78" s="1028"/>
      <c r="AS78" s="130" t="str">
        <f t="shared" si="106"/>
        <v/>
      </c>
      <c r="AT78" s="5" t="str">
        <f t="shared" si="107"/>
        <v/>
      </c>
      <c r="AU78" s="1028"/>
      <c r="AV78" s="130" t="str">
        <f t="shared" si="108"/>
        <v/>
      </c>
      <c r="AW78" s="5" t="str">
        <f t="shared" si="109"/>
        <v/>
      </c>
      <c r="AX78" s="1028"/>
      <c r="AY78" s="130" t="str">
        <f t="shared" si="110"/>
        <v/>
      </c>
      <c r="AZ78" s="5" t="str">
        <f t="shared" si="111"/>
        <v/>
      </c>
      <c r="BA78" s="1028"/>
      <c r="BB78" s="130" t="str">
        <f t="shared" si="112"/>
        <v/>
      </c>
      <c r="BC78" s="5" t="str">
        <f t="shared" si="113"/>
        <v/>
      </c>
      <c r="BD78" s="1028"/>
      <c r="BE78" s="130" t="str">
        <f t="shared" si="114"/>
        <v/>
      </c>
      <c r="BF78" s="5" t="str">
        <f t="shared" si="115"/>
        <v/>
      </c>
      <c r="BG78" s="1028"/>
      <c r="BH78" s="130" t="str">
        <f t="shared" si="116"/>
        <v/>
      </c>
      <c r="BI78" s="5" t="str">
        <f t="shared" si="117"/>
        <v/>
      </c>
      <c r="BJ78" s="1028"/>
      <c r="BK78" s="130" t="str">
        <f t="shared" si="118"/>
        <v/>
      </c>
      <c r="BL78" s="5" t="str">
        <f t="shared" si="119"/>
        <v/>
      </c>
      <c r="BM78" s="1028"/>
      <c r="BN78" s="130" t="str">
        <f t="shared" si="120"/>
        <v/>
      </c>
      <c r="BO78" s="5" t="str">
        <f t="shared" si="121"/>
        <v/>
      </c>
      <c r="BP78" s="1028"/>
      <c r="BQ78" s="130" t="str">
        <f t="shared" si="122"/>
        <v/>
      </c>
      <c r="BR78" s="5" t="str">
        <f t="shared" si="123"/>
        <v/>
      </c>
      <c r="BS78" s="1028"/>
      <c r="BT78" s="130" t="str">
        <f t="shared" si="124"/>
        <v/>
      </c>
      <c r="BU78" s="5" t="str">
        <f t="shared" si="125"/>
        <v/>
      </c>
      <c r="BV78" s="1028"/>
      <c r="BW78" s="130" t="str">
        <f t="shared" si="126"/>
        <v/>
      </c>
      <c r="BX78" s="5" t="str">
        <f t="shared" si="127"/>
        <v/>
      </c>
      <c r="BY78" s="1028"/>
      <c r="BZ78" s="130" t="str">
        <f t="shared" si="128"/>
        <v/>
      </c>
      <c r="CA78" s="5" t="str">
        <f t="shared" si="129"/>
        <v/>
      </c>
      <c r="CB78" s="1028"/>
      <c r="CC78" s="130" t="str">
        <f t="shared" si="130"/>
        <v/>
      </c>
      <c r="CD78" s="5" t="str">
        <f t="shared" si="131"/>
        <v/>
      </c>
      <c r="CE78" s="1028"/>
      <c r="CF78" s="130" t="str">
        <f t="shared" si="132"/>
        <v/>
      </c>
      <c r="CG78" s="5" t="str">
        <f t="shared" si="133"/>
        <v/>
      </c>
      <c r="CH78" s="1028"/>
      <c r="CI78" s="130" t="str">
        <f t="shared" si="134"/>
        <v/>
      </c>
      <c r="CJ78" s="5" t="str">
        <f t="shared" si="135"/>
        <v/>
      </c>
      <c r="CK78" s="1028"/>
      <c r="CL78" s="130" t="str">
        <f t="shared" si="136"/>
        <v/>
      </c>
      <c r="CM78" s="5" t="str">
        <f t="shared" si="137"/>
        <v/>
      </c>
      <c r="CN78" s="1028"/>
      <c r="CO78" s="130" t="str">
        <f t="shared" si="138"/>
        <v/>
      </c>
      <c r="CP78" s="5" t="str">
        <f t="shared" si="139"/>
        <v/>
      </c>
      <c r="CQ78" s="1028"/>
      <c r="CR78" s="130" t="str">
        <f t="shared" si="140"/>
        <v/>
      </c>
      <c r="CS78" s="5" t="str">
        <f t="shared" si="141"/>
        <v/>
      </c>
      <c r="CT78" s="1028"/>
      <c r="CU78" s="130" t="str">
        <f t="shared" si="142"/>
        <v/>
      </c>
      <c r="CV78" s="5" t="str">
        <f t="shared" si="143"/>
        <v/>
      </c>
      <c r="CW78" s="1028"/>
      <c r="CX78" s="130" t="str">
        <f t="shared" si="144"/>
        <v/>
      </c>
      <c r="CY78" s="5" t="str">
        <f t="shared" si="145"/>
        <v/>
      </c>
      <c r="CZ78" s="1028"/>
      <c r="DA78" s="130" t="str">
        <f t="shared" si="146"/>
        <v/>
      </c>
      <c r="DB78" s="5" t="str">
        <f t="shared" si="147"/>
        <v/>
      </c>
      <c r="DC78" s="1028"/>
      <c r="DD78" s="130" t="str">
        <f t="shared" si="148"/>
        <v/>
      </c>
      <c r="DE78" s="5" t="str">
        <f t="shared" si="149"/>
        <v/>
      </c>
      <c r="DF78" s="1028"/>
      <c r="DG78" s="130" t="str">
        <f t="shared" si="150"/>
        <v/>
      </c>
      <c r="DH78" s="5" t="str">
        <f t="shared" si="151"/>
        <v/>
      </c>
      <c r="DI78" s="1028"/>
      <c r="DJ78" s="130" t="str">
        <f t="shared" si="152"/>
        <v/>
      </c>
      <c r="DK78" s="5" t="str">
        <f t="shared" si="153"/>
        <v/>
      </c>
      <c r="DL78" s="1028"/>
      <c r="DM78" s="130" t="str">
        <f t="shared" si="154"/>
        <v/>
      </c>
      <c r="DN78" s="5" t="str">
        <f t="shared" si="155"/>
        <v/>
      </c>
      <c r="DO78" s="1028"/>
      <c r="DP78" s="130" t="str">
        <f t="shared" si="156"/>
        <v/>
      </c>
      <c r="DQ78" s="5" t="str">
        <f t="shared" si="157"/>
        <v/>
      </c>
      <c r="DR78" s="1028"/>
      <c r="DS78" s="130" t="str">
        <f t="shared" si="158"/>
        <v/>
      </c>
      <c r="DT78" s="5" t="str">
        <f t="shared" si="159"/>
        <v/>
      </c>
      <c r="DU78" s="1028"/>
      <c r="DV78" s="130" t="str">
        <f t="shared" si="160"/>
        <v/>
      </c>
      <c r="DW78" s="5" t="str">
        <f t="shared" si="161"/>
        <v/>
      </c>
      <c r="DX78" s="147"/>
    </row>
    <row r="79" ht="23.25" customHeight="true" x14ac:dyDescent="0.25">
      <c r="B79" s="744"/>
      <c r="C79" s="664">
        <f t="shared" si="81"/>
        <v>48</v>
      </c>
      <c r="D79" s="1030"/>
      <c r="E79" s="1022"/>
      <c r="F79" s="1022"/>
      <c r="G79" s="1027"/>
      <c r="H79" s="1028"/>
      <c r="I79" s="130" t="str">
        <f t="shared" si="82"/>
        <v/>
      </c>
      <c r="J79" s="1472" t="str">
        <f t="shared" si="83"/>
        <v/>
      </c>
      <c r="K79" s="1028"/>
      <c r="L79" s="130" t="str">
        <f t="shared" si="84"/>
        <v/>
      </c>
      <c r="M79" s="1472" t="str">
        <f t="shared" si="85"/>
        <v/>
      </c>
      <c r="N79" s="1028"/>
      <c r="O79" s="130" t="str">
        <f t="shared" si="86"/>
        <v/>
      </c>
      <c r="P79" s="1472" t="str">
        <f t="shared" si="87"/>
        <v/>
      </c>
      <c r="Q79" s="1028"/>
      <c r="R79" s="130" t="str">
        <f t="shared" si="88"/>
        <v/>
      </c>
      <c r="S79" s="1473" t="str">
        <f t="shared" si="89"/>
        <v/>
      </c>
      <c r="T79" s="1028"/>
      <c r="U79" s="130" t="str">
        <f t="shared" si="90"/>
        <v/>
      </c>
      <c r="V79" s="1472" t="str">
        <f t="shared" si="91"/>
        <v/>
      </c>
      <c r="W79" s="1029"/>
      <c r="X79" s="130" t="str">
        <f t="shared" si="92"/>
        <v/>
      </c>
      <c r="Y79" s="5" t="str">
        <f t="shared" si="93"/>
        <v/>
      </c>
      <c r="Z79" s="1028"/>
      <c r="AA79" s="130" t="str">
        <f t="shared" si="94"/>
        <v/>
      </c>
      <c r="AB79" s="5" t="str">
        <f t="shared" si="95"/>
        <v/>
      </c>
      <c r="AC79" s="1029"/>
      <c r="AD79" s="130" t="str">
        <f t="shared" si="96"/>
        <v/>
      </c>
      <c r="AE79" s="5" t="str">
        <f t="shared" si="97"/>
        <v/>
      </c>
      <c r="AF79" s="1028"/>
      <c r="AG79" s="130" t="str">
        <f t="shared" si="98"/>
        <v/>
      </c>
      <c r="AH79" s="5" t="str">
        <f t="shared" si="99"/>
        <v/>
      </c>
      <c r="AI79" s="1028"/>
      <c r="AJ79" s="130" t="str">
        <f t="shared" si="100"/>
        <v/>
      </c>
      <c r="AK79" s="5" t="str">
        <f t="shared" si="101"/>
        <v/>
      </c>
      <c r="AL79" s="1028"/>
      <c r="AM79" s="130" t="str">
        <f t="shared" si="102"/>
        <v/>
      </c>
      <c r="AN79" s="5" t="str">
        <f t="shared" si="103"/>
        <v/>
      </c>
      <c r="AO79" s="1028"/>
      <c r="AP79" s="130" t="str">
        <f t="shared" si="104"/>
        <v/>
      </c>
      <c r="AQ79" s="5" t="str">
        <f t="shared" si="105"/>
        <v/>
      </c>
      <c r="AR79" s="1028"/>
      <c r="AS79" s="130" t="str">
        <f t="shared" si="106"/>
        <v/>
      </c>
      <c r="AT79" s="5" t="str">
        <f t="shared" si="107"/>
        <v/>
      </c>
      <c r="AU79" s="1028"/>
      <c r="AV79" s="130" t="str">
        <f t="shared" si="108"/>
        <v/>
      </c>
      <c r="AW79" s="5" t="str">
        <f t="shared" si="109"/>
        <v/>
      </c>
      <c r="AX79" s="1028"/>
      <c r="AY79" s="130" t="str">
        <f t="shared" si="110"/>
        <v/>
      </c>
      <c r="AZ79" s="5" t="str">
        <f t="shared" si="111"/>
        <v/>
      </c>
      <c r="BA79" s="1028"/>
      <c r="BB79" s="130" t="str">
        <f t="shared" si="112"/>
        <v/>
      </c>
      <c r="BC79" s="5" t="str">
        <f t="shared" si="113"/>
        <v/>
      </c>
      <c r="BD79" s="1028"/>
      <c r="BE79" s="130" t="str">
        <f t="shared" si="114"/>
        <v/>
      </c>
      <c r="BF79" s="5" t="str">
        <f t="shared" si="115"/>
        <v/>
      </c>
      <c r="BG79" s="1028"/>
      <c r="BH79" s="130" t="str">
        <f t="shared" si="116"/>
        <v/>
      </c>
      <c r="BI79" s="5" t="str">
        <f t="shared" si="117"/>
        <v/>
      </c>
      <c r="BJ79" s="1028"/>
      <c r="BK79" s="130" t="str">
        <f t="shared" si="118"/>
        <v/>
      </c>
      <c r="BL79" s="5" t="str">
        <f t="shared" si="119"/>
        <v/>
      </c>
      <c r="BM79" s="1028"/>
      <c r="BN79" s="130" t="str">
        <f t="shared" si="120"/>
        <v/>
      </c>
      <c r="BO79" s="5" t="str">
        <f t="shared" si="121"/>
        <v/>
      </c>
      <c r="BP79" s="1028"/>
      <c r="BQ79" s="130" t="str">
        <f t="shared" si="122"/>
        <v/>
      </c>
      <c r="BR79" s="5" t="str">
        <f t="shared" si="123"/>
        <v/>
      </c>
      <c r="BS79" s="1028"/>
      <c r="BT79" s="130" t="str">
        <f t="shared" si="124"/>
        <v/>
      </c>
      <c r="BU79" s="5" t="str">
        <f t="shared" si="125"/>
        <v/>
      </c>
      <c r="BV79" s="1028"/>
      <c r="BW79" s="130" t="str">
        <f t="shared" si="126"/>
        <v/>
      </c>
      <c r="BX79" s="5" t="str">
        <f t="shared" si="127"/>
        <v/>
      </c>
      <c r="BY79" s="1028"/>
      <c r="BZ79" s="130" t="str">
        <f t="shared" si="128"/>
        <v/>
      </c>
      <c r="CA79" s="5" t="str">
        <f t="shared" si="129"/>
        <v/>
      </c>
      <c r="CB79" s="1028"/>
      <c r="CC79" s="130" t="str">
        <f t="shared" si="130"/>
        <v/>
      </c>
      <c r="CD79" s="5" t="str">
        <f t="shared" si="131"/>
        <v/>
      </c>
      <c r="CE79" s="1028"/>
      <c r="CF79" s="130" t="str">
        <f t="shared" si="132"/>
        <v/>
      </c>
      <c r="CG79" s="5" t="str">
        <f t="shared" si="133"/>
        <v/>
      </c>
      <c r="CH79" s="1028"/>
      <c r="CI79" s="130" t="str">
        <f t="shared" si="134"/>
        <v/>
      </c>
      <c r="CJ79" s="5" t="str">
        <f t="shared" si="135"/>
        <v/>
      </c>
      <c r="CK79" s="1028"/>
      <c r="CL79" s="130" t="str">
        <f t="shared" si="136"/>
        <v/>
      </c>
      <c r="CM79" s="5" t="str">
        <f t="shared" si="137"/>
        <v/>
      </c>
      <c r="CN79" s="1028"/>
      <c r="CO79" s="130" t="str">
        <f t="shared" si="138"/>
        <v/>
      </c>
      <c r="CP79" s="5" t="str">
        <f t="shared" si="139"/>
        <v/>
      </c>
      <c r="CQ79" s="1028"/>
      <c r="CR79" s="130" t="str">
        <f t="shared" si="140"/>
        <v/>
      </c>
      <c r="CS79" s="5" t="str">
        <f t="shared" si="141"/>
        <v/>
      </c>
      <c r="CT79" s="1028"/>
      <c r="CU79" s="130" t="str">
        <f t="shared" si="142"/>
        <v/>
      </c>
      <c r="CV79" s="5" t="str">
        <f t="shared" si="143"/>
        <v/>
      </c>
      <c r="CW79" s="1028"/>
      <c r="CX79" s="130" t="str">
        <f t="shared" si="144"/>
        <v/>
      </c>
      <c r="CY79" s="5" t="str">
        <f t="shared" si="145"/>
        <v/>
      </c>
      <c r="CZ79" s="1028"/>
      <c r="DA79" s="130" t="str">
        <f t="shared" si="146"/>
        <v/>
      </c>
      <c r="DB79" s="5" t="str">
        <f t="shared" si="147"/>
        <v/>
      </c>
      <c r="DC79" s="1028"/>
      <c r="DD79" s="130" t="str">
        <f t="shared" si="148"/>
        <v/>
      </c>
      <c r="DE79" s="5" t="str">
        <f t="shared" si="149"/>
        <v/>
      </c>
      <c r="DF79" s="1028"/>
      <c r="DG79" s="130" t="str">
        <f t="shared" si="150"/>
        <v/>
      </c>
      <c r="DH79" s="5" t="str">
        <f t="shared" si="151"/>
        <v/>
      </c>
      <c r="DI79" s="1028"/>
      <c r="DJ79" s="130" t="str">
        <f t="shared" si="152"/>
        <v/>
      </c>
      <c r="DK79" s="5" t="str">
        <f t="shared" si="153"/>
        <v/>
      </c>
      <c r="DL79" s="1028"/>
      <c r="DM79" s="130" t="str">
        <f t="shared" si="154"/>
        <v/>
      </c>
      <c r="DN79" s="5" t="str">
        <f t="shared" si="155"/>
        <v/>
      </c>
      <c r="DO79" s="1028"/>
      <c r="DP79" s="130" t="str">
        <f t="shared" si="156"/>
        <v/>
      </c>
      <c r="DQ79" s="5" t="str">
        <f t="shared" si="157"/>
        <v/>
      </c>
      <c r="DR79" s="1028"/>
      <c r="DS79" s="130" t="str">
        <f t="shared" si="158"/>
        <v/>
      </c>
      <c r="DT79" s="5" t="str">
        <f t="shared" si="159"/>
        <v/>
      </c>
      <c r="DU79" s="1028"/>
      <c r="DV79" s="130" t="str">
        <f t="shared" si="160"/>
        <v/>
      </c>
      <c r="DW79" s="5" t="str">
        <f t="shared" si="161"/>
        <v/>
      </c>
      <c r="DX79" s="147"/>
    </row>
    <row r="80" ht="20.25" customHeight="true" x14ac:dyDescent="0.25">
      <c r="B80" s="744"/>
      <c r="C80" s="664">
        <f t="shared" si="81"/>
        <v>49</v>
      </c>
      <c r="D80" s="1030"/>
      <c r="E80" s="1022"/>
      <c r="F80" s="1022"/>
      <c r="G80" s="1027"/>
      <c r="H80" s="1028"/>
      <c r="I80" s="130" t="str">
        <f t="shared" si="82"/>
        <v/>
      </c>
      <c r="J80" s="1472" t="str">
        <f t="shared" si="83"/>
        <v/>
      </c>
      <c r="K80" s="1028"/>
      <c r="L80" s="130" t="str">
        <f t="shared" si="84"/>
        <v/>
      </c>
      <c r="M80" s="1472" t="str">
        <f t="shared" si="85"/>
        <v/>
      </c>
      <c r="N80" s="1028"/>
      <c r="O80" s="130" t="str">
        <f t="shared" si="86"/>
        <v/>
      </c>
      <c r="P80" s="1472" t="str">
        <f t="shared" si="87"/>
        <v/>
      </c>
      <c r="Q80" s="1028"/>
      <c r="R80" s="130" t="str">
        <f t="shared" si="88"/>
        <v/>
      </c>
      <c r="S80" s="1473" t="str">
        <f t="shared" si="89"/>
        <v/>
      </c>
      <c r="T80" s="1028"/>
      <c r="U80" s="130" t="str">
        <f t="shared" si="90"/>
        <v/>
      </c>
      <c r="V80" s="1472" t="str">
        <f t="shared" si="91"/>
        <v/>
      </c>
      <c r="W80" s="1029"/>
      <c r="X80" s="130" t="str">
        <f t="shared" si="92"/>
        <v/>
      </c>
      <c r="Y80" s="5" t="str">
        <f t="shared" si="93"/>
        <v/>
      </c>
      <c r="Z80" s="1028"/>
      <c r="AA80" s="130" t="str">
        <f t="shared" si="94"/>
        <v/>
      </c>
      <c r="AB80" s="5" t="str">
        <f t="shared" si="95"/>
        <v/>
      </c>
      <c r="AC80" s="1029"/>
      <c r="AD80" s="130" t="str">
        <f t="shared" si="96"/>
        <v/>
      </c>
      <c r="AE80" s="5" t="str">
        <f t="shared" si="97"/>
        <v/>
      </c>
      <c r="AF80" s="1028"/>
      <c r="AG80" s="130" t="str">
        <f t="shared" si="98"/>
        <v/>
      </c>
      <c r="AH80" s="5" t="str">
        <f t="shared" si="99"/>
        <v/>
      </c>
      <c r="AI80" s="1028"/>
      <c r="AJ80" s="130" t="str">
        <f t="shared" si="100"/>
        <v/>
      </c>
      <c r="AK80" s="5" t="str">
        <f t="shared" si="101"/>
        <v/>
      </c>
      <c r="AL80" s="1028"/>
      <c r="AM80" s="130" t="str">
        <f t="shared" si="102"/>
        <v/>
      </c>
      <c r="AN80" s="5" t="str">
        <f t="shared" si="103"/>
        <v/>
      </c>
      <c r="AO80" s="1028"/>
      <c r="AP80" s="130" t="str">
        <f t="shared" si="104"/>
        <v/>
      </c>
      <c r="AQ80" s="5" t="str">
        <f t="shared" si="105"/>
        <v/>
      </c>
      <c r="AR80" s="1028"/>
      <c r="AS80" s="130" t="str">
        <f t="shared" si="106"/>
        <v/>
      </c>
      <c r="AT80" s="5" t="str">
        <f t="shared" si="107"/>
        <v/>
      </c>
      <c r="AU80" s="1028"/>
      <c r="AV80" s="130" t="str">
        <f t="shared" si="108"/>
        <v/>
      </c>
      <c r="AW80" s="5" t="str">
        <f t="shared" si="109"/>
        <v/>
      </c>
      <c r="AX80" s="1028"/>
      <c r="AY80" s="130" t="str">
        <f t="shared" si="110"/>
        <v/>
      </c>
      <c r="AZ80" s="5" t="str">
        <f t="shared" si="111"/>
        <v/>
      </c>
      <c r="BA80" s="1028"/>
      <c r="BB80" s="130" t="str">
        <f t="shared" si="112"/>
        <v/>
      </c>
      <c r="BC80" s="5" t="str">
        <f t="shared" si="113"/>
        <v/>
      </c>
      <c r="BD80" s="1028"/>
      <c r="BE80" s="130" t="str">
        <f t="shared" si="114"/>
        <v/>
      </c>
      <c r="BF80" s="5" t="str">
        <f t="shared" si="115"/>
        <v/>
      </c>
      <c r="BG80" s="1028"/>
      <c r="BH80" s="130" t="str">
        <f t="shared" si="116"/>
        <v/>
      </c>
      <c r="BI80" s="5" t="str">
        <f t="shared" si="117"/>
        <v/>
      </c>
      <c r="BJ80" s="1028"/>
      <c r="BK80" s="130" t="str">
        <f t="shared" si="118"/>
        <v/>
      </c>
      <c r="BL80" s="5" t="str">
        <f t="shared" si="119"/>
        <v/>
      </c>
      <c r="BM80" s="1028"/>
      <c r="BN80" s="130" t="str">
        <f t="shared" si="120"/>
        <v/>
      </c>
      <c r="BO80" s="5" t="str">
        <f t="shared" si="121"/>
        <v/>
      </c>
      <c r="BP80" s="1028"/>
      <c r="BQ80" s="130" t="str">
        <f t="shared" si="122"/>
        <v/>
      </c>
      <c r="BR80" s="5" t="str">
        <f t="shared" si="123"/>
        <v/>
      </c>
      <c r="BS80" s="1028"/>
      <c r="BT80" s="130" t="str">
        <f t="shared" si="124"/>
        <v/>
      </c>
      <c r="BU80" s="5" t="str">
        <f t="shared" si="125"/>
        <v/>
      </c>
      <c r="BV80" s="1028"/>
      <c r="BW80" s="130" t="str">
        <f t="shared" si="126"/>
        <v/>
      </c>
      <c r="BX80" s="5" t="str">
        <f t="shared" si="127"/>
        <v/>
      </c>
      <c r="BY80" s="1028"/>
      <c r="BZ80" s="130" t="str">
        <f t="shared" si="128"/>
        <v/>
      </c>
      <c r="CA80" s="5" t="str">
        <f t="shared" si="129"/>
        <v/>
      </c>
      <c r="CB80" s="1028"/>
      <c r="CC80" s="130" t="str">
        <f t="shared" si="130"/>
        <v/>
      </c>
      <c r="CD80" s="5" t="str">
        <f t="shared" si="131"/>
        <v/>
      </c>
      <c r="CE80" s="1028"/>
      <c r="CF80" s="130" t="str">
        <f t="shared" si="132"/>
        <v/>
      </c>
      <c r="CG80" s="5" t="str">
        <f t="shared" si="133"/>
        <v/>
      </c>
      <c r="CH80" s="1028"/>
      <c r="CI80" s="130" t="str">
        <f t="shared" si="134"/>
        <v/>
      </c>
      <c r="CJ80" s="5" t="str">
        <f t="shared" si="135"/>
        <v/>
      </c>
      <c r="CK80" s="1028"/>
      <c r="CL80" s="130" t="str">
        <f t="shared" si="136"/>
        <v/>
      </c>
      <c r="CM80" s="5" t="str">
        <f t="shared" si="137"/>
        <v/>
      </c>
      <c r="CN80" s="1028"/>
      <c r="CO80" s="130" t="str">
        <f t="shared" si="138"/>
        <v/>
      </c>
      <c r="CP80" s="5" t="str">
        <f t="shared" si="139"/>
        <v/>
      </c>
      <c r="CQ80" s="1028"/>
      <c r="CR80" s="130" t="str">
        <f t="shared" si="140"/>
        <v/>
      </c>
      <c r="CS80" s="5" t="str">
        <f t="shared" si="141"/>
        <v/>
      </c>
      <c r="CT80" s="1028"/>
      <c r="CU80" s="130" t="str">
        <f t="shared" si="142"/>
        <v/>
      </c>
      <c r="CV80" s="5" t="str">
        <f t="shared" si="143"/>
        <v/>
      </c>
      <c r="CW80" s="1028"/>
      <c r="CX80" s="130" t="str">
        <f t="shared" si="144"/>
        <v/>
      </c>
      <c r="CY80" s="5" t="str">
        <f t="shared" si="145"/>
        <v/>
      </c>
      <c r="CZ80" s="1028"/>
      <c r="DA80" s="130" t="str">
        <f t="shared" si="146"/>
        <v/>
      </c>
      <c r="DB80" s="5" t="str">
        <f t="shared" si="147"/>
        <v/>
      </c>
      <c r="DC80" s="1028"/>
      <c r="DD80" s="130" t="str">
        <f t="shared" si="148"/>
        <v/>
      </c>
      <c r="DE80" s="5" t="str">
        <f t="shared" si="149"/>
        <v/>
      </c>
      <c r="DF80" s="1028"/>
      <c r="DG80" s="130" t="str">
        <f t="shared" si="150"/>
        <v/>
      </c>
      <c r="DH80" s="5" t="str">
        <f t="shared" si="151"/>
        <v/>
      </c>
      <c r="DI80" s="1028"/>
      <c r="DJ80" s="130" t="str">
        <f t="shared" si="152"/>
        <v/>
      </c>
      <c r="DK80" s="5" t="str">
        <f t="shared" si="153"/>
        <v/>
      </c>
      <c r="DL80" s="1028"/>
      <c r="DM80" s="130" t="str">
        <f t="shared" si="154"/>
        <v/>
      </c>
      <c r="DN80" s="5" t="str">
        <f t="shared" si="155"/>
        <v/>
      </c>
      <c r="DO80" s="1028"/>
      <c r="DP80" s="130" t="str">
        <f t="shared" si="156"/>
        <v/>
      </c>
      <c r="DQ80" s="5" t="str">
        <f t="shared" si="157"/>
        <v/>
      </c>
      <c r="DR80" s="1028"/>
      <c r="DS80" s="130" t="str">
        <f t="shared" si="158"/>
        <v/>
      </c>
      <c r="DT80" s="5" t="str">
        <f t="shared" si="159"/>
        <v/>
      </c>
      <c r="DU80" s="1028"/>
      <c r="DV80" s="130" t="str">
        <f t="shared" si="160"/>
        <v/>
      </c>
      <c r="DW80" s="5" t="str">
        <f t="shared" si="161"/>
        <v/>
      </c>
      <c r="DX80" s="147"/>
    </row>
    <row r="81" ht="20.25" customHeight="true" x14ac:dyDescent="0.25">
      <c r="B81" s="744"/>
      <c r="C81" s="664">
        <f t="shared" si="81"/>
        <v>50</v>
      </c>
      <c r="D81" s="1030"/>
      <c r="E81" s="1022"/>
      <c r="F81" s="1022"/>
      <c r="G81" s="1027"/>
      <c r="H81" s="1028"/>
      <c r="I81" s="130" t="str">
        <f t="shared" si="82"/>
        <v/>
      </c>
      <c r="J81" s="1472" t="str">
        <f t="shared" si="83"/>
        <v/>
      </c>
      <c r="K81" s="1028"/>
      <c r="L81" s="130" t="str">
        <f t="shared" si="84"/>
        <v/>
      </c>
      <c r="M81" s="1472" t="str">
        <f t="shared" si="85"/>
        <v/>
      </c>
      <c r="N81" s="1028"/>
      <c r="O81" s="130" t="str">
        <f t="shared" si="86"/>
        <v/>
      </c>
      <c r="P81" s="1472" t="str">
        <f t="shared" si="87"/>
        <v/>
      </c>
      <c r="Q81" s="1028"/>
      <c r="R81" s="130" t="str">
        <f t="shared" si="88"/>
        <v/>
      </c>
      <c r="S81" s="1473" t="str">
        <f t="shared" si="89"/>
        <v/>
      </c>
      <c r="T81" s="1028"/>
      <c r="U81" s="130" t="str">
        <f t="shared" si="90"/>
        <v/>
      </c>
      <c r="V81" s="1472" t="str">
        <f t="shared" si="91"/>
        <v/>
      </c>
      <c r="W81" s="1029"/>
      <c r="X81" s="130" t="str">
        <f t="shared" si="92"/>
        <v/>
      </c>
      <c r="Y81" s="5" t="str">
        <f t="shared" si="93"/>
        <v/>
      </c>
      <c r="Z81" s="1028"/>
      <c r="AA81" s="130" t="str">
        <f t="shared" si="94"/>
        <v/>
      </c>
      <c r="AB81" s="5" t="str">
        <f t="shared" si="95"/>
        <v/>
      </c>
      <c r="AC81" s="1029"/>
      <c r="AD81" s="130" t="str">
        <f t="shared" si="96"/>
        <v/>
      </c>
      <c r="AE81" s="5" t="str">
        <f t="shared" si="97"/>
        <v/>
      </c>
      <c r="AF81" s="1028"/>
      <c r="AG81" s="130" t="str">
        <f t="shared" si="98"/>
        <v/>
      </c>
      <c r="AH81" s="5" t="str">
        <f t="shared" si="99"/>
        <v/>
      </c>
      <c r="AI81" s="1028"/>
      <c r="AJ81" s="130" t="str">
        <f t="shared" si="100"/>
        <v/>
      </c>
      <c r="AK81" s="5" t="str">
        <f t="shared" si="101"/>
        <v/>
      </c>
      <c r="AL81" s="1028"/>
      <c r="AM81" s="130" t="str">
        <f t="shared" si="102"/>
        <v/>
      </c>
      <c r="AN81" s="5" t="str">
        <f t="shared" si="103"/>
        <v/>
      </c>
      <c r="AO81" s="1028"/>
      <c r="AP81" s="130" t="str">
        <f t="shared" si="104"/>
        <v/>
      </c>
      <c r="AQ81" s="5" t="str">
        <f t="shared" si="105"/>
        <v/>
      </c>
      <c r="AR81" s="1028"/>
      <c r="AS81" s="130" t="str">
        <f t="shared" si="106"/>
        <v/>
      </c>
      <c r="AT81" s="5" t="str">
        <f t="shared" si="107"/>
        <v/>
      </c>
      <c r="AU81" s="1028"/>
      <c r="AV81" s="130" t="str">
        <f t="shared" si="108"/>
        <v/>
      </c>
      <c r="AW81" s="5" t="str">
        <f t="shared" si="109"/>
        <v/>
      </c>
      <c r="AX81" s="1028"/>
      <c r="AY81" s="130" t="str">
        <f t="shared" si="110"/>
        <v/>
      </c>
      <c r="AZ81" s="5" t="str">
        <f t="shared" si="111"/>
        <v/>
      </c>
      <c r="BA81" s="1028"/>
      <c r="BB81" s="130" t="str">
        <f t="shared" si="112"/>
        <v/>
      </c>
      <c r="BC81" s="5" t="str">
        <f t="shared" si="113"/>
        <v/>
      </c>
      <c r="BD81" s="1028"/>
      <c r="BE81" s="130" t="str">
        <f t="shared" si="114"/>
        <v/>
      </c>
      <c r="BF81" s="5" t="str">
        <f t="shared" si="115"/>
        <v/>
      </c>
      <c r="BG81" s="1028"/>
      <c r="BH81" s="130" t="str">
        <f t="shared" si="116"/>
        <v/>
      </c>
      <c r="BI81" s="5" t="str">
        <f t="shared" si="117"/>
        <v/>
      </c>
      <c r="BJ81" s="1028"/>
      <c r="BK81" s="130" t="str">
        <f t="shared" si="118"/>
        <v/>
      </c>
      <c r="BL81" s="5" t="str">
        <f t="shared" si="119"/>
        <v/>
      </c>
      <c r="BM81" s="1028"/>
      <c r="BN81" s="130" t="str">
        <f t="shared" si="120"/>
        <v/>
      </c>
      <c r="BO81" s="5" t="str">
        <f t="shared" si="121"/>
        <v/>
      </c>
      <c r="BP81" s="1028"/>
      <c r="BQ81" s="130" t="str">
        <f t="shared" si="122"/>
        <v/>
      </c>
      <c r="BR81" s="5" t="str">
        <f t="shared" si="123"/>
        <v/>
      </c>
      <c r="BS81" s="1028"/>
      <c r="BT81" s="130" t="str">
        <f t="shared" si="124"/>
        <v/>
      </c>
      <c r="BU81" s="5" t="str">
        <f t="shared" si="125"/>
        <v/>
      </c>
      <c r="BV81" s="1028"/>
      <c r="BW81" s="130" t="str">
        <f t="shared" si="126"/>
        <v/>
      </c>
      <c r="BX81" s="5" t="str">
        <f t="shared" si="127"/>
        <v/>
      </c>
      <c r="BY81" s="1028"/>
      <c r="BZ81" s="130" t="str">
        <f t="shared" si="128"/>
        <v/>
      </c>
      <c r="CA81" s="5" t="str">
        <f t="shared" si="129"/>
        <v/>
      </c>
      <c r="CB81" s="1028"/>
      <c r="CC81" s="130" t="str">
        <f t="shared" si="130"/>
        <v/>
      </c>
      <c r="CD81" s="5" t="str">
        <f t="shared" si="131"/>
        <v/>
      </c>
      <c r="CE81" s="1028"/>
      <c r="CF81" s="130" t="str">
        <f t="shared" si="132"/>
        <v/>
      </c>
      <c r="CG81" s="5" t="str">
        <f t="shared" si="133"/>
        <v/>
      </c>
      <c r="CH81" s="1028"/>
      <c r="CI81" s="130" t="str">
        <f t="shared" si="134"/>
        <v/>
      </c>
      <c r="CJ81" s="5" t="str">
        <f t="shared" si="135"/>
        <v/>
      </c>
      <c r="CK81" s="1028"/>
      <c r="CL81" s="130" t="str">
        <f t="shared" si="136"/>
        <v/>
      </c>
      <c r="CM81" s="5" t="str">
        <f t="shared" si="137"/>
        <v/>
      </c>
      <c r="CN81" s="1028"/>
      <c r="CO81" s="130" t="str">
        <f t="shared" si="138"/>
        <v/>
      </c>
      <c r="CP81" s="5" t="str">
        <f t="shared" si="139"/>
        <v/>
      </c>
      <c r="CQ81" s="1028"/>
      <c r="CR81" s="130" t="str">
        <f t="shared" si="140"/>
        <v/>
      </c>
      <c r="CS81" s="5" t="str">
        <f t="shared" si="141"/>
        <v/>
      </c>
      <c r="CT81" s="1028"/>
      <c r="CU81" s="130" t="str">
        <f t="shared" si="142"/>
        <v/>
      </c>
      <c r="CV81" s="5" t="str">
        <f t="shared" si="143"/>
        <v/>
      </c>
      <c r="CW81" s="1028"/>
      <c r="CX81" s="130" t="str">
        <f t="shared" si="144"/>
        <v/>
      </c>
      <c r="CY81" s="5" t="str">
        <f t="shared" si="145"/>
        <v/>
      </c>
      <c r="CZ81" s="1028"/>
      <c r="DA81" s="130" t="str">
        <f t="shared" si="146"/>
        <v/>
      </c>
      <c r="DB81" s="5" t="str">
        <f t="shared" si="147"/>
        <v/>
      </c>
      <c r="DC81" s="1028"/>
      <c r="DD81" s="130" t="str">
        <f t="shared" si="148"/>
        <v/>
      </c>
      <c r="DE81" s="5" t="str">
        <f t="shared" si="149"/>
        <v/>
      </c>
      <c r="DF81" s="1028"/>
      <c r="DG81" s="130" t="str">
        <f t="shared" si="150"/>
        <v/>
      </c>
      <c r="DH81" s="5" t="str">
        <f t="shared" si="151"/>
        <v/>
      </c>
      <c r="DI81" s="1028"/>
      <c r="DJ81" s="130" t="str">
        <f t="shared" si="152"/>
        <v/>
      </c>
      <c r="DK81" s="5" t="str">
        <f t="shared" si="153"/>
        <v/>
      </c>
      <c r="DL81" s="1028"/>
      <c r="DM81" s="130" t="str">
        <f t="shared" si="154"/>
        <v/>
      </c>
      <c r="DN81" s="5" t="str">
        <f t="shared" si="155"/>
        <v/>
      </c>
      <c r="DO81" s="1028"/>
      <c r="DP81" s="130" t="str">
        <f t="shared" si="156"/>
        <v/>
      </c>
      <c r="DQ81" s="5" t="str">
        <f t="shared" si="157"/>
        <v/>
      </c>
      <c r="DR81" s="1028"/>
      <c r="DS81" s="130" t="str">
        <f t="shared" si="158"/>
        <v/>
      </c>
      <c r="DT81" s="5" t="str">
        <f t="shared" si="159"/>
        <v/>
      </c>
      <c r="DU81" s="1028"/>
      <c r="DV81" s="130" t="str">
        <f t="shared" si="160"/>
        <v/>
      </c>
      <c r="DW81" s="5" t="str">
        <f t="shared" si="161"/>
        <v/>
      </c>
      <c r="DX81" s="147"/>
    </row>
    <row r="82" ht="20.25" customHeight="true" x14ac:dyDescent="0.25">
      <c r="B82" s="744"/>
      <c r="C82" s="1163"/>
      <c r="D82" s="140"/>
      <c r="E82" s="1163"/>
      <c r="F82" s="1716" t="s">
        <v>88</v>
      </c>
      <c r="G82" s="1717"/>
      <c r="H82" s="1474">
        <f t="shared" ref="H82:AM82" si="162">SUM(H32:H81)</f>
        <v>6778.7792000553327</v>
      </c>
      <c r="I82" s="1475">
        <f t="shared" si="162"/>
        <v>67.728867885492946</v>
      </c>
      <c r="J82" s="1476">
        <f t="shared" si="162"/>
        <v>1</v>
      </c>
      <c r="K82" s="1474">
        <f t="shared" si="162"/>
        <v>0</v>
      </c>
      <c r="L82" s="1475">
        <f t="shared" si="162"/>
        <v>0</v>
      </c>
      <c r="M82" s="1476">
        <f t="shared" si="162"/>
        <v>0</v>
      </c>
      <c r="N82" s="1474">
        <f t="shared" si="162"/>
        <v>0</v>
      </c>
      <c r="O82" s="1475">
        <f t="shared" si="162"/>
        <v>0</v>
      </c>
      <c r="P82" s="1476">
        <f t="shared" si="162"/>
        <v>0</v>
      </c>
      <c r="Q82" s="1474">
        <f t="shared" si="162"/>
        <v>0</v>
      </c>
      <c r="R82" s="1475">
        <f t="shared" si="162"/>
        <v>0</v>
      </c>
      <c r="S82" s="1476">
        <f t="shared" si="162"/>
        <v>0</v>
      </c>
      <c r="T82" s="1474">
        <f t="shared" si="162"/>
        <v>0</v>
      </c>
      <c r="U82" s="1475">
        <f t="shared" si="162"/>
        <v>0</v>
      </c>
      <c r="V82" s="1476">
        <f t="shared" si="162"/>
        <v>0</v>
      </c>
      <c r="W82" s="1474">
        <f t="shared" si="162"/>
        <v>0</v>
      </c>
      <c r="X82" s="1475">
        <f t="shared" si="162"/>
        <v>0</v>
      </c>
      <c r="Y82" s="1476">
        <f t="shared" si="162"/>
        <v>0</v>
      </c>
      <c r="Z82" s="1474">
        <f t="shared" si="162"/>
        <v>0</v>
      </c>
      <c r="AA82" s="1475">
        <f t="shared" si="162"/>
        <v>0</v>
      </c>
      <c r="AB82" s="1476">
        <f t="shared" si="162"/>
        <v>0</v>
      </c>
      <c r="AC82" s="1474">
        <f t="shared" si="162"/>
        <v>0</v>
      </c>
      <c r="AD82" s="1475">
        <f t="shared" si="162"/>
        <v>0</v>
      </c>
      <c r="AE82" s="1476">
        <f t="shared" si="162"/>
        <v>0</v>
      </c>
      <c r="AF82" s="1474">
        <f t="shared" si="162"/>
        <v>0</v>
      </c>
      <c r="AG82" s="1475">
        <f t="shared" si="162"/>
        <v>0</v>
      </c>
      <c r="AH82" s="1476">
        <f t="shared" si="162"/>
        <v>0</v>
      </c>
      <c r="AI82" s="1474">
        <f t="shared" si="162"/>
        <v>0</v>
      </c>
      <c r="AJ82" s="1475">
        <f t="shared" si="162"/>
        <v>0</v>
      </c>
      <c r="AK82" s="1476">
        <f t="shared" si="162"/>
        <v>0</v>
      </c>
      <c r="AL82" s="1474">
        <f t="shared" si="162"/>
        <v>0</v>
      </c>
      <c r="AM82" s="1475">
        <f t="shared" si="162"/>
        <v>0</v>
      </c>
      <c r="AN82" s="1476">
        <f t="shared" ref="AN82:BS82" si="163">SUM(AN32:AN81)</f>
        <v>0</v>
      </c>
      <c r="AO82" s="1474">
        <f t="shared" si="163"/>
        <v>0</v>
      </c>
      <c r="AP82" s="1475">
        <f t="shared" si="163"/>
        <v>0</v>
      </c>
      <c r="AQ82" s="1476">
        <f t="shared" si="163"/>
        <v>0</v>
      </c>
      <c r="AR82" s="1474">
        <f t="shared" si="163"/>
        <v>0</v>
      </c>
      <c r="AS82" s="1475">
        <f t="shared" si="163"/>
        <v>0</v>
      </c>
      <c r="AT82" s="1476">
        <f t="shared" si="163"/>
        <v>0</v>
      </c>
      <c r="AU82" s="1474">
        <f t="shared" si="163"/>
        <v>0</v>
      </c>
      <c r="AV82" s="1475">
        <f t="shared" si="163"/>
        <v>0</v>
      </c>
      <c r="AW82" s="1476">
        <f t="shared" si="163"/>
        <v>0</v>
      </c>
      <c r="AX82" s="1474">
        <f t="shared" si="163"/>
        <v>0</v>
      </c>
      <c r="AY82" s="1475">
        <f t="shared" si="163"/>
        <v>0</v>
      </c>
      <c r="AZ82" s="1476">
        <f t="shared" si="163"/>
        <v>0</v>
      </c>
      <c r="BA82" s="1474">
        <f t="shared" si="163"/>
        <v>0</v>
      </c>
      <c r="BB82" s="1475">
        <f t="shared" si="163"/>
        <v>0</v>
      </c>
      <c r="BC82" s="1476">
        <f t="shared" si="163"/>
        <v>0</v>
      </c>
      <c r="BD82" s="1474">
        <f t="shared" si="163"/>
        <v>0</v>
      </c>
      <c r="BE82" s="1475">
        <f t="shared" si="163"/>
        <v>0</v>
      </c>
      <c r="BF82" s="1476">
        <f t="shared" si="163"/>
        <v>0</v>
      </c>
      <c r="BG82" s="1474">
        <f t="shared" si="163"/>
        <v>0</v>
      </c>
      <c r="BH82" s="1475">
        <f t="shared" si="163"/>
        <v>0</v>
      </c>
      <c r="BI82" s="1476">
        <f t="shared" si="163"/>
        <v>0</v>
      </c>
      <c r="BJ82" s="1474">
        <f t="shared" si="163"/>
        <v>0</v>
      </c>
      <c r="BK82" s="1475">
        <f t="shared" si="163"/>
        <v>0</v>
      </c>
      <c r="BL82" s="1476">
        <f t="shared" si="163"/>
        <v>0</v>
      </c>
      <c r="BM82" s="1474">
        <f t="shared" si="163"/>
        <v>0</v>
      </c>
      <c r="BN82" s="1475">
        <f t="shared" si="163"/>
        <v>0</v>
      </c>
      <c r="BO82" s="1476">
        <f t="shared" si="163"/>
        <v>0</v>
      </c>
      <c r="BP82" s="1474">
        <f t="shared" si="163"/>
        <v>0</v>
      </c>
      <c r="BQ82" s="1475">
        <f t="shared" si="163"/>
        <v>0</v>
      </c>
      <c r="BR82" s="1476">
        <f t="shared" si="163"/>
        <v>0</v>
      </c>
      <c r="BS82" s="1474">
        <f t="shared" si="163"/>
        <v>0</v>
      </c>
      <c r="BT82" s="1475">
        <f t="shared" ref="BT82:CY82" si="164">SUM(BT32:BT81)</f>
        <v>0</v>
      </c>
      <c r="BU82" s="1476">
        <f t="shared" si="164"/>
        <v>0</v>
      </c>
      <c r="BV82" s="1474">
        <f t="shared" si="164"/>
        <v>0</v>
      </c>
      <c r="BW82" s="1475">
        <f t="shared" si="164"/>
        <v>0</v>
      </c>
      <c r="BX82" s="1476">
        <f t="shared" si="164"/>
        <v>0</v>
      </c>
      <c r="BY82" s="1474">
        <f t="shared" si="164"/>
        <v>0</v>
      </c>
      <c r="BZ82" s="1475">
        <f t="shared" si="164"/>
        <v>0</v>
      </c>
      <c r="CA82" s="1476">
        <f t="shared" si="164"/>
        <v>0</v>
      </c>
      <c r="CB82" s="1474">
        <f t="shared" si="164"/>
        <v>0</v>
      </c>
      <c r="CC82" s="1475">
        <f t="shared" si="164"/>
        <v>0</v>
      </c>
      <c r="CD82" s="1476">
        <f t="shared" si="164"/>
        <v>0</v>
      </c>
      <c r="CE82" s="1474">
        <f t="shared" si="164"/>
        <v>0</v>
      </c>
      <c r="CF82" s="1475">
        <f t="shared" si="164"/>
        <v>0</v>
      </c>
      <c r="CG82" s="1476">
        <f t="shared" si="164"/>
        <v>0</v>
      </c>
      <c r="CH82" s="1474">
        <f t="shared" si="164"/>
        <v>0</v>
      </c>
      <c r="CI82" s="1475">
        <f t="shared" si="164"/>
        <v>0</v>
      </c>
      <c r="CJ82" s="1476">
        <f t="shared" si="164"/>
        <v>0</v>
      </c>
      <c r="CK82" s="1474">
        <f t="shared" si="164"/>
        <v>0</v>
      </c>
      <c r="CL82" s="1475">
        <f t="shared" si="164"/>
        <v>0</v>
      </c>
      <c r="CM82" s="1476">
        <f t="shared" si="164"/>
        <v>0</v>
      </c>
      <c r="CN82" s="1474">
        <f t="shared" si="164"/>
        <v>0</v>
      </c>
      <c r="CO82" s="1475">
        <f t="shared" si="164"/>
        <v>0</v>
      </c>
      <c r="CP82" s="1476">
        <f t="shared" si="164"/>
        <v>0</v>
      </c>
      <c r="CQ82" s="1474">
        <f t="shared" si="164"/>
        <v>0</v>
      </c>
      <c r="CR82" s="1475">
        <f t="shared" si="164"/>
        <v>0</v>
      </c>
      <c r="CS82" s="1476">
        <f t="shared" si="164"/>
        <v>0</v>
      </c>
      <c r="CT82" s="1474">
        <f t="shared" si="164"/>
        <v>0</v>
      </c>
      <c r="CU82" s="1475">
        <f t="shared" si="164"/>
        <v>0</v>
      </c>
      <c r="CV82" s="1476">
        <f t="shared" si="164"/>
        <v>0</v>
      </c>
      <c r="CW82" s="1474">
        <f t="shared" si="164"/>
        <v>0</v>
      </c>
      <c r="CX82" s="1475">
        <f t="shared" si="164"/>
        <v>0</v>
      </c>
      <c r="CY82" s="1476">
        <f t="shared" si="164"/>
        <v>0</v>
      </c>
      <c r="CZ82" s="1474">
        <f t="shared" ref="CZ82:DW82" si="165">SUM(CZ32:CZ81)</f>
        <v>0</v>
      </c>
      <c r="DA82" s="1475">
        <f t="shared" si="165"/>
        <v>0</v>
      </c>
      <c r="DB82" s="1476">
        <f t="shared" si="165"/>
        <v>0</v>
      </c>
      <c r="DC82" s="1474">
        <f t="shared" si="165"/>
        <v>0</v>
      </c>
      <c r="DD82" s="1475">
        <f t="shared" si="165"/>
        <v>0</v>
      </c>
      <c r="DE82" s="1476">
        <f t="shared" si="165"/>
        <v>0</v>
      </c>
      <c r="DF82" s="1474">
        <f t="shared" si="165"/>
        <v>0</v>
      </c>
      <c r="DG82" s="1475">
        <f t="shared" si="165"/>
        <v>0</v>
      </c>
      <c r="DH82" s="1476">
        <f t="shared" si="165"/>
        <v>0</v>
      </c>
      <c r="DI82" s="1474">
        <f t="shared" si="165"/>
        <v>0</v>
      </c>
      <c r="DJ82" s="1475">
        <f t="shared" si="165"/>
        <v>0</v>
      </c>
      <c r="DK82" s="1476">
        <f t="shared" si="165"/>
        <v>0</v>
      </c>
      <c r="DL82" s="1474">
        <f t="shared" si="165"/>
        <v>0</v>
      </c>
      <c r="DM82" s="1475">
        <f t="shared" si="165"/>
        <v>0</v>
      </c>
      <c r="DN82" s="1476">
        <f t="shared" si="165"/>
        <v>0</v>
      </c>
      <c r="DO82" s="1474">
        <f t="shared" si="165"/>
        <v>0</v>
      </c>
      <c r="DP82" s="1475">
        <f t="shared" si="165"/>
        <v>0</v>
      </c>
      <c r="DQ82" s="1476">
        <f t="shared" si="165"/>
        <v>0</v>
      </c>
      <c r="DR82" s="1474">
        <f t="shared" si="165"/>
        <v>0</v>
      </c>
      <c r="DS82" s="1475">
        <f t="shared" si="165"/>
        <v>0</v>
      </c>
      <c r="DT82" s="1476">
        <f t="shared" si="165"/>
        <v>0</v>
      </c>
      <c r="DU82" s="1474">
        <f t="shared" si="165"/>
        <v>0</v>
      </c>
      <c r="DV82" s="1475">
        <f t="shared" si="165"/>
        <v>0</v>
      </c>
      <c r="DW82" s="1476">
        <f t="shared" si="165"/>
        <v>0</v>
      </c>
      <c r="DX82" s="147"/>
    </row>
    <row r="83" ht="20.25" customHeight="true" x14ac:dyDescent="0.25">
      <c r="B83" s="744"/>
      <c r="C83" s="1163"/>
      <c r="D83" s="140"/>
      <c r="E83" s="1163"/>
      <c r="F83" s="1718" t="s">
        <v>1472</v>
      </c>
      <c r="G83" s="1719"/>
      <c r="H83" s="1574">
        <v>25</v>
      </c>
      <c r="I83" s="1577"/>
      <c r="J83" s="1578"/>
      <c r="K83" s="1606"/>
      <c r="L83" s="1607"/>
      <c r="M83" s="1608"/>
      <c r="N83" s="1606"/>
      <c r="O83" s="1607"/>
      <c r="P83" s="1608"/>
      <c r="Q83" s="1606"/>
      <c r="R83" s="1607"/>
      <c r="S83" s="1607"/>
      <c r="T83" s="1631"/>
      <c r="U83" s="1632"/>
      <c r="V83" s="1633"/>
      <c r="W83" s="1607"/>
      <c r="X83" s="1607"/>
      <c r="Y83" s="1608"/>
      <c r="Z83" s="1606"/>
      <c r="AA83" s="1607"/>
      <c r="AB83" s="1608"/>
      <c r="AC83" s="1607"/>
      <c r="AD83" s="1607"/>
      <c r="AE83" s="1608"/>
      <c r="AF83" s="1606"/>
      <c r="AG83" s="1607"/>
      <c r="AH83" s="1608"/>
      <c r="AI83" s="1606"/>
      <c r="AJ83" s="1607"/>
      <c r="AK83" s="1608"/>
      <c r="AL83" s="1606"/>
      <c r="AM83" s="1607"/>
      <c r="AN83" s="1608"/>
      <c r="AO83" s="1606"/>
      <c r="AP83" s="1607"/>
      <c r="AQ83" s="1608"/>
      <c r="AR83" s="1606"/>
      <c r="AS83" s="1607"/>
      <c r="AT83" s="1608"/>
      <c r="AU83" s="1606"/>
      <c r="AV83" s="1607"/>
      <c r="AW83" s="1608"/>
      <c r="AX83" s="1606"/>
      <c r="AY83" s="1607"/>
      <c r="AZ83" s="1608"/>
      <c r="BA83" s="1606"/>
      <c r="BB83" s="1607"/>
      <c r="BC83" s="1608"/>
      <c r="BD83" s="1606"/>
      <c r="BE83" s="1607"/>
      <c r="BF83" s="1608"/>
      <c r="BG83" s="1606"/>
      <c r="BH83" s="1607"/>
      <c r="BI83" s="1608"/>
      <c r="BJ83" s="1606"/>
      <c r="BK83" s="1607"/>
      <c r="BL83" s="1608"/>
      <c r="BM83" s="1606"/>
      <c r="BN83" s="1607"/>
      <c r="BO83" s="1608"/>
      <c r="BP83" s="1606"/>
      <c r="BQ83" s="1607"/>
      <c r="BR83" s="1608"/>
      <c r="BS83" s="1606"/>
      <c r="BT83" s="1607"/>
      <c r="BU83" s="1608"/>
      <c r="BV83" s="1606"/>
      <c r="BW83" s="1607"/>
      <c r="BX83" s="1608"/>
      <c r="BY83" s="1606"/>
      <c r="BZ83" s="1607"/>
      <c r="CA83" s="1608"/>
      <c r="CB83" s="1606"/>
      <c r="CC83" s="1607"/>
      <c r="CD83" s="1608"/>
      <c r="CE83" s="1606"/>
      <c r="CF83" s="1607"/>
      <c r="CG83" s="1608"/>
      <c r="CH83" s="1606"/>
      <c r="CI83" s="1607"/>
      <c r="CJ83" s="1608"/>
      <c r="CK83" s="1606"/>
      <c r="CL83" s="1607"/>
      <c r="CM83" s="1608"/>
      <c r="CN83" s="1606"/>
      <c r="CO83" s="1607"/>
      <c r="CP83" s="1608"/>
      <c r="CQ83" s="1606"/>
      <c r="CR83" s="1607"/>
      <c r="CS83" s="1608"/>
      <c r="CT83" s="1606"/>
      <c r="CU83" s="1607"/>
      <c r="CV83" s="1608"/>
      <c r="CW83" s="1606"/>
      <c r="CX83" s="1607"/>
      <c r="CY83" s="1608"/>
      <c r="CZ83" s="1606"/>
      <c r="DA83" s="1607"/>
      <c r="DB83" s="1608"/>
      <c r="DC83" s="1606"/>
      <c r="DD83" s="1607"/>
      <c r="DE83" s="1608"/>
      <c r="DF83" s="1606"/>
      <c r="DG83" s="1607"/>
      <c r="DH83" s="1608"/>
      <c r="DI83" s="1606"/>
      <c r="DJ83" s="1607"/>
      <c r="DK83" s="1608"/>
      <c r="DL83" s="1606"/>
      <c r="DM83" s="1607"/>
      <c r="DN83" s="1608"/>
      <c r="DO83" s="1606"/>
      <c r="DP83" s="1607"/>
      <c r="DQ83" s="1608"/>
      <c r="DR83" s="1606"/>
      <c r="DS83" s="1607"/>
      <c r="DT83" s="1608"/>
      <c r="DU83" s="1606"/>
      <c r="DV83" s="1607"/>
      <c r="DW83" s="1608"/>
      <c r="DX83" s="147"/>
    </row>
    <row r="84" ht="20.25" customHeight="true" x14ac:dyDescent="0.25">
      <c r="B84" s="744"/>
      <c r="C84" s="1163"/>
      <c r="D84" s="140"/>
      <c r="E84" s="1163"/>
      <c r="F84" s="1718" t="s">
        <v>1473</v>
      </c>
      <c r="G84" s="1719"/>
      <c r="H84" s="1574">
        <v>1</v>
      </c>
      <c r="I84" s="1577"/>
      <c r="J84" s="1578"/>
      <c r="K84" s="1606"/>
      <c r="L84" s="1607"/>
      <c r="M84" s="1608"/>
      <c r="N84" s="1606"/>
      <c r="O84" s="1607"/>
      <c r="P84" s="1608"/>
      <c r="Q84" s="1606"/>
      <c r="R84" s="1607"/>
      <c r="S84" s="1607"/>
      <c r="T84" s="1631"/>
      <c r="U84" s="1632"/>
      <c r="V84" s="1633"/>
      <c r="W84" s="1607"/>
      <c r="X84" s="1607"/>
      <c r="Y84" s="1608"/>
      <c r="Z84" s="1606"/>
      <c r="AA84" s="1607"/>
      <c r="AB84" s="1608"/>
      <c r="AC84" s="1607"/>
      <c r="AD84" s="1607"/>
      <c r="AE84" s="1608"/>
      <c r="AF84" s="1606"/>
      <c r="AG84" s="1607"/>
      <c r="AH84" s="1608"/>
      <c r="AI84" s="1606"/>
      <c r="AJ84" s="1607"/>
      <c r="AK84" s="1608"/>
      <c r="AL84" s="1606"/>
      <c r="AM84" s="1607"/>
      <c r="AN84" s="1608"/>
      <c r="AO84" s="1606"/>
      <c r="AP84" s="1607"/>
      <c r="AQ84" s="1608"/>
      <c r="AR84" s="1606"/>
      <c r="AS84" s="1607"/>
      <c r="AT84" s="1608"/>
      <c r="AU84" s="1606"/>
      <c r="AV84" s="1607"/>
      <c r="AW84" s="1608"/>
      <c r="AX84" s="1606"/>
      <c r="AY84" s="1607"/>
      <c r="AZ84" s="1608"/>
      <c r="BA84" s="1606"/>
      <c r="BB84" s="1607"/>
      <c r="BC84" s="1608"/>
      <c r="BD84" s="1606"/>
      <c r="BE84" s="1607"/>
      <c r="BF84" s="1608"/>
      <c r="BG84" s="1606"/>
      <c r="BH84" s="1607"/>
      <c r="BI84" s="1608"/>
      <c r="BJ84" s="1606"/>
      <c r="BK84" s="1607"/>
      <c r="BL84" s="1608"/>
      <c r="BM84" s="1606"/>
      <c r="BN84" s="1607"/>
      <c r="BO84" s="1608"/>
      <c r="BP84" s="1606"/>
      <c r="BQ84" s="1607"/>
      <c r="BR84" s="1608"/>
      <c r="BS84" s="1606"/>
      <c r="BT84" s="1607"/>
      <c r="BU84" s="1608"/>
      <c r="BV84" s="1606"/>
      <c r="BW84" s="1607"/>
      <c r="BX84" s="1608"/>
      <c r="BY84" s="1606"/>
      <c r="BZ84" s="1607"/>
      <c r="CA84" s="1608"/>
      <c r="CB84" s="1606"/>
      <c r="CC84" s="1607"/>
      <c r="CD84" s="1608"/>
      <c r="CE84" s="1606"/>
      <c r="CF84" s="1607"/>
      <c r="CG84" s="1608"/>
      <c r="CH84" s="1606"/>
      <c r="CI84" s="1607"/>
      <c r="CJ84" s="1608"/>
      <c r="CK84" s="1606"/>
      <c r="CL84" s="1607"/>
      <c r="CM84" s="1608"/>
      <c r="CN84" s="1606"/>
      <c r="CO84" s="1607"/>
      <c r="CP84" s="1608"/>
      <c r="CQ84" s="1606"/>
      <c r="CR84" s="1607"/>
      <c r="CS84" s="1608"/>
      <c r="CT84" s="1606"/>
      <c r="CU84" s="1607"/>
      <c r="CV84" s="1608"/>
      <c r="CW84" s="1606"/>
      <c r="CX84" s="1607"/>
      <c r="CY84" s="1608"/>
      <c r="CZ84" s="1606"/>
      <c r="DA84" s="1607"/>
      <c r="DB84" s="1608"/>
      <c r="DC84" s="1606"/>
      <c r="DD84" s="1607"/>
      <c r="DE84" s="1608"/>
      <c r="DF84" s="1606"/>
      <c r="DG84" s="1607"/>
      <c r="DH84" s="1608"/>
      <c r="DI84" s="1606"/>
      <c r="DJ84" s="1607"/>
      <c r="DK84" s="1608"/>
      <c r="DL84" s="1606"/>
      <c r="DM84" s="1607"/>
      <c r="DN84" s="1608"/>
      <c r="DO84" s="1606"/>
      <c r="DP84" s="1607"/>
      <c r="DQ84" s="1608"/>
      <c r="DR84" s="1606"/>
      <c r="DS84" s="1607"/>
      <c r="DT84" s="1608"/>
      <c r="DU84" s="1606"/>
      <c r="DV84" s="1607"/>
      <c r="DW84" s="1608"/>
      <c r="DX84" s="147"/>
    </row>
    <row r="85" ht="20.25" customHeight="true" x14ac:dyDescent="0.25">
      <c r="B85" s="744"/>
      <c r="C85" s="1163"/>
      <c r="D85" s="140"/>
      <c r="E85" s="1163"/>
      <c r="F85" s="1718" t="s">
        <v>75</v>
      </c>
      <c r="G85" s="1719"/>
      <c r="H85" s="1574">
        <v>0</v>
      </c>
      <c r="I85" s="1577"/>
      <c r="J85" s="1578"/>
      <c r="K85" s="1606"/>
      <c r="L85" s="1607"/>
      <c r="M85" s="1608"/>
      <c r="N85" s="1606"/>
      <c r="O85" s="1607"/>
      <c r="P85" s="1608"/>
      <c r="Q85" s="1606"/>
      <c r="R85" s="1607"/>
      <c r="S85" s="1607"/>
      <c r="T85" s="1631"/>
      <c r="U85" s="1632"/>
      <c r="V85" s="1633"/>
      <c r="W85" s="1607"/>
      <c r="X85" s="1607"/>
      <c r="Y85" s="1608"/>
      <c r="Z85" s="1606"/>
      <c r="AA85" s="1607"/>
      <c r="AB85" s="1608"/>
      <c r="AC85" s="1607"/>
      <c r="AD85" s="1607"/>
      <c r="AE85" s="1608"/>
      <c r="AF85" s="1606"/>
      <c r="AG85" s="1607"/>
      <c r="AH85" s="1608"/>
      <c r="AI85" s="1606"/>
      <c r="AJ85" s="1607"/>
      <c r="AK85" s="1608"/>
      <c r="AL85" s="1606"/>
      <c r="AM85" s="1607"/>
      <c r="AN85" s="1608"/>
      <c r="AO85" s="1606"/>
      <c r="AP85" s="1607"/>
      <c r="AQ85" s="1608"/>
      <c r="AR85" s="1606"/>
      <c r="AS85" s="1607"/>
      <c r="AT85" s="1608"/>
      <c r="AU85" s="1606"/>
      <c r="AV85" s="1607"/>
      <c r="AW85" s="1608"/>
      <c r="AX85" s="1606"/>
      <c r="AY85" s="1607"/>
      <c r="AZ85" s="1608"/>
      <c r="BA85" s="1606"/>
      <c r="BB85" s="1607"/>
      <c r="BC85" s="1608"/>
      <c r="BD85" s="1606"/>
      <c r="BE85" s="1607"/>
      <c r="BF85" s="1608"/>
      <c r="BG85" s="1606"/>
      <c r="BH85" s="1607"/>
      <c r="BI85" s="1608"/>
      <c r="BJ85" s="1606"/>
      <c r="BK85" s="1607"/>
      <c r="BL85" s="1608"/>
      <c r="BM85" s="1606"/>
      <c r="BN85" s="1607"/>
      <c r="BO85" s="1608"/>
      <c r="BP85" s="1606"/>
      <c r="BQ85" s="1607"/>
      <c r="BR85" s="1608"/>
      <c r="BS85" s="1606"/>
      <c r="BT85" s="1607"/>
      <c r="BU85" s="1608"/>
      <c r="BV85" s="1606"/>
      <c r="BW85" s="1607"/>
      <c r="BX85" s="1608"/>
      <c r="BY85" s="1606"/>
      <c r="BZ85" s="1607"/>
      <c r="CA85" s="1608"/>
      <c r="CB85" s="1606"/>
      <c r="CC85" s="1607"/>
      <c r="CD85" s="1608"/>
      <c r="CE85" s="1606"/>
      <c r="CF85" s="1607"/>
      <c r="CG85" s="1608"/>
      <c r="CH85" s="1606"/>
      <c r="CI85" s="1607"/>
      <c r="CJ85" s="1608"/>
      <c r="CK85" s="1606"/>
      <c r="CL85" s="1607"/>
      <c r="CM85" s="1608"/>
      <c r="CN85" s="1606"/>
      <c r="CO85" s="1607"/>
      <c r="CP85" s="1608"/>
      <c r="CQ85" s="1606"/>
      <c r="CR85" s="1607"/>
      <c r="CS85" s="1608"/>
      <c r="CT85" s="1606"/>
      <c r="CU85" s="1607"/>
      <c r="CV85" s="1608"/>
      <c r="CW85" s="1606"/>
      <c r="CX85" s="1607"/>
      <c r="CY85" s="1608"/>
      <c r="CZ85" s="1606"/>
      <c r="DA85" s="1607"/>
      <c r="DB85" s="1608"/>
      <c r="DC85" s="1606"/>
      <c r="DD85" s="1607"/>
      <c r="DE85" s="1608"/>
      <c r="DF85" s="1606"/>
      <c r="DG85" s="1607"/>
      <c r="DH85" s="1608"/>
      <c r="DI85" s="1606"/>
      <c r="DJ85" s="1607"/>
      <c r="DK85" s="1608"/>
      <c r="DL85" s="1606"/>
      <c r="DM85" s="1607"/>
      <c r="DN85" s="1608"/>
      <c r="DO85" s="1606"/>
      <c r="DP85" s="1607"/>
      <c r="DQ85" s="1608"/>
      <c r="DR85" s="1606"/>
      <c r="DS85" s="1607"/>
      <c r="DT85" s="1608"/>
      <c r="DU85" s="1606"/>
      <c r="DV85" s="1607"/>
      <c r="DW85" s="1608"/>
      <c r="DX85" s="147"/>
    </row>
    <row r="86" ht="20.25" customHeight="true" x14ac:dyDescent="0.25">
      <c r="B86" s="744"/>
      <c r="C86" s="1163"/>
      <c r="D86" s="140"/>
      <c r="E86" s="1163"/>
      <c r="F86" s="1718" t="s">
        <v>1474</v>
      </c>
      <c r="G86" s="1719"/>
      <c r="H86" s="1574">
        <v>-8184519.7560000001</v>
      </c>
      <c r="I86" s="1577"/>
      <c r="J86" s="1578"/>
      <c r="K86" s="1606"/>
      <c r="L86" s="1607"/>
      <c r="M86" s="1608"/>
      <c r="N86" s="1606"/>
      <c r="O86" s="1607"/>
      <c r="P86" s="1608"/>
      <c r="Q86" s="1606"/>
      <c r="R86" s="1607"/>
      <c r="S86" s="1608"/>
      <c r="T86" s="1631"/>
      <c r="U86" s="1632"/>
      <c r="V86" s="1633"/>
      <c r="W86" s="1607"/>
      <c r="X86" s="1607"/>
      <c r="Y86" s="1608"/>
      <c r="Z86" s="1606"/>
      <c r="AA86" s="1607"/>
      <c r="AB86" s="1608"/>
      <c r="AC86" s="1607"/>
      <c r="AD86" s="1607"/>
      <c r="AE86" s="1608"/>
      <c r="AF86" s="1606"/>
      <c r="AG86" s="1607"/>
      <c r="AH86" s="1608"/>
      <c r="AI86" s="1606"/>
      <c r="AJ86" s="1607"/>
      <c r="AK86" s="1608"/>
      <c r="AL86" s="1606"/>
      <c r="AM86" s="1607"/>
      <c r="AN86" s="1608"/>
      <c r="AO86" s="1606"/>
      <c r="AP86" s="1607"/>
      <c r="AQ86" s="1608"/>
      <c r="AR86" s="1606"/>
      <c r="AS86" s="1607"/>
      <c r="AT86" s="1608"/>
      <c r="AU86" s="1606"/>
      <c r="AV86" s="1607"/>
      <c r="AW86" s="1608"/>
      <c r="AX86" s="1606"/>
      <c r="AY86" s="1607"/>
      <c r="AZ86" s="1608"/>
      <c r="BA86" s="1606"/>
      <c r="BB86" s="1607"/>
      <c r="BC86" s="1608"/>
      <c r="BD86" s="1606"/>
      <c r="BE86" s="1607"/>
      <c r="BF86" s="1608"/>
      <c r="BG86" s="1606"/>
      <c r="BH86" s="1607"/>
      <c r="BI86" s="1608"/>
      <c r="BJ86" s="1606"/>
      <c r="BK86" s="1607"/>
      <c r="BL86" s="1608"/>
      <c r="BM86" s="1606"/>
      <c r="BN86" s="1607"/>
      <c r="BO86" s="1608"/>
      <c r="BP86" s="1606"/>
      <c r="BQ86" s="1607"/>
      <c r="BR86" s="1608"/>
      <c r="BS86" s="1606"/>
      <c r="BT86" s="1607"/>
      <c r="BU86" s="1608"/>
      <c r="BV86" s="1606"/>
      <c r="BW86" s="1607"/>
      <c r="BX86" s="1608"/>
      <c r="BY86" s="1606"/>
      <c r="BZ86" s="1607"/>
      <c r="CA86" s="1608"/>
      <c r="CB86" s="1606"/>
      <c r="CC86" s="1607"/>
      <c r="CD86" s="1608"/>
      <c r="CE86" s="1606"/>
      <c r="CF86" s="1607"/>
      <c r="CG86" s="1608"/>
      <c r="CH86" s="1606"/>
      <c r="CI86" s="1607"/>
      <c r="CJ86" s="1608"/>
      <c r="CK86" s="1606"/>
      <c r="CL86" s="1607"/>
      <c r="CM86" s="1608"/>
      <c r="CN86" s="1606"/>
      <c r="CO86" s="1607"/>
      <c r="CP86" s="1608"/>
      <c r="CQ86" s="1606"/>
      <c r="CR86" s="1607"/>
      <c r="CS86" s="1608"/>
      <c r="CT86" s="1606"/>
      <c r="CU86" s="1607"/>
      <c r="CV86" s="1608"/>
      <c r="CW86" s="1606"/>
      <c r="CX86" s="1607"/>
      <c r="CY86" s="1608"/>
      <c r="CZ86" s="1606"/>
      <c r="DA86" s="1607"/>
      <c r="DB86" s="1608"/>
      <c r="DC86" s="1606"/>
      <c r="DD86" s="1607"/>
      <c r="DE86" s="1608"/>
      <c r="DF86" s="1606"/>
      <c r="DG86" s="1607"/>
      <c r="DH86" s="1608"/>
      <c r="DI86" s="1606"/>
      <c r="DJ86" s="1607"/>
      <c r="DK86" s="1608"/>
      <c r="DL86" s="1606"/>
      <c r="DM86" s="1607"/>
      <c r="DN86" s="1608"/>
      <c r="DO86" s="1606"/>
      <c r="DP86" s="1607"/>
      <c r="DQ86" s="1608"/>
      <c r="DR86" s="1606"/>
      <c r="DS86" s="1607"/>
      <c r="DT86" s="1608"/>
      <c r="DU86" s="1606"/>
      <c r="DV86" s="1607"/>
      <c r="DW86" s="1608"/>
      <c r="DX86" s="147"/>
    </row>
    <row r="87" ht="20.25" customHeight="true" x14ac:dyDescent="0.25">
      <c r="B87" s="744"/>
      <c r="C87" s="1163"/>
      <c r="D87" s="140"/>
      <c r="E87" s="1163"/>
      <c r="F87" s="1718" t="s">
        <v>1475</v>
      </c>
      <c r="G87" s="1719"/>
      <c r="H87" s="1574">
        <v>-17.838678213498213</v>
      </c>
      <c r="I87" s="1577"/>
      <c r="J87" s="1578"/>
      <c r="K87" s="1606"/>
      <c r="L87" s="1607"/>
      <c r="M87" s="1608"/>
      <c r="N87" s="1606"/>
      <c r="O87" s="1607"/>
      <c r="P87" s="1608"/>
      <c r="Q87" s="1606"/>
      <c r="R87" s="1607"/>
      <c r="S87" s="1608"/>
      <c r="T87" s="1631"/>
      <c r="U87" s="1632"/>
      <c r="V87" s="1633"/>
      <c r="W87" s="1607"/>
      <c r="X87" s="1607"/>
      <c r="Y87" s="1608"/>
      <c r="Z87" s="1606"/>
      <c r="AA87" s="1607"/>
      <c r="AB87" s="1608"/>
      <c r="AC87" s="1607"/>
      <c r="AD87" s="1607"/>
      <c r="AE87" s="1608"/>
      <c r="AF87" s="1606"/>
      <c r="AG87" s="1607"/>
      <c r="AH87" s="1608"/>
      <c r="AI87" s="1606"/>
      <c r="AJ87" s="1607"/>
      <c r="AK87" s="1608"/>
      <c r="AL87" s="1606"/>
      <c r="AM87" s="1607"/>
      <c r="AN87" s="1608"/>
      <c r="AO87" s="1606"/>
      <c r="AP87" s="1607"/>
      <c r="AQ87" s="1608"/>
      <c r="AR87" s="1606"/>
      <c r="AS87" s="1607"/>
      <c r="AT87" s="1608"/>
      <c r="AU87" s="1606"/>
      <c r="AV87" s="1607"/>
      <c r="AW87" s="1608"/>
      <c r="AX87" s="1606"/>
      <c r="AY87" s="1607"/>
      <c r="AZ87" s="1608"/>
      <c r="BA87" s="1606"/>
      <c r="BB87" s="1607"/>
      <c r="BC87" s="1608"/>
      <c r="BD87" s="1606"/>
      <c r="BE87" s="1607"/>
      <c r="BF87" s="1608"/>
      <c r="BG87" s="1606"/>
      <c r="BH87" s="1607"/>
      <c r="BI87" s="1608"/>
      <c r="BJ87" s="1606"/>
      <c r="BK87" s="1607"/>
      <c r="BL87" s="1608"/>
      <c r="BM87" s="1606"/>
      <c r="BN87" s="1607"/>
      <c r="BO87" s="1608"/>
      <c r="BP87" s="1606"/>
      <c r="BQ87" s="1607"/>
      <c r="BR87" s="1608"/>
      <c r="BS87" s="1606"/>
      <c r="BT87" s="1607"/>
      <c r="BU87" s="1608"/>
      <c r="BV87" s="1606"/>
      <c r="BW87" s="1607"/>
      <c r="BX87" s="1608"/>
      <c r="BY87" s="1606"/>
      <c r="BZ87" s="1607"/>
      <c r="CA87" s="1608"/>
      <c r="CB87" s="1606"/>
      <c r="CC87" s="1607"/>
      <c r="CD87" s="1608"/>
      <c r="CE87" s="1606"/>
      <c r="CF87" s="1607"/>
      <c r="CG87" s="1608"/>
      <c r="CH87" s="1606"/>
      <c r="CI87" s="1607"/>
      <c r="CJ87" s="1608"/>
      <c r="CK87" s="1606"/>
      <c r="CL87" s="1607"/>
      <c r="CM87" s="1608"/>
      <c r="CN87" s="1606"/>
      <c r="CO87" s="1607"/>
      <c r="CP87" s="1608"/>
      <c r="CQ87" s="1606"/>
      <c r="CR87" s="1607"/>
      <c r="CS87" s="1608"/>
      <c r="CT87" s="1606"/>
      <c r="CU87" s="1607"/>
      <c r="CV87" s="1608"/>
      <c r="CW87" s="1606"/>
      <c r="CX87" s="1607"/>
      <c r="CY87" s="1608"/>
      <c r="CZ87" s="1606"/>
      <c r="DA87" s="1607"/>
      <c r="DB87" s="1608"/>
      <c r="DC87" s="1606"/>
      <c r="DD87" s="1607"/>
      <c r="DE87" s="1608"/>
      <c r="DF87" s="1606"/>
      <c r="DG87" s="1607"/>
      <c r="DH87" s="1608"/>
      <c r="DI87" s="1606"/>
      <c r="DJ87" s="1607"/>
      <c r="DK87" s="1608"/>
      <c r="DL87" s="1606"/>
      <c r="DM87" s="1607"/>
      <c r="DN87" s="1608"/>
      <c r="DO87" s="1606"/>
      <c r="DP87" s="1607"/>
      <c r="DQ87" s="1608"/>
      <c r="DR87" s="1606"/>
      <c r="DS87" s="1607"/>
      <c r="DT87" s="1608"/>
      <c r="DU87" s="1606"/>
      <c r="DV87" s="1607"/>
      <c r="DW87" s="1608"/>
      <c r="DX87" s="147"/>
    </row>
    <row r="88" ht="20.25" customHeight="true" x14ac:dyDescent="0.25">
      <c r="B88" s="744"/>
      <c r="C88" s="1163"/>
      <c r="D88" s="140"/>
      <c r="E88" s="1163"/>
      <c r="F88" s="1720" t="s">
        <v>1476</v>
      </c>
      <c r="G88" s="1721"/>
      <c r="H88" s="1591">
        <f>IF(I$28="","",SUM(H32:H81))</f>
        <v>6778.7792000553327</v>
      </c>
      <c r="I88" s="1620"/>
      <c r="J88" s="1621"/>
      <c r="K88" s="1591" t="str">
        <f>IF(L$28="","",SUM(K32:K81))</f>
        <v/>
      </c>
      <c r="L88" s="1620"/>
      <c r="M88" s="1621"/>
      <c r="N88" s="1591" t="str">
        <f>IF(O$28="","",SUM(N32:N81))</f>
        <v/>
      </c>
      <c r="O88" s="1620"/>
      <c r="P88" s="1621"/>
      <c r="Q88" s="1591" t="str">
        <f>IF(R$28="","",SUM(Q32:Q81))</f>
        <v/>
      </c>
      <c r="R88" s="1620"/>
      <c r="S88" s="1621"/>
      <c r="T88" s="1591" t="str">
        <f>IF(U$28="","",SUM(T32:T81))</f>
        <v/>
      </c>
      <c r="U88" s="1620"/>
      <c r="V88" s="1621"/>
      <c r="W88" s="1591" t="str">
        <f>IF(X$28="","",SUM(W32:W81))</f>
        <v/>
      </c>
      <c r="X88" s="1620"/>
      <c r="Y88" s="1621"/>
      <c r="Z88" s="1591" t="str">
        <f>IF(AA$28="","",SUM(Z32:Z81))</f>
        <v/>
      </c>
      <c r="AA88" s="1620"/>
      <c r="AB88" s="1621"/>
      <c r="AC88" s="1591" t="str">
        <f>IF(AD$28="","",SUM(AC32:AC81))</f>
        <v/>
      </c>
      <c r="AD88" s="1620"/>
      <c r="AE88" s="1621"/>
      <c r="AF88" s="1591" t="str">
        <f>IF(AG$28="","",SUM(AF32:AF81))</f>
        <v/>
      </c>
      <c r="AG88" s="1620"/>
      <c r="AH88" s="1621"/>
      <c r="AI88" s="1591" t="str">
        <f>IF(AJ$28="","",SUM(AI32:AI81))</f>
        <v/>
      </c>
      <c r="AJ88" s="1620"/>
      <c r="AK88" s="1621"/>
      <c r="AL88" s="1591" t="str">
        <f>IF(AM$28="","",SUM(AL32:AL81))</f>
        <v/>
      </c>
      <c r="AM88" s="1620"/>
      <c r="AN88" s="1621"/>
      <c r="AO88" s="1591" t="str">
        <f>IF(AP$28="","",SUM(AO32:AO81))</f>
        <v/>
      </c>
      <c r="AP88" s="1620"/>
      <c r="AQ88" s="1621"/>
      <c r="AR88" s="1591" t="str">
        <f>IF(AS$28="","",SUM(AR32:AR81))</f>
        <v/>
      </c>
      <c r="AS88" s="1620"/>
      <c r="AT88" s="1621"/>
      <c r="AU88" s="1591" t="str">
        <f>IF(AV$28="","",SUM(AU32:AU81))</f>
        <v/>
      </c>
      <c r="AV88" s="1620"/>
      <c r="AW88" s="1621"/>
      <c r="AX88" s="1591" t="str">
        <f>IF(AY$28="","",SUM(AX32:AX81))</f>
        <v/>
      </c>
      <c r="AY88" s="1620"/>
      <c r="AZ88" s="1621"/>
      <c r="BA88" s="1591" t="str">
        <f>IF(BB$28="","",SUM(BA32:BA81))</f>
        <v/>
      </c>
      <c r="BB88" s="1620"/>
      <c r="BC88" s="1621"/>
      <c r="BD88" s="1591" t="str">
        <f>IF(BE$28="","",SUM(BD32:BD81))</f>
        <v/>
      </c>
      <c r="BE88" s="1620"/>
      <c r="BF88" s="1621"/>
      <c r="BG88" s="1591" t="str">
        <f>IF(BH$28="","",SUM(BG32:BG81))</f>
        <v/>
      </c>
      <c r="BH88" s="1620"/>
      <c r="BI88" s="1621"/>
      <c r="BJ88" s="1591" t="str">
        <f>IF(BK$28="","",SUM(BJ32:BJ81))</f>
        <v/>
      </c>
      <c r="BK88" s="1620"/>
      <c r="BL88" s="1621"/>
      <c r="BM88" s="1591" t="str">
        <f>IF(BN$28="","",SUM(BM32:BM81))</f>
        <v/>
      </c>
      <c r="BN88" s="1620"/>
      <c r="BO88" s="1621"/>
      <c r="BP88" s="1591" t="str">
        <f>IF(BQ$28="","",SUM(BP32:BP81))</f>
        <v/>
      </c>
      <c r="BQ88" s="1620"/>
      <c r="BR88" s="1621"/>
      <c r="BS88" s="1591" t="str">
        <f>IF(BT$28="","",SUM(BS32:BS81))</f>
        <v/>
      </c>
      <c r="BT88" s="1620"/>
      <c r="BU88" s="1621"/>
      <c r="BV88" s="1591" t="str">
        <f>IF(BW$28="","",SUM(BV32:BV81))</f>
        <v/>
      </c>
      <c r="BW88" s="1620"/>
      <c r="BX88" s="1621"/>
      <c r="BY88" s="1591" t="str">
        <f>IF(BZ$28="","",SUM(BY32:BY81))</f>
        <v/>
      </c>
      <c r="BZ88" s="1620"/>
      <c r="CA88" s="1621"/>
      <c r="CB88" s="1591" t="str">
        <f>IF(CC$28="","",SUM(CB32:CB81))</f>
        <v/>
      </c>
      <c r="CC88" s="1620"/>
      <c r="CD88" s="1621"/>
      <c r="CE88" s="1591" t="str">
        <f>IF(CF$28="","",SUM(CE32:CE81))</f>
        <v/>
      </c>
      <c r="CF88" s="1620"/>
      <c r="CG88" s="1621"/>
      <c r="CH88" s="1591" t="str">
        <f>IF(CI$28="","",SUM(CH32:CH81))</f>
        <v/>
      </c>
      <c r="CI88" s="1620"/>
      <c r="CJ88" s="1621"/>
      <c r="CK88" s="1591" t="str">
        <f>IF(CL$28="","",SUM(CK32:CK81))</f>
        <v/>
      </c>
      <c r="CL88" s="1620"/>
      <c r="CM88" s="1621"/>
      <c r="CN88" s="1591" t="str">
        <f>IF(CO$28="","",SUM(CN32:CN81))</f>
        <v/>
      </c>
      <c r="CO88" s="1620"/>
      <c r="CP88" s="1621"/>
      <c r="CQ88" s="1591" t="str">
        <f>IF(CR$28="","",SUM(CQ32:CQ81))</f>
        <v/>
      </c>
      <c r="CR88" s="1620"/>
      <c r="CS88" s="1621"/>
      <c r="CT88" s="1591" t="str">
        <f>IF(CU$28="","",SUM(CT32:CT81))</f>
        <v/>
      </c>
      <c r="CU88" s="1620"/>
      <c r="CV88" s="1621"/>
      <c r="CW88" s="1591" t="str">
        <f>IF(CX$28="","",SUM(CW32:CW81))</f>
        <v/>
      </c>
      <c r="CX88" s="1620"/>
      <c r="CY88" s="1621"/>
      <c r="CZ88" s="1591" t="str">
        <f>IF(DA$28="","",SUM(CZ32:CZ81))</f>
        <v/>
      </c>
      <c r="DA88" s="1620"/>
      <c r="DB88" s="1621"/>
      <c r="DC88" s="1591" t="str">
        <f>IF(DD$28="","",SUM(DC32:DC81))</f>
        <v/>
      </c>
      <c r="DD88" s="1620"/>
      <c r="DE88" s="1621"/>
      <c r="DF88" s="1591" t="str">
        <f>IF(DG$28="","",SUM(DF32:DF81))</f>
        <v/>
      </c>
      <c r="DG88" s="1620"/>
      <c r="DH88" s="1621"/>
      <c r="DI88" s="1591" t="str">
        <f>IF(DJ$28="","",SUM(DI32:DI81))</f>
        <v/>
      </c>
      <c r="DJ88" s="1620"/>
      <c r="DK88" s="1621"/>
      <c r="DL88" s="1591" t="str">
        <f>IF(DM$28="","",SUM(DL32:DL81))</f>
        <v/>
      </c>
      <c r="DM88" s="1620"/>
      <c r="DN88" s="1621"/>
      <c r="DO88" s="1591" t="str">
        <f>IF(DP$28="","",SUM(DO32:DO81))</f>
        <v/>
      </c>
      <c r="DP88" s="1620"/>
      <c r="DQ88" s="1621"/>
      <c r="DR88" s="1591" t="str">
        <f>IF(DS$28="","",SUM(DR32:DR81))</f>
        <v/>
      </c>
      <c r="DS88" s="1620"/>
      <c r="DT88" s="1621"/>
      <c r="DU88" s="1591" t="str">
        <f>IF(DV$28="","",SUM(DU32:DU81))</f>
        <v/>
      </c>
      <c r="DV88" s="1620"/>
      <c r="DW88" s="1621"/>
      <c r="DX88" s="147"/>
    </row>
    <row r="89" ht="20.25" customHeight="true" x14ac:dyDescent="0.25">
      <c r="B89" s="744"/>
      <c r="C89" s="1163"/>
      <c r="D89" s="140"/>
      <c r="E89" s="1163"/>
      <c r="F89" s="1722" t="s">
        <v>1477</v>
      </c>
      <c r="G89" s="1723"/>
      <c r="H89" s="1591">
        <f>IF(I82=0,"",H82/I82)</f>
        <v>100.087</v>
      </c>
      <c r="I89" s="1620"/>
      <c r="J89" s="1621"/>
      <c r="K89" s="1591" t="str">
        <f>IF(L82=0,"",K82/L82)</f>
        <v/>
      </c>
      <c r="L89" s="1592"/>
      <c r="M89" s="1593"/>
      <c r="N89" s="1591" t="str">
        <f>IF(O82=0,"",N82/O82)</f>
        <v/>
      </c>
      <c r="O89" s="1592"/>
      <c r="P89" s="1593"/>
      <c r="Q89" s="1591" t="str">
        <f>IF(R82=0,"",Q82/R82)</f>
        <v/>
      </c>
      <c r="R89" s="1592"/>
      <c r="S89" s="1592"/>
      <c r="T89" s="1790" t="str">
        <f>IF(U82=0,"",T82/U82)</f>
        <v/>
      </c>
      <c r="U89" s="1791"/>
      <c r="V89" s="1792"/>
      <c r="W89" s="1592" t="str">
        <f>IF(X82=0,"",W82/X82)</f>
        <v/>
      </c>
      <c r="X89" s="1592"/>
      <c r="Y89" s="1593"/>
      <c r="Z89" s="1591" t="str">
        <f>IF(AA82=0,"",Z82/AA82)</f>
        <v/>
      </c>
      <c r="AA89" s="1592"/>
      <c r="AB89" s="1593"/>
      <c r="AC89" s="1592" t="str">
        <f>IF(AD82=0,"",AC82/AD82)</f>
        <v/>
      </c>
      <c r="AD89" s="1592"/>
      <c r="AE89" s="1593"/>
      <c r="AF89" s="1591" t="str">
        <f>IF(AG82=0,"",AF82/AG82)</f>
        <v/>
      </c>
      <c r="AG89" s="1592"/>
      <c r="AH89" s="1593"/>
      <c r="AI89" s="1591" t="str">
        <f>IF(AJ82=0,"",AI82/AJ82)</f>
        <v/>
      </c>
      <c r="AJ89" s="1592"/>
      <c r="AK89" s="1593"/>
      <c r="AL89" s="1591" t="str">
        <f>IF(AM82=0,"",AL82/AM82)</f>
        <v/>
      </c>
      <c r="AM89" s="1592"/>
      <c r="AN89" s="1593"/>
      <c r="AO89" s="1591" t="str">
        <f>IF(AP82=0,"",AO82/AP82)</f>
        <v/>
      </c>
      <c r="AP89" s="1592"/>
      <c r="AQ89" s="1593"/>
      <c r="AR89" s="1591" t="str">
        <f>IF(AS82=0,"",AR82/AS82)</f>
        <v/>
      </c>
      <c r="AS89" s="1592"/>
      <c r="AT89" s="1593"/>
      <c r="AU89" s="1591" t="str">
        <f>IF(AV82=0,"",AU82/AV82)</f>
        <v/>
      </c>
      <c r="AV89" s="1592"/>
      <c r="AW89" s="1593"/>
      <c r="AX89" s="1591" t="str">
        <f>IF(AY82=0,"",AX82/AY82)</f>
        <v/>
      </c>
      <c r="AY89" s="1592"/>
      <c r="AZ89" s="1593"/>
      <c r="BA89" s="1591" t="str">
        <f>IF(BB82=0,"",BA82/BB82)</f>
        <v/>
      </c>
      <c r="BB89" s="1592"/>
      <c r="BC89" s="1593"/>
      <c r="BD89" s="1591" t="str">
        <f>IF(BE82=0,"",BD82/BE82)</f>
        <v/>
      </c>
      <c r="BE89" s="1592"/>
      <c r="BF89" s="1593"/>
      <c r="BG89" s="1591" t="str">
        <f>IF(BH82=0,"",BG82/BH82)</f>
        <v/>
      </c>
      <c r="BH89" s="1592"/>
      <c r="BI89" s="1593"/>
      <c r="BJ89" s="1591" t="str">
        <f>IF(BK82=0,"",BJ82/BK82)</f>
        <v/>
      </c>
      <c r="BK89" s="1592"/>
      <c r="BL89" s="1593"/>
      <c r="BM89" s="1591" t="str">
        <f>IF(BN82=0,"",BM82/BN82)</f>
        <v/>
      </c>
      <c r="BN89" s="1592"/>
      <c r="BO89" s="1593"/>
      <c r="BP89" s="1591" t="str">
        <f>IF(BQ82=0,"",BP82/BQ82)</f>
        <v/>
      </c>
      <c r="BQ89" s="1592"/>
      <c r="BR89" s="1593"/>
      <c r="BS89" s="1591" t="str">
        <f>IF(BT82=0,"",BS82/BT82)</f>
        <v/>
      </c>
      <c r="BT89" s="1592"/>
      <c r="BU89" s="1593"/>
      <c r="BV89" s="1591" t="str">
        <f>IF(BW82=0,"",BV82/BW82)</f>
        <v/>
      </c>
      <c r="BW89" s="1592"/>
      <c r="BX89" s="1593"/>
      <c r="BY89" s="1591" t="str">
        <f>IF(BZ82=0,"",BY82/BZ82)</f>
        <v/>
      </c>
      <c r="BZ89" s="1592"/>
      <c r="CA89" s="1593"/>
      <c r="CB89" s="1591" t="str">
        <f>IF(CC82=0,"",CB82/CC82)</f>
        <v/>
      </c>
      <c r="CC89" s="1592"/>
      <c r="CD89" s="1593"/>
      <c r="CE89" s="1591" t="str">
        <f>IF(CF82=0,"",CE82/CF82)</f>
        <v/>
      </c>
      <c r="CF89" s="1592"/>
      <c r="CG89" s="1593"/>
      <c r="CH89" s="1591" t="str">
        <f>IF(CI82=0,"",CH82/CI82)</f>
        <v/>
      </c>
      <c r="CI89" s="1592"/>
      <c r="CJ89" s="1593"/>
      <c r="CK89" s="1591" t="str">
        <f>IF(CL82=0,"",CK82/CL82)</f>
        <v/>
      </c>
      <c r="CL89" s="1592"/>
      <c r="CM89" s="1593"/>
      <c r="CN89" s="1591" t="str">
        <f>IF(CO82=0,"",CN82/CO82)</f>
        <v/>
      </c>
      <c r="CO89" s="1592"/>
      <c r="CP89" s="1593"/>
      <c r="CQ89" s="1591" t="str">
        <f>IF(CR82=0,"",CQ82/CR82)</f>
        <v/>
      </c>
      <c r="CR89" s="1592"/>
      <c r="CS89" s="1593"/>
      <c r="CT89" s="1591" t="str">
        <f>IF(CU82=0,"",CT82/CU82)</f>
        <v/>
      </c>
      <c r="CU89" s="1592"/>
      <c r="CV89" s="1593"/>
      <c r="CW89" s="1591" t="str">
        <f>IF(CX82=0,"",CW82/CX82)</f>
        <v/>
      </c>
      <c r="CX89" s="1592"/>
      <c r="CY89" s="1593"/>
      <c r="CZ89" s="1591" t="str">
        <f>IF(DA82=0,"",CZ82/DA82)</f>
        <v/>
      </c>
      <c r="DA89" s="1592"/>
      <c r="DB89" s="1593"/>
      <c r="DC89" s="1591" t="str">
        <f>IF(DD82=0,"",DC82/DD82)</f>
        <v/>
      </c>
      <c r="DD89" s="1592"/>
      <c r="DE89" s="1593"/>
      <c r="DF89" s="1591" t="str">
        <f>IF(DG82=0,"",DF82/DG82)</f>
        <v/>
      </c>
      <c r="DG89" s="1592"/>
      <c r="DH89" s="1593"/>
      <c r="DI89" s="1591" t="str">
        <f>IF(DJ82=0,"",DI82/DJ82)</f>
        <v/>
      </c>
      <c r="DJ89" s="1592"/>
      <c r="DK89" s="1593"/>
      <c r="DL89" s="1591" t="str">
        <f>IF(DM82=0,"",DL82/DM82)</f>
        <v/>
      </c>
      <c r="DM89" s="1592"/>
      <c r="DN89" s="1593"/>
      <c r="DO89" s="1591" t="str">
        <f>IF(DP82=0,"",DO82/DP82)</f>
        <v/>
      </c>
      <c r="DP89" s="1592"/>
      <c r="DQ89" s="1593"/>
      <c r="DR89" s="1591" t="str">
        <f>IF(DS82=0,"",DR82/DS82)</f>
        <v/>
      </c>
      <c r="DS89" s="1592"/>
      <c r="DT89" s="1593"/>
      <c r="DU89" s="1591" t="str">
        <f>IF(DV82=0,"",DU82/DV82)</f>
        <v/>
      </c>
      <c r="DV89" s="1592"/>
      <c r="DW89" s="1593"/>
      <c r="DX89" s="147"/>
    </row>
    <row r="90" ht="20.25" customHeight="true" x14ac:dyDescent="0.25">
      <c r="B90" s="744"/>
      <c r="C90" s="1163"/>
      <c r="D90" s="140"/>
      <c r="E90" s="1163"/>
      <c r="F90" s="1724" t="s">
        <v>1478</v>
      </c>
      <c r="G90" s="1725"/>
      <c r="H90" s="1591">
        <f>IF(H88="","",H88/H89)</f>
        <v>67.728867885492946</v>
      </c>
      <c r="I90" s="1620"/>
      <c r="J90" s="1621"/>
      <c r="K90" s="1591" t="str">
        <f>IF(K88="","",K88/K89)</f>
        <v/>
      </c>
      <c r="L90" s="1592"/>
      <c r="M90" s="1593"/>
      <c r="N90" s="1591" t="str">
        <f>IF(N88="","",N88/N89)</f>
        <v/>
      </c>
      <c r="O90" s="1592"/>
      <c r="P90" s="1593"/>
      <c r="Q90" s="1591" t="str">
        <f>IF(Q88="","",Q88/Q89)</f>
        <v/>
      </c>
      <c r="R90" s="1592"/>
      <c r="S90" s="1592"/>
      <c r="T90" s="1790" t="str">
        <f>IF(T88="","",T88/T89)</f>
        <v/>
      </c>
      <c r="U90" s="1791"/>
      <c r="V90" s="1792"/>
      <c r="W90" s="1592" t="str">
        <f>IF(W88="","",W88/W89)</f>
        <v/>
      </c>
      <c r="X90" s="1592"/>
      <c r="Y90" s="1593"/>
      <c r="Z90" s="1591" t="str">
        <f>IF(Z88="","",Z88/Z89)</f>
        <v/>
      </c>
      <c r="AA90" s="1592"/>
      <c r="AB90" s="1593"/>
      <c r="AC90" s="1592" t="str">
        <f>IF(AC88="","",AC88/AC89)</f>
        <v/>
      </c>
      <c r="AD90" s="1592"/>
      <c r="AE90" s="1593"/>
      <c r="AF90" s="1591" t="str">
        <f>IF(AF88="","",AF88/AF89)</f>
        <v/>
      </c>
      <c r="AG90" s="1592"/>
      <c r="AH90" s="1593"/>
      <c r="AI90" s="1591" t="str">
        <f>IF(AI88="","",AI88/AI89)</f>
        <v/>
      </c>
      <c r="AJ90" s="1592"/>
      <c r="AK90" s="1593"/>
      <c r="AL90" s="1591" t="str">
        <f>IF(AL88="","",AL88/AL89)</f>
        <v/>
      </c>
      <c r="AM90" s="1592"/>
      <c r="AN90" s="1593"/>
      <c r="AO90" s="1591" t="str">
        <f>IF(AO88="","",AO88/AO89)</f>
        <v/>
      </c>
      <c r="AP90" s="1592"/>
      <c r="AQ90" s="1593"/>
      <c r="AR90" s="1591" t="str">
        <f>IF(AR88="","",AR88/AR89)</f>
        <v/>
      </c>
      <c r="AS90" s="1592"/>
      <c r="AT90" s="1593"/>
      <c r="AU90" s="1591" t="str">
        <f>IF(AU88="","",AU88/AU89)</f>
        <v/>
      </c>
      <c r="AV90" s="1592"/>
      <c r="AW90" s="1593"/>
      <c r="AX90" s="1591" t="str">
        <f>IF(AX88="","",AX88/AX89)</f>
        <v/>
      </c>
      <c r="AY90" s="1592"/>
      <c r="AZ90" s="1593"/>
      <c r="BA90" s="1591" t="str">
        <f>IF(BA88="","",BA88/BA89)</f>
        <v/>
      </c>
      <c r="BB90" s="1592"/>
      <c r="BC90" s="1593"/>
      <c r="BD90" s="1591" t="str">
        <f>IF(BD88="","",BD88/BD89)</f>
        <v/>
      </c>
      <c r="BE90" s="1592"/>
      <c r="BF90" s="1593"/>
      <c r="BG90" s="1591" t="str">
        <f>IF(BG88="","",BG88/BG89)</f>
        <v/>
      </c>
      <c r="BH90" s="1592"/>
      <c r="BI90" s="1593"/>
      <c r="BJ90" s="1591" t="str">
        <f>IF(BJ88="","",BJ88/BJ89)</f>
        <v/>
      </c>
      <c r="BK90" s="1592"/>
      <c r="BL90" s="1593"/>
      <c r="BM90" s="1591" t="str">
        <f>IF(BM88="","",BM88/BM89)</f>
        <v/>
      </c>
      <c r="BN90" s="1592"/>
      <c r="BO90" s="1593"/>
      <c r="BP90" s="1591" t="str">
        <f>IF(BP88="","",BP88/BP89)</f>
        <v/>
      </c>
      <c r="BQ90" s="1592"/>
      <c r="BR90" s="1593"/>
      <c r="BS90" s="1591" t="str">
        <f>IF(BS88="","",BS88/BS89)</f>
        <v/>
      </c>
      <c r="BT90" s="1592"/>
      <c r="BU90" s="1593"/>
      <c r="BV90" s="1591" t="str">
        <f>IF(BV88="","",BV88/BV89)</f>
        <v/>
      </c>
      <c r="BW90" s="1592"/>
      <c r="BX90" s="1593"/>
      <c r="BY90" s="1591" t="str">
        <f>IF(BY88="","",BY88/BY89)</f>
        <v/>
      </c>
      <c r="BZ90" s="1592"/>
      <c r="CA90" s="1593"/>
      <c r="CB90" s="1591" t="str">
        <f>IF(CB88="","",CB88/CB89)</f>
        <v/>
      </c>
      <c r="CC90" s="1592"/>
      <c r="CD90" s="1593"/>
      <c r="CE90" s="1591" t="str">
        <f>IF(CE88="","",CE88/CE89)</f>
        <v/>
      </c>
      <c r="CF90" s="1592"/>
      <c r="CG90" s="1593"/>
      <c r="CH90" s="1591" t="str">
        <f>IF(CH88="","",CH88/CH89)</f>
        <v/>
      </c>
      <c r="CI90" s="1592"/>
      <c r="CJ90" s="1593"/>
      <c r="CK90" s="1591" t="str">
        <f>IF(CK88="","",CK88/CK89)</f>
        <v/>
      </c>
      <c r="CL90" s="1592"/>
      <c r="CM90" s="1593"/>
      <c r="CN90" s="1591" t="str">
        <f>IF(CN88="","",CN88/CN89)</f>
        <v/>
      </c>
      <c r="CO90" s="1592"/>
      <c r="CP90" s="1593"/>
      <c r="CQ90" s="1591" t="str">
        <f>IF(CQ88="","",CQ88/CQ89)</f>
        <v/>
      </c>
      <c r="CR90" s="1592"/>
      <c r="CS90" s="1593"/>
      <c r="CT90" s="1591" t="str">
        <f>IF(CT88="","",CT88/CT89)</f>
        <v/>
      </c>
      <c r="CU90" s="1592"/>
      <c r="CV90" s="1593"/>
      <c r="CW90" s="1591" t="str">
        <f>IF(CW88="","",CW88/CW89)</f>
        <v/>
      </c>
      <c r="CX90" s="1592"/>
      <c r="CY90" s="1593"/>
      <c r="CZ90" s="1591" t="str">
        <f>IF(CZ88="","",CZ88/CZ89)</f>
        <v/>
      </c>
      <c r="DA90" s="1592"/>
      <c r="DB90" s="1593"/>
      <c r="DC90" s="1591" t="str">
        <f>IF(DC88="","",DC88/DC89)</f>
        <v/>
      </c>
      <c r="DD90" s="1592"/>
      <c r="DE90" s="1593"/>
      <c r="DF90" s="1591" t="str">
        <f>IF(DF88="","",DF88/DF89)</f>
        <v/>
      </c>
      <c r="DG90" s="1592"/>
      <c r="DH90" s="1593"/>
      <c r="DI90" s="1591" t="str">
        <f>IF(DI88="","",DI88/DI89)</f>
        <v/>
      </c>
      <c r="DJ90" s="1592"/>
      <c r="DK90" s="1593"/>
      <c r="DL90" s="1591" t="str">
        <f>IF(DL88="","",DL88/DL89)</f>
        <v/>
      </c>
      <c r="DM90" s="1592"/>
      <c r="DN90" s="1593"/>
      <c r="DO90" s="1591" t="str">
        <f>IF(DO88="","",DO88/DO89)</f>
        <v/>
      </c>
      <c r="DP90" s="1592"/>
      <c r="DQ90" s="1593"/>
      <c r="DR90" s="1591" t="str">
        <f>IF(DR88="","",DR88/DR89)</f>
        <v/>
      </c>
      <c r="DS90" s="1592"/>
      <c r="DT90" s="1593"/>
      <c r="DU90" s="1591" t="str">
        <f>IF(DU88="","",DU88/DU89)</f>
        <v/>
      </c>
      <c r="DV90" s="1592"/>
      <c r="DW90" s="1593"/>
      <c r="DX90" s="147"/>
    </row>
    <row r="91" ht="20.25" customHeight="true" x14ac:dyDescent="0.25">
      <c r="B91" s="744"/>
      <c r="C91" s="1163"/>
      <c r="D91" s="140"/>
      <c r="E91" s="1163"/>
      <c r="F91" s="1726" t="s">
        <v>1488</v>
      </c>
      <c r="G91" s="1727"/>
      <c r="H91" s="1594">
        <v>0.5</v>
      </c>
      <c r="I91" s="1728"/>
      <c r="J91" s="1729"/>
      <c r="K91" s="1594"/>
      <c r="L91" s="1595"/>
      <c r="M91" s="1596"/>
      <c r="N91" s="1594"/>
      <c r="O91" s="1595"/>
      <c r="P91" s="1596"/>
      <c r="Q91" s="1594"/>
      <c r="R91" s="1595"/>
      <c r="S91" s="1595"/>
      <c r="T91" s="1793"/>
      <c r="U91" s="1794"/>
      <c r="V91" s="1795"/>
      <c r="W91" s="1595"/>
      <c r="X91" s="1595"/>
      <c r="Y91" s="1596"/>
      <c r="Z91" s="1594"/>
      <c r="AA91" s="1595"/>
      <c r="AB91" s="1596"/>
      <c r="AC91" s="1595"/>
      <c r="AD91" s="1595"/>
      <c r="AE91" s="1596"/>
      <c r="AF91" s="1594"/>
      <c r="AG91" s="1595"/>
      <c r="AH91" s="1596"/>
      <c r="AI91" s="1594"/>
      <c r="AJ91" s="1595"/>
      <c r="AK91" s="1596"/>
      <c r="AL91" s="1594"/>
      <c r="AM91" s="1595"/>
      <c r="AN91" s="1596"/>
      <c r="AO91" s="1594"/>
      <c r="AP91" s="1595"/>
      <c r="AQ91" s="1596"/>
      <c r="AR91" s="1594"/>
      <c r="AS91" s="1595"/>
      <c r="AT91" s="1596"/>
      <c r="AU91" s="1594"/>
      <c r="AV91" s="1595"/>
      <c r="AW91" s="1596"/>
      <c r="AX91" s="1594"/>
      <c r="AY91" s="1595"/>
      <c r="AZ91" s="1596"/>
      <c r="BA91" s="1594"/>
      <c r="BB91" s="1595"/>
      <c r="BC91" s="1596"/>
      <c r="BD91" s="1594"/>
      <c r="BE91" s="1595"/>
      <c r="BF91" s="1596"/>
      <c r="BG91" s="1594"/>
      <c r="BH91" s="1595"/>
      <c r="BI91" s="1596"/>
      <c r="BJ91" s="1594"/>
      <c r="BK91" s="1595"/>
      <c r="BL91" s="1596"/>
      <c r="BM91" s="1594"/>
      <c r="BN91" s="1595"/>
      <c r="BO91" s="1596"/>
      <c r="BP91" s="1594"/>
      <c r="BQ91" s="1595"/>
      <c r="BR91" s="1596"/>
      <c r="BS91" s="1594"/>
      <c r="BT91" s="1595"/>
      <c r="BU91" s="1596"/>
      <c r="BV91" s="1594"/>
      <c r="BW91" s="1595"/>
      <c r="BX91" s="1596"/>
      <c r="BY91" s="1594"/>
      <c r="BZ91" s="1595"/>
      <c r="CA91" s="1596"/>
      <c r="CB91" s="1594"/>
      <c r="CC91" s="1595"/>
      <c r="CD91" s="1596"/>
      <c r="CE91" s="1594"/>
      <c r="CF91" s="1595"/>
      <c r="CG91" s="1596"/>
      <c r="CH91" s="1594"/>
      <c r="CI91" s="1595"/>
      <c r="CJ91" s="1596"/>
      <c r="CK91" s="1594"/>
      <c r="CL91" s="1595"/>
      <c r="CM91" s="1596"/>
      <c r="CN91" s="1594"/>
      <c r="CO91" s="1595"/>
      <c r="CP91" s="1596"/>
      <c r="CQ91" s="1594"/>
      <c r="CR91" s="1595"/>
      <c r="CS91" s="1596"/>
      <c r="CT91" s="1594"/>
      <c r="CU91" s="1595"/>
      <c r="CV91" s="1596"/>
      <c r="CW91" s="1594"/>
      <c r="CX91" s="1595"/>
      <c r="CY91" s="1596"/>
      <c r="CZ91" s="1594"/>
      <c r="DA91" s="1595"/>
      <c r="DB91" s="1596"/>
      <c r="DC91" s="1594"/>
      <c r="DD91" s="1595"/>
      <c r="DE91" s="1596"/>
      <c r="DF91" s="1594"/>
      <c r="DG91" s="1595"/>
      <c r="DH91" s="1596"/>
      <c r="DI91" s="1594"/>
      <c r="DJ91" s="1595"/>
      <c r="DK91" s="1596"/>
      <c r="DL91" s="1594"/>
      <c r="DM91" s="1595"/>
      <c r="DN91" s="1596"/>
      <c r="DO91" s="1594"/>
      <c r="DP91" s="1595"/>
      <c r="DQ91" s="1596"/>
      <c r="DR91" s="1594"/>
      <c r="DS91" s="1595"/>
      <c r="DT91" s="1596"/>
      <c r="DU91" s="1594"/>
      <c r="DV91" s="1595"/>
      <c r="DW91" s="1596"/>
      <c r="DX91" s="147"/>
    </row>
    <row r="92" ht="20.25" customHeight="true" thickBot="true" x14ac:dyDescent="0.3">
      <c r="B92" s="744"/>
      <c r="C92" s="1163"/>
      <c r="D92" s="140"/>
      <c r="E92" s="1163"/>
      <c r="F92" s="1730" t="s">
        <v>1489</v>
      </c>
      <c r="G92" s="1731"/>
      <c r="H92" s="1597">
        <f>IF(H88="","",H91*H88)</f>
        <v>3389.3896000276663</v>
      </c>
      <c r="I92" s="1778"/>
      <c r="J92" s="1779"/>
      <c r="K92" s="1597" t="str">
        <f>IF(K88="","",K91*K88)</f>
        <v/>
      </c>
      <c r="L92" s="1598"/>
      <c r="M92" s="1599"/>
      <c r="N92" s="1597" t="str">
        <f>IF(N88="","",N91*N88)</f>
        <v/>
      </c>
      <c r="O92" s="1598"/>
      <c r="P92" s="1599"/>
      <c r="Q92" s="1597" t="str">
        <f>IF(Q88="","",Q91*Q88)</f>
        <v/>
      </c>
      <c r="R92" s="1598"/>
      <c r="S92" s="1598"/>
      <c r="T92" s="1706" t="str">
        <f>IF(T88="","",T91*T88)</f>
        <v/>
      </c>
      <c r="U92" s="1707"/>
      <c r="V92" s="1708"/>
      <c r="W92" s="1598" t="str">
        <f>IF(W88="","",W91*W88)</f>
        <v/>
      </c>
      <c r="X92" s="1598"/>
      <c r="Y92" s="1599"/>
      <c r="Z92" s="1597" t="str">
        <f>IF(Z88="","",Z91*Z88)</f>
        <v/>
      </c>
      <c r="AA92" s="1598"/>
      <c r="AB92" s="1599"/>
      <c r="AC92" s="1598" t="str">
        <f>IF(AC88="","",AC91*AC88)</f>
        <v/>
      </c>
      <c r="AD92" s="1598"/>
      <c r="AE92" s="1599"/>
      <c r="AF92" s="1597" t="str">
        <f>IF(AF88="","",AF91*AF88)</f>
        <v/>
      </c>
      <c r="AG92" s="1598"/>
      <c r="AH92" s="1599"/>
      <c r="AI92" s="1597" t="str">
        <f>IF(AI88="","",AI91*AI88)</f>
        <v/>
      </c>
      <c r="AJ92" s="1598"/>
      <c r="AK92" s="1599"/>
      <c r="AL92" s="1597" t="str">
        <f>IF(AL88="","",AL91*AL88)</f>
        <v/>
      </c>
      <c r="AM92" s="1598"/>
      <c r="AN92" s="1599"/>
      <c r="AO92" s="1597" t="str">
        <f>IF(AO88="","",AO91*AO88)</f>
        <v/>
      </c>
      <c r="AP92" s="1598"/>
      <c r="AQ92" s="1599"/>
      <c r="AR92" s="1597" t="str">
        <f>IF(AR88="","",AR91*AR88)</f>
        <v/>
      </c>
      <c r="AS92" s="1598"/>
      <c r="AT92" s="1599"/>
      <c r="AU92" s="1597" t="str">
        <f>IF(AU88="","",AU91*AU88)</f>
        <v/>
      </c>
      <c r="AV92" s="1598"/>
      <c r="AW92" s="1599"/>
      <c r="AX92" s="1597" t="str">
        <f>IF(AX88="","",AX91*AX88)</f>
        <v/>
      </c>
      <c r="AY92" s="1598"/>
      <c r="AZ92" s="1599"/>
      <c r="BA92" s="1597" t="str">
        <f>IF(BA88="","",BA91*BA88)</f>
        <v/>
      </c>
      <c r="BB92" s="1598"/>
      <c r="BC92" s="1599"/>
      <c r="BD92" s="1597" t="str">
        <f>IF(BD88="","",BD91*BD88)</f>
        <v/>
      </c>
      <c r="BE92" s="1598"/>
      <c r="BF92" s="1599"/>
      <c r="BG92" s="1597" t="str">
        <f>IF(BG88="","",BG91*BG88)</f>
        <v/>
      </c>
      <c r="BH92" s="1598"/>
      <c r="BI92" s="1599"/>
      <c r="BJ92" s="1597" t="str">
        <f>IF(BJ88="","",BJ91*BJ88)</f>
        <v/>
      </c>
      <c r="BK92" s="1598"/>
      <c r="BL92" s="1599"/>
      <c r="BM92" s="1597" t="str">
        <f>IF(BM88="","",BM91*BM88)</f>
        <v/>
      </c>
      <c r="BN92" s="1598"/>
      <c r="BO92" s="1599"/>
      <c r="BP92" s="1597" t="str">
        <f>IF(BP88="","",BP91*BP88)</f>
        <v/>
      </c>
      <c r="BQ92" s="1598"/>
      <c r="BR92" s="1599"/>
      <c r="BS92" s="1597" t="str">
        <f>IF(BS88="","",BS91*BS88)</f>
        <v/>
      </c>
      <c r="BT92" s="1598"/>
      <c r="BU92" s="1599"/>
      <c r="BV92" s="1597" t="str">
        <f>IF(BV88="","",BV91*BV88)</f>
        <v/>
      </c>
      <c r="BW92" s="1598"/>
      <c r="BX92" s="1599"/>
      <c r="BY92" s="1597" t="str">
        <f>IF(BY88="","",BY91*BY88)</f>
        <v/>
      </c>
      <c r="BZ92" s="1598"/>
      <c r="CA92" s="1599"/>
      <c r="CB92" s="1597" t="str">
        <f>IF(CB88="","",CB91*CB88)</f>
        <v/>
      </c>
      <c r="CC92" s="1598"/>
      <c r="CD92" s="1599"/>
      <c r="CE92" s="1597" t="str">
        <f>IF(CE88="","",CE91*CE88)</f>
        <v/>
      </c>
      <c r="CF92" s="1598"/>
      <c r="CG92" s="1599"/>
      <c r="CH92" s="1597" t="str">
        <f>IF(CH88="","",CH91*CH88)</f>
        <v/>
      </c>
      <c r="CI92" s="1598"/>
      <c r="CJ92" s="1599"/>
      <c r="CK92" s="1597" t="str">
        <f>IF(CK88="","",CK91*CK88)</f>
        <v/>
      </c>
      <c r="CL92" s="1598"/>
      <c r="CM92" s="1599"/>
      <c r="CN92" s="1597" t="str">
        <f>IF(CN88="","",CN91*CN88)</f>
        <v/>
      </c>
      <c r="CO92" s="1598"/>
      <c r="CP92" s="1599"/>
      <c r="CQ92" s="1597" t="str">
        <f>IF(CQ88="","",CQ91*CQ88)</f>
        <v/>
      </c>
      <c r="CR92" s="1598"/>
      <c r="CS92" s="1599"/>
      <c r="CT92" s="1597" t="str">
        <f>IF(CT88="","",CT91*CT88)</f>
        <v/>
      </c>
      <c r="CU92" s="1598"/>
      <c r="CV92" s="1599"/>
      <c r="CW92" s="1597" t="str">
        <f>IF(CW88="","",CW91*CW88)</f>
        <v/>
      </c>
      <c r="CX92" s="1598"/>
      <c r="CY92" s="1599"/>
      <c r="CZ92" s="1597" t="str">
        <f>IF(CZ88="","",CZ91*CZ88)</f>
        <v/>
      </c>
      <c r="DA92" s="1598"/>
      <c r="DB92" s="1599"/>
      <c r="DC92" s="1597" t="str">
        <f>IF(DC88="","",DC91*DC88)</f>
        <v/>
      </c>
      <c r="DD92" s="1598"/>
      <c r="DE92" s="1599"/>
      <c r="DF92" s="1597" t="str">
        <f>IF(DF88="","",DF91*DF88)</f>
        <v/>
      </c>
      <c r="DG92" s="1598"/>
      <c r="DH92" s="1599"/>
      <c r="DI92" s="1597" t="str">
        <f>IF(DI88="","",DI91*DI88)</f>
        <v/>
      </c>
      <c r="DJ92" s="1598"/>
      <c r="DK92" s="1599"/>
      <c r="DL92" s="1597" t="str">
        <f>IF(DL88="","",DL91*DL88)</f>
        <v/>
      </c>
      <c r="DM92" s="1598"/>
      <c r="DN92" s="1599"/>
      <c r="DO92" s="1597" t="str">
        <f>IF(DO88="","",DO91*DO88)</f>
        <v/>
      </c>
      <c r="DP92" s="1598"/>
      <c r="DQ92" s="1599"/>
      <c r="DR92" s="1597" t="str">
        <f>IF(DR88="","",DR91*DR88)</f>
        <v/>
      </c>
      <c r="DS92" s="1598"/>
      <c r="DT92" s="1599"/>
      <c r="DU92" s="1597" t="str">
        <f>IF(DU88="","",DU91*DU88)</f>
        <v/>
      </c>
      <c r="DV92" s="1598"/>
      <c r="DW92" s="1599"/>
      <c r="DX92" s="147"/>
    </row>
    <row r="93" ht="20.25" customHeight="true" thickBot="true" x14ac:dyDescent="0.3">
      <c r="B93" s="745"/>
      <c r="C93" s="665"/>
      <c r="D93" s="141"/>
      <c r="E93" s="665"/>
      <c r="F93" s="763"/>
      <c r="G93" s="763"/>
      <c r="H93" s="665"/>
      <c r="I93" s="141"/>
      <c r="J93" s="665"/>
      <c r="K93" s="665"/>
      <c r="L93" s="665"/>
      <c r="M93" s="665"/>
      <c r="N93" s="665"/>
      <c r="O93" s="665"/>
      <c r="P93" s="665"/>
      <c r="Q93" s="665"/>
      <c r="R93" s="1161"/>
      <c r="S93" s="1161"/>
      <c r="T93" s="1161"/>
      <c r="U93" s="1161"/>
      <c r="V93" s="665"/>
      <c r="W93" s="665"/>
      <c r="X93" s="665"/>
      <c r="Y93" s="158"/>
      <c r="Z93" s="665"/>
      <c r="AA93" s="665"/>
      <c r="AB93" s="665"/>
      <c r="AC93" s="665"/>
      <c r="AD93" s="777"/>
      <c r="AE93" s="665"/>
      <c r="AF93" s="141"/>
      <c r="AG93" s="665"/>
      <c r="AH93" s="665"/>
      <c r="AI93" s="665"/>
      <c r="AJ93" s="665"/>
      <c r="AK93" s="665"/>
      <c r="AL93" s="778"/>
      <c r="AM93" s="778"/>
      <c r="AN93" s="778"/>
      <c r="AO93" s="778"/>
      <c r="AP93" s="778"/>
      <c r="AQ93" s="778"/>
      <c r="AR93" s="778"/>
      <c r="AS93" s="778"/>
      <c r="AT93" s="778"/>
      <c r="AU93" s="778"/>
      <c r="AV93" s="141"/>
      <c r="AW93" s="141"/>
      <c r="AX93" s="141"/>
      <c r="AY93" s="141"/>
      <c r="AZ93" s="141"/>
      <c r="BA93" s="141"/>
      <c r="BB93" s="141"/>
      <c r="BC93" s="141"/>
      <c r="BD93" s="141"/>
      <c r="BE93" s="141"/>
      <c r="BF93" s="141"/>
      <c r="BG93" s="141"/>
      <c r="BH93" s="141"/>
      <c r="BI93" s="141"/>
      <c r="BJ93" s="141"/>
      <c r="BK93" s="141"/>
      <c r="BL93" s="1161"/>
      <c r="BM93" s="141"/>
      <c r="BN93" s="141"/>
      <c r="BO93" s="141"/>
      <c r="BP93" s="141"/>
      <c r="BQ93" s="141"/>
      <c r="BR93" s="158"/>
      <c r="BS93" s="141"/>
      <c r="BT93" s="141"/>
      <c r="BU93" s="141"/>
      <c r="BV93" s="141"/>
      <c r="BW93" s="141"/>
      <c r="BX93" s="141"/>
      <c r="BY93" s="141"/>
      <c r="BZ93" s="141"/>
      <c r="CA93" s="665"/>
      <c r="CB93" s="141"/>
      <c r="CC93" s="665"/>
      <c r="CD93" s="141"/>
      <c r="CE93" s="141"/>
      <c r="CF93" s="141"/>
      <c r="CG93" s="141"/>
      <c r="CH93" s="141"/>
      <c r="CI93" s="141"/>
      <c r="CJ93" s="141"/>
      <c r="CK93" s="141"/>
      <c r="CL93" s="141"/>
      <c r="CM93" s="141"/>
      <c r="CN93" s="141"/>
      <c r="CO93" s="141"/>
      <c r="CP93" s="141"/>
      <c r="CQ93" s="141"/>
      <c r="CR93" s="141"/>
      <c r="CS93" s="141"/>
      <c r="CT93" s="141"/>
      <c r="CU93" s="141"/>
      <c r="CV93" s="141"/>
      <c r="CW93" s="141"/>
      <c r="CX93" s="141"/>
      <c r="CY93" s="158"/>
      <c r="CZ93" s="141"/>
      <c r="DA93" s="141"/>
      <c r="DB93" s="141"/>
      <c r="DC93" s="141"/>
      <c r="DD93" s="141"/>
      <c r="DE93" s="141"/>
      <c r="DF93" s="141"/>
      <c r="DG93" s="141"/>
      <c r="DH93" s="141"/>
      <c r="DI93" s="141"/>
      <c r="DJ93" s="141"/>
      <c r="DK93" s="141"/>
      <c r="DL93" s="141"/>
      <c r="DM93" s="141"/>
      <c r="DN93" s="141"/>
      <c r="DO93" s="141"/>
      <c r="DP93" s="141"/>
      <c r="DQ93" s="141"/>
      <c r="DR93" s="141"/>
      <c r="DS93" s="141"/>
      <c r="DT93" s="141"/>
      <c r="DU93" s="141"/>
      <c r="DV93" s="141"/>
      <c r="DW93" s="141"/>
      <c r="DX93" s="145"/>
    </row>
    <row r="94" ht="20.25" customHeight="true" x14ac:dyDescent="0.25">
      <c r="C94" s="9"/>
      <c r="D94" s="8"/>
      <c r="E94" s="9"/>
      <c r="F94" s="10"/>
      <c r="G94" s="10"/>
      <c r="I94" s="8"/>
      <c r="K94" s="9"/>
      <c r="L94" s="9"/>
      <c r="M94" s="9"/>
      <c r="N94" s="9"/>
      <c r="O94" s="9"/>
      <c r="P94" s="9"/>
      <c r="Q94" s="9"/>
      <c r="U94" s="758"/>
      <c r="Y94"/>
      <c r="AC94" s="9"/>
      <c r="AD94" s="759"/>
      <c r="AE94" s="9"/>
      <c r="AF94" s="8"/>
      <c r="AK94" s="9"/>
      <c r="BK94" s="8"/>
      <c r="BL94" s="758"/>
      <c r="BQ94" s="8"/>
      <c r="BR94"/>
      <c r="BS94" s="8"/>
      <c r="BV94" s="8"/>
      <c r="BW94" s="8"/>
      <c r="BY94" s="8"/>
      <c r="CA94" s="9"/>
      <c r="CE94" s="8"/>
    </row>
    <row r="95" ht="20.25" customHeight="true" x14ac:dyDescent="0.25">
      <c r="D95" s="8"/>
      <c r="E95" s="9"/>
      <c r="F95" s="10"/>
      <c r="G95" s="10"/>
      <c r="I95" s="8"/>
      <c r="K95" s="9"/>
      <c r="L95" s="9"/>
      <c r="M95" s="9"/>
      <c r="N95" s="9" t="s">
        <v>1843</v>
      </c>
      <c r="O95" s="9" t="s">
        <v>1843</v>
      </c>
      <c r="P95" s="9" t="s">
        <v>1843</v>
      </c>
      <c r="Q95" s="9"/>
      <c r="U95" s="758"/>
      <c r="Y95"/>
      <c r="AC95" s="9"/>
      <c r="AD95" s="759"/>
      <c r="AE95" s="9"/>
      <c r="AF95" s="8"/>
      <c r="AK95" s="9"/>
      <c r="BK95" s="8"/>
      <c r="BL95" s="758"/>
      <c r="BQ95" s="8"/>
      <c r="BR95"/>
      <c r="BS95" s="8"/>
      <c r="BV95" s="8"/>
      <c r="BW95" s="8"/>
      <c r="BY95" s="8"/>
      <c r="CA95" s="9"/>
      <c r="CE95" s="8"/>
    </row>
    <row r="96" ht="20.25" customHeight="true" x14ac:dyDescent="0.25">
      <c r="D96" s="8"/>
      <c r="E96" s="9"/>
      <c r="F96" s="10"/>
      <c r="G96" s="10"/>
      <c r="I96" s="8"/>
      <c r="K96" s="9"/>
      <c r="L96" s="9"/>
      <c r="M96" s="9"/>
      <c r="N96" s="9" t="s">
        <v>1843</v>
      </c>
      <c r="O96" s="9" t="s">
        <v>1843</v>
      </c>
      <c r="P96" s="9" t="s">
        <v>1843</v>
      </c>
      <c r="Q96" s="9"/>
      <c r="U96" s="758"/>
      <c r="Y96"/>
      <c r="AC96" s="9"/>
      <c r="AD96" s="759"/>
      <c r="AE96" s="9"/>
      <c r="AF96" s="8"/>
      <c r="AK96" s="9"/>
      <c r="BK96" s="8"/>
      <c r="BL96" s="758"/>
      <c r="BQ96" s="8"/>
      <c r="BR96"/>
      <c r="BS96" s="8"/>
      <c r="BV96" s="8"/>
      <c r="BW96" s="8"/>
      <c r="BY96" s="8"/>
      <c r="CA96" s="9"/>
      <c r="CE96" s="8"/>
    </row>
    <row r="97" ht="20.25" customHeight="true" x14ac:dyDescent="0.25">
      <c r="D97" s="8"/>
      <c r="E97" s="9"/>
      <c r="F97" s="10"/>
      <c r="G97" s="10"/>
      <c r="L97" s="9"/>
      <c r="M97" s="9"/>
      <c r="N97" s="9"/>
      <c r="O97" s="9"/>
      <c r="P97" s="9"/>
      <c r="Q97" s="9"/>
      <c r="U97" s="758"/>
      <c r="Y97"/>
      <c r="AC97" s="9"/>
      <c r="AD97" s="759"/>
      <c r="AE97" s="9"/>
      <c r="AF97" s="8"/>
      <c r="AK97" s="9"/>
      <c r="BK97" s="8"/>
      <c r="BL97" s="758"/>
      <c r="BQ97" s="8"/>
      <c r="BR97"/>
      <c r="BS97" s="8"/>
      <c r="BV97" s="8"/>
      <c r="BW97" s="8"/>
      <c r="BY97" s="8"/>
      <c r="CA97" s="9"/>
      <c r="CE97" s="8"/>
    </row>
    <row r="98" ht="20.25" customHeight="true" x14ac:dyDescent="0.25">
      <c r="D98" s="8"/>
      <c r="E98" s="9"/>
      <c r="F98" s="10"/>
      <c r="G98" s="10"/>
      <c r="L98" s="9"/>
      <c r="M98" s="9"/>
      <c r="N98" s="9"/>
      <c r="O98" s="9"/>
      <c r="P98" s="9"/>
      <c r="Q98" s="9"/>
      <c r="U98" s="758"/>
      <c r="Y98"/>
      <c r="AC98" s="9"/>
      <c r="AD98" s="759"/>
      <c r="AE98" s="9"/>
      <c r="AF98" s="8"/>
      <c r="AK98" s="9"/>
      <c r="BK98" s="8"/>
      <c r="BL98" s="758"/>
      <c r="BQ98" s="8"/>
      <c r="BR98"/>
      <c r="BS98" s="8"/>
      <c r="BV98" s="8"/>
      <c r="BW98" s="8"/>
      <c r="BY98" s="8"/>
      <c r="CA98" s="9"/>
      <c r="CE98" s="8"/>
    </row>
    <row r="99" ht="20.25" customHeight="true" x14ac:dyDescent="0.25">
      <c r="D99" s="8"/>
      <c r="E99" s="9"/>
      <c r="F99" s="66"/>
      <c r="L99" s="9"/>
      <c r="M99" s="9"/>
      <c r="N99" s="9"/>
      <c r="O99" s="9"/>
      <c r="P99" s="9"/>
      <c r="Q99" s="9"/>
      <c r="U99" s="758"/>
      <c r="Y99"/>
      <c r="AC99" s="9"/>
      <c r="AD99" s="759"/>
      <c r="AE99" s="9"/>
      <c r="AF99" s="8"/>
      <c r="AK99" s="9"/>
      <c r="BK99" s="8"/>
      <c r="BL99" s="758"/>
      <c r="BQ99" s="8"/>
      <c r="BR99"/>
      <c r="BS99" s="8"/>
      <c r="BV99" s="8"/>
      <c r="BW99" s="8"/>
      <c r="BY99" s="8"/>
      <c r="CA99" s="9"/>
      <c r="CE99" s="8"/>
    </row>
    <row r="100" ht="23.25" customHeight="true" x14ac:dyDescent="0.25">
      <c r="D100" s="8"/>
      <c r="E100" s="9"/>
      <c r="F100" s="66"/>
      <c r="L100" s="9"/>
      <c r="M100" s="9"/>
      <c r="N100" s="9"/>
      <c r="O100" s="9"/>
      <c r="P100" s="9"/>
      <c r="Q100" s="9"/>
      <c r="U100" s="758"/>
      <c r="Y100"/>
      <c r="AC100" s="9"/>
      <c r="AD100" s="759"/>
      <c r="AE100" s="9"/>
      <c r="AF100" s="8"/>
      <c r="AK100" s="9"/>
      <c r="BK100" s="8"/>
      <c r="BL100" s="758"/>
      <c r="BQ100" s="8"/>
      <c r="BR100"/>
      <c r="BS100" s="8"/>
      <c r="BV100" s="8"/>
      <c r="BW100" s="8"/>
      <c r="BY100" s="8"/>
      <c r="CA100" s="9"/>
      <c r="CE100" s="8"/>
    </row>
    <row r="101" ht="23.25" customHeight="true" thickBot="true" x14ac:dyDescent="0.3">
      <c r="D101" s="8"/>
      <c r="E101" s="9"/>
      <c r="F101" s="66"/>
      <c r="L101" s="9"/>
      <c r="M101" s="9"/>
      <c r="N101" s="9"/>
      <c r="O101" s="9"/>
      <c r="P101" s="9"/>
      <c r="Q101" s="9"/>
      <c r="U101" s="758"/>
      <c r="Y101"/>
      <c r="AC101" s="9"/>
      <c r="AD101" s="759"/>
      <c r="AE101" s="9"/>
      <c r="AF101" s="8"/>
      <c r="AK101" s="9"/>
      <c r="BK101" s="8"/>
      <c r="BL101" s="758"/>
      <c r="BQ101" s="8"/>
      <c r="BR101"/>
      <c r="BS101" s="8"/>
      <c r="BV101" s="8"/>
      <c r="BW101" s="8"/>
      <c r="BY101" s="8"/>
      <c r="CA101" s="9"/>
      <c r="CE101" s="8"/>
    </row>
    <row r="102" ht="35.25" customHeight="true" thickBot="true" x14ac:dyDescent="0.7">
      <c r="B102" s="743" t="s">
        <v>2326</v>
      </c>
      <c r="C102" s="142"/>
      <c r="D102" s="142"/>
      <c r="E102" s="1645" t="s">
        <v>2215</v>
      </c>
      <c r="F102" s="1645"/>
      <c r="G102" s="666" t="s">
        <v>1490</v>
      </c>
      <c r="H102" s="1585"/>
      <c r="I102" s="1585"/>
      <c r="J102" s="1585"/>
      <c r="K102" s="1585"/>
      <c r="L102" s="1585"/>
      <c r="M102" s="1585"/>
      <c r="N102" s="1585"/>
      <c r="O102" s="1585"/>
      <c r="P102" s="1585"/>
      <c r="Q102" s="1585"/>
      <c r="R102" s="1585"/>
      <c r="S102" s="1585"/>
      <c r="T102" s="1585"/>
      <c r="U102" s="1585"/>
      <c r="V102" s="1585"/>
      <c r="W102" s="1585"/>
      <c r="X102" s="1585"/>
      <c r="Y102" s="1585"/>
      <c r="Z102" s="1585"/>
      <c r="AA102" s="1585"/>
      <c r="AB102" s="1705"/>
    </row>
    <row r="103" ht="23.25" customHeight="true" thickBot="true" x14ac:dyDescent="0.3">
      <c r="B103" s="1612"/>
      <c r="C103" s="1613"/>
      <c r="D103" s="1613"/>
      <c r="E103" s="1613"/>
      <c r="F103" s="140"/>
      <c r="G103" s="140"/>
      <c r="H103" s="1765"/>
      <c r="I103" s="1765"/>
      <c r="J103" s="1765"/>
      <c r="K103" s="1765"/>
      <c r="L103" s="1765"/>
      <c r="M103" s="1765"/>
      <c r="N103" s="1765"/>
      <c r="O103" s="1765"/>
      <c r="P103" s="1765"/>
      <c r="Q103" s="1765"/>
      <c r="R103" s="1765"/>
      <c r="S103" s="1765"/>
      <c r="T103" s="1765"/>
      <c r="U103" s="1765"/>
      <c r="V103" s="1765"/>
      <c r="W103" s="1765"/>
      <c r="X103" s="1765"/>
      <c r="Y103" s="1765"/>
      <c r="Z103" s="1765"/>
      <c r="AA103" s="1765"/>
      <c r="AB103" s="1796"/>
    </row>
    <row r="104" ht="23.25" customHeight="true" x14ac:dyDescent="0.25">
      <c r="B104" s="1612"/>
      <c r="C104" s="1613"/>
      <c r="D104" s="1613"/>
      <c r="E104" s="1613"/>
      <c r="F104" s="30" t="s">
        <v>1497</v>
      </c>
      <c r="G104" s="1032">
        <v>1</v>
      </c>
      <c r="H104" s="1765"/>
      <c r="I104" s="1765"/>
      <c r="J104" s="1765"/>
      <c r="K104" s="1765"/>
      <c r="L104" s="1765"/>
      <c r="M104" s="1765"/>
      <c r="N104" s="1765"/>
      <c r="O104" s="1765"/>
      <c r="P104" s="1765"/>
      <c r="Q104" s="1765"/>
      <c r="R104" s="1765"/>
      <c r="S104" s="1765"/>
      <c r="T104" s="1765"/>
      <c r="U104" s="1765"/>
      <c r="V104" s="1765"/>
      <c r="W104" s="1765"/>
      <c r="X104" s="1765"/>
      <c r="Y104" s="1765"/>
      <c r="Z104" s="1765"/>
      <c r="AA104" s="1765"/>
      <c r="AB104" s="1796"/>
    </row>
    <row r="105" ht="23.25" customHeight="true" x14ac:dyDescent="0.25">
      <c r="B105" s="1612"/>
      <c r="C105" s="1613"/>
      <c r="D105" s="1613"/>
      <c r="E105" s="1613"/>
      <c r="F105" s="1151" t="s">
        <v>1514</v>
      </c>
      <c r="G105" s="1033">
        <v>3</v>
      </c>
      <c r="H105" s="1765"/>
      <c r="I105" s="1765"/>
      <c r="J105" s="1765"/>
      <c r="K105" s="1765"/>
      <c r="L105" s="1765"/>
      <c r="M105" s="1765"/>
      <c r="N105" s="1765"/>
      <c r="O105" s="1765"/>
      <c r="P105" s="1765"/>
      <c r="Q105" s="1765"/>
      <c r="R105" s="1765"/>
      <c r="S105" s="1765"/>
      <c r="T105" s="1765"/>
      <c r="U105" s="1765"/>
      <c r="V105" s="1765"/>
      <c r="W105" s="1765"/>
      <c r="X105" s="1765"/>
      <c r="Y105" s="1765"/>
      <c r="Z105" s="1765"/>
      <c r="AA105" s="1765"/>
      <c r="AB105" s="1796"/>
    </row>
    <row r="106" ht="23.25" customHeight="true" thickBot="true" x14ac:dyDescent="0.3">
      <c r="B106" s="1612"/>
      <c r="C106" s="1613"/>
      <c r="D106" s="1613"/>
      <c r="E106" s="1613"/>
      <c r="F106" s="31" t="s">
        <v>1550</v>
      </c>
      <c r="G106" s="1583" t="s">
        <v>2417</v>
      </c>
      <c r="H106" s="1586"/>
      <c r="I106" s="1586"/>
      <c r="J106" s="1586"/>
      <c r="K106" s="1586"/>
      <c r="L106" s="1586"/>
      <c r="M106" s="1586"/>
      <c r="N106" s="1586"/>
      <c r="O106" s="1586"/>
      <c r="P106" s="1586"/>
      <c r="Q106" s="1586"/>
      <c r="R106" s="1586"/>
      <c r="S106" s="1586"/>
      <c r="T106" s="1586"/>
      <c r="U106" s="1586"/>
      <c r="V106" s="1586"/>
      <c r="W106" s="1586"/>
      <c r="X106" s="1586"/>
      <c r="Y106" s="1586"/>
      <c r="Z106" s="1586"/>
      <c r="AA106" s="1586"/>
      <c r="AB106" s="1796"/>
    </row>
    <row r="107" ht="23.25" customHeight="true" x14ac:dyDescent="0.3">
      <c r="B107" s="1612"/>
      <c r="C107" s="1613"/>
      <c r="D107" s="1613"/>
      <c r="E107" s="1613"/>
      <c r="F107" s="1780" t="s">
        <v>1491</v>
      </c>
      <c r="G107" s="1781"/>
      <c r="H107" s="123">
        <v>1</v>
      </c>
      <c r="I107" s="123">
        <f>H107+1</f>
        <v>2</v>
      </c>
      <c r="J107" s="123">
        <f t="shared" ref="J107:Z107" si="166">I107+1</f>
        <v>3</v>
      </c>
      <c r="K107" s="123">
        <f t="shared" si="166"/>
        <v>4</v>
      </c>
      <c r="L107" s="123">
        <f t="shared" si="166"/>
        <v>5</v>
      </c>
      <c r="M107" s="1477">
        <f t="shared" si="166"/>
        <v>6</v>
      </c>
      <c r="N107" s="1477">
        <f t="shared" si="166"/>
        <v>7</v>
      </c>
      <c r="O107" s="1477">
        <f t="shared" si="166"/>
        <v>8</v>
      </c>
      <c r="P107" s="1477">
        <f>O107+1</f>
        <v>9</v>
      </c>
      <c r="Q107" s="1477">
        <f t="shared" si="166"/>
        <v>10</v>
      </c>
      <c r="R107" s="1477">
        <f t="shared" si="166"/>
        <v>11</v>
      </c>
      <c r="S107" s="1477">
        <f t="shared" si="166"/>
        <v>12</v>
      </c>
      <c r="T107" s="1477">
        <f t="shared" si="166"/>
        <v>13</v>
      </c>
      <c r="U107" s="1477">
        <f t="shared" si="166"/>
        <v>14</v>
      </c>
      <c r="V107" s="1477">
        <f t="shared" si="166"/>
        <v>15</v>
      </c>
      <c r="W107" s="1477">
        <f>V107+1</f>
        <v>16</v>
      </c>
      <c r="X107" s="1477">
        <f t="shared" si="166"/>
        <v>17</v>
      </c>
      <c r="Y107" s="1477">
        <f t="shared" si="166"/>
        <v>18</v>
      </c>
      <c r="Z107" s="1477">
        <f t="shared" si="166"/>
        <v>19</v>
      </c>
      <c r="AA107" s="1478">
        <f>Z107+1</f>
        <v>20</v>
      </c>
      <c r="AB107" s="1796"/>
    </row>
    <row r="108" ht="23.25" customHeight="true" x14ac:dyDescent="0.25">
      <c r="B108" s="1612"/>
      <c r="C108" s="1613"/>
      <c r="D108" s="1613"/>
      <c r="E108" s="1613"/>
      <c r="F108" s="1760" t="s">
        <v>1496</v>
      </c>
      <c r="G108" s="1761"/>
      <c r="H108" s="1035">
        <v>3</v>
      </c>
      <c r="I108" s="1035">
        <v>4</v>
      </c>
      <c r="J108" s="1035"/>
      <c r="K108" s="1035"/>
      <c r="L108" s="1035"/>
      <c r="M108" s="1035"/>
      <c r="N108" s="1035"/>
      <c r="O108" s="1035"/>
      <c r="P108" s="1036"/>
      <c r="Q108" s="1022"/>
      <c r="R108" s="1036"/>
      <c r="S108" s="1036"/>
      <c r="T108" s="1036"/>
      <c r="U108" s="1022"/>
      <c r="V108" s="1022"/>
      <c r="W108" s="1022"/>
      <c r="X108" s="1022"/>
      <c r="Y108" s="1022"/>
      <c r="Z108" s="1022"/>
      <c r="AA108" s="1023"/>
      <c r="AB108" s="1796"/>
    </row>
    <row r="109" ht="23.25" customHeight="true" x14ac:dyDescent="0.25">
      <c r="B109" s="1612"/>
      <c r="C109" s="1613"/>
      <c r="D109" s="1613"/>
      <c r="E109" s="1613"/>
      <c r="F109" s="1788" t="s">
        <v>1499</v>
      </c>
      <c r="G109" s="1789"/>
      <c r="H109" s="1035">
        <v>4</v>
      </c>
      <c r="I109" s="1035">
        <v>3</v>
      </c>
      <c r="J109" s="1035"/>
      <c r="K109" s="1035"/>
      <c r="L109" s="1035"/>
      <c r="M109" s="1035"/>
      <c r="N109" s="1035"/>
      <c r="O109" s="1035"/>
      <c r="P109" s="1036"/>
      <c r="Q109" s="1022"/>
      <c r="R109" s="1036"/>
      <c r="S109" s="1036"/>
      <c r="T109" s="1036"/>
      <c r="U109" s="1022"/>
      <c r="V109" s="1022"/>
      <c r="W109" s="1022"/>
      <c r="X109" s="1022"/>
      <c r="Y109" s="1022"/>
      <c r="Z109" s="1022"/>
      <c r="AA109" s="1023"/>
      <c r="AB109" s="1796"/>
    </row>
    <row r="110" ht="31.5" customHeight="true" x14ac:dyDescent="0.25">
      <c r="B110" s="1612"/>
      <c r="C110" s="1613"/>
      <c r="D110" s="1613"/>
      <c r="E110" s="1613"/>
      <c r="F110" s="32" t="s">
        <v>1469</v>
      </c>
      <c r="G110" s="1156" t="s">
        <v>1470</v>
      </c>
      <c r="H110" s="33" t="s">
        <v>1495</v>
      </c>
      <c r="I110" s="33" t="s">
        <v>1495</v>
      </c>
      <c r="J110" s="33" t="s">
        <v>1495</v>
      </c>
      <c r="K110" s="33" t="s">
        <v>1495</v>
      </c>
      <c r="L110" s="34" t="s">
        <v>1495</v>
      </c>
      <c r="M110" s="34" t="s">
        <v>1495</v>
      </c>
      <c r="N110" s="34" t="s">
        <v>1495</v>
      </c>
      <c r="O110" s="34" t="s">
        <v>1495</v>
      </c>
      <c r="P110" s="34" t="s">
        <v>1495</v>
      </c>
      <c r="Q110" s="34" t="s">
        <v>1495</v>
      </c>
      <c r="R110" s="34" t="s">
        <v>1495</v>
      </c>
      <c r="S110" s="34" t="s">
        <v>1495</v>
      </c>
      <c r="T110" s="34" t="s">
        <v>1495</v>
      </c>
      <c r="U110" s="34" t="s">
        <v>1495</v>
      </c>
      <c r="V110" s="34" t="s">
        <v>1495</v>
      </c>
      <c r="W110" s="34" t="s">
        <v>1495</v>
      </c>
      <c r="X110" s="34" t="s">
        <v>1495</v>
      </c>
      <c r="Y110" s="34" t="s">
        <v>1495</v>
      </c>
      <c r="Z110" s="34" t="s">
        <v>1495</v>
      </c>
      <c r="AA110" s="34" t="s">
        <v>1495</v>
      </c>
      <c r="AB110" s="1796"/>
    </row>
    <row r="111" ht="23.25" customHeight="true" x14ac:dyDescent="0.25">
      <c r="B111" s="1612"/>
      <c r="C111" s="1613"/>
      <c r="D111" s="1613"/>
      <c r="E111" s="1613"/>
      <c r="F111" s="2">
        <f t="shared" ref="F111:F160" si="167">C32</f>
        <v>1</v>
      </c>
      <c r="G111" s="1153" t="str">
        <f>IF(D32&lt;&gt;"",D32,"")</f>
        <v>Carbon Dioxide</v>
      </c>
      <c r="H111" s="1035">
        <v>1</v>
      </c>
      <c r="I111" s="1031">
        <v>-1</v>
      </c>
      <c r="J111" s="1037"/>
      <c r="K111" s="1035"/>
      <c r="L111" s="1035"/>
      <c r="M111" s="1035"/>
      <c r="N111" s="1035"/>
      <c r="O111" s="1035"/>
      <c r="P111" s="1036"/>
      <c r="Q111" s="1022"/>
      <c r="R111" s="1036"/>
      <c r="S111" s="1036"/>
      <c r="T111" s="1036"/>
      <c r="U111" s="1022"/>
      <c r="V111" s="1022"/>
      <c r="W111" s="1022"/>
      <c r="X111" s="1022"/>
      <c r="Y111" s="1022"/>
      <c r="Z111" s="1022"/>
      <c r="AA111" s="1023"/>
      <c r="AB111" s="1796"/>
    </row>
    <row r="112" ht="23.25" customHeight="true" x14ac:dyDescent="0.25">
      <c r="B112" s="1612"/>
      <c r="C112" s="1613"/>
      <c r="D112" s="1613"/>
      <c r="E112" s="1613"/>
      <c r="F112" s="2">
        <f t="shared" si="167"/>
        <v>2</v>
      </c>
      <c r="G112" s="1153" t="str">
        <f t="shared" ref="G112:G160" si="168">IF(D33&lt;&gt;"",D33,"")</f>
        <v>Water</v>
      </c>
      <c r="H112" s="1035"/>
      <c r="I112" s="1031"/>
      <c r="J112" s="1037"/>
      <c r="K112" s="1037"/>
      <c r="L112" s="1035"/>
      <c r="M112" s="1035"/>
      <c r="N112" s="1035"/>
      <c r="O112" s="1035"/>
      <c r="P112" s="1036"/>
      <c r="Q112" s="1022"/>
      <c r="R112" s="1036"/>
      <c r="S112" s="1036"/>
      <c r="T112" s="1036"/>
      <c r="U112" s="1022"/>
      <c r="V112" s="1022"/>
      <c r="W112" s="1022"/>
      <c r="X112" s="1022"/>
      <c r="Y112" s="1022"/>
      <c r="Z112" s="1022"/>
      <c r="AA112" s="1023"/>
      <c r="AB112" s="1796"/>
    </row>
    <row r="113" ht="23.25" customHeight="true" x14ac:dyDescent="0.25">
      <c r="B113" s="1612"/>
      <c r="C113" s="1613"/>
      <c r="D113" s="1613"/>
      <c r="E113" s="1613"/>
      <c r="F113" s="2">
        <f t="shared" si="167"/>
        <v>3</v>
      </c>
      <c r="G113" s="1153" t="str">
        <f t="shared" si="168"/>
        <v>Calcium Oxide</v>
      </c>
      <c r="H113" s="1035">
        <v>1</v>
      </c>
      <c r="I113" s="1031">
        <v>-1</v>
      </c>
      <c r="J113" s="1037"/>
      <c r="K113" s="1037"/>
      <c r="L113" s="1035"/>
      <c r="M113" s="1035"/>
      <c r="N113" s="1035"/>
      <c r="O113" s="1035"/>
      <c r="P113" s="1036"/>
      <c r="Q113" s="1022"/>
      <c r="R113" s="1036"/>
      <c r="S113" s="1036"/>
      <c r="T113" s="1036"/>
      <c r="U113" s="1022"/>
      <c r="V113" s="1022"/>
      <c r="W113" s="1022"/>
      <c r="X113" s="1022"/>
      <c r="Y113" s="1022"/>
      <c r="Z113" s="1022"/>
      <c r="AA113" s="1023"/>
      <c r="AB113" s="1796"/>
    </row>
    <row r="114" ht="23.25" customHeight="true" x14ac:dyDescent="0.25">
      <c r="B114" s="1612"/>
      <c r="C114" s="1613"/>
      <c r="D114" s="1613"/>
      <c r="E114" s="1613"/>
      <c r="F114" s="2">
        <f t="shared" si="167"/>
        <v>4</v>
      </c>
      <c r="G114" s="1153" t="str">
        <f t="shared" si="168"/>
        <v>Calcium Carbonate</v>
      </c>
      <c r="H114" s="1022">
        <v>-1</v>
      </c>
      <c r="I114" s="1031">
        <v>1</v>
      </c>
      <c r="J114" s="1037"/>
      <c r="K114" s="1037"/>
      <c r="L114" s="1035"/>
      <c r="M114" s="1035"/>
      <c r="N114" s="1035"/>
      <c r="O114" s="1035"/>
      <c r="P114" s="1036"/>
      <c r="Q114" s="1022"/>
      <c r="R114" s="1036"/>
      <c r="S114" s="1036"/>
      <c r="T114" s="1036"/>
      <c r="U114" s="1022"/>
      <c r="V114" s="1022"/>
      <c r="W114" s="1022"/>
      <c r="X114" s="1022"/>
      <c r="Y114" s="1022"/>
      <c r="Z114" s="1022"/>
      <c r="AA114" s="1023"/>
      <c r="AB114" s="1796"/>
    </row>
    <row r="115" ht="23.25" customHeight="true" x14ac:dyDescent="0.25">
      <c r="B115" s="1612"/>
      <c r="C115" s="1613"/>
      <c r="D115" s="1613"/>
      <c r="E115" s="1613"/>
      <c r="F115" s="2">
        <f t="shared" si="167"/>
        <v>5</v>
      </c>
      <c r="G115" s="1153" t="str">
        <f t="shared" si="168"/>
        <v/>
      </c>
      <c r="H115" s="1035"/>
      <c r="I115" s="1031"/>
      <c r="J115" s="1037"/>
      <c r="K115" s="1037"/>
      <c r="L115" s="1035"/>
      <c r="M115" s="1035"/>
      <c r="N115" s="1035"/>
      <c r="O115" s="1035"/>
      <c r="P115" s="1036"/>
      <c r="Q115" s="1022"/>
      <c r="R115" s="1036"/>
      <c r="S115" s="1036"/>
      <c r="T115" s="1036"/>
      <c r="U115" s="1022"/>
      <c r="V115" s="1022"/>
      <c r="W115" s="1022"/>
      <c r="X115" s="1022"/>
      <c r="Y115" s="1022"/>
      <c r="Z115" s="1022"/>
      <c r="AA115" s="1023"/>
      <c r="AB115" s="1796"/>
    </row>
    <row r="116" ht="23.25" customHeight="true" x14ac:dyDescent="0.25">
      <c r="B116" s="1612"/>
      <c r="C116" s="1613"/>
      <c r="D116" s="1613"/>
      <c r="E116" s="1613"/>
      <c r="F116" s="2">
        <f t="shared" si="167"/>
        <v>6</v>
      </c>
      <c r="G116" s="1153" t="str">
        <f t="shared" si="168"/>
        <v/>
      </c>
      <c r="H116" s="1035"/>
      <c r="I116" s="1031"/>
      <c r="J116" s="1037"/>
      <c r="K116" s="1037"/>
      <c r="L116" s="1035"/>
      <c r="M116" s="1035"/>
      <c r="N116" s="1035"/>
      <c r="O116" s="1035"/>
      <c r="P116" s="1036"/>
      <c r="Q116" s="1022"/>
      <c r="R116" s="1036"/>
      <c r="S116" s="1036"/>
      <c r="T116" s="1036"/>
      <c r="U116" s="1022"/>
      <c r="V116" s="1022"/>
      <c r="W116" s="1022"/>
      <c r="X116" s="1022"/>
      <c r="Y116" s="1022"/>
      <c r="Z116" s="1022"/>
      <c r="AA116" s="1023"/>
      <c r="AB116" s="1796"/>
    </row>
    <row r="117" ht="23.25" customHeight="true" x14ac:dyDescent="0.25">
      <c r="B117" s="1612"/>
      <c r="C117" s="1613"/>
      <c r="D117" s="1613"/>
      <c r="E117" s="1613"/>
      <c r="F117" s="2">
        <f t="shared" si="167"/>
        <v>7</v>
      </c>
      <c r="G117" s="1153" t="str">
        <f t="shared" si="168"/>
        <v/>
      </c>
      <c r="H117" s="1035"/>
      <c r="I117" s="1031"/>
      <c r="J117" s="1037"/>
      <c r="K117" s="1037"/>
      <c r="L117" s="1035"/>
      <c r="M117" s="1035"/>
      <c r="N117" s="1035"/>
      <c r="O117" s="1035"/>
      <c r="P117" s="1036"/>
      <c r="Q117" s="1022"/>
      <c r="R117" s="1036"/>
      <c r="S117" s="1036"/>
      <c r="T117" s="1036"/>
      <c r="U117" s="1022"/>
      <c r="V117" s="1022"/>
      <c r="W117" s="1022"/>
      <c r="X117" s="1022"/>
      <c r="Y117" s="1022"/>
      <c r="Z117" s="1022"/>
      <c r="AA117" s="1023"/>
      <c r="AB117" s="1796"/>
    </row>
    <row r="118" ht="23.25" customHeight="true" x14ac:dyDescent="0.25">
      <c r="B118" s="1612"/>
      <c r="C118" s="1613"/>
      <c r="D118" s="1613"/>
      <c r="E118" s="1613"/>
      <c r="F118" s="2">
        <f t="shared" si="167"/>
        <v>8</v>
      </c>
      <c r="G118" s="1153" t="str">
        <f t="shared" si="168"/>
        <v/>
      </c>
      <c r="H118" s="1035"/>
      <c r="I118" s="1031"/>
      <c r="J118" s="1037"/>
      <c r="K118" s="1037"/>
      <c r="L118" s="1035"/>
      <c r="M118" s="1035"/>
      <c r="N118" s="1035"/>
      <c r="O118" s="1035"/>
      <c r="P118" s="1036"/>
      <c r="Q118" s="1022"/>
      <c r="R118" s="1036"/>
      <c r="S118" s="1036"/>
      <c r="T118" s="1036"/>
      <c r="U118" s="1022"/>
      <c r="V118" s="1022"/>
      <c r="W118" s="1022"/>
      <c r="X118" s="1022"/>
      <c r="Y118" s="1022"/>
      <c r="Z118" s="1022"/>
      <c r="AA118" s="1023"/>
      <c r="AB118" s="1796"/>
    </row>
    <row r="119" ht="23.25" customHeight="true" x14ac:dyDescent="0.25">
      <c r="B119" s="1612"/>
      <c r="C119" s="1613"/>
      <c r="D119" s="1613"/>
      <c r="E119" s="1613"/>
      <c r="F119" s="2">
        <f t="shared" si="167"/>
        <v>9</v>
      </c>
      <c r="G119" s="1153" t="str">
        <f t="shared" si="168"/>
        <v/>
      </c>
      <c r="H119" s="1035"/>
      <c r="I119" s="1031"/>
      <c r="J119" s="1037"/>
      <c r="K119" s="1037"/>
      <c r="L119" s="1035"/>
      <c r="M119" s="1035"/>
      <c r="N119" s="1035"/>
      <c r="O119" s="1035"/>
      <c r="P119" s="1036"/>
      <c r="Q119" s="1022"/>
      <c r="R119" s="1036"/>
      <c r="S119" s="1036"/>
      <c r="T119" s="1036"/>
      <c r="U119" s="1022"/>
      <c r="V119" s="1022"/>
      <c r="W119" s="1022"/>
      <c r="X119" s="1022"/>
      <c r="Y119" s="1022"/>
      <c r="Z119" s="1022"/>
      <c r="AA119" s="1023"/>
      <c r="AB119" s="1796"/>
    </row>
    <row r="120" ht="23.25" customHeight="true" x14ac:dyDescent="0.25">
      <c r="B120" s="1612"/>
      <c r="C120" s="1613"/>
      <c r="D120" s="1613"/>
      <c r="E120" s="1613"/>
      <c r="F120" s="2">
        <f t="shared" si="167"/>
        <v>10</v>
      </c>
      <c r="G120" s="1153" t="str">
        <f t="shared" si="168"/>
        <v/>
      </c>
      <c r="H120" s="1035"/>
      <c r="I120" s="1031"/>
      <c r="J120" s="1037"/>
      <c r="K120" s="1037"/>
      <c r="L120" s="1035"/>
      <c r="M120" s="1035"/>
      <c r="N120" s="1035"/>
      <c r="O120" s="1035"/>
      <c r="P120" s="1036"/>
      <c r="Q120" s="1022"/>
      <c r="R120" s="1036"/>
      <c r="S120" s="1036"/>
      <c r="T120" s="1036"/>
      <c r="U120" s="1022"/>
      <c r="V120" s="1022"/>
      <c r="W120" s="1022"/>
      <c r="X120" s="1022"/>
      <c r="Y120" s="1022"/>
      <c r="Z120" s="1022"/>
      <c r="AA120" s="1023"/>
      <c r="AB120" s="1796"/>
    </row>
    <row r="121" ht="23.25" customHeight="true" x14ac:dyDescent="0.25">
      <c r="B121" s="1612"/>
      <c r="C121" s="1613"/>
      <c r="D121" s="1613"/>
      <c r="E121" s="1613"/>
      <c r="F121" s="2">
        <f t="shared" si="167"/>
        <v>11</v>
      </c>
      <c r="G121" s="1153" t="str">
        <f t="shared" si="168"/>
        <v/>
      </c>
      <c r="H121" s="1035"/>
      <c r="I121" s="1031"/>
      <c r="J121" s="1037"/>
      <c r="K121" s="1037"/>
      <c r="L121" s="1035"/>
      <c r="M121" s="1035"/>
      <c r="N121" s="1035"/>
      <c r="O121" s="1035"/>
      <c r="P121" s="1036"/>
      <c r="Q121" s="1022"/>
      <c r="R121" s="1036"/>
      <c r="S121" s="1036"/>
      <c r="T121" s="1036"/>
      <c r="U121" s="1022"/>
      <c r="V121" s="1022"/>
      <c r="W121" s="1022"/>
      <c r="X121" s="1022"/>
      <c r="Y121" s="1022"/>
      <c r="Z121" s="1022"/>
      <c r="AA121" s="1023"/>
      <c r="AB121" s="1796"/>
    </row>
    <row r="122" ht="23.25" customHeight="true" x14ac:dyDescent="0.25">
      <c r="B122" s="1612"/>
      <c r="C122" s="1613"/>
      <c r="D122" s="1613"/>
      <c r="E122" s="1613"/>
      <c r="F122" s="2">
        <f t="shared" si="167"/>
        <v>12</v>
      </c>
      <c r="G122" s="1153" t="str">
        <f t="shared" si="168"/>
        <v/>
      </c>
      <c r="H122" s="1035"/>
      <c r="I122" s="1031"/>
      <c r="J122" s="1037"/>
      <c r="K122" s="1037"/>
      <c r="L122" s="1035"/>
      <c r="M122" s="1035"/>
      <c r="N122" s="1035"/>
      <c r="O122" s="1035"/>
      <c r="P122" s="1036"/>
      <c r="Q122" s="1022"/>
      <c r="R122" s="1036"/>
      <c r="S122" s="1036"/>
      <c r="T122" s="1036"/>
      <c r="U122" s="1022"/>
      <c r="V122" s="1022"/>
      <c r="W122" s="1022"/>
      <c r="X122" s="1022"/>
      <c r="Y122" s="1022"/>
      <c r="Z122" s="1022"/>
      <c r="AA122" s="1023"/>
      <c r="AB122" s="1796"/>
    </row>
    <row r="123" ht="23.25" customHeight="true" x14ac:dyDescent="0.25">
      <c r="B123" s="1612"/>
      <c r="C123" s="1613"/>
      <c r="D123" s="1613"/>
      <c r="E123" s="1613"/>
      <c r="F123" s="2">
        <f t="shared" si="167"/>
        <v>13</v>
      </c>
      <c r="G123" s="1153" t="str">
        <f t="shared" si="168"/>
        <v/>
      </c>
      <c r="H123" s="1035"/>
      <c r="I123" s="1031"/>
      <c r="J123" s="1037"/>
      <c r="K123" s="1037"/>
      <c r="L123" s="1035"/>
      <c r="M123" s="1035"/>
      <c r="N123" s="1035"/>
      <c r="O123" s="1035"/>
      <c r="P123" s="1036"/>
      <c r="Q123" s="1022"/>
      <c r="R123" s="1036"/>
      <c r="S123" s="1036"/>
      <c r="T123" s="1036"/>
      <c r="U123" s="1022"/>
      <c r="V123" s="1022"/>
      <c r="W123" s="1022"/>
      <c r="X123" s="1022"/>
      <c r="Y123" s="1022"/>
      <c r="Z123" s="1022"/>
      <c r="AA123" s="1023"/>
      <c r="AB123" s="1796"/>
    </row>
    <row r="124" ht="23.25" customHeight="true" x14ac:dyDescent="0.25">
      <c r="B124" s="1612"/>
      <c r="C124" s="1613"/>
      <c r="D124" s="1613"/>
      <c r="E124" s="1613"/>
      <c r="F124" s="2">
        <f t="shared" si="167"/>
        <v>14</v>
      </c>
      <c r="G124" s="1153" t="str">
        <f t="shared" si="168"/>
        <v/>
      </c>
      <c r="H124" s="1035"/>
      <c r="I124" s="1020"/>
      <c r="J124" s="1037"/>
      <c r="K124" s="1037"/>
      <c r="L124" s="1035"/>
      <c r="M124" s="1035"/>
      <c r="N124" s="1035"/>
      <c r="O124" s="1035"/>
      <c r="P124" s="1036"/>
      <c r="Q124" s="1022"/>
      <c r="R124" s="1036"/>
      <c r="S124" s="1036"/>
      <c r="T124" s="1036"/>
      <c r="U124" s="1022"/>
      <c r="V124" s="1022"/>
      <c r="W124" s="1022"/>
      <c r="X124" s="1022"/>
      <c r="Y124" s="1022"/>
      <c r="Z124" s="1022"/>
      <c r="AA124" s="1023"/>
      <c r="AB124" s="1796"/>
    </row>
    <row r="125" ht="23.25" customHeight="true" x14ac:dyDescent="0.25">
      <c r="B125" s="1612"/>
      <c r="C125" s="1613"/>
      <c r="D125" s="1613"/>
      <c r="E125" s="1613"/>
      <c r="F125" s="2">
        <f t="shared" si="167"/>
        <v>15</v>
      </c>
      <c r="G125" s="1153" t="str">
        <f t="shared" si="168"/>
        <v/>
      </c>
      <c r="H125" s="1035"/>
      <c r="I125" s="1020"/>
      <c r="J125" s="1037"/>
      <c r="K125" s="1037"/>
      <c r="L125" s="1035"/>
      <c r="M125" s="1035"/>
      <c r="N125" s="1035"/>
      <c r="O125" s="1035"/>
      <c r="P125" s="1036"/>
      <c r="Q125" s="1022"/>
      <c r="R125" s="1036"/>
      <c r="S125" s="1036"/>
      <c r="T125" s="1022"/>
      <c r="U125" s="1022"/>
      <c r="V125" s="1022"/>
      <c r="W125" s="1022"/>
      <c r="X125" s="1022"/>
      <c r="Y125" s="1022"/>
      <c r="Z125" s="1022"/>
      <c r="AA125" s="1023"/>
      <c r="AB125" s="1796"/>
      <c r="AC125" s="9"/>
    </row>
    <row r="126" ht="23.25" customHeight="true" x14ac:dyDescent="0.25">
      <c r="B126" s="1612"/>
      <c r="C126" s="1613"/>
      <c r="D126" s="1613"/>
      <c r="E126" s="1613"/>
      <c r="F126" s="2">
        <f t="shared" si="167"/>
        <v>16</v>
      </c>
      <c r="G126" s="1153" t="str">
        <f t="shared" si="168"/>
        <v/>
      </c>
      <c r="H126" s="1035"/>
      <c r="I126" s="1020"/>
      <c r="J126" s="1037"/>
      <c r="K126" s="1037"/>
      <c r="L126" s="1035"/>
      <c r="M126" s="1035"/>
      <c r="N126" s="1035"/>
      <c r="O126" s="1035"/>
      <c r="P126" s="1036"/>
      <c r="Q126" s="1022"/>
      <c r="R126" s="1036"/>
      <c r="S126" s="1036"/>
      <c r="T126" s="1022"/>
      <c r="U126" s="1022"/>
      <c r="V126" s="1022"/>
      <c r="W126" s="1022"/>
      <c r="X126" s="1022"/>
      <c r="Y126" s="1022"/>
      <c r="Z126" s="1022"/>
      <c r="AA126" s="1023"/>
      <c r="AB126" s="1796"/>
      <c r="AC126" s="9"/>
    </row>
    <row r="127" ht="23.25" customHeight="true" x14ac:dyDescent="0.25">
      <c r="B127" s="1612"/>
      <c r="C127" s="1613"/>
      <c r="D127" s="1613"/>
      <c r="E127" s="1613"/>
      <c r="F127" s="2">
        <f t="shared" si="167"/>
        <v>17</v>
      </c>
      <c r="G127" s="1153" t="str">
        <f t="shared" si="168"/>
        <v/>
      </c>
      <c r="H127" s="1035"/>
      <c r="I127" s="1020"/>
      <c r="J127" s="1037"/>
      <c r="K127" s="1037"/>
      <c r="L127" s="1035"/>
      <c r="M127" s="1035"/>
      <c r="N127" s="1035"/>
      <c r="O127" s="1035"/>
      <c r="P127" s="1036"/>
      <c r="Q127" s="1022"/>
      <c r="R127" s="1036"/>
      <c r="S127" s="1036"/>
      <c r="T127" s="1022"/>
      <c r="U127" s="1022"/>
      <c r="V127" s="1022"/>
      <c r="W127" s="1022"/>
      <c r="X127" s="1022"/>
      <c r="Y127" s="1022"/>
      <c r="Z127" s="1022"/>
      <c r="AA127" s="1023"/>
      <c r="AB127" s="1796"/>
      <c r="AC127" s="9"/>
    </row>
    <row r="128" ht="23.25" customHeight="true" x14ac:dyDescent="0.25">
      <c r="B128" s="1612"/>
      <c r="C128" s="1613"/>
      <c r="D128" s="1613"/>
      <c r="E128" s="1613"/>
      <c r="F128" s="2">
        <f t="shared" si="167"/>
        <v>18</v>
      </c>
      <c r="G128" s="1153" t="str">
        <f t="shared" si="168"/>
        <v/>
      </c>
      <c r="H128" s="1035"/>
      <c r="I128" s="1020"/>
      <c r="J128" s="1037"/>
      <c r="K128" s="1037"/>
      <c r="L128" s="1035"/>
      <c r="M128" s="1035"/>
      <c r="N128" s="1035"/>
      <c r="O128" s="1035"/>
      <c r="P128" s="1036"/>
      <c r="Q128" s="1022"/>
      <c r="R128" s="1036"/>
      <c r="S128" s="1036"/>
      <c r="T128" s="1022"/>
      <c r="U128" s="1022"/>
      <c r="V128" s="1022"/>
      <c r="W128" s="1022"/>
      <c r="X128" s="1022"/>
      <c r="Y128" s="1022"/>
      <c r="Z128" s="1022"/>
      <c r="AA128" s="1023"/>
      <c r="AB128" s="1796"/>
      <c r="AC128" s="9"/>
    </row>
    <row r="129" ht="23.25" customHeight="true" x14ac:dyDescent="0.25">
      <c r="B129" s="1612"/>
      <c r="C129" s="1613"/>
      <c r="D129" s="1613"/>
      <c r="E129" s="1613"/>
      <c r="F129" s="2">
        <f t="shared" si="167"/>
        <v>19</v>
      </c>
      <c r="G129" s="1153" t="str">
        <f t="shared" si="168"/>
        <v/>
      </c>
      <c r="H129" s="1035"/>
      <c r="I129" s="1020"/>
      <c r="J129" s="1037"/>
      <c r="K129" s="1037"/>
      <c r="L129" s="1035"/>
      <c r="M129" s="1035"/>
      <c r="N129" s="1035"/>
      <c r="O129" s="1035"/>
      <c r="P129" s="1036"/>
      <c r="Q129" s="1022"/>
      <c r="R129" s="1036"/>
      <c r="S129" s="1036"/>
      <c r="T129" s="1022"/>
      <c r="U129" s="1022"/>
      <c r="V129" s="1022"/>
      <c r="W129" s="1022"/>
      <c r="X129" s="1022"/>
      <c r="Y129" s="1022"/>
      <c r="Z129" s="1022"/>
      <c r="AA129" s="1023"/>
      <c r="AB129" s="1796"/>
      <c r="AC129" s="9"/>
    </row>
    <row r="130" ht="23.25" customHeight="true" x14ac:dyDescent="0.25">
      <c r="B130" s="1612"/>
      <c r="C130" s="1613"/>
      <c r="D130" s="1613"/>
      <c r="E130" s="1613"/>
      <c r="F130" s="2">
        <f t="shared" si="167"/>
        <v>20</v>
      </c>
      <c r="G130" s="1153" t="str">
        <f t="shared" si="168"/>
        <v/>
      </c>
      <c r="H130" s="1035"/>
      <c r="I130" s="1020"/>
      <c r="J130" s="1037"/>
      <c r="K130" s="1037"/>
      <c r="L130" s="1035"/>
      <c r="M130" s="1035"/>
      <c r="N130" s="1035"/>
      <c r="O130" s="1035"/>
      <c r="P130" s="1036"/>
      <c r="Q130" s="1022"/>
      <c r="R130" s="1036"/>
      <c r="S130" s="1036"/>
      <c r="T130" s="1022"/>
      <c r="U130" s="1022"/>
      <c r="V130" s="1022"/>
      <c r="W130" s="1022"/>
      <c r="X130" s="1022"/>
      <c r="Y130" s="1022"/>
      <c r="Z130" s="1022"/>
      <c r="AA130" s="1023"/>
      <c r="AB130" s="1796"/>
      <c r="AC130" s="9"/>
    </row>
    <row r="131" ht="23.25" customHeight="true" x14ac:dyDescent="0.25">
      <c r="B131" s="1612"/>
      <c r="C131" s="1613"/>
      <c r="D131" s="1613"/>
      <c r="E131" s="1613"/>
      <c r="F131" s="2">
        <f t="shared" si="167"/>
        <v>21</v>
      </c>
      <c r="G131" s="1153" t="str">
        <f t="shared" si="168"/>
        <v/>
      </c>
      <c r="H131" s="1035"/>
      <c r="I131" s="1035"/>
      <c r="J131" s="1035"/>
      <c r="K131" s="1035"/>
      <c r="L131" s="1035"/>
      <c r="M131" s="1035"/>
      <c r="N131" s="1035"/>
      <c r="O131" s="1035"/>
      <c r="P131" s="1035"/>
      <c r="Q131" s="1035"/>
      <c r="R131" s="1035"/>
      <c r="S131" s="1035"/>
      <c r="T131" s="1035"/>
      <c r="U131" s="1035"/>
      <c r="V131" s="1035"/>
      <c r="W131" s="1035"/>
      <c r="X131" s="1035"/>
      <c r="Y131" s="1035"/>
      <c r="Z131" s="1035"/>
      <c r="AA131" s="1033"/>
      <c r="AB131" s="1796"/>
      <c r="AC131" s="9"/>
    </row>
    <row r="132" ht="23.25" customHeight="true" x14ac:dyDescent="0.25">
      <c r="B132" s="1612"/>
      <c r="C132" s="1613"/>
      <c r="D132" s="1613"/>
      <c r="E132" s="1613"/>
      <c r="F132" s="2">
        <f t="shared" si="167"/>
        <v>22</v>
      </c>
      <c r="G132" s="1153" t="str">
        <f t="shared" si="168"/>
        <v/>
      </c>
      <c r="H132" s="1035"/>
      <c r="I132" s="1035"/>
      <c r="J132" s="1035"/>
      <c r="K132" s="1035"/>
      <c r="L132" s="1035"/>
      <c r="M132" s="1035"/>
      <c r="N132" s="1035"/>
      <c r="O132" s="1035"/>
      <c r="P132" s="1035"/>
      <c r="Q132" s="1035"/>
      <c r="R132" s="1035"/>
      <c r="S132" s="1035"/>
      <c r="T132" s="1035"/>
      <c r="U132" s="1035"/>
      <c r="V132" s="1035"/>
      <c r="W132" s="1035"/>
      <c r="X132" s="1035"/>
      <c r="Y132" s="1035"/>
      <c r="Z132" s="1035"/>
      <c r="AA132" s="1033"/>
      <c r="AB132" s="1796"/>
      <c r="AC132" s="9"/>
    </row>
    <row r="133" ht="23.25" customHeight="true" x14ac:dyDescent="0.25">
      <c r="B133" s="1612"/>
      <c r="C133" s="1613"/>
      <c r="D133" s="1613"/>
      <c r="E133" s="1613"/>
      <c r="F133" s="2">
        <f t="shared" si="167"/>
        <v>23</v>
      </c>
      <c r="G133" s="1153" t="str">
        <f t="shared" si="168"/>
        <v/>
      </c>
      <c r="H133" s="1035"/>
      <c r="I133" s="1035"/>
      <c r="J133" s="1035"/>
      <c r="K133" s="1035"/>
      <c r="L133" s="1035"/>
      <c r="M133" s="1035"/>
      <c r="N133" s="1035"/>
      <c r="O133" s="1035"/>
      <c r="P133" s="1035"/>
      <c r="Q133" s="1035"/>
      <c r="R133" s="1035"/>
      <c r="S133" s="1035"/>
      <c r="T133" s="1035"/>
      <c r="U133" s="1035"/>
      <c r="V133" s="1035"/>
      <c r="W133" s="1035"/>
      <c r="X133" s="1035"/>
      <c r="Y133" s="1035"/>
      <c r="Z133" s="1035"/>
      <c r="AA133" s="1033"/>
      <c r="AB133" s="1796"/>
      <c r="AC133" s="9"/>
    </row>
    <row r="134" ht="23.25" customHeight="true" x14ac:dyDescent="0.25">
      <c r="B134" s="1612"/>
      <c r="C134" s="1613"/>
      <c r="D134" s="1613"/>
      <c r="E134" s="1613"/>
      <c r="F134" s="2">
        <f t="shared" si="167"/>
        <v>24</v>
      </c>
      <c r="G134" s="1153" t="str">
        <f t="shared" si="168"/>
        <v/>
      </c>
      <c r="H134" s="1035"/>
      <c r="I134" s="1035"/>
      <c r="J134" s="1035"/>
      <c r="K134" s="1035"/>
      <c r="L134" s="1035"/>
      <c r="M134" s="1035"/>
      <c r="N134" s="1035"/>
      <c r="O134" s="1035"/>
      <c r="P134" s="1035"/>
      <c r="Q134" s="1035"/>
      <c r="R134" s="1035"/>
      <c r="S134" s="1035"/>
      <c r="T134" s="1035"/>
      <c r="U134" s="1035"/>
      <c r="V134" s="1035"/>
      <c r="W134" s="1035"/>
      <c r="X134" s="1035"/>
      <c r="Y134" s="1035"/>
      <c r="Z134" s="1035"/>
      <c r="AA134" s="1033"/>
      <c r="AB134" s="1796"/>
      <c r="AC134" s="9"/>
    </row>
    <row r="135" ht="23.25" customHeight="true" x14ac:dyDescent="0.25">
      <c r="B135" s="1612"/>
      <c r="C135" s="1613"/>
      <c r="D135" s="1613"/>
      <c r="E135" s="1613"/>
      <c r="F135" s="2">
        <f t="shared" si="167"/>
        <v>25</v>
      </c>
      <c r="G135" s="1153" t="str">
        <f t="shared" si="168"/>
        <v/>
      </c>
      <c r="H135" s="1035"/>
      <c r="I135" s="1035"/>
      <c r="J135" s="1035"/>
      <c r="K135" s="1035"/>
      <c r="L135" s="1035"/>
      <c r="M135" s="1035"/>
      <c r="N135" s="1035"/>
      <c r="O135" s="1035"/>
      <c r="P135" s="1035"/>
      <c r="Q135" s="1035"/>
      <c r="R135" s="1035"/>
      <c r="S135" s="1035"/>
      <c r="T135" s="1035"/>
      <c r="U135" s="1035"/>
      <c r="V135" s="1035"/>
      <c r="W135" s="1035"/>
      <c r="X135" s="1035"/>
      <c r="Y135" s="1035"/>
      <c r="Z135" s="1035"/>
      <c r="AA135" s="1033"/>
      <c r="AB135" s="1796"/>
      <c r="AC135" s="9"/>
    </row>
    <row r="136" ht="23.25" customHeight="true" x14ac:dyDescent="0.25">
      <c r="B136" s="1612"/>
      <c r="C136" s="1613"/>
      <c r="D136" s="1613"/>
      <c r="E136" s="1613"/>
      <c r="F136" s="2">
        <f t="shared" si="167"/>
        <v>26</v>
      </c>
      <c r="G136" s="1153" t="str">
        <f t="shared" si="168"/>
        <v/>
      </c>
      <c r="H136" s="1035"/>
      <c r="I136" s="1035"/>
      <c r="J136" s="1035"/>
      <c r="K136" s="1035"/>
      <c r="L136" s="1035"/>
      <c r="M136" s="1035"/>
      <c r="N136" s="1035"/>
      <c r="O136" s="1035"/>
      <c r="P136" s="1035"/>
      <c r="Q136" s="1035"/>
      <c r="R136" s="1035"/>
      <c r="S136" s="1035"/>
      <c r="T136" s="1035"/>
      <c r="U136" s="1035"/>
      <c r="V136" s="1035"/>
      <c r="W136" s="1035"/>
      <c r="X136" s="1035"/>
      <c r="Y136" s="1035"/>
      <c r="Z136" s="1035"/>
      <c r="AA136" s="1033"/>
      <c r="AB136" s="1796"/>
      <c r="AC136" s="8"/>
      <c r="AD136" s="8"/>
      <c r="AF136" s="8"/>
      <c r="AG136" s="8"/>
      <c r="AH136" s="8"/>
      <c r="AI136" s="8"/>
      <c r="AJ136" s="8"/>
    </row>
    <row r="137" ht="23.25" customHeight="true" x14ac:dyDescent="0.25">
      <c r="B137" s="1612"/>
      <c r="C137" s="1613"/>
      <c r="D137" s="1613"/>
      <c r="E137" s="1613"/>
      <c r="F137" s="2">
        <f t="shared" si="167"/>
        <v>27</v>
      </c>
      <c r="G137" s="1153" t="str">
        <f t="shared" si="168"/>
        <v/>
      </c>
      <c r="H137" s="1035"/>
      <c r="I137" s="1035"/>
      <c r="J137" s="1035"/>
      <c r="K137" s="1035"/>
      <c r="L137" s="1035"/>
      <c r="M137" s="1035"/>
      <c r="N137" s="1035"/>
      <c r="O137" s="1035"/>
      <c r="P137" s="1035"/>
      <c r="Q137" s="1035"/>
      <c r="R137" s="1035"/>
      <c r="S137" s="1035"/>
      <c r="T137" s="1035"/>
      <c r="U137" s="1035"/>
      <c r="V137" s="1035"/>
      <c r="W137" s="1035"/>
      <c r="X137" s="1035"/>
      <c r="Y137" s="1035"/>
      <c r="Z137" s="1035"/>
      <c r="AA137" s="1033"/>
      <c r="AB137" s="1796"/>
      <c r="AC137" s="8"/>
      <c r="AD137" s="8"/>
      <c r="AF137" s="8"/>
      <c r="AG137" s="8"/>
      <c r="AH137" s="8"/>
      <c r="AI137" s="8"/>
      <c r="AJ137" s="8"/>
    </row>
    <row r="138" ht="23.25" customHeight="true" x14ac:dyDescent="0.25">
      <c r="B138" s="1612"/>
      <c r="C138" s="1613"/>
      <c r="D138" s="1613"/>
      <c r="E138" s="1613"/>
      <c r="F138" s="2">
        <f t="shared" si="167"/>
        <v>28</v>
      </c>
      <c r="G138" s="1153" t="str">
        <f t="shared" si="168"/>
        <v/>
      </c>
      <c r="H138" s="1035"/>
      <c r="I138" s="1035"/>
      <c r="J138" s="1035"/>
      <c r="K138" s="1035"/>
      <c r="L138" s="1035"/>
      <c r="M138" s="1035"/>
      <c r="N138" s="1035"/>
      <c r="O138" s="1035"/>
      <c r="P138" s="1035"/>
      <c r="Q138" s="1035"/>
      <c r="R138" s="1035"/>
      <c r="S138" s="1035"/>
      <c r="T138" s="1035"/>
      <c r="U138" s="1035"/>
      <c r="V138" s="1035"/>
      <c r="W138" s="1035"/>
      <c r="X138" s="1035"/>
      <c r="Y138" s="1035"/>
      <c r="Z138" s="1035"/>
      <c r="AA138" s="1033"/>
      <c r="AB138" s="1796"/>
      <c r="AC138" s="8"/>
      <c r="AD138" s="8"/>
      <c r="AF138" s="8"/>
      <c r="AG138" s="8"/>
      <c r="AH138" s="8"/>
      <c r="AI138" s="8"/>
      <c r="AJ138" s="8"/>
    </row>
    <row r="139" ht="23.25" customHeight="true" x14ac:dyDescent="0.25">
      <c r="B139" s="1612"/>
      <c r="C139" s="1613"/>
      <c r="D139" s="1613"/>
      <c r="E139" s="1613"/>
      <c r="F139" s="2">
        <f t="shared" si="167"/>
        <v>29</v>
      </c>
      <c r="G139" s="1153" t="str">
        <f t="shared" si="168"/>
        <v/>
      </c>
      <c r="H139" s="1035"/>
      <c r="I139" s="1035"/>
      <c r="J139" s="1035"/>
      <c r="K139" s="1035"/>
      <c r="L139" s="1035"/>
      <c r="M139" s="1035"/>
      <c r="N139" s="1035"/>
      <c r="O139" s="1035"/>
      <c r="P139" s="1035"/>
      <c r="Q139" s="1035"/>
      <c r="R139" s="1035"/>
      <c r="S139" s="1035"/>
      <c r="T139" s="1035"/>
      <c r="U139" s="1035"/>
      <c r="V139" s="1035"/>
      <c r="W139" s="1035"/>
      <c r="X139" s="1035"/>
      <c r="Y139" s="1035"/>
      <c r="Z139" s="1035"/>
      <c r="AA139" s="1033"/>
      <c r="AB139" s="1796"/>
      <c r="AC139" s="8"/>
      <c r="AD139" s="8"/>
      <c r="AF139" s="8"/>
      <c r="AG139" s="8"/>
      <c r="AH139" s="8"/>
      <c r="AI139" s="8"/>
      <c r="AJ139" s="8"/>
    </row>
    <row r="140" ht="23.25" customHeight="true" x14ac:dyDescent="0.25">
      <c r="B140" s="1612"/>
      <c r="C140" s="1613"/>
      <c r="D140" s="1613"/>
      <c r="E140" s="1613"/>
      <c r="F140" s="2">
        <f t="shared" si="167"/>
        <v>30</v>
      </c>
      <c r="G140" s="1153" t="str">
        <f t="shared" si="168"/>
        <v/>
      </c>
      <c r="H140" s="1035"/>
      <c r="I140" s="1035"/>
      <c r="J140" s="1035"/>
      <c r="K140" s="1035"/>
      <c r="L140" s="1035"/>
      <c r="M140" s="1035"/>
      <c r="N140" s="1035"/>
      <c r="O140" s="1035"/>
      <c r="P140" s="1035"/>
      <c r="Q140" s="1035"/>
      <c r="R140" s="1035"/>
      <c r="S140" s="1035"/>
      <c r="T140" s="1035"/>
      <c r="U140" s="1035"/>
      <c r="V140" s="1035"/>
      <c r="W140" s="1035"/>
      <c r="X140" s="1035"/>
      <c r="Y140" s="1035"/>
      <c r="Z140" s="1035"/>
      <c r="AA140" s="1033"/>
      <c r="AB140" s="1796"/>
      <c r="AC140" s="8"/>
      <c r="AD140" s="8"/>
      <c r="AF140" s="8"/>
      <c r="AG140" s="8"/>
      <c r="AH140" s="8"/>
      <c r="AI140" s="8"/>
      <c r="AJ140" s="8"/>
    </row>
    <row r="141" ht="23.25" customHeight="true" x14ac:dyDescent="0.25">
      <c r="B141" s="1612"/>
      <c r="C141" s="1613"/>
      <c r="D141" s="1613"/>
      <c r="E141" s="1613"/>
      <c r="F141" s="2">
        <f t="shared" si="167"/>
        <v>31</v>
      </c>
      <c r="G141" s="1153" t="str">
        <f t="shared" si="168"/>
        <v/>
      </c>
      <c r="H141" s="1035"/>
      <c r="I141" s="1035"/>
      <c r="J141" s="1035"/>
      <c r="K141" s="1035"/>
      <c r="L141" s="1035"/>
      <c r="M141" s="1035"/>
      <c r="N141" s="1035"/>
      <c r="O141" s="1035"/>
      <c r="P141" s="1035"/>
      <c r="Q141" s="1035"/>
      <c r="R141" s="1035"/>
      <c r="S141" s="1035"/>
      <c r="T141" s="1035"/>
      <c r="U141" s="1035"/>
      <c r="V141" s="1035"/>
      <c r="W141" s="1035"/>
      <c r="X141" s="1035"/>
      <c r="Y141" s="1035"/>
      <c r="Z141" s="1035"/>
      <c r="AA141" s="1033"/>
      <c r="AB141" s="1796"/>
      <c r="AC141" s="8"/>
      <c r="AD141" s="8"/>
      <c r="AF141" s="8"/>
      <c r="AG141" s="8"/>
      <c r="AH141" s="8"/>
      <c r="AI141" s="8"/>
      <c r="AJ141" s="8"/>
    </row>
    <row r="142" ht="23.25" customHeight="true" x14ac:dyDescent="0.25">
      <c r="B142" s="1612"/>
      <c r="C142" s="1613"/>
      <c r="D142" s="1613"/>
      <c r="E142" s="1613"/>
      <c r="F142" s="2">
        <f t="shared" si="167"/>
        <v>32</v>
      </c>
      <c r="G142" s="1153" t="str">
        <f t="shared" si="168"/>
        <v/>
      </c>
      <c r="H142" s="1035"/>
      <c r="I142" s="1035"/>
      <c r="J142" s="1035"/>
      <c r="K142" s="1035"/>
      <c r="L142" s="1035"/>
      <c r="M142" s="1035"/>
      <c r="N142" s="1035"/>
      <c r="O142" s="1035"/>
      <c r="P142" s="1035"/>
      <c r="Q142" s="1035"/>
      <c r="R142" s="1035"/>
      <c r="S142" s="1035"/>
      <c r="T142" s="1035"/>
      <c r="U142" s="1035"/>
      <c r="V142" s="1035"/>
      <c r="W142" s="1035"/>
      <c r="X142" s="1035"/>
      <c r="Y142" s="1035"/>
      <c r="Z142" s="1035"/>
      <c r="AA142" s="1033"/>
      <c r="AB142" s="1796"/>
      <c r="AC142" s="8"/>
      <c r="AD142" s="8"/>
      <c r="AF142" s="8"/>
      <c r="AG142" s="8"/>
      <c r="AH142" s="8"/>
      <c r="AI142" s="8"/>
      <c r="AJ142" s="8"/>
    </row>
    <row r="143" ht="23.25" customHeight="true" x14ac:dyDescent="0.25">
      <c r="B143" s="1612"/>
      <c r="C143" s="1613"/>
      <c r="D143" s="1613"/>
      <c r="E143" s="1613"/>
      <c r="F143" s="2">
        <f t="shared" si="167"/>
        <v>33</v>
      </c>
      <c r="G143" s="1153" t="str">
        <f t="shared" si="168"/>
        <v/>
      </c>
      <c r="H143" s="1035"/>
      <c r="I143" s="1035"/>
      <c r="J143" s="1035"/>
      <c r="K143" s="1035"/>
      <c r="L143" s="1035"/>
      <c r="M143" s="1035"/>
      <c r="N143" s="1035"/>
      <c r="O143" s="1035"/>
      <c r="P143" s="1035"/>
      <c r="Q143" s="1035"/>
      <c r="R143" s="1035"/>
      <c r="S143" s="1035"/>
      <c r="T143" s="1035"/>
      <c r="U143" s="1035"/>
      <c r="V143" s="1035"/>
      <c r="W143" s="1035"/>
      <c r="X143" s="1035"/>
      <c r="Y143" s="1035"/>
      <c r="Z143" s="1035"/>
      <c r="AA143" s="1033"/>
      <c r="AB143" s="1796"/>
      <c r="AC143" s="8"/>
      <c r="AD143" s="8"/>
      <c r="AF143" s="8"/>
      <c r="AG143" s="8"/>
      <c r="AH143" s="8"/>
      <c r="AI143" s="8"/>
      <c r="AJ143" s="8"/>
    </row>
    <row r="144" ht="23.25" customHeight="true" x14ac:dyDescent="0.25">
      <c r="B144" s="1612"/>
      <c r="C144" s="1613"/>
      <c r="D144" s="1613"/>
      <c r="E144" s="1613"/>
      <c r="F144" s="2">
        <f t="shared" si="167"/>
        <v>34</v>
      </c>
      <c r="G144" s="1153" t="str">
        <f t="shared" si="168"/>
        <v/>
      </c>
      <c r="H144" s="1035"/>
      <c r="I144" s="1035"/>
      <c r="J144" s="1035"/>
      <c r="K144" s="1035"/>
      <c r="L144" s="1035"/>
      <c r="M144" s="1035"/>
      <c r="N144" s="1035"/>
      <c r="O144" s="1035"/>
      <c r="P144" s="1035"/>
      <c r="Q144" s="1035"/>
      <c r="R144" s="1035"/>
      <c r="S144" s="1035"/>
      <c r="T144" s="1035"/>
      <c r="U144" s="1035"/>
      <c r="V144" s="1035"/>
      <c r="W144" s="1035"/>
      <c r="X144" s="1035"/>
      <c r="Y144" s="1035"/>
      <c r="Z144" s="1035"/>
      <c r="AA144" s="1033"/>
      <c r="AB144" s="1796"/>
      <c r="AC144" s="8"/>
      <c r="AD144" s="8"/>
      <c r="AF144" s="8"/>
      <c r="AG144" s="8"/>
      <c r="AH144" s="8"/>
      <c r="AI144" s="8"/>
      <c r="AJ144" s="8"/>
    </row>
    <row r="145" ht="23.25" customHeight="true" x14ac:dyDescent="0.25">
      <c r="B145" s="1612"/>
      <c r="C145" s="1613"/>
      <c r="D145" s="1613"/>
      <c r="E145" s="1613"/>
      <c r="F145" s="2">
        <f t="shared" si="167"/>
        <v>35</v>
      </c>
      <c r="G145" s="1153" t="str">
        <f t="shared" si="168"/>
        <v/>
      </c>
      <c r="H145" s="1035"/>
      <c r="I145" s="1035"/>
      <c r="J145" s="1035"/>
      <c r="K145" s="1035"/>
      <c r="L145" s="1035"/>
      <c r="M145" s="1035"/>
      <c r="N145" s="1035"/>
      <c r="O145" s="1035"/>
      <c r="P145" s="1035"/>
      <c r="Q145" s="1035"/>
      <c r="R145" s="1035"/>
      <c r="S145" s="1035"/>
      <c r="T145" s="1035"/>
      <c r="U145" s="1035"/>
      <c r="V145" s="1035"/>
      <c r="W145" s="1035"/>
      <c r="X145" s="1035"/>
      <c r="Y145" s="1035"/>
      <c r="Z145" s="1035"/>
      <c r="AA145" s="1033"/>
      <c r="AB145" s="1796"/>
      <c r="AC145" s="8"/>
      <c r="AD145" s="8"/>
      <c r="AF145" s="8"/>
      <c r="AG145" s="8"/>
      <c r="AH145" s="8"/>
      <c r="AI145" s="8"/>
      <c r="AJ145" s="8"/>
    </row>
    <row r="146" ht="23.25" customHeight="true" x14ac:dyDescent="0.25">
      <c r="B146" s="1612"/>
      <c r="C146" s="1613"/>
      <c r="D146" s="1613"/>
      <c r="E146" s="1613"/>
      <c r="F146" s="2">
        <f t="shared" si="167"/>
        <v>36</v>
      </c>
      <c r="G146" s="1153" t="str">
        <f t="shared" si="168"/>
        <v/>
      </c>
      <c r="H146" s="1035"/>
      <c r="I146" s="1035"/>
      <c r="J146" s="1035"/>
      <c r="K146" s="1035"/>
      <c r="L146" s="1035"/>
      <c r="M146" s="1035"/>
      <c r="N146" s="1035"/>
      <c r="O146" s="1035"/>
      <c r="P146" s="1035"/>
      <c r="Q146" s="1035"/>
      <c r="R146" s="1035"/>
      <c r="S146" s="1035"/>
      <c r="T146" s="1035"/>
      <c r="U146" s="1035"/>
      <c r="V146" s="1035"/>
      <c r="W146" s="1035"/>
      <c r="X146" s="1035"/>
      <c r="Y146" s="1035"/>
      <c r="Z146" s="1035"/>
      <c r="AA146" s="1033"/>
      <c r="AB146" s="1796"/>
      <c r="AC146" s="8"/>
      <c r="AD146" s="8"/>
      <c r="AF146" s="8"/>
      <c r="AG146" s="8"/>
      <c r="AH146" s="8"/>
      <c r="AI146" s="8"/>
      <c r="AJ146" s="8"/>
    </row>
    <row r="147" ht="23.25" customHeight="true" x14ac:dyDescent="0.25">
      <c r="B147" s="1612"/>
      <c r="C147" s="1613"/>
      <c r="D147" s="1613"/>
      <c r="E147" s="1613"/>
      <c r="F147" s="2">
        <f t="shared" si="167"/>
        <v>37</v>
      </c>
      <c r="G147" s="1153" t="str">
        <f t="shared" si="168"/>
        <v/>
      </c>
      <c r="H147" s="1035"/>
      <c r="I147" s="1035"/>
      <c r="J147" s="1035"/>
      <c r="K147" s="1035"/>
      <c r="L147" s="1035"/>
      <c r="M147" s="1035"/>
      <c r="N147" s="1035"/>
      <c r="O147" s="1035"/>
      <c r="P147" s="1035"/>
      <c r="Q147" s="1035"/>
      <c r="R147" s="1035"/>
      <c r="S147" s="1035"/>
      <c r="T147" s="1035"/>
      <c r="U147" s="1035"/>
      <c r="V147" s="1035"/>
      <c r="W147" s="1035"/>
      <c r="X147" s="1035"/>
      <c r="Y147" s="1035"/>
      <c r="Z147" s="1035"/>
      <c r="AA147" s="1033"/>
      <c r="AB147" s="1796"/>
      <c r="AC147" s="8"/>
      <c r="AD147" s="8"/>
      <c r="AF147" s="8"/>
      <c r="AG147" s="8"/>
      <c r="AH147" s="8"/>
      <c r="AI147" s="8"/>
      <c r="AJ147" s="8"/>
    </row>
    <row r="148" ht="23.25" customHeight="true" x14ac:dyDescent="0.25">
      <c r="B148" s="1612"/>
      <c r="C148" s="1613"/>
      <c r="D148" s="1613"/>
      <c r="E148" s="1613"/>
      <c r="F148" s="2">
        <f t="shared" si="167"/>
        <v>38</v>
      </c>
      <c r="G148" s="1153" t="str">
        <f t="shared" si="168"/>
        <v/>
      </c>
      <c r="H148" s="1035"/>
      <c r="I148" s="1035"/>
      <c r="J148" s="1035"/>
      <c r="K148" s="1035"/>
      <c r="L148" s="1035"/>
      <c r="M148" s="1035"/>
      <c r="N148" s="1035"/>
      <c r="O148" s="1035"/>
      <c r="P148" s="1035"/>
      <c r="Q148" s="1035"/>
      <c r="R148" s="1035"/>
      <c r="S148" s="1035"/>
      <c r="T148" s="1035"/>
      <c r="U148" s="1035"/>
      <c r="V148" s="1035"/>
      <c r="W148" s="1035"/>
      <c r="X148" s="1035"/>
      <c r="Y148" s="1035"/>
      <c r="Z148" s="1035"/>
      <c r="AA148" s="1033"/>
      <c r="AB148" s="1796"/>
      <c r="AC148" s="8"/>
      <c r="AD148" s="8"/>
      <c r="AF148" s="8"/>
      <c r="AG148" s="8"/>
      <c r="AH148" s="8"/>
      <c r="AI148" s="8"/>
      <c r="AJ148" s="8"/>
    </row>
    <row r="149" ht="23.25" customHeight="true" x14ac:dyDescent="0.25">
      <c r="B149" s="1612"/>
      <c r="C149" s="1613"/>
      <c r="D149" s="1613"/>
      <c r="E149" s="1613"/>
      <c r="F149" s="2">
        <f t="shared" si="167"/>
        <v>39</v>
      </c>
      <c r="G149" s="1153" t="str">
        <f t="shared" si="168"/>
        <v/>
      </c>
      <c r="H149" s="1035"/>
      <c r="I149" s="1035"/>
      <c r="J149" s="1035"/>
      <c r="K149" s="1035"/>
      <c r="L149" s="1035"/>
      <c r="M149" s="1035"/>
      <c r="N149" s="1035"/>
      <c r="O149" s="1035"/>
      <c r="P149" s="1035"/>
      <c r="Q149" s="1035"/>
      <c r="R149" s="1035"/>
      <c r="S149" s="1035"/>
      <c r="T149" s="1035"/>
      <c r="U149" s="1035"/>
      <c r="V149" s="1035"/>
      <c r="W149" s="1035"/>
      <c r="X149" s="1035"/>
      <c r="Y149" s="1035"/>
      <c r="Z149" s="1035"/>
      <c r="AA149" s="1033"/>
      <c r="AB149" s="1796"/>
      <c r="AC149" s="8"/>
      <c r="AD149" s="8"/>
      <c r="AF149" s="8"/>
      <c r="AG149" s="8"/>
      <c r="AH149" s="8"/>
      <c r="AI149" s="8"/>
      <c r="AJ149" s="8"/>
    </row>
    <row r="150" ht="23.25" customHeight="true" x14ac:dyDescent="0.25">
      <c r="B150" s="1612"/>
      <c r="C150" s="1613"/>
      <c r="D150" s="1613"/>
      <c r="E150" s="1613"/>
      <c r="F150" s="2">
        <f t="shared" si="167"/>
        <v>40</v>
      </c>
      <c r="G150" s="1153" t="str">
        <f t="shared" si="168"/>
        <v/>
      </c>
      <c r="H150" s="1035"/>
      <c r="I150" s="1035"/>
      <c r="J150" s="1035"/>
      <c r="K150" s="1035"/>
      <c r="L150" s="1035"/>
      <c r="M150" s="1035"/>
      <c r="N150" s="1035"/>
      <c r="O150" s="1035"/>
      <c r="P150" s="1035"/>
      <c r="Q150" s="1035"/>
      <c r="R150" s="1035"/>
      <c r="S150" s="1035"/>
      <c r="T150" s="1035"/>
      <c r="U150" s="1035"/>
      <c r="V150" s="1035"/>
      <c r="W150" s="1035"/>
      <c r="X150" s="1035"/>
      <c r="Y150" s="1035"/>
      <c r="Z150" s="1035"/>
      <c r="AA150" s="1033"/>
      <c r="AB150" s="1796"/>
      <c r="AC150" s="8"/>
      <c r="AD150" s="8"/>
      <c r="AF150" s="8"/>
      <c r="AG150" s="8"/>
      <c r="AH150" s="8"/>
      <c r="AI150" s="8"/>
      <c r="AJ150" s="8"/>
    </row>
    <row r="151" ht="23.25" customHeight="true" x14ac:dyDescent="0.25">
      <c r="B151" s="1612"/>
      <c r="C151" s="1613"/>
      <c r="D151" s="1613"/>
      <c r="E151" s="1613"/>
      <c r="F151" s="2">
        <f t="shared" si="167"/>
        <v>41</v>
      </c>
      <c r="G151" s="1153" t="str">
        <f t="shared" si="168"/>
        <v/>
      </c>
      <c r="H151" s="1035"/>
      <c r="I151" s="1035"/>
      <c r="J151" s="1035"/>
      <c r="K151" s="1035"/>
      <c r="L151" s="1035"/>
      <c r="M151" s="1035"/>
      <c r="N151" s="1035"/>
      <c r="O151" s="1035"/>
      <c r="P151" s="1035"/>
      <c r="Q151" s="1035"/>
      <c r="R151" s="1035"/>
      <c r="S151" s="1035"/>
      <c r="T151" s="1035"/>
      <c r="U151" s="1035"/>
      <c r="V151" s="1035"/>
      <c r="W151" s="1035"/>
      <c r="X151" s="1035"/>
      <c r="Y151" s="1035"/>
      <c r="Z151" s="1035"/>
      <c r="AA151" s="1033"/>
      <c r="AB151" s="1796"/>
      <c r="AC151" s="8"/>
      <c r="AD151" s="8"/>
      <c r="AF151" s="8"/>
      <c r="AG151" s="8"/>
      <c r="AH151" s="8"/>
      <c r="AI151" s="8"/>
      <c r="AJ151" s="8"/>
    </row>
    <row r="152" ht="23.25" customHeight="true" x14ac:dyDescent="0.25">
      <c r="B152" s="1612"/>
      <c r="C152" s="1613"/>
      <c r="D152" s="1613"/>
      <c r="E152" s="1613"/>
      <c r="F152" s="2">
        <f t="shared" si="167"/>
        <v>42</v>
      </c>
      <c r="G152" s="1153" t="str">
        <f t="shared" si="168"/>
        <v/>
      </c>
      <c r="H152" s="1035"/>
      <c r="I152" s="1035"/>
      <c r="J152" s="1035"/>
      <c r="K152" s="1035"/>
      <c r="L152" s="1035"/>
      <c r="M152" s="1035"/>
      <c r="N152" s="1035"/>
      <c r="O152" s="1035"/>
      <c r="P152" s="1035"/>
      <c r="Q152" s="1035"/>
      <c r="R152" s="1035"/>
      <c r="S152" s="1035"/>
      <c r="T152" s="1035"/>
      <c r="U152" s="1035"/>
      <c r="V152" s="1035"/>
      <c r="W152" s="1035"/>
      <c r="X152" s="1035"/>
      <c r="Y152" s="1035"/>
      <c r="Z152" s="1035"/>
      <c r="AA152" s="1033"/>
      <c r="AB152" s="1796"/>
      <c r="AC152" s="8"/>
      <c r="AD152" s="8"/>
      <c r="AF152" s="8"/>
      <c r="AG152" s="8"/>
      <c r="AH152" s="8"/>
      <c r="AI152" s="8"/>
      <c r="AJ152" s="8"/>
    </row>
    <row r="153" ht="23.25" customHeight="true" x14ac:dyDescent="0.25">
      <c r="B153" s="1612"/>
      <c r="C153" s="1613"/>
      <c r="D153" s="1613"/>
      <c r="E153" s="1613"/>
      <c r="F153" s="2">
        <f t="shared" si="167"/>
        <v>43</v>
      </c>
      <c r="G153" s="1153" t="str">
        <f t="shared" si="168"/>
        <v/>
      </c>
      <c r="H153" s="1035"/>
      <c r="I153" s="1035"/>
      <c r="J153" s="1035"/>
      <c r="K153" s="1035"/>
      <c r="L153" s="1035"/>
      <c r="M153" s="1035"/>
      <c r="N153" s="1035"/>
      <c r="O153" s="1035"/>
      <c r="P153" s="1035"/>
      <c r="Q153" s="1035"/>
      <c r="R153" s="1035"/>
      <c r="S153" s="1035"/>
      <c r="T153" s="1035"/>
      <c r="U153" s="1035"/>
      <c r="V153" s="1035"/>
      <c r="W153" s="1035"/>
      <c r="X153" s="1035"/>
      <c r="Y153" s="1035"/>
      <c r="Z153" s="1035"/>
      <c r="AA153" s="1033"/>
      <c r="AB153" s="1796"/>
      <c r="AC153" s="8"/>
      <c r="AD153" s="8"/>
      <c r="AF153" s="8"/>
      <c r="AG153" s="8"/>
      <c r="AH153" s="8"/>
      <c r="AI153" s="8"/>
      <c r="AJ153" s="8"/>
    </row>
    <row r="154" ht="23.25" customHeight="true" x14ac:dyDescent="0.25">
      <c r="B154" s="1612"/>
      <c r="C154" s="1613"/>
      <c r="D154" s="1613"/>
      <c r="E154" s="1613"/>
      <c r="F154" s="2">
        <f t="shared" si="167"/>
        <v>44</v>
      </c>
      <c r="G154" s="1153" t="str">
        <f t="shared" si="168"/>
        <v/>
      </c>
      <c r="H154" s="1035"/>
      <c r="I154" s="1035"/>
      <c r="J154" s="1035"/>
      <c r="K154" s="1035"/>
      <c r="L154" s="1035"/>
      <c r="M154" s="1035"/>
      <c r="N154" s="1035"/>
      <c r="O154" s="1035"/>
      <c r="P154" s="1035"/>
      <c r="Q154" s="1035"/>
      <c r="R154" s="1035"/>
      <c r="S154" s="1035"/>
      <c r="T154" s="1035"/>
      <c r="U154" s="1035"/>
      <c r="V154" s="1035"/>
      <c r="W154" s="1035"/>
      <c r="X154" s="1035"/>
      <c r="Y154" s="1035"/>
      <c r="Z154" s="1035"/>
      <c r="AA154" s="1033"/>
      <c r="AB154" s="1796"/>
      <c r="AC154" s="8"/>
      <c r="AD154" s="8"/>
      <c r="AF154" s="8"/>
      <c r="AG154" s="8"/>
      <c r="AH154" s="8"/>
      <c r="AI154" s="8"/>
      <c r="AJ154" s="8"/>
    </row>
    <row r="155" ht="23.25" customHeight="true" x14ac:dyDescent="0.25">
      <c r="B155" s="1612"/>
      <c r="C155" s="1613"/>
      <c r="D155" s="1613"/>
      <c r="E155" s="1613"/>
      <c r="F155" s="2">
        <f t="shared" si="167"/>
        <v>45</v>
      </c>
      <c r="G155" s="1153" t="str">
        <f t="shared" si="168"/>
        <v/>
      </c>
      <c r="H155" s="1035"/>
      <c r="I155" s="1035"/>
      <c r="J155" s="1035"/>
      <c r="K155" s="1035"/>
      <c r="L155" s="1035"/>
      <c r="M155" s="1035"/>
      <c r="N155" s="1035"/>
      <c r="O155" s="1035"/>
      <c r="P155" s="1035"/>
      <c r="Q155" s="1035"/>
      <c r="R155" s="1035"/>
      <c r="S155" s="1035"/>
      <c r="T155" s="1035"/>
      <c r="U155" s="1035"/>
      <c r="V155" s="1035"/>
      <c r="W155" s="1035"/>
      <c r="X155" s="1035"/>
      <c r="Y155" s="1035"/>
      <c r="Z155" s="1035"/>
      <c r="AA155" s="1033"/>
      <c r="AB155" s="1796"/>
      <c r="AC155" s="8"/>
      <c r="AD155" s="8"/>
      <c r="AF155" s="8"/>
      <c r="AG155" s="8"/>
      <c r="AH155" s="8"/>
      <c r="AI155" s="8"/>
      <c r="AJ155" s="8"/>
    </row>
    <row r="156" ht="23.25" customHeight="true" x14ac:dyDescent="0.25">
      <c r="B156" s="1612"/>
      <c r="C156" s="1613"/>
      <c r="D156" s="1613"/>
      <c r="E156" s="1613"/>
      <c r="F156" s="2">
        <f t="shared" si="167"/>
        <v>46</v>
      </c>
      <c r="G156" s="1153" t="str">
        <f t="shared" si="168"/>
        <v/>
      </c>
      <c r="H156" s="1035"/>
      <c r="I156" s="1035"/>
      <c r="J156" s="1035"/>
      <c r="K156" s="1035"/>
      <c r="L156" s="1035"/>
      <c r="M156" s="1035"/>
      <c r="N156" s="1035"/>
      <c r="O156" s="1035"/>
      <c r="P156" s="1035"/>
      <c r="Q156" s="1035"/>
      <c r="R156" s="1035"/>
      <c r="S156" s="1035"/>
      <c r="T156" s="1035"/>
      <c r="U156" s="1035"/>
      <c r="V156" s="1035"/>
      <c r="W156" s="1035"/>
      <c r="X156" s="1035"/>
      <c r="Y156" s="1035"/>
      <c r="Z156" s="1035"/>
      <c r="AA156" s="1033"/>
      <c r="AB156" s="1796"/>
      <c r="AC156" s="8"/>
      <c r="AD156" s="8"/>
      <c r="AF156" s="8"/>
      <c r="AG156" s="8"/>
      <c r="AH156" s="8"/>
      <c r="AI156" s="8"/>
      <c r="AJ156" s="8"/>
    </row>
    <row r="157" ht="23.25" customHeight="true" x14ac:dyDescent="0.25">
      <c r="B157" s="1612"/>
      <c r="C157" s="1613"/>
      <c r="D157" s="1613"/>
      <c r="E157" s="1613"/>
      <c r="F157" s="2">
        <f t="shared" si="167"/>
        <v>47</v>
      </c>
      <c r="G157" s="1153" t="str">
        <f t="shared" si="168"/>
        <v/>
      </c>
      <c r="H157" s="1035"/>
      <c r="I157" s="1035"/>
      <c r="J157" s="1035"/>
      <c r="K157" s="1035"/>
      <c r="L157" s="1035"/>
      <c r="M157" s="1035"/>
      <c r="N157" s="1035"/>
      <c r="O157" s="1035"/>
      <c r="P157" s="1035"/>
      <c r="Q157" s="1035"/>
      <c r="R157" s="1035"/>
      <c r="S157" s="1035"/>
      <c r="T157" s="1035"/>
      <c r="U157" s="1035"/>
      <c r="V157" s="1035"/>
      <c r="W157" s="1035"/>
      <c r="X157" s="1035"/>
      <c r="Y157" s="1035"/>
      <c r="Z157" s="1035"/>
      <c r="AA157" s="1033"/>
      <c r="AB157" s="1796"/>
      <c r="AC157" s="8"/>
      <c r="AD157" s="8"/>
      <c r="AF157" s="8"/>
      <c r="AG157" s="8"/>
      <c r="AH157" s="8"/>
      <c r="AI157" s="8"/>
      <c r="AJ157" s="8"/>
    </row>
    <row r="158" ht="23.25" customHeight="true" x14ac:dyDescent="0.25">
      <c r="B158" s="1612"/>
      <c r="C158" s="1613"/>
      <c r="D158" s="1613"/>
      <c r="E158" s="1613"/>
      <c r="F158" s="2">
        <f t="shared" si="167"/>
        <v>48</v>
      </c>
      <c r="G158" s="1153" t="str">
        <f t="shared" si="168"/>
        <v/>
      </c>
      <c r="H158" s="1035"/>
      <c r="I158" s="1035"/>
      <c r="J158" s="1035"/>
      <c r="K158" s="1035"/>
      <c r="L158" s="1035"/>
      <c r="M158" s="1035"/>
      <c r="N158" s="1035"/>
      <c r="O158" s="1035"/>
      <c r="P158" s="1035"/>
      <c r="Q158" s="1035"/>
      <c r="R158" s="1035"/>
      <c r="S158" s="1035"/>
      <c r="T158" s="1035"/>
      <c r="U158" s="1035"/>
      <c r="V158" s="1035"/>
      <c r="W158" s="1035"/>
      <c r="X158" s="1035"/>
      <c r="Y158" s="1035"/>
      <c r="Z158" s="1035"/>
      <c r="AA158" s="1033"/>
      <c r="AB158" s="1796"/>
      <c r="AC158" s="8"/>
      <c r="AD158" s="8"/>
      <c r="AF158" s="8"/>
      <c r="AG158" s="8"/>
      <c r="AH158" s="8"/>
      <c r="AI158" s="8"/>
      <c r="AJ158" s="8"/>
    </row>
    <row r="159" ht="23.25" customHeight="true" x14ac:dyDescent="0.25">
      <c r="B159" s="1612"/>
      <c r="C159" s="1613"/>
      <c r="D159" s="1613"/>
      <c r="E159" s="1613"/>
      <c r="F159" s="2">
        <f t="shared" si="167"/>
        <v>49</v>
      </c>
      <c r="G159" s="1153" t="str">
        <f t="shared" si="168"/>
        <v/>
      </c>
      <c r="H159" s="1035"/>
      <c r="I159" s="1035"/>
      <c r="J159" s="1035"/>
      <c r="K159" s="1035"/>
      <c r="L159" s="1035"/>
      <c r="M159" s="1035"/>
      <c r="N159" s="1035"/>
      <c r="O159" s="1035"/>
      <c r="P159" s="1035"/>
      <c r="Q159" s="1035"/>
      <c r="R159" s="1035"/>
      <c r="S159" s="1035"/>
      <c r="T159" s="1035"/>
      <c r="U159" s="1035"/>
      <c r="V159" s="1035"/>
      <c r="W159" s="1035"/>
      <c r="X159" s="1035"/>
      <c r="Y159" s="1035"/>
      <c r="Z159" s="1035"/>
      <c r="AA159" s="1033"/>
      <c r="AB159" s="1796"/>
      <c r="AC159" s="8"/>
      <c r="AD159" s="8"/>
      <c r="AF159" s="8"/>
      <c r="AG159" s="8"/>
      <c r="AH159" s="8"/>
      <c r="AI159" s="8"/>
      <c r="AJ159" s="8"/>
    </row>
    <row r="160" ht="23.25" customHeight="true" thickBot="true" x14ac:dyDescent="0.3">
      <c r="B160" s="1612"/>
      <c r="C160" s="1613"/>
      <c r="D160" s="1613"/>
      <c r="E160" s="1613"/>
      <c r="F160" s="1479">
        <f t="shared" si="167"/>
        <v>50</v>
      </c>
      <c r="G160" s="1153" t="str">
        <f t="shared" si="168"/>
        <v/>
      </c>
      <c r="H160" s="1038"/>
      <c r="I160" s="1038"/>
      <c r="J160" s="1038"/>
      <c r="K160" s="1038"/>
      <c r="L160" s="1038"/>
      <c r="M160" s="1038"/>
      <c r="N160" s="1038"/>
      <c r="O160" s="1038"/>
      <c r="P160" s="1038"/>
      <c r="Q160" s="1038"/>
      <c r="R160" s="1038"/>
      <c r="S160" s="1038"/>
      <c r="T160" s="1038"/>
      <c r="U160" s="1038"/>
      <c r="V160" s="1038"/>
      <c r="W160" s="1038"/>
      <c r="X160" s="1038"/>
      <c r="Y160" s="1038"/>
      <c r="Z160" s="1038"/>
      <c r="AA160" s="1034"/>
      <c r="AB160" s="1796"/>
      <c r="AC160" s="8"/>
      <c r="AD160" s="8"/>
      <c r="AF160" s="8"/>
      <c r="AG160" s="8"/>
      <c r="AH160" s="8"/>
      <c r="AI160" s="8"/>
      <c r="AJ160" s="8"/>
    </row>
    <row r="161" ht="23.25" customHeight="true" x14ac:dyDescent="0.25">
      <c r="B161" s="1612"/>
      <c r="C161" s="1613"/>
      <c r="D161" s="1613"/>
      <c r="E161" s="1613"/>
      <c r="F161" s="1757" t="s">
        <v>1070</v>
      </c>
      <c r="G161" s="1758"/>
      <c r="H161" s="1039" t="s">
        <v>2415</v>
      </c>
      <c r="I161" s="1040" t="s">
        <v>2416</v>
      </c>
      <c r="J161" s="1040"/>
      <c r="K161" s="1040"/>
      <c r="L161" s="1040"/>
      <c r="M161" s="1041"/>
      <c r="N161" s="1041"/>
      <c r="O161" s="1041"/>
      <c r="P161" s="1042"/>
      <c r="Q161" s="1043"/>
      <c r="R161" s="1042"/>
      <c r="S161" s="1042"/>
      <c r="T161" s="1043"/>
      <c r="U161" s="1043"/>
      <c r="V161" s="1043"/>
      <c r="W161" s="1043"/>
      <c r="X161" s="1043"/>
      <c r="Y161" s="1043"/>
      <c r="Z161" s="1043"/>
      <c r="AA161" s="1044"/>
      <c r="AB161" s="1796"/>
      <c r="AC161" s="8"/>
      <c r="AD161" s="8"/>
      <c r="AF161" s="8"/>
      <c r="AG161" s="8"/>
      <c r="AH161" s="8"/>
      <c r="AI161" s="8"/>
      <c r="AJ161" s="8"/>
    </row>
    <row r="162" ht="23.25" customHeight="true" x14ac:dyDescent="0.25">
      <c r="B162" s="1612"/>
      <c r="C162" s="1613"/>
      <c r="D162" s="1613"/>
      <c r="E162" s="1613"/>
      <c r="F162" s="1759" t="s">
        <v>80</v>
      </c>
      <c r="G162" s="1734"/>
      <c r="H162" s="1475">
        <f t="shared" ref="H162:AA162" si="169">IF(H109&lt;&gt;"",H109,"")</f>
        <v>4</v>
      </c>
      <c r="I162" s="1475">
        <f t="shared" si="169"/>
        <v>3</v>
      </c>
      <c r="J162" s="1475" t="str">
        <f t="shared" si="169"/>
        <v/>
      </c>
      <c r="K162" s="1475" t="str">
        <f t="shared" si="169"/>
        <v/>
      </c>
      <c r="L162" s="1475" t="str">
        <f t="shared" si="169"/>
        <v/>
      </c>
      <c r="M162" s="1475" t="str">
        <f t="shared" si="169"/>
        <v/>
      </c>
      <c r="N162" s="1475" t="str">
        <f t="shared" si="169"/>
        <v/>
      </c>
      <c r="O162" s="1475" t="str">
        <f t="shared" si="169"/>
        <v/>
      </c>
      <c r="P162" s="1475" t="str">
        <f t="shared" si="169"/>
        <v/>
      </c>
      <c r="Q162" s="1475" t="str">
        <f t="shared" si="169"/>
        <v/>
      </c>
      <c r="R162" s="1475" t="str">
        <f t="shared" si="169"/>
        <v/>
      </c>
      <c r="S162" s="1475" t="str">
        <f t="shared" si="169"/>
        <v/>
      </c>
      <c r="T162" s="1475" t="str">
        <f t="shared" si="169"/>
        <v/>
      </c>
      <c r="U162" s="1475" t="str">
        <f t="shared" si="169"/>
        <v/>
      </c>
      <c r="V162" s="1475" t="str">
        <f t="shared" si="169"/>
        <v/>
      </c>
      <c r="W162" s="1475" t="str">
        <f t="shared" si="169"/>
        <v/>
      </c>
      <c r="X162" s="1475" t="str">
        <f t="shared" si="169"/>
        <v/>
      </c>
      <c r="Y162" s="1475" t="str">
        <f t="shared" si="169"/>
        <v/>
      </c>
      <c r="Z162" s="1475" t="str">
        <f t="shared" si="169"/>
        <v/>
      </c>
      <c r="AA162" s="1476" t="str">
        <f t="shared" si="169"/>
        <v/>
      </c>
      <c r="AB162" s="1796"/>
      <c r="AC162" s="8"/>
      <c r="AD162" s="8"/>
      <c r="AF162" s="8"/>
      <c r="AG162" s="8"/>
      <c r="AH162" s="8"/>
      <c r="AI162" s="8"/>
      <c r="AJ162" s="8"/>
    </row>
    <row r="163" ht="23.25" customHeight="true" x14ac:dyDescent="0.25">
      <c r="B163" s="1612"/>
      <c r="C163" s="1613"/>
      <c r="D163" s="1613"/>
      <c r="E163" s="1613"/>
      <c r="F163" s="1760" t="s">
        <v>2161</v>
      </c>
      <c r="G163" s="1761"/>
      <c r="H163" s="1031">
        <v>1</v>
      </c>
      <c r="I163" s="1020">
        <v>0.15</v>
      </c>
      <c r="J163" s="1037"/>
      <c r="K163" s="1037"/>
      <c r="L163" s="1035"/>
      <c r="M163" s="1035"/>
      <c r="N163" s="1035"/>
      <c r="O163" s="1035"/>
      <c r="P163" s="1036"/>
      <c r="Q163" s="1022"/>
      <c r="R163" s="1036"/>
      <c r="S163" s="1036"/>
      <c r="T163" s="1022"/>
      <c r="U163" s="1022"/>
      <c r="V163" s="1022"/>
      <c r="W163" s="1022"/>
      <c r="X163" s="1022"/>
      <c r="Y163" s="1022"/>
      <c r="Z163" s="1022"/>
      <c r="AA163" s="1023"/>
      <c r="AB163" s="1796"/>
      <c r="AC163" s="8"/>
      <c r="AD163" s="8"/>
      <c r="AF163" s="8"/>
      <c r="AG163" s="8"/>
      <c r="AH163" s="8"/>
      <c r="AI163" s="8"/>
      <c r="AJ163" s="8"/>
    </row>
    <row r="164" ht="23.25" customHeight="true" x14ac:dyDescent="0.25">
      <c r="B164" s="1612"/>
      <c r="C164" s="1613"/>
      <c r="D164" s="1613"/>
      <c r="E164" s="1613"/>
      <c r="F164" s="1762" t="s">
        <v>1472</v>
      </c>
      <c r="G164" s="1732"/>
      <c r="H164" s="1020">
        <v>900</v>
      </c>
      <c r="I164" s="1020">
        <v>850</v>
      </c>
      <c r="J164" s="1037"/>
      <c r="K164" s="1037"/>
      <c r="L164" s="1035"/>
      <c r="M164" s="1035"/>
      <c r="N164" s="1035"/>
      <c r="O164" s="1035"/>
      <c r="P164" s="1036"/>
      <c r="Q164" s="1022"/>
      <c r="R164" s="1036"/>
      <c r="S164" s="1036"/>
      <c r="T164" s="1022"/>
      <c r="U164" s="1022"/>
      <c r="V164" s="1022"/>
      <c r="W164" s="1022"/>
      <c r="X164" s="1022"/>
      <c r="Y164" s="1022"/>
      <c r="Z164" s="1022"/>
      <c r="AA164" s="1023"/>
      <c r="AB164" s="1796"/>
      <c r="AC164" s="8"/>
      <c r="AD164" s="8"/>
      <c r="AF164" s="8"/>
      <c r="AG164" s="8"/>
      <c r="AH164" s="8"/>
      <c r="AI164" s="8"/>
      <c r="AJ164" s="8"/>
    </row>
    <row r="165" ht="23.25" customHeight="true" x14ac:dyDescent="0.25">
      <c r="B165" s="1612"/>
      <c r="C165" s="1613"/>
      <c r="D165" s="1613"/>
      <c r="E165" s="1613"/>
      <c r="F165" s="1762" t="s">
        <v>1473</v>
      </c>
      <c r="G165" s="1732"/>
      <c r="H165" s="1020">
        <v>100</v>
      </c>
      <c r="I165" s="1020">
        <v>300</v>
      </c>
      <c r="J165" s="1037"/>
      <c r="K165" s="1037"/>
      <c r="L165" s="1035"/>
      <c r="M165" s="1035"/>
      <c r="N165" s="1035"/>
      <c r="O165" s="1035"/>
      <c r="P165" s="1036"/>
      <c r="Q165" s="1022"/>
      <c r="R165" s="1036"/>
      <c r="S165" s="1036"/>
      <c r="T165" s="1022"/>
      <c r="U165" s="1022"/>
      <c r="V165" s="1022"/>
      <c r="W165" s="1022"/>
      <c r="X165" s="1022"/>
      <c r="Y165" s="1022"/>
      <c r="Z165" s="1022"/>
      <c r="AA165" s="1023"/>
      <c r="AB165" s="1796"/>
      <c r="AC165" s="8"/>
      <c r="AD165" s="8"/>
      <c r="AF165" s="8"/>
      <c r="AG165" s="8"/>
      <c r="AH165" s="8"/>
      <c r="AI165" s="8"/>
      <c r="AJ165" s="8"/>
    </row>
    <row r="166" ht="23.25" customHeight="true" thickBot="true" x14ac:dyDescent="0.3">
      <c r="B166" s="1612"/>
      <c r="C166" s="1613"/>
      <c r="D166" s="1613"/>
      <c r="E166" s="1613"/>
      <c r="F166" s="1763" t="s">
        <v>1860</v>
      </c>
      <c r="G166" s="1764"/>
      <c r="H166" s="1480">
        <f>IF('II. Equipment &amp; Cost Data'!E107&lt;&gt;"",'II. Equipment &amp; Cost Data'!E107,"")</f>
        <v>2011646.868</v>
      </c>
      <c r="I166" s="1480">
        <f>IF('II. Equipment &amp; Cost Data'!F107&lt;&gt;"",'II. Equipment &amp; Cost Data'!F107,"")</f>
        <v>345265.37638999999</v>
      </c>
      <c r="J166" s="1480" t="str">
        <f>IF('II. Equipment &amp; Cost Data'!G107&lt;&gt;"",'II. Equipment &amp; Cost Data'!G107,"")</f>
        <v/>
      </c>
      <c r="K166" s="1480" t="str">
        <f>IF('II. Equipment &amp; Cost Data'!H107&lt;&gt;"",'II. Equipment &amp; Cost Data'!H107,"")</f>
        <v/>
      </c>
      <c r="L166" s="1480" t="str">
        <f>IF('II. Equipment &amp; Cost Data'!I107&lt;&gt;"",'II. Equipment &amp; Cost Data'!I107,"")</f>
        <v/>
      </c>
      <c r="M166" s="1480" t="str">
        <f>IF('II. Equipment &amp; Cost Data'!J107&lt;&gt;"",'II. Equipment &amp; Cost Data'!J107,"")</f>
        <v/>
      </c>
      <c r="N166" s="1480" t="str">
        <f>IF('II. Equipment &amp; Cost Data'!K107&lt;&gt;"",'II. Equipment &amp; Cost Data'!K107,"")</f>
        <v/>
      </c>
      <c r="O166" s="1480" t="str">
        <f>IF('II. Equipment &amp; Cost Data'!L107&lt;&gt;"",'II. Equipment &amp; Cost Data'!L107,"")</f>
        <v/>
      </c>
      <c r="P166" s="1480" t="str">
        <f>IF('II. Equipment &amp; Cost Data'!M107&lt;&gt;"",'II. Equipment &amp; Cost Data'!M107,"")</f>
        <v/>
      </c>
      <c r="Q166" s="1480" t="str">
        <f>IF('II. Equipment &amp; Cost Data'!N107&lt;&gt;"",'II. Equipment &amp; Cost Data'!N107,"")</f>
        <v/>
      </c>
      <c r="R166" s="1480" t="str">
        <f>IF('II. Equipment &amp; Cost Data'!O107&lt;&gt;"",'II. Equipment &amp; Cost Data'!O107,"")</f>
        <v/>
      </c>
      <c r="S166" s="1480" t="str">
        <f>IF('II. Equipment &amp; Cost Data'!P107&lt;&gt;"",'II. Equipment &amp; Cost Data'!P107,"")</f>
        <v/>
      </c>
      <c r="T166" s="1480" t="str">
        <f>IF('II. Equipment &amp; Cost Data'!Q107&lt;&gt;"",'II. Equipment &amp; Cost Data'!Q107,"")</f>
        <v/>
      </c>
      <c r="U166" s="1480" t="str">
        <f>IF('II. Equipment &amp; Cost Data'!R107&lt;&gt;"",'II. Equipment &amp; Cost Data'!R107,"")</f>
        <v/>
      </c>
      <c r="V166" s="1480" t="str">
        <f>IF('II. Equipment &amp; Cost Data'!S107&lt;&gt;"",'II. Equipment &amp; Cost Data'!S107,"")</f>
        <v/>
      </c>
      <c r="W166" s="1480" t="str">
        <f>IF('II. Equipment &amp; Cost Data'!T107&lt;&gt;"",'II. Equipment &amp; Cost Data'!T107,"")</f>
        <v/>
      </c>
      <c r="X166" s="1480" t="str">
        <f>IF('II. Equipment &amp; Cost Data'!U107&lt;&gt;"",'II. Equipment &amp; Cost Data'!U107,"")</f>
        <v/>
      </c>
      <c r="Y166" s="1480" t="str">
        <f>IF('II. Equipment &amp; Cost Data'!V107&lt;&gt;"",'II. Equipment &amp; Cost Data'!V107,"")</f>
        <v/>
      </c>
      <c r="Z166" s="1480" t="str">
        <f>IF('II. Equipment &amp; Cost Data'!W107&lt;&gt;"",'II. Equipment &amp; Cost Data'!W107,"")</f>
        <v/>
      </c>
      <c r="AA166" s="67" t="str">
        <f>IF('II. Equipment &amp; Cost Data'!X107&lt;&gt;"",'II. Equipment &amp; Cost Data'!X107,"")</f>
        <v/>
      </c>
      <c r="AB166" s="1796"/>
      <c r="AC166" s="8"/>
      <c r="AD166" s="8"/>
      <c r="AF166" s="8"/>
      <c r="AG166" s="8"/>
      <c r="AH166" s="8"/>
      <c r="AI166" s="8"/>
      <c r="AJ166" s="8"/>
    </row>
    <row r="167" ht="23.25" customHeight="true" thickBot="true" x14ac:dyDescent="0.3">
      <c r="B167" s="1615"/>
      <c r="C167" s="1616"/>
      <c r="D167" s="1616"/>
      <c r="E167" s="1616"/>
      <c r="F167" s="1590"/>
      <c r="G167" s="1590"/>
      <c r="H167" s="1590"/>
      <c r="I167" s="1590"/>
      <c r="J167" s="1590"/>
      <c r="K167" s="1590"/>
      <c r="L167" s="1590"/>
      <c r="M167" s="1590"/>
      <c r="N167" s="1590"/>
      <c r="O167" s="1590"/>
      <c r="P167" s="1590"/>
      <c r="Q167" s="1590"/>
      <c r="R167" s="1590"/>
      <c r="S167" s="1590"/>
      <c r="T167" s="1590"/>
      <c r="U167" s="1590"/>
      <c r="V167" s="1590"/>
      <c r="W167" s="1590"/>
      <c r="X167" s="1590"/>
      <c r="Y167" s="1590"/>
      <c r="Z167" s="1590"/>
      <c r="AA167" s="1590"/>
      <c r="AB167" s="1797"/>
      <c r="AC167" s="8"/>
      <c r="AD167" s="8"/>
      <c r="AF167" s="8"/>
      <c r="AG167" s="8"/>
      <c r="AH167" s="8"/>
      <c r="AI167" s="8"/>
      <c r="AJ167" s="8"/>
    </row>
    <row r="168" ht="23.25" customHeight="true" x14ac:dyDescent="0.25">
      <c r="D168" s="8"/>
      <c r="H168" s="8"/>
      <c r="I168" s="8"/>
      <c r="J168" s="8"/>
      <c r="P168" s="8"/>
      <c r="Q168" s="8"/>
      <c r="R168" s="8"/>
      <c r="S168" s="8"/>
      <c r="T168" s="8"/>
      <c r="U168" s="8"/>
      <c r="V168" s="8"/>
      <c r="W168" s="8"/>
      <c r="X168" s="8"/>
      <c r="Y168" s="8"/>
      <c r="Z168" s="8"/>
      <c r="AA168" s="8"/>
      <c r="AB168" s="8"/>
      <c r="AC168" s="8"/>
      <c r="AD168" s="8"/>
      <c r="AF168" s="8"/>
      <c r="AG168" s="8"/>
      <c r="AH168" s="8"/>
      <c r="AI168" s="8"/>
      <c r="AJ168" s="8"/>
    </row>
    <row r="169" ht="23.25" customHeight="true" x14ac:dyDescent="0.25">
      <c r="D169" s="8"/>
      <c r="H169" s="8"/>
      <c r="I169" s="8"/>
      <c r="J169" s="8"/>
      <c r="P169" s="8"/>
      <c r="Q169" s="8"/>
      <c r="R169" s="8"/>
      <c r="S169" s="8"/>
      <c r="T169" s="8"/>
      <c r="U169" s="8"/>
      <c r="V169" s="8"/>
      <c r="W169" s="8"/>
      <c r="X169" s="8"/>
      <c r="Y169" s="8"/>
      <c r="Z169" s="8"/>
      <c r="AA169" s="8"/>
      <c r="AB169" s="8"/>
      <c r="AC169" s="8"/>
      <c r="AD169" s="8"/>
      <c r="AF169" s="8"/>
      <c r="AG169" s="8"/>
      <c r="AH169" s="8"/>
      <c r="AI169" s="8"/>
      <c r="AJ169" s="8"/>
    </row>
    <row r="170" ht="23.25" customHeight="true" x14ac:dyDescent="0.25">
      <c r="D170" s="8"/>
      <c r="H170" s="8"/>
      <c r="I170" s="8"/>
      <c r="J170" s="8"/>
      <c r="P170" s="8"/>
      <c r="Q170" s="8"/>
      <c r="R170" s="8"/>
      <c r="S170" s="8"/>
      <c r="T170" s="8"/>
      <c r="U170" s="8"/>
      <c r="V170" s="8"/>
      <c r="W170" s="8"/>
      <c r="X170" s="8"/>
      <c r="Y170" s="8"/>
      <c r="Z170" s="8"/>
      <c r="AA170" s="8"/>
      <c r="AB170" s="8"/>
      <c r="AC170" s="8"/>
      <c r="AD170" s="8"/>
      <c r="AF170" s="8"/>
      <c r="AG170" s="8"/>
      <c r="AH170" s="8"/>
      <c r="AI170" s="8"/>
      <c r="AJ170" s="8"/>
    </row>
    <row r="171" ht="23.25" customHeight="true" x14ac:dyDescent="0.25">
      <c r="D171" s="8"/>
      <c r="H171" s="8"/>
      <c r="I171" s="8"/>
      <c r="J171" s="8"/>
      <c r="P171" s="8"/>
      <c r="Q171" s="8"/>
      <c r="R171" s="8"/>
      <c r="S171" s="8"/>
      <c r="T171" s="8"/>
      <c r="U171" s="8"/>
      <c r="V171" s="8"/>
      <c r="W171" s="8"/>
      <c r="X171" s="8"/>
      <c r="Y171" s="8"/>
      <c r="Z171" s="8"/>
      <c r="AA171" s="8"/>
      <c r="AB171" s="8"/>
      <c r="AC171" s="8"/>
      <c r="AD171" s="8"/>
      <c r="AF171" s="8"/>
      <c r="AG171" s="8"/>
      <c r="AH171" s="8"/>
      <c r="AI171" s="8"/>
      <c r="AJ171" s="8"/>
    </row>
    <row r="172" ht="23.25" customHeight="true" x14ac:dyDescent="0.25">
      <c r="H172" s="8"/>
      <c r="I172" s="8"/>
      <c r="J172" s="8"/>
      <c r="P172" s="8"/>
      <c r="Q172" s="8"/>
      <c r="R172" s="8"/>
      <c r="S172" s="8"/>
      <c r="T172" s="8"/>
      <c r="U172" s="8"/>
      <c r="V172" s="8"/>
      <c r="W172" s="8"/>
      <c r="X172" s="8"/>
      <c r="Y172" s="8"/>
      <c r="Z172" s="8"/>
      <c r="AA172" s="8"/>
      <c r="AC172" s="9"/>
    </row>
    <row r="173" ht="23.25" customHeight="true" x14ac:dyDescent="0.25">
      <c r="H173" s="8"/>
      <c r="I173" s="8"/>
      <c r="J173" s="8"/>
      <c r="P173" s="8"/>
      <c r="Q173" s="8"/>
      <c r="R173" s="8"/>
      <c r="S173" s="8"/>
      <c r="T173" s="8"/>
      <c r="U173" s="8"/>
      <c r="V173" s="8"/>
      <c r="W173" s="8"/>
      <c r="X173" s="8"/>
      <c r="Y173" s="8"/>
      <c r="Z173" s="8"/>
      <c r="AA173" s="8"/>
      <c r="AC173" s="9"/>
    </row>
    <row r="174" ht="23.25" customHeight="true" x14ac:dyDescent="0.25">
      <c r="H174" s="8"/>
      <c r="I174" s="8"/>
      <c r="J174" s="8"/>
      <c r="P174" s="8"/>
      <c r="Q174" s="8"/>
      <c r="R174" s="8"/>
      <c r="S174" s="8"/>
      <c r="T174" s="8"/>
      <c r="U174" s="8"/>
      <c r="V174" s="8"/>
      <c r="W174" s="8"/>
      <c r="X174" s="8"/>
      <c r="Y174" s="8"/>
      <c r="Z174" s="8"/>
      <c r="AA174" s="8"/>
    </row>
    <row r="175" ht="23.25" customHeight="true" thickBot="true" x14ac:dyDescent="0.3">
      <c r="H175" s="8"/>
      <c r="I175" s="8"/>
      <c r="J175" s="8"/>
      <c r="P175" s="8"/>
      <c r="Q175" s="8"/>
      <c r="R175" s="8"/>
      <c r="S175" s="8"/>
      <c r="T175" s="8"/>
      <c r="U175" s="8"/>
      <c r="V175" s="8"/>
      <c r="W175" s="8"/>
      <c r="X175" s="8"/>
      <c r="Y175" s="8"/>
      <c r="Z175" s="8"/>
      <c r="AA175" s="8"/>
    </row>
    <row r="176" ht="35.25" customHeight="true" thickBot="true" x14ac:dyDescent="0.7">
      <c r="B176" s="743" t="s">
        <v>2327</v>
      </c>
      <c r="C176" s="138"/>
      <c r="D176" s="779"/>
      <c r="E176" s="1645" t="s">
        <v>2215</v>
      </c>
      <c r="F176" s="1645"/>
      <c r="G176" s="1645" t="s">
        <v>1093</v>
      </c>
      <c r="H176" s="1645"/>
      <c r="I176" s="1585"/>
      <c r="J176" s="1585"/>
      <c r="K176" s="1585"/>
      <c r="L176" s="1585"/>
      <c r="M176" s="1585"/>
      <c r="N176" s="1585"/>
      <c r="O176" s="1585"/>
      <c r="P176" s="1585"/>
      <c r="Q176" s="1585"/>
      <c r="R176" s="1585"/>
      <c r="S176" s="1585"/>
      <c r="T176" s="1585"/>
      <c r="U176" s="1585"/>
      <c r="V176" s="1585"/>
      <c r="W176" s="1585"/>
      <c r="X176" s="1585"/>
      <c r="Y176" s="1585"/>
      <c r="Z176" s="1585"/>
      <c r="AA176" s="1585"/>
      <c r="AB176" s="1585"/>
      <c r="AC176" s="1585"/>
      <c r="AD176" s="1585"/>
      <c r="AE176" s="1585"/>
      <c r="AF176" s="1585"/>
      <c r="AG176" s="1585"/>
      <c r="AH176" s="1585"/>
      <c r="AI176" s="1585"/>
      <c r="AJ176" s="1585"/>
      <c r="AK176" s="1585"/>
      <c r="AL176" s="1585"/>
      <c r="AM176" s="1585"/>
      <c r="AN176" s="1585"/>
      <c r="AO176" s="1585"/>
      <c r="AP176" s="1585"/>
      <c r="AQ176" s="1585"/>
      <c r="AR176" s="1585"/>
      <c r="AS176" s="1585"/>
      <c r="AT176" s="1585"/>
      <c r="AU176" s="1585"/>
      <c r="AV176" s="1585"/>
      <c r="AW176" s="1585"/>
      <c r="AX176" s="1585"/>
      <c r="AY176" s="1585"/>
      <c r="AZ176" s="1585"/>
      <c r="BA176" s="1585"/>
      <c r="BB176" s="1585"/>
      <c r="BC176" s="1585"/>
      <c r="BD176" s="1585"/>
      <c r="BE176" s="1585"/>
      <c r="BF176" s="1585"/>
      <c r="BG176" s="1585"/>
      <c r="BH176" s="1585"/>
      <c r="BI176" s="1585"/>
      <c r="BJ176" s="1585"/>
      <c r="BK176" s="1585"/>
      <c r="BL176" s="1585"/>
      <c r="BM176" s="1585"/>
      <c r="BN176" s="1585"/>
      <c r="BO176" s="1585"/>
      <c r="BP176" s="1585"/>
      <c r="BQ176" s="1585"/>
      <c r="BR176" s="1585"/>
      <c r="BS176" s="1585"/>
      <c r="BT176" s="1585"/>
      <c r="BU176" s="1585"/>
      <c r="BV176" s="1585"/>
      <c r="BW176" s="1585"/>
      <c r="BX176" s="1585"/>
      <c r="BY176" s="1585"/>
      <c r="BZ176" s="1585"/>
      <c r="CA176" s="1585"/>
      <c r="CB176" s="1585"/>
      <c r="CC176" s="1585"/>
      <c r="CD176" s="1585"/>
      <c r="CE176" s="1585"/>
      <c r="CF176" s="1585"/>
      <c r="CG176" s="1585"/>
      <c r="CH176" s="1585"/>
      <c r="CI176" s="1585"/>
      <c r="CJ176" s="1585"/>
      <c r="CK176" s="1585"/>
      <c r="CL176" s="1585"/>
      <c r="CM176" s="1585"/>
      <c r="CN176" s="1585"/>
      <c r="CO176" s="1585"/>
      <c r="CP176" s="1585"/>
      <c r="CQ176" s="1585"/>
      <c r="CR176" s="1585"/>
      <c r="CS176" s="1585"/>
      <c r="CT176" s="1585"/>
      <c r="CU176" s="1585"/>
      <c r="CV176" s="1585"/>
      <c r="CW176" s="1585"/>
      <c r="CX176" s="1585"/>
      <c r="CY176" s="1585"/>
      <c r="CZ176" s="1585"/>
      <c r="DA176" s="1585"/>
      <c r="DB176" s="1585"/>
      <c r="DC176" s="1585"/>
      <c r="DD176" s="1585"/>
      <c r="DE176" s="1585"/>
      <c r="DF176" s="1585"/>
      <c r="DG176" s="1585"/>
      <c r="DH176" s="1585"/>
      <c r="DI176" s="1585"/>
      <c r="DJ176" s="1585"/>
      <c r="DK176" s="1585"/>
      <c r="DL176" s="1585"/>
      <c r="DM176" s="1585"/>
      <c r="DN176" s="1585"/>
      <c r="DO176" s="1585"/>
      <c r="DP176" s="1585"/>
      <c r="DQ176" s="1585"/>
      <c r="DR176" s="1585"/>
      <c r="DS176" s="1585"/>
      <c r="DT176" s="1585"/>
      <c r="DU176" s="1585"/>
      <c r="DV176" s="1585"/>
      <c r="DW176" s="1585"/>
      <c r="DX176" s="1705"/>
    </row>
    <row r="177" ht="23.25" customHeight="true" thickBot="true" x14ac:dyDescent="0.3">
      <c r="B177" s="1612"/>
      <c r="C177" s="1613"/>
      <c r="D177" s="1613"/>
      <c r="E177" s="1613"/>
      <c r="F177" s="1613"/>
      <c r="G177" s="1614"/>
      <c r="H177" s="1600">
        <v>1</v>
      </c>
      <c r="I177" s="1601"/>
      <c r="J177" s="1602"/>
      <c r="K177" s="1600">
        <v>2</v>
      </c>
      <c r="L177" s="1601"/>
      <c r="M177" s="1602"/>
      <c r="N177" s="1600">
        <v>3</v>
      </c>
      <c r="O177" s="1601"/>
      <c r="P177" s="1602"/>
      <c r="Q177" s="1600">
        <v>4</v>
      </c>
      <c r="R177" s="1601"/>
      <c r="S177" s="1602"/>
      <c r="T177" s="1600">
        <v>5</v>
      </c>
      <c r="U177" s="1601"/>
      <c r="V177" s="1602"/>
      <c r="W177" s="1600">
        <v>6</v>
      </c>
      <c r="X177" s="1601"/>
      <c r="Y177" s="1602"/>
      <c r="Z177" s="1600">
        <v>7</v>
      </c>
      <c r="AA177" s="1601"/>
      <c r="AB177" s="1602"/>
      <c r="AC177" s="1600">
        <v>8</v>
      </c>
      <c r="AD177" s="1601"/>
      <c r="AE177" s="1602"/>
      <c r="AF177" s="1600">
        <v>9</v>
      </c>
      <c r="AG177" s="1601"/>
      <c r="AH177" s="1602"/>
      <c r="AI177" s="1600">
        <v>10</v>
      </c>
      <c r="AJ177" s="1601"/>
      <c r="AK177" s="1602"/>
      <c r="AL177" s="1600">
        <v>11</v>
      </c>
      <c r="AM177" s="1601"/>
      <c r="AN177" s="1602"/>
      <c r="AO177" s="1600">
        <v>12</v>
      </c>
      <c r="AP177" s="1601"/>
      <c r="AQ177" s="1602"/>
      <c r="AR177" s="1600">
        <v>13</v>
      </c>
      <c r="AS177" s="1601"/>
      <c r="AT177" s="1602"/>
      <c r="AU177" s="1600">
        <v>14</v>
      </c>
      <c r="AV177" s="1601"/>
      <c r="AW177" s="1602"/>
      <c r="AX177" s="1600">
        <v>15</v>
      </c>
      <c r="AY177" s="1601"/>
      <c r="AZ177" s="1602"/>
      <c r="BA177" s="1600">
        <v>16</v>
      </c>
      <c r="BB177" s="1601"/>
      <c r="BC177" s="1602"/>
      <c r="BD177" s="1600">
        <v>17</v>
      </c>
      <c r="BE177" s="1601"/>
      <c r="BF177" s="1602"/>
      <c r="BG177" s="1600">
        <v>18</v>
      </c>
      <c r="BH177" s="1601"/>
      <c r="BI177" s="1602"/>
      <c r="BJ177" s="1600">
        <v>19</v>
      </c>
      <c r="BK177" s="1601"/>
      <c r="BL177" s="1602"/>
      <c r="BM177" s="1600">
        <v>20</v>
      </c>
      <c r="BN177" s="1601"/>
      <c r="BO177" s="1602"/>
      <c r="BP177" s="1600">
        <v>21</v>
      </c>
      <c r="BQ177" s="1601"/>
      <c r="BR177" s="1602"/>
      <c r="BS177" s="1600">
        <v>22</v>
      </c>
      <c r="BT177" s="1601"/>
      <c r="BU177" s="1602"/>
      <c r="BV177" s="1600">
        <v>23</v>
      </c>
      <c r="BW177" s="1601"/>
      <c r="BX177" s="1602"/>
      <c r="BY177" s="1600">
        <v>24</v>
      </c>
      <c r="BZ177" s="1601"/>
      <c r="CA177" s="1602"/>
      <c r="CB177" s="1600">
        <v>25</v>
      </c>
      <c r="CC177" s="1601"/>
      <c r="CD177" s="1602"/>
      <c r="CE177" s="1600">
        <v>26</v>
      </c>
      <c r="CF177" s="1601"/>
      <c r="CG177" s="1602"/>
      <c r="CH177" s="1600">
        <v>27</v>
      </c>
      <c r="CI177" s="1601"/>
      <c r="CJ177" s="1602"/>
      <c r="CK177" s="1600">
        <v>28</v>
      </c>
      <c r="CL177" s="1601"/>
      <c r="CM177" s="1602"/>
      <c r="CN177" s="1600">
        <v>29</v>
      </c>
      <c r="CO177" s="1601"/>
      <c r="CP177" s="1602"/>
      <c r="CQ177" s="1600">
        <v>30</v>
      </c>
      <c r="CR177" s="1601"/>
      <c r="CS177" s="1602"/>
      <c r="CT177" s="1600">
        <v>31</v>
      </c>
      <c r="CU177" s="1601"/>
      <c r="CV177" s="1602"/>
      <c r="CW177" s="1600">
        <v>32</v>
      </c>
      <c r="CX177" s="1601"/>
      <c r="CY177" s="1602"/>
      <c r="CZ177" s="1600">
        <v>33</v>
      </c>
      <c r="DA177" s="1601"/>
      <c r="DB177" s="1602"/>
      <c r="DC177" s="1600">
        <v>34</v>
      </c>
      <c r="DD177" s="1601"/>
      <c r="DE177" s="1602"/>
      <c r="DF177" s="1600">
        <v>35</v>
      </c>
      <c r="DG177" s="1601"/>
      <c r="DH177" s="1602"/>
      <c r="DI177" s="1600">
        <v>36</v>
      </c>
      <c r="DJ177" s="1601"/>
      <c r="DK177" s="1602"/>
      <c r="DL177" s="1600">
        <v>37</v>
      </c>
      <c r="DM177" s="1601"/>
      <c r="DN177" s="1602"/>
      <c r="DO177" s="1600">
        <v>38</v>
      </c>
      <c r="DP177" s="1601"/>
      <c r="DQ177" s="1602"/>
      <c r="DR177" s="1600">
        <v>39</v>
      </c>
      <c r="DS177" s="1601"/>
      <c r="DT177" s="1602"/>
      <c r="DU177" s="1600">
        <v>40</v>
      </c>
      <c r="DV177" s="1601"/>
      <c r="DW177" s="1602"/>
      <c r="DX177" s="147"/>
    </row>
    <row r="178" ht="31.5" customHeight="true" x14ac:dyDescent="0.25">
      <c r="B178" s="1612"/>
      <c r="C178" s="1613"/>
      <c r="D178" s="1613"/>
      <c r="E178" s="1613"/>
      <c r="F178" s="1613"/>
      <c r="G178" s="1614"/>
      <c r="H178" s="35" t="s">
        <v>1520</v>
      </c>
      <c r="I178" s="1017" t="s">
        <v>2417</v>
      </c>
      <c r="J178" s="1609"/>
      <c r="K178" s="35" t="s">
        <v>1520</v>
      </c>
      <c r="L178" s="1017" t="s">
        <v>2406</v>
      </c>
      <c r="M178" s="1609"/>
      <c r="N178" s="35" t="s">
        <v>1520</v>
      </c>
      <c r="O178" s="1017"/>
      <c r="P178" s="1609"/>
      <c r="Q178" s="35" t="s">
        <v>1520</v>
      </c>
      <c r="R178" s="1017"/>
      <c r="S178" s="1609"/>
      <c r="T178" s="35" t="s">
        <v>1520</v>
      </c>
      <c r="U178" s="1017"/>
      <c r="V178" s="1609"/>
      <c r="W178" s="35" t="s">
        <v>1520</v>
      </c>
      <c r="X178" s="772">
        <v>303</v>
      </c>
      <c r="Y178" s="1609"/>
      <c r="Z178" s="35" t="s">
        <v>1520</v>
      </c>
      <c r="AA178" s="1017"/>
      <c r="AB178" s="1603"/>
      <c r="AC178" s="35" t="s">
        <v>1520</v>
      </c>
      <c r="AD178" s="1017"/>
      <c r="AE178" s="1603"/>
      <c r="AF178" s="35" t="s">
        <v>1520</v>
      </c>
      <c r="AG178" s="1017"/>
      <c r="AH178" s="1603"/>
      <c r="AI178" s="35" t="s">
        <v>1520</v>
      </c>
      <c r="AJ178" s="1017"/>
      <c r="AK178" s="1603"/>
      <c r="AL178" s="35" t="s">
        <v>1520</v>
      </c>
      <c r="AM178" s="1017"/>
      <c r="AN178" s="1603"/>
      <c r="AO178" s="35" t="s">
        <v>1520</v>
      </c>
      <c r="AP178" s="1017"/>
      <c r="AQ178" s="1603"/>
      <c r="AR178" s="35" t="s">
        <v>1520</v>
      </c>
      <c r="AS178" s="1017"/>
      <c r="AT178" s="1603"/>
      <c r="AU178" s="35" t="s">
        <v>1520</v>
      </c>
      <c r="AV178" s="1017"/>
      <c r="AW178" s="1603"/>
      <c r="AX178" s="35" t="s">
        <v>1520</v>
      </c>
      <c r="AY178" s="1017"/>
      <c r="AZ178" s="1603"/>
      <c r="BA178" s="35" t="s">
        <v>1520</v>
      </c>
      <c r="BB178" s="1017"/>
      <c r="BC178" s="1603"/>
      <c r="BD178" s="35" t="s">
        <v>1520</v>
      </c>
      <c r="BE178" s="1017"/>
      <c r="BF178" s="1603"/>
      <c r="BG178" s="35" t="s">
        <v>1520</v>
      </c>
      <c r="BH178" s="1017"/>
      <c r="BI178" s="1603"/>
      <c r="BJ178" s="35" t="s">
        <v>1520</v>
      </c>
      <c r="BK178" s="1017"/>
      <c r="BL178" s="1603"/>
      <c r="BM178" s="35" t="s">
        <v>1520</v>
      </c>
      <c r="BN178" s="1017"/>
      <c r="BO178" s="1603"/>
      <c r="BP178" s="35" t="s">
        <v>1520</v>
      </c>
      <c r="BQ178" s="1017"/>
      <c r="BR178" s="1603"/>
      <c r="BS178" s="35" t="s">
        <v>1520</v>
      </c>
      <c r="BT178" s="1017"/>
      <c r="BU178" s="1603"/>
      <c r="BV178" s="35" t="s">
        <v>1520</v>
      </c>
      <c r="BW178" s="1017"/>
      <c r="BX178" s="1603"/>
      <c r="BY178" s="35" t="s">
        <v>1520</v>
      </c>
      <c r="BZ178" s="1017"/>
      <c r="CA178" s="1603"/>
      <c r="CB178" s="35" t="s">
        <v>1520</v>
      </c>
      <c r="CC178" s="1017"/>
      <c r="CD178" s="1603"/>
      <c r="CE178" s="35" t="s">
        <v>1520</v>
      </c>
      <c r="CF178" s="1017"/>
      <c r="CG178" s="1603"/>
      <c r="CH178" s="35" t="s">
        <v>1520</v>
      </c>
      <c r="CI178" s="1017"/>
      <c r="CJ178" s="1603"/>
      <c r="CK178" s="35" t="s">
        <v>1520</v>
      </c>
      <c r="CL178" s="1017"/>
      <c r="CM178" s="1603"/>
      <c r="CN178" s="35" t="s">
        <v>1520</v>
      </c>
      <c r="CO178" s="1017"/>
      <c r="CP178" s="1603"/>
      <c r="CQ178" s="35" t="s">
        <v>1520</v>
      </c>
      <c r="CR178" s="1017"/>
      <c r="CS178" s="1603"/>
      <c r="CT178" s="35" t="s">
        <v>1520</v>
      </c>
      <c r="CU178" s="1017"/>
      <c r="CV178" s="1603"/>
      <c r="CW178" s="35" t="s">
        <v>1520</v>
      </c>
      <c r="CX178" s="1017"/>
      <c r="CY178" s="1603"/>
      <c r="CZ178" s="35" t="s">
        <v>1520</v>
      </c>
      <c r="DA178" s="1017"/>
      <c r="DB178" s="1603"/>
      <c r="DC178" s="35" t="s">
        <v>1520</v>
      </c>
      <c r="DD178" s="1017"/>
      <c r="DE178" s="1603"/>
      <c r="DF178" s="35" t="s">
        <v>1520</v>
      </c>
      <c r="DG178" s="1017"/>
      <c r="DH178" s="1603"/>
      <c r="DI178" s="35" t="s">
        <v>1520</v>
      </c>
      <c r="DJ178" s="1017"/>
      <c r="DK178" s="1603"/>
      <c r="DL178" s="35" t="s">
        <v>1520</v>
      </c>
      <c r="DM178" s="1017"/>
      <c r="DN178" s="1603"/>
      <c r="DO178" s="35" t="s">
        <v>1520</v>
      </c>
      <c r="DP178" s="1017"/>
      <c r="DQ178" s="1603"/>
      <c r="DR178" s="35" t="s">
        <v>1520</v>
      </c>
      <c r="DS178" s="1017"/>
      <c r="DT178" s="1603"/>
      <c r="DU178" s="35" t="s">
        <v>1520</v>
      </c>
      <c r="DV178" s="1017"/>
      <c r="DW178" s="1603"/>
      <c r="DX178" s="147"/>
    </row>
    <row r="179" ht="29.25" customHeight="true" x14ac:dyDescent="0.25">
      <c r="B179" s="1612"/>
      <c r="C179" s="1613"/>
      <c r="D179" s="1613"/>
      <c r="E179" s="1613"/>
      <c r="F179" s="1613"/>
      <c r="G179" s="1614"/>
      <c r="H179" s="17" t="s">
        <v>1481</v>
      </c>
      <c r="I179" s="1020">
        <v>1</v>
      </c>
      <c r="J179" s="1610"/>
      <c r="K179" s="27" t="s">
        <v>1481</v>
      </c>
      <c r="L179" s="1020">
        <v>0</v>
      </c>
      <c r="M179" s="1610"/>
      <c r="N179" s="27" t="s">
        <v>1481</v>
      </c>
      <c r="O179" s="1020"/>
      <c r="P179" s="1610"/>
      <c r="Q179" s="27" t="s">
        <v>1481</v>
      </c>
      <c r="R179" s="1020"/>
      <c r="S179" s="1610"/>
      <c r="T179" s="27" t="s">
        <v>1481</v>
      </c>
      <c r="U179" s="1020"/>
      <c r="V179" s="1610"/>
      <c r="W179" s="27" t="s">
        <v>1481</v>
      </c>
      <c r="X179" s="130">
        <v>0</v>
      </c>
      <c r="Y179" s="1610"/>
      <c r="Z179" s="27" t="s">
        <v>1481</v>
      </c>
      <c r="AA179" s="1020"/>
      <c r="AB179" s="1604"/>
      <c r="AC179" s="27" t="s">
        <v>1481</v>
      </c>
      <c r="AD179" s="1020"/>
      <c r="AE179" s="1604"/>
      <c r="AF179" s="27" t="s">
        <v>1481</v>
      </c>
      <c r="AG179" s="1020"/>
      <c r="AH179" s="1604"/>
      <c r="AI179" s="27" t="s">
        <v>1481</v>
      </c>
      <c r="AJ179" s="1020"/>
      <c r="AK179" s="1604"/>
      <c r="AL179" s="27" t="s">
        <v>1481</v>
      </c>
      <c r="AM179" s="1020"/>
      <c r="AN179" s="1604"/>
      <c r="AO179" s="27" t="s">
        <v>1481</v>
      </c>
      <c r="AP179" s="1020"/>
      <c r="AQ179" s="1604"/>
      <c r="AR179" s="27" t="s">
        <v>1481</v>
      </c>
      <c r="AS179" s="1020"/>
      <c r="AT179" s="1604"/>
      <c r="AU179" s="27" t="s">
        <v>1481</v>
      </c>
      <c r="AV179" s="1020"/>
      <c r="AW179" s="1604"/>
      <c r="AX179" s="27" t="s">
        <v>1481</v>
      </c>
      <c r="AY179" s="1020"/>
      <c r="AZ179" s="1604"/>
      <c r="BA179" s="27" t="s">
        <v>1481</v>
      </c>
      <c r="BB179" s="1020"/>
      <c r="BC179" s="1604"/>
      <c r="BD179" s="27" t="s">
        <v>1481</v>
      </c>
      <c r="BE179" s="1020"/>
      <c r="BF179" s="1604"/>
      <c r="BG179" s="27" t="s">
        <v>1481</v>
      </c>
      <c r="BH179" s="1020"/>
      <c r="BI179" s="1604"/>
      <c r="BJ179" s="27" t="s">
        <v>1481</v>
      </c>
      <c r="BK179" s="1020"/>
      <c r="BL179" s="1604"/>
      <c r="BM179" s="27" t="s">
        <v>1481</v>
      </c>
      <c r="BN179" s="1020"/>
      <c r="BO179" s="1604"/>
      <c r="BP179" s="27" t="s">
        <v>1481</v>
      </c>
      <c r="BQ179" s="1020"/>
      <c r="BR179" s="1604"/>
      <c r="BS179" s="27" t="s">
        <v>1481</v>
      </c>
      <c r="BT179" s="1020"/>
      <c r="BU179" s="1604"/>
      <c r="BV179" s="27" t="s">
        <v>1481</v>
      </c>
      <c r="BW179" s="1020"/>
      <c r="BX179" s="1604"/>
      <c r="BY179" s="27" t="s">
        <v>1481</v>
      </c>
      <c r="BZ179" s="1020"/>
      <c r="CA179" s="1604"/>
      <c r="CB179" s="27" t="s">
        <v>1481</v>
      </c>
      <c r="CC179" s="1020"/>
      <c r="CD179" s="1604"/>
      <c r="CE179" s="27" t="s">
        <v>1481</v>
      </c>
      <c r="CF179" s="1020"/>
      <c r="CG179" s="1604"/>
      <c r="CH179" s="27" t="s">
        <v>1481</v>
      </c>
      <c r="CI179" s="1020"/>
      <c r="CJ179" s="1604"/>
      <c r="CK179" s="27" t="s">
        <v>1481</v>
      </c>
      <c r="CL179" s="1020"/>
      <c r="CM179" s="1604"/>
      <c r="CN179" s="27" t="s">
        <v>1481</v>
      </c>
      <c r="CO179" s="1020"/>
      <c r="CP179" s="1604"/>
      <c r="CQ179" s="27" t="s">
        <v>1481</v>
      </c>
      <c r="CR179" s="1020"/>
      <c r="CS179" s="1604"/>
      <c r="CT179" s="27" t="s">
        <v>1481</v>
      </c>
      <c r="CU179" s="1020"/>
      <c r="CV179" s="1604"/>
      <c r="CW179" s="27" t="s">
        <v>1481</v>
      </c>
      <c r="CX179" s="1020"/>
      <c r="CY179" s="1604"/>
      <c r="CZ179" s="27" t="s">
        <v>1481</v>
      </c>
      <c r="DA179" s="1020"/>
      <c r="DB179" s="1604"/>
      <c r="DC179" s="27" t="s">
        <v>1481</v>
      </c>
      <c r="DD179" s="1020"/>
      <c r="DE179" s="1604"/>
      <c r="DF179" s="27" t="s">
        <v>1481</v>
      </c>
      <c r="DG179" s="1020"/>
      <c r="DH179" s="1604"/>
      <c r="DI179" s="27" t="s">
        <v>1481</v>
      </c>
      <c r="DJ179" s="1020"/>
      <c r="DK179" s="1604"/>
      <c r="DL179" s="27" t="s">
        <v>1481</v>
      </c>
      <c r="DM179" s="1020"/>
      <c r="DN179" s="1604"/>
      <c r="DO179" s="27" t="s">
        <v>1481</v>
      </c>
      <c r="DP179" s="1020"/>
      <c r="DQ179" s="1604"/>
      <c r="DR179" s="27" t="s">
        <v>1481</v>
      </c>
      <c r="DS179" s="1020"/>
      <c r="DT179" s="1604"/>
      <c r="DU179" s="27" t="s">
        <v>1481</v>
      </c>
      <c r="DV179" s="1020"/>
      <c r="DW179" s="1604"/>
      <c r="DX179" s="147"/>
    </row>
    <row r="180" ht="31.5" customHeight="true" x14ac:dyDescent="0.25">
      <c r="B180" s="1612"/>
      <c r="C180" s="1613"/>
      <c r="D180" s="1613"/>
      <c r="E180" s="1613"/>
      <c r="F180" s="1613"/>
      <c r="G180" s="1614"/>
      <c r="H180" s="17" t="s">
        <v>1301</v>
      </c>
      <c r="I180" s="1582" t="s">
        <v>2407</v>
      </c>
      <c r="J180" s="1610"/>
      <c r="K180" s="17" t="s">
        <v>1301</v>
      </c>
      <c r="L180" s="1584" t="s">
        <v>2406</v>
      </c>
      <c r="M180" s="1610"/>
      <c r="N180" s="17" t="s">
        <v>1301</v>
      </c>
      <c r="O180" s="1020"/>
      <c r="P180" s="1610"/>
      <c r="Q180" s="17" t="s">
        <v>1301</v>
      </c>
      <c r="R180" s="1020"/>
      <c r="S180" s="1610"/>
      <c r="T180" s="17" t="s">
        <v>1301</v>
      </c>
      <c r="U180" s="1020"/>
      <c r="V180" s="1610"/>
      <c r="W180" s="17" t="s">
        <v>1301</v>
      </c>
      <c r="X180" s="130"/>
      <c r="Y180" s="1610"/>
      <c r="Z180" s="17" t="s">
        <v>1301</v>
      </c>
      <c r="AA180" s="1020"/>
      <c r="AB180" s="1604"/>
      <c r="AC180" s="17" t="s">
        <v>1301</v>
      </c>
      <c r="AD180" s="1020"/>
      <c r="AE180" s="1604"/>
      <c r="AF180" s="17" t="s">
        <v>1301</v>
      </c>
      <c r="AG180" s="1020"/>
      <c r="AH180" s="1604"/>
      <c r="AI180" s="17" t="s">
        <v>1301</v>
      </c>
      <c r="AJ180" s="1020"/>
      <c r="AK180" s="1604"/>
      <c r="AL180" s="17" t="s">
        <v>1301</v>
      </c>
      <c r="AM180" s="1020"/>
      <c r="AN180" s="1604"/>
      <c r="AO180" s="17" t="s">
        <v>1301</v>
      </c>
      <c r="AP180" s="1020"/>
      <c r="AQ180" s="1604"/>
      <c r="AR180" s="17" t="s">
        <v>1301</v>
      </c>
      <c r="AS180" s="1020"/>
      <c r="AT180" s="1604"/>
      <c r="AU180" s="17" t="s">
        <v>1301</v>
      </c>
      <c r="AV180" s="1020"/>
      <c r="AW180" s="1604"/>
      <c r="AX180" s="17" t="s">
        <v>1301</v>
      </c>
      <c r="AY180" s="1020"/>
      <c r="AZ180" s="1604"/>
      <c r="BA180" s="17" t="s">
        <v>1301</v>
      </c>
      <c r="BB180" s="1020"/>
      <c r="BC180" s="1604"/>
      <c r="BD180" s="17" t="s">
        <v>1301</v>
      </c>
      <c r="BE180" s="1020"/>
      <c r="BF180" s="1604"/>
      <c r="BG180" s="17" t="s">
        <v>1301</v>
      </c>
      <c r="BH180" s="1020"/>
      <c r="BI180" s="1604"/>
      <c r="BJ180" s="17" t="s">
        <v>1301</v>
      </c>
      <c r="BK180" s="1020"/>
      <c r="BL180" s="1604"/>
      <c r="BM180" s="17" t="s">
        <v>1301</v>
      </c>
      <c r="BN180" s="1020"/>
      <c r="BO180" s="1604"/>
      <c r="BP180" s="17" t="s">
        <v>1301</v>
      </c>
      <c r="BQ180" s="1020"/>
      <c r="BR180" s="1604"/>
      <c r="BS180" s="17" t="s">
        <v>1301</v>
      </c>
      <c r="BT180" s="1020"/>
      <c r="BU180" s="1604"/>
      <c r="BV180" s="17" t="s">
        <v>1301</v>
      </c>
      <c r="BW180" s="1020"/>
      <c r="BX180" s="1604"/>
      <c r="BY180" s="17" t="s">
        <v>1301</v>
      </c>
      <c r="BZ180" s="1020"/>
      <c r="CA180" s="1604"/>
      <c r="CB180" s="17" t="s">
        <v>1301</v>
      </c>
      <c r="CC180" s="1020"/>
      <c r="CD180" s="1604"/>
      <c r="CE180" s="17" t="s">
        <v>1301</v>
      </c>
      <c r="CF180" s="1020"/>
      <c r="CG180" s="1604"/>
      <c r="CH180" s="17" t="s">
        <v>1301</v>
      </c>
      <c r="CI180" s="1020"/>
      <c r="CJ180" s="1604"/>
      <c r="CK180" s="17" t="s">
        <v>1301</v>
      </c>
      <c r="CL180" s="1020"/>
      <c r="CM180" s="1604"/>
      <c r="CN180" s="17" t="s">
        <v>1301</v>
      </c>
      <c r="CO180" s="1020"/>
      <c r="CP180" s="1604"/>
      <c r="CQ180" s="17" t="s">
        <v>1301</v>
      </c>
      <c r="CR180" s="1020"/>
      <c r="CS180" s="1604"/>
      <c r="CT180" s="17" t="s">
        <v>1301</v>
      </c>
      <c r="CU180" s="1020"/>
      <c r="CV180" s="1604"/>
      <c r="CW180" s="17" t="s">
        <v>1301</v>
      </c>
      <c r="CX180" s="1020"/>
      <c r="CY180" s="1604"/>
      <c r="CZ180" s="17" t="s">
        <v>1301</v>
      </c>
      <c r="DA180" s="1020"/>
      <c r="DB180" s="1604"/>
      <c r="DC180" s="17" t="s">
        <v>1301</v>
      </c>
      <c r="DD180" s="1020"/>
      <c r="DE180" s="1604"/>
      <c r="DF180" s="17" t="s">
        <v>1301</v>
      </c>
      <c r="DG180" s="1020"/>
      <c r="DH180" s="1604"/>
      <c r="DI180" s="17" t="s">
        <v>1301</v>
      </c>
      <c r="DJ180" s="1020"/>
      <c r="DK180" s="1604"/>
      <c r="DL180" s="17" t="s">
        <v>1301</v>
      </c>
      <c r="DM180" s="1020"/>
      <c r="DN180" s="1604"/>
      <c r="DO180" s="17" t="s">
        <v>1301</v>
      </c>
      <c r="DP180" s="1020"/>
      <c r="DQ180" s="1604"/>
      <c r="DR180" s="17" t="s">
        <v>1301</v>
      </c>
      <c r="DS180" s="1020"/>
      <c r="DT180" s="1604"/>
      <c r="DU180" s="17" t="s">
        <v>1301</v>
      </c>
      <c r="DV180" s="1020"/>
      <c r="DW180" s="1604"/>
      <c r="DX180" s="147"/>
    </row>
    <row r="181" ht="51" customHeight="true" x14ac:dyDescent="0.25">
      <c r="B181" s="1612"/>
      <c r="C181" s="1613"/>
      <c r="D181" s="1613"/>
      <c r="E181" s="1613"/>
      <c r="F181" s="1613"/>
      <c r="G181" s="1614"/>
      <c r="H181" s="36" t="s">
        <v>1770</v>
      </c>
      <c r="I181" s="1020"/>
      <c r="J181" s="1610"/>
      <c r="K181" s="36" t="s">
        <v>1770</v>
      </c>
      <c r="L181" s="1020"/>
      <c r="M181" s="1610"/>
      <c r="N181" s="36" t="s">
        <v>1770</v>
      </c>
      <c r="O181" s="1020"/>
      <c r="P181" s="1610"/>
      <c r="Q181" s="36" t="s">
        <v>1770</v>
      </c>
      <c r="R181" s="1020"/>
      <c r="S181" s="1610"/>
      <c r="T181" s="36" t="s">
        <v>1770</v>
      </c>
      <c r="U181" s="1020"/>
      <c r="V181" s="1610"/>
      <c r="W181" s="36" t="s">
        <v>1770</v>
      </c>
      <c r="X181" s="130"/>
      <c r="Y181" s="1610"/>
      <c r="Z181" s="36" t="s">
        <v>1770</v>
      </c>
      <c r="AA181" s="1020"/>
      <c r="AB181" s="1604"/>
      <c r="AC181" s="36" t="s">
        <v>1770</v>
      </c>
      <c r="AD181" s="1020"/>
      <c r="AE181" s="1604"/>
      <c r="AF181" s="36" t="s">
        <v>1770</v>
      </c>
      <c r="AG181" s="1020"/>
      <c r="AH181" s="1604"/>
      <c r="AI181" s="36" t="s">
        <v>1770</v>
      </c>
      <c r="AJ181" s="1020"/>
      <c r="AK181" s="1604"/>
      <c r="AL181" s="36" t="s">
        <v>1770</v>
      </c>
      <c r="AM181" s="1020"/>
      <c r="AN181" s="1604"/>
      <c r="AO181" s="36" t="s">
        <v>1770</v>
      </c>
      <c r="AP181" s="1020"/>
      <c r="AQ181" s="1604"/>
      <c r="AR181" s="36" t="s">
        <v>1770</v>
      </c>
      <c r="AS181" s="1020"/>
      <c r="AT181" s="1604"/>
      <c r="AU181" s="36" t="s">
        <v>1770</v>
      </c>
      <c r="AV181" s="1020"/>
      <c r="AW181" s="1604"/>
      <c r="AX181" s="36" t="s">
        <v>1770</v>
      </c>
      <c r="AY181" s="1020"/>
      <c r="AZ181" s="1604"/>
      <c r="BA181" s="36" t="s">
        <v>1770</v>
      </c>
      <c r="BB181" s="1020"/>
      <c r="BC181" s="1604"/>
      <c r="BD181" s="36" t="s">
        <v>1770</v>
      </c>
      <c r="BE181" s="1020"/>
      <c r="BF181" s="1604"/>
      <c r="BG181" s="36" t="s">
        <v>1770</v>
      </c>
      <c r="BH181" s="1020"/>
      <c r="BI181" s="1604"/>
      <c r="BJ181" s="36" t="s">
        <v>1770</v>
      </c>
      <c r="BK181" s="1020"/>
      <c r="BL181" s="1604"/>
      <c r="BM181" s="36" t="s">
        <v>1770</v>
      </c>
      <c r="BN181" s="1020"/>
      <c r="BO181" s="1604"/>
      <c r="BP181" s="36" t="s">
        <v>1770</v>
      </c>
      <c r="BQ181" s="1020"/>
      <c r="BR181" s="1604"/>
      <c r="BS181" s="36" t="s">
        <v>1770</v>
      </c>
      <c r="BT181" s="1020"/>
      <c r="BU181" s="1604"/>
      <c r="BV181" s="36" t="s">
        <v>1770</v>
      </c>
      <c r="BW181" s="1020"/>
      <c r="BX181" s="1604"/>
      <c r="BY181" s="36" t="s">
        <v>1770</v>
      </c>
      <c r="BZ181" s="1020"/>
      <c r="CA181" s="1604"/>
      <c r="CB181" s="36" t="s">
        <v>1770</v>
      </c>
      <c r="CC181" s="1020"/>
      <c r="CD181" s="1604"/>
      <c r="CE181" s="36" t="s">
        <v>1770</v>
      </c>
      <c r="CF181" s="1020"/>
      <c r="CG181" s="1604"/>
      <c r="CH181" s="36" t="s">
        <v>1770</v>
      </c>
      <c r="CI181" s="1020"/>
      <c r="CJ181" s="1604"/>
      <c r="CK181" s="36" t="s">
        <v>1770</v>
      </c>
      <c r="CL181" s="1020"/>
      <c r="CM181" s="1604"/>
      <c r="CN181" s="36" t="s">
        <v>1770</v>
      </c>
      <c r="CO181" s="1020"/>
      <c r="CP181" s="1604"/>
      <c r="CQ181" s="36" t="s">
        <v>1770</v>
      </c>
      <c r="CR181" s="1020"/>
      <c r="CS181" s="1604"/>
      <c r="CT181" s="36" t="s">
        <v>1770</v>
      </c>
      <c r="CU181" s="1020"/>
      <c r="CV181" s="1604"/>
      <c r="CW181" s="36" t="s">
        <v>1770</v>
      </c>
      <c r="CX181" s="1020"/>
      <c r="CY181" s="1604"/>
      <c r="CZ181" s="36" t="s">
        <v>1770</v>
      </c>
      <c r="DA181" s="1020"/>
      <c r="DB181" s="1604"/>
      <c r="DC181" s="36" t="s">
        <v>1770</v>
      </c>
      <c r="DD181" s="1020"/>
      <c r="DE181" s="1604"/>
      <c r="DF181" s="36" t="s">
        <v>1770</v>
      </c>
      <c r="DG181" s="1020"/>
      <c r="DH181" s="1604"/>
      <c r="DI181" s="36" t="s">
        <v>1770</v>
      </c>
      <c r="DJ181" s="1020"/>
      <c r="DK181" s="1604"/>
      <c r="DL181" s="36" t="s">
        <v>1770</v>
      </c>
      <c r="DM181" s="1020"/>
      <c r="DN181" s="1604"/>
      <c r="DO181" s="36" t="s">
        <v>1770</v>
      </c>
      <c r="DP181" s="1020"/>
      <c r="DQ181" s="1604"/>
      <c r="DR181" s="36" t="s">
        <v>1770</v>
      </c>
      <c r="DS181" s="1020"/>
      <c r="DT181" s="1604"/>
      <c r="DU181" s="36" t="s">
        <v>1770</v>
      </c>
      <c r="DV181" s="1020"/>
      <c r="DW181" s="1604"/>
      <c r="DX181" s="147"/>
    </row>
    <row r="182" ht="31.5" customHeight="true" x14ac:dyDescent="0.25">
      <c r="B182" s="1612"/>
      <c r="C182" s="1613"/>
      <c r="D182" s="1613"/>
      <c r="E182" s="1613"/>
      <c r="F182" s="1613"/>
      <c r="G182" s="1614"/>
      <c r="H182" s="36" t="s">
        <v>1585</v>
      </c>
      <c r="I182" s="1020"/>
      <c r="J182" s="1610"/>
      <c r="K182" s="37" t="s">
        <v>1585</v>
      </c>
      <c r="L182" s="1020">
        <v>0</v>
      </c>
      <c r="M182" s="1610"/>
      <c r="N182" s="37" t="s">
        <v>1585</v>
      </c>
      <c r="O182" s="1020"/>
      <c r="P182" s="1610"/>
      <c r="Q182" s="37" t="s">
        <v>1585</v>
      </c>
      <c r="R182" s="1020"/>
      <c r="S182" s="1610"/>
      <c r="T182" s="37" t="s">
        <v>1585</v>
      </c>
      <c r="U182" s="1020"/>
      <c r="V182" s="1610"/>
      <c r="W182" s="37" t="s">
        <v>1585</v>
      </c>
      <c r="X182" s="130">
        <v>0</v>
      </c>
      <c r="Y182" s="1610"/>
      <c r="Z182" s="37" t="s">
        <v>1585</v>
      </c>
      <c r="AA182" s="1020"/>
      <c r="AB182" s="1604"/>
      <c r="AC182" s="37" t="s">
        <v>1585</v>
      </c>
      <c r="AD182" s="1020"/>
      <c r="AE182" s="1604"/>
      <c r="AF182" s="37" t="s">
        <v>1585</v>
      </c>
      <c r="AG182" s="1020"/>
      <c r="AH182" s="1604"/>
      <c r="AI182" s="37" t="s">
        <v>1585</v>
      </c>
      <c r="AJ182" s="1020"/>
      <c r="AK182" s="1604"/>
      <c r="AL182" s="37" t="s">
        <v>1585</v>
      </c>
      <c r="AM182" s="1020"/>
      <c r="AN182" s="1604"/>
      <c r="AO182" s="37" t="s">
        <v>1585</v>
      </c>
      <c r="AP182" s="1020"/>
      <c r="AQ182" s="1604"/>
      <c r="AR182" s="37" t="s">
        <v>1585</v>
      </c>
      <c r="AS182" s="1020"/>
      <c r="AT182" s="1604"/>
      <c r="AU182" s="37" t="s">
        <v>1585</v>
      </c>
      <c r="AV182" s="1020"/>
      <c r="AW182" s="1604"/>
      <c r="AX182" s="37" t="s">
        <v>1585</v>
      </c>
      <c r="AY182" s="1020"/>
      <c r="AZ182" s="1604"/>
      <c r="BA182" s="37" t="s">
        <v>1585</v>
      </c>
      <c r="BB182" s="1020"/>
      <c r="BC182" s="1604"/>
      <c r="BD182" s="37" t="s">
        <v>1585</v>
      </c>
      <c r="BE182" s="1020"/>
      <c r="BF182" s="1604"/>
      <c r="BG182" s="37" t="s">
        <v>1585</v>
      </c>
      <c r="BH182" s="1020"/>
      <c r="BI182" s="1604"/>
      <c r="BJ182" s="37" t="s">
        <v>1585</v>
      </c>
      <c r="BK182" s="1020"/>
      <c r="BL182" s="1604"/>
      <c r="BM182" s="37" t="s">
        <v>1585</v>
      </c>
      <c r="BN182" s="1020"/>
      <c r="BO182" s="1604"/>
      <c r="BP182" s="37" t="s">
        <v>1585</v>
      </c>
      <c r="BQ182" s="1020"/>
      <c r="BR182" s="1604"/>
      <c r="BS182" s="37" t="s">
        <v>1585</v>
      </c>
      <c r="BT182" s="1020"/>
      <c r="BU182" s="1604"/>
      <c r="BV182" s="37" t="s">
        <v>1585</v>
      </c>
      <c r="BW182" s="1020"/>
      <c r="BX182" s="1604"/>
      <c r="BY182" s="37" t="s">
        <v>1585</v>
      </c>
      <c r="BZ182" s="1020"/>
      <c r="CA182" s="1604"/>
      <c r="CB182" s="37" t="s">
        <v>1585</v>
      </c>
      <c r="CC182" s="1020"/>
      <c r="CD182" s="1604"/>
      <c r="CE182" s="37" t="s">
        <v>1585</v>
      </c>
      <c r="CF182" s="1020"/>
      <c r="CG182" s="1604"/>
      <c r="CH182" s="37" t="s">
        <v>1585</v>
      </c>
      <c r="CI182" s="1020"/>
      <c r="CJ182" s="1604"/>
      <c r="CK182" s="37" t="s">
        <v>1585</v>
      </c>
      <c r="CL182" s="1020"/>
      <c r="CM182" s="1604"/>
      <c r="CN182" s="37" t="s">
        <v>1585</v>
      </c>
      <c r="CO182" s="1020"/>
      <c r="CP182" s="1604"/>
      <c r="CQ182" s="37" t="s">
        <v>1585</v>
      </c>
      <c r="CR182" s="1020"/>
      <c r="CS182" s="1604"/>
      <c r="CT182" s="37" t="s">
        <v>1585</v>
      </c>
      <c r="CU182" s="1020"/>
      <c r="CV182" s="1604"/>
      <c r="CW182" s="37" t="s">
        <v>1585</v>
      </c>
      <c r="CX182" s="1020"/>
      <c r="CY182" s="1604"/>
      <c r="CZ182" s="37" t="s">
        <v>1585</v>
      </c>
      <c r="DA182" s="1020"/>
      <c r="DB182" s="1604"/>
      <c r="DC182" s="37" t="s">
        <v>1585</v>
      </c>
      <c r="DD182" s="1020"/>
      <c r="DE182" s="1604"/>
      <c r="DF182" s="37" t="s">
        <v>1585</v>
      </c>
      <c r="DG182" s="1020"/>
      <c r="DH182" s="1604"/>
      <c r="DI182" s="37" t="s">
        <v>1585</v>
      </c>
      <c r="DJ182" s="1020"/>
      <c r="DK182" s="1604"/>
      <c r="DL182" s="37" t="s">
        <v>1585</v>
      </c>
      <c r="DM182" s="1020"/>
      <c r="DN182" s="1604"/>
      <c r="DO182" s="37" t="s">
        <v>1585</v>
      </c>
      <c r="DP182" s="1020"/>
      <c r="DQ182" s="1604"/>
      <c r="DR182" s="37" t="s">
        <v>1585</v>
      </c>
      <c r="DS182" s="1020"/>
      <c r="DT182" s="1604"/>
      <c r="DU182" s="37" t="s">
        <v>1585</v>
      </c>
      <c r="DV182" s="1020"/>
      <c r="DW182" s="1604"/>
      <c r="DX182" s="147"/>
    </row>
    <row r="183" ht="31.5" customHeight="true" x14ac:dyDescent="0.25">
      <c r="B183" s="1612"/>
      <c r="C183" s="1613"/>
      <c r="D183" s="1613"/>
      <c r="E183" s="1613"/>
      <c r="F183" s="1613"/>
      <c r="G183" s="1614"/>
      <c r="H183" s="17" t="s">
        <v>28</v>
      </c>
      <c r="I183" s="1020" t="s">
        <v>2418</v>
      </c>
      <c r="J183" s="1610"/>
      <c r="K183" s="27" t="s">
        <v>28</v>
      </c>
      <c r="L183" s="1020"/>
      <c r="M183" s="1610"/>
      <c r="N183" s="27" t="s">
        <v>28</v>
      </c>
      <c r="O183" s="1020"/>
      <c r="P183" s="1610"/>
      <c r="Q183" s="27" t="s">
        <v>28</v>
      </c>
      <c r="R183" s="1020"/>
      <c r="S183" s="1610"/>
      <c r="T183" s="27" t="s">
        <v>28</v>
      </c>
      <c r="U183" s="1020"/>
      <c r="V183" s="1610"/>
      <c r="W183" s="27" t="s">
        <v>28</v>
      </c>
      <c r="X183" s="130"/>
      <c r="Y183" s="1610"/>
      <c r="Z183" s="27" t="s">
        <v>28</v>
      </c>
      <c r="AA183" s="1020"/>
      <c r="AB183" s="1604"/>
      <c r="AC183" s="27" t="s">
        <v>28</v>
      </c>
      <c r="AD183" s="1020"/>
      <c r="AE183" s="1604"/>
      <c r="AF183" s="27" t="s">
        <v>28</v>
      </c>
      <c r="AG183" s="1020"/>
      <c r="AH183" s="1604"/>
      <c r="AI183" s="27" t="s">
        <v>28</v>
      </c>
      <c r="AJ183" s="1020"/>
      <c r="AK183" s="1604"/>
      <c r="AL183" s="27" t="s">
        <v>28</v>
      </c>
      <c r="AM183" s="1020"/>
      <c r="AN183" s="1604"/>
      <c r="AO183" s="27" t="s">
        <v>28</v>
      </c>
      <c r="AP183" s="1020"/>
      <c r="AQ183" s="1604"/>
      <c r="AR183" s="27" t="s">
        <v>28</v>
      </c>
      <c r="AS183" s="1020"/>
      <c r="AT183" s="1604"/>
      <c r="AU183" s="27" t="s">
        <v>28</v>
      </c>
      <c r="AV183" s="1020"/>
      <c r="AW183" s="1604"/>
      <c r="AX183" s="27" t="s">
        <v>28</v>
      </c>
      <c r="AY183" s="1020"/>
      <c r="AZ183" s="1604"/>
      <c r="BA183" s="27" t="s">
        <v>28</v>
      </c>
      <c r="BB183" s="1020"/>
      <c r="BC183" s="1604"/>
      <c r="BD183" s="27" t="s">
        <v>28</v>
      </c>
      <c r="BE183" s="1020"/>
      <c r="BF183" s="1604"/>
      <c r="BG183" s="27" t="s">
        <v>28</v>
      </c>
      <c r="BH183" s="1020"/>
      <c r="BI183" s="1604"/>
      <c r="BJ183" s="27" t="s">
        <v>28</v>
      </c>
      <c r="BK183" s="1020"/>
      <c r="BL183" s="1604"/>
      <c r="BM183" s="27" t="s">
        <v>28</v>
      </c>
      <c r="BN183" s="1020"/>
      <c r="BO183" s="1604"/>
      <c r="BP183" s="27" t="s">
        <v>28</v>
      </c>
      <c r="BQ183" s="1020"/>
      <c r="BR183" s="1604"/>
      <c r="BS183" s="27" t="s">
        <v>28</v>
      </c>
      <c r="BT183" s="1020"/>
      <c r="BU183" s="1604"/>
      <c r="BV183" s="27" t="s">
        <v>28</v>
      </c>
      <c r="BW183" s="1020"/>
      <c r="BX183" s="1604"/>
      <c r="BY183" s="27" t="s">
        <v>28</v>
      </c>
      <c r="BZ183" s="1020"/>
      <c r="CA183" s="1604"/>
      <c r="CB183" s="27" t="s">
        <v>28</v>
      </c>
      <c r="CC183" s="1020"/>
      <c r="CD183" s="1604"/>
      <c r="CE183" s="27" t="s">
        <v>28</v>
      </c>
      <c r="CF183" s="1020"/>
      <c r="CG183" s="1604"/>
      <c r="CH183" s="27" t="s">
        <v>28</v>
      </c>
      <c r="CI183" s="1020"/>
      <c r="CJ183" s="1604"/>
      <c r="CK183" s="27" t="s">
        <v>28</v>
      </c>
      <c r="CL183" s="1020"/>
      <c r="CM183" s="1604"/>
      <c r="CN183" s="27" t="s">
        <v>28</v>
      </c>
      <c r="CO183" s="1020"/>
      <c r="CP183" s="1604"/>
      <c r="CQ183" s="27" t="s">
        <v>28</v>
      </c>
      <c r="CR183" s="1020"/>
      <c r="CS183" s="1604"/>
      <c r="CT183" s="27" t="s">
        <v>28</v>
      </c>
      <c r="CU183" s="1020"/>
      <c r="CV183" s="1604"/>
      <c r="CW183" s="27" t="s">
        <v>28</v>
      </c>
      <c r="CX183" s="1020"/>
      <c r="CY183" s="1604"/>
      <c r="CZ183" s="27" t="s">
        <v>28</v>
      </c>
      <c r="DA183" s="1020"/>
      <c r="DB183" s="1604"/>
      <c r="DC183" s="27" t="s">
        <v>28</v>
      </c>
      <c r="DD183" s="1020"/>
      <c r="DE183" s="1604"/>
      <c r="DF183" s="27" t="s">
        <v>28</v>
      </c>
      <c r="DG183" s="1020"/>
      <c r="DH183" s="1604"/>
      <c r="DI183" s="27" t="s">
        <v>28</v>
      </c>
      <c r="DJ183" s="1020"/>
      <c r="DK183" s="1604"/>
      <c r="DL183" s="27" t="s">
        <v>28</v>
      </c>
      <c r="DM183" s="1020"/>
      <c r="DN183" s="1604"/>
      <c r="DO183" s="27" t="s">
        <v>28</v>
      </c>
      <c r="DP183" s="1020"/>
      <c r="DQ183" s="1604"/>
      <c r="DR183" s="27" t="s">
        <v>28</v>
      </c>
      <c r="DS183" s="1020"/>
      <c r="DT183" s="1604"/>
      <c r="DU183" s="27" t="s">
        <v>28</v>
      </c>
      <c r="DV183" s="1020"/>
      <c r="DW183" s="1604"/>
      <c r="DX183" s="147"/>
    </row>
    <row r="184" ht="31.5" customHeight="true" x14ac:dyDescent="0.25">
      <c r="B184" s="1612"/>
      <c r="C184" s="1613"/>
      <c r="D184" s="1613"/>
      <c r="E184" s="1613"/>
      <c r="F184" s="1613"/>
      <c r="G184" s="1614"/>
      <c r="H184" s="129" t="s">
        <v>1602</v>
      </c>
      <c r="I184" s="130">
        <f>IF(I178="","",IF(I179=1,0,IF(H242-SUMIF($AM$262:$AM311,"=1",H186:H235)&lt;SUMIF($AM$262:$AM311,"=1",H186:H235),1,0)))</f>
        <v>0</v>
      </c>
      <c r="J184" s="1611"/>
      <c r="K184" s="129" t="s">
        <v>1602</v>
      </c>
      <c r="L184" s="130">
        <f>IF(L178="","",IF(L179=1,0,IF(K242-SUMIF($AM$262:$AM311,"=1",K186:K235)&lt;SUMIF($AM$262:$AM311,"=1",K186:K235),1,0)))</f>
        <v>1</v>
      </c>
      <c r="M184" s="1611"/>
      <c r="N184" s="129" t="s">
        <v>1602</v>
      </c>
      <c r="O184" s="130" t="str">
        <f>IF(O178="","",IF(O179=1,0,IF(N242-SUMIF($AM$262:$AM311,"=1",N186:N235)&lt;SUMIF($AM$262:$AM311,"=1",N186:N235),1,0)))</f>
        <v/>
      </c>
      <c r="P184" s="1611"/>
      <c r="Q184" s="129" t="s">
        <v>1602</v>
      </c>
      <c r="R184" s="130" t="str">
        <f>IF(R178="","",IF(R179=1,0,IF(Q242-SUMIF($AM$262:$AM311,"=1",Q186:Q235)&lt;SUMIF($AM$262:$AM311,"=1",Q186:Q235),1,0)))</f>
        <v/>
      </c>
      <c r="S184" s="1611"/>
      <c r="T184" s="129" t="s">
        <v>1602</v>
      </c>
      <c r="U184" s="130" t="str">
        <f>IF(U178="","",IF(U179=1,0,IF(T242-SUMIF($AM$262:$AM311,"=1",T186:T235)&lt;SUMIF($AM$262:$AM311,"=1",T186:T235),1,0)))</f>
        <v/>
      </c>
      <c r="V184" s="1611"/>
      <c r="W184" s="129" t="s">
        <v>1602</v>
      </c>
      <c r="X184" s="130">
        <f>IF(X178="","",IF(X179=1,0,IF(W242-SUMIF($AM$262:$AM311,"=1",W186:W235)&lt;SUMIF($AM$262:$AM311,"=1",W186:W235),1,0)))</f>
        <v>0</v>
      </c>
      <c r="Y184" s="1611"/>
      <c r="Z184" s="129" t="s">
        <v>1602</v>
      </c>
      <c r="AA184" s="130" t="str">
        <f>IF(AA178="","",IF(AA179=1,0,IF(Z242-SUMIF($AM$262:$AM311,"=1",Z186:Z235)&lt;SUMIF($AM$262:$AM311,"=1",Z186:Z235),1,0)))</f>
        <v/>
      </c>
      <c r="AB184" s="1605"/>
      <c r="AC184" s="129" t="s">
        <v>1602</v>
      </c>
      <c r="AD184" s="130" t="str">
        <f>IF(AD178="","",IF(AD179=1,0,IF(AC242-SUMIF($AM$262:$AM311,"=1",AC186:AC235)&lt;SUMIF($AM$262:$AM311,"=1",AC186:AC235),1,0)))</f>
        <v/>
      </c>
      <c r="AE184" s="1605"/>
      <c r="AF184" s="129" t="s">
        <v>1602</v>
      </c>
      <c r="AG184" s="130" t="str">
        <f>IF(AG178="","",IF(AG179=1,0,IF(AF242-SUMIF($AM$262:$AM311,"=1",AF186:AF235)&lt;SUMIF($AM$262:$AM311,"=1",AF186:AF235),1,0)))</f>
        <v/>
      </c>
      <c r="AH184" s="1605"/>
      <c r="AI184" s="129" t="s">
        <v>1602</v>
      </c>
      <c r="AJ184" s="130" t="str">
        <f>IF(AJ178="","",IF(AJ179=1,0,IF(AI242-SUMIF($AM$262:$AM311,"=1",AI186:AI235)&lt;SUMIF($AM$262:$AM311,"=1",AI186:AI235),1,0)))</f>
        <v/>
      </c>
      <c r="AK184" s="1605"/>
      <c r="AL184" s="129" t="s">
        <v>1602</v>
      </c>
      <c r="AM184" s="130" t="str">
        <f>IF(AM178="","",IF(AM179=1,0,IF(AL242-SUMIF($AM$262:$AM311,"=1",AL186:AL235)&lt;SUMIF($AM$262:$AM311,"=1",AL186:AL235),1,0)))</f>
        <v/>
      </c>
      <c r="AN184" s="1605"/>
      <c r="AO184" s="129" t="s">
        <v>1602</v>
      </c>
      <c r="AP184" s="130" t="str">
        <f>IF(AP178="","",IF(AP179=1,0,IF(AO242-SUMIF($AM$262:$AM311,"=1",AO186:AO235)&lt;SUMIF($AM$262:$AM311,"=1",AO186:AO235),1,0)))</f>
        <v/>
      </c>
      <c r="AQ184" s="1605"/>
      <c r="AR184" s="129" t="s">
        <v>1602</v>
      </c>
      <c r="AS184" s="130" t="str">
        <f>IF(AS178="","",IF(AS179=1,0,IF(AR242-SUMIF($AM$262:$AM311,"=1",AR186:AR235)&lt;SUMIF($AM$262:$AM311,"=1",AR186:AR235),1,0)))</f>
        <v/>
      </c>
      <c r="AT184" s="1605"/>
      <c r="AU184" s="129" t="s">
        <v>1602</v>
      </c>
      <c r="AV184" s="130" t="str">
        <f>IF(AV178="","",IF(AV179=1,0,IF(AU242-SUMIF($AM$262:$AM311,"=1",AU186:AU235)&lt;SUMIF($AM$262:$AM311,"=1",AU186:AU235),1,0)))</f>
        <v/>
      </c>
      <c r="AW184" s="1605"/>
      <c r="AX184" s="129" t="s">
        <v>1602</v>
      </c>
      <c r="AY184" s="130" t="str">
        <f>IF(AY178="","",IF(AY179=1,0,IF(AX242-SUMIF($AM$262:$AM311,"=1",AX186:AX235)&lt;SUMIF($AM$262:$AM311,"=1",AX186:AX235),1,0)))</f>
        <v/>
      </c>
      <c r="AZ184" s="1605"/>
      <c r="BA184" s="129" t="s">
        <v>1602</v>
      </c>
      <c r="BB184" s="130" t="str">
        <f>IF(BB178="","",IF(BB179=1,0,IF(BA242-SUMIF($AM$262:$AM311,"=1",BA186:BA235)&lt;SUMIF($AM$262:$AM311,"=1",BA186:BA235),1,0)))</f>
        <v/>
      </c>
      <c r="BC184" s="1605"/>
      <c r="BD184" s="129" t="s">
        <v>1602</v>
      </c>
      <c r="BE184" s="130" t="str">
        <f>IF(BE178="","",IF(BE179=1,0,IF(BD242-SUMIF($AM$262:$AM311,"=1",BD186:BD235)&lt;SUMIF($AM$262:$AM311,"=1",BD186:BD235),1,0)))</f>
        <v/>
      </c>
      <c r="BF184" s="1605"/>
      <c r="BG184" s="129" t="s">
        <v>1602</v>
      </c>
      <c r="BH184" s="130" t="str">
        <f>IF(BH178="","",IF(BH179=1,0,IF(BG242-SUMIF($AM$262:$AM311,"=1",BG186:BG235)&lt;SUMIF($AM$262:$AM311,"=1",BG186:BG235),1,0)))</f>
        <v/>
      </c>
      <c r="BI184" s="1605"/>
      <c r="BJ184" s="129" t="s">
        <v>1602</v>
      </c>
      <c r="BK184" s="130" t="str">
        <f>IF(BK178="","",IF(BK179=1,0,IF(BJ242-SUMIF($AM$262:$AM311,"=1",BJ186:BJ235)&lt;SUMIF($AM$262:$AM311,"=1",BJ186:BJ235),1,0)))</f>
        <v/>
      </c>
      <c r="BL184" s="1605"/>
      <c r="BM184" s="129" t="s">
        <v>1602</v>
      </c>
      <c r="BN184" s="130" t="str">
        <f>IF(BN178="","",IF(BN179=1,0,IF(BM242-SUMIF($AM$262:$AM311,"=1",BM186:BM235)&lt;SUMIF($AM$262:$AM311,"=1",BM186:BM235),1,0)))</f>
        <v/>
      </c>
      <c r="BO184" s="1605"/>
      <c r="BP184" s="129" t="s">
        <v>1602</v>
      </c>
      <c r="BQ184" s="130" t="str">
        <f>IF(BQ178="","",IF(BQ179=1,0,IF(BP242-SUMIF($AM$262:$AM311,"=1",BP186:BP235)&lt;SUMIF($AM$262:$AM311,"=1",BP186:BP235),1,0)))</f>
        <v/>
      </c>
      <c r="BR184" s="1605"/>
      <c r="BS184" s="129" t="s">
        <v>1602</v>
      </c>
      <c r="BT184" s="130" t="str">
        <f>IF(BT178="","",IF(BT179=1,0,IF(BS242-SUMIF($AM$262:$AM311,"=1",BS186:BS235)&lt;SUMIF($AM$262:$AM311,"=1",BS186:BS235),1,0)))</f>
        <v/>
      </c>
      <c r="BU184" s="1605"/>
      <c r="BV184" s="129" t="s">
        <v>1602</v>
      </c>
      <c r="BW184" s="130" t="str">
        <f>IF(BW178="","",IF(BW179=1,0,IF(BV242-SUMIF($AM$262:$AM311,"=1",BV186:BV235)&lt;SUMIF($AM$262:$AM311,"=1",BV186:BV235),1,0)))</f>
        <v/>
      </c>
      <c r="BX184" s="1605"/>
      <c r="BY184" s="129" t="s">
        <v>1602</v>
      </c>
      <c r="BZ184" s="130" t="str">
        <f>IF(BZ178="","",IF(BZ179=1,0,IF(BY242-SUMIF($AM$262:$AM311,"=1",BY186:BY235)&lt;SUMIF($AM$262:$AM311,"=1",BY186:BY235),1,0)))</f>
        <v/>
      </c>
      <c r="CA184" s="1605"/>
      <c r="CB184" s="129" t="s">
        <v>1602</v>
      </c>
      <c r="CC184" s="130" t="str">
        <f>IF(CC178="","",IF(CC179=1,0,IF(CB242-SUMIF($AM$262:$AM311,"=1",CB186:CB235)&lt;SUMIF($AM$262:$AM311,"=1",CB186:CB235),1,0)))</f>
        <v/>
      </c>
      <c r="CD184" s="1605"/>
      <c r="CE184" s="129" t="s">
        <v>1602</v>
      </c>
      <c r="CF184" s="130" t="str">
        <f>IF(CF178="","",IF(CF179=1,0,IF(CE242-SUMIF($AM$262:$AM311,"=1",CE186:CE235)&lt;SUMIF($AM$262:$AM311,"=1",CE186:CE235),1,0)))</f>
        <v/>
      </c>
      <c r="CG184" s="1605"/>
      <c r="CH184" s="129" t="s">
        <v>1602</v>
      </c>
      <c r="CI184" s="130" t="str">
        <f>IF(CI178="","",IF(CI179=1,0,IF(CH242-SUMIF($AM$262:$AM311,"=1",CH186:CH235)&lt;SUMIF($AM$262:$AM311,"=1",CH186:CH235),1,0)))</f>
        <v/>
      </c>
      <c r="CJ184" s="1605"/>
      <c r="CK184" s="129" t="s">
        <v>1602</v>
      </c>
      <c r="CL184" s="130" t="str">
        <f>IF(CL178="","",IF(CL179=1,0,IF(CK242-SUMIF($AM$262:$AM311,"=1",CK186:CK235)&lt;SUMIF($AM$262:$AM311,"=1",CK186:CK235),1,0)))</f>
        <v/>
      </c>
      <c r="CM184" s="1605"/>
      <c r="CN184" s="129" t="s">
        <v>1602</v>
      </c>
      <c r="CO184" s="130" t="str">
        <f>IF(CO178="","",IF(CO179=1,0,IF(CN242-SUMIF($AM$262:$AM311,"=1",CN186:CN235)&lt;SUMIF($AM$262:$AM311,"=1",CN186:CN235),1,0)))</f>
        <v/>
      </c>
      <c r="CP184" s="1605"/>
      <c r="CQ184" s="129" t="s">
        <v>1602</v>
      </c>
      <c r="CR184" s="130" t="str">
        <f>IF(CR178="","",IF(CR179=1,0,IF(CQ242-SUMIF($AM$262:$AM311,"=1",CQ186:CQ235)&lt;SUMIF($AM$262:$AM311,"=1",CQ186:CQ235),1,0)))</f>
        <v/>
      </c>
      <c r="CS184" s="1605"/>
      <c r="CT184" s="129" t="s">
        <v>1602</v>
      </c>
      <c r="CU184" s="130" t="str">
        <f>IF(CU178="","",IF(CU179=1,0,IF(CT242-SUMIF($AM$262:$AM311,"=1",CT186:CT235)&lt;SUMIF($AM$262:$AM311,"=1",CT186:CT235),1,0)))</f>
        <v/>
      </c>
      <c r="CV184" s="1605"/>
      <c r="CW184" s="129" t="s">
        <v>1602</v>
      </c>
      <c r="CX184" s="130" t="str">
        <f>IF(CX178="","",IF(CX179=1,0,IF(CW242-SUMIF($AM$262:$AM311,"=1",CW186:CW235)&lt;SUMIF($AM$262:$AM311,"=1",CW186:CW235),1,0)))</f>
        <v/>
      </c>
      <c r="CY184" s="1605"/>
      <c r="CZ184" s="129" t="s">
        <v>1602</v>
      </c>
      <c r="DA184" s="130" t="str">
        <f>IF(DA178="","",IF(DA179=1,0,IF(CZ242-SUMIF($AM$262:$AM311,"=1",CZ186:CZ235)&lt;SUMIF($AM$262:$AM311,"=1",CZ186:CZ235),1,0)))</f>
        <v/>
      </c>
      <c r="DB184" s="1605"/>
      <c r="DC184" s="129" t="s">
        <v>1602</v>
      </c>
      <c r="DD184" s="130" t="str">
        <f>IF(DD178="","",IF(DD179=1,0,IF(DC242-SUMIF($AM$262:$AM311,"=1",DC186:DC235)&lt;SUMIF($AM$262:$AM311,"=1",DC186:DC235),1,0)))</f>
        <v/>
      </c>
      <c r="DE184" s="1605"/>
      <c r="DF184" s="129" t="s">
        <v>1602</v>
      </c>
      <c r="DG184" s="130" t="str">
        <f>IF(DG178="","",IF(DG179=1,0,IF(DF242-SUMIF($AM$262:$AM311,"=1",DF186:DF235)&lt;SUMIF($AM$262:$AM311,"=1",DF186:DF235),1,0)))</f>
        <v/>
      </c>
      <c r="DH184" s="1605"/>
      <c r="DI184" s="129" t="s">
        <v>1602</v>
      </c>
      <c r="DJ184" s="130" t="str">
        <f>IF(DJ178="","",IF(DJ179=1,0,IF(DI242-SUMIF($AM$262:$AM311,"=1",DI186:DI235)&lt;SUMIF($AM$262:$AM311,"=1",DI186:DI235),1,0)))</f>
        <v/>
      </c>
      <c r="DK184" s="1605"/>
      <c r="DL184" s="129" t="s">
        <v>1602</v>
      </c>
      <c r="DM184" s="130" t="str">
        <f>IF(DM178="","",IF(DM179=1,0,IF(DL242-SUMIF($AM$262:$AM311,"=1",DL186:DL235)&lt;SUMIF($AM$262:$AM311,"=1",DL186:DL235),1,0)))</f>
        <v/>
      </c>
      <c r="DN184" s="1605"/>
      <c r="DO184" s="129" t="s">
        <v>1602</v>
      </c>
      <c r="DP184" s="130" t="str">
        <f>IF(DP178="","",IF(DP179=1,0,IF(DO242-SUMIF($AM$262:$AM311,"=1",DO186:DO235)&lt;SUMIF($AM$262:$AM311,"=1",DO186:DO235),1,0)))</f>
        <v/>
      </c>
      <c r="DQ184" s="1605"/>
      <c r="DR184" s="129" t="s">
        <v>1602</v>
      </c>
      <c r="DS184" s="130" t="str">
        <f>IF(DS178="","",IF(DS179=1,0,IF(DR242-SUMIF($AM$262:$AM311,"=1",DR186:DR235)&lt;SUMIF($AM$262:$AM311,"=1",DR186:DR235),1,0)))</f>
        <v/>
      </c>
      <c r="DT184" s="1605"/>
      <c r="DU184" s="129" t="s">
        <v>1602</v>
      </c>
      <c r="DV184" s="130" t="str">
        <f>IF(DV178="","",IF(DV179=1,0,IF(DU242-SUMIF($AM$262:$AM311,"=1",DU186:DU235)&lt;SUMIF($AM$262:$AM311,"=1",DU186:DU235),1,0)))</f>
        <v/>
      </c>
      <c r="DW184" s="1605"/>
      <c r="DX184" s="147"/>
    </row>
    <row r="185" ht="23.25" customHeight="true" x14ac:dyDescent="0.25">
      <c r="B185" s="1612"/>
      <c r="C185" s="1613"/>
      <c r="D185" s="1613"/>
      <c r="E185" s="1157" t="s">
        <v>1469</v>
      </c>
      <c r="F185" s="1782" t="s">
        <v>2160</v>
      </c>
      <c r="G185" s="1783"/>
      <c r="H185" s="27" t="s">
        <v>1476</v>
      </c>
      <c r="I185" s="65" t="s">
        <v>1478</v>
      </c>
      <c r="J185" s="5" t="s">
        <v>1479</v>
      </c>
      <c r="K185" s="27" t="s">
        <v>1476</v>
      </c>
      <c r="L185" s="65" t="s">
        <v>1478</v>
      </c>
      <c r="M185" s="5" t="s">
        <v>1479</v>
      </c>
      <c r="N185" s="27" t="s">
        <v>1476</v>
      </c>
      <c r="O185" s="65" t="s">
        <v>1478</v>
      </c>
      <c r="P185" s="5" t="s">
        <v>1479</v>
      </c>
      <c r="Q185" s="27" t="s">
        <v>1476</v>
      </c>
      <c r="R185" s="65" t="s">
        <v>1478</v>
      </c>
      <c r="S185" s="5" t="s">
        <v>1479</v>
      </c>
      <c r="T185" s="27" t="s">
        <v>1476</v>
      </c>
      <c r="U185" s="65" t="s">
        <v>1478</v>
      </c>
      <c r="V185" s="5" t="s">
        <v>1479</v>
      </c>
      <c r="W185" s="27" t="s">
        <v>1476</v>
      </c>
      <c r="X185" s="65" t="s">
        <v>1478</v>
      </c>
      <c r="Y185" s="5" t="s">
        <v>1479</v>
      </c>
      <c r="Z185" s="27" t="s">
        <v>1476</v>
      </c>
      <c r="AA185" s="65" t="s">
        <v>1478</v>
      </c>
      <c r="AB185" s="5" t="s">
        <v>1479</v>
      </c>
      <c r="AC185" s="27" t="s">
        <v>1476</v>
      </c>
      <c r="AD185" s="65" t="s">
        <v>1478</v>
      </c>
      <c r="AE185" s="5" t="s">
        <v>1479</v>
      </c>
      <c r="AF185" s="27" t="s">
        <v>1476</v>
      </c>
      <c r="AG185" s="65" t="s">
        <v>1478</v>
      </c>
      <c r="AH185" s="5" t="s">
        <v>1479</v>
      </c>
      <c r="AI185" s="27" t="s">
        <v>1476</v>
      </c>
      <c r="AJ185" s="65" t="s">
        <v>1478</v>
      </c>
      <c r="AK185" s="5" t="s">
        <v>1479</v>
      </c>
      <c r="AL185" s="27" t="s">
        <v>1476</v>
      </c>
      <c r="AM185" s="65" t="s">
        <v>1478</v>
      </c>
      <c r="AN185" s="5" t="s">
        <v>1479</v>
      </c>
      <c r="AO185" s="27" t="s">
        <v>1476</v>
      </c>
      <c r="AP185" s="65" t="s">
        <v>1478</v>
      </c>
      <c r="AQ185" s="5" t="s">
        <v>1479</v>
      </c>
      <c r="AR185" s="27" t="s">
        <v>1476</v>
      </c>
      <c r="AS185" s="65" t="s">
        <v>1478</v>
      </c>
      <c r="AT185" s="5" t="s">
        <v>1479</v>
      </c>
      <c r="AU185" s="27" t="s">
        <v>1476</v>
      </c>
      <c r="AV185" s="65" t="s">
        <v>1478</v>
      </c>
      <c r="AW185" s="5" t="s">
        <v>1479</v>
      </c>
      <c r="AX185" s="27" t="s">
        <v>1476</v>
      </c>
      <c r="AY185" s="65" t="s">
        <v>1478</v>
      </c>
      <c r="AZ185" s="5" t="s">
        <v>1479</v>
      </c>
      <c r="BA185" s="27" t="s">
        <v>1476</v>
      </c>
      <c r="BB185" s="65" t="s">
        <v>1478</v>
      </c>
      <c r="BC185" s="5" t="s">
        <v>1479</v>
      </c>
      <c r="BD185" s="27" t="s">
        <v>1476</v>
      </c>
      <c r="BE185" s="65" t="s">
        <v>1478</v>
      </c>
      <c r="BF185" s="5" t="s">
        <v>1479</v>
      </c>
      <c r="BG185" s="27" t="s">
        <v>1476</v>
      </c>
      <c r="BH185" s="65" t="s">
        <v>1478</v>
      </c>
      <c r="BI185" s="5" t="s">
        <v>1479</v>
      </c>
      <c r="BJ185" s="27" t="s">
        <v>1476</v>
      </c>
      <c r="BK185" s="65" t="s">
        <v>1478</v>
      </c>
      <c r="BL185" s="5" t="s">
        <v>1479</v>
      </c>
      <c r="BM185" s="27" t="s">
        <v>1476</v>
      </c>
      <c r="BN185" s="65" t="s">
        <v>1478</v>
      </c>
      <c r="BO185" s="5" t="s">
        <v>1479</v>
      </c>
      <c r="BP185" s="27" t="s">
        <v>1476</v>
      </c>
      <c r="BQ185" s="65" t="s">
        <v>1478</v>
      </c>
      <c r="BR185" s="5" t="s">
        <v>1479</v>
      </c>
      <c r="BS185" s="27" t="s">
        <v>1476</v>
      </c>
      <c r="BT185" s="65" t="s">
        <v>1478</v>
      </c>
      <c r="BU185" s="5" t="s">
        <v>1479</v>
      </c>
      <c r="BV185" s="27" t="s">
        <v>1476</v>
      </c>
      <c r="BW185" s="65" t="s">
        <v>1478</v>
      </c>
      <c r="BX185" s="5" t="s">
        <v>1479</v>
      </c>
      <c r="BY185" s="27" t="s">
        <v>1476</v>
      </c>
      <c r="BZ185" s="65" t="s">
        <v>1478</v>
      </c>
      <c r="CA185" s="5" t="s">
        <v>1479</v>
      </c>
      <c r="CB185" s="27" t="s">
        <v>1476</v>
      </c>
      <c r="CC185" s="65" t="s">
        <v>1478</v>
      </c>
      <c r="CD185" s="5" t="s">
        <v>1479</v>
      </c>
      <c r="CE185" s="27" t="s">
        <v>1476</v>
      </c>
      <c r="CF185" s="65" t="s">
        <v>1478</v>
      </c>
      <c r="CG185" s="5" t="s">
        <v>1479</v>
      </c>
      <c r="CH185" s="27" t="s">
        <v>1476</v>
      </c>
      <c r="CI185" s="65" t="s">
        <v>1478</v>
      </c>
      <c r="CJ185" s="5" t="s">
        <v>1479</v>
      </c>
      <c r="CK185" s="27" t="s">
        <v>1476</v>
      </c>
      <c r="CL185" s="65" t="s">
        <v>1478</v>
      </c>
      <c r="CM185" s="5" t="s">
        <v>1479</v>
      </c>
      <c r="CN185" s="27" t="s">
        <v>1476</v>
      </c>
      <c r="CO185" s="65" t="s">
        <v>1478</v>
      </c>
      <c r="CP185" s="5" t="s">
        <v>1479</v>
      </c>
      <c r="CQ185" s="27" t="s">
        <v>1476</v>
      </c>
      <c r="CR185" s="65" t="s">
        <v>1478</v>
      </c>
      <c r="CS185" s="5" t="s">
        <v>1479</v>
      </c>
      <c r="CT185" s="27" t="s">
        <v>1476</v>
      </c>
      <c r="CU185" s="65" t="s">
        <v>1478</v>
      </c>
      <c r="CV185" s="5" t="s">
        <v>1479</v>
      </c>
      <c r="CW185" s="27" t="s">
        <v>1476</v>
      </c>
      <c r="CX185" s="65" t="s">
        <v>1478</v>
      </c>
      <c r="CY185" s="5" t="s">
        <v>1479</v>
      </c>
      <c r="CZ185" s="27" t="s">
        <v>1476</v>
      </c>
      <c r="DA185" s="65" t="s">
        <v>1478</v>
      </c>
      <c r="DB185" s="5" t="s">
        <v>1479</v>
      </c>
      <c r="DC185" s="27" t="s">
        <v>1476</v>
      </c>
      <c r="DD185" s="65" t="s">
        <v>1478</v>
      </c>
      <c r="DE185" s="5" t="s">
        <v>1479</v>
      </c>
      <c r="DF185" s="27" t="s">
        <v>1476</v>
      </c>
      <c r="DG185" s="65" t="s">
        <v>1478</v>
      </c>
      <c r="DH185" s="5" t="s">
        <v>1479</v>
      </c>
      <c r="DI185" s="27" t="s">
        <v>1476</v>
      </c>
      <c r="DJ185" s="65" t="s">
        <v>1478</v>
      </c>
      <c r="DK185" s="5" t="s">
        <v>1479</v>
      </c>
      <c r="DL185" s="27" t="s">
        <v>1476</v>
      </c>
      <c r="DM185" s="65" t="s">
        <v>1478</v>
      </c>
      <c r="DN185" s="5" t="s">
        <v>1479</v>
      </c>
      <c r="DO185" s="27" t="s">
        <v>1476</v>
      </c>
      <c r="DP185" s="65" t="s">
        <v>1478</v>
      </c>
      <c r="DQ185" s="5" t="s">
        <v>1479</v>
      </c>
      <c r="DR185" s="27" t="s">
        <v>1476</v>
      </c>
      <c r="DS185" s="65" t="s">
        <v>1478</v>
      </c>
      <c r="DT185" s="5" t="s">
        <v>1479</v>
      </c>
      <c r="DU185" s="27" t="s">
        <v>1476</v>
      </c>
      <c r="DV185" s="65" t="s">
        <v>1478</v>
      </c>
      <c r="DW185" s="5" t="s">
        <v>1479</v>
      </c>
      <c r="DX185" s="147"/>
    </row>
    <row r="186" ht="23.25" customHeight="true" x14ac:dyDescent="0.25">
      <c r="B186" s="1612"/>
      <c r="C186" s="1613"/>
      <c r="D186" s="1613"/>
      <c r="E186" s="1154">
        <f t="shared" ref="E186:E235" si="170">C32</f>
        <v>1</v>
      </c>
      <c r="F186" s="1734" t="str">
        <f t="shared" ref="F186:F193" si="171">IF(D32&lt;&gt;"",D32,"")</f>
        <v>Carbon Dioxide</v>
      </c>
      <c r="G186" s="1735"/>
      <c r="H186" s="1028">
        <v>0</v>
      </c>
      <c r="I186" s="130">
        <f t="shared" ref="I186:I205" si="172">IF($F32&gt;0,H186/$F32,"")</f>
        <v>0</v>
      </c>
      <c r="J186" s="5">
        <f t="shared" ref="J186:J205" si="173">IF(I186="","",IF(I$236=0,0,I186/I$236))</f>
        <v>0</v>
      </c>
      <c r="K186" s="1028">
        <v>2980.7504537999998</v>
      </c>
      <c r="L186" s="130">
        <f t="shared" ref="L186:L205" si="174">IF($F32&gt;0,K186/$F32,"")</f>
        <v>67.729705036412582</v>
      </c>
      <c r="M186" s="5">
        <f t="shared" ref="M186:M205" si="175">IF(L186="","",IF(L$236=0,0,L186/L$236))</f>
        <v>1</v>
      </c>
      <c r="N186" s="1028"/>
      <c r="O186" s="130">
        <f t="shared" ref="O186:O205" si="176">IF($F32&gt;0,N186/$F32,"")</f>
        <v>0</v>
      </c>
      <c r="P186" s="5">
        <f t="shared" ref="P186:P205" si="177">IF(O186="","",IF(O$236=0,0,O186/O$236))</f>
        <v>0</v>
      </c>
      <c r="Q186" s="1028"/>
      <c r="R186" s="130">
        <f t="shared" ref="R186:R205" si="178">IF($F32&gt;0,Q186/$F32,"")</f>
        <v>0</v>
      </c>
      <c r="S186" s="1472">
        <f t="shared" ref="S186:S205" si="179">IF(R186="","",IF(R$236=0,0,R186/R$236))</f>
        <v>0</v>
      </c>
      <c r="T186" s="1028"/>
      <c r="U186" s="130">
        <f t="shared" ref="U186:U205" si="180">IF($F32&gt;0,T186/$F32,"")</f>
        <v>0</v>
      </c>
      <c r="V186" s="1472">
        <f t="shared" ref="V186:V205" si="181">IF(U186="","",IF(U$236=0,0,U186/U$236))</f>
        <v>0</v>
      </c>
      <c r="W186" s="1028"/>
      <c r="X186" s="130">
        <f t="shared" ref="X186:X205" si="182">IF($F32&gt;0,W186/$F32,"")</f>
        <v>0</v>
      </c>
      <c r="Y186" s="1472">
        <f t="shared" ref="Y186:Y205" si="183">IF(X186="","",IF(X$236=0,0,X186/X$236))</f>
        <v>0</v>
      </c>
      <c r="Z186" s="1028"/>
      <c r="AA186" s="130">
        <f t="shared" ref="AA186:AA205" si="184">IF($F32&gt;0,Z186/$F32,"")</f>
        <v>0</v>
      </c>
      <c r="AB186" s="1472">
        <f t="shared" ref="AB186:AB205" si="185">IF(AA186="","",IF(AA$236=0,0,AA186/AA$236))</f>
        <v>0</v>
      </c>
      <c r="AC186" s="1028"/>
      <c r="AD186" s="130">
        <f t="shared" ref="AD186:AD205" si="186">IF($F32&gt;0,AC186/$F32,"")</f>
        <v>0</v>
      </c>
      <c r="AE186" s="1472">
        <f t="shared" ref="AE186:AE205" si="187">IF(AD186="","",IF(AD$236=0,0,AD186/AD$236))</f>
        <v>0</v>
      </c>
      <c r="AF186" s="1028"/>
      <c r="AG186" s="130">
        <f t="shared" ref="AG186:AG205" si="188">IF($F32&gt;0,AF186/$F32,"")</f>
        <v>0</v>
      </c>
      <c r="AH186" s="1472">
        <f t="shared" ref="AH186:AH205" si="189">IF(AG186="","",IF(AG$236=0,0,AG186/AG$236))</f>
        <v>0</v>
      </c>
      <c r="AI186" s="1028"/>
      <c r="AJ186" s="130">
        <f t="shared" ref="AJ186:AJ205" si="190">IF($F32&gt;0,AI186/$F32,"")</f>
        <v>0</v>
      </c>
      <c r="AK186" s="1472">
        <f t="shared" ref="AK186:AK205" si="191">IF(AJ186="","",IF(AJ$236=0,0,AJ186/AJ$236))</f>
        <v>0</v>
      </c>
      <c r="AL186" s="1028"/>
      <c r="AM186" s="130">
        <f t="shared" ref="AM186:AM205" si="192">IF($F32&gt;0,AL186/$F32,"")</f>
        <v>0</v>
      </c>
      <c r="AN186" s="1472">
        <f t="shared" ref="AN186:AN205" si="193">IF(AM186="","",IF(AM$236=0,0,AM186/AM$236))</f>
        <v>0</v>
      </c>
      <c r="AO186" s="1028"/>
      <c r="AP186" s="130">
        <f t="shared" ref="AP186:AP205" si="194">IF($F32&gt;0,AO186/$F32,"")</f>
        <v>0</v>
      </c>
      <c r="AQ186" s="1472">
        <f t="shared" ref="AQ186:AQ205" si="195">IF(AP186="","",IF(AP$236=0,0,AP186/AP$236))</f>
        <v>0</v>
      </c>
      <c r="AR186" s="1028"/>
      <c r="AS186" s="130">
        <f t="shared" ref="AS186:AS205" si="196">IF($F32&gt;0,AR186/$F32,"")</f>
        <v>0</v>
      </c>
      <c r="AT186" s="1472">
        <f t="shared" ref="AT186:AT205" si="197">IF(AS186="","",IF(AS$236=0,0,AS186/AS$236))</f>
        <v>0</v>
      </c>
      <c r="AU186" s="1028"/>
      <c r="AV186" s="130">
        <f t="shared" ref="AV186:AV205" si="198">IF($F32&gt;0,AU186/$F32,"")</f>
        <v>0</v>
      </c>
      <c r="AW186" s="1472">
        <f t="shared" ref="AW186:AW205" si="199">IF(AV186="","",IF(AV$236=0,0,AV186/AV$236))</f>
        <v>0</v>
      </c>
      <c r="AX186" s="1028"/>
      <c r="AY186" s="130">
        <f t="shared" ref="AY186:AY205" si="200">IF($F32&gt;0,AX186/$F32,"")</f>
        <v>0</v>
      </c>
      <c r="AZ186" s="1472">
        <f t="shared" ref="AZ186:AZ205" si="201">IF(AY186="","",IF(AY$236=0,0,AY186/AY$236))</f>
        <v>0</v>
      </c>
      <c r="BA186" s="1028"/>
      <c r="BB186" s="130">
        <f t="shared" ref="BB186:BB205" si="202">IF($F32&gt;0,BA186/$F32,"")</f>
        <v>0</v>
      </c>
      <c r="BC186" s="1472">
        <f t="shared" ref="BC186:BC205" si="203">IF(BB186="","",IF(BB$236=0,0,BB186/BB$236))</f>
        <v>0</v>
      </c>
      <c r="BD186" s="1028"/>
      <c r="BE186" s="130">
        <f t="shared" ref="BE186:BE205" si="204">IF($F32&gt;0,BD186/$F32,"")</f>
        <v>0</v>
      </c>
      <c r="BF186" s="1472">
        <f t="shared" ref="BF186:BF205" si="205">IF(BE186="","",IF(BE$236=0,0,BE186/BE$236))</f>
        <v>0</v>
      </c>
      <c r="BG186" s="1028"/>
      <c r="BH186" s="130">
        <f t="shared" ref="BH186:BH205" si="206">IF($F32&gt;0,BG186/$F32,"")</f>
        <v>0</v>
      </c>
      <c r="BI186" s="1472">
        <f t="shared" ref="BI186:BI205" si="207">IF(BH186="","",IF(BH$236=0,0,BH186/BH$236))</f>
        <v>0</v>
      </c>
      <c r="BJ186" s="1028"/>
      <c r="BK186" s="130">
        <f t="shared" ref="BK186:BK205" si="208">IF($F32&gt;0,BJ186/$F32,"")</f>
        <v>0</v>
      </c>
      <c r="BL186" s="1472">
        <f t="shared" ref="BL186:BL205" si="209">IF(BK186="","",IF(BK$236=0,0,BK186/BK$236))</f>
        <v>0</v>
      </c>
      <c r="BM186" s="1028"/>
      <c r="BN186" s="130">
        <f t="shared" ref="BN186:BN205" si="210">IF($F32&gt;0,BM186/$F32,"")</f>
        <v>0</v>
      </c>
      <c r="BO186" s="1472">
        <f t="shared" ref="BO186:BO205" si="211">IF(BN186="","",IF(BN$236=0,0,BN186/BN$236))</f>
        <v>0</v>
      </c>
      <c r="BP186" s="1028"/>
      <c r="BQ186" s="130">
        <f t="shared" ref="BQ186:BQ205" si="212">IF($F32&gt;0,BP186/$F32,"")</f>
        <v>0</v>
      </c>
      <c r="BR186" s="1472">
        <f t="shared" ref="BR186:BR205" si="213">IF(BQ186="","",IF(BQ$236=0,0,BQ186/BQ$236))</f>
        <v>0</v>
      </c>
      <c r="BS186" s="1028"/>
      <c r="BT186" s="130">
        <f t="shared" ref="BT186:BT205" si="214">IF($F32&gt;0,BS186/$F32,"")</f>
        <v>0</v>
      </c>
      <c r="BU186" s="1472">
        <f t="shared" ref="BU186:BU205" si="215">IF(BT186="","",IF(BT$236=0,0,BT186/BT$236))</f>
        <v>0</v>
      </c>
      <c r="BV186" s="1028"/>
      <c r="BW186" s="130">
        <f t="shared" ref="BW186:BW205" si="216">IF($F32&gt;0,BV186/$F32,"")</f>
        <v>0</v>
      </c>
      <c r="BX186" s="1472">
        <f t="shared" ref="BX186:BX205" si="217">IF(BW186="","",IF(BW$236=0,0,BW186/BW$236))</f>
        <v>0</v>
      </c>
      <c r="BY186" s="1028"/>
      <c r="BZ186" s="130">
        <f t="shared" ref="BZ186:BZ205" si="218">IF($F32&gt;0,BY186/$F32,"")</f>
        <v>0</v>
      </c>
      <c r="CA186" s="1472">
        <f t="shared" ref="CA186:CA205" si="219">IF(BZ186="","",IF(BZ$236=0,0,BZ186/BZ$236))</f>
        <v>0</v>
      </c>
      <c r="CB186" s="1028"/>
      <c r="CC186" s="130">
        <f t="shared" ref="CC186:CC205" si="220">IF($F32&gt;0,CB186/$F32,"")</f>
        <v>0</v>
      </c>
      <c r="CD186" s="1472">
        <f t="shared" ref="CD186:CD205" si="221">IF(CC186="","",IF(CC$236=0,0,CC186/CC$236))</f>
        <v>0</v>
      </c>
      <c r="CE186" s="1028"/>
      <c r="CF186" s="130">
        <f t="shared" ref="CF186:CF205" si="222">IF($F32&gt;0,CE186/$F32,"")</f>
        <v>0</v>
      </c>
      <c r="CG186" s="1472">
        <f t="shared" ref="CG186:CG205" si="223">IF(CF186="","",IF(CF$236=0,0,CF186/CF$236))</f>
        <v>0</v>
      </c>
      <c r="CH186" s="1028"/>
      <c r="CI186" s="130">
        <f t="shared" ref="CI186:CI205" si="224">IF($F32&gt;0,CH186/$F32,"")</f>
        <v>0</v>
      </c>
      <c r="CJ186" s="1472">
        <f t="shared" ref="CJ186:CJ205" si="225">IF(CI186="","",IF(CI$236=0,0,CI186/CI$236))</f>
        <v>0</v>
      </c>
      <c r="CK186" s="1028"/>
      <c r="CL186" s="130">
        <f t="shared" ref="CL186:CL205" si="226">IF($F32&gt;0,CK186/$F32,"")</f>
        <v>0</v>
      </c>
      <c r="CM186" s="1472">
        <f t="shared" ref="CM186:CM205" si="227">IF(CL186="","",IF(CL$236=0,0,CL186/CL$236))</f>
        <v>0</v>
      </c>
      <c r="CN186" s="1028"/>
      <c r="CO186" s="130">
        <f t="shared" ref="CO186:CO205" si="228">IF($F32&gt;0,CN186/$F32,"")</f>
        <v>0</v>
      </c>
      <c r="CP186" s="1472">
        <f t="shared" ref="CP186:CP205" si="229">IF(CO186="","",IF(CO$236=0,0,CO186/CO$236))</f>
        <v>0</v>
      </c>
      <c r="CQ186" s="1028"/>
      <c r="CR186" s="130">
        <f t="shared" ref="CR186:CR205" si="230">IF($F32&gt;0,CQ186/$F32,"")</f>
        <v>0</v>
      </c>
      <c r="CS186" s="1472">
        <f t="shared" ref="CS186:CS205" si="231">IF(CR186="","",IF(CR$236=0,0,CR186/CR$236))</f>
        <v>0</v>
      </c>
      <c r="CT186" s="1028"/>
      <c r="CU186" s="130">
        <f t="shared" ref="CU186:CU205" si="232">IF($F32&gt;0,CT186/$F32,"")</f>
        <v>0</v>
      </c>
      <c r="CV186" s="1472">
        <f t="shared" ref="CV186:CV205" si="233">IF(CU186="","",IF(CU$236=0,0,CU186/CU$236))</f>
        <v>0</v>
      </c>
      <c r="CW186" s="1028"/>
      <c r="CX186" s="130">
        <f t="shared" ref="CX186:CX205" si="234">IF($F32&gt;0,CW186/$F32,"")</f>
        <v>0</v>
      </c>
      <c r="CY186" s="1472">
        <f t="shared" ref="CY186:CY205" si="235">IF(CX186="","",IF(CX$236=0,0,CX186/CX$236))</f>
        <v>0</v>
      </c>
      <c r="CZ186" s="1028"/>
      <c r="DA186" s="130">
        <f t="shared" ref="DA186:DA205" si="236">IF($F32&gt;0,CZ186/$F32,"")</f>
        <v>0</v>
      </c>
      <c r="DB186" s="1472">
        <f t="shared" ref="DB186:DB205" si="237">IF(DA186="","",IF(DA$236=0,0,DA186/DA$236))</f>
        <v>0</v>
      </c>
      <c r="DC186" s="1028"/>
      <c r="DD186" s="130">
        <f t="shared" ref="DD186:DD205" si="238">IF($F32&gt;0,DC186/$F32,"")</f>
        <v>0</v>
      </c>
      <c r="DE186" s="1472">
        <f t="shared" ref="DE186:DE205" si="239">IF(DD186="","",IF(DD$236=0,0,DD186/DD$236))</f>
        <v>0</v>
      </c>
      <c r="DF186" s="1028"/>
      <c r="DG186" s="130">
        <f t="shared" ref="DG186:DG205" si="240">IF($F32&gt;0,DF186/$F32,"")</f>
        <v>0</v>
      </c>
      <c r="DH186" s="1472">
        <f t="shared" ref="DH186:DH205" si="241">IF(DG186="","",IF(DG$236=0,0,DG186/DG$236))</f>
        <v>0</v>
      </c>
      <c r="DI186" s="1028"/>
      <c r="DJ186" s="130">
        <f t="shared" ref="DJ186:DJ205" si="242">IF($F32&gt;0,DI186/$F32,"")</f>
        <v>0</v>
      </c>
      <c r="DK186" s="1472">
        <f t="shared" ref="DK186:DK205" si="243">IF(DJ186="","",IF(DJ$236=0,0,DJ186/DJ$236))</f>
        <v>0</v>
      </c>
      <c r="DL186" s="1028"/>
      <c r="DM186" s="130">
        <f t="shared" ref="DM186:DM205" si="244">IF($F32&gt;0,DL186/$F32,"")</f>
        <v>0</v>
      </c>
      <c r="DN186" s="1472">
        <f t="shared" ref="DN186:DN205" si="245">IF(DM186="","",IF(DM$236=0,0,DM186/DM$236))</f>
        <v>0</v>
      </c>
      <c r="DO186" s="1028"/>
      <c r="DP186" s="130">
        <f t="shared" ref="DP186:DP205" si="246">IF($F32&gt;0,DO186/$F32,"")</f>
        <v>0</v>
      </c>
      <c r="DQ186" s="1472">
        <f t="shared" ref="DQ186:DQ205" si="247">IF(DP186="","",IF(DP$236=0,0,DP186/DP$236))</f>
        <v>0</v>
      </c>
      <c r="DR186" s="1028"/>
      <c r="DS186" s="130">
        <f t="shared" ref="DS186:DS205" si="248">IF($F32&gt;0,DR186/$F32,"")</f>
        <v>0</v>
      </c>
      <c r="DT186" s="1472">
        <f t="shared" ref="DT186:DT205" si="249">IF(DS186="","",IF(DS$236=0,0,DS186/DS$236))</f>
        <v>0</v>
      </c>
      <c r="DU186" s="1028"/>
      <c r="DV186" s="130">
        <f t="shared" ref="DV186:DV205" si="250">IF($F32&gt;0,DU186/$F32,"")</f>
        <v>0</v>
      </c>
      <c r="DW186" s="1472">
        <f t="shared" ref="DW186:DW205" si="251">IF(DV186="","",IF(DV$236=0,0,DV186/DV$236))</f>
        <v>0</v>
      </c>
      <c r="DX186" s="147"/>
    </row>
    <row r="187" ht="23.25" customHeight="true" x14ac:dyDescent="0.25">
      <c r="B187" s="1612"/>
      <c r="C187" s="1613"/>
      <c r="D187" s="1613"/>
      <c r="E187" s="1154">
        <f t="shared" si="170"/>
        <v>2</v>
      </c>
      <c r="F187" s="1734" t="str">
        <f t="shared" si="171"/>
        <v>Water</v>
      </c>
      <c r="G187" s="1735"/>
      <c r="H187" s="1028">
        <v>0</v>
      </c>
      <c r="I187" s="130">
        <f t="shared" si="172"/>
        <v>0</v>
      </c>
      <c r="J187" s="5">
        <f t="shared" si="173"/>
        <v>0</v>
      </c>
      <c r="K187" s="1028">
        <v>0</v>
      </c>
      <c r="L187" s="130">
        <f t="shared" si="174"/>
        <v>0</v>
      </c>
      <c r="M187" s="5">
        <f t="shared" si="175"/>
        <v>0</v>
      </c>
      <c r="N187" s="1028"/>
      <c r="O187" s="130">
        <f t="shared" si="176"/>
        <v>0</v>
      </c>
      <c r="P187" s="5">
        <f t="shared" si="177"/>
        <v>0</v>
      </c>
      <c r="Q187" s="1028"/>
      <c r="R187" s="130">
        <f t="shared" si="178"/>
        <v>0</v>
      </c>
      <c r="S187" s="1472">
        <f t="shared" si="179"/>
        <v>0</v>
      </c>
      <c r="T187" s="1028"/>
      <c r="U187" s="130">
        <f t="shared" si="180"/>
        <v>0</v>
      </c>
      <c r="V187" s="1472">
        <f t="shared" si="181"/>
        <v>0</v>
      </c>
      <c r="W187" s="1028"/>
      <c r="X187" s="130">
        <f t="shared" si="182"/>
        <v>0</v>
      </c>
      <c r="Y187" s="1472">
        <f t="shared" si="183"/>
        <v>0</v>
      </c>
      <c r="Z187" s="1028"/>
      <c r="AA187" s="130">
        <f t="shared" si="184"/>
        <v>0</v>
      </c>
      <c r="AB187" s="1472">
        <f t="shared" si="185"/>
        <v>0</v>
      </c>
      <c r="AC187" s="1028"/>
      <c r="AD187" s="130">
        <f t="shared" si="186"/>
        <v>0</v>
      </c>
      <c r="AE187" s="1472">
        <f t="shared" si="187"/>
        <v>0</v>
      </c>
      <c r="AF187" s="1028"/>
      <c r="AG187" s="130">
        <f t="shared" si="188"/>
        <v>0</v>
      </c>
      <c r="AH187" s="1472">
        <f t="shared" si="189"/>
        <v>0</v>
      </c>
      <c r="AI187" s="1028"/>
      <c r="AJ187" s="130">
        <f t="shared" si="190"/>
        <v>0</v>
      </c>
      <c r="AK187" s="1472">
        <f t="shared" si="191"/>
        <v>0</v>
      </c>
      <c r="AL187" s="1028"/>
      <c r="AM187" s="130">
        <f t="shared" si="192"/>
        <v>0</v>
      </c>
      <c r="AN187" s="1472">
        <f t="shared" si="193"/>
        <v>0</v>
      </c>
      <c r="AO187" s="1028"/>
      <c r="AP187" s="130">
        <f t="shared" si="194"/>
        <v>0</v>
      </c>
      <c r="AQ187" s="1472">
        <f t="shared" si="195"/>
        <v>0</v>
      </c>
      <c r="AR187" s="1028"/>
      <c r="AS187" s="130">
        <f t="shared" si="196"/>
        <v>0</v>
      </c>
      <c r="AT187" s="1472">
        <f t="shared" si="197"/>
        <v>0</v>
      </c>
      <c r="AU187" s="1028"/>
      <c r="AV187" s="130">
        <f t="shared" si="198"/>
        <v>0</v>
      </c>
      <c r="AW187" s="1472">
        <f t="shared" si="199"/>
        <v>0</v>
      </c>
      <c r="AX187" s="1028"/>
      <c r="AY187" s="130">
        <f t="shared" si="200"/>
        <v>0</v>
      </c>
      <c r="AZ187" s="1472">
        <f t="shared" si="201"/>
        <v>0</v>
      </c>
      <c r="BA187" s="1028"/>
      <c r="BB187" s="130">
        <f t="shared" si="202"/>
        <v>0</v>
      </c>
      <c r="BC187" s="1472">
        <f t="shared" si="203"/>
        <v>0</v>
      </c>
      <c r="BD187" s="1028"/>
      <c r="BE187" s="130">
        <f t="shared" si="204"/>
        <v>0</v>
      </c>
      <c r="BF187" s="1472">
        <f t="shared" si="205"/>
        <v>0</v>
      </c>
      <c r="BG187" s="1028"/>
      <c r="BH187" s="130">
        <f t="shared" si="206"/>
        <v>0</v>
      </c>
      <c r="BI187" s="1472">
        <f t="shared" si="207"/>
        <v>0</v>
      </c>
      <c r="BJ187" s="1028"/>
      <c r="BK187" s="130">
        <f t="shared" si="208"/>
        <v>0</v>
      </c>
      <c r="BL187" s="1472">
        <f t="shared" si="209"/>
        <v>0</v>
      </c>
      <c r="BM187" s="1028"/>
      <c r="BN187" s="130">
        <f t="shared" si="210"/>
        <v>0</v>
      </c>
      <c r="BO187" s="1472">
        <f t="shared" si="211"/>
        <v>0</v>
      </c>
      <c r="BP187" s="1028"/>
      <c r="BQ187" s="130">
        <f t="shared" si="212"/>
        <v>0</v>
      </c>
      <c r="BR187" s="1472">
        <f t="shared" si="213"/>
        <v>0</v>
      </c>
      <c r="BS187" s="1028"/>
      <c r="BT187" s="130">
        <f t="shared" si="214"/>
        <v>0</v>
      </c>
      <c r="BU187" s="1472">
        <f t="shared" si="215"/>
        <v>0</v>
      </c>
      <c r="BV187" s="1028"/>
      <c r="BW187" s="130">
        <f t="shared" si="216"/>
        <v>0</v>
      </c>
      <c r="BX187" s="1472">
        <f t="shared" si="217"/>
        <v>0</v>
      </c>
      <c r="BY187" s="1028"/>
      <c r="BZ187" s="130">
        <f t="shared" si="218"/>
        <v>0</v>
      </c>
      <c r="CA187" s="1472">
        <f t="shared" si="219"/>
        <v>0</v>
      </c>
      <c r="CB187" s="1028"/>
      <c r="CC187" s="130">
        <f t="shared" si="220"/>
        <v>0</v>
      </c>
      <c r="CD187" s="1472">
        <f t="shared" si="221"/>
        <v>0</v>
      </c>
      <c r="CE187" s="1028"/>
      <c r="CF187" s="130">
        <f t="shared" si="222"/>
        <v>0</v>
      </c>
      <c r="CG187" s="1472">
        <f t="shared" si="223"/>
        <v>0</v>
      </c>
      <c r="CH187" s="1028"/>
      <c r="CI187" s="130">
        <f t="shared" si="224"/>
        <v>0</v>
      </c>
      <c r="CJ187" s="1472">
        <f t="shared" si="225"/>
        <v>0</v>
      </c>
      <c r="CK187" s="1028"/>
      <c r="CL187" s="130">
        <f t="shared" si="226"/>
        <v>0</v>
      </c>
      <c r="CM187" s="1472">
        <f t="shared" si="227"/>
        <v>0</v>
      </c>
      <c r="CN187" s="1028"/>
      <c r="CO187" s="130">
        <f t="shared" si="228"/>
        <v>0</v>
      </c>
      <c r="CP187" s="1472">
        <f t="shared" si="229"/>
        <v>0</v>
      </c>
      <c r="CQ187" s="1028"/>
      <c r="CR187" s="130">
        <f t="shared" si="230"/>
        <v>0</v>
      </c>
      <c r="CS187" s="1472">
        <f t="shared" si="231"/>
        <v>0</v>
      </c>
      <c r="CT187" s="1028"/>
      <c r="CU187" s="130">
        <f t="shared" si="232"/>
        <v>0</v>
      </c>
      <c r="CV187" s="1472">
        <f t="shared" si="233"/>
        <v>0</v>
      </c>
      <c r="CW187" s="1028"/>
      <c r="CX187" s="130">
        <f t="shared" si="234"/>
        <v>0</v>
      </c>
      <c r="CY187" s="1472">
        <f t="shared" si="235"/>
        <v>0</v>
      </c>
      <c r="CZ187" s="1028"/>
      <c r="DA187" s="130">
        <f t="shared" si="236"/>
        <v>0</v>
      </c>
      <c r="DB187" s="1472">
        <f t="shared" si="237"/>
        <v>0</v>
      </c>
      <c r="DC187" s="1028"/>
      <c r="DD187" s="130">
        <f t="shared" si="238"/>
        <v>0</v>
      </c>
      <c r="DE187" s="1472">
        <f t="shared" si="239"/>
        <v>0</v>
      </c>
      <c r="DF187" s="1028"/>
      <c r="DG187" s="130">
        <f t="shared" si="240"/>
        <v>0</v>
      </c>
      <c r="DH187" s="1472">
        <f t="shared" si="241"/>
        <v>0</v>
      </c>
      <c r="DI187" s="1028"/>
      <c r="DJ187" s="130">
        <f t="shared" si="242"/>
        <v>0</v>
      </c>
      <c r="DK187" s="1472">
        <f t="shared" si="243"/>
        <v>0</v>
      </c>
      <c r="DL187" s="1028"/>
      <c r="DM187" s="130">
        <f t="shared" si="244"/>
        <v>0</v>
      </c>
      <c r="DN187" s="1472">
        <f t="shared" si="245"/>
        <v>0</v>
      </c>
      <c r="DO187" s="1028"/>
      <c r="DP187" s="130">
        <f t="shared" si="246"/>
        <v>0</v>
      </c>
      <c r="DQ187" s="1472">
        <f t="shared" si="247"/>
        <v>0</v>
      </c>
      <c r="DR187" s="1028"/>
      <c r="DS187" s="130">
        <f t="shared" si="248"/>
        <v>0</v>
      </c>
      <c r="DT187" s="1472">
        <f t="shared" si="249"/>
        <v>0</v>
      </c>
      <c r="DU187" s="1028"/>
      <c r="DV187" s="130">
        <f t="shared" si="250"/>
        <v>0</v>
      </c>
      <c r="DW187" s="1472">
        <f t="shared" si="251"/>
        <v>0</v>
      </c>
      <c r="DX187" s="147"/>
    </row>
    <row r="188" ht="23.25" customHeight="true" x14ac:dyDescent="0.25">
      <c r="B188" s="1612"/>
      <c r="C188" s="1613"/>
      <c r="D188" s="1613"/>
      <c r="E188" s="1154">
        <f t="shared" si="170"/>
        <v>3</v>
      </c>
      <c r="F188" s="1734" t="str">
        <f t="shared" si="171"/>
        <v>Calcium Oxide</v>
      </c>
      <c r="G188" s="1735"/>
      <c r="H188" s="1028">
        <v>2888.3362910273868</v>
      </c>
      <c r="I188" s="130">
        <f t="shared" si="172"/>
        <v>51.506612176603362</v>
      </c>
      <c r="J188" s="5">
        <f t="shared" si="173"/>
        <v>0.7604776995752538</v>
      </c>
      <c r="K188" s="1028">
        <v>0</v>
      </c>
      <c r="L188" s="130">
        <f t="shared" si="174"/>
        <v>0</v>
      </c>
      <c r="M188" s="5">
        <f t="shared" si="175"/>
        <v>0</v>
      </c>
      <c r="N188" s="1028"/>
      <c r="O188" s="130">
        <f t="shared" si="176"/>
        <v>0</v>
      </c>
      <c r="P188" s="5">
        <f t="shared" si="177"/>
        <v>0</v>
      </c>
      <c r="Q188" s="1028"/>
      <c r="R188" s="130">
        <f t="shared" si="178"/>
        <v>0</v>
      </c>
      <c r="S188" s="1472">
        <f t="shared" si="179"/>
        <v>0</v>
      </c>
      <c r="T188" s="1028"/>
      <c r="U188" s="130">
        <f t="shared" si="180"/>
        <v>0</v>
      </c>
      <c r="V188" s="1472">
        <f t="shared" si="181"/>
        <v>0</v>
      </c>
      <c r="W188" s="1028"/>
      <c r="X188" s="130">
        <f t="shared" si="182"/>
        <v>0</v>
      </c>
      <c r="Y188" s="1472">
        <f t="shared" si="183"/>
        <v>0</v>
      </c>
      <c r="Z188" s="1028"/>
      <c r="AA188" s="130">
        <f t="shared" si="184"/>
        <v>0</v>
      </c>
      <c r="AB188" s="1472">
        <f t="shared" si="185"/>
        <v>0</v>
      </c>
      <c r="AC188" s="1028"/>
      <c r="AD188" s="130">
        <f t="shared" si="186"/>
        <v>0</v>
      </c>
      <c r="AE188" s="1472">
        <f t="shared" si="187"/>
        <v>0</v>
      </c>
      <c r="AF188" s="1028"/>
      <c r="AG188" s="130">
        <f t="shared" si="188"/>
        <v>0</v>
      </c>
      <c r="AH188" s="1472">
        <f t="shared" si="189"/>
        <v>0</v>
      </c>
      <c r="AI188" s="1028"/>
      <c r="AJ188" s="130">
        <f t="shared" si="190"/>
        <v>0</v>
      </c>
      <c r="AK188" s="1472">
        <f t="shared" si="191"/>
        <v>0</v>
      </c>
      <c r="AL188" s="1028"/>
      <c r="AM188" s="130">
        <f t="shared" si="192"/>
        <v>0</v>
      </c>
      <c r="AN188" s="1472">
        <f t="shared" si="193"/>
        <v>0</v>
      </c>
      <c r="AO188" s="1028"/>
      <c r="AP188" s="130">
        <f t="shared" si="194"/>
        <v>0</v>
      </c>
      <c r="AQ188" s="1472">
        <f t="shared" si="195"/>
        <v>0</v>
      </c>
      <c r="AR188" s="1028"/>
      <c r="AS188" s="130">
        <f t="shared" si="196"/>
        <v>0</v>
      </c>
      <c r="AT188" s="1472">
        <f t="shared" si="197"/>
        <v>0</v>
      </c>
      <c r="AU188" s="1028"/>
      <c r="AV188" s="130">
        <f t="shared" si="198"/>
        <v>0</v>
      </c>
      <c r="AW188" s="1472">
        <f t="shared" si="199"/>
        <v>0</v>
      </c>
      <c r="AX188" s="1028"/>
      <c r="AY188" s="130">
        <f t="shared" si="200"/>
        <v>0</v>
      </c>
      <c r="AZ188" s="1472">
        <f t="shared" si="201"/>
        <v>0</v>
      </c>
      <c r="BA188" s="1028"/>
      <c r="BB188" s="130">
        <f t="shared" si="202"/>
        <v>0</v>
      </c>
      <c r="BC188" s="1472">
        <f t="shared" si="203"/>
        <v>0</v>
      </c>
      <c r="BD188" s="1028"/>
      <c r="BE188" s="130">
        <f t="shared" si="204"/>
        <v>0</v>
      </c>
      <c r="BF188" s="1472">
        <f t="shared" si="205"/>
        <v>0</v>
      </c>
      <c r="BG188" s="1028"/>
      <c r="BH188" s="130">
        <f t="shared" si="206"/>
        <v>0</v>
      </c>
      <c r="BI188" s="1472">
        <f t="shared" si="207"/>
        <v>0</v>
      </c>
      <c r="BJ188" s="1028"/>
      <c r="BK188" s="130">
        <f t="shared" si="208"/>
        <v>0</v>
      </c>
      <c r="BL188" s="1472">
        <f t="shared" si="209"/>
        <v>0</v>
      </c>
      <c r="BM188" s="1028"/>
      <c r="BN188" s="130">
        <f t="shared" si="210"/>
        <v>0</v>
      </c>
      <c r="BO188" s="1472">
        <f t="shared" si="211"/>
        <v>0</v>
      </c>
      <c r="BP188" s="1028"/>
      <c r="BQ188" s="130">
        <f t="shared" si="212"/>
        <v>0</v>
      </c>
      <c r="BR188" s="1472">
        <f t="shared" si="213"/>
        <v>0</v>
      </c>
      <c r="BS188" s="1028"/>
      <c r="BT188" s="130">
        <f t="shared" si="214"/>
        <v>0</v>
      </c>
      <c r="BU188" s="1472">
        <f t="shared" si="215"/>
        <v>0</v>
      </c>
      <c r="BV188" s="1028"/>
      <c r="BW188" s="130">
        <f t="shared" si="216"/>
        <v>0</v>
      </c>
      <c r="BX188" s="1472">
        <f t="shared" si="217"/>
        <v>0</v>
      </c>
      <c r="BY188" s="1028"/>
      <c r="BZ188" s="130">
        <f t="shared" si="218"/>
        <v>0</v>
      </c>
      <c r="CA188" s="1472">
        <f t="shared" si="219"/>
        <v>0</v>
      </c>
      <c r="CB188" s="1028"/>
      <c r="CC188" s="130">
        <f t="shared" si="220"/>
        <v>0</v>
      </c>
      <c r="CD188" s="1472">
        <f t="shared" si="221"/>
        <v>0</v>
      </c>
      <c r="CE188" s="1028"/>
      <c r="CF188" s="130">
        <f t="shared" si="222"/>
        <v>0</v>
      </c>
      <c r="CG188" s="1472">
        <f t="shared" si="223"/>
        <v>0</v>
      </c>
      <c r="CH188" s="1028"/>
      <c r="CI188" s="130">
        <f t="shared" si="224"/>
        <v>0</v>
      </c>
      <c r="CJ188" s="1472">
        <f t="shared" si="225"/>
        <v>0</v>
      </c>
      <c r="CK188" s="1028"/>
      <c r="CL188" s="130">
        <f t="shared" si="226"/>
        <v>0</v>
      </c>
      <c r="CM188" s="1472">
        <f t="shared" si="227"/>
        <v>0</v>
      </c>
      <c r="CN188" s="1028"/>
      <c r="CO188" s="130">
        <f t="shared" si="228"/>
        <v>0</v>
      </c>
      <c r="CP188" s="1472">
        <f t="shared" si="229"/>
        <v>0</v>
      </c>
      <c r="CQ188" s="1028"/>
      <c r="CR188" s="130">
        <f t="shared" si="230"/>
        <v>0</v>
      </c>
      <c r="CS188" s="1472">
        <f t="shared" si="231"/>
        <v>0</v>
      </c>
      <c r="CT188" s="1028"/>
      <c r="CU188" s="130">
        <f t="shared" si="232"/>
        <v>0</v>
      </c>
      <c r="CV188" s="1472">
        <f t="shared" si="233"/>
        <v>0</v>
      </c>
      <c r="CW188" s="1028"/>
      <c r="CX188" s="130">
        <f t="shared" si="234"/>
        <v>0</v>
      </c>
      <c r="CY188" s="1472">
        <f t="shared" si="235"/>
        <v>0</v>
      </c>
      <c r="CZ188" s="1028"/>
      <c r="DA188" s="130">
        <f t="shared" si="236"/>
        <v>0</v>
      </c>
      <c r="DB188" s="1472">
        <f t="shared" si="237"/>
        <v>0</v>
      </c>
      <c r="DC188" s="1028"/>
      <c r="DD188" s="130">
        <f t="shared" si="238"/>
        <v>0</v>
      </c>
      <c r="DE188" s="1472">
        <f t="shared" si="239"/>
        <v>0</v>
      </c>
      <c r="DF188" s="1028"/>
      <c r="DG188" s="130">
        <f t="shared" si="240"/>
        <v>0</v>
      </c>
      <c r="DH188" s="1472">
        <f t="shared" si="241"/>
        <v>0</v>
      </c>
      <c r="DI188" s="1028"/>
      <c r="DJ188" s="130">
        <f t="shared" si="242"/>
        <v>0</v>
      </c>
      <c r="DK188" s="1472">
        <f t="shared" si="243"/>
        <v>0</v>
      </c>
      <c r="DL188" s="1028"/>
      <c r="DM188" s="130">
        <f t="shared" si="244"/>
        <v>0</v>
      </c>
      <c r="DN188" s="1472">
        <f t="shared" si="245"/>
        <v>0</v>
      </c>
      <c r="DO188" s="1028"/>
      <c r="DP188" s="130">
        <f t="shared" si="246"/>
        <v>0</v>
      </c>
      <c r="DQ188" s="1472">
        <f t="shared" si="247"/>
        <v>0</v>
      </c>
      <c r="DR188" s="1028"/>
      <c r="DS188" s="130">
        <f t="shared" si="248"/>
        <v>0</v>
      </c>
      <c r="DT188" s="1472">
        <f t="shared" si="249"/>
        <v>0</v>
      </c>
      <c r="DU188" s="1028"/>
      <c r="DV188" s="130">
        <f t="shared" si="250"/>
        <v>0</v>
      </c>
      <c r="DW188" s="1472">
        <f t="shared" si="251"/>
        <v>0</v>
      </c>
      <c r="DX188" s="147"/>
    </row>
    <row r="189" ht="23.25" customHeight="true" x14ac:dyDescent="0.25">
      <c r="B189" s="1612"/>
      <c r="C189" s="1613"/>
      <c r="D189" s="1613"/>
      <c r="E189" s="1154">
        <f t="shared" si="170"/>
        <v>4</v>
      </c>
      <c r="F189" s="1734" t="str">
        <f t="shared" si="171"/>
        <v>Calcium Carbonate</v>
      </c>
      <c r="G189" s="1735"/>
      <c r="H189" s="1028">
        <v>1623.6788293814257</v>
      </c>
      <c r="I189" s="130">
        <f t="shared" si="172"/>
        <v>16.222674566941016</v>
      </c>
      <c r="J189" s="5">
        <f t="shared" si="173"/>
        <v>0.2395223004247462</v>
      </c>
      <c r="K189" s="1028">
        <v>0</v>
      </c>
      <c r="L189" s="130">
        <f t="shared" si="174"/>
        <v>0</v>
      </c>
      <c r="M189" s="5">
        <f t="shared" si="175"/>
        <v>0</v>
      </c>
      <c r="N189" s="1028"/>
      <c r="O189" s="130">
        <f t="shared" si="176"/>
        <v>0</v>
      </c>
      <c r="P189" s="5">
        <f t="shared" si="177"/>
        <v>0</v>
      </c>
      <c r="Q189" s="1028"/>
      <c r="R189" s="130">
        <f t="shared" si="178"/>
        <v>0</v>
      </c>
      <c r="S189" s="1472">
        <f t="shared" si="179"/>
        <v>0</v>
      </c>
      <c r="T189" s="1028"/>
      <c r="U189" s="130">
        <f t="shared" si="180"/>
        <v>0</v>
      </c>
      <c r="V189" s="1472">
        <f t="shared" si="181"/>
        <v>0</v>
      </c>
      <c r="W189" s="1028"/>
      <c r="X189" s="130">
        <f t="shared" si="182"/>
        <v>0</v>
      </c>
      <c r="Y189" s="1472">
        <f t="shared" si="183"/>
        <v>0</v>
      </c>
      <c r="Z189" s="1028"/>
      <c r="AA189" s="130">
        <f t="shared" si="184"/>
        <v>0</v>
      </c>
      <c r="AB189" s="1472">
        <f t="shared" si="185"/>
        <v>0</v>
      </c>
      <c r="AC189" s="1028"/>
      <c r="AD189" s="130">
        <f t="shared" si="186"/>
        <v>0</v>
      </c>
      <c r="AE189" s="1472">
        <f t="shared" si="187"/>
        <v>0</v>
      </c>
      <c r="AF189" s="1028"/>
      <c r="AG189" s="130">
        <f t="shared" si="188"/>
        <v>0</v>
      </c>
      <c r="AH189" s="1472">
        <f t="shared" si="189"/>
        <v>0</v>
      </c>
      <c r="AI189" s="1028"/>
      <c r="AJ189" s="130">
        <f t="shared" si="190"/>
        <v>0</v>
      </c>
      <c r="AK189" s="1472">
        <f t="shared" si="191"/>
        <v>0</v>
      </c>
      <c r="AL189" s="1028"/>
      <c r="AM189" s="130">
        <f t="shared" si="192"/>
        <v>0</v>
      </c>
      <c r="AN189" s="1472">
        <f t="shared" si="193"/>
        <v>0</v>
      </c>
      <c r="AO189" s="1028"/>
      <c r="AP189" s="130">
        <f t="shared" si="194"/>
        <v>0</v>
      </c>
      <c r="AQ189" s="1472">
        <f t="shared" si="195"/>
        <v>0</v>
      </c>
      <c r="AR189" s="1028"/>
      <c r="AS189" s="130">
        <f t="shared" si="196"/>
        <v>0</v>
      </c>
      <c r="AT189" s="1472">
        <f t="shared" si="197"/>
        <v>0</v>
      </c>
      <c r="AU189" s="1028"/>
      <c r="AV189" s="130">
        <f t="shared" si="198"/>
        <v>0</v>
      </c>
      <c r="AW189" s="1472">
        <f t="shared" si="199"/>
        <v>0</v>
      </c>
      <c r="AX189" s="1028"/>
      <c r="AY189" s="130">
        <f t="shared" si="200"/>
        <v>0</v>
      </c>
      <c r="AZ189" s="1472">
        <f t="shared" si="201"/>
        <v>0</v>
      </c>
      <c r="BA189" s="1028"/>
      <c r="BB189" s="130">
        <f t="shared" si="202"/>
        <v>0</v>
      </c>
      <c r="BC189" s="1472">
        <f t="shared" si="203"/>
        <v>0</v>
      </c>
      <c r="BD189" s="1028"/>
      <c r="BE189" s="130">
        <f t="shared" si="204"/>
        <v>0</v>
      </c>
      <c r="BF189" s="1472">
        <f t="shared" si="205"/>
        <v>0</v>
      </c>
      <c r="BG189" s="1028"/>
      <c r="BH189" s="130">
        <f t="shared" si="206"/>
        <v>0</v>
      </c>
      <c r="BI189" s="1472">
        <f t="shared" si="207"/>
        <v>0</v>
      </c>
      <c r="BJ189" s="1028"/>
      <c r="BK189" s="130">
        <f t="shared" si="208"/>
        <v>0</v>
      </c>
      <c r="BL189" s="1472">
        <f t="shared" si="209"/>
        <v>0</v>
      </c>
      <c r="BM189" s="1028"/>
      <c r="BN189" s="130">
        <f t="shared" si="210"/>
        <v>0</v>
      </c>
      <c r="BO189" s="1472">
        <f t="shared" si="211"/>
        <v>0</v>
      </c>
      <c r="BP189" s="1028"/>
      <c r="BQ189" s="130">
        <f t="shared" si="212"/>
        <v>0</v>
      </c>
      <c r="BR189" s="1472">
        <f t="shared" si="213"/>
        <v>0</v>
      </c>
      <c r="BS189" s="1028"/>
      <c r="BT189" s="130">
        <f t="shared" si="214"/>
        <v>0</v>
      </c>
      <c r="BU189" s="1472">
        <f t="shared" si="215"/>
        <v>0</v>
      </c>
      <c r="BV189" s="1028"/>
      <c r="BW189" s="130">
        <f t="shared" si="216"/>
        <v>0</v>
      </c>
      <c r="BX189" s="1472">
        <f t="shared" si="217"/>
        <v>0</v>
      </c>
      <c r="BY189" s="1028"/>
      <c r="BZ189" s="130">
        <f t="shared" si="218"/>
        <v>0</v>
      </c>
      <c r="CA189" s="1472">
        <f t="shared" si="219"/>
        <v>0</v>
      </c>
      <c r="CB189" s="1028"/>
      <c r="CC189" s="130">
        <f t="shared" si="220"/>
        <v>0</v>
      </c>
      <c r="CD189" s="1472">
        <f t="shared" si="221"/>
        <v>0</v>
      </c>
      <c r="CE189" s="1028"/>
      <c r="CF189" s="130">
        <f t="shared" si="222"/>
        <v>0</v>
      </c>
      <c r="CG189" s="1472">
        <f t="shared" si="223"/>
        <v>0</v>
      </c>
      <c r="CH189" s="1028"/>
      <c r="CI189" s="130">
        <f t="shared" si="224"/>
        <v>0</v>
      </c>
      <c r="CJ189" s="1472">
        <f t="shared" si="225"/>
        <v>0</v>
      </c>
      <c r="CK189" s="1028"/>
      <c r="CL189" s="130">
        <f t="shared" si="226"/>
        <v>0</v>
      </c>
      <c r="CM189" s="1472">
        <f t="shared" si="227"/>
        <v>0</v>
      </c>
      <c r="CN189" s="1028"/>
      <c r="CO189" s="130">
        <f t="shared" si="228"/>
        <v>0</v>
      </c>
      <c r="CP189" s="1472">
        <f t="shared" si="229"/>
        <v>0</v>
      </c>
      <c r="CQ189" s="1028"/>
      <c r="CR189" s="130">
        <f t="shared" si="230"/>
        <v>0</v>
      </c>
      <c r="CS189" s="1472">
        <f t="shared" si="231"/>
        <v>0</v>
      </c>
      <c r="CT189" s="1028"/>
      <c r="CU189" s="130">
        <f t="shared" si="232"/>
        <v>0</v>
      </c>
      <c r="CV189" s="1472">
        <f t="shared" si="233"/>
        <v>0</v>
      </c>
      <c r="CW189" s="1028"/>
      <c r="CX189" s="130">
        <f t="shared" si="234"/>
        <v>0</v>
      </c>
      <c r="CY189" s="1472">
        <f t="shared" si="235"/>
        <v>0</v>
      </c>
      <c r="CZ189" s="1028"/>
      <c r="DA189" s="130">
        <f t="shared" si="236"/>
        <v>0</v>
      </c>
      <c r="DB189" s="1472">
        <f t="shared" si="237"/>
        <v>0</v>
      </c>
      <c r="DC189" s="1028"/>
      <c r="DD189" s="130">
        <f t="shared" si="238"/>
        <v>0</v>
      </c>
      <c r="DE189" s="1472">
        <f t="shared" si="239"/>
        <v>0</v>
      </c>
      <c r="DF189" s="1028"/>
      <c r="DG189" s="130">
        <f t="shared" si="240"/>
        <v>0</v>
      </c>
      <c r="DH189" s="1472">
        <f t="shared" si="241"/>
        <v>0</v>
      </c>
      <c r="DI189" s="1028"/>
      <c r="DJ189" s="130">
        <f t="shared" si="242"/>
        <v>0</v>
      </c>
      <c r="DK189" s="1472">
        <f t="shared" si="243"/>
        <v>0</v>
      </c>
      <c r="DL189" s="1028"/>
      <c r="DM189" s="130">
        <f t="shared" si="244"/>
        <v>0</v>
      </c>
      <c r="DN189" s="1472">
        <f t="shared" si="245"/>
        <v>0</v>
      </c>
      <c r="DO189" s="1028"/>
      <c r="DP189" s="130">
        <f t="shared" si="246"/>
        <v>0</v>
      </c>
      <c r="DQ189" s="1472">
        <f t="shared" si="247"/>
        <v>0</v>
      </c>
      <c r="DR189" s="1028"/>
      <c r="DS189" s="130">
        <f t="shared" si="248"/>
        <v>0</v>
      </c>
      <c r="DT189" s="1472">
        <f t="shared" si="249"/>
        <v>0</v>
      </c>
      <c r="DU189" s="1028"/>
      <c r="DV189" s="130">
        <f t="shared" si="250"/>
        <v>0</v>
      </c>
      <c r="DW189" s="1472">
        <f t="shared" si="251"/>
        <v>0</v>
      </c>
      <c r="DX189" s="147"/>
    </row>
    <row r="190" ht="23.25" customHeight="true" x14ac:dyDescent="0.25">
      <c r="B190" s="1612"/>
      <c r="C190" s="1613"/>
      <c r="D190" s="1613"/>
      <c r="E190" s="1154">
        <f t="shared" si="170"/>
        <v>5</v>
      </c>
      <c r="F190" s="1734" t="str">
        <f t="shared" si="171"/>
        <v/>
      </c>
      <c r="G190" s="1735"/>
      <c r="H190" s="1028"/>
      <c r="I190" s="130" t="str">
        <f t="shared" si="172"/>
        <v/>
      </c>
      <c r="J190" s="5" t="str">
        <f t="shared" si="173"/>
        <v/>
      </c>
      <c r="K190" s="1028"/>
      <c r="L190" s="130" t="str">
        <f t="shared" si="174"/>
        <v/>
      </c>
      <c r="M190" s="5" t="str">
        <f t="shared" si="175"/>
        <v/>
      </c>
      <c r="N190" s="1028"/>
      <c r="O190" s="130" t="str">
        <f t="shared" si="176"/>
        <v/>
      </c>
      <c r="P190" s="5" t="str">
        <f t="shared" si="177"/>
        <v/>
      </c>
      <c r="Q190" s="1028"/>
      <c r="R190" s="130" t="str">
        <f t="shared" si="178"/>
        <v/>
      </c>
      <c r="S190" s="1472" t="str">
        <f t="shared" si="179"/>
        <v/>
      </c>
      <c r="T190" s="1028"/>
      <c r="U190" s="130" t="str">
        <f t="shared" si="180"/>
        <v/>
      </c>
      <c r="V190" s="1472" t="str">
        <f t="shared" si="181"/>
        <v/>
      </c>
      <c r="W190" s="1028"/>
      <c r="X190" s="130" t="str">
        <f t="shared" si="182"/>
        <v/>
      </c>
      <c r="Y190" s="1472" t="str">
        <f t="shared" si="183"/>
        <v/>
      </c>
      <c r="Z190" s="1028"/>
      <c r="AA190" s="130" t="str">
        <f t="shared" si="184"/>
        <v/>
      </c>
      <c r="AB190" s="1472" t="str">
        <f t="shared" si="185"/>
        <v/>
      </c>
      <c r="AC190" s="1028"/>
      <c r="AD190" s="130" t="str">
        <f t="shared" si="186"/>
        <v/>
      </c>
      <c r="AE190" s="1472" t="str">
        <f t="shared" si="187"/>
        <v/>
      </c>
      <c r="AF190" s="1028"/>
      <c r="AG190" s="130" t="str">
        <f t="shared" si="188"/>
        <v/>
      </c>
      <c r="AH190" s="1472" t="str">
        <f t="shared" si="189"/>
        <v/>
      </c>
      <c r="AI190" s="1028"/>
      <c r="AJ190" s="130" t="str">
        <f t="shared" si="190"/>
        <v/>
      </c>
      <c r="AK190" s="1472" t="str">
        <f t="shared" si="191"/>
        <v/>
      </c>
      <c r="AL190" s="1028"/>
      <c r="AM190" s="130" t="str">
        <f t="shared" si="192"/>
        <v/>
      </c>
      <c r="AN190" s="1472" t="str">
        <f t="shared" si="193"/>
        <v/>
      </c>
      <c r="AO190" s="1028"/>
      <c r="AP190" s="130" t="str">
        <f t="shared" si="194"/>
        <v/>
      </c>
      <c r="AQ190" s="1472" t="str">
        <f t="shared" si="195"/>
        <v/>
      </c>
      <c r="AR190" s="1028"/>
      <c r="AS190" s="130" t="str">
        <f t="shared" si="196"/>
        <v/>
      </c>
      <c r="AT190" s="1472" t="str">
        <f t="shared" si="197"/>
        <v/>
      </c>
      <c r="AU190" s="1028"/>
      <c r="AV190" s="130" t="str">
        <f t="shared" si="198"/>
        <v/>
      </c>
      <c r="AW190" s="1472" t="str">
        <f t="shared" si="199"/>
        <v/>
      </c>
      <c r="AX190" s="1028"/>
      <c r="AY190" s="130" t="str">
        <f t="shared" si="200"/>
        <v/>
      </c>
      <c r="AZ190" s="1472" t="str">
        <f t="shared" si="201"/>
        <v/>
      </c>
      <c r="BA190" s="1028"/>
      <c r="BB190" s="130" t="str">
        <f t="shared" si="202"/>
        <v/>
      </c>
      <c r="BC190" s="1472" t="str">
        <f t="shared" si="203"/>
        <v/>
      </c>
      <c r="BD190" s="1028"/>
      <c r="BE190" s="130" t="str">
        <f t="shared" si="204"/>
        <v/>
      </c>
      <c r="BF190" s="1472" t="str">
        <f t="shared" si="205"/>
        <v/>
      </c>
      <c r="BG190" s="1028"/>
      <c r="BH190" s="130" t="str">
        <f t="shared" si="206"/>
        <v/>
      </c>
      <c r="BI190" s="1472" t="str">
        <f t="shared" si="207"/>
        <v/>
      </c>
      <c r="BJ190" s="1028"/>
      <c r="BK190" s="130" t="str">
        <f t="shared" si="208"/>
        <v/>
      </c>
      <c r="BL190" s="1472" t="str">
        <f t="shared" si="209"/>
        <v/>
      </c>
      <c r="BM190" s="1028"/>
      <c r="BN190" s="130" t="str">
        <f t="shared" si="210"/>
        <v/>
      </c>
      <c r="BO190" s="1472" t="str">
        <f t="shared" si="211"/>
        <v/>
      </c>
      <c r="BP190" s="1028"/>
      <c r="BQ190" s="130" t="str">
        <f t="shared" si="212"/>
        <v/>
      </c>
      <c r="BR190" s="1472" t="str">
        <f t="shared" si="213"/>
        <v/>
      </c>
      <c r="BS190" s="1028"/>
      <c r="BT190" s="130" t="str">
        <f t="shared" si="214"/>
        <v/>
      </c>
      <c r="BU190" s="1472" t="str">
        <f t="shared" si="215"/>
        <v/>
      </c>
      <c r="BV190" s="1028"/>
      <c r="BW190" s="130" t="str">
        <f t="shared" si="216"/>
        <v/>
      </c>
      <c r="BX190" s="1472" t="str">
        <f t="shared" si="217"/>
        <v/>
      </c>
      <c r="BY190" s="1028"/>
      <c r="BZ190" s="130" t="str">
        <f t="shared" si="218"/>
        <v/>
      </c>
      <c r="CA190" s="1472" t="str">
        <f t="shared" si="219"/>
        <v/>
      </c>
      <c r="CB190" s="1028"/>
      <c r="CC190" s="130" t="str">
        <f t="shared" si="220"/>
        <v/>
      </c>
      <c r="CD190" s="1472" t="str">
        <f t="shared" si="221"/>
        <v/>
      </c>
      <c r="CE190" s="1028"/>
      <c r="CF190" s="130" t="str">
        <f t="shared" si="222"/>
        <v/>
      </c>
      <c r="CG190" s="1472" t="str">
        <f t="shared" si="223"/>
        <v/>
      </c>
      <c r="CH190" s="1028"/>
      <c r="CI190" s="130" t="str">
        <f t="shared" si="224"/>
        <v/>
      </c>
      <c r="CJ190" s="1472" t="str">
        <f t="shared" si="225"/>
        <v/>
      </c>
      <c r="CK190" s="1028"/>
      <c r="CL190" s="130" t="str">
        <f t="shared" si="226"/>
        <v/>
      </c>
      <c r="CM190" s="1472" t="str">
        <f t="shared" si="227"/>
        <v/>
      </c>
      <c r="CN190" s="1028"/>
      <c r="CO190" s="130" t="str">
        <f t="shared" si="228"/>
        <v/>
      </c>
      <c r="CP190" s="1472" t="str">
        <f t="shared" si="229"/>
        <v/>
      </c>
      <c r="CQ190" s="1028"/>
      <c r="CR190" s="130" t="str">
        <f t="shared" si="230"/>
        <v/>
      </c>
      <c r="CS190" s="1472" t="str">
        <f t="shared" si="231"/>
        <v/>
      </c>
      <c r="CT190" s="1028"/>
      <c r="CU190" s="130" t="str">
        <f t="shared" si="232"/>
        <v/>
      </c>
      <c r="CV190" s="1472" t="str">
        <f t="shared" si="233"/>
        <v/>
      </c>
      <c r="CW190" s="1028"/>
      <c r="CX190" s="130" t="str">
        <f t="shared" si="234"/>
        <v/>
      </c>
      <c r="CY190" s="1472" t="str">
        <f t="shared" si="235"/>
        <v/>
      </c>
      <c r="CZ190" s="1028"/>
      <c r="DA190" s="130" t="str">
        <f t="shared" si="236"/>
        <v/>
      </c>
      <c r="DB190" s="1472" t="str">
        <f t="shared" si="237"/>
        <v/>
      </c>
      <c r="DC190" s="1028"/>
      <c r="DD190" s="130" t="str">
        <f t="shared" si="238"/>
        <v/>
      </c>
      <c r="DE190" s="1472" t="str">
        <f t="shared" si="239"/>
        <v/>
      </c>
      <c r="DF190" s="1028"/>
      <c r="DG190" s="130" t="str">
        <f t="shared" si="240"/>
        <v/>
      </c>
      <c r="DH190" s="1472" t="str">
        <f t="shared" si="241"/>
        <v/>
      </c>
      <c r="DI190" s="1028"/>
      <c r="DJ190" s="130" t="str">
        <f t="shared" si="242"/>
        <v/>
      </c>
      <c r="DK190" s="1472" t="str">
        <f t="shared" si="243"/>
        <v/>
      </c>
      <c r="DL190" s="1028"/>
      <c r="DM190" s="130" t="str">
        <f t="shared" si="244"/>
        <v/>
      </c>
      <c r="DN190" s="1472" t="str">
        <f t="shared" si="245"/>
        <v/>
      </c>
      <c r="DO190" s="1028"/>
      <c r="DP190" s="130" t="str">
        <f t="shared" si="246"/>
        <v/>
      </c>
      <c r="DQ190" s="1472" t="str">
        <f t="shared" si="247"/>
        <v/>
      </c>
      <c r="DR190" s="1028"/>
      <c r="DS190" s="130" t="str">
        <f t="shared" si="248"/>
        <v/>
      </c>
      <c r="DT190" s="1472" t="str">
        <f t="shared" si="249"/>
        <v/>
      </c>
      <c r="DU190" s="1028"/>
      <c r="DV190" s="130" t="str">
        <f t="shared" si="250"/>
        <v/>
      </c>
      <c r="DW190" s="1472" t="str">
        <f t="shared" si="251"/>
        <v/>
      </c>
      <c r="DX190" s="147"/>
    </row>
    <row r="191" ht="23.25" customHeight="true" x14ac:dyDescent="0.25">
      <c r="B191" s="1612"/>
      <c r="C191" s="1613"/>
      <c r="D191" s="1613"/>
      <c r="E191" s="1154">
        <f t="shared" si="170"/>
        <v>6</v>
      </c>
      <c r="F191" s="1734" t="str">
        <f t="shared" si="171"/>
        <v/>
      </c>
      <c r="G191" s="1735"/>
      <c r="H191" s="1028"/>
      <c r="I191" s="130" t="str">
        <f t="shared" si="172"/>
        <v/>
      </c>
      <c r="J191" s="5" t="str">
        <f t="shared" si="173"/>
        <v/>
      </c>
      <c r="K191" s="1028"/>
      <c r="L191" s="130" t="str">
        <f t="shared" si="174"/>
        <v/>
      </c>
      <c r="M191" s="5" t="str">
        <f t="shared" si="175"/>
        <v/>
      </c>
      <c r="N191" s="1028"/>
      <c r="O191" s="130" t="str">
        <f t="shared" si="176"/>
        <v/>
      </c>
      <c r="P191" s="5" t="str">
        <f t="shared" si="177"/>
        <v/>
      </c>
      <c r="Q191" s="1028"/>
      <c r="R191" s="130" t="str">
        <f t="shared" si="178"/>
        <v/>
      </c>
      <c r="S191" s="1472" t="str">
        <f t="shared" si="179"/>
        <v/>
      </c>
      <c r="T191" s="1028"/>
      <c r="U191" s="130" t="str">
        <f t="shared" si="180"/>
        <v/>
      </c>
      <c r="V191" s="1472" t="str">
        <f t="shared" si="181"/>
        <v/>
      </c>
      <c r="W191" s="1028"/>
      <c r="X191" s="130" t="str">
        <f t="shared" si="182"/>
        <v/>
      </c>
      <c r="Y191" s="1472" t="str">
        <f t="shared" si="183"/>
        <v/>
      </c>
      <c r="Z191" s="1028"/>
      <c r="AA191" s="130" t="str">
        <f t="shared" si="184"/>
        <v/>
      </c>
      <c r="AB191" s="1472" t="str">
        <f t="shared" si="185"/>
        <v/>
      </c>
      <c r="AC191" s="1028"/>
      <c r="AD191" s="130" t="str">
        <f t="shared" si="186"/>
        <v/>
      </c>
      <c r="AE191" s="1472" t="str">
        <f t="shared" si="187"/>
        <v/>
      </c>
      <c r="AF191" s="1028"/>
      <c r="AG191" s="130" t="str">
        <f t="shared" si="188"/>
        <v/>
      </c>
      <c r="AH191" s="1472" t="str">
        <f t="shared" si="189"/>
        <v/>
      </c>
      <c r="AI191" s="1028"/>
      <c r="AJ191" s="130" t="str">
        <f t="shared" si="190"/>
        <v/>
      </c>
      <c r="AK191" s="1472" t="str">
        <f t="shared" si="191"/>
        <v/>
      </c>
      <c r="AL191" s="1028"/>
      <c r="AM191" s="130" t="str">
        <f t="shared" si="192"/>
        <v/>
      </c>
      <c r="AN191" s="1472" t="str">
        <f t="shared" si="193"/>
        <v/>
      </c>
      <c r="AO191" s="1028"/>
      <c r="AP191" s="130" t="str">
        <f t="shared" si="194"/>
        <v/>
      </c>
      <c r="AQ191" s="1472" t="str">
        <f t="shared" si="195"/>
        <v/>
      </c>
      <c r="AR191" s="1028"/>
      <c r="AS191" s="130" t="str">
        <f t="shared" si="196"/>
        <v/>
      </c>
      <c r="AT191" s="1472" t="str">
        <f t="shared" si="197"/>
        <v/>
      </c>
      <c r="AU191" s="1028"/>
      <c r="AV191" s="130" t="str">
        <f t="shared" si="198"/>
        <v/>
      </c>
      <c r="AW191" s="1472" t="str">
        <f t="shared" si="199"/>
        <v/>
      </c>
      <c r="AX191" s="1028"/>
      <c r="AY191" s="130" t="str">
        <f t="shared" si="200"/>
        <v/>
      </c>
      <c r="AZ191" s="1472" t="str">
        <f t="shared" si="201"/>
        <v/>
      </c>
      <c r="BA191" s="1028"/>
      <c r="BB191" s="130" t="str">
        <f t="shared" si="202"/>
        <v/>
      </c>
      <c r="BC191" s="1472" t="str">
        <f t="shared" si="203"/>
        <v/>
      </c>
      <c r="BD191" s="1028"/>
      <c r="BE191" s="130" t="str">
        <f t="shared" si="204"/>
        <v/>
      </c>
      <c r="BF191" s="1472" t="str">
        <f t="shared" si="205"/>
        <v/>
      </c>
      <c r="BG191" s="1028"/>
      <c r="BH191" s="130" t="str">
        <f t="shared" si="206"/>
        <v/>
      </c>
      <c r="BI191" s="1472" t="str">
        <f t="shared" si="207"/>
        <v/>
      </c>
      <c r="BJ191" s="1028"/>
      <c r="BK191" s="130" t="str">
        <f t="shared" si="208"/>
        <v/>
      </c>
      <c r="BL191" s="1472" t="str">
        <f t="shared" si="209"/>
        <v/>
      </c>
      <c r="BM191" s="1028"/>
      <c r="BN191" s="130" t="str">
        <f t="shared" si="210"/>
        <v/>
      </c>
      <c r="BO191" s="1472" t="str">
        <f t="shared" si="211"/>
        <v/>
      </c>
      <c r="BP191" s="1028"/>
      <c r="BQ191" s="130" t="str">
        <f t="shared" si="212"/>
        <v/>
      </c>
      <c r="BR191" s="1472" t="str">
        <f t="shared" si="213"/>
        <v/>
      </c>
      <c r="BS191" s="1028"/>
      <c r="BT191" s="130" t="str">
        <f t="shared" si="214"/>
        <v/>
      </c>
      <c r="BU191" s="1472" t="str">
        <f t="shared" si="215"/>
        <v/>
      </c>
      <c r="BV191" s="1028"/>
      <c r="BW191" s="130" t="str">
        <f t="shared" si="216"/>
        <v/>
      </c>
      <c r="BX191" s="1472" t="str">
        <f t="shared" si="217"/>
        <v/>
      </c>
      <c r="BY191" s="1028"/>
      <c r="BZ191" s="130" t="str">
        <f t="shared" si="218"/>
        <v/>
      </c>
      <c r="CA191" s="1472" t="str">
        <f t="shared" si="219"/>
        <v/>
      </c>
      <c r="CB191" s="1028"/>
      <c r="CC191" s="130" t="str">
        <f t="shared" si="220"/>
        <v/>
      </c>
      <c r="CD191" s="1472" t="str">
        <f t="shared" si="221"/>
        <v/>
      </c>
      <c r="CE191" s="1028"/>
      <c r="CF191" s="130" t="str">
        <f t="shared" si="222"/>
        <v/>
      </c>
      <c r="CG191" s="1472" t="str">
        <f t="shared" si="223"/>
        <v/>
      </c>
      <c r="CH191" s="1028"/>
      <c r="CI191" s="130" t="str">
        <f t="shared" si="224"/>
        <v/>
      </c>
      <c r="CJ191" s="1472" t="str">
        <f t="shared" si="225"/>
        <v/>
      </c>
      <c r="CK191" s="1028"/>
      <c r="CL191" s="130" t="str">
        <f t="shared" si="226"/>
        <v/>
      </c>
      <c r="CM191" s="1472" t="str">
        <f t="shared" si="227"/>
        <v/>
      </c>
      <c r="CN191" s="1028"/>
      <c r="CO191" s="130" t="str">
        <f t="shared" si="228"/>
        <v/>
      </c>
      <c r="CP191" s="1472" t="str">
        <f t="shared" si="229"/>
        <v/>
      </c>
      <c r="CQ191" s="1028"/>
      <c r="CR191" s="130" t="str">
        <f t="shared" si="230"/>
        <v/>
      </c>
      <c r="CS191" s="1472" t="str">
        <f t="shared" si="231"/>
        <v/>
      </c>
      <c r="CT191" s="1028"/>
      <c r="CU191" s="130" t="str">
        <f t="shared" si="232"/>
        <v/>
      </c>
      <c r="CV191" s="1472" t="str">
        <f t="shared" si="233"/>
        <v/>
      </c>
      <c r="CW191" s="1028"/>
      <c r="CX191" s="130" t="str">
        <f t="shared" si="234"/>
        <v/>
      </c>
      <c r="CY191" s="1472" t="str">
        <f t="shared" si="235"/>
        <v/>
      </c>
      <c r="CZ191" s="1028"/>
      <c r="DA191" s="130" t="str">
        <f t="shared" si="236"/>
        <v/>
      </c>
      <c r="DB191" s="1472" t="str">
        <f t="shared" si="237"/>
        <v/>
      </c>
      <c r="DC191" s="1028"/>
      <c r="DD191" s="130" t="str">
        <f t="shared" si="238"/>
        <v/>
      </c>
      <c r="DE191" s="1472" t="str">
        <f t="shared" si="239"/>
        <v/>
      </c>
      <c r="DF191" s="1028"/>
      <c r="DG191" s="130" t="str">
        <f t="shared" si="240"/>
        <v/>
      </c>
      <c r="DH191" s="1472" t="str">
        <f t="shared" si="241"/>
        <v/>
      </c>
      <c r="DI191" s="1028"/>
      <c r="DJ191" s="130" t="str">
        <f t="shared" si="242"/>
        <v/>
      </c>
      <c r="DK191" s="1472" t="str">
        <f t="shared" si="243"/>
        <v/>
      </c>
      <c r="DL191" s="1028"/>
      <c r="DM191" s="130" t="str">
        <f t="shared" si="244"/>
        <v/>
      </c>
      <c r="DN191" s="1472" t="str">
        <f t="shared" si="245"/>
        <v/>
      </c>
      <c r="DO191" s="1028"/>
      <c r="DP191" s="130" t="str">
        <f t="shared" si="246"/>
        <v/>
      </c>
      <c r="DQ191" s="1472" t="str">
        <f t="shared" si="247"/>
        <v/>
      </c>
      <c r="DR191" s="1028"/>
      <c r="DS191" s="130" t="str">
        <f t="shared" si="248"/>
        <v/>
      </c>
      <c r="DT191" s="1472" t="str">
        <f t="shared" si="249"/>
        <v/>
      </c>
      <c r="DU191" s="1028"/>
      <c r="DV191" s="130" t="str">
        <f t="shared" si="250"/>
        <v/>
      </c>
      <c r="DW191" s="1472" t="str">
        <f t="shared" si="251"/>
        <v/>
      </c>
      <c r="DX191" s="147"/>
    </row>
    <row r="192" ht="23.25" customHeight="true" x14ac:dyDescent="0.25">
      <c r="B192" s="1612"/>
      <c r="C192" s="1613"/>
      <c r="D192" s="1613"/>
      <c r="E192" s="1154">
        <f t="shared" si="170"/>
        <v>7</v>
      </c>
      <c r="F192" s="1734" t="str">
        <f t="shared" si="171"/>
        <v/>
      </c>
      <c r="G192" s="1735"/>
      <c r="H192" s="1028"/>
      <c r="I192" s="130" t="str">
        <f t="shared" si="172"/>
        <v/>
      </c>
      <c r="J192" s="5" t="str">
        <f t="shared" si="173"/>
        <v/>
      </c>
      <c r="K192" s="1028"/>
      <c r="L192" s="130" t="str">
        <f t="shared" si="174"/>
        <v/>
      </c>
      <c r="M192" s="5" t="str">
        <f t="shared" si="175"/>
        <v/>
      </c>
      <c r="N192" s="1028"/>
      <c r="O192" s="130" t="str">
        <f t="shared" si="176"/>
        <v/>
      </c>
      <c r="P192" s="5" t="str">
        <f t="shared" si="177"/>
        <v/>
      </c>
      <c r="Q192" s="1028"/>
      <c r="R192" s="130" t="str">
        <f t="shared" si="178"/>
        <v/>
      </c>
      <c r="S192" s="1472" t="str">
        <f t="shared" si="179"/>
        <v/>
      </c>
      <c r="T192" s="1028"/>
      <c r="U192" s="130" t="str">
        <f t="shared" si="180"/>
        <v/>
      </c>
      <c r="V192" s="1472" t="str">
        <f t="shared" si="181"/>
        <v/>
      </c>
      <c r="W192" s="1028"/>
      <c r="X192" s="130" t="str">
        <f t="shared" si="182"/>
        <v/>
      </c>
      <c r="Y192" s="1472" t="str">
        <f t="shared" si="183"/>
        <v/>
      </c>
      <c r="Z192" s="1028"/>
      <c r="AA192" s="130" t="str">
        <f t="shared" si="184"/>
        <v/>
      </c>
      <c r="AB192" s="1472" t="str">
        <f t="shared" si="185"/>
        <v/>
      </c>
      <c r="AC192" s="1028"/>
      <c r="AD192" s="130" t="str">
        <f t="shared" si="186"/>
        <v/>
      </c>
      <c r="AE192" s="1472" t="str">
        <f t="shared" si="187"/>
        <v/>
      </c>
      <c r="AF192" s="1028"/>
      <c r="AG192" s="130" t="str">
        <f t="shared" si="188"/>
        <v/>
      </c>
      <c r="AH192" s="1472" t="str">
        <f t="shared" si="189"/>
        <v/>
      </c>
      <c r="AI192" s="1028"/>
      <c r="AJ192" s="130" t="str">
        <f t="shared" si="190"/>
        <v/>
      </c>
      <c r="AK192" s="1472" t="str">
        <f t="shared" si="191"/>
        <v/>
      </c>
      <c r="AL192" s="1028"/>
      <c r="AM192" s="130" t="str">
        <f t="shared" si="192"/>
        <v/>
      </c>
      <c r="AN192" s="1472" t="str">
        <f t="shared" si="193"/>
        <v/>
      </c>
      <c r="AO192" s="1028"/>
      <c r="AP192" s="130" t="str">
        <f t="shared" si="194"/>
        <v/>
      </c>
      <c r="AQ192" s="1472" t="str">
        <f t="shared" si="195"/>
        <v/>
      </c>
      <c r="AR192" s="1028"/>
      <c r="AS192" s="130" t="str">
        <f t="shared" si="196"/>
        <v/>
      </c>
      <c r="AT192" s="1472" t="str">
        <f t="shared" si="197"/>
        <v/>
      </c>
      <c r="AU192" s="1028"/>
      <c r="AV192" s="130" t="str">
        <f t="shared" si="198"/>
        <v/>
      </c>
      <c r="AW192" s="1472" t="str">
        <f t="shared" si="199"/>
        <v/>
      </c>
      <c r="AX192" s="1028"/>
      <c r="AY192" s="130" t="str">
        <f t="shared" si="200"/>
        <v/>
      </c>
      <c r="AZ192" s="1472" t="str">
        <f t="shared" si="201"/>
        <v/>
      </c>
      <c r="BA192" s="1028"/>
      <c r="BB192" s="130" t="str">
        <f t="shared" si="202"/>
        <v/>
      </c>
      <c r="BC192" s="1472" t="str">
        <f t="shared" si="203"/>
        <v/>
      </c>
      <c r="BD192" s="1028"/>
      <c r="BE192" s="130" t="str">
        <f t="shared" si="204"/>
        <v/>
      </c>
      <c r="BF192" s="1472" t="str">
        <f t="shared" si="205"/>
        <v/>
      </c>
      <c r="BG192" s="1028"/>
      <c r="BH192" s="130" t="str">
        <f t="shared" si="206"/>
        <v/>
      </c>
      <c r="BI192" s="1472" t="str">
        <f t="shared" si="207"/>
        <v/>
      </c>
      <c r="BJ192" s="1028"/>
      <c r="BK192" s="130" t="str">
        <f t="shared" si="208"/>
        <v/>
      </c>
      <c r="BL192" s="1472" t="str">
        <f t="shared" si="209"/>
        <v/>
      </c>
      <c r="BM192" s="1028"/>
      <c r="BN192" s="130" t="str">
        <f t="shared" si="210"/>
        <v/>
      </c>
      <c r="BO192" s="1472" t="str">
        <f t="shared" si="211"/>
        <v/>
      </c>
      <c r="BP192" s="1028"/>
      <c r="BQ192" s="130" t="str">
        <f t="shared" si="212"/>
        <v/>
      </c>
      <c r="BR192" s="1472" t="str">
        <f t="shared" si="213"/>
        <v/>
      </c>
      <c r="BS192" s="1028"/>
      <c r="BT192" s="130" t="str">
        <f t="shared" si="214"/>
        <v/>
      </c>
      <c r="BU192" s="1472" t="str">
        <f t="shared" si="215"/>
        <v/>
      </c>
      <c r="BV192" s="1028"/>
      <c r="BW192" s="130" t="str">
        <f t="shared" si="216"/>
        <v/>
      </c>
      <c r="BX192" s="1472" t="str">
        <f t="shared" si="217"/>
        <v/>
      </c>
      <c r="BY192" s="1028"/>
      <c r="BZ192" s="130" t="str">
        <f t="shared" si="218"/>
        <v/>
      </c>
      <c r="CA192" s="1472" t="str">
        <f t="shared" si="219"/>
        <v/>
      </c>
      <c r="CB192" s="1028"/>
      <c r="CC192" s="130" t="str">
        <f t="shared" si="220"/>
        <v/>
      </c>
      <c r="CD192" s="1472" t="str">
        <f t="shared" si="221"/>
        <v/>
      </c>
      <c r="CE192" s="1028"/>
      <c r="CF192" s="130" t="str">
        <f t="shared" si="222"/>
        <v/>
      </c>
      <c r="CG192" s="1472" t="str">
        <f t="shared" si="223"/>
        <v/>
      </c>
      <c r="CH192" s="1028"/>
      <c r="CI192" s="130" t="str">
        <f t="shared" si="224"/>
        <v/>
      </c>
      <c r="CJ192" s="1472" t="str">
        <f t="shared" si="225"/>
        <v/>
      </c>
      <c r="CK192" s="1028"/>
      <c r="CL192" s="130" t="str">
        <f t="shared" si="226"/>
        <v/>
      </c>
      <c r="CM192" s="1472" t="str">
        <f t="shared" si="227"/>
        <v/>
      </c>
      <c r="CN192" s="1028"/>
      <c r="CO192" s="130" t="str">
        <f t="shared" si="228"/>
        <v/>
      </c>
      <c r="CP192" s="1472" t="str">
        <f t="shared" si="229"/>
        <v/>
      </c>
      <c r="CQ192" s="1028"/>
      <c r="CR192" s="130" t="str">
        <f t="shared" si="230"/>
        <v/>
      </c>
      <c r="CS192" s="1472" t="str">
        <f t="shared" si="231"/>
        <v/>
      </c>
      <c r="CT192" s="1028"/>
      <c r="CU192" s="130" t="str">
        <f t="shared" si="232"/>
        <v/>
      </c>
      <c r="CV192" s="1472" t="str">
        <f t="shared" si="233"/>
        <v/>
      </c>
      <c r="CW192" s="1028"/>
      <c r="CX192" s="130" t="str">
        <f t="shared" si="234"/>
        <v/>
      </c>
      <c r="CY192" s="1472" t="str">
        <f t="shared" si="235"/>
        <v/>
      </c>
      <c r="CZ192" s="1028"/>
      <c r="DA192" s="130" t="str">
        <f t="shared" si="236"/>
        <v/>
      </c>
      <c r="DB192" s="1472" t="str">
        <f t="shared" si="237"/>
        <v/>
      </c>
      <c r="DC192" s="1028"/>
      <c r="DD192" s="130" t="str">
        <f t="shared" si="238"/>
        <v/>
      </c>
      <c r="DE192" s="1472" t="str">
        <f t="shared" si="239"/>
        <v/>
      </c>
      <c r="DF192" s="1028"/>
      <c r="DG192" s="130" t="str">
        <f t="shared" si="240"/>
        <v/>
      </c>
      <c r="DH192" s="1472" t="str">
        <f t="shared" si="241"/>
        <v/>
      </c>
      <c r="DI192" s="1028"/>
      <c r="DJ192" s="130" t="str">
        <f t="shared" si="242"/>
        <v/>
      </c>
      <c r="DK192" s="1472" t="str">
        <f t="shared" si="243"/>
        <v/>
      </c>
      <c r="DL192" s="1028"/>
      <c r="DM192" s="130" t="str">
        <f t="shared" si="244"/>
        <v/>
      </c>
      <c r="DN192" s="1472" t="str">
        <f t="shared" si="245"/>
        <v/>
      </c>
      <c r="DO192" s="1028"/>
      <c r="DP192" s="130" t="str">
        <f t="shared" si="246"/>
        <v/>
      </c>
      <c r="DQ192" s="1472" t="str">
        <f t="shared" si="247"/>
        <v/>
      </c>
      <c r="DR192" s="1028"/>
      <c r="DS192" s="130" t="str">
        <f t="shared" si="248"/>
        <v/>
      </c>
      <c r="DT192" s="1472" t="str">
        <f t="shared" si="249"/>
        <v/>
      </c>
      <c r="DU192" s="1028"/>
      <c r="DV192" s="130" t="str">
        <f t="shared" si="250"/>
        <v/>
      </c>
      <c r="DW192" s="1472" t="str">
        <f t="shared" si="251"/>
        <v/>
      </c>
      <c r="DX192" s="147"/>
    </row>
    <row r="193" ht="23.25" customHeight="true" x14ac:dyDescent="0.25">
      <c r="B193" s="1612"/>
      <c r="C193" s="1613"/>
      <c r="D193" s="1613"/>
      <c r="E193" s="1154">
        <f t="shared" si="170"/>
        <v>8</v>
      </c>
      <c r="F193" s="1734" t="str">
        <f t="shared" si="171"/>
        <v/>
      </c>
      <c r="G193" s="1735"/>
      <c r="H193" s="1028"/>
      <c r="I193" s="130" t="str">
        <f t="shared" si="172"/>
        <v/>
      </c>
      <c r="J193" s="5" t="str">
        <f t="shared" si="173"/>
        <v/>
      </c>
      <c r="K193" s="1028"/>
      <c r="L193" s="130" t="str">
        <f t="shared" si="174"/>
        <v/>
      </c>
      <c r="M193" s="5" t="str">
        <f t="shared" si="175"/>
        <v/>
      </c>
      <c r="N193" s="1028"/>
      <c r="O193" s="130" t="str">
        <f t="shared" si="176"/>
        <v/>
      </c>
      <c r="P193" s="5" t="str">
        <f t="shared" si="177"/>
        <v/>
      </c>
      <c r="Q193" s="1028"/>
      <c r="R193" s="130" t="str">
        <f t="shared" si="178"/>
        <v/>
      </c>
      <c r="S193" s="1472" t="str">
        <f t="shared" si="179"/>
        <v/>
      </c>
      <c r="T193" s="1028"/>
      <c r="U193" s="130" t="str">
        <f t="shared" si="180"/>
        <v/>
      </c>
      <c r="V193" s="1472" t="str">
        <f t="shared" si="181"/>
        <v/>
      </c>
      <c r="W193" s="1028"/>
      <c r="X193" s="130" t="str">
        <f t="shared" si="182"/>
        <v/>
      </c>
      <c r="Y193" s="1472" t="str">
        <f t="shared" si="183"/>
        <v/>
      </c>
      <c r="Z193" s="1028"/>
      <c r="AA193" s="130" t="str">
        <f t="shared" si="184"/>
        <v/>
      </c>
      <c r="AB193" s="1472" t="str">
        <f t="shared" si="185"/>
        <v/>
      </c>
      <c r="AC193" s="1028"/>
      <c r="AD193" s="130" t="str">
        <f t="shared" si="186"/>
        <v/>
      </c>
      <c r="AE193" s="1472" t="str">
        <f t="shared" si="187"/>
        <v/>
      </c>
      <c r="AF193" s="1028"/>
      <c r="AG193" s="130" t="str">
        <f t="shared" si="188"/>
        <v/>
      </c>
      <c r="AH193" s="1472" t="str">
        <f t="shared" si="189"/>
        <v/>
      </c>
      <c r="AI193" s="1028"/>
      <c r="AJ193" s="130" t="str">
        <f t="shared" si="190"/>
        <v/>
      </c>
      <c r="AK193" s="1472" t="str">
        <f t="shared" si="191"/>
        <v/>
      </c>
      <c r="AL193" s="1028"/>
      <c r="AM193" s="130" t="str">
        <f t="shared" si="192"/>
        <v/>
      </c>
      <c r="AN193" s="1472" t="str">
        <f t="shared" si="193"/>
        <v/>
      </c>
      <c r="AO193" s="1028"/>
      <c r="AP193" s="130" t="str">
        <f t="shared" si="194"/>
        <v/>
      </c>
      <c r="AQ193" s="1472" t="str">
        <f t="shared" si="195"/>
        <v/>
      </c>
      <c r="AR193" s="1028"/>
      <c r="AS193" s="130" t="str">
        <f t="shared" si="196"/>
        <v/>
      </c>
      <c r="AT193" s="1472" t="str">
        <f t="shared" si="197"/>
        <v/>
      </c>
      <c r="AU193" s="1028"/>
      <c r="AV193" s="130" t="str">
        <f t="shared" si="198"/>
        <v/>
      </c>
      <c r="AW193" s="1472" t="str">
        <f t="shared" si="199"/>
        <v/>
      </c>
      <c r="AX193" s="1028"/>
      <c r="AY193" s="130" t="str">
        <f t="shared" si="200"/>
        <v/>
      </c>
      <c r="AZ193" s="1472" t="str">
        <f t="shared" si="201"/>
        <v/>
      </c>
      <c r="BA193" s="1028"/>
      <c r="BB193" s="130" t="str">
        <f t="shared" si="202"/>
        <v/>
      </c>
      <c r="BC193" s="1472" t="str">
        <f t="shared" si="203"/>
        <v/>
      </c>
      <c r="BD193" s="1028"/>
      <c r="BE193" s="130" t="str">
        <f t="shared" si="204"/>
        <v/>
      </c>
      <c r="BF193" s="1472" t="str">
        <f t="shared" si="205"/>
        <v/>
      </c>
      <c r="BG193" s="1028"/>
      <c r="BH193" s="130" t="str">
        <f t="shared" si="206"/>
        <v/>
      </c>
      <c r="BI193" s="1472" t="str">
        <f t="shared" si="207"/>
        <v/>
      </c>
      <c r="BJ193" s="1028"/>
      <c r="BK193" s="130" t="str">
        <f t="shared" si="208"/>
        <v/>
      </c>
      <c r="BL193" s="1472" t="str">
        <f t="shared" si="209"/>
        <v/>
      </c>
      <c r="BM193" s="1028"/>
      <c r="BN193" s="130" t="str">
        <f t="shared" si="210"/>
        <v/>
      </c>
      <c r="BO193" s="1472" t="str">
        <f t="shared" si="211"/>
        <v/>
      </c>
      <c r="BP193" s="1028"/>
      <c r="BQ193" s="130" t="str">
        <f t="shared" si="212"/>
        <v/>
      </c>
      <c r="BR193" s="1472" t="str">
        <f t="shared" si="213"/>
        <v/>
      </c>
      <c r="BS193" s="1028"/>
      <c r="BT193" s="130" t="str">
        <f t="shared" si="214"/>
        <v/>
      </c>
      <c r="BU193" s="1472" t="str">
        <f t="shared" si="215"/>
        <v/>
      </c>
      <c r="BV193" s="1028"/>
      <c r="BW193" s="130" t="str">
        <f t="shared" si="216"/>
        <v/>
      </c>
      <c r="BX193" s="1472" t="str">
        <f t="shared" si="217"/>
        <v/>
      </c>
      <c r="BY193" s="1028"/>
      <c r="BZ193" s="130" t="str">
        <f t="shared" si="218"/>
        <v/>
      </c>
      <c r="CA193" s="1472" t="str">
        <f t="shared" si="219"/>
        <v/>
      </c>
      <c r="CB193" s="1028"/>
      <c r="CC193" s="130" t="str">
        <f t="shared" si="220"/>
        <v/>
      </c>
      <c r="CD193" s="1472" t="str">
        <f t="shared" si="221"/>
        <v/>
      </c>
      <c r="CE193" s="1028"/>
      <c r="CF193" s="130" t="str">
        <f t="shared" si="222"/>
        <v/>
      </c>
      <c r="CG193" s="1472" t="str">
        <f t="shared" si="223"/>
        <v/>
      </c>
      <c r="CH193" s="1028"/>
      <c r="CI193" s="130" t="str">
        <f t="shared" si="224"/>
        <v/>
      </c>
      <c r="CJ193" s="1472" t="str">
        <f t="shared" si="225"/>
        <v/>
      </c>
      <c r="CK193" s="1028"/>
      <c r="CL193" s="130" t="str">
        <f t="shared" si="226"/>
        <v/>
      </c>
      <c r="CM193" s="1472" t="str">
        <f t="shared" si="227"/>
        <v/>
      </c>
      <c r="CN193" s="1028"/>
      <c r="CO193" s="130" t="str">
        <f t="shared" si="228"/>
        <v/>
      </c>
      <c r="CP193" s="1472" t="str">
        <f t="shared" si="229"/>
        <v/>
      </c>
      <c r="CQ193" s="1028"/>
      <c r="CR193" s="130" t="str">
        <f t="shared" si="230"/>
        <v/>
      </c>
      <c r="CS193" s="1472" t="str">
        <f t="shared" si="231"/>
        <v/>
      </c>
      <c r="CT193" s="1028"/>
      <c r="CU193" s="130" t="str">
        <f t="shared" si="232"/>
        <v/>
      </c>
      <c r="CV193" s="1472" t="str">
        <f t="shared" si="233"/>
        <v/>
      </c>
      <c r="CW193" s="1028"/>
      <c r="CX193" s="130" t="str">
        <f t="shared" si="234"/>
        <v/>
      </c>
      <c r="CY193" s="1472" t="str">
        <f t="shared" si="235"/>
        <v/>
      </c>
      <c r="CZ193" s="1028"/>
      <c r="DA193" s="130" t="str">
        <f t="shared" si="236"/>
        <v/>
      </c>
      <c r="DB193" s="1472" t="str">
        <f t="shared" si="237"/>
        <v/>
      </c>
      <c r="DC193" s="1028"/>
      <c r="DD193" s="130" t="str">
        <f t="shared" si="238"/>
        <v/>
      </c>
      <c r="DE193" s="1472" t="str">
        <f t="shared" si="239"/>
        <v/>
      </c>
      <c r="DF193" s="1028"/>
      <c r="DG193" s="130" t="str">
        <f t="shared" si="240"/>
        <v/>
      </c>
      <c r="DH193" s="1472" t="str">
        <f t="shared" si="241"/>
        <v/>
      </c>
      <c r="DI193" s="1028"/>
      <c r="DJ193" s="130" t="str">
        <f t="shared" si="242"/>
        <v/>
      </c>
      <c r="DK193" s="1472" t="str">
        <f t="shared" si="243"/>
        <v/>
      </c>
      <c r="DL193" s="1028"/>
      <c r="DM193" s="130" t="str">
        <f t="shared" si="244"/>
        <v/>
      </c>
      <c r="DN193" s="1472" t="str">
        <f t="shared" si="245"/>
        <v/>
      </c>
      <c r="DO193" s="1028"/>
      <c r="DP193" s="130" t="str">
        <f t="shared" si="246"/>
        <v/>
      </c>
      <c r="DQ193" s="1472" t="str">
        <f t="shared" si="247"/>
        <v/>
      </c>
      <c r="DR193" s="1028"/>
      <c r="DS193" s="130" t="str">
        <f t="shared" si="248"/>
        <v/>
      </c>
      <c r="DT193" s="1472" t="str">
        <f t="shared" si="249"/>
        <v/>
      </c>
      <c r="DU193" s="1028"/>
      <c r="DV193" s="130" t="str">
        <f t="shared" si="250"/>
        <v/>
      </c>
      <c r="DW193" s="1472" t="str">
        <f t="shared" si="251"/>
        <v/>
      </c>
      <c r="DX193" s="147"/>
    </row>
    <row r="194" ht="23.25" customHeight="true" x14ac:dyDescent="0.25">
      <c r="B194" s="1612"/>
      <c r="C194" s="1613"/>
      <c r="D194" s="1613"/>
      <c r="E194" s="1154">
        <f t="shared" si="170"/>
        <v>9</v>
      </c>
      <c r="F194" s="1734" t="str">
        <f t="shared" ref="F194:F205" si="252">IF(D40&lt;&gt;"",D40,"")</f>
        <v/>
      </c>
      <c r="G194" s="1735"/>
      <c r="H194" s="1028"/>
      <c r="I194" s="130" t="str">
        <f t="shared" si="172"/>
        <v/>
      </c>
      <c r="J194" s="5" t="str">
        <f t="shared" si="173"/>
        <v/>
      </c>
      <c r="K194" s="1028"/>
      <c r="L194" s="130" t="str">
        <f t="shared" si="174"/>
        <v/>
      </c>
      <c r="M194" s="5" t="str">
        <f t="shared" si="175"/>
        <v/>
      </c>
      <c r="N194" s="1028"/>
      <c r="O194" s="130" t="str">
        <f t="shared" si="176"/>
        <v/>
      </c>
      <c r="P194" s="5" t="str">
        <f t="shared" si="177"/>
        <v/>
      </c>
      <c r="Q194" s="1028"/>
      <c r="R194" s="130" t="str">
        <f t="shared" si="178"/>
        <v/>
      </c>
      <c r="S194" s="1472" t="str">
        <f t="shared" si="179"/>
        <v/>
      </c>
      <c r="T194" s="1028"/>
      <c r="U194" s="130" t="str">
        <f t="shared" si="180"/>
        <v/>
      </c>
      <c r="V194" s="1472" t="str">
        <f t="shared" si="181"/>
        <v/>
      </c>
      <c r="W194" s="1028"/>
      <c r="X194" s="130" t="str">
        <f t="shared" si="182"/>
        <v/>
      </c>
      <c r="Y194" s="1472" t="str">
        <f t="shared" si="183"/>
        <v/>
      </c>
      <c r="Z194" s="1028"/>
      <c r="AA194" s="130" t="str">
        <f t="shared" si="184"/>
        <v/>
      </c>
      <c r="AB194" s="1472" t="str">
        <f t="shared" si="185"/>
        <v/>
      </c>
      <c r="AC194" s="1028"/>
      <c r="AD194" s="130" t="str">
        <f t="shared" si="186"/>
        <v/>
      </c>
      <c r="AE194" s="1472" t="str">
        <f t="shared" si="187"/>
        <v/>
      </c>
      <c r="AF194" s="1028"/>
      <c r="AG194" s="130" t="str">
        <f t="shared" si="188"/>
        <v/>
      </c>
      <c r="AH194" s="1472" t="str">
        <f t="shared" si="189"/>
        <v/>
      </c>
      <c r="AI194" s="1028"/>
      <c r="AJ194" s="130" t="str">
        <f t="shared" si="190"/>
        <v/>
      </c>
      <c r="AK194" s="1472" t="str">
        <f t="shared" si="191"/>
        <v/>
      </c>
      <c r="AL194" s="1028"/>
      <c r="AM194" s="130" t="str">
        <f t="shared" si="192"/>
        <v/>
      </c>
      <c r="AN194" s="1472" t="str">
        <f t="shared" si="193"/>
        <v/>
      </c>
      <c r="AO194" s="1028"/>
      <c r="AP194" s="130" t="str">
        <f t="shared" si="194"/>
        <v/>
      </c>
      <c r="AQ194" s="1472" t="str">
        <f t="shared" si="195"/>
        <v/>
      </c>
      <c r="AR194" s="1028"/>
      <c r="AS194" s="130" t="str">
        <f t="shared" si="196"/>
        <v/>
      </c>
      <c r="AT194" s="1472" t="str">
        <f t="shared" si="197"/>
        <v/>
      </c>
      <c r="AU194" s="1028"/>
      <c r="AV194" s="130" t="str">
        <f t="shared" si="198"/>
        <v/>
      </c>
      <c r="AW194" s="1472" t="str">
        <f t="shared" si="199"/>
        <v/>
      </c>
      <c r="AX194" s="1028"/>
      <c r="AY194" s="130" t="str">
        <f t="shared" si="200"/>
        <v/>
      </c>
      <c r="AZ194" s="1472" t="str">
        <f t="shared" si="201"/>
        <v/>
      </c>
      <c r="BA194" s="1028"/>
      <c r="BB194" s="130" t="str">
        <f t="shared" si="202"/>
        <v/>
      </c>
      <c r="BC194" s="1472" t="str">
        <f t="shared" si="203"/>
        <v/>
      </c>
      <c r="BD194" s="1028"/>
      <c r="BE194" s="130" t="str">
        <f t="shared" si="204"/>
        <v/>
      </c>
      <c r="BF194" s="1472" t="str">
        <f t="shared" si="205"/>
        <v/>
      </c>
      <c r="BG194" s="1028"/>
      <c r="BH194" s="130" t="str">
        <f t="shared" si="206"/>
        <v/>
      </c>
      <c r="BI194" s="1472" t="str">
        <f t="shared" si="207"/>
        <v/>
      </c>
      <c r="BJ194" s="1028"/>
      <c r="BK194" s="130" t="str">
        <f t="shared" si="208"/>
        <v/>
      </c>
      <c r="BL194" s="1472" t="str">
        <f t="shared" si="209"/>
        <v/>
      </c>
      <c r="BM194" s="1028"/>
      <c r="BN194" s="130" t="str">
        <f t="shared" si="210"/>
        <v/>
      </c>
      <c r="BO194" s="1472" t="str">
        <f t="shared" si="211"/>
        <v/>
      </c>
      <c r="BP194" s="1028"/>
      <c r="BQ194" s="130" t="str">
        <f t="shared" si="212"/>
        <v/>
      </c>
      <c r="BR194" s="1472" t="str">
        <f t="shared" si="213"/>
        <v/>
      </c>
      <c r="BS194" s="1028"/>
      <c r="BT194" s="130" t="str">
        <f t="shared" si="214"/>
        <v/>
      </c>
      <c r="BU194" s="1472" t="str">
        <f t="shared" si="215"/>
        <v/>
      </c>
      <c r="BV194" s="1028"/>
      <c r="BW194" s="130" t="str">
        <f t="shared" si="216"/>
        <v/>
      </c>
      <c r="BX194" s="1472" t="str">
        <f t="shared" si="217"/>
        <v/>
      </c>
      <c r="BY194" s="1028"/>
      <c r="BZ194" s="130" t="str">
        <f t="shared" si="218"/>
        <v/>
      </c>
      <c r="CA194" s="1472" t="str">
        <f t="shared" si="219"/>
        <v/>
      </c>
      <c r="CB194" s="1028"/>
      <c r="CC194" s="130" t="str">
        <f t="shared" si="220"/>
        <v/>
      </c>
      <c r="CD194" s="1472" t="str">
        <f t="shared" si="221"/>
        <v/>
      </c>
      <c r="CE194" s="1028"/>
      <c r="CF194" s="130" t="str">
        <f t="shared" si="222"/>
        <v/>
      </c>
      <c r="CG194" s="1472" t="str">
        <f t="shared" si="223"/>
        <v/>
      </c>
      <c r="CH194" s="1028"/>
      <c r="CI194" s="130" t="str">
        <f t="shared" si="224"/>
        <v/>
      </c>
      <c r="CJ194" s="1472" t="str">
        <f t="shared" si="225"/>
        <v/>
      </c>
      <c r="CK194" s="1028"/>
      <c r="CL194" s="130" t="str">
        <f t="shared" si="226"/>
        <v/>
      </c>
      <c r="CM194" s="1472" t="str">
        <f t="shared" si="227"/>
        <v/>
      </c>
      <c r="CN194" s="1028"/>
      <c r="CO194" s="130" t="str">
        <f t="shared" si="228"/>
        <v/>
      </c>
      <c r="CP194" s="1472" t="str">
        <f t="shared" si="229"/>
        <v/>
      </c>
      <c r="CQ194" s="1028"/>
      <c r="CR194" s="130" t="str">
        <f t="shared" si="230"/>
        <v/>
      </c>
      <c r="CS194" s="1472" t="str">
        <f t="shared" si="231"/>
        <v/>
      </c>
      <c r="CT194" s="1028"/>
      <c r="CU194" s="130" t="str">
        <f t="shared" si="232"/>
        <v/>
      </c>
      <c r="CV194" s="1472" t="str">
        <f t="shared" si="233"/>
        <v/>
      </c>
      <c r="CW194" s="1028"/>
      <c r="CX194" s="130" t="str">
        <f t="shared" si="234"/>
        <v/>
      </c>
      <c r="CY194" s="1472" t="str">
        <f t="shared" si="235"/>
        <v/>
      </c>
      <c r="CZ194" s="1028"/>
      <c r="DA194" s="130" t="str">
        <f t="shared" si="236"/>
        <v/>
      </c>
      <c r="DB194" s="1472" t="str">
        <f t="shared" si="237"/>
        <v/>
      </c>
      <c r="DC194" s="1028"/>
      <c r="DD194" s="130" t="str">
        <f t="shared" si="238"/>
        <v/>
      </c>
      <c r="DE194" s="1472" t="str">
        <f t="shared" si="239"/>
        <v/>
      </c>
      <c r="DF194" s="1028"/>
      <c r="DG194" s="130" t="str">
        <f t="shared" si="240"/>
        <v/>
      </c>
      <c r="DH194" s="1472" t="str">
        <f t="shared" si="241"/>
        <v/>
      </c>
      <c r="DI194" s="1028"/>
      <c r="DJ194" s="130" t="str">
        <f t="shared" si="242"/>
        <v/>
      </c>
      <c r="DK194" s="1472" t="str">
        <f t="shared" si="243"/>
        <v/>
      </c>
      <c r="DL194" s="1028"/>
      <c r="DM194" s="130" t="str">
        <f t="shared" si="244"/>
        <v/>
      </c>
      <c r="DN194" s="1472" t="str">
        <f t="shared" si="245"/>
        <v/>
      </c>
      <c r="DO194" s="1028"/>
      <c r="DP194" s="130" t="str">
        <f t="shared" si="246"/>
        <v/>
      </c>
      <c r="DQ194" s="1472" t="str">
        <f t="shared" si="247"/>
        <v/>
      </c>
      <c r="DR194" s="1028"/>
      <c r="DS194" s="130" t="str">
        <f t="shared" si="248"/>
        <v/>
      </c>
      <c r="DT194" s="1472" t="str">
        <f t="shared" si="249"/>
        <v/>
      </c>
      <c r="DU194" s="1028"/>
      <c r="DV194" s="130" t="str">
        <f t="shared" si="250"/>
        <v/>
      </c>
      <c r="DW194" s="1472" t="str">
        <f t="shared" si="251"/>
        <v/>
      </c>
      <c r="DX194" s="147"/>
    </row>
    <row r="195" ht="23.25" customHeight="true" x14ac:dyDescent="0.25">
      <c r="B195" s="1612"/>
      <c r="C195" s="1613"/>
      <c r="D195" s="1613"/>
      <c r="E195" s="1154">
        <f t="shared" si="170"/>
        <v>10</v>
      </c>
      <c r="F195" s="1734" t="str">
        <f t="shared" si="252"/>
        <v/>
      </c>
      <c r="G195" s="1735"/>
      <c r="H195" s="1028"/>
      <c r="I195" s="130" t="str">
        <f t="shared" si="172"/>
        <v/>
      </c>
      <c r="J195" s="5" t="str">
        <f t="shared" si="173"/>
        <v/>
      </c>
      <c r="K195" s="1028"/>
      <c r="L195" s="130" t="str">
        <f t="shared" si="174"/>
        <v/>
      </c>
      <c r="M195" s="5" t="str">
        <f t="shared" si="175"/>
        <v/>
      </c>
      <c r="N195" s="1028"/>
      <c r="O195" s="130" t="str">
        <f t="shared" si="176"/>
        <v/>
      </c>
      <c r="P195" s="5" t="str">
        <f t="shared" si="177"/>
        <v/>
      </c>
      <c r="Q195" s="1028"/>
      <c r="R195" s="130" t="str">
        <f t="shared" si="178"/>
        <v/>
      </c>
      <c r="S195" s="1472" t="str">
        <f t="shared" si="179"/>
        <v/>
      </c>
      <c r="T195" s="1028"/>
      <c r="U195" s="130" t="str">
        <f t="shared" si="180"/>
        <v/>
      </c>
      <c r="V195" s="1472" t="str">
        <f t="shared" si="181"/>
        <v/>
      </c>
      <c r="W195" s="1028"/>
      <c r="X195" s="130" t="str">
        <f t="shared" si="182"/>
        <v/>
      </c>
      <c r="Y195" s="1472" t="str">
        <f t="shared" si="183"/>
        <v/>
      </c>
      <c r="Z195" s="1028"/>
      <c r="AA195" s="130" t="str">
        <f t="shared" si="184"/>
        <v/>
      </c>
      <c r="AB195" s="1472" t="str">
        <f t="shared" si="185"/>
        <v/>
      </c>
      <c r="AC195" s="1028"/>
      <c r="AD195" s="130" t="str">
        <f t="shared" si="186"/>
        <v/>
      </c>
      <c r="AE195" s="1472" t="str">
        <f t="shared" si="187"/>
        <v/>
      </c>
      <c r="AF195" s="1028"/>
      <c r="AG195" s="130" t="str">
        <f t="shared" si="188"/>
        <v/>
      </c>
      <c r="AH195" s="1472" t="str">
        <f t="shared" si="189"/>
        <v/>
      </c>
      <c r="AI195" s="1028"/>
      <c r="AJ195" s="130" t="str">
        <f t="shared" si="190"/>
        <v/>
      </c>
      <c r="AK195" s="1472" t="str">
        <f t="shared" si="191"/>
        <v/>
      </c>
      <c r="AL195" s="1028"/>
      <c r="AM195" s="130" t="str">
        <f t="shared" si="192"/>
        <v/>
      </c>
      <c r="AN195" s="1472" t="str">
        <f t="shared" si="193"/>
        <v/>
      </c>
      <c r="AO195" s="1028"/>
      <c r="AP195" s="130" t="str">
        <f t="shared" si="194"/>
        <v/>
      </c>
      <c r="AQ195" s="1472" t="str">
        <f t="shared" si="195"/>
        <v/>
      </c>
      <c r="AR195" s="1028"/>
      <c r="AS195" s="130" t="str">
        <f t="shared" si="196"/>
        <v/>
      </c>
      <c r="AT195" s="1472" t="str">
        <f t="shared" si="197"/>
        <v/>
      </c>
      <c r="AU195" s="1028"/>
      <c r="AV195" s="130" t="str">
        <f t="shared" si="198"/>
        <v/>
      </c>
      <c r="AW195" s="1472" t="str">
        <f t="shared" si="199"/>
        <v/>
      </c>
      <c r="AX195" s="1028"/>
      <c r="AY195" s="130" t="str">
        <f t="shared" si="200"/>
        <v/>
      </c>
      <c r="AZ195" s="1472" t="str">
        <f t="shared" si="201"/>
        <v/>
      </c>
      <c r="BA195" s="1028"/>
      <c r="BB195" s="130" t="str">
        <f t="shared" si="202"/>
        <v/>
      </c>
      <c r="BC195" s="1472" t="str">
        <f t="shared" si="203"/>
        <v/>
      </c>
      <c r="BD195" s="1028"/>
      <c r="BE195" s="130" t="str">
        <f t="shared" si="204"/>
        <v/>
      </c>
      <c r="BF195" s="1472" t="str">
        <f t="shared" si="205"/>
        <v/>
      </c>
      <c r="BG195" s="1028"/>
      <c r="BH195" s="130" t="str">
        <f t="shared" si="206"/>
        <v/>
      </c>
      <c r="BI195" s="1472" t="str">
        <f t="shared" si="207"/>
        <v/>
      </c>
      <c r="BJ195" s="1028"/>
      <c r="BK195" s="130" t="str">
        <f t="shared" si="208"/>
        <v/>
      </c>
      <c r="BL195" s="1472" t="str">
        <f t="shared" si="209"/>
        <v/>
      </c>
      <c r="BM195" s="1028"/>
      <c r="BN195" s="130" t="str">
        <f t="shared" si="210"/>
        <v/>
      </c>
      <c r="BO195" s="1472" t="str">
        <f t="shared" si="211"/>
        <v/>
      </c>
      <c r="BP195" s="1028"/>
      <c r="BQ195" s="130" t="str">
        <f t="shared" si="212"/>
        <v/>
      </c>
      <c r="BR195" s="1472" t="str">
        <f t="shared" si="213"/>
        <v/>
      </c>
      <c r="BS195" s="1028"/>
      <c r="BT195" s="130" t="str">
        <f t="shared" si="214"/>
        <v/>
      </c>
      <c r="BU195" s="1472" t="str">
        <f t="shared" si="215"/>
        <v/>
      </c>
      <c r="BV195" s="1028"/>
      <c r="BW195" s="130" t="str">
        <f t="shared" si="216"/>
        <v/>
      </c>
      <c r="BX195" s="1472" t="str">
        <f t="shared" si="217"/>
        <v/>
      </c>
      <c r="BY195" s="1028"/>
      <c r="BZ195" s="130" t="str">
        <f t="shared" si="218"/>
        <v/>
      </c>
      <c r="CA195" s="1472" t="str">
        <f t="shared" si="219"/>
        <v/>
      </c>
      <c r="CB195" s="1028"/>
      <c r="CC195" s="130" t="str">
        <f t="shared" si="220"/>
        <v/>
      </c>
      <c r="CD195" s="1472" t="str">
        <f t="shared" si="221"/>
        <v/>
      </c>
      <c r="CE195" s="1028"/>
      <c r="CF195" s="130" t="str">
        <f t="shared" si="222"/>
        <v/>
      </c>
      <c r="CG195" s="1472" t="str">
        <f t="shared" si="223"/>
        <v/>
      </c>
      <c r="CH195" s="1028"/>
      <c r="CI195" s="130" t="str">
        <f t="shared" si="224"/>
        <v/>
      </c>
      <c r="CJ195" s="1472" t="str">
        <f t="shared" si="225"/>
        <v/>
      </c>
      <c r="CK195" s="1028"/>
      <c r="CL195" s="130" t="str">
        <f t="shared" si="226"/>
        <v/>
      </c>
      <c r="CM195" s="1472" t="str">
        <f t="shared" si="227"/>
        <v/>
      </c>
      <c r="CN195" s="1028"/>
      <c r="CO195" s="130" t="str">
        <f t="shared" si="228"/>
        <v/>
      </c>
      <c r="CP195" s="1472" t="str">
        <f t="shared" si="229"/>
        <v/>
      </c>
      <c r="CQ195" s="1028"/>
      <c r="CR195" s="130" t="str">
        <f t="shared" si="230"/>
        <v/>
      </c>
      <c r="CS195" s="1472" t="str">
        <f t="shared" si="231"/>
        <v/>
      </c>
      <c r="CT195" s="1028"/>
      <c r="CU195" s="130" t="str">
        <f t="shared" si="232"/>
        <v/>
      </c>
      <c r="CV195" s="1472" t="str">
        <f t="shared" si="233"/>
        <v/>
      </c>
      <c r="CW195" s="1028"/>
      <c r="CX195" s="130" t="str">
        <f t="shared" si="234"/>
        <v/>
      </c>
      <c r="CY195" s="1472" t="str">
        <f t="shared" si="235"/>
        <v/>
      </c>
      <c r="CZ195" s="1028"/>
      <c r="DA195" s="130" t="str">
        <f t="shared" si="236"/>
        <v/>
      </c>
      <c r="DB195" s="1472" t="str">
        <f t="shared" si="237"/>
        <v/>
      </c>
      <c r="DC195" s="1028"/>
      <c r="DD195" s="130" t="str">
        <f t="shared" si="238"/>
        <v/>
      </c>
      <c r="DE195" s="1472" t="str">
        <f t="shared" si="239"/>
        <v/>
      </c>
      <c r="DF195" s="1028"/>
      <c r="DG195" s="130" t="str">
        <f t="shared" si="240"/>
        <v/>
      </c>
      <c r="DH195" s="1472" t="str">
        <f t="shared" si="241"/>
        <v/>
      </c>
      <c r="DI195" s="1028"/>
      <c r="DJ195" s="130" t="str">
        <f t="shared" si="242"/>
        <v/>
      </c>
      <c r="DK195" s="1472" t="str">
        <f t="shared" si="243"/>
        <v/>
      </c>
      <c r="DL195" s="1028"/>
      <c r="DM195" s="130" t="str">
        <f t="shared" si="244"/>
        <v/>
      </c>
      <c r="DN195" s="1472" t="str">
        <f t="shared" si="245"/>
        <v/>
      </c>
      <c r="DO195" s="1028"/>
      <c r="DP195" s="130" t="str">
        <f t="shared" si="246"/>
        <v/>
      </c>
      <c r="DQ195" s="1472" t="str">
        <f t="shared" si="247"/>
        <v/>
      </c>
      <c r="DR195" s="1028"/>
      <c r="DS195" s="130" t="str">
        <f t="shared" si="248"/>
        <v/>
      </c>
      <c r="DT195" s="1472" t="str">
        <f t="shared" si="249"/>
        <v/>
      </c>
      <c r="DU195" s="1028"/>
      <c r="DV195" s="130" t="str">
        <f t="shared" si="250"/>
        <v/>
      </c>
      <c r="DW195" s="1472" t="str">
        <f t="shared" si="251"/>
        <v/>
      </c>
      <c r="DX195" s="147"/>
    </row>
    <row r="196" ht="23.25" customHeight="true" x14ac:dyDescent="0.25">
      <c r="B196" s="1612"/>
      <c r="C196" s="1613"/>
      <c r="D196" s="1613"/>
      <c r="E196" s="1154">
        <f t="shared" si="170"/>
        <v>11</v>
      </c>
      <c r="F196" s="1734" t="str">
        <f t="shared" si="252"/>
        <v/>
      </c>
      <c r="G196" s="1735"/>
      <c r="H196" s="1028"/>
      <c r="I196" s="130" t="str">
        <f t="shared" si="172"/>
        <v/>
      </c>
      <c r="J196" s="5" t="str">
        <f t="shared" si="173"/>
        <v/>
      </c>
      <c r="K196" s="1028"/>
      <c r="L196" s="130" t="str">
        <f t="shared" si="174"/>
        <v/>
      </c>
      <c r="M196" s="5" t="str">
        <f t="shared" si="175"/>
        <v/>
      </c>
      <c r="N196" s="1028"/>
      <c r="O196" s="130" t="str">
        <f t="shared" si="176"/>
        <v/>
      </c>
      <c r="P196" s="5" t="str">
        <f t="shared" si="177"/>
        <v/>
      </c>
      <c r="Q196" s="1028"/>
      <c r="R196" s="130" t="str">
        <f t="shared" si="178"/>
        <v/>
      </c>
      <c r="S196" s="1472" t="str">
        <f t="shared" si="179"/>
        <v/>
      </c>
      <c r="T196" s="1028"/>
      <c r="U196" s="130" t="str">
        <f t="shared" si="180"/>
        <v/>
      </c>
      <c r="V196" s="1472" t="str">
        <f t="shared" si="181"/>
        <v/>
      </c>
      <c r="W196" s="1028"/>
      <c r="X196" s="130" t="str">
        <f t="shared" si="182"/>
        <v/>
      </c>
      <c r="Y196" s="1472" t="str">
        <f t="shared" si="183"/>
        <v/>
      </c>
      <c r="Z196" s="1028"/>
      <c r="AA196" s="130" t="str">
        <f t="shared" si="184"/>
        <v/>
      </c>
      <c r="AB196" s="1472" t="str">
        <f t="shared" si="185"/>
        <v/>
      </c>
      <c r="AC196" s="1028"/>
      <c r="AD196" s="130" t="str">
        <f t="shared" si="186"/>
        <v/>
      </c>
      <c r="AE196" s="1472" t="str">
        <f t="shared" si="187"/>
        <v/>
      </c>
      <c r="AF196" s="1028"/>
      <c r="AG196" s="130" t="str">
        <f t="shared" si="188"/>
        <v/>
      </c>
      <c r="AH196" s="1472" t="str">
        <f t="shared" si="189"/>
        <v/>
      </c>
      <c r="AI196" s="1028"/>
      <c r="AJ196" s="130" t="str">
        <f t="shared" si="190"/>
        <v/>
      </c>
      <c r="AK196" s="1472" t="str">
        <f t="shared" si="191"/>
        <v/>
      </c>
      <c r="AL196" s="1028"/>
      <c r="AM196" s="130" t="str">
        <f t="shared" si="192"/>
        <v/>
      </c>
      <c r="AN196" s="1472" t="str">
        <f t="shared" si="193"/>
        <v/>
      </c>
      <c r="AO196" s="1028"/>
      <c r="AP196" s="130" t="str">
        <f t="shared" si="194"/>
        <v/>
      </c>
      <c r="AQ196" s="1472" t="str">
        <f t="shared" si="195"/>
        <v/>
      </c>
      <c r="AR196" s="1028"/>
      <c r="AS196" s="130" t="str">
        <f t="shared" si="196"/>
        <v/>
      </c>
      <c r="AT196" s="1472" t="str">
        <f t="shared" si="197"/>
        <v/>
      </c>
      <c r="AU196" s="1028"/>
      <c r="AV196" s="130" t="str">
        <f t="shared" si="198"/>
        <v/>
      </c>
      <c r="AW196" s="1472" t="str">
        <f t="shared" si="199"/>
        <v/>
      </c>
      <c r="AX196" s="1028"/>
      <c r="AY196" s="130" t="str">
        <f t="shared" si="200"/>
        <v/>
      </c>
      <c r="AZ196" s="1472" t="str">
        <f t="shared" si="201"/>
        <v/>
      </c>
      <c r="BA196" s="1028"/>
      <c r="BB196" s="130" t="str">
        <f t="shared" si="202"/>
        <v/>
      </c>
      <c r="BC196" s="1472" t="str">
        <f t="shared" si="203"/>
        <v/>
      </c>
      <c r="BD196" s="1028"/>
      <c r="BE196" s="130" t="str">
        <f t="shared" si="204"/>
        <v/>
      </c>
      <c r="BF196" s="1472" t="str">
        <f t="shared" si="205"/>
        <v/>
      </c>
      <c r="BG196" s="1028"/>
      <c r="BH196" s="130" t="str">
        <f t="shared" si="206"/>
        <v/>
      </c>
      <c r="BI196" s="1472" t="str">
        <f t="shared" si="207"/>
        <v/>
      </c>
      <c r="BJ196" s="1028"/>
      <c r="BK196" s="130" t="str">
        <f t="shared" si="208"/>
        <v/>
      </c>
      <c r="BL196" s="1472" t="str">
        <f t="shared" si="209"/>
        <v/>
      </c>
      <c r="BM196" s="1028"/>
      <c r="BN196" s="130" t="str">
        <f t="shared" si="210"/>
        <v/>
      </c>
      <c r="BO196" s="1472" t="str">
        <f t="shared" si="211"/>
        <v/>
      </c>
      <c r="BP196" s="1028"/>
      <c r="BQ196" s="130" t="str">
        <f t="shared" si="212"/>
        <v/>
      </c>
      <c r="BR196" s="1472" t="str">
        <f t="shared" si="213"/>
        <v/>
      </c>
      <c r="BS196" s="1028"/>
      <c r="BT196" s="130" t="str">
        <f t="shared" si="214"/>
        <v/>
      </c>
      <c r="BU196" s="1472" t="str">
        <f t="shared" si="215"/>
        <v/>
      </c>
      <c r="BV196" s="1028"/>
      <c r="BW196" s="130" t="str">
        <f t="shared" si="216"/>
        <v/>
      </c>
      <c r="BX196" s="1472" t="str">
        <f t="shared" si="217"/>
        <v/>
      </c>
      <c r="BY196" s="1028"/>
      <c r="BZ196" s="130" t="str">
        <f t="shared" si="218"/>
        <v/>
      </c>
      <c r="CA196" s="1472" t="str">
        <f t="shared" si="219"/>
        <v/>
      </c>
      <c r="CB196" s="1028"/>
      <c r="CC196" s="130" t="str">
        <f t="shared" si="220"/>
        <v/>
      </c>
      <c r="CD196" s="1472" t="str">
        <f t="shared" si="221"/>
        <v/>
      </c>
      <c r="CE196" s="1028"/>
      <c r="CF196" s="130" t="str">
        <f t="shared" si="222"/>
        <v/>
      </c>
      <c r="CG196" s="1472" t="str">
        <f t="shared" si="223"/>
        <v/>
      </c>
      <c r="CH196" s="1028"/>
      <c r="CI196" s="130" t="str">
        <f t="shared" si="224"/>
        <v/>
      </c>
      <c r="CJ196" s="1472" t="str">
        <f t="shared" si="225"/>
        <v/>
      </c>
      <c r="CK196" s="1028"/>
      <c r="CL196" s="130" t="str">
        <f t="shared" si="226"/>
        <v/>
      </c>
      <c r="CM196" s="1472" t="str">
        <f t="shared" si="227"/>
        <v/>
      </c>
      <c r="CN196" s="1028"/>
      <c r="CO196" s="130" t="str">
        <f t="shared" si="228"/>
        <v/>
      </c>
      <c r="CP196" s="1472" t="str">
        <f t="shared" si="229"/>
        <v/>
      </c>
      <c r="CQ196" s="1028"/>
      <c r="CR196" s="130" t="str">
        <f t="shared" si="230"/>
        <v/>
      </c>
      <c r="CS196" s="1472" t="str">
        <f t="shared" si="231"/>
        <v/>
      </c>
      <c r="CT196" s="1028"/>
      <c r="CU196" s="130" t="str">
        <f t="shared" si="232"/>
        <v/>
      </c>
      <c r="CV196" s="1472" t="str">
        <f t="shared" si="233"/>
        <v/>
      </c>
      <c r="CW196" s="1028"/>
      <c r="CX196" s="130" t="str">
        <f t="shared" si="234"/>
        <v/>
      </c>
      <c r="CY196" s="1472" t="str">
        <f t="shared" si="235"/>
        <v/>
      </c>
      <c r="CZ196" s="1028"/>
      <c r="DA196" s="130" t="str">
        <f t="shared" si="236"/>
        <v/>
      </c>
      <c r="DB196" s="1472" t="str">
        <f t="shared" si="237"/>
        <v/>
      </c>
      <c r="DC196" s="1028"/>
      <c r="DD196" s="130" t="str">
        <f t="shared" si="238"/>
        <v/>
      </c>
      <c r="DE196" s="1472" t="str">
        <f t="shared" si="239"/>
        <v/>
      </c>
      <c r="DF196" s="1028"/>
      <c r="DG196" s="130" t="str">
        <f t="shared" si="240"/>
        <v/>
      </c>
      <c r="DH196" s="1472" t="str">
        <f t="shared" si="241"/>
        <v/>
      </c>
      <c r="DI196" s="1028"/>
      <c r="DJ196" s="130" t="str">
        <f t="shared" si="242"/>
        <v/>
      </c>
      <c r="DK196" s="1472" t="str">
        <f t="shared" si="243"/>
        <v/>
      </c>
      <c r="DL196" s="1028"/>
      <c r="DM196" s="130" t="str">
        <f t="shared" si="244"/>
        <v/>
      </c>
      <c r="DN196" s="1472" t="str">
        <f t="shared" si="245"/>
        <v/>
      </c>
      <c r="DO196" s="1028"/>
      <c r="DP196" s="130" t="str">
        <f t="shared" si="246"/>
        <v/>
      </c>
      <c r="DQ196" s="1472" t="str">
        <f t="shared" si="247"/>
        <v/>
      </c>
      <c r="DR196" s="1028"/>
      <c r="DS196" s="130" t="str">
        <f t="shared" si="248"/>
        <v/>
      </c>
      <c r="DT196" s="1472" t="str">
        <f t="shared" si="249"/>
        <v/>
      </c>
      <c r="DU196" s="1028"/>
      <c r="DV196" s="130" t="str">
        <f t="shared" si="250"/>
        <v/>
      </c>
      <c r="DW196" s="1472" t="str">
        <f t="shared" si="251"/>
        <v/>
      </c>
      <c r="DX196" s="147"/>
    </row>
    <row r="197" ht="23.25" customHeight="true" x14ac:dyDescent="0.25">
      <c r="B197" s="1612"/>
      <c r="C197" s="1613"/>
      <c r="D197" s="1613"/>
      <c r="E197" s="1154">
        <f t="shared" si="170"/>
        <v>12</v>
      </c>
      <c r="F197" s="1734" t="str">
        <f t="shared" si="252"/>
        <v/>
      </c>
      <c r="G197" s="1735"/>
      <c r="H197" s="1028"/>
      <c r="I197" s="130" t="str">
        <f t="shared" si="172"/>
        <v/>
      </c>
      <c r="J197" s="5" t="str">
        <f t="shared" si="173"/>
        <v/>
      </c>
      <c r="K197" s="1028"/>
      <c r="L197" s="130" t="str">
        <f t="shared" si="174"/>
        <v/>
      </c>
      <c r="M197" s="5" t="str">
        <f t="shared" si="175"/>
        <v/>
      </c>
      <c r="N197" s="1028"/>
      <c r="O197" s="130" t="str">
        <f t="shared" si="176"/>
        <v/>
      </c>
      <c r="P197" s="5" t="str">
        <f t="shared" si="177"/>
        <v/>
      </c>
      <c r="Q197" s="1028"/>
      <c r="R197" s="130" t="str">
        <f t="shared" si="178"/>
        <v/>
      </c>
      <c r="S197" s="1472" t="str">
        <f t="shared" si="179"/>
        <v/>
      </c>
      <c r="T197" s="1028"/>
      <c r="U197" s="130" t="str">
        <f t="shared" si="180"/>
        <v/>
      </c>
      <c r="V197" s="1472" t="str">
        <f t="shared" si="181"/>
        <v/>
      </c>
      <c r="W197" s="1028"/>
      <c r="X197" s="130" t="str">
        <f t="shared" si="182"/>
        <v/>
      </c>
      <c r="Y197" s="1472" t="str">
        <f t="shared" si="183"/>
        <v/>
      </c>
      <c r="Z197" s="1028"/>
      <c r="AA197" s="130" t="str">
        <f t="shared" si="184"/>
        <v/>
      </c>
      <c r="AB197" s="1472" t="str">
        <f t="shared" si="185"/>
        <v/>
      </c>
      <c r="AC197" s="1028"/>
      <c r="AD197" s="130" t="str">
        <f t="shared" si="186"/>
        <v/>
      </c>
      <c r="AE197" s="1472" t="str">
        <f t="shared" si="187"/>
        <v/>
      </c>
      <c r="AF197" s="1028"/>
      <c r="AG197" s="130" t="str">
        <f t="shared" si="188"/>
        <v/>
      </c>
      <c r="AH197" s="1472" t="str">
        <f t="shared" si="189"/>
        <v/>
      </c>
      <c r="AI197" s="1028"/>
      <c r="AJ197" s="130" t="str">
        <f t="shared" si="190"/>
        <v/>
      </c>
      <c r="AK197" s="1472" t="str">
        <f t="shared" si="191"/>
        <v/>
      </c>
      <c r="AL197" s="1028"/>
      <c r="AM197" s="130" t="str">
        <f t="shared" si="192"/>
        <v/>
      </c>
      <c r="AN197" s="1472" t="str">
        <f t="shared" si="193"/>
        <v/>
      </c>
      <c r="AO197" s="1028"/>
      <c r="AP197" s="130" t="str">
        <f t="shared" si="194"/>
        <v/>
      </c>
      <c r="AQ197" s="1472" t="str">
        <f t="shared" si="195"/>
        <v/>
      </c>
      <c r="AR197" s="1028"/>
      <c r="AS197" s="130" t="str">
        <f t="shared" si="196"/>
        <v/>
      </c>
      <c r="AT197" s="1472" t="str">
        <f t="shared" si="197"/>
        <v/>
      </c>
      <c r="AU197" s="1028"/>
      <c r="AV197" s="130" t="str">
        <f t="shared" si="198"/>
        <v/>
      </c>
      <c r="AW197" s="1472" t="str">
        <f t="shared" si="199"/>
        <v/>
      </c>
      <c r="AX197" s="1028"/>
      <c r="AY197" s="130" t="str">
        <f t="shared" si="200"/>
        <v/>
      </c>
      <c r="AZ197" s="1472" t="str">
        <f t="shared" si="201"/>
        <v/>
      </c>
      <c r="BA197" s="1028"/>
      <c r="BB197" s="130" t="str">
        <f t="shared" si="202"/>
        <v/>
      </c>
      <c r="BC197" s="1472" t="str">
        <f t="shared" si="203"/>
        <v/>
      </c>
      <c r="BD197" s="1028"/>
      <c r="BE197" s="130" t="str">
        <f t="shared" si="204"/>
        <v/>
      </c>
      <c r="BF197" s="1472" t="str">
        <f t="shared" si="205"/>
        <v/>
      </c>
      <c r="BG197" s="1028"/>
      <c r="BH197" s="130" t="str">
        <f t="shared" si="206"/>
        <v/>
      </c>
      <c r="BI197" s="1472" t="str">
        <f t="shared" si="207"/>
        <v/>
      </c>
      <c r="BJ197" s="1028"/>
      <c r="BK197" s="130" t="str">
        <f t="shared" si="208"/>
        <v/>
      </c>
      <c r="BL197" s="1472" t="str">
        <f t="shared" si="209"/>
        <v/>
      </c>
      <c r="BM197" s="1028"/>
      <c r="BN197" s="130" t="str">
        <f t="shared" si="210"/>
        <v/>
      </c>
      <c r="BO197" s="1472" t="str">
        <f t="shared" si="211"/>
        <v/>
      </c>
      <c r="BP197" s="1028"/>
      <c r="BQ197" s="130" t="str">
        <f t="shared" si="212"/>
        <v/>
      </c>
      <c r="BR197" s="1472" t="str">
        <f t="shared" si="213"/>
        <v/>
      </c>
      <c r="BS197" s="1028"/>
      <c r="BT197" s="130" t="str">
        <f t="shared" si="214"/>
        <v/>
      </c>
      <c r="BU197" s="1472" t="str">
        <f t="shared" si="215"/>
        <v/>
      </c>
      <c r="BV197" s="1028"/>
      <c r="BW197" s="130" t="str">
        <f t="shared" si="216"/>
        <v/>
      </c>
      <c r="BX197" s="1472" t="str">
        <f t="shared" si="217"/>
        <v/>
      </c>
      <c r="BY197" s="1028"/>
      <c r="BZ197" s="130" t="str">
        <f t="shared" si="218"/>
        <v/>
      </c>
      <c r="CA197" s="1472" t="str">
        <f t="shared" si="219"/>
        <v/>
      </c>
      <c r="CB197" s="1028"/>
      <c r="CC197" s="130" t="str">
        <f t="shared" si="220"/>
        <v/>
      </c>
      <c r="CD197" s="1472" t="str">
        <f t="shared" si="221"/>
        <v/>
      </c>
      <c r="CE197" s="1028"/>
      <c r="CF197" s="130" t="str">
        <f t="shared" si="222"/>
        <v/>
      </c>
      <c r="CG197" s="1472" t="str">
        <f t="shared" si="223"/>
        <v/>
      </c>
      <c r="CH197" s="1028"/>
      <c r="CI197" s="130" t="str">
        <f t="shared" si="224"/>
        <v/>
      </c>
      <c r="CJ197" s="1472" t="str">
        <f t="shared" si="225"/>
        <v/>
      </c>
      <c r="CK197" s="1028"/>
      <c r="CL197" s="130" t="str">
        <f t="shared" si="226"/>
        <v/>
      </c>
      <c r="CM197" s="1472" t="str">
        <f t="shared" si="227"/>
        <v/>
      </c>
      <c r="CN197" s="1028"/>
      <c r="CO197" s="130" t="str">
        <f t="shared" si="228"/>
        <v/>
      </c>
      <c r="CP197" s="1472" t="str">
        <f t="shared" si="229"/>
        <v/>
      </c>
      <c r="CQ197" s="1028"/>
      <c r="CR197" s="130" t="str">
        <f t="shared" si="230"/>
        <v/>
      </c>
      <c r="CS197" s="1472" t="str">
        <f t="shared" si="231"/>
        <v/>
      </c>
      <c r="CT197" s="1028"/>
      <c r="CU197" s="130" t="str">
        <f t="shared" si="232"/>
        <v/>
      </c>
      <c r="CV197" s="1472" t="str">
        <f t="shared" si="233"/>
        <v/>
      </c>
      <c r="CW197" s="1028"/>
      <c r="CX197" s="130" t="str">
        <f t="shared" si="234"/>
        <v/>
      </c>
      <c r="CY197" s="1472" t="str">
        <f t="shared" si="235"/>
        <v/>
      </c>
      <c r="CZ197" s="1028"/>
      <c r="DA197" s="130" t="str">
        <f t="shared" si="236"/>
        <v/>
      </c>
      <c r="DB197" s="1472" t="str">
        <f t="shared" si="237"/>
        <v/>
      </c>
      <c r="DC197" s="1028"/>
      <c r="DD197" s="130" t="str">
        <f t="shared" si="238"/>
        <v/>
      </c>
      <c r="DE197" s="1472" t="str">
        <f t="shared" si="239"/>
        <v/>
      </c>
      <c r="DF197" s="1028"/>
      <c r="DG197" s="130" t="str">
        <f t="shared" si="240"/>
        <v/>
      </c>
      <c r="DH197" s="1472" t="str">
        <f t="shared" si="241"/>
        <v/>
      </c>
      <c r="DI197" s="1028"/>
      <c r="DJ197" s="130" t="str">
        <f t="shared" si="242"/>
        <v/>
      </c>
      <c r="DK197" s="1472" t="str">
        <f t="shared" si="243"/>
        <v/>
      </c>
      <c r="DL197" s="1028"/>
      <c r="DM197" s="130" t="str">
        <f t="shared" si="244"/>
        <v/>
      </c>
      <c r="DN197" s="1472" t="str">
        <f t="shared" si="245"/>
        <v/>
      </c>
      <c r="DO197" s="1028"/>
      <c r="DP197" s="130" t="str">
        <f t="shared" si="246"/>
        <v/>
      </c>
      <c r="DQ197" s="1472" t="str">
        <f t="shared" si="247"/>
        <v/>
      </c>
      <c r="DR197" s="1028"/>
      <c r="DS197" s="130" t="str">
        <f t="shared" si="248"/>
        <v/>
      </c>
      <c r="DT197" s="1472" t="str">
        <f t="shared" si="249"/>
        <v/>
      </c>
      <c r="DU197" s="1028"/>
      <c r="DV197" s="130" t="str">
        <f t="shared" si="250"/>
        <v/>
      </c>
      <c r="DW197" s="1472" t="str">
        <f t="shared" si="251"/>
        <v/>
      </c>
      <c r="DX197" s="147"/>
    </row>
    <row r="198" ht="23.25" customHeight="true" x14ac:dyDescent="0.25">
      <c r="B198" s="1612"/>
      <c r="C198" s="1613"/>
      <c r="D198" s="1613"/>
      <c r="E198" s="1154">
        <f t="shared" si="170"/>
        <v>13</v>
      </c>
      <c r="F198" s="1734" t="str">
        <f t="shared" si="252"/>
        <v/>
      </c>
      <c r="G198" s="1735"/>
      <c r="H198" s="1028"/>
      <c r="I198" s="130" t="str">
        <f t="shared" si="172"/>
        <v/>
      </c>
      <c r="J198" s="5" t="str">
        <f t="shared" si="173"/>
        <v/>
      </c>
      <c r="K198" s="1028"/>
      <c r="L198" s="130" t="str">
        <f t="shared" si="174"/>
        <v/>
      </c>
      <c r="M198" s="5" t="str">
        <f t="shared" si="175"/>
        <v/>
      </c>
      <c r="N198" s="1028"/>
      <c r="O198" s="130" t="str">
        <f t="shared" si="176"/>
        <v/>
      </c>
      <c r="P198" s="5" t="str">
        <f t="shared" si="177"/>
        <v/>
      </c>
      <c r="Q198" s="1028"/>
      <c r="R198" s="130" t="str">
        <f t="shared" si="178"/>
        <v/>
      </c>
      <c r="S198" s="1472" t="str">
        <f t="shared" si="179"/>
        <v/>
      </c>
      <c r="T198" s="1028"/>
      <c r="U198" s="130" t="str">
        <f t="shared" si="180"/>
        <v/>
      </c>
      <c r="V198" s="1472" t="str">
        <f t="shared" si="181"/>
        <v/>
      </c>
      <c r="W198" s="1028"/>
      <c r="X198" s="130" t="str">
        <f t="shared" si="182"/>
        <v/>
      </c>
      <c r="Y198" s="1472" t="str">
        <f t="shared" si="183"/>
        <v/>
      </c>
      <c r="Z198" s="1028"/>
      <c r="AA198" s="130" t="str">
        <f t="shared" si="184"/>
        <v/>
      </c>
      <c r="AB198" s="1472" t="str">
        <f t="shared" si="185"/>
        <v/>
      </c>
      <c r="AC198" s="1028"/>
      <c r="AD198" s="130" t="str">
        <f t="shared" si="186"/>
        <v/>
      </c>
      <c r="AE198" s="1472" t="str">
        <f t="shared" si="187"/>
        <v/>
      </c>
      <c r="AF198" s="1028"/>
      <c r="AG198" s="130" t="str">
        <f t="shared" si="188"/>
        <v/>
      </c>
      <c r="AH198" s="1472" t="str">
        <f t="shared" si="189"/>
        <v/>
      </c>
      <c r="AI198" s="1028"/>
      <c r="AJ198" s="130" t="str">
        <f t="shared" si="190"/>
        <v/>
      </c>
      <c r="AK198" s="1472" t="str">
        <f t="shared" si="191"/>
        <v/>
      </c>
      <c r="AL198" s="1028"/>
      <c r="AM198" s="130" t="str">
        <f t="shared" si="192"/>
        <v/>
      </c>
      <c r="AN198" s="1472" t="str">
        <f t="shared" si="193"/>
        <v/>
      </c>
      <c r="AO198" s="1028"/>
      <c r="AP198" s="130" t="str">
        <f t="shared" si="194"/>
        <v/>
      </c>
      <c r="AQ198" s="1472" t="str">
        <f t="shared" si="195"/>
        <v/>
      </c>
      <c r="AR198" s="1028"/>
      <c r="AS198" s="130" t="str">
        <f t="shared" si="196"/>
        <v/>
      </c>
      <c r="AT198" s="1472" t="str">
        <f t="shared" si="197"/>
        <v/>
      </c>
      <c r="AU198" s="1028"/>
      <c r="AV198" s="130" t="str">
        <f t="shared" si="198"/>
        <v/>
      </c>
      <c r="AW198" s="1472" t="str">
        <f t="shared" si="199"/>
        <v/>
      </c>
      <c r="AX198" s="1028"/>
      <c r="AY198" s="130" t="str">
        <f t="shared" si="200"/>
        <v/>
      </c>
      <c r="AZ198" s="1472" t="str">
        <f t="shared" si="201"/>
        <v/>
      </c>
      <c r="BA198" s="1028"/>
      <c r="BB198" s="130" t="str">
        <f t="shared" si="202"/>
        <v/>
      </c>
      <c r="BC198" s="1472" t="str">
        <f t="shared" si="203"/>
        <v/>
      </c>
      <c r="BD198" s="1028"/>
      <c r="BE198" s="130" t="str">
        <f t="shared" si="204"/>
        <v/>
      </c>
      <c r="BF198" s="1472" t="str">
        <f t="shared" si="205"/>
        <v/>
      </c>
      <c r="BG198" s="1028"/>
      <c r="BH198" s="130" t="str">
        <f t="shared" si="206"/>
        <v/>
      </c>
      <c r="BI198" s="1472" t="str">
        <f t="shared" si="207"/>
        <v/>
      </c>
      <c r="BJ198" s="1028"/>
      <c r="BK198" s="130" t="str">
        <f t="shared" si="208"/>
        <v/>
      </c>
      <c r="BL198" s="1472" t="str">
        <f t="shared" si="209"/>
        <v/>
      </c>
      <c r="BM198" s="1028"/>
      <c r="BN198" s="130" t="str">
        <f t="shared" si="210"/>
        <v/>
      </c>
      <c r="BO198" s="1472" t="str">
        <f t="shared" si="211"/>
        <v/>
      </c>
      <c r="BP198" s="1028"/>
      <c r="BQ198" s="130" t="str">
        <f t="shared" si="212"/>
        <v/>
      </c>
      <c r="BR198" s="1472" t="str">
        <f t="shared" si="213"/>
        <v/>
      </c>
      <c r="BS198" s="1028"/>
      <c r="BT198" s="130" t="str">
        <f t="shared" si="214"/>
        <v/>
      </c>
      <c r="BU198" s="1472" t="str">
        <f t="shared" si="215"/>
        <v/>
      </c>
      <c r="BV198" s="1028"/>
      <c r="BW198" s="130" t="str">
        <f t="shared" si="216"/>
        <v/>
      </c>
      <c r="BX198" s="1472" t="str">
        <f t="shared" si="217"/>
        <v/>
      </c>
      <c r="BY198" s="1028"/>
      <c r="BZ198" s="130" t="str">
        <f t="shared" si="218"/>
        <v/>
      </c>
      <c r="CA198" s="1472" t="str">
        <f t="shared" si="219"/>
        <v/>
      </c>
      <c r="CB198" s="1028"/>
      <c r="CC198" s="130" t="str">
        <f t="shared" si="220"/>
        <v/>
      </c>
      <c r="CD198" s="1472" t="str">
        <f t="shared" si="221"/>
        <v/>
      </c>
      <c r="CE198" s="1028"/>
      <c r="CF198" s="130" t="str">
        <f t="shared" si="222"/>
        <v/>
      </c>
      <c r="CG198" s="1472" t="str">
        <f t="shared" si="223"/>
        <v/>
      </c>
      <c r="CH198" s="1028"/>
      <c r="CI198" s="130" t="str">
        <f t="shared" si="224"/>
        <v/>
      </c>
      <c r="CJ198" s="1472" t="str">
        <f t="shared" si="225"/>
        <v/>
      </c>
      <c r="CK198" s="1028"/>
      <c r="CL198" s="130" t="str">
        <f t="shared" si="226"/>
        <v/>
      </c>
      <c r="CM198" s="1472" t="str">
        <f t="shared" si="227"/>
        <v/>
      </c>
      <c r="CN198" s="1028"/>
      <c r="CO198" s="130" t="str">
        <f t="shared" si="228"/>
        <v/>
      </c>
      <c r="CP198" s="1472" t="str">
        <f t="shared" si="229"/>
        <v/>
      </c>
      <c r="CQ198" s="1028"/>
      <c r="CR198" s="130" t="str">
        <f t="shared" si="230"/>
        <v/>
      </c>
      <c r="CS198" s="1472" t="str">
        <f t="shared" si="231"/>
        <v/>
      </c>
      <c r="CT198" s="1028"/>
      <c r="CU198" s="130" t="str">
        <f t="shared" si="232"/>
        <v/>
      </c>
      <c r="CV198" s="1472" t="str">
        <f t="shared" si="233"/>
        <v/>
      </c>
      <c r="CW198" s="1028"/>
      <c r="CX198" s="130" t="str">
        <f t="shared" si="234"/>
        <v/>
      </c>
      <c r="CY198" s="1472" t="str">
        <f t="shared" si="235"/>
        <v/>
      </c>
      <c r="CZ198" s="1028"/>
      <c r="DA198" s="130" t="str">
        <f t="shared" si="236"/>
        <v/>
      </c>
      <c r="DB198" s="1472" t="str">
        <f t="shared" si="237"/>
        <v/>
      </c>
      <c r="DC198" s="1028"/>
      <c r="DD198" s="130" t="str">
        <f t="shared" si="238"/>
        <v/>
      </c>
      <c r="DE198" s="1472" t="str">
        <f t="shared" si="239"/>
        <v/>
      </c>
      <c r="DF198" s="1028"/>
      <c r="DG198" s="130" t="str">
        <f t="shared" si="240"/>
        <v/>
      </c>
      <c r="DH198" s="1472" t="str">
        <f t="shared" si="241"/>
        <v/>
      </c>
      <c r="DI198" s="1028"/>
      <c r="DJ198" s="130" t="str">
        <f t="shared" si="242"/>
        <v/>
      </c>
      <c r="DK198" s="1472" t="str">
        <f t="shared" si="243"/>
        <v/>
      </c>
      <c r="DL198" s="1028"/>
      <c r="DM198" s="130" t="str">
        <f t="shared" si="244"/>
        <v/>
      </c>
      <c r="DN198" s="1472" t="str">
        <f t="shared" si="245"/>
        <v/>
      </c>
      <c r="DO198" s="1028"/>
      <c r="DP198" s="130" t="str">
        <f t="shared" si="246"/>
        <v/>
      </c>
      <c r="DQ198" s="1472" t="str">
        <f t="shared" si="247"/>
        <v/>
      </c>
      <c r="DR198" s="1028"/>
      <c r="DS198" s="130" t="str">
        <f t="shared" si="248"/>
        <v/>
      </c>
      <c r="DT198" s="1472" t="str">
        <f t="shared" si="249"/>
        <v/>
      </c>
      <c r="DU198" s="1028"/>
      <c r="DV198" s="130" t="str">
        <f t="shared" si="250"/>
        <v/>
      </c>
      <c r="DW198" s="1472" t="str">
        <f t="shared" si="251"/>
        <v/>
      </c>
      <c r="DX198" s="147"/>
    </row>
    <row r="199" ht="23.25" customHeight="true" x14ac:dyDescent="0.25">
      <c r="B199" s="1612"/>
      <c r="C199" s="1613"/>
      <c r="D199" s="1613"/>
      <c r="E199" s="1154">
        <f t="shared" si="170"/>
        <v>14</v>
      </c>
      <c r="F199" s="1734" t="str">
        <f t="shared" si="252"/>
        <v/>
      </c>
      <c r="G199" s="1735"/>
      <c r="H199" s="1028"/>
      <c r="I199" s="130" t="str">
        <f t="shared" si="172"/>
        <v/>
      </c>
      <c r="J199" s="5" t="str">
        <f t="shared" si="173"/>
        <v/>
      </c>
      <c r="K199" s="1028"/>
      <c r="L199" s="130" t="str">
        <f t="shared" si="174"/>
        <v/>
      </c>
      <c r="M199" s="5" t="str">
        <f t="shared" si="175"/>
        <v/>
      </c>
      <c r="N199" s="1028"/>
      <c r="O199" s="130" t="str">
        <f t="shared" si="176"/>
        <v/>
      </c>
      <c r="P199" s="5" t="str">
        <f t="shared" si="177"/>
        <v/>
      </c>
      <c r="Q199" s="1028"/>
      <c r="R199" s="130" t="str">
        <f t="shared" si="178"/>
        <v/>
      </c>
      <c r="S199" s="1472" t="str">
        <f t="shared" si="179"/>
        <v/>
      </c>
      <c r="T199" s="1028"/>
      <c r="U199" s="130" t="str">
        <f t="shared" si="180"/>
        <v/>
      </c>
      <c r="V199" s="1472" t="str">
        <f t="shared" si="181"/>
        <v/>
      </c>
      <c r="W199" s="1028"/>
      <c r="X199" s="130" t="str">
        <f t="shared" si="182"/>
        <v/>
      </c>
      <c r="Y199" s="1472" t="str">
        <f t="shared" si="183"/>
        <v/>
      </c>
      <c r="Z199" s="1028"/>
      <c r="AA199" s="130" t="str">
        <f t="shared" si="184"/>
        <v/>
      </c>
      <c r="AB199" s="1472" t="str">
        <f t="shared" si="185"/>
        <v/>
      </c>
      <c r="AC199" s="1028"/>
      <c r="AD199" s="130" t="str">
        <f t="shared" si="186"/>
        <v/>
      </c>
      <c r="AE199" s="1472" t="str">
        <f t="shared" si="187"/>
        <v/>
      </c>
      <c r="AF199" s="1028"/>
      <c r="AG199" s="130" t="str">
        <f t="shared" si="188"/>
        <v/>
      </c>
      <c r="AH199" s="1472" t="str">
        <f t="shared" si="189"/>
        <v/>
      </c>
      <c r="AI199" s="1028"/>
      <c r="AJ199" s="130" t="str">
        <f t="shared" si="190"/>
        <v/>
      </c>
      <c r="AK199" s="1472" t="str">
        <f t="shared" si="191"/>
        <v/>
      </c>
      <c r="AL199" s="1028"/>
      <c r="AM199" s="130" t="str">
        <f t="shared" si="192"/>
        <v/>
      </c>
      <c r="AN199" s="1472" t="str">
        <f t="shared" si="193"/>
        <v/>
      </c>
      <c r="AO199" s="1028"/>
      <c r="AP199" s="130" t="str">
        <f t="shared" si="194"/>
        <v/>
      </c>
      <c r="AQ199" s="1472" t="str">
        <f t="shared" si="195"/>
        <v/>
      </c>
      <c r="AR199" s="1028"/>
      <c r="AS199" s="130" t="str">
        <f t="shared" si="196"/>
        <v/>
      </c>
      <c r="AT199" s="1472" t="str">
        <f t="shared" si="197"/>
        <v/>
      </c>
      <c r="AU199" s="1028"/>
      <c r="AV199" s="130" t="str">
        <f t="shared" si="198"/>
        <v/>
      </c>
      <c r="AW199" s="1472" t="str">
        <f t="shared" si="199"/>
        <v/>
      </c>
      <c r="AX199" s="1028"/>
      <c r="AY199" s="130" t="str">
        <f t="shared" si="200"/>
        <v/>
      </c>
      <c r="AZ199" s="1472" t="str">
        <f t="shared" si="201"/>
        <v/>
      </c>
      <c r="BA199" s="1028"/>
      <c r="BB199" s="130" t="str">
        <f t="shared" si="202"/>
        <v/>
      </c>
      <c r="BC199" s="1472" t="str">
        <f t="shared" si="203"/>
        <v/>
      </c>
      <c r="BD199" s="1028"/>
      <c r="BE199" s="130" t="str">
        <f t="shared" si="204"/>
        <v/>
      </c>
      <c r="BF199" s="1472" t="str">
        <f t="shared" si="205"/>
        <v/>
      </c>
      <c r="BG199" s="1028"/>
      <c r="BH199" s="130" t="str">
        <f t="shared" si="206"/>
        <v/>
      </c>
      <c r="BI199" s="1472" t="str">
        <f t="shared" si="207"/>
        <v/>
      </c>
      <c r="BJ199" s="1028"/>
      <c r="BK199" s="130" t="str">
        <f t="shared" si="208"/>
        <v/>
      </c>
      <c r="BL199" s="1472" t="str">
        <f t="shared" si="209"/>
        <v/>
      </c>
      <c r="BM199" s="1028"/>
      <c r="BN199" s="130" t="str">
        <f t="shared" si="210"/>
        <v/>
      </c>
      <c r="BO199" s="1472" t="str">
        <f t="shared" si="211"/>
        <v/>
      </c>
      <c r="BP199" s="1028"/>
      <c r="BQ199" s="130" t="str">
        <f t="shared" si="212"/>
        <v/>
      </c>
      <c r="BR199" s="1472" t="str">
        <f t="shared" si="213"/>
        <v/>
      </c>
      <c r="BS199" s="1028"/>
      <c r="BT199" s="130" t="str">
        <f t="shared" si="214"/>
        <v/>
      </c>
      <c r="BU199" s="1472" t="str">
        <f t="shared" si="215"/>
        <v/>
      </c>
      <c r="BV199" s="1028"/>
      <c r="BW199" s="130" t="str">
        <f t="shared" si="216"/>
        <v/>
      </c>
      <c r="BX199" s="1472" t="str">
        <f t="shared" si="217"/>
        <v/>
      </c>
      <c r="BY199" s="1028"/>
      <c r="BZ199" s="130" t="str">
        <f t="shared" si="218"/>
        <v/>
      </c>
      <c r="CA199" s="1472" t="str">
        <f t="shared" si="219"/>
        <v/>
      </c>
      <c r="CB199" s="1028"/>
      <c r="CC199" s="130" t="str">
        <f t="shared" si="220"/>
        <v/>
      </c>
      <c r="CD199" s="1472" t="str">
        <f t="shared" si="221"/>
        <v/>
      </c>
      <c r="CE199" s="1028"/>
      <c r="CF199" s="130" t="str">
        <f t="shared" si="222"/>
        <v/>
      </c>
      <c r="CG199" s="1472" t="str">
        <f t="shared" si="223"/>
        <v/>
      </c>
      <c r="CH199" s="1028"/>
      <c r="CI199" s="130" t="str">
        <f t="shared" si="224"/>
        <v/>
      </c>
      <c r="CJ199" s="1472" t="str">
        <f t="shared" si="225"/>
        <v/>
      </c>
      <c r="CK199" s="1028"/>
      <c r="CL199" s="130" t="str">
        <f t="shared" si="226"/>
        <v/>
      </c>
      <c r="CM199" s="1472" t="str">
        <f t="shared" si="227"/>
        <v/>
      </c>
      <c r="CN199" s="1028"/>
      <c r="CO199" s="130" t="str">
        <f t="shared" si="228"/>
        <v/>
      </c>
      <c r="CP199" s="1472" t="str">
        <f t="shared" si="229"/>
        <v/>
      </c>
      <c r="CQ199" s="1028"/>
      <c r="CR199" s="130" t="str">
        <f t="shared" si="230"/>
        <v/>
      </c>
      <c r="CS199" s="1472" t="str">
        <f t="shared" si="231"/>
        <v/>
      </c>
      <c r="CT199" s="1028"/>
      <c r="CU199" s="130" t="str">
        <f t="shared" si="232"/>
        <v/>
      </c>
      <c r="CV199" s="1472" t="str">
        <f t="shared" si="233"/>
        <v/>
      </c>
      <c r="CW199" s="1028"/>
      <c r="CX199" s="130" t="str">
        <f t="shared" si="234"/>
        <v/>
      </c>
      <c r="CY199" s="1472" t="str">
        <f t="shared" si="235"/>
        <v/>
      </c>
      <c r="CZ199" s="1028"/>
      <c r="DA199" s="130" t="str">
        <f t="shared" si="236"/>
        <v/>
      </c>
      <c r="DB199" s="1472" t="str">
        <f t="shared" si="237"/>
        <v/>
      </c>
      <c r="DC199" s="1028"/>
      <c r="DD199" s="130" t="str">
        <f t="shared" si="238"/>
        <v/>
      </c>
      <c r="DE199" s="1472" t="str">
        <f t="shared" si="239"/>
        <v/>
      </c>
      <c r="DF199" s="1028"/>
      <c r="DG199" s="130" t="str">
        <f t="shared" si="240"/>
        <v/>
      </c>
      <c r="DH199" s="1472" t="str">
        <f t="shared" si="241"/>
        <v/>
      </c>
      <c r="DI199" s="1028"/>
      <c r="DJ199" s="130" t="str">
        <f t="shared" si="242"/>
        <v/>
      </c>
      <c r="DK199" s="1472" t="str">
        <f t="shared" si="243"/>
        <v/>
      </c>
      <c r="DL199" s="1028"/>
      <c r="DM199" s="130" t="str">
        <f t="shared" si="244"/>
        <v/>
      </c>
      <c r="DN199" s="1472" t="str">
        <f t="shared" si="245"/>
        <v/>
      </c>
      <c r="DO199" s="1028"/>
      <c r="DP199" s="130" t="str">
        <f t="shared" si="246"/>
        <v/>
      </c>
      <c r="DQ199" s="1472" t="str">
        <f t="shared" si="247"/>
        <v/>
      </c>
      <c r="DR199" s="1028"/>
      <c r="DS199" s="130" t="str">
        <f t="shared" si="248"/>
        <v/>
      </c>
      <c r="DT199" s="1472" t="str">
        <f t="shared" si="249"/>
        <v/>
      </c>
      <c r="DU199" s="1028"/>
      <c r="DV199" s="130" t="str">
        <f t="shared" si="250"/>
        <v/>
      </c>
      <c r="DW199" s="1472" t="str">
        <f t="shared" si="251"/>
        <v/>
      </c>
      <c r="DX199" s="147"/>
    </row>
    <row r="200" ht="23.25" customHeight="true" x14ac:dyDescent="0.25">
      <c r="B200" s="1612"/>
      <c r="C200" s="1613"/>
      <c r="D200" s="1613"/>
      <c r="E200" s="1154">
        <f t="shared" si="170"/>
        <v>15</v>
      </c>
      <c r="F200" s="1734" t="str">
        <f t="shared" si="252"/>
        <v/>
      </c>
      <c r="G200" s="1735"/>
      <c r="H200" s="1028"/>
      <c r="I200" s="130" t="str">
        <f t="shared" si="172"/>
        <v/>
      </c>
      <c r="J200" s="5" t="str">
        <f t="shared" si="173"/>
        <v/>
      </c>
      <c r="K200" s="1028"/>
      <c r="L200" s="130" t="str">
        <f t="shared" si="174"/>
        <v/>
      </c>
      <c r="M200" s="5" t="str">
        <f t="shared" si="175"/>
        <v/>
      </c>
      <c r="N200" s="1028"/>
      <c r="O200" s="130" t="str">
        <f t="shared" si="176"/>
        <v/>
      </c>
      <c r="P200" s="5" t="str">
        <f t="shared" si="177"/>
        <v/>
      </c>
      <c r="Q200" s="1028"/>
      <c r="R200" s="130" t="str">
        <f t="shared" si="178"/>
        <v/>
      </c>
      <c r="S200" s="1472" t="str">
        <f t="shared" si="179"/>
        <v/>
      </c>
      <c r="T200" s="1028"/>
      <c r="U200" s="130" t="str">
        <f t="shared" si="180"/>
        <v/>
      </c>
      <c r="V200" s="1472" t="str">
        <f t="shared" si="181"/>
        <v/>
      </c>
      <c r="W200" s="1028"/>
      <c r="X200" s="130" t="str">
        <f t="shared" si="182"/>
        <v/>
      </c>
      <c r="Y200" s="1472" t="str">
        <f t="shared" si="183"/>
        <v/>
      </c>
      <c r="Z200" s="1028"/>
      <c r="AA200" s="130" t="str">
        <f t="shared" si="184"/>
        <v/>
      </c>
      <c r="AB200" s="1472" t="str">
        <f t="shared" si="185"/>
        <v/>
      </c>
      <c r="AC200" s="1028"/>
      <c r="AD200" s="130" t="str">
        <f t="shared" si="186"/>
        <v/>
      </c>
      <c r="AE200" s="1472" t="str">
        <f t="shared" si="187"/>
        <v/>
      </c>
      <c r="AF200" s="1028"/>
      <c r="AG200" s="130" t="str">
        <f t="shared" si="188"/>
        <v/>
      </c>
      <c r="AH200" s="1472" t="str">
        <f t="shared" si="189"/>
        <v/>
      </c>
      <c r="AI200" s="1028"/>
      <c r="AJ200" s="130" t="str">
        <f t="shared" si="190"/>
        <v/>
      </c>
      <c r="AK200" s="1472" t="str">
        <f t="shared" si="191"/>
        <v/>
      </c>
      <c r="AL200" s="1028"/>
      <c r="AM200" s="130" t="str">
        <f t="shared" si="192"/>
        <v/>
      </c>
      <c r="AN200" s="1472" t="str">
        <f t="shared" si="193"/>
        <v/>
      </c>
      <c r="AO200" s="1028"/>
      <c r="AP200" s="130" t="str">
        <f t="shared" si="194"/>
        <v/>
      </c>
      <c r="AQ200" s="1472" t="str">
        <f t="shared" si="195"/>
        <v/>
      </c>
      <c r="AR200" s="1028"/>
      <c r="AS200" s="130" t="str">
        <f t="shared" si="196"/>
        <v/>
      </c>
      <c r="AT200" s="1472" t="str">
        <f t="shared" si="197"/>
        <v/>
      </c>
      <c r="AU200" s="1028"/>
      <c r="AV200" s="130" t="str">
        <f t="shared" si="198"/>
        <v/>
      </c>
      <c r="AW200" s="1472" t="str">
        <f t="shared" si="199"/>
        <v/>
      </c>
      <c r="AX200" s="1028"/>
      <c r="AY200" s="130" t="str">
        <f t="shared" si="200"/>
        <v/>
      </c>
      <c r="AZ200" s="1472" t="str">
        <f t="shared" si="201"/>
        <v/>
      </c>
      <c r="BA200" s="1028"/>
      <c r="BB200" s="130" t="str">
        <f t="shared" si="202"/>
        <v/>
      </c>
      <c r="BC200" s="1472" t="str">
        <f t="shared" si="203"/>
        <v/>
      </c>
      <c r="BD200" s="1028"/>
      <c r="BE200" s="130" t="str">
        <f t="shared" si="204"/>
        <v/>
      </c>
      <c r="BF200" s="1472" t="str">
        <f t="shared" si="205"/>
        <v/>
      </c>
      <c r="BG200" s="1028"/>
      <c r="BH200" s="130" t="str">
        <f t="shared" si="206"/>
        <v/>
      </c>
      <c r="BI200" s="1472" t="str">
        <f t="shared" si="207"/>
        <v/>
      </c>
      <c r="BJ200" s="1028"/>
      <c r="BK200" s="130" t="str">
        <f t="shared" si="208"/>
        <v/>
      </c>
      <c r="BL200" s="1472" t="str">
        <f t="shared" si="209"/>
        <v/>
      </c>
      <c r="BM200" s="1028"/>
      <c r="BN200" s="130" t="str">
        <f t="shared" si="210"/>
        <v/>
      </c>
      <c r="BO200" s="1472" t="str">
        <f t="shared" si="211"/>
        <v/>
      </c>
      <c r="BP200" s="1028"/>
      <c r="BQ200" s="130" t="str">
        <f t="shared" si="212"/>
        <v/>
      </c>
      <c r="BR200" s="1472" t="str">
        <f t="shared" si="213"/>
        <v/>
      </c>
      <c r="BS200" s="1028"/>
      <c r="BT200" s="130" t="str">
        <f t="shared" si="214"/>
        <v/>
      </c>
      <c r="BU200" s="1472" t="str">
        <f t="shared" si="215"/>
        <v/>
      </c>
      <c r="BV200" s="1028"/>
      <c r="BW200" s="130" t="str">
        <f t="shared" si="216"/>
        <v/>
      </c>
      <c r="BX200" s="1472" t="str">
        <f t="shared" si="217"/>
        <v/>
      </c>
      <c r="BY200" s="1028"/>
      <c r="BZ200" s="130" t="str">
        <f t="shared" si="218"/>
        <v/>
      </c>
      <c r="CA200" s="1472" t="str">
        <f t="shared" si="219"/>
        <v/>
      </c>
      <c r="CB200" s="1028"/>
      <c r="CC200" s="130" t="str">
        <f t="shared" si="220"/>
        <v/>
      </c>
      <c r="CD200" s="1472" t="str">
        <f t="shared" si="221"/>
        <v/>
      </c>
      <c r="CE200" s="1028"/>
      <c r="CF200" s="130" t="str">
        <f t="shared" si="222"/>
        <v/>
      </c>
      <c r="CG200" s="1472" t="str">
        <f t="shared" si="223"/>
        <v/>
      </c>
      <c r="CH200" s="1028"/>
      <c r="CI200" s="130" t="str">
        <f t="shared" si="224"/>
        <v/>
      </c>
      <c r="CJ200" s="1472" t="str">
        <f t="shared" si="225"/>
        <v/>
      </c>
      <c r="CK200" s="1028"/>
      <c r="CL200" s="130" t="str">
        <f t="shared" si="226"/>
        <v/>
      </c>
      <c r="CM200" s="1472" t="str">
        <f t="shared" si="227"/>
        <v/>
      </c>
      <c r="CN200" s="1028"/>
      <c r="CO200" s="130" t="str">
        <f t="shared" si="228"/>
        <v/>
      </c>
      <c r="CP200" s="1472" t="str">
        <f t="shared" si="229"/>
        <v/>
      </c>
      <c r="CQ200" s="1028"/>
      <c r="CR200" s="130" t="str">
        <f t="shared" si="230"/>
        <v/>
      </c>
      <c r="CS200" s="1472" t="str">
        <f t="shared" si="231"/>
        <v/>
      </c>
      <c r="CT200" s="1028"/>
      <c r="CU200" s="130" t="str">
        <f t="shared" si="232"/>
        <v/>
      </c>
      <c r="CV200" s="1472" t="str">
        <f t="shared" si="233"/>
        <v/>
      </c>
      <c r="CW200" s="1028"/>
      <c r="CX200" s="130" t="str">
        <f t="shared" si="234"/>
        <v/>
      </c>
      <c r="CY200" s="1472" t="str">
        <f t="shared" si="235"/>
        <v/>
      </c>
      <c r="CZ200" s="1028"/>
      <c r="DA200" s="130" t="str">
        <f t="shared" si="236"/>
        <v/>
      </c>
      <c r="DB200" s="1472" t="str">
        <f t="shared" si="237"/>
        <v/>
      </c>
      <c r="DC200" s="1028"/>
      <c r="DD200" s="130" t="str">
        <f t="shared" si="238"/>
        <v/>
      </c>
      <c r="DE200" s="1472" t="str">
        <f t="shared" si="239"/>
        <v/>
      </c>
      <c r="DF200" s="1028"/>
      <c r="DG200" s="130" t="str">
        <f t="shared" si="240"/>
        <v/>
      </c>
      <c r="DH200" s="1472" t="str">
        <f t="shared" si="241"/>
        <v/>
      </c>
      <c r="DI200" s="1028"/>
      <c r="DJ200" s="130" t="str">
        <f t="shared" si="242"/>
        <v/>
      </c>
      <c r="DK200" s="1472" t="str">
        <f t="shared" si="243"/>
        <v/>
      </c>
      <c r="DL200" s="1028"/>
      <c r="DM200" s="130" t="str">
        <f t="shared" si="244"/>
        <v/>
      </c>
      <c r="DN200" s="1472" t="str">
        <f t="shared" si="245"/>
        <v/>
      </c>
      <c r="DO200" s="1028"/>
      <c r="DP200" s="130" t="str">
        <f t="shared" si="246"/>
        <v/>
      </c>
      <c r="DQ200" s="1472" t="str">
        <f t="shared" si="247"/>
        <v/>
      </c>
      <c r="DR200" s="1028"/>
      <c r="DS200" s="130" t="str">
        <f t="shared" si="248"/>
        <v/>
      </c>
      <c r="DT200" s="1472" t="str">
        <f t="shared" si="249"/>
        <v/>
      </c>
      <c r="DU200" s="1028"/>
      <c r="DV200" s="130" t="str">
        <f t="shared" si="250"/>
        <v/>
      </c>
      <c r="DW200" s="1472" t="str">
        <f t="shared" si="251"/>
        <v/>
      </c>
      <c r="DX200" s="147"/>
    </row>
    <row r="201" ht="23.25" customHeight="true" x14ac:dyDescent="0.25">
      <c r="B201" s="1612"/>
      <c r="C201" s="1613"/>
      <c r="D201" s="1613"/>
      <c r="E201" s="1154">
        <f t="shared" si="170"/>
        <v>16</v>
      </c>
      <c r="F201" s="1734" t="str">
        <f t="shared" si="252"/>
        <v/>
      </c>
      <c r="G201" s="1735"/>
      <c r="H201" s="1028"/>
      <c r="I201" s="130" t="str">
        <f t="shared" si="172"/>
        <v/>
      </c>
      <c r="J201" s="5" t="str">
        <f t="shared" si="173"/>
        <v/>
      </c>
      <c r="K201" s="1028"/>
      <c r="L201" s="130" t="str">
        <f t="shared" si="174"/>
        <v/>
      </c>
      <c r="M201" s="5" t="str">
        <f t="shared" si="175"/>
        <v/>
      </c>
      <c r="N201" s="1028"/>
      <c r="O201" s="130" t="str">
        <f t="shared" si="176"/>
        <v/>
      </c>
      <c r="P201" s="5" t="str">
        <f t="shared" si="177"/>
        <v/>
      </c>
      <c r="Q201" s="1028"/>
      <c r="R201" s="130" t="str">
        <f t="shared" si="178"/>
        <v/>
      </c>
      <c r="S201" s="1472" t="str">
        <f t="shared" si="179"/>
        <v/>
      </c>
      <c r="T201" s="1028"/>
      <c r="U201" s="130" t="str">
        <f t="shared" si="180"/>
        <v/>
      </c>
      <c r="V201" s="1472" t="str">
        <f t="shared" si="181"/>
        <v/>
      </c>
      <c r="W201" s="1028"/>
      <c r="X201" s="130" t="str">
        <f t="shared" si="182"/>
        <v/>
      </c>
      <c r="Y201" s="1472" t="str">
        <f t="shared" si="183"/>
        <v/>
      </c>
      <c r="Z201" s="1028"/>
      <c r="AA201" s="130" t="str">
        <f t="shared" si="184"/>
        <v/>
      </c>
      <c r="AB201" s="1472" t="str">
        <f t="shared" si="185"/>
        <v/>
      </c>
      <c r="AC201" s="1028"/>
      <c r="AD201" s="130" t="str">
        <f t="shared" si="186"/>
        <v/>
      </c>
      <c r="AE201" s="1472" t="str">
        <f t="shared" si="187"/>
        <v/>
      </c>
      <c r="AF201" s="1028"/>
      <c r="AG201" s="130" t="str">
        <f t="shared" si="188"/>
        <v/>
      </c>
      <c r="AH201" s="1472" t="str">
        <f t="shared" si="189"/>
        <v/>
      </c>
      <c r="AI201" s="1028"/>
      <c r="AJ201" s="130" t="str">
        <f t="shared" si="190"/>
        <v/>
      </c>
      <c r="AK201" s="1472" t="str">
        <f t="shared" si="191"/>
        <v/>
      </c>
      <c r="AL201" s="1028"/>
      <c r="AM201" s="130" t="str">
        <f t="shared" si="192"/>
        <v/>
      </c>
      <c r="AN201" s="1472" t="str">
        <f t="shared" si="193"/>
        <v/>
      </c>
      <c r="AO201" s="1028"/>
      <c r="AP201" s="130" t="str">
        <f t="shared" si="194"/>
        <v/>
      </c>
      <c r="AQ201" s="1472" t="str">
        <f t="shared" si="195"/>
        <v/>
      </c>
      <c r="AR201" s="1028"/>
      <c r="AS201" s="130" t="str">
        <f t="shared" si="196"/>
        <v/>
      </c>
      <c r="AT201" s="1472" t="str">
        <f t="shared" si="197"/>
        <v/>
      </c>
      <c r="AU201" s="1028"/>
      <c r="AV201" s="130" t="str">
        <f t="shared" si="198"/>
        <v/>
      </c>
      <c r="AW201" s="1472" t="str">
        <f t="shared" si="199"/>
        <v/>
      </c>
      <c r="AX201" s="1028"/>
      <c r="AY201" s="130" t="str">
        <f t="shared" si="200"/>
        <v/>
      </c>
      <c r="AZ201" s="1472" t="str">
        <f t="shared" si="201"/>
        <v/>
      </c>
      <c r="BA201" s="1028"/>
      <c r="BB201" s="130" t="str">
        <f t="shared" si="202"/>
        <v/>
      </c>
      <c r="BC201" s="1472" t="str">
        <f t="shared" si="203"/>
        <v/>
      </c>
      <c r="BD201" s="1028"/>
      <c r="BE201" s="130" t="str">
        <f t="shared" si="204"/>
        <v/>
      </c>
      <c r="BF201" s="1472" t="str">
        <f t="shared" si="205"/>
        <v/>
      </c>
      <c r="BG201" s="1028"/>
      <c r="BH201" s="130" t="str">
        <f t="shared" si="206"/>
        <v/>
      </c>
      <c r="BI201" s="1472" t="str">
        <f t="shared" si="207"/>
        <v/>
      </c>
      <c r="BJ201" s="1028"/>
      <c r="BK201" s="130" t="str">
        <f t="shared" si="208"/>
        <v/>
      </c>
      <c r="BL201" s="1472" t="str">
        <f t="shared" si="209"/>
        <v/>
      </c>
      <c r="BM201" s="1028"/>
      <c r="BN201" s="130" t="str">
        <f t="shared" si="210"/>
        <v/>
      </c>
      <c r="BO201" s="1472" t="str">
        <f t="shared" si="211"/>
        <v/>
      </c>
      <c r="BP201" s="1028"/>
      <c r="BQ201" s="130" t="str">
        <f t="shared" si="212"/>
        <v/>
      </c>
      <c r="BR201" s="1472" t="str">
        <f t="shared" si="213"/>
        <v/>
      </c>
      <c r="BS201" s="1028"/>
      <c r="BT201" s="130" t="str">
        <f t="shared" si="214"/>
        <v/>
      </c>
      <c r="BU201" s="1472" t="str">
        <f t="shared" si="215"/>
        <v/>
      </c>
      <c r="BV201" s="1028"/>
      <c r="BW201" s="130" t="str">
        <f t="shared" si="216"/>
        <v/>
      </c>
      <c r="BX201" s="1472" t="str">
        <f t="shared" si="217"/>
        <v/>
      </c>
      <c r="BY201" s="1028"/>
      <c r="BZ201" s="130" t="str">
        <f t="shared" si="218"/>
        <v/>
      </c>
      <c r="CA201" s="1472" t="str">
        <f t="shared" si="219"/>
        <v/>
      </c>
      <c r="CB201" s="1028"/>
      <c r="CC201" s="130" t="str">
        <f t="shared" si="220"/>
        <v/>
      </c>
      <c r="CD201" s="1472" t="str">
        <f t="shared" si="221"/>
        <v/>
      </c>
      <c r="CE201" s="1028"/>
      <c r="CF201" s="130" t="str">
        <f t="shared" si="222"/>
        <v/>
      </c>
      <c r="CG201" s="1472" t="str">
        <f t="shared" si="223"/>
        <v/>
      </c>
      <c r="CH201" s="1028"/>
      <c r="CI201" s="130" t="str">
        <f t="shared" si="224"/>
        <v/>
      </c>
      <c r="CJ201" s="1472" t="str">
        <f t="shared" si="225"/>
        <v/>
      </c>
      <c r="CK201" s="1028"/>
      <c r="CL201" s="130" t="str">
        <f t="shared" si="226"/>
        <v/>
      </c>
      <c r="CM201" s="1472" t="str">
        <f t="shared" si="227"/>
        <v/>
      </c>
      <c r="CN201" s="1028"/>
      <c r="CO201" s="130" t="str">
        <f t="shared" si="228"/>
        <v/>
      </c>
      <c r="CP201" s="1472" t="str">
        <f t="shared" si="229"/>
        <v/>
      </c>
      <c r="CQ201" s="1028"/>
      <c r="CR201" s="130" t="str">
        <f t="shared" si="230"/>
        <v/>
      </c>
      <c r="CS201" s="1472" t="str">
        <f t="shared" si="231"/>
        <v/>
      </c>
      <c r="CT201" s="1028"/>
      <c r="CU201" s="130" t="str">
        <f t="shared" si="232"/>
        <v/>
      </c>
      <c r="CV201" s="1472" t="str">
        <f t="shared" si="233"/>
        <v/>
      </c>
      <c r="CW201" s="1028"/>
      <c r="CX201" s="130" t="str">
        <f t="shared" si="234"/>
        <v/>
      </c>
      <c r="CY201" s="1472" t="str">
        <f t="shared" si="235"/>
        <v/>
      </c>
      <c r="CZ201" s="1028"/>
      <c r="DA201" s="130" t="str">
        <f t="shared" si="236"/>
        <v/>
      </c>
      <c r="DB201" s="1472" t="str">
        <f t="shared" si="237"/>
        <v/>
      </c>
      <c r="DC201" s="1028"/>
      <c r="DD201" s="130" t="str">
        <f t="shared" si="238"/>
        <v/>
      </c>
      <c r="DE201" s="1472" t="str">
        <f t="shared" si="239"/>
        <v/>
      </c>
      <c r="DF201" s="1028"/>
      <c r="DG201" s="130" t="str">
        <f t="shared" si="240"/>
        <v/>
      </c>
      <c r="DH201" s="1472" t="str">
        <f t="shared" si="241"/>
        <v/>
      </c>
      <c r="DI201" s="1028"/>
      <c r="DJ201" s="130" t="str">
        <f t="shared" si="242"/>
        <v/>
      </c>
      <c r="DK201" s="1472" t="str">
        <f t="shared" si="243"/>
        <v/>
      </c>
      <c r="DL201" s="1028"/>
      <c r="DM201" s="130" t="str">
        <f t="shared" si="244"/>
        <v/>
      </c>
      <c r="DN201" s="1472" t="str">
        <f t="shared" si="245"/>
        <v/>
      </c>
      <c r="DO201" s="1028"/>
      <c r="DP201" s="130" t="str">
        <f t="shared" si="246"/>
        <v/>
      </c>
      <c r="DQ201" s="1472" t="str">
        <f t="shared" si="247"/>
        <v/>
      </c>
      <c r="DR201" s="1028"/>
      <c r="DS201" s="130" t="str">
        <f t="shared" si="248"/>
        <v/>
      </c>
      <c r="DT201" s="1472" t="str">
        <f t="shared" si="249"/>
        <v/>
      </c>
      <c r="DU201" s="1028"/>
      <c r="DV201" s="130" t="str">
        <f t="shared" si="250"/>
        <v/>
      </c>
      <c r="DW201" s="1472" t="str">
        <f t="shared" si="251"/>
        <v/>
      </c>
      <c r="DX201" s="147"/>
    </row>
    <row r="202" ht="23.25" customHeight="true" x14ac:dyDescent="0.25">
      <c r="B202" s="1612"/>
      <c r="C202" s="1613"/>
      <c r="D202" s="1613"/>
      <c r="E202" s="1154">
        <f t="shared" si="170"/>
        <v>17</v>
      </c>
      <c r="F202" s="1734" t="str">
        <f t="shared" si="252"/>
        <v/>
      </c>
      <c r="G202" s="1735"/>
      <c r="H202" s="1028"/>
      <c r="I202" s="130" t="str">
        <f t="shared" si="172"/>
        <v/>
      </c>
      <c r="J202" s="5" t="str">
        <f t="shared" si="173"/>
        <v/>
      </c>
      <c r="K202" s="1028"/>
      <c r="L202" s="130" t="str">
        <f t="shared" si="174"/>
        <v/>
      </c>
      <c r="M202" s="5" t="str">
        <f t="shared" si="175"/>
        <v/>
      </c>
      <c r="N202" s="1028"/>
      <c r="O202" s="130" t="str">
        <f t="shared" si="176"/>
        <v/>
      </c>
      <c r="P202" s="5" t="str">
        <f t="shared" si="177"/>
        <v/>
      </c>
      <c r="Q202" s="1028"/>
      <c r="R202" s="130" t="str">
        <f t="shared" si="178"/>
        <v/>
      </c>
      <c r="S202" s="1472" t="str">
        <f t="shared" si="179"/>
        <v/>
      </c>
      <c r="T202" s="1028"/>
      <c r="U202" s="130" t="str">
        <f t="shared" si="180"/>
        <v/>
      </c>
      <c r="V202" s="1472" t="str">
        <f t="shared" si="181"/>
        <v/>
      </c>
      <c r="W202" s="1028"/>
      <c r="X202" s="130" t="str">
        <f t="shared" si="182"/>
        <v/>
      </c>
      <c r="Y202" s="1472" t="str">
        <f t="shared" si="183"/>
        <v/>
      </c>
      <c r="Z202" s="1028"/>
      <c r="AA202" s="130" t="str">
        <f t="shared" si="184"/>
        <v/>
      </c>
      <c r="AB202" s="1472" t="str">
        <f t="shared" si="185"/>
        <v/>
      </c>
      <c r="AC202" s="1028"/>
      <c r="AD202" s="130" t="str">
        <f t="shared" si="186"/>
        <v/>
      </c>
      <c r="AE202" s="1472" t="str">
        <f t="shared" si="187"/>
        <v/>
      </c>
      <c r="AF202" s="1028"/>
      <c r="AG202" s="130" t="str">
        <f t="shared" si="188"/>
        <v/>
      </c>
      <c r="AH202" s="1472" t="str">
        <f t="shared" si="189"/>
        <v/>
      </c>
      <c r="AI202" s="1028"/>
      <c r="AJ202" s="130" t="str">
        <f t="shared" si="190"/>
        <v/>
      </c>
      <c r="AK202" s="1472" t="str">
        <f t="shared" si="191"/>
        <v/>
      </c>
      <c r="AL202" s="1028"/>
      <c r="AM202" s="130" t="str">
        <f t="shared" si="192"/>
        <v/>
      </c>
      <c r="AN202" s="1472" t="str">
        <f t="shared" si="193"/>
        <v/>
      </c>
      <c r="AO202" s="1028"/>
      <c r="AP202" s="130" t="str">
        <f t="shared" si="194"/>
        <v/>
      </c>
      <c r="AQ202" s="1472" t="str">
        <f t="shared" si="195"/>
        <v/>
      </c>
      <c r="AR202" s="1028"/>
      <c r="AS202" s="130" t="str">
        <f t="shared" si="196"/>
        <v/>
      </c>
      <c r="AT202" s="1472" t="str">
        <f t="shared" si="197"/>
        <v/>
      </c>
      <c r="AU202" s="1028"/>
      <c r="AV202" s="130" t="str">
        <f t="shared" si="198"/>
        <v/>
      </c>
      <c r="AW202" s="1472" t="str">
        <f t="shared" si="199"/>
        <v/>
      </c>
      <c r="AX202" s="1028"/>
      <c r="AY202" s="130" t="str">
        <f t="shared" si="200"/>
        <v/>
      </c>
      <c r="AZ202" s="1472" t="str">
        <f t="shared" si="201"/>
        <v/>
      </c>
      <c r="BA202" s="1028"/>
      <c r="BB202" s="130" t="str">
        <f t="shared" si="202"/>
        <v/>
      </c>
      <c r="BC202" s="1472" t="str">
        <f t="shared" si="203"/>
        <v/>
      </c>
      <c r="BD202" s="1028"/>
      <c r="BE202" s="130" t="str">
        <f t="shared" si="204"/>
        <v/>
      </c>
      <c r="BF202" s="1472" t="str">
        <f t="shared" si="205"/>
        <v/>
      </c>
      <c r="BG202" s="1028"/>
      <c r="BH202" s="130" t="str">
        <f t="shared" si="206"/>
        <v/>
      </c>
      <c r="BI202" s="1472" t="str">
        <f t="shared" si="207"/>
        <v/>
      </c>
      <c r="BJ202" s="1028"/>
      <c r="BK202" s="130" t="str">
        <f t="shared" si="208"/>
        <v/>
      </c>
      <c r="BL202" s="1472" t="str">
        <f t="shared" si="209"/>
        <v/>
      </c>
      <c r="BM202" s="1028"/>
      <c r="BN202" s="130" t="str">
        <f t="shared" si="210"/>
        <v/>
      </c>
      <c r="BO202" s="1472" t="str">
        <f t="shared" si="211"/>
        <v/>
      </c>
      <c r="BP202" s="1028"/>
      <c r="BQ202" s="130" t="str">
        <f t="shared" si="212"/>
        <v/>
      </c>
      <c r="BR202" s="1472" t="str">
        <f t="shared" si="213"/>
        <v/>
      </c>
      <c r="BS202" s="1028"/>
      <c r="BT202" s="130" t="str">
        <f t="shared" si="214"/>
        <v/>
      </c>
      <c r="BU202" s="1472" t="str">
        <f t="shared" si="215"/>
        <v/>
      </c>
      <c r="BV202" s="1028"/>
      <c r="BW202" s="130" t="str">
        <f t="shared" si="216"/>
        <v/>
      </c>
      <c r="BX202" s="1472" t="str">
        <f t="shared" si="217"/>
        <v/>
      </c>
      <c r="BY202" s="1028"/>
      <c r="BZ202" s="130" t="str">
        <f t="shared" si="218"/>
        <v/>
      </c>
      <c r="CA202" s="1472" t="str">
        <f t="shared" si="219"/>
        <v/>
      </c>
      <c r="CB202" s="1028"/>
      <c r="CC202" s="130" t="str">
        <f t="shared" si="220"/>
        <v/>
      </c>
      <c r="CD202" s="1472" t="str">
        <f t="shared" si="221"/>
        <v/>
      </c>
      <c r="CE202" s="1028"/>
      <c r="CF202" s="130" t="str">
        <f t="shared" si="222"/>
        <v/>
      </c>
      <c r="CG202" s="1472" t="str">
        <f t="shared" si="223"/>
        <v/>
      </c>
      <c r="CH202" s="1028"/>
      <c r="CI202" s="130" t="str">
        <f t="shared" si="224"/>
        <v/>
      </c>
      <c r="CJ202" s="1472" t="str">
        <f t="shared" si="225"/>
        <v/>
      </c>
      <c r="CK202" s="1028"/>
      <c r="CL202" s="130" t="str">
        <f t="shared" si="226"/>
        <v/>
      </c>
      <c r="CM202" s="1472" t="str">
        <f t="shared" si="227"/>
        <v/>
      </c>
      <c r="CN202" s="1028"/>
      <c r="CO202" s="130" t="str">
        <f t="shared" si="228"/>
        <v/>
      </c>
      <c r="CP202" s="1472" t="str">
        <f t="shared" si="229"/>
        <v/>
      </c>
      <c r="CQ202" s="1028"/>
      <c r="CR202" s="130" t="str">
        <f t="shared" si="230"/>
        <v/>
      </c>
      <c r="CS202" s="1472" t="str">
        <f t="shared" si="231"/>
        <v/>
      </c>
      <c r="CT202" s="1028"/>
      <c r="CU202" s="130" t="str">
        <f t="shared" si="232"/>
        <v/>
      </c>
      <c r="CV202" s="1472" t="str">
        <f t="shared" si="233"/>
        <v/>
      </c>
      <c r="CW202" s="1028"/>
      <c r="CX202" s="130" t="str">
        <f t="shared" si="234"/>
        <v/>
      </c>
      <c r="CY202" s="1472" t="str">
        <f t="shared" si="235"/>
        <v/>
      </c>
      <c r="CZ202" s="1028"/>
      <c r="DA202" s="130" t="str">
        <f t="shared" si="236"/>
        <v/>
      </c>
      <c r="DB202" s="1472" t="str">
        <f t="shared" si="237"/>
        <v/>
      </c>
      <c r="DC202" s="1028"/>
      <c r="DD202" s="130" t="str">
        <f t="shared" si="238"/>
        <v/>
      </c>
      <c r="DE202" s="1472" t="str">
        <f t="shared" si="239"/>
        <v/>
      </c>
      <c r="DF202" s="1028"/>
      <c r="DG202" s="130" t="str">
        <f t="shared" si="240"/>
        <v/>
      </c>
      <c r="DH202" s="1472" t="str">
        <f t="shared" si="241"/>
        <v/>
      </c>
      <c r="DI202" s="1028"/>
      <c r="DJ202" s="130" t="str">
        <f t="shared" si="242"/>
        <v/>
      </c>
      <c r="DK202" s="1472" t="str">
        <f t="shared" si="243"/>
        <v/>
      </c>
      <c r="DL202" s="1028"/>
      <c r="DM202" s="130" t="str">
        <f t="shared" si="244"/>
        <v/>
      </c>
      <c r="DN202" s="1472" t="str">
        <f t="shared" si="245"/>
        <v/>
      </c>
      <c r="DO202" s="1028"/>
      <c r="DP202" s="130" t="str">
        <f t="shared" si="246"/>
        <v/>
      </c>
      <c r="DQ202" s="1472" t="str">
        <f t="shared" si="247"/>
        <v/>
      </c>
      <c r="DR202" s="1028"/>
      <c r="DS202" s="130" t="str">
        <f t="shared" si="248"/>
        <v/>
      </c>
      <c r="DT202" s="1472" t="str">
        <f t="shared" si="249"/>
        <v/>
      </c>
      <c r="DU202" s="1028"/>
      <c r="DV202" s="130" t="str">
        <f t="shared" si="250"/>
        <v/>
      </c>
      <c r="DW202" s="1472" t="str">
        <f t="shared" si="251"/>
        <v/>
      </c>
      <c r="DX202" s="147"/>
    </row>
    <row r="203" ht="23.25" customHeight="true" x14ac:dyDescent="0.25">
      <c r="B203" s="1612"/>
      <c r="C203" s="1613"/>
      <c r="D203" s="1613"/>
      <c r="E203" s="1154">
        <f t="shared" si="170"/>
        <v>18</v>
      </c>
      <c r="F203" s="1734" t="str">
        <f t="shared" si="252"/>
        <v/>
      </c>
      <c r="G203" s="1735"/>
      <c r="H203" s="1028"/>
      <c r="I203" s="130" t="str">
        <f t="shared" si="172"/>
        <v/>
      </c>
      <c r="J203" s="5" t="str">
        <f t="shared" si="173"/>
        <v/>
      </c>
      <c r="K203" s="1028"/>
      <c r="L203" s="130" t="str">
        <f t="shared" si="174"/>
        <v/>
      </c>
      <c r="M203" s="5" t="str">
        <f t="shared" si="175"/>
        <v/>
      </c>
      <c r="N203" s="1028"/>
      <c r="O203" s="130" t="str">
        <f t="shared" si="176"/>
        <v/>
      </c>
      <c r="P203" s="5" t="str">
        <f t="shared" si="177"/>
        <v/>
      </c>
      <c r="Q203" s="1028"/>
      <c r="R203" s="130" t="str">
        <f t="shared" si="178"/>
        <v/>
      </c>
      <c r="S203" s="1472" t="str">
        <f t="shared" si="179"/>
        <v/>
      </c>
      <c r="T203" s="1028"/>
      <c r="U203" s="130" t="str">
        <f t="shared" si="180"/>
        <v/>
      </c>
      <c r="V203" s="1472" t="str">
        <f t="shared" si="181"/>
        <v/>
      </c>
      <c r="W203" s="1028"/>
      <c r="X203" s="130" t="str">
        <f t="shared" si="182"/>
        <v/>
      </c>
      <c r="Y203" s="1472" t="str">
        <f t="shared" si="183"/>
        <v/>
      </c>
      <c r="Z203" s="1028"/>
      <c r="AA203" s="130" t="str">
        <f t="shared" si="184"/>
        <v/>
      </c>
      <c r="AB203" s="1472" t="str">
        <f t="shared" si="185"/>
        <v/>
      </c>
      <c r="AC203" s="1028"/>
      <c r="AD203" s="130" t="str">
        <f t="shared" si="186"/>
        <v/>
      </c>
      <c r="AE203" s="1472" t="str">
        <f t="shared" si="187"/>
        <v/>
      </c>
      <c r="AF203" s="1028"/>
      <c r="AG203" s="130" t="str">
        <f t="shared" si="188"/>
        <v/>
      </c>
      <c r="AH203" s="1472" t="str">
        <f t="shared" si="189"/>
        <v/>
      </c>
      <c r="AI203" s="1028"/>
      <c r="AJ203" s="130" t="str">
        <f t="shared" si="190"/>
        <v/>
      </c>
      <c r="AK203" s="1472" t="str">
        <f t="shared" si="191"/>
        <v/>
      </c>
      <c r="AL203" s="1028"/>
      <c r="AM203" s="130" t="str">
        <f t="shared" si="192"/>
        <v/>
      </c>
      <c r="AN203" s="1472" t="str">
        <f t="shared" si="193"/>
        <v/>
      </c>
      <c r="AO203" s="1028"/>
      <c r="AP203" s="130" t="str">
        <f t="shared" si="194"/>
        <v/>
      </c>
      <c r="AQ203" s="1472" t="str">
        <f t="shared" si="195"/>
        <v/>
      </c>
      <c r="AR203" s="1028"/>
      <c r="AS203" s="130" t="str">
        <f t="shared" si="196"/>
        <v/>
      </c>
      <c r="AT203" s="1472" t="str">
        <f t="shared" si="197"/>
        <v/>
      </c>
      <c r="AU203" s="1028"/>
      <c r="AV203" s="130" t="str">
        <f t="shared" si="198"/>
        <v/>
      </c>
      <c r="AW203" s="1472" t="str">
        <f t="shared" si="199"/>
        <v/>
      </c>
      <c r="AX203" s="1028"/>
      <c r="AY203" s="130" t="str">
        <f t="shared" si="200"/>
        <v/>
      </c>
      <c r="AZ203" s="1472" t="str">
        <f t="shared" si="201"/>
        <v/>
      </c>
      <c r="BA203" s="1028"/>
      <c r="BB203" s="130" t="str">
        <f t="shared" si="202"/>
        <v/>
      </c>
      <c r="BC203" s="1472" t="str">
        <f t="shared" si="203"/>
        <v/>
      </c>
      <c r="BD203" s="1028"/>
      <c r="BE203" s="130" t="str">
        <f t="shared" si="204"/>
        <v/>
      </c>
      <c r="BF203" s="1472" t="str">
        <f t="shared" si="205"/>
        <v/>
      </c>
      <c r="BG203" s="1028"/>
      <c r="BH203" s="130" t="str">
        <f t="shared" si="206"/>
        <v/>
      </c>
      <c r="BI203" s="1472" t="str">
        <f t="shared" si="207"/>
        <v/>
      </c>
      <c r="BJ203" s="1028"/>
      <c r="BK203" s="130" t="str">
        <f t="shared" si="208"/>
        <v/>
      </c>
      <c r="BL203" s="1472" t="str">
        <f t="shared" si="209"/>
        <v/>
      </c>
      <c r="BM203" s="1028"/>
      <c r="BN203" s="130" t="str">
        <f t="shared" si="210"/>
        <v/>
      </c>
      <c r="BO203" s="1472" t="str">
        <f t="shared" si="211"/>
        <v/>
      </c>
      <c r="BP203" s="1028"/>
      <c r="BQ203" s="130" t="str">
        <f t="shared" si="212"/>
        <v/>
      </c>
      <c r="BR203" s="1472" t="str">
        <f t="shared" si="213"/>
        <v/>
      </c>
      <c r="BS203" s="1028"/>
      <c r="BT203" s="130" t="str">
        <f t="shared" si="214"/>
        <v/>
      </c>
      <c r="BU203" s="1472" t="str">
        <f t="shared" si="215"/>
        <v/>
      </c>
      <c r="BV203" s="1028"/>
      <c r="BW203" s="130" t="str">
        <f t="shared" si="216"/>
        <v/>
      </c>
      <c r="BX203" s="1472" t="str">
        <f t="shared" si="217"/>
        <v/>
      </c>
      <c r="BY203" s="1028"/>
      <c r="BZ203" s="130" t="str">
        <f t="shared" si="218"/>
        <v/>
      </c>
      <c r="CA203" s="1472" t="str">
        <f t="shared" si="219"/>
        <v/>
      </c>
      <c r="CB203" s="1028"/>
      <c r="CC203" s="130" t="str">
        <f t="shared" si="220"/>
        <v/>
      </c>
      <c r="CD203" s="1472" t="str">
        <f t="shared" si="221"/>
        <v/>
      </c>
      <c r="CE203" s="1028"/>
      <c r="CF203" s="130" t="str">
        <f t="shared" si="222"/>
        <v/>
      </c>
      <c r="CG203" s="1472" t="str">
        <f t="shared" si="223"/>
        <v/>
      </c>
      <c r="CH203" s="1028"/>
      <c r="CI203" s="130" t="str">
        <f t="shared" si="224"/>
        <v/>
      </c>
      <c r="CJ203" s="1472" t="str">
        <f t="shared" si="225"/>
        <v/>
      </c>
      <c r="CK203" s="1028"/>
      <c r="CL203" s="130" t="str">
        <f t="shared" si="226"/>
        <v/>
      </c>
      <c r="CM203" s="1472" t="str">
        <f t="shared" si="227"/>
        <v/>
      </c>
      <c r="CN203" s="1028"/>
      <c r="CO203" s="130" t="str">
        <f t="shared" si="228"/>
        <v/>
      </c>
      <c r="CP203" s="1472" t="str">
        <f t="shared" si="229"/>
        <v/>
      </c>
      <c r="CQ203" s="1028"/>
      <c r="CR203" s="130" t="str">
        <f t="shared" si="230"/>
        <v/>
      </c>
      <c r="CS203" s="1472" t="str">
        <f t="shared" si="231"/>
        <v/>
      </c>
      <c r="CT203" s="1028"/>
      <c r="CU203" s="130" t="str">
        <f t="shared" si="232"/>
        <v/>
      </c>
      <c r="CV203" s="1472" t="str">
        <f t="shared" si="233"/>
        <v/>
      </c>
      <c r="CW203" s="1028"/>
      <c r="CX203" s="130" t="str">
        <f t="shared" si="234"/>
        <v/>
      </c>
      <c r="CY203" s="1472" t="str">
        <f t="shared" si="235"/>
        <v/>
      </c>
      <c r="CZ203" s="1028"/>
      <c r="DA203" s="130" t="str">
        <f t="shared" si="236"/>
        <v/>
      </c>
      <c r="DB203" s="1472" t="str">
        <f t="shared" si="237"/>
        <v/>
      </c>
      <c r="DC203" s="1028"/>
      <c r="DD203" s="130" t="str">
        <f t="shared" si="238"/>
        <v/>
      </c>
      <c r="DE203" s="1472" t="str">
        <f t="shared" si="239"/>
        <v/>
      </c>
      <c r="DF203" s="1028"/>
      <c r="DG203" s="130" t="str">
        <f t="shared" si="240"/>
        <v/>
      </c>
      <c r="DH203" s="1472" t="str">
        <f t="shared" si="241"/>
        <v/>
      </c>
      <c r="DI203" s="1028"/>
      <c r="DJ203" s="130" t="str">
        <f t="shared" si="242"/>
        <v/>
      </c>
      <c r="DK203" s="1472" t="str">
        <f t="shared" si="243"/>
        <v/>
      </c>
      <c r="DL203" s="1028"/>
      <c r="DM203" s="130" t="str">
        <f t="shared" si="244"/>
        <v/>
      </c>
      <c r="DN203" s="1472" t="str">
        <f t="shared" si="245"/>
        <v/>
      </c>
      <c r="DO203" s="1028"/>
      <c r="DP203" s="130" t="str">
        <f t="shared" si="246"/>
        <v/>
      </c>
      <c r="DQ203" s="1472" t="str">
        <f t="shared" si="247"/>
        <v/>
      </c>
      <c r="DR203" s="1028"/>
      <c r="DS203" s="130" t="str">
        <f t="shared" si="248"/>
        <v/>
      </c>
      <c r="DT203" s="1472" t="str">
        <f t="shared" si="249"/>
        <v/>
      </c>
      <c r="DU203" s="1028"/>
      <c r="DV203" s="130" t="str">
        <f t="shared" si="250"/>
        <v/>
      </c>
      <c r="DW203" s="1472" t="str">
        <f t="shared" si="251"/>
        <v/>
      </c>
      <c r="DX203" s="147"/>
    </row>
    <row r="204" ht="23.25" customHeight="true" x14ac:dyDescent="0.25">
      <c r="B204" s="1612"/>
      <c r="C204" s="1613"/>
      <c r="D204" s="1613"/>
      <c r="E204" s="1154">
        <f t="shared" si="170"/>
        <v>19</v>
      </c>
      <c r="F204" s="1734" t="str">
        <f t="shared" si="252"/>
        <v/>
      </c>
      <c r="G204" s="1735"/>
      <c r="H204" s="1028"/>
      <c r="I204" s="130" t="str">
        <f t="shared" si="172"/>
        <v/>
      </c>
      <c r="J204" s="5" t="str">
        <f t="shared" si="173"/>
        <v/>
      </c>
      <c r="K204" s="1028"/>
      <c r="L204" s="130" t="str">
        <f t="shared" si="174"/>
        <v/>
      </c>
      <c r="M204" s="5" t="str">
        <f t="shared" si="175"/>
        <v/>
      </c>
      <c r="N204" s="1028"/>
      <c r="O204" s="130" t="str">
        <f t="shared" si="176"/>
        <v/>
      </c>
      <c r="P204" s="5" t="str">
        <f t="shared" si="177"/>
        <v/>
      </c>
      <c r="Q204" s="1028"/>
      <c r="R204" s="130" t="str">
        <f t="shared" si="178"/>
        <v/>
      </c>
      <c r="S204" s="1472" t="str">
        <f t="shared" si="179"/>
        <v/>
      </c>
      <c r="T204" s="1028"/>
      <c r="U204" s="130" t="str">
        <f t="shared" si="180"/>
        <v/>
      </c>
      <c r="V204" s="1472" t="str">
        <f t="shared" si="181"/>
        <v/>
      </c>
      <c r="W204" s="1028"/>
      <c r="X204" s="130" t="str">
        <f t="shared" si="182"/>
        <v/>
      </c>
      <c r="Y204" s="1472" t="str">
        <f t="shared" si="183"/>
        <v/>
      </c>
      <c r="Z204" s="1028"/>
      <c r="AA204" s="130" t="str">
        <f t="shared" si="184"/>
        <v/>
      </c>
      <c r="AB204" s="1472" t="str">
        <f t="shared" si="185"/>
        <v/>
      </c>
      <c r="AC204" s="1028"/>
      <c r="AD204" s="130" t="str">
        <f t="shared" si="186"/>
        <v/>
      </c>
      <c r="AE204" s="1472" t="str">
        <f t="shared" si="187"/>
        <v/>
      </c>
      <c r="AF204" s="1028"/>
      <c r="AG204" s="130" t="str">
        <f t="shared" si="188"/>
        <v/>
      </c>
      <c r="AH204" s="1472" t="str">
        <f t="shared" si="189"/>
        <v/>
      </c>
      <c r="AI204" s="1028"/>
      <c r="AJ204" s="130" t="str">
        <f t="shared" si="190"/>
        <v/>
      </c>
      <c r="AK204" s="1472" t="str">
        <f t="shared" si="191"/>
        <v/>
      </c>
      <c r="AL204" s="1028"/>
      <c r="AM204" s="130" t="str">
        <f t="shared" si="192"/>
        <v/>
      </c>
      <c r="AN204" s="1472" t="str">
        <f t="shared" si="193"/>
        <v/>
      </c>
      <c r="AO204" s="1028"/>
      <c r="AP204" s="130" t="str">
        <f t="shared" si="194"/>
        <v/>
      </c>
      <c r="AQ204" s="1472" t="str">
        <f t="shared" si="195"/>
        <v/>
      </c>
      <c r="AR204" s="1028"/>
      <c r="AS204" s="130" t="str">
        <f t="shared" si="196"/>
        <v/>
      </c>
      <c r="AT204" s="1472" t="str">
        <f t="shared" si="197"/>
        <v/>
      </c>
      <c r="AU204" s="1028"/>
      <c r="AV204" s="130" t="str">
        <f t="shared" si="198"/>
        <v/>
      </c>
      <c r="AW204" s="1472" t="str">
        <f t="shared" si="199"/>
        <v/>
      </c>
      <c r="AX204" s="1028"/>
      <c r="AY204" s="130" t="str">
        <f t="shared" si="200"/>
        <v/>
      </c>
      <c r="AZ204" s="1472" t="str">
        <f t="shared" si="201"/>
        <v/>
      </c>
      <c r="BA204" s="1028"/>
      <c r="BB204" s="130" t="str">
        <f t="shared" si="202"/>
        <v/>
      </c>
      <c r="BC204" s="1472" t="str">
        <f t="shared" si="203"/>
        <v/>
      </c>
      <c r="BD204" s="1028"/>
      <c r="BE204" s="130" t="str">
        <f t="shared" si="204"/>
        <v/>
      </c>
      <c r="BF204" s="1472" t="str">
        <f t="shared" si="205"/>
        <v/>
      </c>
      <c r="BG204" s="1028"/>
      <c r="BH204" s="130" t="str">
        <f t="shared" si="206"/>
        <v/>
      </c>
      <c r="BI204" s="1472" t="str">
        <f t="shared" si="207"/>
        <v/>
      </c>
      <c r="BJ204" s="1028"/>
      <c r="BK204" s="130" t="str">
        <f t="shared" si="208"/>
        <v/>
      </c>
      <c r="BL204" s="1472" t="str">
        <f t="shared" si="209"/>
        <v/>
      </c>
      <c r="BM204" s="1028"/>
      <c r="BN204" s="130" t="str">
        <f t="shared" si="210"/>
        <v/>
      </c>
      <c r="BO204" s="1472" t="str">
        <f t="shared" si="211"/>
        <v/>
      </c>
      <c r="BP204" s="1028"/>
      <c r="BQ204" s="130" t="str">
        <f t="shared" si="212"/>
        <v/>
      </c>
      <c r="BR204" s="1472" t="str">
        <f t="shared" si="213"/>
        <v/>
      </c>
      <c r="BS204" s="1028"/>
      <c r="BT204" s="130" t="str">
        <f t="shared" si="214"/>
        <v/>
      </c>
      <c r="BU204" s="1472" t="str">
        <f t="shared" si="215"/>
        <v/>
      </c>
      <c r="BV204" s="1028"/>
      <c r="BW204" s="130" t="str">
        <f t="shared" si="216"/>
        <v/>
      </c>
      <c r="BX204" s="1472" t="str">
        <f t="shared" si="217"/>
        <v/>
      </c>
      <c r="BY204" s="1028"/>
      <c r="BZ204" s="130" t="str">
        <f t="shared" si="218"/>
        <v/>
      </c>
      <c r="CA204" s="1472" t="str">
        <f t="shared" si="219"/>
        <v/>
      </c>
      <c r="CB204" s="1028"/>
      <c r="CC204" s="130" t="str">
        <f t="shared" si="220"/>
        <v/>
      </c>
      <c r="CD204" s="1472" t="str">
        <f t="shared" si="221"/>
        <v/>
      </c>
      <c r="CE204" s="1028"/>
      <c r="CF204" s="130" t="str">
        <f t="shared" si="222"/>
        <v/>
      </c>
      <c r="CG204" s="1472" t="str">
        <f t="shared" si="223"/>
        <v/>
      </c>
      <c r="CH204" s="1028"/>
      <c r="CI204" s="130" t="str">
        <f t="shared" si="224"/>
        <v/>
      </c>
      <c r="CJ204" s="1472" t="str">
        <f t="shared" si="225"/>
        <v/>
      </c>
      <c r="CK204" s="1028"/>
      <c r="CL204" s="130" t="str">
        <f t="shared" si="226"/>
        <v/>
      </c>
      <c r="CM204" s="1472" t="str">
        <f t="shared" si="227"/>
        <v/>
      </c>
      <c r="CN204" s="1028"/>
      <c r="CO204" s="130" t="str">
        <f t="shared" si="228"/>
        <v/>
      </c>
      <c r="CP204" s="1472" t="str">
        <f t="shared" si="229"/>
        <v/>
      </c>
      <c r="CQ204" s="1028"/>
      <c r="CR204" s="130" t="str">
        <f t="shared" si="230"/>
        <v/>
      </c>
      <c r="CS204" s="1472" t="str">
        <f t="shared" si="231"/>
        <v/>
      </c>
      <c r="CT204" s="1028"/>
      <c r="CU204" s="130" t="str">
        <f t="shared" si="232"/>
        <v/>
      </c>
      <c r="CV204" s="1472" t="str">
        <f t="shared" si="233"/>
        <v/>
      </c>
      <c r="CW204" s="1028"/>
      <c r="CX204" s="130" t="str">
        <f t="shared" si="234"/>
        <v/>
      </c>
      <c r="CY204" s="1472" t="str">
        <f t="shared" si="235"/>
        <v/>
      </c>
      <c r="CZ204" s="1028"/>
      <c r="DA204" s="130" t="str">
        <f t="shared" si="236"/>
        <v/>
      </c>
      <c r="DB204" s="1472" t="str">
        <f t="shared" si="237"/>
        <v/>
      </c>
      <c r="DC204" s="1028"/>
      <c r="DD204" s="130" t="str">
        <f t="shared" si="238"/>
        <v/>
      </c>
      <c r="DE204" s="1472" t="str">
        <f t="shared" si="239"/>
        <v/>
      </c>
      <c r="DF204" s="1028"/>
      <c r="DG204" s="130" t="str">
        <f t="shared" si="240"/>
        <v/>
      </c>
      <c r="DH204" s="1472" t="str">
        <f t="shared" si="241"/>
        <v/>
      </c>
      <c r="DI204" s="1028"/>
      <c r="DJ204" s="130" t="str">
        <f t="shared" si="242"/>
        <v/>
      </c>
      <c r="DK204" s="1472" t="str">
        <f t="shared" si="243"/>
        <v/>
      </c>
      <c r="DL204" s="1028"/>
      <c r="DM204" s="130" t="str">
        <f t="shared" si="244"/>
        <v/>
      </c>
      <c r="DN204" s="1472" t="str">
        <f t="shared" si="245"/>
        <v/>
      </c>
      <c r="DO204" s="1028"/>
      <c r="DP204" s="130" t="str">
        <f t="shared" si="246"/>
        <v/>
      </c>
      <c r="DQ204" s="1472" t="str">
        <f t="shared" si="247"/>
        <v/>
      </c>
      <c r="DR204" s="1028"/>
      <c r="DS204" s="130" t="str">
        <f t="shared" si="248"/>
        <v/>
      </c>
      <c r="DT204" s="1472" t="str">
        <f t="shared" si="249"/>
        <v/>
      </c>
      <c r="DU204" s="1028"/>
      <c r="DV204" s="130" t="str">
        <f t="shared" si="250"/>
        <v/>
      </c>
      <c r="DW204" s="1472" t="str">
        <f t="shared" si="251"/>
        <v/>
      </c>
      <c r="DX204" s="147"/>
    </row>
    <row r="205" ht="23.25" customHeight="true" x14ac:dyDescent="0.25">
      <c r="B205" s="1612"/>
      <c r="C205" s="1613"/>
      <c r="D205" s="1613"/>
      <c r="E205" s="1154">
        <f t="shared" si="170"/>
        <v>20</v>
      </c>
      <c r="F205" s="1734" t="str">
        <f t="shared" si="252"/>
        <v/>
      </c>
      <c r="G205" s="1735"/>
      <c r="H205" s="1028"/>
      <c r="I205" s="130" t="str">
        <f t="shared" si="172"/>
        <v/>
      </c>
      <c r="J205" s="5" t="str">
        <f t="shared" si="173"/>
        <v/>
      </c>
      <c r="K205" s="1028"/>
      <c r="L205" s="130" t="str">
        <f t="shared" si="174"/>
        <v/>
      </c>
      <c r="M205" s="5" t="str">
        <f t="shared" si="175"/>
        <v/>
      </c>
      <c r="N205" s="1028"/>
      <c r="O205" s="130" t="str">
        <f t="shared" si="176"/>
        <v/>
      </c>
      <c r="P205" s="5" t="str">
        <f t="shared" si="177"/>
        <v/>
      </c>
      <c r="Q205" s="1028"/>
      <c r="R205" s="130" t="str">
        <f t="shared" si="178"/>
        <v/>
      </c>
      <c r="S205" s="1472" t="str">
        <f t="shared" si="179"/>
        <v/>
      </c>
      <c r="T205" s="1028"/>
      <c r="U205" s="130" t="str">
        <f t="shared" si="180"/>
        <v/>
      </c>
      <c r="V205" s="1472" t="str">
        <f t="shared" si="181"/>
        <v/>
      </c>
      <c r="W205" s="1028"/>
      <c r="X205" s="130" t="str">
        <f t="shared" si="182"/>
        <v/>
      </c>
      <c r="Y205" s="1472" t="str">
        <f t="shared" si="183"/>
        <v/>
      </c>
      <c r="Z205" s="1028"/>
      <c r="AA205" s="130" t="str">
        <f t="shared" si="184"/>
        <v/>
      </c>
      <c r="AB205" s="1472" t="str">
        <f t="shared" si="185"/>
        <v/>
      </c>
      <c r="AC205" s="1028"/>
      <c r="AD205" s="130" t="str">
        <f t="shared" si="186"/>
        <v/>
      </c>
      <c r="AE205" s="1472" t="str">
        <f t="shared" si="187"/>
        <v/>
      </c>
      <c r="AF205" s="1028"/>
      <c r="AG205" s="130" t="str">
        <f t="shared" si="188"/>
        <v/>
      </c>
      <c r="AH205" s="1472" t="str">
        <f t="shared" si="189"/>
        <v/>
      </c>
      <c r="AI205" s="1028"/>
      <c r="AJ205" s="130" t="str">
        <f t="shared" si="190"/>
        <v/>
      </c>
      <c r="AK205" s="1472" t="str">
        <f t="shared" si="191"/>
        <v/>
      </c>
      <c r="AL205" s="1028"/>
      <c r="AM205" s="130" t="str">
        <f t="shared" si="192"/>
        <v/>
      </c>
      <c r="AN205" s="1472" t="str">
        <f t="shared" si="193"/>
        <v/>
      </c>
      <c r="AO205" s="1028"/>
      <c r="AP205" s="130" t="str">
        <f t="shared" si="194"/>
        <v/>
      </c>
      <c r="AQ205" s="1472" t="str">
        <f t="shared" si="195"/>
        <v/>
      </c>
      <c r="AR205" s="1028"/>
      <c r="AS205" s="130" t="str">
        <f t="shared" si="196"/>
        <v/>
      </c>
      <c r="AT205" s="1472" t="str">
        <f t="shared" si="197"/>
        <v/>
      </c>
      <c r="AU205" s="1028"/>
      <c r="AV205" s="130" t="str">
        <f t="shared" si="198"/>
        <v/>
      </c>
      <c r="AW205" s="1472" t="str">
        <f t="shared" si="199"/>
        <v/>
      </c>
      <c r="AX205" s="1028"/>
      <c r="AY205" s="130" t="str">
        <f t="shared" si="200"/>
        <v/>
      </c>
      <c r="AZ205" s="1472" t="str">
        <f t="shared" si="201"/>
        <v/>
      </c>
      <c r="BA205" s="1028"/>
      <c r="BB205" s="130" t="str">
        <f t="shared" si="202"/>
        <v/>
      </c>
      <c r="BC205" s="1472" t="str">
        <f t="shared" si="203"/>
        <v/>
      </c>
      <c r="BD205" s="1028"/>
      <c r="BE205" s="130" t="str">
        <f t="shared" si="204"/>
        <v/>
      </c>
      <c r="BF205" s="1472" t="str">
        <f t="shared" si="205"/>
        <v/>
      </c>
      <c r="BG205" s="1028"/>
      <c r="BH205" s="130" t="str">
        <f t="shared" si="206"/>
        <v/>
      </c>
      <c r="BI205" s="1472" t="str">
        <f t="shared" si="207"/>
        <v/>
      </c>
      <c r="BJ205" s="1028"/>
      <c r="BK205" s="130" t="str">
        <f t="shared" si="208"/>
        <v/>
      </c>
      <c r="BL205" s="1472" t="str">
        <f t="shared" si="209"/>
        <v/>
      </c>
      <c r="BM205" s="1028"/>
      <c r="BN205" s="130" t="str">
        <f t="shared" si="210"/>
        <v/>
      </c>
      <c r="BO205" s="1472" t="str">
        <f t="shared" si="211"/>
        <v/>
      </c>
      <c r="BP205" s="1028"/>
      <c r="BQ205" s="130" t="str">
        <f t="shared" si="212"/>
        <v/>
      </c>
      <c r="BR205" s="1472" t="str">
        <f t="shared" si="213"/>
        <v/>
      </c>
      <c r="BS205" s="1028"/>
      <c r="BT205" s="130" t="str">
        <f t="shared" si="214"/>
        <v/>
      </c>
      <c r="BU205" s="1472" t="str">
        <f t="shared" si="215"/>
        <v/>
      </c>
      <c r="BV205" s="1028"/>
      <c r="BW205" s="130" t="str">
        <f t="shared" si="216"/>
        <v/>
      </c>
      <c r="BX205" s="1472" t="str">
        <f t="shared" si="217"/>
        <v/>
      </c>
      <c r="BY205" s="1028"/>
      <c r="BZ205" s="130" t="str">
        <f t="shared" si="218"/>
        <v/>
      </c>
      <c r="CA205" s="1472" t="str">
        <f t="shared" si="219"/>
        <v/>
      </c>
      <c r="CB205" s="1028"/>
      <c r="CC205" s="130" t="str">
        <f t="shared" si="220"/>
        <v/>
      </c>
      <c r="CD205" s="1472" t="str">
        <f t="shared" si="221"/>
        <v/>
      </c>
      <c r="CE205" s="1028"/>
      <c r="CF205" s="130" t="str">
        <f t="shared" si="222"/>
        <v/>
      </c>
      <c r="CG205" s="1472" t="str">
        <f t="shared" si="223"/>
        <v/>
      </c>
      <c r="CH205" s="1028"/>
      <c r="CI205" s="130" t="str">
        <f t="shared" si="224"/>
        <v/>
      </c>
      <c r="CJ205" s="1472" t="str">
        <f t="shared" si="225"/>
        <v/>
      </c>
      <c r="CK205" s="1028"/>
      <c r="CL205" s="130" t="str">
        <f t="shared" si="226"/>
        <v/>
      </c>
      <c r="CM205" s="1472" t="str">
        <f t="shared" si="227"/>
        <v/>
      </c>
      <c r="CN205" s="1028"/>
      <c r="CO205" s="130" t="str">
        <f t="shared" si="228"/>
        <v/>
      </c>
      <c r="CP205" s="1472" t="str">
        <f t="shared" si="229"/>
        <v/>
      </c>
      <c r="CQ205" s="1028"/>
      <c r="CR205" s="130" t="str">
        <f t="shared" si="230"/>
        <v/>
      </c>
      <c r="CS205" s="1472" t="str">
        <f t="shared" si="231"/>
        <v/>
      </c>
      <c r="CT205" s="1028"/>
      <c r="CU205" s="130" t="str">
        <f t="shared" si="232"/>
        <v/>
      </c>
      <c r="CV205" s="1472" t="str">
        <f t="shared" si="233"/>
        <v/>
      </c>
      <c r="CW205" s="1028"/>
      <c r="CX205" s="130" t="str">
        <f t="shared" si="234"/>
        <v/>
      </c>
      <c r="CY205" s="1472" t="str">
        <f t="shared" si="235"/>
        <v/>
      </c>
      <c r="CZ205" s="1028"/>
      <c r="DA205" s="130" t="str">
        <f t="shared" si="236"/>
        <v/>
      </c>
      <c r="DB205" s="1472" t="str">
        <f t="shared" si="237"/>
        <v/>
      </c>
      <c r="DC205" s="1028"/>
      <c r="DD205" s="130" t="str">
        <f t="shared" si="238"/>
        <v/>
      </c>
      <c r="DE205" s="1472" t="str">
        <f t="shared" si="239"/>
        <v/>
      </c>
      <c r="DF205" s="1028"/>
      <c r="DG205" s="130" t="str">
        <f t="shared" si="240"/>
        <v/>
      </c>
      <c r="DH205" s="1472" t="str">
        <f t="shared" si="241"/>
        <v/>
      </c>
      <c r="DI205" s="1028"/>
      <c r="DJ205" s="130" t="str">
        <f t="shared" si="242"/>
        <v/>
      </c>
      <c r="DK205" s="1472" t="str">
        <f t="shared" si="243"/>
        <v/>
      </c>
      <c r="DL205" s="1028"/>
      <c r="DM205" s="130" t="str">
        <f t="shared" si="244"/>
        <v/>
      </c>
      <c r="DN205" s="1472" t="str">
        <f t="shared" si="245"/>
        <v/>
      </c>
      <c r="DO205" s="1028"/>
      <c r="DP205" s="130" t="str">
        <f t="shared" si="246"/>
        <v/>
      </c>
      <c r="DQ205" s="1472" t="str">
        <f t="shared" si="247"/>
        <v/>
      </c>
      <c r="DR205" s="1028"/>
      <c r="DS205" s="130" t="str">
        <f t="shared" si="248"/>
        <v/>
      </c>
      <c r="DT205" s="1472" t="str">
        <f t="shared" si="249"/>
        <v/>
      </c>
      <c r="DU205" s="1028"/>
      <c r="DV205" s="130" t="str">
        <f t="shared" si="250"/>
        <v/>
      </c>
      <c r="DW205" s="1472" t="str">
        <f t="shared" si="251"/>
        <v/>
      </c>
      <c r="DX205" s="147"/>
    </row>
    <row r="206" ht="23.25" customHeight="true" x14ac:dyDescent="0.25">
      <c r="B206" s="1612"/>
      <c r="C206" s="1613"/>
      <c r="D206" s="1613"/>
      <c r="E206" s="1154">
        <f t="shared" si="170"/>
        <v>21</v>
      </c>
      <c r="F206" s="1734" t="str">
        <f t="shared" ref="F206:F235" si="253">IF(D52&lt;&gt;"",D52,"")</f>
        <v/>
      </c>
      <c r="G206" s="1735"/>
      <c r="H206" s="1028"/>
      <c r="I206" s="130" t="str">
        <f t="shared" ref="I206:I235" si="254">IF($F52&gt;0,H206/$F52,"")</f>
        <v/>
      </c>
      <c r="J206" s="5" t="str">
        <f t="shared" ref="J206:J235" si="255">IF(I206="","",IF(I$236=0,0,I206/I$236))</f>
        <v/>
      </c>
      <c r="K206" s="1028"/>
      <c r="L206" s="130" t="str">
        <f t="shared" ref="L206:L235" si="256">IF($F52&gt;0,K206/$F52,"")</f>
        <v/>
      </c>
      <c r="M206" s="5" t="str">
        <f t="shared" ref="M206:M235" si="257">IF(L206="","",IF(L$236=0,0,L206/L$236))</f>
        <v/>
      </c>
      <c r="N206" s="1028"/>
      <c r="O206" s="130" t="str">
        <f t="shared" ref="O206:O235" si="258">IF($F52&gt;0,N206/$F52,"")</f>
        <v/>
      </c>
      <c r="P206" s="5" t="str">
        <f t="shared" ref="P206:P235" si="259">IF(O206="","",IF(O$236=0,0,O206/O$236))</f>
        <v/>
      </c>
      <c r="Q206" s="1028"/>
      <c r="R206" s="130" t="str">
        <f t="shared" ref="R206:R235" si="260">IF($F52&gt;0,Q206/$F52,"")</f>
        <v/>
      </c>
      <c r="S206" s="1472" t="str">
        <f t="shared" ref="S206:S235" si="261">IF(R206="","",IF(R$236=0,0,R206/R$236))</f>
        <v/>
      </c>
      <c r="T206" s="1028"/>
      <c r="U206" s="130" t="str">
        <f t="shared" ref="U206:U235" si="262">IF($F52&gt;0,T206/$F52,"")</f>
        <v/>
      </c>
      <c r="V206" s="1472" t="str">
        <f t="shared" ref="V206:V235" si="263">IF(U206="","",IF(U$236=0,0,U206/U$236))</f>
        <v/>
      </c>
      <c r="W206" s="1028"/>
      <c r="X206" s="130" t="str">
        <f t="shared" ref="X206:X235" si="264">IF($F52&gt;0,W206/$F52,"")</f>
        <v/>
      </c>
      <c r="Y206" s="1472" t="str">
        <f t="shared" ref="Y206:Y235" si="265">IF(X206="","",IF(X$236=0,0,X206/X$236))</f>
        <v/>
      </c>
      <c r="Z206" s="1028"/>
      <c r="AA206" s="130" t="str">
        <f t="shared" ref="AA206:AA235" si="266">IF($F52&gt;0,Z206/$F52,"")</f>
        <v/>
      </c>
      <c r="AB206" s="1472" t="str">
        <f t="shared" ref="AB206:AB235" si="267">IF(AA206="","",IF(AA$236=0,0,AA206/AA$236))</f>
        <v/>
      </c>
      <c r="AC206" s="1028"/>
      <c r="AD206" s="130" t="str">
        <f t="shared" ref="AD206:AD235" si="268">IF($F52&gt;0,AC206/$F52,"")</f>
        <v/>
      </c>
      <c r="AE206" s="1472" t="str">
        <f t="shared" ref="AE206:AE235" si="269">IF(AD206="","",IF(AD$236=0,0,AD206/AD$236))</f>
        <v/>
      </c>
      <c r="AF206" s="1028"/>
      <c r="AG206" s="130" t="str">
        <f t="shared" ref="AG206:AG235" si="270">IF($F52&gt;0,AF206/$F52,"")</f>
        <v/>
      </c>
      <c r="AH206" s="1472" t="str">
        <f t="shared" ref="AH206:AH235" si="271">IF(AG206="","",IF(AG$236=0,0,AG206/AG$236))</f>
        <v/>
      </c>
      <c r="AI206" s="1028"/>
      <c r="AJ206" s="130" t="str">
        <f t="shared" ref="AJ206:AJ235" si="272">IF($F52&gt;0,AI206/$F52,"")</f>
        <v/>
      </c>
      <c r="AK206" s="1472" t="str">
        <f t="shared" ref="AK206:AK235" si="273">IF(AJ206="","",IF(AJ$236=0,0,AJ206/AJ$236))</f>
        <v/>
      </c>
      <c r="AL206" s="1028"/>
      <c r="AM206" s="130" t="str">
        <f t="shared" ref="AM206:AM235" si="274">IF($F52&gt;0,AL206/$F52,"")</f>
        <v/>
      </c>
      <c r="AN206" s="1472" t="str">
        <f t="shared" ref="AN206:AN235" si="275">IF(AM206="","",IF(AM$236=0,0,AM206/AM$236))</f>
        <v/>
      </c>
      <c r="AO206" s="1028"/>
      <c r="AP206" s="130" t="str">
        <f t="shared" ref="AP206:AP235" si="276">IF($F52&gt;0,AO206/$F52,"")</f>
        <v/>
      </c>
      <c r="AQ206" s="1472" t="str">
        <f t="shared" ref="AQ206:AQ235" si="277">IF(AP206="","",IF(AP$236=0,0,AP206/AP$236))</f>
        <v/>
      </c>
      <c r="AR206" s="1028"/>
      <c r="AS206" s="130" t="str">
        <f t="shared" ref="AS206:AS235" si="278">IF($F52&gt;0,AR206/$F52,"")</f>
        <v/>
      </c>
      <c r="AT206" s="1472" t="str">
        <f t="shared" ref="AT206:AT235" si="279">IF(AS206="","",IF(AS$236=0,0,AS206/AS$236))</f>
        <v/>
      </c>
      <c r="AU206" s="1028"/>
      <c r="AV206" s="130" t="str">
        <f t="shared" ref="AV206:AV235" si="280">IF($F52&gt;0,AU206/$F52,"")</f>
        <v/>
      </c>
      <c r="AW206" s="1472" t="str">
        <f t="shared" ref="AW206:AW235" si="281">IF(AV206="","",IF(AV$236=0,0,AV206/AV$236))</f>
        <v/>
      </c>
      <c r="AX206" s="1028"/>
      <c r="AY206" s="130" t="str">
        <f t="shared" ref="AY206:AY235" si="282">IF($F52&gt;0,AX206/$F52,"")</f>
        <v/>
      </c>
      <c r="AZ206" s="1472" t="str">
        <f t="shared" ref="AZ206:AZ235" si="283">IF(AY206="","",IF(AY$236=0,0,AY206/AY$236))</f>
        <v/>
      </c>
      <c r="BA206" s="1028"/>
      <c r="BB206" s="130" t="str">
        <f t="shared" ref="BB206:BB235" si="284">IF($F52&gt;0,BA206/$F52,"")</f>
        <v/>
      </c>
      <c r="BC206" s="1472" t="str">
        <f t="shared" ref="BC206:BC235" si="285">IF(BB206="","",IF(BB$236=0,0,BB206/BB$236))</f>
        <v/>
      </c>
      <c r="BD206" s="1028"/>
      <c r="BE206" s="130" t="str">
        <f t="shared" ref="BE206:BE235" si="286">IF($F52&gt;0,BD206/$F52,"")</f>
        <v/>
      </c>
      <c r="BF206" s="1472" t="str">
        <f t="shared" ref="BF206:BF235" si="287">IF(BE206="","",IF(BE$236=0,0,BE206/BE$236))</f>
        <v/>
      </c>
      <c r="BG206" s="1028"/>
      <c r="BH206" s="130" t="str">
        <f t="shared" ref="BH206:BH235" si="288">IF($F52&gt;0,BG206/$F52,"")</f>
        <v/>
      </c>
      <c r="BI206" s="1472" t="str">
        <f t="shared" ref="BI206:BI235" si="289">IF(BH206="","",IF(BH$236=0,0,BH206/BH$236))</f>
        <v/>
      </c>
      <c r="BJ206" s="1028"/>
      <c r="BK206" s="130" t="str">
        <f t="shared" ref="BK206:BK235" si="290">IF($F52&gt;0,BJ206/$F52,"")</f>
        <v/>
      </c>
      <c r="BL206" s="1472" t="str">
        <f t="shared" ref="BL206:BL235" si="291">IF(BK206="","",IF(BK$236=0,0,BK206/BK$236))</f>
        <v/>
      </c>
      <c r="BM206" s="1028"/>
      <c r="BN206" s="130" t="str">
        <f t="shared" ref="BN206:BN235" si="292">IF($F52&gt;0,BM206/$F52,"")</f>
        <v/>
      </c>
      <c r="BO206" s="1472" t="str">
        <f t="shared" ref="BO206:BO235" si="293">IF(BN206="","",IF(BN$236=0,0,BN206/BN$236))</f>
        <v/>
      </c>
      <c r="BP206" s="1028"/>
      <c r="BQ206" s="130" t="str">
        <f t="shared" ref="BQ206:BQ235" si="294">IF($F52&gt;0,BP206/$F52,"")</f>
        <v/>
      </c>
      <c r="BR206" s="1472" t="str">
        <f t="shared" ref="BR206:BR235" si="295">IF(BQ206="","",IF(BQ$236=0,0,BQ206/BQ$236))</f>
        <v/>
      </c>
      <c r="BS206" s="1028"/>
      <c r="BT206" s="130" t="str">
        <f t="shared" ref="BT206:BT235" si="296">IF($F52&gt;0,BS206/$F52,"")</f>
        <v/>
      </c>
      <c r="BU206" s="1472" t="str">
        <f t="shared" ref="BU206:BU235" si="297">IF(BT206="","",IF(BT$236=0,0,BT206/BT$236))</f>
        <v/>
      </c>
      <c r="BV206" s="1028"/>
      <c r="BW206" s="130" t="str">
        <f t="shared" ref="BW206:BW235" si="298">IF($F52&gt;0,BV206/$F52,"")</f>
        <v/>
      </c>
      <c r="BX206" s="1472" t="str">
        <f t="shared" ref="BX206:BX235" si="299">IF(BW206="","",IF(BW$236=0,0,BW206/BW$236))</f>
        <v/>
      </c>
      <c r="BY206" s="1028"/>
      <c r="BZ206" s="130" t="str">
        <f t="shared" ref="BZ206:BZ235" si="300">IF($F52&gt;0,BY206/$F52,"")</f>
        <v/>
      </c>
      <c r="CA206" s="1472" t="str">
        <f t="shared" ref="CA206:CA235" si="301">IF(BZ206="","",IF(BZ$236=0,0,BZ206/BZ$236))</f>
        <v/>
      </c>
      <c r="CB206" s="1028"/>
      <c r="CC206" s="130" t="str">
        <f t="shared" ref="CC206:CC235" si="302">IF($F52&gt;0,CB206/$F52,"")</f>
        <v/>
      </c>
      <c r="CD206" s="1472" t="str">
        <f t="shared" ref="CD206:CD235" si="303">IF(CC206="","",IF(CC$236=0,0,CC206/CC$236))</f>
        <v/>
      </c>
      <c r="CE206" s="1028"/>
      <c r="CF206" s="130" t="str">
        <f t="shared" ref="CF206:CF235" si="304">IF($F52&gt;0,CE206/$F52,"")</f>
        <v/>
      </c>
      <c r="CG206" s="1472" t="str">
        <f t="shared" ref="CG206:CG235" si="305">IF(CF206="","",IF(CF$236=0,0,CF206/CF$236))</f>
        <v/>
      </c>
      <c r="CH206" s="1028"/>
      <c r="CI206" s="130" t="str">
        <f t="shared" ref="CI206:CI235" si="306">IF($F52&gt;0,CH206/$F52,"")</f>
        <v/>
      </c>
      <c r="CJ206" s="1472" t="str">
        <f t="shared" ref="CJ206:CJ235" si="307">IF(CI206="","",IF(CI$236=0,0,CI206/CI$236))</f>
        <v/>
      </c>
      <c r="CK206" s="1028"/>
      <c r="CL206" s="130" t="str">
        <f t="shared" ref="CL206:CL235" si="308">IF($F52&gt;0,CK206/$F52,"")</f>
        <v/>
      </c>
      <c r="CM206" s="1472" t="str">
        <f t="shared" ref="CM206:CM235" si="309">IF(CL206="","",IF(CL$236=0,0,CL206/CL$236))</f>
        <v/>
      </c>
      <c r="CN206" s="1028"/>
      <c r="CO206" s="130" t="str">
        <f t="shared" ref="CO206:CO235" si="310">IF($F52&gt;0,CN206/$F52,"")</f>
        <v/>
      </c>
      <c r="CP206" s="1472" t="str">
        <f t="shared" ref="CP206:CP235" si="311">IF(CO206="","",IF(CO$236=0,0,CO206/CO$236))</f>
        <v/>
      </c>
      <c r="CQ206" s="1028"/>
      <c r="CR206" s="130" t="str">
        <f t="shared" ref="CR206:CR235" si="312">IF($F52&gt;0,CQ206/$F52,"")</f>
        <v/>
      </c>
      <c r="CS206" s="1472" t="str">
        <f t="shared" ref="CS206:CS235" si="313">IF(CR206="","",IF(CR$236=0,0,CR206/CR$236))</f>
        <v/>
      </c>
      <c r="CT206" s="1028"/>
      <c r="CU206" s="130" t="str">
        <f t="shared" ref="CU206:CU235" si="314">IF($F52&gt;0,CT206/$F52,"")</f>
        <v/>
      </c>
      <c r="CV206" s="1472" t="str">
        <f t="shared" ref="CV206:CV235" si="315">IF(CU206="","",IF(CU$236=0,0,CU206/CU$236))</f>
        <v/>
      </c>
      <c r="CW206" s="1028"/>
      <c r="CX206" s="130" t="str">
        <f t="shared" ref="CX206:CX235" si="316">IF($F52&gt;0,CW206/$F52,"")</f>
        <v/>
      </c>
      <c r="CY206" s="1472" t="str">
        <f t="shared" ref="CY206:CY235" si="317">IF(CX206="","",IF(CX$236=0,0,CX206/CX$236))</f>
        <v/>
      </c>
      <c r="CZ206" s="1028"/>
      <c r="DA206" s="130" t="str">
        <f t="shared" ref="DA206:DA235" si="318">IF($F52&gt;0,CZ206/$F52,"")</f>
        <v/>
      </c>
      <c r="DB206" s="1472" t="str">
        <f t="shared" ref="DB206:DB235" si="319">IF(DA206="","",IF(DA$236=0,0,DA206/DA$236))</f>
        <v/>
      </c>
      <c r="DC206" s="1028"/>
      <c r="DD206" s="130" t="str">
        <f t="shared" ref="DD206:DD235" si="320">IF($F52&gt;0,DC206/$F52,"")</f>
        <v/>
      </c>
      <c r="DE206" s="1472" t="str">
        <f t="shared" ref="DE206:DE235" si="321">IF(DD206="","",IF(DD$236=0,0,DD206/DD$236))</f>
        <v/>
      </c>
      <c r="DF206" s="1028"/>
      <c r="DG206" s="130" t="str">
        <f t="shared" ref="DG206:DG235" si="322">IF($F52&gt;0,DF206/$F52,"")</f>
        <v/>
      </c>
      <c r="DH206" s="1472" t="str">
        <f t="shared" ref="DH206:DH235" si="323">IF(DG206="","",IF(DG$236=0,0,DG206/DG$236))</f>
        <v/>
      </c>
      <c r="DI206" s="1028"/>
      <c r="DJ206" s="130" t="str">
        <f t="shared" ref="DJ206:DJ235" si="324">IF($F52&gt;0,DI206/$F52,"")</f>
        <v/>
      </c>
      <c r="DK206" s="1472" t="str">
        <f t="shared" ref="DK206:DK235" si="325">IF(DJ206="","",IF(DJ$236=0,0,DJ206/DJ$236))</f>
        <v/>
      </c>
      <c r="DL206" s="1028"/>
      <c r="DM206" s="130" t="str">
        <f t="shared" ref="DM206:DM235" si="326">IF($F52&gt;0,DL206/$F52,"")</f>
        <v/>
      </c>
      <c r="DN206" s="1472" t="str">
        <f t="shared" ref="DN206:DN235" si="327">IF(DM206="","",IF(DM$236=0,0,DM206/DM$236))</f>
        <v/>
      </c>
      <c r="DO206" s="1028"/>
      <c r="DP206" s="130" t="str">
        <f t="shared" ref="DP206:DP235" si="328">IF($F52&gt;0,DO206/$F52,"")</f>
        <v/>
      </c>
      <c r="DQ206" s="1472" t="str">
        <f t="shared" ref="DQ206:DQ235" si="329">IF(DP206="","",IF(DP$236=0,0,DP206/DP$236))</f>
        <v/>
      </c>
      <c r="DR206" s="1028"/>
      <c r="DS206" s="130" t="str">
        <f t="shared" ref="DS206:DS235" si="330">IF($F52&gt;0,DR206/$F52,"")</f>
        <v/>
      </c>
      <c r="DT206" s="1472" t="str">
        <f t="shared" ref="DT206:DT235" si="331">IF(DS206="","",IF(DS$236=0,0,DS206/DS$236))</f>
        <v/>
      </c>
      <c r="DU206" s="1028"/>
      <c r="DV206" s="130" t="str">
        <f t="shared" ref="DV206:DV235" si="332">IF($F52&gt;0,DU206/$F52,"")</f>
        <v/>
      </c>
      <c r="DW206" s="1472" t="str">
        <f t="shared" ref="DW206:DW235" si="333">IF(DV206="","",IF(DV$236=0,0,DV206/DV$236))</f>
        <v/>
      </c>
      <c r="DX206" s="147"/>
    </row>
    <row r="207" ht="23.25" customHeight="true" x14ac:dyDescent="0.25">
      <c r="B207" s="1612"/>
      <c r="C207" s="1613"/>
      <c r="D207" s="1613"/>
      <c r="E207" s="1154">
        <f t="shared" si="170"/>
        <v>22</v>
      </c>
      <c r="F207" s="1734" t="str">
        <f t="shared" si="253"/>
        <v/>
      </c>
      <c r="G207" s="1735"/>
      <c r="H207" s="1028"/>
      <c r="I207" s="130" t="str">
        <f t="shared" si="254"/>
        <v/>
      </c>
      <c r="J207" s="5" t="str">
        <f t="shared" si="255"/>
        <v/>
      </c>
      <c r="K207" s="1028"/>
      <c r="L207" s="130" t="str">
        <f t="shared" si="256"/>
        <v/>
      </c>
      <c r="M207" s="5" t="str">
        <f t="shared" si="257"/>
        <v/>
      </c>
      <c r="N207" s="1028"/>
      <c r="O207" s="130" t="str">
        <f t="shared" si="258"/>
        <v/>
      </c>
      <c r="P207" s="5" t="str">
        <f t="shared" si="259"/>
        <v/>
      </c>
      <c r="Q207" s="1028"/>
      <c r="R207" s="130" t="str">
        <f t="shared" si="260"/>
        <v/>
      </c>
      <c r="S207" s="1472" t="str">
        <f t="shared" si="261"/>
        <v/>
      </c>
      <c r="T207" s="1028"/>
      <c r="U207" s="130" t="str">
        <f t="shared" si="262"/>
        <v/>
      </c>
      <c r="V207" s="1472" t="str">
        <f t="shared" si="263"/>
        <v/>
      </c>
      <c r="W207" s="1028"/>
      <c r="X207" s="130" t="str">
        <f t="shared" si="264"/>
        <v/>
      </c>
      <c r="Y207" s="1472" t="str">
        <f t="shared" si="265"/>
        <v/>
      </c>
      <c r="Z207" s="1028"/>
      <c r="AA207" s="130" t="str">
        <f t="shared" si="266"/>
        <v/>
      </c>
      <c r="AB207" s="1472" t="str">
        <f t="shared" si="267"/>
        <v/>
      </c>
      <c r="AC207" s="1028"/>
      <c r="AD207" s="130" t="str">
        <f t="shared" si="268"/>
        <v/>
      </c>
      <c r="AE207" s="1472" t="str">
        <f t="shared" si="269"/>
        <v/>
      </c>
      <c r="AF207" s="1028"/>
      <c r="AG207" s="130" t="str">
        <f t="shared" si="270"/>
        <v/>
      </c>
      <c r="AH207" s="1472" t="str">
        <f t="shared" si="271"/>
        <v/>
      </c>
      <c r="AI207" s="1028"/>
      <c r="AJ207" s="130" t="str">
        <f t="shared" si="272"/>
        <v/>
      </c>
      <c r="AK207" s="1472" t="str">
        <f t="shared" si="273"/>
        <v/>
      </c>
      <c r="AL207" s="1028"/>
      <c r="AM207" s="130" t="str">
        <f t="shared" si="274"/>
        <v/>
      </c>
      <c r="AN207" s="1472" t="str">
        <f t="shared" si="275"/>
        <v/>
      </c>
      <c r="AO207" s="1028"/>
      <c r="AP207" s="130" t="str">
        <f t="shared" si="276"/>
        <v/>
      </c>
      <c r="AQ207" s="1472" t="str">
        <f t="shared" si="277"/>
        <v/>
      </c>
      <c r="AR207" s="1028"/>
      <c r="AS207" s="130" t="str">
        <f t="shared" si="278"/>
        <v/>
      </c>
      <c r="AT207" s="1472" t="str">
        <f t="shared" si="279"/>
        <v/>
      </c>
      <c r="AU207" s="1028"/>
      <c r="AV207" s="130" t="str">
        <f t="shared" si="280"/>
        <v/>
      </c>
      <c r="AW207" s="1472" t="str">
        <f t="shared" si="281"/>
        <v/>
      </c>
      <c r="AX207" s="1028"/>
      <c r="AY207" s="130" t="str">
        <f t="shared" si="282"/>
        <v/>
      </c>
      <c r="AZ207" s="1472" t="str">
        <f t="shared" si="283"/>
        <v/>
      </c>
      <c r="BA207" s="1028"/>
      <c r="BB207" s="130" t="str">
        <f t="shared" si="284"/>
        <v/>
      </c>
      <c r="BC207" s="1472" t="str">
        <f t="shared" si="285"/>
        <v/>
      </c>
      <c r="BD207" s="1028"/>
      <c r="BE207" s="130" t="str">
        <f t="shared" si="286"/>
        <v/>
      </c>
      <c r="BF207" s="1472" t="str">
        <f t="shared" si="287"/>
        <v/>
      </c>
      <c r="BG207" s="1028"/>
      <c r="BH207" s="130" t="str">
        <f t="shared" si="288"/>
        <v/>
      </c>
      <c r="BI207" s="1472" t="str">
        <f t="shared" si="289"/>
        <v/>
      </c>
      <c r="BJ207" s="1028"/>
      <c r="BK207" s="130" t="str">
        <f t="shared" si="290"/>
        <v/>
      </c>
      <c r="BL207" s="1472" t="str">
        <f t="shared" si="291"/>
        <v/>
      </c>
      <c r="BM207" s="1028"/>
      <c r="BN207" s="130" t="str">
        <f t="shared" si="292"/>
        <v/>
      </c>
      <c r="BO207" s="1472" t="str">
        <f t="shared" si="293"/>
        <v/>
      </c>
      <c r="BP207" s="1028"/>
      <c r="BQ207" s="130" t="str">
        <f t="shared" si="294"/>
        <v/>
      </c>
      <c r="BR207" s="1472" t="str">
        <f t="shared" si="295"/>
        <v/>
      </c>
      <c r="BS207" s="1028"/>
      <c r="BT207" s="130" t="str">
        <f t="shared" si="296"/>
        <v/>
      </c>
      <c r="BU207" s="1472" t="str">
        <f t="shared" si="297"/>
        <v/>
      </c>
      <c r="BV207" s="1028"/>
      <c r="BW207" s="130" t="str">
        <f t="shared" si="298"/>
        <v/>
      </c>
      <c r="BX207" s="1472" t="str">
        <f t="shared" si="299"/>
        <v/>
      </c>
      <c r="BY207" s="1028"/>
      <c r="BZ207" s="130" t="str">
        <f t="shared" si="300"/>
        <v/>
      </c>
      <c r="CA207" s="1472" t="str">
        <f t="shared" si="301"/>
        <v/>
      </c>
      <c r="CB207" s="1028"/>
      <c r="CC207" s="130" t="str">
        <f t="shared" si="302"/>
        <v/>
      </c>
      <c r="CD207" s="1472" t="str">
        <f t="shared" si="303"/>
        <v/>
      </c>
      <c r="CE207" s="1028"/>
      <c r="CF207" s="130" t="str">
        <f t="shared" si="304"/>
        <v/>
      </c>
      <c r="CG207" s="1472" t="str">
        <f t="shared" si="305"/>
        <v/>
      </c>
      <c r="CH207" s="1028"/>
      <c r="CI207" s="130" t="str">
        <f t="shared" si="306"/>
        <v/>
      </c>
      <c r="CJ207" s="1472" t="str">
        <f t="shared" si="307"/>
        <v/>
      </c>
      <c r="CK207" s="1028"/>
      <c r="CL207" s="130" t="str">
        <f t="shared" si="308"/>
        <v/>
      </c>
      <c r="CM207" s="1472" t="str">
        <f t="shared" si="309"/>
        <v/>
      </c>
      <c r="CN207" s="1028"/>
      <c r="CO207" s="130" t="str">
        <f t="shared" si="310"/>
        <v/>
      </c>
      <c r="CP207" s="1472" t="str">
        <f t="shared" si="311"/>
        <v/>
      </c>
      <c r="CQ207" s="1028"/>
      <c r="CR207" s="130" t="str">
        <f t="shared" si="312"/>
        <v/>
      </c>
      <c r="CS207" s="1472" t="str">
        <f t="shared" si="313"/>
        <v/>
      </c>
      <c r="CT207" s="1028"/>
      <c r="CU207" s="130" t="str">
        <f t="shared" si="314"/>
        <v/>
      </c>
      <c r="CV207" s="1472" t="str">
        <f t="shared" si="315"/>
        <v/>
      </c>
      <c r="CW207" s="1028"/>
      <c r="CX207" s="130" t="str">
        <f t="shared" si="316"/>
        <v/>
      </c>
      <c r="CY207" s="1472" t="str">
        <f t="shared" si="317"/>
        <v/>
      </c>
      <c r="CZ207" s="1028"/>
      <c r="DA207" s="130" t="str">
        <f t="shared" si="318"/>
        <v/>
      </c>
      <c r="DB207" s="1472" t="str">
        <f t="shared" si="319"/>
        <v/>
      </c>
      <c r="DC207" s="1028"/>
      <c r="DD207" s="130" t="str">
        <f t="shared" si="320"/>
        <v/>
      </c>
      <c r="DE207" s="1472" t="str">
        <f t="shared" si="321"/>
        <v/>
      </c>
      <c r="DF207" s="1028"/>
      <c r="DG207" s="130" t="str">
        <f t="shared" si="322"/>
        <v/>
      </c>
      <c r="DH207" s="1472" t="str">
        <f t="shared" si="323"/>
        <v/>
      </c>
      <c r="DI207" s="1028"/>
      <c r="DJ207" s="130" t="str">
        <f t="shared" si="324"/>
        <v/>
      </c>
      <c r="DK207" s="1472" t="str">
        <f t="shared" si="325"/>
        <v/>
      </c>
      <c r="DL207" s="1028"/>
      <c r="DM207" s="130" t="str">
        <f t="shared" si="326"/>
        <v/>
      </c>
      <c r="DN207" s="1472" t="str">
        <f t="shared" si="327"/>
        <v/>
      </c>
      <c r="DO207" s="1028"/>
      <c r="DP207" s="130" t="str">
        <f t="shared" si="328"/>
        <v/>
      </c>
      <c r="DQ207" s="1472" t="str">
        <f t="shared" si="329"/>
        <v/>
      </c>
      <c r="DR207" s="1028"/>
      <c r="DS207" s="130" t="str">
        <f t="shared" si="330"/>
        <v/>
      </c>
      <c r="DT207" s="1472" t="str">
        <f t="shared" si="331"/>
        <v/>
      </c>
      <c r="DU207" s="1028"/>
      <c r="DV207" s="130" t="str">
        <f t="shared" si="332"/>
        <v/>
      </c>
      <c r="DW207" s="1472" t="str">
        <f t="shared" si="333"/>
        <v/>
      </c>
      <c r="DX207" s="147"/>
    </row>
    <row r="208" ht="23.25" customHeight="true" x14ac:dyDescent="0.25">
      <c r="B208" s="1612"/>
      <c r="C208" s="1613"/>
      <c r="D208" s="1613"/>
      <c r="E208" s="1154">
        <f t="shared" si="170"/>
        <v>23</v>
      </c>
      <c r="F208" s="1734" t="str">
        <f t="shared" si="253"/>
        <v/>
      </c>
      <c r="G208" s="1735"/>
      <c r="H208" s="1028"/>
      <c r="I208" s="130" t="str">
        <f t="shared" si="254"/>
        <v/>
      </c>
      <c r="J208" s="5" t="str">
        <f t="shared" si="255"/>
        <v/>
      </c>
      <c r="K208" s="1028"/>
      <c r="L208" s="130" t="str">
        <f t="shared" si="256"/>
        <v/>
      </c>
      <c r="M208" s="5" t="str">
        <f t="shared" si="257"/>
        <v/>
      </c>
      <c r="N208" s="1028"/>
      <c r="O208" s="130" t="str">
        <f t="shared" si="258"/>
        <v/>
      </c>
      <c r="P208" s="5" t="str">
        <f t="shared" si="259"/>
        <v/>
      </c>
      <c r="Q208" s="1028"/>
      <c r="R208" s="130" t="str">
        <f t="shared" si="260"/>
        <v/>
      </c>
      <c r="S208" s="1472" t="str">
        <f t="shared" si="261"/>
        <v/>
      </c>
      <c r="T208" s="1028"/>
      <c r="U208" s="130" t="str">
        <f t="shared" si="262"/>
        <v/>
      </c>
      <c r="V208" s="1472" t="str">
        <f t="shared" si="263"/>
        <v/>
      </c>
      <c r="W208" s="1028"/>
      <c r="X208" s="130" t="str">
        <f t="shared" si="264"/>
        <v/>
      </c>
      <c r="Y208" s="1472" t="str">
        <f t="shared" si="265"/>
        <v/>
      </c>
      <c r="Z208" s="1028"/>
      <c r="AA208" s="130" t="str">
        <f t="shared" si="266"/>
        <v/>
      </c>
      <c r="AB208" s="1472" t="str">
        <f t="shared" si="267"/>
        <v/>
      </c>
      <c r="AC208" s="1028"/>
      <c r="AD208" s="130" t="str">
        <f t="shared" si="268"/>
        <v/>
      </c>
      <c r="AE208" s="1472" t="str">
        <f t="shared" si="269"/>
        <v/>
      </c>
      <c r="AF208" s="1028"/>
      <c r="AG208" s="130" t="str">
        <f t="shared" si="270"/>
        <v/>
      </c>
      <c r="AH208" s="1472" t="str">
        <f t="shared" si="271"/>
        <v/>
      </c>
      <c r="AI208" s="1028"/>
      <c r="AJ208" s="130" t="str">
        <f t="shared" si="272"/>
        <v/>
      </c>
      <c r="AK208" s="1472" t="str">
        <f t="shared" si="273"/>
        <v/>
      </c>
      <c r="AL208" s="1028"/>
      <c r="AM208" s="130" t="str">
        <f t="shared" si="274"/>
        <v/>
      </c>
      <c r="AN208" s="1472" t="str">
        <f t="shared" si="275"/>
        <v/>
      </c>
      <c r="AO208" s="1028"/>
      <c r="AP208" s="130" t="str">
        <f t="shared" si="276"/>
        <v/>
      </c>
      <c r="AQ208" s="1472" t="str">
        <f t="shared" si="277"/>
        <v/>
      </c>
      <c r="AR208" s="1028"/>
      <c r="AS208" s="130" t="str">
        <f t="shared" si="278"/>
        <v/>
      </c>
      <c r="AT208" s="1472" t="str">
        <f t="shared" si="279"/>
        <v/>
      </c>
      <c r="AU208" s="1028"/>
      <c r="AV208" s="130" t="str">
        <f t="shared" si="280"/>
        <v/>
      </c>
      <c r="AW208" s="1472" t="str">
        <f t="shared" si="281"/>
        <v/>
      </c>
      <c r="AX208" s="1028"/>
      <c r="AY208" s="130" t="str">
        <f t="shared" si="282"/>
        <v/>
      </c>
      <c r="AZ208" s="1472" t="str">
        <f t="shared" si="283"/>
        <v/>
      </c>
      <c r="BA208" s="1028"/>
      <c r="BB208" s="130" t="str">
        <f t="shared" si="284"/>
        <v/>
      </c>
      <c r="BC208" s="1472" t="str">
        <f t="shared" si="285"/>
        <v/>
      </c>
      <c r="BD208" s="1028"/>
      <c r="BE208" s="130" t="str">
        <f t="shared" si="286"/>
        <v/>
      </c>
      <c r="BF208" s="1472" t="str">
        <f t="shared" si="287"/>
        <v/>
      </c>
      <c r="BG208" s="1028"/>
      <c r="BH208" s="130" t="str">
        <f t="shared" si="288"/>
        <v/>
      </c>
      <c r="BI208" s="1472" t="str">
        <f t="shared" si="289"/>
        <v/>
      </c>
      <c r="BJ208" s="1028"/>
      <c r="BK208" s="130" t="str">
        <f t="shared" si="290"/>
        <v/>
      </c>
      <c r="BL208" s="1472" t="str">
        <f t="shared" si="291"/>
        <v/>
      </c>
      <c r="BM208" s="1028"/>
      <c r="BN208" s="130" t="str">
        <f t="shared" si="292"/>
        <v/>
      </c>
      <c r="BO208" s="1472" t="str">
        <f t="shared" si="293"/>
        <v/>
      </c>
      <c r="BP208" s="1028"/>
      <c r="BQ208" s="130" t="str">
        <f t="shared" si="294"/>
        <v/>
      </c>
      <c r="BR208" s="1472" t="str">
        <f t="shared" si="295"/>
        <v/>
      </c>
      <c r="BS208" s="1028"/>
      <c r="BT208" s="130" t="str">
        <f t="shared" si="296"/>
        <v/>
      </c>
      <c r="BU208" s="1472" t="str">
        <f t="shared" si="297"/>
        <v/>
      </c>
      <c r="BV208" s="1028"/>
      <c r="BW208" s="130" t="str">
        <f t="shared" si="298"/>
        <v/>
      </c>
      <c r="BX208" s="1472" t="str">
        <f t="shared" si="299"/>
        <v/>
      </c>
      <c r="BY208" s="1028"/>
      <c r="BZ208" s="130" t="str">
        <f t="shared" si="300"/>
        <v/>
      </c>
      <c r="CA208" s="1472" t="str">
        <f t="shared" si="301"/>
        <v/>
      </c>
      <c r="CB208" s="1028"/>
      <c r="CC208" s="130" t="str">
        <f t="shared" si="302"/>
        <v/>
      </c>
      <c r="CD208" s="1472" t="str">
        <f t="shared" si="303"/>
        <v/>
      </c>
      <c r="CE208" s="1028"/>
      <c r="CF208" s="130" t="str">
        <f t="shared" si="304"/>
        <v/>
      </c>
      <c r="CG208" s="1472" t="str">
        <f t="shared" si="305"/>
        <v/>
      </c>
      <c r="CH208" s="1028"/>
      <c r="CI208" s="130" t="str">
        <f t="shared" si="306"/>
        <v/>
      </c>
      <c r="CJ208" s="1472" t="str">
        <f t="shared" si="307"/>
        <v/>
      </c>
      <c r="CK208" s="1028"/>
      <c r="CL208" s="130" t="str">
        <f t="shared" si="308"/>
        <v/>
      </c>
      <c r="CM208" s="1472" t="str">
        <f t="shared" si="309"/>
        <v/>
      </c>
      <c r="CN208" s="1028"/>
      <c r="CO208" s="130" t="str">
        <f t="shared" si="310"/>
        <v/>
      </c>
      <c r="CP208" s="1472" t="str">
        <f t="shared" si="311"/>
        <v/>
      </c>
      <c r="CQ208" s="1028"/>
      <c r="CR208" s="130" t="str">
        <f t="shared" si="312"/>
        <v/>
      </c>
      <c r="CS208" s="1472" t="str">
        <f t="shared" si="313"/>
        <v/>
      </c>
      <c r="CT208" s="1028"/>
      <c r="CU208" s="130" t="str">
        <f t="shared" si="314"/>
        <v/>
      </c>
      <c r="CV208" s="1472" t="str">
        <f t="shared" si="315"/>
        <v/>
      </c>
      <c r="CW208" s="1028"/>
      <c r="CX208" s="130" t="str">
        <f t="shared" si="316"/>
        <v/>
      </c>
      <c r="CY208" s="1472" t="str">
        <f t="shared" si="317"/>
        <v/>
      </c>
      <c r="CZ208" s="1028"/>
      <c r="DA208" s="130" t="str">
        <f t="shared" si="318"/>
        <v/>
      </c>
      <c r="DB208" s="1472" t="str">
        <f t="shared" si="319"/>
        <v/>
      </c>
      <c r="DC208" s="1028"/>
      <c r="DD208" s="130" t="str">
        <f t="shared" si="320"/>
        <v/>
      </c>
      <c r="DE208" s="1472" t="str">
        <f t="shared" si="321"/>
        <v/>
      </c>
      <c r="DF208" s="1028"/>
      <c r="DG208" s="130" t="str">
        <f t="shared" si="322"/>
        <v/>
      </c>
      <c r="DH208" s="1472" t="str">
        <f t="shared" si="323"/>
        <v/>
      </c>
      <c r="DI208" s="1028"/>
      <c r="DJ208" s="130" t="str">
        <f t="shared" si="324"/>
        <v/>
      </c>
      <c r="DK208" s="1472" t="str">
        <f t="shared" si="325"/>
        <v/>
      </c>
      <c r="DL208" s="1028"/>
      <c r="DM208" s="130" t="str">
        <f t="shared" si="326"/>
        <v/>
      </c>
      <c r="DN208" s="1472" t="str">
        <f t="shared" si="327"/>
        <v/>
      </c>
      <c r="DO208" s="1028"/>
      <c r="DP208" s="130" t="str">
        <f t="shared" si="328"/>
        <v/>
      </c>
      <c r="DQ208" s="1472" t="str">
        <f t="shared" si="329"/>
        <v/>
      </c>
      <c r="DR208" s="1028"/>
      <c r="DS208" s="130" t="str">
        <f t="shared" si="330"/>
        <v/>
      </c>
      <c r="DT208" s="1472" t="str">
        <f t="shared" si="331"/>
        <v/>
      </c>
      <c r="DU208" s="1028"/>
      <c r="DV208" s="130" t="str">
        <f t="shared" si="332"/>
        <v/>
      </c>
      <c r="DW208" s="1472" t="str">
        <f t="shared" si="333"/>
        <v/>
      </c>
      <c r="DX208" s="147"/>
    </row>
    <row r="209" ht="23.25" customHeight="true" x14ac:dyDescent="0.25">
      <c r="B209" s="1612"/>
      <c r="C209" s="1613"/>
      <c r="D209" s="1613"/>
      <c r="E209" s="1154">
        <f t="shared" si="170"/>
        <v>24</v>
      </c>
      <c r="F209" s="1734" t="str">
        <f t="shared" si="253"/>
        <v/>
      </c>
      <c r="G209" s="1735"/>
      <c r="H209" s="1028"/>
      <c r="I209" s="130" t="str">
        <f t="shared" si="254"/>
        <v/>
      </c>
      <c r="J209" s="5" t="str">
        <f t="shared" si="255"/>
        <v/>
      </c>
      <c r="K209" s="1028"/>
      <c r="L209" s="130" t="str">
        <f t="shared" si="256"/>
        <v/>
      </c>
      <c r="M209" s="5" t="str">
        <f t="shared" si="257"/>
        <v/>
      </c>
      <c r="N209" s="1028"/>
      <c r="O209" s="130" t="str">
        <f t="shared" si="258"/>
        <v/>
      </c>
      <c r="P209" s="5" t="str">
        <f t="shared" si="259"/>
        <v/>
      </c>
      <c r="Q209" s="1028"/>
      <c r="R209" s="130" t="str">
        <f t="shared" si="260"/>
        <v/>
      </c>
      <c r="S209" s="1472" t="str">
        <f t="shared" si="261"/>
        <v/>
      </c>
      <c r="T209" s="1028"/>
      <c r="U209" s="130" t="str">
        <f t="shared" si="262"/>
        <v/>
      </c>
      <c r="V209" s="1472" t="str">
        <f t="shared" si="263"/>
        <v/>
      </c>
      <c r="W209" s="1028"/>
      <c r="X209" s="130" t="str">
        <f t="shared" si="264"/>
        <v/>
      </c>
      <c r="Y209" s="1472" t="str">
        <f t="shared" si="265"/>
        <v/>
      </c>
      <c r="Z209" s="1028"/>
      <c r="AA209" s="130" t="str">
        <f t="shared" si="266"/>
        <v/>
      </c>
      <c r="AB209" s="1472" t="str">
        <f t="shared" si="267"/>
        <v/>
      </c>
      <c r="AC209" s="1028"/>
      <c r="AD209" s="130" t="str">
        <f t="shared" si="268"/>
        <v/>
      </c>
      <c r="AE209" s="1472" t="str">
        <f t="shared" si="269"/>
        <v/>
      </c>
      <c r="AF209" s="1028"/>
      <c r="AG209" s="130" t="str">
        <f t="shared" si="270"/>
        <v/>
      </c>
      <c r="AH209" s="1472" t="str">
        <f t="shared" si="271"/>
        <v/>
      </c>
      <c r="AI209" s="1028"/>
      <c r="AJ209" s="130" t="str">
        <f t="shared" si="272"/>
        <v/>
      </c>
      <c r="AK209" s="1472" t="str">
        <f t="shared" si="273"/>
        <v/>
      </c>
      <c r="AL209" s="1028"/>
      <c r="AM209" s="130" t="str">
        <f t="shared" si="274"/>
        <v/>
      </c>
      <c r="AN209" s="1472" t="str">
        <f t="shared" si="275"/>
        <v/>
      </c>
      <c r="AO209" s="1028"/>
      <c r="AP209" s="130" t="str">
        <f t="shared" si="276"/>
        <v/>
      </c>
      <c r="AQ209" s="1472" t="str">
        <f t="shared" si="277"/>
        <v/>
      </c>
      <c r="AR209" s="1028"/>
      <c r="AS209" s="130" t="str">
        <f t="shared" si="278"/>
        <v/>
      </c>
      <c r="AT209" s="1472" t="str">
        <f t="shared" si="279"/>
        <v/>
      </c>
      <c r="AU209" s="1028"/>
      <c r="AV209" s="130" t="str">
        <f t="shared" si="280"/>
        <v/>
      </c>
      <c r="AW209" s="1472" t="str">
        <f t="shared" si="281"/>
        <v/>
      </c>
      <c r="AX209" s="1028"/>
      <c r="AY209" s="130" t="str">
        <f t="shared" si="282"/>
        <v/>
      </c>
      <c r="AZ209" s="1472" t="str">
        <f t="shared" si="283"/>
        <v/>
      </c>
      <c r="BA209" s="1028"/>
      <c r="BB209" s="130" t="str">
        <f t="shared" si="284"/>
        <v/>
      </c>
      <c r="BC209" s="1472" t="str">
        <f t="shared" si="285"/>
        <v/>
      </c>
      <c r="BD209" s="1028"/>
      <c r="BE209" s="130" t="str">
        <f t="shared" si="286"/>
        <v/>
      </c>
      <c r="BF209" s="1472" t="str">
        <f t="shared" si="287"/>
        <v/>
      </c>
      <c r="BG209" s="1028"/>
      <c r="BH209" s="130" t="str">
        <f t="shared" si="288"/>
        <v/>
      </c>
      <c r="BI209" s="1472" t="str">
        <f t="shared" si="289"/>
        <v/>
      </c>
      <c r="BJ209" s="1028"/>
      <c r="BK209" s="130" t="str">
        <f t="shared" si="290"/>
        <v/>
      </c>
      <c r="BL209" s="1472" t="str">
        <f t="shared" si="291"/>
        <v/>
      </c>
      <c r="BM209" s="1028"/>
      <c r="BN209" s="130" t="str">
        <f t="shared" si="292"/>
        <v/>
      </c>
      <c r="BO209" s="1472" t="str">
        <f t="shared" si="293"/>
        <v/>
      </c>
      <c r="BP209" s="1028"/>
      <c r="BQ209" s="130" t="str">
        <f t="shared" si="294"/>
        <v/>
      </c>
      <c r="BR209" s="1472" t="str">
        <f t="shared" si="295"/>
        <v/>
      </c>
      <c r="BS209" s="1028"/>
      <c r="BT209" s="130" t="str">
        <f t="shared" si="296"/>
        <v/>
      </c>
      <c r="BU209" s="1472" t="str">
        <f t="shared" si="297"/>
        <v/>
      </c>
      <c r="BV209" s="1028"/>
      <c r="BW209" s="130" t="str">
        <f t="shared" si="298"/>
        <v/>
      </c>
      <c r="BX209" s="1472" t="str">
        <f t="shared" si="299"/>
        <v/>
      </c>
      <c r="BY209" s="1028"/>
      <c r="BZ209" s="130" t="str">
        <f t="shared" si="300"/>
        <v/>
      </c>
      <c r="CA209" s="1472" t="str">
        <f t="shared" si="301"/>
        <v/>
      </c>
      <c r="CB209" s="1028"/>
      <c r="CC209" s="130" t="str">
        <f t="shared" si="302"/>
        <v/>
      </c>
      <c r="CD209" s="1472" t="str">
        <f t="shared" si="303"/>
        <v/>
      </c>
      <c r="CE209" s="1028"/>
      <c r="CF209" s="130" t="str">
        <f t="shared" si="304"/>
        <v/>
      </c>
      <c r="CG209" s="1472" t="str">
        <f t="shared" si="305"/>
        <v/>
      </c>
      <c r="CH209" s="1028"/>
      <c r="CI209" s="130" t="str">
        <f t="shared" si="306"/>
        <v/>
      </c>
      <c r="CJ209" s="1472" t="str">
        <f t="shared" si="307"/>
        <v/>
      </c>
      <c r="CK209" s="1028"/>
      <c r="CL209" s="130" t="str">
        <f t="shared" si="308"/>
        <v/>
      </c>
      <c r="CM209" s="1472" t="str">
        <f t="shared" si="309"/>
        <v/>
      </c>
      <c r="CN209" s="1028"/>
      <c r="CO209" s="130" t="str">
        <f t="shared" si="310"/>
        <v/>
      </c>
      <c r="CP209" s="1472" t="str">
        <f t="shared" si="311"/>
        <v/>
      </c>
      <c r="CQ209" s="1028"/>
      <c r="CR209" s="130" t="str">
        <f t="shared" si="312"/>
        <v/>
      </c>
      <c r="CS209" s="1472" t="str">
        <f t="shared" si="313"/>
        <v/>
      </c>
      <c r="CT209" s="1028"/>
      <c r="CU209" s="130" t="str">
        <f t="shared" si="314"/>
        <v/>
      </c>
      <c r="CV209" s="1472" t="str">
        <f t="shared" si="315"/>
        <v/>
      </c>
      <c r="CW209" s="1028"/>
      <c r="CX209" s="130" t="str">
        <f t="shared" si="316"/>
        <v/>
      </c>
      <c r="CY209" s="1472" t="str">
        <f t="shared" si="317"/>
        <v/>
      </c>
      <c r="CZ209" s="1028"/>
      <c r="DA209" s="130" t="str">
        <f t="shared" si="318"/>
        <v/>
      </c>
      <c r="DB209" s="1472" t="str">
        <f t="shared" si="319"/>
        <v/>
      </c>
      <c r="DC209" s="1028"/>
      <c r="DD209" s="130" t="str">
        <f t="shared" si="320"/>
        <v/>
      </c>
      <c r="DE209" s="1472" t="str">
        <f t="shared" si="321"/>
        <v/>
      </c>
      <c r="DF209" s="1028"/>
      <c r="DG209" s="130" t="str">
        <f t="shared" si="322"/>
        <v/>
      </c>
      <c r="DH209" s="1472" t="str">
        <f t="shared" si="323"/>
        <v/>
      </c>
      <c r="DI209" s="1028"/>
      <c r="DJ209" s="130" t="str">
        <f t="shared" si="324"/>
        <v/>
      </c>
      <c r="DK209" s="1472" t="str">
        <f t="shared" si="325"/>
        <v/>
      </c>
      <c r="DL209" s="1028"/>
      <c r="DM209" s="130" t="str">
        <f t="shared" si="326"/>
        <v/>
      </c>
      <c r="DN209" s="1472" t="str">
        <f t="shared" si="327"/>
        <v/>
      </c>
      <c r="DO209" s="1028"/>
      <c r="DP209" s="130" t="str">
        <f t="shared" si="328"/>
        <v/>
      </c>
      <c r="DQ209" s="1472" t="str">
        <f t="shared" si="329"/>
        <v/>
      </c>
      <c r="DR209" s="1028"/>
      <c r="DS209" s="130" t="str">
        <f t="shared" si="330"/>
        <v/>
      </c>
      <c r="DT209" s="1472" t="str">
        <f t="shared" si="331"/>
        <v/>
      </c>
      <c r="DU209" s="1028"/>
      <c r="DV209" s="130" t="str">
        <f t="shared" si="332"/>
        <v/>
      </c>
      <c r="DW209" s="1472" t="str">
        <f t="shared" si="333"/>
        <v/>
      </c>
      <c r="DX209" s="147"/>
    </row>
    <row r="210" ht="23.25" customHeight="true" x14ac:dyDescent="0.25">
      <c r="B210" s="1612"/>
      <c r="C210" s="1613"/>
      <c r="D210" s="1613"/>
      <c r="E210" s="1154">
        <f t="shared" si="170"/>
        <v>25</v>
      </c>
      <c r="F210" s="1734" t="str">
        <f t="shared" si="253"/>
        <v/>
      </c>
      <c r="G210" s="1735"/>
      <c r="H210" s="1028"/>
      <c r="I210" s="130" t="str">
        <f t="shared" si="254"/>
        <v/>
      </c>
      <c r="J210" s="5" t="str">
        <f t="shared" si="255"/>
        <v/>
      </c>
      <c r="K210" s="1028"/>
      <c r="L210" s="130" t="str">
        <f t="shared" si="256"/>
        <v/>
      </c>
      <c r="M210" s="5" t="str">
        <f t="shared" si="257"/>
        <v/>
      </c>
      <c r="N210" s="1028"/>
      <c r="O210" s="130" t="str">
        <f t="shared" si="258"/>
        <v/>
      </c>
      <c r="P210" s="5" t="str">
        <f t="shared" si="259"/>
        <v/>
      </c>
      <c r="Q210" s="1028"/>
      <c r="R210" s="130" t="str">
        <f t="shared" si="260"/>
        <v/>
      </c>
      <c r="S210" s="1472" t="str">
        <f t="shared" si="261"/>
        <v/>
      </c>
      <c r="T210" s="1028"/>
      <c r="U210" s="130" t="str">
        <f t="shared" si="262"/>
        <v/>
      </c>
      <c r="V210" s="1472" t="str">
        <f t="shared" si="263"/>
        <v/>
      </c>
      <c r="W210" s="1028"/>
      <c r="X210" s="130" t="str">
        <f t="shared" si="264"/>
        <v/>
      </c>
      <c r="Y210" s="1472" t="str">
        <f t="shared" si="265"/>
        <v/>
      </c>
      <c r="Z210" s="1028"/>
      <c r="AA210" s="130" t="str">
        <f t="shared" si="266"/>
        <v/>
      </c>
      <c r="AB210" s="1472" t="str">
        <f t="shared" si="267"/>
        <v/>
      </c>
      <c r="AC210" s="1028"/>
      <c r="AD210" s="130" t="str">
        <f t="shared" si="268"/>
        <v/>
      </c>
      <c r="AE210" s="1472" t="str">
        <f t="shared" si="269"/>
        <v/>
      </c>
      <c r="AF210" s="1028"/>
      <c r="AG210" s="130" t="str">
        <f t="shared" si="270"/>
        <v/>
      </c>
      <c r="AH210" s="1472" t="str">
        <f t="shared" si="271"/>
        <v/>
      </c>
      <c r="AI210" s="1028"/>
      <c r="AJ210" s="130" t="str">
        <f t="shared" si="272"/>
        <v/>
      </c>
      <c r="AK210" s="1472" t="str">
        <f t="shared" si="273"/>
        <v/>
      </c>
      <c r="AL210" s="1028"/>
      <c r="AM210" s="130" t="str">
        <f t="shared" si="274"/>
        <v/>
      </c>
      <c r="AN210" s="1472" t="str">
        <f t="shared" si="275"/>
        <v/>
      </c>
      <c r="AO210" s="1028"/>
      <c r="AP210" s="130" t="str">
        <f t="shared" si="276"/>
        <v/>
      </c>
      <c r="AQ210" s="1472" t="str">
        <f t="shared" si="277"/>
        <v/>
      </c>
      <c r="AR210" s="1028"/>
      <c r="AS210" s="130" t="str">
        <f t="shared" si="278"/>
        <v/>
      </c>
      <c r="AT210" s="1472" t="str">
        <f t="shared" si="279"/>
        <v/>
      </c>
      <c r="AU210" s="1028"/>
      <c r="AV210" s="130" t="str">
        <f t="shared" si="280"/>
        <v/>
      </c>
      <c r="AW210" s="1472" t="str">
        <f t="shared" si="281"/>
        <v/>
      </c>
      <c r="AX210" s="1028"/>
      <c r="AY210" s="130" t="str">
        <f t="shared" si="282"/>
        <v/>
      </c>
      <c r="AZ210" s="1472" t="str">
        <f t="shared" si="283"/>
        <v/>
      </c>
      <c r="BA210" s="1028"/>
      <c r="BB210" s="130" t="str">
        <f t="shared" si="284"/>
        <v/>
      </c>
      <c r="BC210" s="1472" t="str">
        <f t="shared" si="285"/>
        <v/>
      </c>
      <c r="BD210" s="1028"/>
      <c r="BE210" s="130" t="str">
        <f t="shared" si="286"/>
        <v/>
      </c>
      <c r="BF210" s="1472" t="str">
        <f t="shared" si="287"/>
        <v/>
      </c>
      <c r="BG210" s="1028"/>
      <c r="BH210" s="130" t="str">
        <f t="shared" si="288"/>
        <v/>
      </c>
      <c r="BI210" s="1472" t="str">
        <f t="shared" si="289"/>
        <v/>
      </c>
      <c r="BJ210" s="1028"/>
      <c r="BK210" s="130" t="str">
        <f t="shared" si="290"/>
        <v/>
      </c>
      <c r="BL210" s="1472" t="str">
        <f t="shared" si="291"/>
        <v/>
      </c>
      <c r="BM210" s="1028"/>
      <c r="BN210" s="130" t="str">
        <f t="shared" si="292"/>
        <v/>
      </c>
      <c r="BO210" s="1472" t="str">
        <f t="shared" si="293"/>
        <v/>
      </c>
      <c r="BP210" s="1028"/>
      <c r="BQ210" s="130" t="str">
        <f t="shared" si="294"/>
        <v/>
      </c>
      <c r="BR210" s="1472" t="str">
        <f t="shared" si="295"/>
        <v/>
      </c>
      <c r="BS210" s="1028"/>
      <c r="BT210" s="130" t="str">
        <f t="shared" si="296"/>
        <v/>
      </c>
      <c r="BU210" s="1472" t="str">
        <f t="shared" si="297"/>
        <v/>
      </c>
      <c r="BV210" s="1028"/>
      <c r="BW210" s="130" t="str">
        <f t="shared" si="298"/>
        <v/>
      </c>
      <c r="BX210" s="1472" t="str">
        <f t="shared" si="299"/>
        <v/>
      </c>
      <c r="BY210" s="1028"/>
      <c r="BZ210" s="130" t="str">
        <f t="shared" si="300"/>
        <v/>
      </c>
      <c r="CA210" s="1472" t="str">
        <f t="shared" si="301"/>
        <v/>
      </c>
      <c r="CB210" s="1028"/>
      <c r="CC210" s="130" t="str">
        <f t="shared" si="302"/>
        <v/>
      </c>
      <c r="CD210" s="1472" t="str">
        <f t="shared" si="303"/>
        <v/>
      </c>
      <c r="CE210" s="1028"/>
      <c r="CF210" s="130" t="str">
        <f t="shared" si="304"/>
        <v/>
      </c>
      <c r="CG210" s="1472" t="str">
        <f t="shared" si="305"/>
        <v/>
      </c>
      <c r="CH210" s="1028"/>
      <c r="CI210" s="130" t="str">
        <f t="shared" si="306"/>
        <v/>
      </c>
      <c r="CJ210" s="1472" t="str">
        <f t="shared" si="307"/>
        <v/>
      </c>
      <c r="CK210" s="1028"/>
      <c r="CL210" s="130" t="str">
        <f t="shared" si="308"/>
        <v/>
      </c>
      <c r="CM210" s="1472" t="str">
        <f t="shared" si="309"/>
        <v/>
      </c>
      <c r="CN210" s="1028"/>
      <c r="CO210" s="130" t="str">
        <f t="shared" si="310"/>
        <v/>
      </c>
      <c r="CP210" s="1472" t="str">
        <f t="shared" si="311"/>
        <v/>
      </c>
      <c r="CQ210" s="1028"/>
      <c r="CR210" s="130" t="str">
        <f t="shared" si="312"/>
        <v/>
      </c>
      <c r="CS210" s="1472" t="str">
        <f t="shared" si="313"/>
        <v/>
      </c>
      <c r="CT210" s="1028"/>
      <c r="CU210" s="130" t="str">
        <f t="shared" si="314"/>
        <v/>
      </c>
      <c r="CV210" s="1472" t="str">
        <f t="shared" si="315"/>
        <v/>
      </c>
      <c r="CW210" s="1028"/>
      <c r="CX210" s="130" t="str">
        <f t="shared" si="316"/>
        <v/>
      </c>
      <c r="CY210" s="1472" t="str">
        <f t="shared" si="317"/>
        <v/>
      </c>
      <c r="CZ210" s="1028"/>
      <c r="DA210" s="130" t="str">
        <f t="shared" si="318"/>
        <v/>
      </c>
      <c r="DB210" s="1472" t="str">
        <f t="shared" si="319"/>
        <v/>
      </c>
      <c r="DC210" s="1028"/>
      <c r="DD210" s="130" t="str">
        <f t="shared" si="320"/>
        <v/>
      </c>
      <c r="DE210" s="1472" t="str">
        <f t="shared" si="321"/>
        <v/>
      </c>
      <c r="DF210" s="1028"/>
      <c r="DG210" s="130" t="str">
        <f t="shared" si="322"/>
        <v/>
      </c>
      <c r="DH210" s="1472" t="str">
        <f t="shared" si="323"/>
        <v/>
      </c>
      <c r="DI210" s="1028"/>
      <c r="DJ210" s="130" t="str">
        <f t="shared" si="324"/>
        <v/>
      </c>
      <c r="DK210" s="1472" t="str">
        <f t="shared" si="325"/>
        <v/>
      </c>
      <c r="DL210" s="1028"/>
      <c r="DM210" s="130" t="str">
        <f t="shared" si="326"/>
        <v/>
      </c>
      <c r="DN210" s="1472" t="str">
        <f t="shared" si="327"/>
        <v/>
      </c>
      <c r="DO210" s="1028"/>
      <c r="DP210" s="130" t="str">
        <f t="shared" si="328"/>
        <v/>
      </c>
      <c r="DQ210" s="1472" t="str">
        <f t="shared" si="329"/>
        <v/>
      </c>
      <c r="DR210" s="1028"/>
      <c r="DS210" s="130" t="str">
        <f t="shared" si="330"/>
        <v/>
      </c>
      <c r="DT210" s="1472" t="str">
        <f t="shared" si="331"/>
        <v/>
      </c>
      <c r="DU210" s="1028"/>
      <c r="DV210" s="130" t="str">
        <f t="shared" si="332"/>
        <v/>
      </c>
      <c r="DW210" s="1472" t="str">
        <f t="shared" si="333"/>
        <v/>
      </c>
      <c r="DX210" s="147"/>
    </row>
    <row r="211" ht="23.25" customHeight="true" x14ac:dyDescent="0.25">
      <c r="B211" s="1612"/>
      <c r="C211" s="1613"/>
      <c r="D211" s="1613"/>
      <c r="E211" s="1154">
        <f t="shared" si="170"/>
        <v>26</v>
      </c>
      <c r="F211" s="1734" t="str">
        <f t="shared" si="253"/>
        <v/>
      </c>
      <c r="G211" s="1735"/>
      <c r="H211" s="1028"/>
      <c r="I211" s="130" t="str">
        <f t="shared" si="254"/>
        <v/>
      </c>
      <c r="J211" s="5" t="str">
        <f t="shared" si="255"/>
        <v/>
      </c>
      <c r="K211" s="1028"/>
      <c r="L211" s="130" t="str">
        <f t="shared" si="256"/>
        <v/>
      </c>
      <c r="M211" s="5" t="str">
        <f t="shared" si="257"/>
        <v/>
      </c>
      <c r="N211" s="1028"/>
      <c r="O211" s="130" t="str">
        <f t="shared" si="258"/>
        <v/>
      </c>
      <c r="P211" s="5" t="str">
        <f t="shared" si="259"/>
        <v/>
      </c>
      <c r="Q211" s="1028"/>
      <c r="R211" s="130" t="str">
        <f t="shared" si="260"/>
        <v/>
      </c>
      <c r="S211" s="1472" t="str">
        <f t="shared" si="261"/>
        <v/>
      </c>
      <c r="T211" s="1028"/>
      <c r="U211" s="130" t="str">
        <f t="shared" si="262"/>
        <v/>
      </c>
      <c r="V211" s="1472" t="str">
        <f t="shared" si="263"/>
        <v/>
      </c>
      <c r="W211" s="1028"/>
      <c r="X211" s="130" t="str">
        <f t="shared" si="264"/>
        <v/>
      </c>
      <c r="Y211" s="1472" t="str">
        <f t="shared" si="265"/>
        <v/>
      </c>
      <c r="Z211" s="1028"/>
      <c r="AA211" s="130" t="str">
        <f t="shared" si="266"/>
        <v/>
      </c>
      <c r="AB211" s="1472" t="str">
        <f t="shared" si="267"/>
        <v/>
      </c>
      <c r="AC211" s="1028"/>
      <c r="AD211" s="130" t="str">
        <f t="shared" si="268"/>
        <v/>
      </c>
      <c r="AE211" s="1472" t="str">
        <f t="shared" si="269"/>
        <v/>
      </c>
      <c r="AF211" s="1028"/>
      <c r="AG211" s="130" t="str">
        <f t="shared" si="270"/>
        <v/>
      </c>
      <c r="AH211" s="1472" t="str">
        <f t="shared" si="271"/>
        <v/>
      </c>
      <c r="AI211" s="1028"/>
      <c r="AJ211" s="130" t="str">
        <f t="shared" si="272"/>
        <v/>
      </c>
      <c r="AK211" s="1472" t="str">
        <f t="shared" si="273"/>
        <v/>
      </c>
      <c r="AL211" s="1028"/>
      <c r="AM211" s="130" t="str">
        <f t="shared" si="274"/>
        <v/>
      </c>
      <c r="AN211" s="1472" t="str">
        <f t="shared" si="275"/>
        <v/>
      </c>
      <c r="AO211" s="1028"/>
      <c r="AP211" s="130" t="str">
        <f t="shared" si="276"/>
        <v/>
      </c>
      <c r="AQ211" s="1472" t="str">
        <f t="shared" si="277"/>
        <v/>
      </c>
      <c r="AR211" s="1028"/>
      <c r="AS211" s="130" t="str">
        <f t="shared" si="278"/>
        <v/>
      </c>
      <c r="AT211" s="1472" t="str">
        <f t="shared" si="279"/>
        <v/>
      </c>
      <c r="AU211" s="1028"/>
      <c r="AV211" s="130" t="str">
        <f t="shared" si="280"/>
        <v/>
      </c>
      <c r="AW211" s="1472" t="str">
        <f t="shared" si="281"/>
        <v/>
      </c>
      <c r="AX211" s="1028"/>
      <c r="AY211" s="130" t="str">
        <f t="shared" si="282"/>
        <v/>
      </c>
      <c r="AZ211" s="1472" t="str">
        <f t="shared" si="283"/>
        <v/>
      </c>
      <c r="BA211" s="1028"/>
      <c r="BB211" s="130" t="str">
        <f t="shared" si="284"/>
        <v/>
      </c>
      <c r="BC211" s="1472" t="str">
        <f t="shared" si="285"/>
        <v/>
      </c>
      <c r="BD211" s="1028"/>
      <c r="BE211" s="130" t="str">
        <f t="shared" si="286"/>
        <v/>
      </c>
      <c r="BF211" s="1472" t="str">
        <f t="shared" si="287"/>
        <v/>
      </c>
      <c r="BG211" s="1028"/>
      <c r="BH211" s="130" t="str">
        <f t="shared" si="288"/>
        <v/>
      </c>
      <c r="BI211" s="1472" t="str">
        <f t="shared" si="289"/>
        <v/>
      </c>
      <c r="BJ211" s="1028"/>
      <c r="BK211" s="130" t="str">
        <f t="shared" si="290"/>
        <v/>
      </c>
      <c r="BL211" s="1472" t="str">
        <f t="shared" si="291"/>
        <v/>
      </c>
      <c r="BM211" s="1028"/>
      <c r="BN211" s="130" t="str">
        <f t="shared" si="292"/>
        <v/>
      </c>
      <c r="BO211" s="1472" t="str">
        <f t="shared" si="293"/>
        <v/>
      </c>
      <c r="BP211" s="1028"/>
      <c r="BQ211" s="130" t="str">
        <f t="shared" si="294"/>
        <v/>
      </c>
      <c r="BR211" s="1472" t="str">
        <f t="shared" si="295"/>
        <v/>
      </c>
      <c r="BS211" s="1028"/>
      <c r="BT211" s="130" t="str">
        <f t="shared" si="296"/>
        <v/>
      </c>
      <c r="BU211" s="1472" t="str">
        <f t="shared" si="297"/>
        <v/>
      </c>
      <c r="BV211" s="1028"/>
      <c r="BW211" s="130" t="str">
        <f t="shared" si="298"/>
        <v/>
      </c>
      <c r="BX211" s="1472" t="str">
        <f t="shared" si="299"/>
        <v/>
      </c>
      <c r="BY211" s="1028"/>
      <c r="BZ211" s="130" t="str">
        <f t="shared" si="300"/>
        <v/>
      </c>
      <c r="CA211" s="1472" t="str">
        <f t="shared" si="301"/>
        <v/>
      </c>
      <c r="CB211" s="1028"/>
      <c r="CC211" s="130" t="str">
        <f t="shared" si="302"/>
        <v/>
      </c>
      <c r="CD211" s="1472" t="str">
        <f t="shared" si="303"/>
        <v/>
      </c>
      <c r="CE211" s="1028"/>
      <c r="CF211" s="130" t="str">
        <f t="shared" si="304"/>
        <v/>
      </c>
      <c r="CG211" s="1472" t="str">
        <f t="shared" si="305"/>
        <v/>
      </c>
      <c r="CH211" s="1028"/>
      <c r="CI211" s="130" t="str">
        <f t="shared" si="306"/>
        <v/>
      </c>
      <c r="CJ211" s="1472" t="str">
        <f t="shared" si="307"/>
        <v/>
      </c>
      <c r="CK211" s="1028"/>
      <c r="CL211" s="130" t="str">
        <f t="shared" si="308"/>
        <v/>
      </c>
      <c r="CM211" s="1472" t="str">
        <f t="shared" si="309"/>
        <v/>
      </c>
      <c r="CN211" s="1028"/>
      <c r="CO211" s="130" t="str">
        <f t="shared" si="310"/>
        <v/>
      </c>
      <c r="CP211" s="1472" t="str">
        <f t="shared" si="311"/>
        <v/>
      </c>
      <c r="CQ211" s="1028"/>
      <c r="CR211" s="130" t="str">
        <f t="shared" si="312"/>
        <v/>
      </c>
      <c r="CS211" s="1472" t="str">
        <f t="shared" si="313"/>
        <v/>
      </c>
      <c r="CT211" s="1028"/>
      <c r="CU211" s="130" t="str">
        <f t="shared" si="314"/>
        <v/>
      </c>
      <c r="CV211" s="1472" t="str">
        <f t="shared" si="315"/>
        <v/>
      </c>
      <c r="CW211" s="1028"/>
      <c r="CX211" s="130" t="str">
        <f t="shared" si="316"/>
        <v/>
      </c>
      <c r="CY211" s="1472" t="str">
        <f t="shared" si="317"/>
        <v/>
      </c>
      <c r="CZ211" s="1028"/>
      <c r="DA211" s="130" t="str">
        <f t="shared" si="318"/>
        <v/>
      </c>
      <c r="DB211" s="1472" t="str">
        <f t="shared" si="319"/>
        <v/>
      </c>
      <c r="DC211" s="1028"/>
      <c r="DD211" s="130" t="str">
        <f t="shared" si="320"/>
        <v/>
      </c>
      <c r="DE211" s="1472" t="str">
        <f t="shared" si="321"/>
        <v/>
      </c>
      <c r="DF211" s="1028"/>
      <c r="DG211" s="130" t="str">
        <f t="shared" si="322"/>
        <v/>
      </c>
      <c r="DH211" s="1472" t="str">
        <f t="shared" si="323"/>
        <v/>
      </c>
      <c r="DI211" s="1028"/>
      <c r="DJ211" s="130" t="str">
        <f t="shared" si="324"/>
        <v/>
      </c>
      <c r="DK211" s="1472" t="str">
        <f t="shared" si="325"/>
        <v/>
      </c>
      <c r="DL211" s="1028"/>
      <c r="DM211" s="130" t="str">
        <f t="shared" si="326"/>
        <v/>
      </c>
      <c r="DN211" s="1472" t="str">
        <f t="shared" si="327"/>
        <v/>
      </c>
      <c r="DO211" s="1028"/>
      <c r="DP211" s="130" t="str">
        <f t="shared" si="328"/>
        <v/>
      </c>
      <c r="DQ211" s="1472" t="str">
        <f t="shared" si="329"/>
        <v/>
      </c>
      <c r="DR211" s="1028"/>
      <c r="DS211" s="130" t="str">
        <f t="shared" si="330"/>
        <v/>
      </c>
      <c r="DT211" s="1472" t="str">
        <f t="shared" si="331"/>
        <v/>
      </c>
      <c r="DU211" s="1028"/>
      <c r="DV211" s="130" t="str">
        <f t="shared" si="332"/>
        <v/>
      </c>
      <c r="DW211" s="1472" t="str">
        <f t="shared" si="333"/>
        <v/>
      </c>
      <c r="DX211" s="147"/>
    </row>
    <row r="212" ht="23.25" customHeight="true" x14ac:dyDescent="0.25">
      <c r="B212" s="1612"/>
      <c r="C212" s="1613"/>
      <c r="D212" s="1613"/>
      <c r="E212" s="1154">
        <f t="shared" si="170"/>
        <v>27</v>
      </c>
      <c r="F212" s="1734" t="str">
        <f t="shared" si="253"/>
        <v/>
      </c>
      <c r="G212" s="1735"/>
      <c r="H212" s="1028"/>
      <c r="I212" s="130" t="str">
        <f t="shared" si="254"/>
        <v/>
      </c>
      <c r="J212" s="5" t="str">
        <f t="shared" si="255"/>
        <v/>
      </c>
      <c r="K212" s="1028"/>
      <c r="L212" s="130" t="str">
        <f t="shared" si="256"/>
        <v/>
      </c>
      <c r="M212" s="5" t="str">
        <f t="shared" si="257"/>
        <v/>
      </c>
      <c r="N212" s="1028"/>
      <c r="O212" s="130" t="str">
        <f t="shared" si="258"/>
        <v/>
      </c>
      <c r="P212" s="5" t="str">
        <f t="shared" si="259"/>
        <v/>
      </c>
      <c r="Q212" s="1028"/>
      <c r="R212" s="130" t="str">
        <f t="shared" si="260"/>
        <v/>
      </c>
      <c r="S212" s="1472" t="str">
        <f t="shared" si="261"/>
        <v/>
      </c>
      <c r="T212" s="1028"/>
      <c r="U212" s="130" t="str">
        <f t="shared" si="262"/>
        <v/>
      </c>
      <c r="V212" s="1472" t="str">
        <f t="shared" si="263"/>
        <v/>
      </c>
      <c r="W212" s="1028"/>
      <c r="X212" s="130" t="str">
        <f t="shared" si="264"/>
        <v/>
      </c>
      <c r="Y212" s="1472" t="str">
        <f t="shared" si="265"/>
        <v/>
      </c>
      <c r="Z212" s="1028"/>
      <c r="AA212" s="130" t="str">
        <f t="shared" si="266"/>
        <v/>
      </c>
      <c r="AB212" s="1472" t="str">
        <f t="shared" si="267"/>
        <v/>
      </c>
      <c r="AC212" s="1028"/>
      <c r="AD212" s="130" t="str">
        <f t="shared" si="268"/>
        <v/>
      </c>
      <c r="AE212" s="1472" t="str">
        <f t="shared" si="269"/>
        <v/>
      </c>
      <c r="AF212" s="1028"/>
      <c r="AG212" s="130" t="str">
        <f t="shared" si="270"/>
        <v/>
      </c>
      <c r="AH212" s="1472" t="str">
        <f t="shared" si="271"/>
        <v/>
      </c>
      <c r="AI212" s="1028"/>
      <c r="AJ212" s="130" t="str">
        <f t="shared" si="272"/>
        <v/>
      </c>
      <c r="AK212" s="1472" t="str">
        <f t="shared" si="273"/>
        <v/>
      </c>
      <c r="AL212" s="1028"/>
      <c r="AM212" s="130" t="str">
        <f t="shared" si="274"/>
        <v/>
      </c>
      <c r="AN212" s="1472" t="str">
        <f t="shared" si="275"/>
        <v/>
      </c>
      <c r="AO212" s="1028"/>
      <c r="AP212" s="130" t="str">
        <f t="shared" si="276"/>
        <v/>
      </c>
      <c r="AQ212" s="1472" t="str">
        <f t="shared" si="277"/>
        <v/>
      </c>
      <c r="AR212" s="1028"/>
      <c r="AS212" s="130" t="str">
        <f t="shared" si="278"/>
        <v/>
      </c>
      <c r="AT212" s="1472" t="str">
        <f t="shared" si="279"/>
        <v/>
      </c>
      <c r="AU212" s="1028"/>
      <c r="AV212" s="130" t="str">
        <f t="shared" si="280"/>
        <v/>
      </c>
      <c r="AW212" s="1472" t="str">
        <f t="shared" si="281"/>
        <v/>
      </c>
      <c r="AX212" s="1028"/>
      <c r="AY212" s="130" t="str">
        <f t="shared" si="282"/>
        <v/>
      </c>
      <c r="AZ212" s="1472" t="str">
        <f t="shared" si="283"/>
        <v/>
      </c>
      <c r="BA212" s="1028"/>
      <c r="BB212" s="130" t="str">
        <f t="shared" si="284"/>
        <v/>
      </c>
      <c r="BC212" s="1472" t="str">
        <f t="shared" si="285"/>
        <v/>
      </c>
      <c r="BD212" s="1028"/>
      <c r="BE212" s="130" t="str">
        <f t="shared" si="286"/>
        <v/>
      </c>
      <c r="BF212" s="1472" t="str">
        <f t="shared" si="287"/>
        <v/>
      </c>
      <c r="BG212" s="1028"/>
      <c r="BH212" s="130" t="str">
        <f t="shared" si="288"/>
        <v/>
      </c>
      <c r="BI212" s="1472" t="str">
        <f t="shared" si="289"/>
        <v/>
      </c>
      <c r="BJ212" s="1028"/>
      <c r="BK212" s="130" t="str">
        <f t="shared" si="290"/>
        <v/>
      </c>
      <c r="BL212" s="1472" t="str">
        <f t="shared" si="291"/>
        <v/>
      </c>
      <c r="BM212" s="1028"/>
      <c r="BN212" s="130" t="str">
        <f t="shared" si="292"/>
        <v/>
      </c>
      <c r="BO212" s="1472" t="str">
        <f t="shared" si="293"/>
        <v/>
      </c>
      <c r="BP212" s="1028"/>
      <c r="BQ212" s="130" t="str">
        <f t="shared" si="294"/>
        <v/>
      </c>
      <c r="BR212" s="1472" t="str">
        <f t="shared" si="295"/>
        <v/>
      </c>
      <c r="BS212" s="1028"/>
      <c r="BT212" s="130" t="str">
        <f t="shared" si="296"/>
        <v/>
      </c>
      <c r="BU212" s="1472" t="str">
        <f t="shared" si="297"/>
        <v/>
      </c>
      <c r="BV212" s="1028"/>
      <c r="BW212" s="130" t="str">
        <f t="shared" si="298"/>
        <v/>
      </c>
      <c r="BX212" s="1472" t="str">
        <f t="shared" si="299"/>
        <v/>
      </c>
      <c r="BY212" s="1028"/>
      <c r="BZ212" s="130" t="str">
        <f t="shared" si="300"/>
        <v/>
      </c>
      <c r="CA212" s="1472" t="str">
        <f t="shared" si="301"/>
        <v/>
      </c>
      <c r="CB212" s="1028"/>
      <c r="CC212" s="130" t="str">
        <f t="shared" si="302"/>
        <v/>
      </c>
      <c r="CD212" s="1472" t="str">
        <f t="shared" si="303"/>
        <v/>
      </c>
      <c r="CE212" s="1028"/>
      <c r="CF212" s="130" t="str">
        <f t="shared" si="304"/>
        <v/>
      </c>
      <c r="CG212" s="1472" t="str">
        <f t="shared" si="305"/>
        <v/>
      </c>
      <c r="CH212" s="1028"/>
      <c r="CI212" s="130" t="str">
        <f t="shared" si="306"/>
        <v/>
      </c>
      <c r="CJ212" s="1472" t="str">
        <f t="shared" si="307"/>
        <v/>
      </c>
      <c r="CK212" s="1028"/>
      <c r="CL212" s="130" t="str">
        <f t="shared" si="308"/>
        <v/>
      </c>
      <c r="CM212" s="1472" t="str">
        <f t="shared" si="309"/>
        <v/>
      </c>
      <c r="CN212" s="1028"/>
      <c r="CO212" s="130" t="str">
        <f t="shared" si="310"/>
        <v/>
      </c>
      <c r="CP212" s="1472" t="str">
        <f t="shared" si="311"/>
        <v/>
      </c>
      <c r="CQ212" s="1028"/>
      <c r="CR212" s="130" t="str">
        <f t="shared" si="312"/>
        <v/>
      </c>
      <c r="CS212" s="1472" t="str">
        <f t="shared" si="313"/>
        <v/>
      </c>
      <c r="CT212" s="1028"/>
      <c r="CU212" s="130" t="str">
        <f t="shared" si="314"/>
        <v/>
      </c>
      <c r="CV212" s="1472" t="str">
        <f t="shared" si="315"/>
        <v/>
      </c>
      <c r="CW212" s="1028"/>
      <c r="CX212" s="130" t="str">
        <f t="shared" si="316"/>
        <v/>
      </c>
      <c r="CY212" s="1472" t="str">
        <f t="shared" si="317"/>
        <v/>
      </c>
      <c r="CZ212" s="1028"/>
      <c r="DA212" s="130" t="str">
        <f t="shared" si="318"/>
        <v/>
      </c>
      <c r="DB212" s="1472" t="str">
        <f t="shared" si="319"/>
        <v/>
      </c>
      <c r="DC212" s="1028"/>
      <c r="DD212" s="130" t="str">
        <f t="shared" si="320"/>
        <v/>
      </c>
      <c r="DE212" s="1472" t="str">
        <f t="shared" si="321"/>
        <v/>
      </c>
      <c r="DF212" s="1028"/>
      <c r="DG212" s="130" t="str">
        <f t="shared" si="322"/>
        <v/>
      </c>
      <c r="DH212" s="1472" t="str">
        <f t="shared" si="323"/>
        <v/>
      </c>
      <c r="DI212" s="1028"/>
      <c r="DJ212" s="130" t="str">
        <f t="shared" si="324"/>
        <v/>
      </c>
      <c r="DK212" s="1472" t="str">
        <f t="shared" si="325"/>
        <v/>
      </c>
      <c r="DL212" s="1028"/>
      <c r="DM212" s="130" t="str">
        <f t="shared" si="326"/>
        <v/>
      </c>
      <c r="DN212" s="1472" t="str">
        <f t="shared" si="327"/>
        <v/>
      </c>
      <c r="DO212" s="1028"/>
      <c r="DP212" s="130" t="str">
        <f t="shared" si="328"/>
        <v/>
      </c>
      <c r="DQ212" s="1472" t="str">
        <f t="shared" si="329"/>
        <v/>
      </c>
      <c r="DR212" s="1028"/>
      <c r="DS212" s="130" t="str">
        <f t="shared" si="330"/>
        <v/>
      </c>
      <c r="DT212" s="1472" t="str">
        <f t="shared" si="331"/>
        <v/>
      </c>
      <c r="DU212" s="1028"/>
      <c r="DV212" s="130" t="str">
        <f t="shared" si="332"/>
        <v/>
      </c>
      <c r="DW212" s="1472" t="str">
        <f t="shared" si="333"/>
        <v/>
      </c>
      <c r="DX212" s="147"/>
    </row>
    <row r="213" ht="23.25" customHeight="true" x14ac:dyDescent="0.25">
      <c r="B213" s="1612"/>
      <c r="C213" s="1613"/>
      <c r="D213" s="1613"/>
      <c r="E213" s="1154">
        <f t="shared" si="170"/>
        <v>28</v>
      </c>
      <c r="F213" s="1734" t="str">
        <f t="shared" si="253"/>
        <v/>
      </c>
      <c r="G213" s="1735"/>
      <c r="H213" s="1028"/>
      <c r="I213" s="130" t="str">
        <f t="shared" si="254"/>
        <v/>
      </c>
      <c r="J213" s="5" t="str">
        <f t="shared" si="255"/>
        <v/>
      </c>
      <c r="K213" s="1028"/>
      <c r="L213" s="130" t="str">
        <f t="shared" si="256"/>
        <v/>
      </c>
      <c r="M213" s="5" t="str">
        <f t="shared" si="257"/>
        <v/>
      </c>
      <c r="N213" s="1028"/>
      <c r="O213" s="130" t="str">
        <f t="shared" si="258"/>
        <v/>
      </c>
      <c r="P213" s="5" t="str">
        <f t="shared" si="259"/>
        <v/>
      </c>
      <c r="Q213" s="1028"/>
      <c r="R213" s="130" t="str">
        <f t="shared" si="260"/>
        <v/>
      </c>
      <c r="S213" s="1472" t="str">
        <f t="shared" si="261"/>
        <v/>
      </c>
      <c r="T213" s="1028"/>
      <c r="U213" s="130" t="str">
        <f t="shared" si="262"/>
        <v/>
      </c>
      <c r="V213" s="1472" t="str">
        <f t="shared" si="263"/>
        <v/>
      </c>
      <c r="W213" s="1028"/>
      <c r="X213" s="130" t="str">
        <f t="shared" si="264"/>
        <v/>
      </c>
      <c r="Y213" s="1472" t="str">
        <f t="shared" si="265"/>
        <v/>
      </c>
      <c r="Z213" s="1028"/>
      <c r="AA213" s="130" t="str">
        <f t="shared" si="266"/>
        <v/>
      </c>
      <c r="AB213" s="1472" t="str">
        <f t="shared" si="267"/>
        <v/>
      </c>
      <c r="AC213" s="1028"/>
      <c r="AD213" s="130" t="str">
        <f t="shared" si="268"/>
        <v/>
      </c>
      <c r="AE213" s="1472" t="str">
        <f t="shared" si="269"/>
        <v/>
      </c>
      <c r="AF213" s="1028"/>
      <c r="AG213" s="130" t="str">
        <f t="shared" si="270"/>
        <v/>
      </c>
      <c r="AH213" s="1472" t="str">
        <f t="shared" si="271"/>
        <v/>
      </c>
      <c r="AI213" s="1028"/>
      <c r="AJ213" s="130" t="str">
        <f t="shared" si="272"/>
        <v/>
      </c>
      <c r="AK213" s="1472" t="str">
        <f t="shared" si="273"/>
        <v/>
      </c>
      <c r="AL213" s="1028"/>
      <c r="AM213" s="130" t="str">
        <f t="shared" si="274"/>
        <v/>
      </c>
      <c r="AN213" s="1472" t="str">
        <f t="shared" si="275"/>
        <v/>
      </c>
      <c r="AO213" s="1028"/>
      <c r="AP213" s="130" t="str">
        <f t="shared" si="276"/>
        <v/>
      </c>
      <c r="AQ213" s="1472" t="str">
        <f t="shared" si="277"/>
        <v/>
      </c>
      <c r="AR213" s="1028"/>
      <c r="AS213" s="130" t="str">
        <f t="shared" si="278"/>
        <v/>
      </c>
      <c r="AT213" s="1472" t="str">
        <f t="shared" si="279"/>
        <v/>
      </c>
      <c r="AU213" s="1028"/>
      <c r="AV213" s="130" t="str">
        <f t="shared" si="280"/>
        <v/>
      </c>
      <c r="AW213" s="1472" t="str">
        <f t="shared" si="281"/>
        <v/>
      </c>
      <c r="AX213" s="1028"/>
      <c r="AY213" s="130" t="str">
        <f t="shared" si="282"/>
        <v/>
      </c>
      <c r="AZ213" s="1472" t="str">
        <f t="shared" si="283"/>
        <v/>
      </c>
      <c r="BA213" s="1028"/>
      <c r="BB213" s="130" t="str">
        <f t="shared" si="284"/>
        <v/>
      </c>
      <c r="BC213" s="1472" t="str">
        <f t="shared" si="285"/>
        <v/>
      </c>
      <c r="BD213" s="1028"/>
      <c r="BE213" s="130" t="str">
        <f t="shared" si="286"/>
        <v/>
      </c>
      <c r="BF213" s="1472" t="str">
        <f t="shared" si="287"/>
        <v/>
      </c>
      <c r="BG213" s="1028"/>
      <c r="BH213" s="130" t="str">
        <f t="shared" si="288"/>
        <v/>
      </c>
      <c r="BI213" s="1472" t="str">
        <f t="shared" si="289"/>
        <v/>
      </c>
      <c r="BJ213" s="1028"/>
      <c r="BK213" s="130" t="str">
        <f t="shared" si="290"/>
        <v/>
      </c>
      <c r="BL213" s="1472" t="str">
        <f t="shared" si="291"/>
        <v/>
      </c>
      <c r="BM213" s="1028"/>
      <c r="BN213" s="130" t="str">
        <f t="shared" si="292"/>
        <v/>
      </c>
      <c r="BO213" s="1472" t="str">
        <f t="shared" si="293"/>
        <v/>
      </c>
      <c r="BP213" s="1028"/>
      <c r="BQ213" s="130" t="str">
        <f t="shared" si="294"/>
        <v/>
      </c>
      <c r="BR213" s="1472" t="str">
        <f t="shared" si="295"/>
        <v/>
      </c>
      <c r="BS213" s="1028"/>
      <c r="BT213" s="130" t="str">
        <f t="shared" si="296"/>
        <v/>
      </c>
      <c r="BU213" s="1472" t="str">
        <f t="shared" si="297"/>
        <v/>
      </c>
      <c r="BV213" s="1028"/>
      <c r="BW213" s="130" t="str">
        <f t="shared" si="298"/>
        <v/>
      </c>
      <c r="BX213" s="1472" t="str">
        <f t="shared" si="299"/>
        <v/>
      </c>
      <c r="BY213" s="1028"/>
      <c r="BZ213" s="130" t="str">
        <f t="shared" si="300"/>
        <v/>
      </c>
      <c r="CA213" s="1472" t="str">
        <f t="shared" si="301"/>
        <v/>
      </c>
      <c r="CB213" s="1028"/>
      <c r="CC213" s="130" t="str">
        <f t="shared" si="302"/>
        <v/>
      </c>
      <c r="CD213" s="1472" t="str">
        <f t="shared" si="303"/>
        <v/>
      </c>
      <c r="CE213" s="1028"/>
      <c r="CF213" s="130" t="str">
        <f t="shared" si="304"/>
        <v/>
      </c>
      <c r="CG213" s="1472" t="str">
        <f t="shared" si="305"/>
        <v/>
      </c>
      <c r="CH213" s="1028"/>
      <c r="CI213" s="130" t="str">
        <f t="shared" si="306"/>
        <v/>
      </c>
      <c r="CJ213" s="1472" t="str">
        <f t="shared" si="307"/>
        <v/>
      </c>
      <c r="CK213" s="1028"/>
      <c r="CL213" s="130" t="str">
        <f t="shared" si="308"/>
        <v/>
      </c>
      <c r="CM213" s="1472" t="str">
        <f t="shared" si="309"/>
        <v/>
      </c>
      <c r="CN213" s="1028"/>
      <c r="CO213" s="130" t="str">
        <f t="shared" si="310"/>
        <v/>
      </c>
      <c r="CP213" s="1472" t="str">
        <f t="shared" si="311"/>
        <v/>
      </c>
      <c r="CQ213" s="1028"/>
      <c r="CR213" s="130" t="str">
        <f t="shared" si="312"/>
        <v/>
      </c>
      <c r="CS213" s="1472" t="str">
        <f t="shared" si="313"/>
        <v/>
      </c>
      <c r="CT213" s="1028"/>
      <c r="CU213" s="130" t="str">
        <f t="shared" si="314"/>
        <v/>
      </c>
      <c r="CV213" s="1472" t="str">
        <f t="shared" si="315"/>
        <v/>
      </c>
      <c r="CW213" s="1028"/>
      <c r="CX213" s="130" t="str">
        <f t="shared" si="316"/>
        <v/>
      </c>
      <c r="CY213" s="1472" t="str">
        <f t="shared" si="317"/>
        <v/>
      </c>
      <c r="CZ213" s="1028"/>
      <c r="DA213" s="130" t="str">
        <f t="shared" si="318"/>
        <v/>
      </c>
      <c r="DB213" s="1472" t="str">
        <f t="shared" si="319"/>
        <v/>
      </c>
      <c r="DC213" s="1028"/>
      <c r="DD213" s="130" t="str">
        <f t="shared" si="320"/>
        <v/>
      </c>
      <c r="DE213" s="1472" t="str">
        <f t="shared" si="321"/>
        <v/>
      </c>
      <c r="DF213" s="1028"/>
      <c r="DG213" s="130" t="str">
        <f t="shared" si="322"/>
        <v/>
      </c>
      <c r="DH213" s="1472" t="str">
        <f t="shared" si="323"/>
        <v/>
      </c>
      <c r="DI213" s="1028"/>
      <c r="DJ213" s="130" t="str">
        <f t="shared" si="324"/>
        <v/>
      </c>
      <c r="DK213" s="1472" t="str">
        <f t="shared" si="325"/>
        <v/>
      </c>
      <c r="DL213" s="1028"/>
      <c r="DM213" s="130" t="str">
        <f t="shared" si="326"/>
        <v/>
      </c>
      <c r="DN213" s="1472" t="str">
        <f t="shared" si="327"/>
        <v/>
      </c>
      <c r="DO213" s="1028"/>
      <c r="DP213" s="130" t="str">
        <f t="shared" si="328"/>
        <v/>
      </c>
      <c r="DQ213" s="1472" t="str">
        <f t="shared" si="329"/>
        <v/>
      </c>
      <c r="DR213" s="1028"/>
      <c r="DS213" s="130" t="str">
        <f t="shared" si="330"/>
        <v/>
      </c>
      <c r="DT213" s="1472" t="str">
        <f t="shared" si="331"/>
        <v/>
      </c>
      <c r="DU213" s="1028"/>
      <c r="DV213" s="130" t="str">
        <f t="shared" si="332"/>
        <v/>
      </c>
      <c r="DW213" s="1472" t="str">
        <f t="shared" si="333"/>
        <v/>
      </c>
      <c r="DX213" s="147"/>
    </row>
    <row r="214" ht="23.25" customHeight="true" x14ac:dyDescent="0.25">
      <c r="B214" s="1612"/>
      <c r="C214" s="1613"/>
      <c r="D214" s="1613"/>
      <c r="E214" s="1154">
        <f t="shared" si="170"/>
        <v>29</v>
      </c>
      <c r="F214" s="1734" t="str">
        <f t="shared" si="253"/>
        <v/>
      </c>
      <c r="G214" s="1735"/>
      <c r="H214" s="1028"/>
      <c r="I214" s="130" t="str">
        <f t="shared" si="254"/>
        <v/>
      </c>
      <c r="J214" s="5" t="str">
        <f t="shared" si="255"/>
        <v/>
      </c>
      <c r="K214" s="1028"/>
      <c r="L214" s="130" t="str">
        <f t="shared" si="256"/>
        <v/>
      </c>
      <c r="M214" s="5" t="str">
        <f t="shared" si="257"/>
        <v/>
      </c>
      <c r="N214" s="1028"/>
      <c r="O214" s="130" t="str">
        <f t="shared" si="258"/>
        <v/>
      </c>
      <c r="P214" s="5" t="str">
        <f t="shared" si="259"/>
        <v/>
      </c>
      <c r="Q214" s="1028"/>
      <c r="R214" s="130" t="str">
        <f t="shared" si="260"/>
        <v/>
      </c>
      <c r="S214" s="1472" t="str">
        <f t="shared" si="261"/>
        <v/>
      </c>
      <c r="T214" s="1028"/>
      <c r="U214" s="130" t="str">
        <f t="shared" si="262"/>
        <v/>
      </c>
      <c r="V214" s="1472" t="str">
        <f t="shared" si="263"/>
        <v/>
      </c>
      <c r="W214" s="1028"/>
      <c r="X214" s="130" t="str">
        <f t="shared" si="264"/>
        <v/>
      </c>
      <c r="Y214" s="1472" t="str">
        <f t="shared" si="265"/>
        <v/>
      </c>
      <c r="Z214" s="1028"/>
      <c r="AA214" s="130" t="str">
        <f t="shared" si="266"/>
        <v/>
      </c>
      <c r="AB214" s="1472" t="str">
        <f t="shared" si="267"/>
        <v/>
      </c>
      <c r="AC214" s="1028"/>
      <c r="AD214" s="130" t="str">
        <f t="shared" si="268"/>
        <v/>
      </c>
      <c r="AE214" s="1472" t="str">
        <f t="shared" si="269"/>
        <v/>
      </c>
      <c r="AF214" s="1028"/>
      <c r="AG214" s="130" t="str">
        <f t="shared" si="270"/>
        <v/>
      </c>
      <c r="AH214" s="1472" t="str">
        <f t="shared" si="271"/>
        <v/>
      </c>
      <c r="AI214" s="1028"/>
      <c r="AJ214" s="130" t="str">
        <f t="shared" si="272"/>
        <v/>
      </c>
      <c r="AK214" s="1472" t="str">
        <f t="shared" si="273"/>
        <v/>
      </c>
      <c r="AL214" s="1028"/>
      <c r="AM214" s="130" t="str">
        <f t="shared" si="274"/>
        <v/>
      </c>
      <c r="AN214" s="1472" t="str">
        <f t="shared" si="275"/>
        <v/>
      </c>
      <c r="AO214" s="1028"/>
      <c r="AP214" s="130" t="str">
        <f t="shared" si="276"/>
        <v/>
      </c>
      <c r="AQ214" s="1472" t="str">
        <f t="shared" si="277"/>
        <v/>
      </c>
      <c r="AR214" s="1028"/>
      <c r="AS214" s="130" t="str">
        <f t="shared" si="278"/>
        <v/>
      </c>
      <c r="AT214" s="1472" t="str">
        <f t="shared" si="279"/>
        <v/>
      </c>
      <c r="AU214" s="1028"/>
      <c r="AV214" s="130" t="str">
        <f t="shared" si="280"/>
        <v/>
      </c>
      <c r="AW214" s="1472" t="str">
        <f t="shared" si="281"/>
        <v/>
      </c>
      <c r="AX214" s="1028"/>
      <c r="AY214" s="130" t="str">
        <f t="shared" si="282"/>
        <v/>
      </c>
      <c r="AZ214" s="1472" t="str">
        <f t="shared" si="283"/>
        <v/>
      </c>
      <c r="BA214" s="1028"/>
      <c r="BB214" s="130" t="str">
        <f t="shared" si="284"/>
        <v/>
      </c>
      <c r="BC214" s="1472" t="str">
        <f t="shared" si="285"/>
        <v/>
      </c>
      <c r="BD214" s="1028"/>
      <c r="BE214" s="130" t="str">
        <f t="shared" si="286"/>
        <v/>
      </c>
      <c r="BF214" s="1472" t="str">
        <f t="shared" si="287"/>
        <v/>
      </c>
      <c r="BG214" s="1028"/>
      <c r="BH214" s="130" t="str">
        <f t="shared" si="288"/>
        <v/>
      </c>
      <c r="BI214" s="1472" t="str">
        <f t="shared" si="289"/>
        <v/>
      </c>
      <c r="BJ214" s="1028"/>
      <c r="BK214" s="130" t="str">
        <f t="shared" si="290"/>
        <v/>
      </c>
      <c r="BL214" s="1472" t="str">
        <f t="shared" si="291"/>
        <v/>
      </c>
      <c r="BM214" s="1028"/>
      <c r="BN214" s="130" t="str">
        <f t="shared" si="292"/>
        <v/>
      </c>
      <c r="BO214" s="1472" t="str">
        <f t="shared" si="293"/>
        <v/>
      </c>
      <c r="BP214" s="1028"/>
      <c r="BQ214" s="130" t="str">
        <f t="shared" si="294"/>
        <v/>
      </c>
      <c r="BR214" s="1472" t="str">
        <f t="shared" si="295"/>
        <v/>
      </c>
      <c r="BS214" s="1028"/>
      <c r="BT214" s="130" t="str">
        <f t="shared" si="296"/>
        <v/>
      </c>
      <c r="BU214" s="1472" t="str">
        <f t="shared" si="297"/>
        <v/>
      </c>
      <c r="BV214" s="1028"/>
      <c r="BW214" s="130" t="str">
        <f t="shared" si="298"/>
        <v/>
      </c>
      <c r="BX214" s="1472" t="str">
        <f t="shared" si="299"/>
        <v/>
      </c>
      <c r="BY214" s="1028"/>
      <c r="BZ214" s="130" t="str">
        <f t="shared" si="300"/>
        <v/>
      </c>
      <c r="CA214" s="1472" t="str">
        <f t="shared" si="301"/>
        <v/>
      </c>
      <c r="CB214" s="1028"/>
      <c r="CC214" s="130" t="str">
        <f t="shared" si="302"/>
        <v/>
      </c>
      <c r="CD214" s="1472" t="str">
        <f t="shared" si="303"/>
        <v/>
      </c>
      <c r="CE214" s="1028"/>
      <c r="CF214" s="130" t="str">
        <f t="shared" si="304"/>
        <v/>
      </c>
      <c r="CG214" s="1472" t="str">
        <f t="shared" si="305"/>
        <v/>
      </c>
      <c r="CH214" s="1028"/>
      <c r="CI214" s="130" t="str">
        <f t="shared" si="306"/>
        <v/>
      </c>
      <c r="CJ214" s="1472" t="str">
        <f t="shared" si="307"/>
        <v/>
      </c>
      <c r="CK214" s="1028"/>
      <c r="CL214" s="130" t="str">
        <f t="shared" si="308"/>
        <v/>
      </c>
      <c r="CM214" s="1472" t="str">
        <f t="shared" si="309"/>
        <v/>
      </c>
      <c r="CN214" s="1028"/>
      <c r="CO214" s="130" t="str">
        <f t="shared" si="310"/>
        <v/>
      </c>
      <c r="CP214" s="1472" t="str">
        <f t="shared" si="311"/>
        <v/>
      </c>
      <c r="CQ214" s="1028"/>
      <c r="CR214" s="130" t="str">
        <f t="shared" si="312"/>
        <v/>
      </c>
      <c r="CS214" s="1472" t="str">
        <f t="shared" si="313"/>
        <v/>
      </c>
      <c r="CT214" s="1028"/>
      <c r="CU214" s="130" t="str">
        <f t="shared" si="314"/>
        <v/>
      </c>
      <c r="CV214" s="1472" t="str">
        <f t="shared" si="315"/>
        <v/>
      </c>
      <c r="CW214" s="1028"/>
      <c r="CX214" s="130" t="str">
        <f t="shared" si="316"/>
        <v/>
      </c>
      <c r="CY214" s="1472" t="str">
        <f t="shared" si="317"/>
        <v/>
      </c>
      <c r="CZ214" s="1028"/>
      <c r="DA214" s="130" t="str">
        <f t="shared" si="318"/>
        <v/>
      </c>
      <c r="DB214" s="1472" t="str">
        <f t="shared" si="319"/>
        <v/>
      </c>
      <c r="DC214" s="1028"/>
      <c r="DD214" s="130" t="str">
        <f t="shared" si="320"/>
        <v/>
      </c>
      <c r="DE214" s="1472" t="str">
        <f t="shared" si="321"/>
        <v/>
      </c>
      <c r="DF214" s="1028"/>
      <c r="DG214" s="130" t="str">
        <f t="shared" si="322"/>
        <v/>
      </c>
      <c r="DH214" s="1472" t="str">
        <f t="shared" si="323"/>
        <v/>
      </c>
      <c r="DI214" s="1028"/>
      <c r="DJ214" s="130" t="str">
        <f t="shared" si="324"/>
        <v/>
      </c>
      <c r="DK214" s="1472" t="str">
        <f t="shared" si="325"/>
        <v/>
      </c>
      <c r="DL214" s="1028"/>
      <c r="DM214" s="130" t="str">
        <f t="shared" si="326"/>
        <v/>
      </c>
      <c r="DN214" s="1472" t="str">
        <f t="shared" si="327"/>
        <v/>
      </c>
      <c r="DO214" s="1028"/>
      <c r="DP214" s="130" t="str">
        <f t="shared" si="328"/>
        <v/>
      </c>
      <c r="DQ214" s="1472" t="str">
        <f t="shared" si="329"/>
        <v/>
      </c>
      <c r="DR214" s="1028"/>
      <c r="DS214" s="130" t="str">
        <f t="shared" si="330"/>
        <v/>
      </c>
      <c r="DT214" s="1472" t="str">
        <f t="shared" si="331"/>
        <v/>
      </c>
      <c r="DU214" s="1028"/>
      <c r="DV214" s="130" t="str">
        <f t="shared" si="332"/>
        <v/>
      </c>
      <c r="DW214" s="1472" t="str">
        <f t="shared" si="333"/>
        <v/>
      </c>
      <c r="DX214" s="147"/>
    </row>
    <row r="215" ht="23.25" customHeight="true" x14ac:dyDescent="0.25">
      <c r="B215" s="1612"/>
      <c r="C215" s="1613"/>
      <c r="D215" s="1613"/>
      <c r="E215" s="1154">
        <f t="shared" si="170"/>
        <v>30</v>
      </c>
      <c r="F215" s="1734" t="str">
        <f t="shared" si="253"/>
        <v/>
      </c>
      <c r="G215" s="1735"/>
      <c r="H215" s="1028"/>
      <c r="I215" s="130" t="str">
        <f t="shared" si="254"/>
        <v/>
      </c>
      <c r="J215" s="5" t="str">
        <f t="shared" si="255"/>
        <v/>
      </c>
      <c r="K215" s="1028"/>
      <c r="L215" s="130" t="str">
        <f t="shared" si="256"/>
        <v/>
      </c>
      <c r="M215" s="5" t="str">
        <f t="shared" si="257"/>
        <v/>
      </c>
      <c r="N215" s="1028"/>
      <c r="O215" s="130" t="str">
        <f t="shared" si="258"/>
        <v/>
      </c>
      <c r="P215" s="5" t="str">
        <f t="shared" si="259"/>
        <v/>
      </c>
      <c r="Q215" s="1028"/>
      <c r="R215" s="130" t="str">
        <f t="shared" si="260"/>
        <v/>
      </c>
      <c r="S215" s="1472" t="str">
        <f t="shared" si="261"/>
        <v/>
      </c>
      <c r="T215" s="1028"/>
      <c r="U215" s="130" t="str">
        <f t="shared" si="262"/>
        <v/>
      </c>
      <c r="V215" s="1472" t="str">
        <f t="shared" si="263"/>
        <v/>
      </c>
      <c r="W215" s="1028"/>
      <c r="X215" s="130" t="str">
        <f t="shared" si="264"/>
        <v/>
      </c>
      <c r="Y215" s="1472" t="str">
        <f t="shared" si="265"/>
        <v/>
      </c>
      <c r="Z215" s="1028"/>
      <c r="AA215" s="130" t="str">
        <f t="shared" si="266"/>
        <v/>
      </c>
      <c r="AB215" s="1472" t="str">
        <f t="shared" si="267"/>
        <v/>
      </c>
      <c r="AC215" s="1028"/>
      <c r="AD215" s="130" t="str">
        <f t="shared" si="268"/>
        <v/>
      </c>
      <c r="AE215" s="1472" t="str">
        <f t="shared" si="269"/>
        <v/>
      </c>
      <c r="AF215" s="1028"/>
      <c r="AG215" s="130" t="str">
        <f t="shared" si="270"/>
        <v/>
      </c>
      <c r="AH215" s="1472" t="str">
        <f t="shared" si="271"/>
        <v/>
      </c>
      <c r="AI215" s="1028"/>
      <c r="AJ215" s="130" t="str">
        <f t="shared" si="272"/>
        <v/>
      </c>
      <c r="AK215" s="1472" t="str">
        <f t="shared" si="273"/>
        <v/>
      </c>
      <c r="AL215" s="1028"/>
      <c r="AM215" s="130" t="str">
        <f t="shared" si="274"/>
        <v/>
      </c>
      <c r="AN215" s="1472" t="str">
        <f t="shared" si="275"/>
        <v/>
      </c>
      <c r="AO215" s="1028"/>
      <c r="AP215" s="130" t="str">
        <f t="shared" si="276"/>
        <v/>
      </c>
      <c r="AQ215" s="1472" t="str">
        <f t="shared" si="277"/>
        <v/>
      </c>
      <c r="AR215" s="1028"/>
      <c r="AS215" s="130" t="str">
        <f t="shared" si="278"/>
        <v/>
      </c>
      <c r="AT215" s="1472" t="str">
        <f t="shared" si="279"/>
        <v/>
      </c>
      <c r="AU215" s="1028"/>
      <c r="AV215" s="130" t="str">
        <f t="shared" si="280"/>
        <v/>
      </c>
      <c r="AW215" s="1472" t="str">
        <f t="shared" si="281"/>
        <v/>
      </c>
      <c r="AX215" s="1028"/>
      <c r="AY215" s="130" t="str">
        <f t="shared" si="282"/>
        <v/>
      </c>
      <c r="AZ215" s="1472" t="str">
        <f t="shared" si="283"/>
        <v/>
      </c>
      <c r="BA215" s="1028"/>
      <c r="BB215" s="130" t="str">
        <f t="shared" si="284"/>
        <v/>
      </c>
      <c r="BC215" s="1472" t="str">
        <f t="shared" si="285"/>
        <v/>
      </c>
      <c r="BD215" s="1028"/>
      <c r="BE215" s="130" t="str">
        <f t="shared" si="286"/>
        <v/>
      </c>
      <c r="BF215" s="1472" t="str">
        <f t="shared" si="287"/>
        <v/>
      </c>
      <c r="BG215" s="1028"/>
      <c r="BH215" s="130" t="str">
        <f t="shared" si="288"/>
        <v/>
      </c>
      <c r="BI215" s="1472" t="str">
        <f t="shared" si="289"/>
        <v/>
      </c>
      <c r="BJ215" s="1028"/>
      <c r="BK215" s="130" t="str">
        <f t="shared" si="290"/>
        <v/>
      </c>
      <c r="BL215" s="1472" t="str">
        <f t="shared" si="291"/>
        <v/>
      </c>
      <c r="BM215" s="1028"/>
      <c r="BN215" s="130" t="str">
        <f t="shared" si="292"/>
        <v/>
      </c>
      <c r="BO215" s="1472" t="str">
        <f t="shared" si="293"/>
        <v/>
      </c>
      <c r="BP215" s="1028"/>
      <c r="BQ215" s="130" t="str">
        <f t="shared" si="294"/>
        <v/>
      </c>
      <c r="BR215" s="1472" t="str">
        <f t="shared" si="295"/>
        <v/>
      </c>
      <c r="BS215" s="1028"/>
      <c r="BT215" s="130" t="str">
        <f t="shared" si="296"/>
        <v/>
      </c>
      <c r="BU215" s="1472" t="str">
        <f t="shared" si="297"/>
        <v/>
      </c>
      <c r="BV215" s="1028"/>
      <c r="BW215" s="130" t="str">
        <f t="shared" si="298"/>
        <v/>
      </c>
      <c r="BX215" s="1472" t="str">
        <f t="shared" si="299"/>
        <v/>
      </c>
      <c r="BY215" s="1028"/>
      <c r="BZ215" s="130" t="str">
        <f t="shared" si="300"/>
        <v/>
      </c>
      <c r="CA215" s="1472" t="str">
        <f t="shared" si="301"/>
        <v/>
      </c>
      <c r="CB215" s="1028"/>
      <c r="CC215" s="130" t="str">
        <f t="shared" si="302"/>
        <v/>
      </c>
      <c r="CD215" s="1472" t="str">
        <f t="shared" si="303"/>
        <v/>
      </c>
      <c r="CE215" s="1028"/>
      <c r="CF215" s="130" t="str">
        <f t="shared" si="304"/>
        <v/>
      </c>
      <c r="CG215" s="1472" t="str">
        <f t="shared" si="305"/>
        <v/>
      </c>
      <c r="CH215" s="1028"/>
      <c r="CI215" s="130" t="str">
        <f t="shared" si="306"/>
        <v/>
      </c>
      <c r="CJ215" s="1472" t="str">
        <f t="shared" si="307"/>
        <v/>
      </c>
      <c r="CK215" s="1028"/>
      <c r="CL215" s="130" t="str">
        <f t="shared" si="308"/>
        <v/>
      </c>
      <c r="CM215" s="1472" t="str">
        <f t="shared" si="309"/>
        <v/>
      </c>
      <c r="CN215" s="1028"/>
      <c r="CO215" s="130" t="str">
        <f t="shared" si="310"/>
        <v/>
      </c>
      <c r="CP215" s="1472" t="str">
        <f t="shared" si="311"/>
        <v/>
      </c>
      <c r="CQ215" s="1028"/>
      <c r="CR215" s="130" t="str">
        <f t="shared" si="312"/>
        <v/>
      </c>
      <c r="CS215" s="1472" t="str">
        <f t="shared" si="313"/>
        <v/>
      </c>
      <c r="CT215" s="1028"/>
      <c r="CU215" s="130" t="str">
        <f t="shared" si="314"/>
        <v/>
      </c>
      <c r="CV215" s="1472" t="str">
        <f t="shared" si="315"/>
        <v/>
      </c>
      <c r="CW215" s="1028"/>
      <c r="CX215" s="130" t="str">
        <f t="shared" si="316"/>
        <v/>
      </c>
      <c r="CY215" s="1472" t="str">
        <f t="shared" si="317"/>
        <v/>
      </c>
      <c r="CZ215" s="1028"/>
      <c r="DA215" s="130" t="str">
        <f t="shared" si="318"/>
        <v/>
      </c>
      <c r="DB215" s="1472" t="str">
        <f t="shared" si="319"/>
        <v/>
      </c>
      <c r="DC215" s="1028"/>
      <c r="DD215" s="130" t="str">
        <f t="shared" si="320"/>
        <v/>
      </c>
      <c r="DE215" s="1472" t="str">
        <f t="shared" si="321"/>
        <v/>
      </c>
      <c r="DF215" s="1028"/>
      <c r="DG215" s="130" t="str">
        <f t="shared" si="322"/>
        <v/>
      </c>
      <c r="DH215" s="1472" t="str">
        <f t="shared" si="323"/>
        <v/>
      </c>
      <c r="DI215" s="1028"/>
      <c r="DJ215" s="130" t="str">
        <f t="shared" si="324"/>
        <v/>
      </c>
      <c r="DK215" s="1472" t="str">
        <f t="shared" si="325"/>
        <v/>
      </c>
      <c r="DL215" s="1028"/>
      <c r="DM215" s="130" t="str">
        <f t="shared" si="326"/>
        <v/>
      </c>
      <c r="DN215" s="1472" t="str">
        <f t="shared" si="327"/>
        <v/>
      </c>
      <c r="DO215" s="1028"/>
      <c r="DP215" s="130" t="str">
        <f t="shared" si="328"/>
        <v/>
      </c>
      <c r="DQ215" s="1472" t="str">
        <f t="shared" si="329"/>
        <v/>
      </c>
      <c r="DR215" s="1028"/>
      <c r="DS215" s="130" t="str">
        <f t="shared" si="330"/>
        <v/>
      </c>
      <c r="DT215" s="1472" t="str">
        <f t="shared" si="331"/>
        <v/>
      </c>
      <c r="DU215" s="1028"/>
      <c r="DV215" s="130" t="str">
        <f t="shared" si="332"/>
        <v/>
      </c>
      <c r="DW215" s="1472" t="str">
        <f t="shared" si="333"/>
        <v/>
      </c>
      <c r="DX215" s="147"/>
    </row>
    <row r="216" ht="23.25" customHeight="true" x14ac:dyDescent="0.25">
      <c r="B216" s="1612"/>
      <c r="C216" s="1613"/>
      <c r="D216" s="1613"/>
      <c r="E216" s="1154">
        <f t="shared" si="170"/>
        <v>31</v>
      </c>
      <c r="F216" s="1734" t="str">
        <f t="shared" si="253"/>
        <v/>
      </c>
      <c r="G216" s="1735"/>
      <c r="H216" s="1028"/>
      <c r="I216" s="130" t="str">
        <f t="shared" si="254"/>
        <v/>
      </c>
      <c r="J216" s="5" t="str">
        <f t="shared" si="255"/>
        <v/>
      </c>
      <c r="K216" s="1028"/>
      <c r="L216" s="130" t="str">
        <f t="shared" si="256"/>
        <v/>
      </c>
      <c r="M216" s="5" t="str">
        <f t="shared" si="257"/>
        <v/>
      </c>
      <c r="N216" s="1028"/>
      <c r="O216" s="130" t="str">
        <f t="shared" si="258"/>
        <v/>
      </c>
      <c r="P216" s="5" t="str">
        <f t="shared" si="259"/>
        <v/>
      </c>
      <c r="Q216" s="1028"/>
      <c r="R216" s="130" t="str">
        <f t="shared" si="260"/>
        <v/>
      </c>
      <c r="S216" s="1472" t="str">
        <f t="shared" si="261"/>
        <v/>
      </c>
      <c r="T216" s="1028"/>
      <c r="U216" s="130" t="str">
        <f t="shared" si="262"/>
        <v/>
      </c>
      <c r="V216" s="1472" t="str">
        <f t="shared" si="263"/>
        <v/>
      </c>
      <c r="W216" s="1028"/>
      <c r="X216" s="130" t="str">
        <f t="shared" si="264"/>
        <v/>
      </c>
      <c r="Y216" s="1472" t="str">
        <f t="shared" si="265"/>
        <v/>
      </c>
      <c r="Z216" s="1028"/>
      <c r="AA216" s="130" t="str">
        <f t="shared" si="266"/>
        <v/>
      </c>
      <c r="AB216" s="1472" t="str">
        <f t="shared" si="267"/>
        <v/>
      </c>
      <c r="AC216" s="1028"/>
      <c r="AD216" s="130" t="str">
        <f t="shared" si="268"/>
        <v/>
      </c>
      <c r="AE216" s="1472" t="str">
        <f t="shared" si="269"/>
        <v/>
      </c>
      <c r="AF216" s="1028"/>
      <c r="AG216" s="130" t="str">
        <f t="shared" si="270"/>
        <v/>
      </c>
      <c r="AH216" s="1472" t="str">
        <f t="shared" si="271"/>
        <v/>
      </c>
      <c r="AI216" s="1028"/>
      <c r="AJ216" s="130" t="str">
        <f t="shared" si="272"/>
        <v/>
      </c>
      <c r="AK216" s="1472" t="str">
        <f t="shared" si="273"/>
        <v/>
      </c>
      <c r="AL216" s="1028"/>
      <c r="AM216" s="130" t="str">
        <f t="shared" si="274"/>
        <v/>
      </c>
      <c r="AN216" s="1472" t="str">
        <f t="shared" si="275"/>
        <v/>
      </c>
      <c r="AO216" s="1028"/>
      <c r="AP216" s="130" t="str">
        <f t="shared" si="276"/>
        <v/>
      </c>
      <c r="AQ216" s="1472" t="str">
        <f t="shared" si="277"/>
        <v/>
      </c>
      <c r="AR216" s="1028"/>
      <c r="AS216" s="130" t="str">
        <f t="shared" si="278"/>
        <v/>
      </c>
      <c r="AT216" s="1472" t="str">
        <f t="shared" si="279"/>
        <v/>
      </c>
      <c r="AU216" s="1028"/>
      <c r="AV216" s="130" t="str">
        <f t="shared" si="280"/>
        <v/>
      </c>
      <c r="AW216" s="1472" t="str">
        <f t="shared" si="281"/>
        <v/>
      </c>
      <c r="AX216" s="1028"/>
      <c r="AY216" s="130" t="str">
        <f t="shared" si="282"/>
        <v/>
      </c>
      <c r="AZ216" s="1472" t="str">
        <f t="shared" si="283"/>
        <v/>
      </c>
      <c r="BA216" s="1028"/>
      <c r="BB216" s="130" t="str">
        <f t="shared" si="284"/>
        <v/>
      </c>
      <c r="BC216" s="1472" t="str">
        <f t="shared" si="285"/>
        <v/>
      </c>
      <c r="BD216" s="1028"/>
      <c r="BE216" s="130" t="str">
        <f t="shared" si="286"/>
        <v/>
      </c>
      <c r="BF216" s="1472" t="str">
        <f t="shared" si="287"/>
        <v/>
      </c>
      <c r="BG216" s="1028"/>
      <c r="BH216" s="130" t="str">
        <f t="shared" si="288"/>
        <v/>
      </c>
      <c r="BI216" s="1472" t="str">
        <f t="shared" si="289"/>
        <v/>
      </c>
      <c r="BJ216" s="1028"/>
      <c r="BK216" s="130" t="str">
        <f t="shared" si="290"/>
        <v/>
      </c>
      <c r="BL216" s="1472" t="str">
        <f t="shared" si="291"/>
        <v/>
      </c>
      <c r="BM216" s="1028"/>
      <c r="BN216" s="130" t="str">
        <f t="shared" si="292"/>
        <v/>
      </c>
      <c r="BO216" s="1472" t="str">
        <f t="shared" si="293"/>
        <v/>
      </c>
      <c r="BP216" s="1028"/>
      <c r="BQ216" s="130" t="str">
        <f t="shared" si="294"/>
        <v/>
      </c>
      <c r="BR216" s="1472" t="str">
        <f t="shared" si="295"/>
        <v/>
      </c>
      <c r="BS216" s="1028"/>
      <c r="BT216" s="130" t="str">
        <f t="shared" si="296"/>
        <v/>
      </c>
      <c r="BU216" s="1472" t="str">
        <f t="shared" si="297"/>
        <v/>
      </c>
      <c r="BV216" s="1028"/>
      <c r="BW216" s="130" t="str">
        <f t="shared" si="298"/>
        <v/>
      </c>
      <c r="BX216" s="1472" t="str">
        <f t="shared" si="299"/>
        <v/>
      </c>
      <c r="BY216" s="1028"/>
      <c r="BZ216" s="130" t="str">
        <f t="shared" si="300"/>
        <v/>
      </c>
      <c r="CA216" s="1472" t="str">
        <f t="shared" si="301"/>
        <v/>
      </c>
      <c r="CB216" s="1028"/>
      <c r="CC216" s="130" t="str">
        <f t="shared" si="302"/>
        <v/>
      </c>
      <c r="CD216" s="1472" t="str">
        <f t="shared" si="303"/>
        <v/>
      </c>
      <c r="CE216" s="1028"/>
      <c r="CF216" s="130" t="str">
        <f t="shared" si="304"/>
        <v/>
      </c>
      <c r="CG216" s="1472" t="str">
        <f t="shared" si="305"/>
        <v/>
      </c>
      <c r="CH216" s="1028"/>
      <c r="CI216" s="130" t="str">
        <f t="shared" si="306"/>
        <v/>
      </c>
      <c r="CJ216" s="1472" t="str">
        <f t="shared" si="307"/>
        <v/>
      </c>
      <c r="CK216" s="1028"/>
      <c r="CL216" s="130" t="str">
        <f t="shared" si="308"/>
        <v/>
      </c>
      <c r="CM216" s="1472" t="str">
        <f t="shared" si="309"/>
        <v/>
      </c>
      <c r="CN216" s="1028"/>
      <c r="CO216" s="130" t="str">
        <f t="shared" si="310"/>
        <v/>
      </c>
      <c r="CP216" s="1472" t="str">
        <f t="shared" si="311"/>
        <v/>
      </c>
      <c r="CQ216" s="1028"/>
      <c r="CR216" s="130" t="str">
        <f t="shared" si="312"/>
        <v/>
      </c>
      <c r="CS216" s="1472" t="str">
        <f t="shared" si="313"/>
        <v/>
      </c>
      <c r="CT216" s="1028"/>
      <c r="CU216" s="130" t="str">
        <f t="shared" si="314"/>
        <v/>
      </c>
      <c r="CV216" s="1472" t="str">
        <f t="shared" si="315"/>
        <v/>
      </c>
      <c r="CW216" s="1028"/>
      <c r="CX216" s="130" t="str">
        <f t="shared" si="316"/>
        <v/>
      </c>
      <c r="CY216" s="1472" t="str">
        <f t="shared" si="317"/>
        <v/>
      </c>
      <c r="CZ216" s="1028"/>
      <c r="DA216" s="130" t="str">
        <f t="shared" si="318"/>
        <v/>
      </c>
      <c r="DB216" s="1472" t="str">
        <f t="shared" si="319"/>
        <v/>
      </c>
      <c r="DC216" s="1028"/>
      <c r="DD216" s="130" t="str">
        <f t="shared" si="320"/>
        <v/>
      </c>
      <c r="DE216" s="1472" t="str">
        <f t="shared" si="321"/>
        <v/>
      </c>
      <c r="DF216" s="1028"/>
      <c r="DG216" s="130" t="str">
        <f t="shared" si="322"/>
        <v/>
      </c>
      <c r="DH216" s="1472" t="str">
        <f t="shared" si="323"/>
        <v/>
      </c>
      <c r="DI216" s="1028"/>
      <c r="DJ216" s="130" t="str">
        <f t="shared" si="324"/>
        <v/>
      </c>
      <c r="DK216" s="1472" t="str">
        <f t="shared" si="325"/>
        <v/>
      </c>
      <c r="DL216" s="1028"/>
      <c r="DM216" s="130" t="str">
        <f t="shared" si="326"/>
        <v/>
      </c>
      <c r="DN216" s="1472" t="str">
        <f t="shared" si="327"/>
        <v/>
      </c>
      <c r="DO216" s="1028"/>
      <c r="DP216" s="130" t="str">
        <f t="shared" si="328"/>
        <v/>
      </c>
      <c r="DQ216" s="1472" t="str">
        <f t="shared" si="329"/>
        <v/>
      </c>
      <c r="DR216" s="1028"/>
      <c r="DS216" s="130" t="str">
        <f t="shared" si="330"/>
        <v/>
      </c>
      <c r="DT216" s="1472" t="str">
        <f t="shared" si="331"/>
        <v/>
      </c>
      <c r="DU216" s="1028"/>
      <c r="DV216" s="130" t="str">
        <f t="shared" si="332"/>
        <v/>
      </c>
      <c r="DW216" s="1472" t="str">
        <f t="shared" si="333"/>
        <v/>
      </c>
      <c r="DX216" s="147"/>
    </row>
    <row r="217" ht="23.25" customHeight="true" x14ac:dyDescent="0.25">
      <c r="B217" s="1612"/>
      <c r="C217" s="1613"/>
      <c r="D217" s="1613"/>
      <c r="E217" s="1154">
        <f t="shared" si="170"/>
        <v>32</v>
      </c>
      <c r="F217" s="1734" t="str">
        <f t="shared" si="253"/>
        <v/>
      </c>
      <c r="G217" s="1735"/>
      <c r="H217" s="1028"/>
      <c r="I217" s="130" t="str">
        <f t="shared" si="254"/>
        <v/>
      </c>
      <c r="J217" s="5" t="str">
        <f t="shared" si="255"/>
        <v/>
      </c>
      <c r="K217" s="1028"/>
      <c r="L217" s="130" t="str">
        <f t="shared" si="256"/>
        <v/>
      </c>
      <c r="M217" s="5" t="str">
        <f t="shared" si="257"/>
        <v/>
      </c>
      <c r="N217" s="1028"/>
      <c r="O217" s="130" t="str">
        <f t="shared" si="258"/>
        <v/>
      </c>
      <c r="P217" s="5" t="str">
        <f t="shared" si="259"/>
        <v/>
      </c>
      <c r="Q217" s="1028"/>
      <c r="R217" s="130" t="str">
        <f t="shared" si="260"/>
        <v/>
      </c>
      <c r="S217" s="1472" t="str">
        <f t="shared" si="261"/>
        <v/>
      </c>
      <c r="T217" s="1028"/>
      <c r="U217" s="130" t="str">
        <f t="shared" si="262"/>
        <v/>
      </c>
      <c r="V217" s="1472" t="str">
        <f t="shared" si="263"/>
        <v/>
      </c>
      <c r="W217" s="1028"/>
      <c r="X217" s="130" t="str">
        <f t="shared" si="264"/>
        <v/>
      </c>
      <c r="Y217" s="1472" t="str">
        <f t="shared" si="265"/>
        <v/>
      </c>
      <c r="Z217" s="1028"/>
      <c r="AA217" s="130" t="str">
        <f t="shared" si="266"/>
        <v/>
      </c>
      <c r="AB217" s="1472" t="str">
        <f t="shared" si="267"/>
        <v/>
      </c>
      <c r="AC217" s="1028"/>
      <c r="AD217" s="130" t="str">
        <f t="shared" si="268"/>
        <v/>
      </c>
      <c r="AE217" s="1472" t="str">
        <f t="shared" si="269"/>
        <v/>
      </c>
      <c r="AF217" s="1028"/>
      <c r="AG217" s="130" t="str">
        <f t="shared" si="270"/>
        <v/>
      </c>
      <c r="AH217" s="1472" t="str">
        <f t="shared" si="271"/>
        <v/>
      </c>
      <c r="AI217" s="1028"/>
      <c r="AJ217" s="130" t="str">
        <f t="shared" si="272"/>
        <v/>
      </c>
      <c r="AK217" s="1472" t="str">
        <f t="shared" si="273"/>
        <v/>
      </c>
      <c r="AL217" s="1028"/>
      <c r="AM217" s="130" t="str">
        <f t="shared" si="274"/>
        <v/>
      </c>
      <c r="AN217" s="1472" t="str">
        <f t="shared" si="275"/>
        <v/>
      </c>
      <c r="AO217" s="1028"/>
      <c r="AP217" s="130" t="str">
        <f t="shared" si="276"/>
        <v/>
      </c>
      <c r="AQ217" s="1472" t="str">
        <f t="shared" si="277"/>
        <v/>
      </c>
      <c r="AR217" s="1028"/>
      <c r="AS217" s="130" t="str">
        <f t="shared" si="278"/>
        <v/>
      </c>
      <c r="AT217" s="1472" t="str">
        <f t="shared" si="279"/>
        <v/>
      </c>
      <c r="AU217" s="1028"/>
      <c r="AV217" s="130" t="str">
        <f t="shared" si="280"/>
        <v/>
      </c>
      <c r="AW217" s="1472" t="str">
        <f t="shared" si="281"/>
        <v/>
      </c>
      <c r="AX217" s="1028"/>
      <c r="AY217" s="130" t="str">
        <f t="shared" si="282"/>
        <v/>
      </c>
      <c r="AZ217" s="1472" t="str">
        <f t="shared" si="283"/>
        <v/>
      </c>
      <c r="BA217" s="1028"/>
      <c r="BB217" s="130" t="str">
        <f t="shared" si="284"/>
        <v/>
      </c>
      <c r="BC217" s="1472" t="str">
        <f t="shared" si="285"/>
        <v/>
      </c>
      <c r="BD217" s="1028"/>
      <c r="BE217" s="130" t="str">
        <f t="shared" si="286"/>
        <v/>
      </c>
      <c r="BF217" s="1472" t="str">
        <f t="shared" si="287"/>
        <v/>
      </c>
      <c r="BG217" s="1028"/>
      <c r="BH217" s="130" t="str">
        <f t="shared" si="288"/>
        <v/>
      </c>
      <c r="BI217" s="1472" t="str">
        <f t="shared" si="289"/>
        <v/>
      </c>
      <c r="BJ217" s="1028"/>
      <c r="BK217" s="130" t="str">
        <f t="shared" si="290"/>
        <v/>
      </c>
      <c r="BL217" s="1472" t="str">
        <f t="shared" si="291"/>
        <v/>
      </c>
      <c r="BM217" s="1028"/>
      <c r="BN217" s="130" t="str">
        <f t="shared" si="292"/>
        <v/>
      </c>
      <c r="BO217" s="1472" t="str">
        <f t="shared" si="293"/>
        <v/>
      </c>
      <c r="BP217" s="1028"/>
      <c r="BQ217" s="130" t="str">
        <f t="shared" si="294"/>
        <v/>
      </c>
      <c r="BR217" s="1472" t="str">
        <f t="shared" si="295"/>
        <v/>
      </c>
      <c r="BS217" s="1028"/>
      <c r="BT217" s="130" t="str">
        <f t="shared" si="296"/>
        <v/>
      </c>
      <c r="BU217" s="1472" t="str">
        <f t="shared" si="297"/>
        <v/>
      </c>
      <c r="BV217" s="1028"/>
      <c r="BW217" s="130" t="str">
        <f t="shared" si="298"/>
        <v/>
      </c>
      <c r="BX217" s="1472" t="str">
        <f t="shared" si="299"/>
        <v/>
      </c>
      <c r="BY217" s="1028"/>
      <c r="BZ217" s="130" t="str">
        <f t="shared" si="300"/>
        <v/>
      </c>
      <c r="CA217" s="1472" t="str">
        <f t="shared" si="301"/>
        <v/>
      </c>
      <c r="CB217" s="1028"/>
      <c r="CC217" s="130" t="str">
        <f t="shared" si="302"/>
        <v/>
      </c>
      <c r="CD217" s="1472" t="str">
        <f t="shared" si="303"/>
        <v/>
      </c>
      <c r="CE217" s="1028"/>
      <c r="CF217" s="130" t="str">
        <f t="shared" si="304"/>
        <v/>
      </c>
      <c r="CG217" s="1472" t="str">
        <f t="shared" si="305"/>
        <v/>
      </c>
      <c r="CH217" s="1028"/>
      <c r="CI217" s="130" t="str">
        <f t="shared" si="306"/>
        <v/>
      </c>
      <c r="CJ217" s="1472" t="str">
        <f t="shared" si="307"/>
        <v/>
      </c>
      <c r="CK217" s="1028"/>
      <c r="CL217" s="130" t="str">
        <f t="shared" si="308"/>
        <v/>
      </c>
      <c r="CM217" s="1472" t="str">
        <f t="shared" si="309"/>
        <v/>
      </c>
      <c r="CN217" s="1028"/>
      <c r="CO217" s="130" t="str">
        <f t="shared" si="310"/>
        <v/>
      </c>
      <c r="CP217" s="1472" t="str">
        <f t="shared" si="311"/>
        <v/>
      </c>
      <c r="CQ217" s="1028"/>
      <c r="CR217" s="130" t="str">
        <f t="shared" si="312"/>
        <v/>
      </c>
      <c r="CS217" s="1472" t="str">
        <f t="shared" si="313"/>
        <v/>
      </c>
      <c r="CT217" s="1028"/>
      <c r="CU217" s="130" t="str">
        <f t="shared" si="314"/>
        <v/>
      </c>
      <c r="CV217" s="1472" t="str">
        <f t="shared" si="315"/>
        <v/>
      </c>
      <c r="CW217" s="1028"/>
      <c r="CX217" s="130" t="str">
        <f t="shared" si="316"/>
        <v/>
      </c>
      <c r="CY217" s="1472" t="str">
        <f t="shared" si="317"/>
        <v/>
      </c>
      <c r="CZ217" s="1028"/>
      <c r="DA217" s="130" t="str">
        <f t="shared" si="318"/>
        <v/>
      </c>
      <c r="DB217" s="1472" t="str">
        <f t="shared" si="319"/>
        <v/>
      </c>
      <c r="DC217" s="1028"/>
      <c r="DD217" s="130" t="str">
        <f t="shared" si="320"/>
        <v/>
      </c>
      <c r="DE217" s="1472" t="str">
        <f t="shared" si="321"/>
        <v/>
      </c>
      <c r="DF217" s="1028"/>
      <c r="DG217" s="130" t="str">
        <f t="shared" si="322"/>
        <v/>
      </c>
      <c r="DH217" s="1472" t="str">
        <f t="shared" si="323"/>
        <v/>
      </c>
      <c r="DI217" s="1028"/>
      <c r="DJ217" s="130" t="str">
        <f t="shared" si="324"/>
        <v/>
      </c>
      <c r="DK217" s="1472" t="str">
        <f t="shared" si="325"/>
        <v/>
      </c>
      <c r="DL217" s="1028"/>
      <c r="DM217" s="130" t="str">
        <f t="shared" si="326"/>
        <v/>
      </c>
      <c r="DN217" s="1472" t="str">
        <f t="shared" si="327"/>
        <v/>
      </c>
      <c r="DO217" s="1028"/>
      <c r="DP217" s="130" t="str">
        <f t="shared" si="328"/>
        <v/>
      </c>
      <c r="DQ217" s="1472" t="str">
        <f t="shared" si="329"/>
        <v/>
      </c>
      <c r="DR217" s="1028"/>
      <c r="DS217" s="130" t="str">
        <f t="shared" si="330"/>
        <v/>
      </c>
      <c r="DT217" s="1472" t="str">
        <f t="shared" si="331"/>
        <v/>
      </c>
      <c r="DU217" s="1028"/>
      <c r="DV217" s="130" t="str">
        <f t="shared" si="332"/>
        <v/>
      </c>
      <c r="DW217" s="1472" t="str">
        <f t="shared" si="333"/>
        <v/>
      </c>
      <c r="DX217" s="147"/>
    </row>
    <row r="218" ht="23.25" customHeight="true" x14ac:dyDescent="0.25">
      <c r="B218" s="1612"/>
      <c r="C218" s="1613"/>
      <c r="D218" s="1613"/>
      <c r="E218" s="1154">
        <f t="shared" si="170"/>
        <v>33</v>
      </c>
      <c r="F218" s="1734" t="str">
        <f t="shared" si="253"/>
        <v/>
      </c>
      <c r="G218" s="1735"/>
      <c r="H218" s="1028"/>
      <c r="I218" s="130" t="str">
        <f t="shared" si="254"/>
        <v/>
      </c>
      <c r="J218" s="5" t="str">
        <f t="shared" si="255"/>
        <v/>
      </c>
      <c r="K218" s="1028"/>
      <c r="L218" s="130" t="str">
        <f t="shared" si="256"/>
        <v/>
      </c>
      <c r="M218" s="5" t="str">
        <f t="shared" si="257"/>
        <v/>
      </c>
      <c r="N218" s="1028"/>
      <c r="O218" s="130" t="str">
        <f t="shared" si="258"/>
        <v/>
      </c>
      <c r="P218" s="5" t="str">
        <f t="shared" si="259"/>
        <v/>
      </c>
      <c r="Q218" s="1028"/>
      <c r="R218" s="130" t="str">
        <f t="shared" si="260"/>
        <v/>
      </c>
      <c r="S218" s="1472" t="str">
        <f t="shared" si="261"/>
        <v/>
      </c>
      <c r="T218" s="1028"/>
      <c r="U218" s="130" t="str">
        <f t="shared" si="262"/>
        <v/>
      </c>
      <c r="V218" s="1472" t="str">
        <f t="shared" si="263"/>
        <v/>
      </c>
      <c r="W218" s="1028"/>
      <c r="X218" s="130" t="str">
        <f t="shared" si="264"/>
        <v/>
      </c>
      <c r="Y218" s="1472" t="str">
        <f t="shared" si="265"/>
        <v/>
      </c>
      <c r="Z218" s="1028"/>
      <c r="AA218" s="130" t="str">
        <f t="shared" si="266"/>
        <v/>
      </c>
      <c r="AB218" s="1472" t="str">
        <f t="shared" si="267"/>
        <v/>
      </c>
      <c r="AC218" s="1028"/>
      <c r="AD218" s="130" t="str">
        <f t="shared" si="268"/>
        <v/>
      </c>
      <c r="AE218" s="1472" t="str">
        <f t="shared" si="269"/>
        <v/>
      </c>
      <c r="AF218" s="1028"/>
      <c r="AG218" s="130" t="str">
        <f t="shared" si="270"/>
        <v/>
      </c>
      <c r="AH218" s="1472" t="str">
        <f t="shared" si="271"/>
        <v/>
      </c>
      <c r="AI218" s="1028"/>
      <c r="AJ218" s="130" t="str">
        <f t="shared" si="272"/>
        <v/>
      </c>
      <c r="AK218" s="1472" t="str">
        <f t="shared" si="273"/>
        <v/>
      </c>
      <c r="AL218" s="1028"/>
      <c r="AM218" s="130" t="str">
        <f t="shared" si="274"/>
        <v/>
      </c>
      <c r="AN218" s="1472" t="str">
        <f t="shared" si="275"/>
        <v/>
      </c>
      <c r="AO218" s="1028"/>
      <c r="AP218" s="130" t="str">
        <f t="shared" si="276"/>
        <v/>
      </c>
      <c r="AQ218" s="1472" t="str">
        <f t="shared" si="277"/>
        <v/>
      </c>
      <c r="AR218" s="1028"/>
      <c r="AS218" s="130" t="str">
        <f t="shared" si="278"/>
        <v/>
      </c>
      <c r="AT218" s="1472" t="str">
        <f t="shared" si="279"/>
        <v/>
      </c>
      <c r="AU218" s="1028"/>
      <c r="AV218" s="130" t="str">
        <f t="shared" si="280"/>
        <v/>
      </c>
      <c r="AW218" s="1472" t="str">
        <f t="shared" si="281"/>
        <v/>
      </c>
      <c r="AX218" s="1028"/>
      <c r="AY218" s="130" t="str">
        <f t="shared" si="282"/>
        <v/>
      </c>
      <c r="AZ218" s="1472" t="str">
        <f t="shared" si="283"/>
        <v/>
      </c>
      <c r="BA218" s="1028"/>
      <c r="BB218" s="130" t="str">
        <f t="shared" si="284"/>
        <v/>
      </c>
      <c r="BC218" s="1472" t="str">
        <f t="shared" si="285"/>
        <v/>
      </c>
      <c r="BD218" s="1028"/>
      <c r="BE218" s="130" t="str">
        <f t="shared" si="286"/>
        <v/>
      </c>
      <c r="BF218" s="1472" t="str">
        <f t="shared" si="287"/>
        <v/>
      </c>
      <c r="BG218" s="1028"/>
      <c r="BH218" s="130" t="str">
        <f t="shared" si="288"/>
        <v/>
      </c>
      <c r="BI218" s="1472" t="str">
        <f t="shared" si="289"/>
        <v/>
      </c>
      <c r="BJ218" s="1028"/>
      <c r="BK218" s="130" t="str">
        <f t="shared" si="290"/>
        <v/>
      </c>
      <c r="BL218" s="1472" t="str">
        <f t="shared" si="291"/>
        <v/>
      </c>
      <c r="BM218" s="1028"/>
      <c r="BN218" s="130" t="str">
        <f t="shared" si="292"/>
        <v/>
      </c>
      <c r="BO218" s="1472" t="str">
        <f t="shared" si="293"/>
        <v/>
      </c>
      <c r="BP218" s="1028"/>
      <c r="BQ218" s="130" t="str">
        <f t="shared" si="294"/>
        <v/>
      </c>
      <c r="BR218" s="1472" t="str">
        <f t="shared" si="295"/>
        <v/>
      </c>
      <c r="BS218" s="1028"/>
      <c r="BT218" s="130" t="str">
        <f t="shared" si="296"/>
        <v/>
      </c>
      <c r="BU218" s="1472" t="str">
        <f t="shared" si="297"/>
        <v/>
      </c>
      <c r="BV218" s="1028"/>
      <c r="BW218" s="130" t="str">
        <f t="shared" si="298"/>
        <v/>
      </c>
      <c r="BX218" s="1472" t="str">
        <f t="shared" si="299"/>
        <v/>
      </c>
      <c r="BY218" s="1028"/>
      <c r="BZ218" s="130" t="str">
        <f t="shared" si="300"/>
        <v/>
      </c>
      <c r="CA218" s="1472" t="str">
        <f t="shared" si="301"/>
        <v/>
      </c>
      <c r="CB218" s="1028"/>
      <c r="CC218" s="130" t="str">
        <f t="shared" si="302"/>
        <v/>
      </c>
      <c r="CD218" s="1472" t="str">
        <f t="shared" si="303"/>
        <v/>
      </c>
      <c r="CE218" s="1028"/>
      <c r="CF218" s="130" t="str">
        <f t="shared" si="304"/>
        <v/>
      </c>
      <c r="CG218" s="1472" t="str">
        <f t="shared" si="305"/>
        <v/>
      </c>
      <c r="CH218" s="1028"/>
      <c r="CI218" s="130" t="str">
        <f t="shared" si="306"/>
        <v/>
      </c>
      <c r="CJ218" s="1472" t="str">
        <f t="shared" si="307"/>
        <v/>
      </c>
      <c r="CK218" s="1028"/>
      <c r="CL218" s="130" t="str">
        <f t="shared" si="308"/>
        <v/>
      </c>
      <c r="CM218" s="1472" t="str">
        <f t="shared" si="309"/>
        <v/>
      </c>
      <c r="CN218" s="1028"/>
      <c r="CO218" s="130" t="str">
        <f t="shared" si="310"/>
        <v/>
      </c>
      <c r="CP218" s="1472" t="str">
        <f t="shared" si="311"/>
        <v/>
      </c>
      <c r="CQ218" s="1028"/>
      <c r="CR218" s="130" t="str">
        <f t="shared" si="312"/>
        <v/>
      </c>
      <c r="CS218" s="1472" t="str">
        <f t="shared" si="313"/>
        <v/>
      </c>
      <c r="CT218" s="1028"/>
      <c r="CU218" s="130" t="str">
        <f t="shared" si="314"/>
        <v/>
      </c>
      <c r="CV218" s="1472" t="str">
        <f t="shared" si="315"/>
        <v/>
      </c>
      <c r="CW218" s="1028"/>
      <c r="CX218" s="130" t="str">
        <f t="shared" si="316"/>
        <v/>
      </c>
      <c r="CY218" s="1472" t="str">
        <f t="shared" si="317"/>
        <v/>
      </c>
      <c r="CZ218" s="1028"/>
      <c r="DA218" s="130" t="str">
        <f t="shared" si="318"/>
        <v/>
      </c>
      <c r="DB218" s="1472" t="str">
        <f t="shared" si="319"/>
        <v/>
      </c>
      <c r="DC218" s="1028"/>
      <c r="DD218" s="130" t="str">
        <f t="shared" si="320"/>
        <v/>
      </c>
      <c r="DE218" s="1472" t="str">
        <f t="shared" si="321"/>
        <v/>
      </c>
      <c r="DF218" s="1028"/>
      <c r="DG218" s="130" t="str">
        <f t="shared" si="322"/>
        <v/>
      </c>
      <c r="DH218" s="1472" t="str">
        <f t="shared" si="323"/>
        <v/>
      </c>
      <c r="DI218" s="1028"/>
      <c r="DJ218" s="130" t="str">
        <f t="shared" si="324"/>
        <v/>
      </c>
      <c r="DK218" s="1472" t="str">
        <f t="shared" si="325"/>
        <v/>
      </c>
      <c r="DL218" s="1028"/>
      <c r="DM218" s="130" t="str">
        <f t="shared" si="326"/>
        <v/>
      </c>
      <c r="DN218" s="1472" t="str">
        <f t="shared" si="327"/>
        <v/>
      </c>
      <c r="DO218" s="1028"/>
      <c r="DP218" s="130" t="str">
        <f t="shared" si="328"/>
        <v/>
      </c>
      <c r="DQ218" s="1472" t="str">
        <f t="shared" si="329"/>
        <v/>
      </c>
      <c r="DR218" s="1028"/>
      <c r="DS218" s="130" t="str">
        <f t="shared" si="330"/>
        <v/>
      </c>
      <c r="DT218" s="1472" t="str">
        <f t="shared" si="331"/>
        <v/>
      </c>
      <c r="DU218" s="1028"/>
      <c r="DV218" s="130" t="str">
        <f t="shared" si="332"/>
        <v/>
      </c>
      <c r="DW218" s="1472" t="str">
        <f t="shared" si="333"/>
        <v/>
      </c>
      <c r="DX218" s="147"/>
    </row>
    <row r="219" ht="23.25" customHeight="true" x14ac:dyDescent="0.25">
      <c r="B219" s="1612"/>
      <c r="C219" s="1613"/>
      <c r="D219" s="1613"/>
      <c r="E219" s="1154">
        <f t="shared" si="170"/>
        <v>34</v>
      </c>
      <c r="F219" s="1734" t="str">
        <f t="shared" si="253"/>
        <v/>
      </c>
      <c r="G219" s="1735"/>
      <c r="H219" s="1028"/>
      <c r="I219" s="130" t="str">
        <f t="shared" si="254"/>
        <v/>
      </c>
      <c r="J219" s="5" t="str">
        <f t="shared" si="255"/>
        <v/>
      </c>
      <c r="K219" s="1028"/>
      <c r="L219" s="130" t="str">
        <f t="shared" si="256"/>
        <v/>
      </c>
      <c r="M219" s="5" t="str">
        <f t="shared" si="257"/>
        <v/>
      </c>
      <c r="N219" s="1028"/>
      <c r="O219" s="130" t="str">
        <f t="shared" si="258"/>
        <v/>
      </c>
      <c r="P219" s="5" t="str">
        <f t="shared" si="259"/>
        <v/>
      </c>
      <c r="Q219" s="1028"/>
      <c r="R219" s="130" t="str">
        <f t="shared" si="260"/>
        <v/>
      </c>
      <c r="S219" s="1472" t="str">
        <f t="shared" si="261"/>
        <v/>
      </c>
      <c r="T219" s="1028"/>
      <c r="U219" s="130" t="str">
        <f t="shared" si="262"/>
        <v/>
      </c>
      <c r="V219" s="1472" t="str">
        <f t="shared" si="263"/>
        <v/>
      </c>
      <c r="W219" s="1028"/>
      <c r="X219" s="130" t="str">
        <f t="shared" si="264"/>
        <v/>
      </c>
      <c r="Y219" s="1472" t="str">
        <f t="shared" si="265"/>
        <v/>
      </c>
      <c r="Z219" s="1028"/>
      <c r="AA219" s="130" t="str">
        <f t="shared" si="266"/>
        <v/>
      </c>
      <c r="AB219" s="1472" t="str">
        <f t="shared" si="267"/>
        <v/>
      </c>
      <c r="AC219" s="1028"/>
      <c r="AD219" s="130" t="str">
        <f t="shared" si="268"/>
        <v/>
      </c>
      <c r="AE219" s="1472" t="str">
        <f t="shared" si="269"/>
        <v/>
      </c>
      <c r="AF219" s="1028"/>
      <c r="AG219" s="130" t="str">
        <f t="shared" si="270"/>
        <v/>
      </c>
      <c r="AH219" s="1472" t="str">
        <f t="shared" si="271"/>
        <v/>
      </c>
      <c r="AI219" s="1028"/>
      <c r="AJ219" s="130" t="str">
        <f t="shared" si="272"/>
        <v/>
      </c>
      <c r="AK219" s="1472" t="str">
        <f t="shared" si="273"/>
        <v/>
      </c>
      <c r="AL219" s="1028"/>
      <c r="AM219" s="130" t="str">
        <f t="shared" si="274"/>
        <v/>
      </c>
      <c r="AN219" s="1472" t="str">
        <f t="shared" si="275"/>
        <v/>
      </c>
      <c r="AO219" s="1028"/>
      <c r="AP219" s="130" t="str">
        <f t="shared" si="276"/>
        <v/>
      </c>
      <c r="AQ219" s="1472" t="str">
        <f t="shared" si="277"/>
        <v/>
      </c>
      <c r="AR219" s="1028"/>
      <c r="AS219" s="130" t="str">
        <f t="shared" si="278"/>
        <v/>
      </c>
      <c r="AT219" s="1472" t="str">
        <f t="shared" si="279"/>
        <v/>
      </c>
      <c r="AU219" s="1028"/>
      <c r="AV219" s="130" t="str">
        <f t="shared" si="280"/>
        <v/>
      </c>
      <c r="AW219" s="1472" t="str">
        <f t="shared" si="281"/>
        <v/>
      </c>
      <c r="AX219" s="1028"/>
      <c r="AY219" s="130" t="str">
        <f t="shared" si="282"/>
        <v/>
      </c>
      <c r="AZ219" s="1472" t="str">
        <f t="shared" si="283"/>
        <v/>
      </c>
      <c r="BA219" s="1028"/>
      <c r="BB219" s="130" t="str">
        <f t="shared" si="284"/>
        <v/>
      </c>
      <c r="BC219" s="1472" t="str">
        <f t="shared" si="285"/>
        <v/>
      </c>
      <c r="BD219" s="1028"/>
      <c r="BE219" s="130" t="str">
        <f t="shared" si="286"/>
        <v/>
      </c>
      <c r="BF219" s="1472" t="str">
        <f t="shared" si="287"/>
        <v/>
      </c>
      <c r="BG219" s="1028"/>
      <c r="BH219" s="130" t="str">
        <f t="shared" si="288"/>
        <v/>
      </c>
      <c r="BI219" s="1472" t="str">
        <f t="shared" si="289"/>
        <v/>
      </c>
      <c r="BJ219" s="1028"/>
      <c r="BK219" s="130" t="str">
        <f t="shared" si="290"/>
        <v/>
      </c>
      <c r="BL219" s="1472" t="str">
        <f t="shared" si="291"/>
        <v/>
      </c>
      <c r="BM219" s="1028"/>
      <c r="BN219" s="130" t="str">
        <f t="shared" si="292"/>
        <v/>
      </c>
      <c r="BO219" s="1472" t="str">
        <f t="shared" si="293"/>
        <v/>
      </c>
      <c r="BP219" s="1028"/>
      <c r="BQ219" s="130" t="str">
        <f t="shared" si="294"/>
        <v/>
      </c>
      <c r="BR219" s="1472" t="str">
        <f t="shared" si="295"/>
        <v/>
      </c>
      <c r="BS219" s="1028"/>
      <c r="BT219" s="130" t="str">
        <f t="shared" si="296"/>
        <v/>
      </c>
      <c r="BU219" s="1472" t="str">
        <f t="shared" si="297"/>
        <v/>
      </c>
      <c r="BV219" s="1028"/>
      <c r="BW219" s="130" t="str">
        <f t="shared" si="298"/>
        <v/>
      </c>
      <c r="BX219" s="1472" t="str">
        <f t="shared" si="299"/>
        <v/>
      </c>
      <c r="BY219" s="1028"/>
      <c r="BZ219" s="130" t="str">
        <f t="shared" si="300"/>
        <v/>
      </c>
      <c r="CA219" s="1472" t="str">
        <f t="shared" si="301"/>
        <v/>
      </c>
      <c r="CB219" s="1028"/>
      <c r="CC219" s="130" t="str">
        <f t="shared" si="302"/>
        <v/>
      </c>
      <c r="CD219" s="1472" t="str">
        <f t="shared" si="303"/>
        <v/>
      </c>
      <c r="CE219" s="1028"/>
      <c r="CF219" s="130" t="str">
        <f t="shared" si="304"/>
        <v/>
      </c>
      <c r="CG219" s="1472" t="str">
        <f t="shared" si="305"/>
        <v/>
      </c>
      <c r="CH219" s="1028"/>
      <c r="CI219" s="130" t="str">
        <f t="shared" si="306"/>
        <v/>
      </c>
      <c r="CJ219" s="1472" t="str">
        <f t="shared" si="307"/>
        <v/>
      </c>
      <c r="CK219" s="1028"/>
      <c r="CL219" s="130" t="str">
        <f t="shared" si="308"/>
        <v/>
      </c>
      <c r="CM219" s="1472" t="str">
        <f t="shared" si="309"/>
        <v/>
      </c>
      <c r="CN219" s="1028"/>
      <c r="CO219" s="130" t="str">
        <f t="shared" si="310"/>
        <v/>
      </c>
      <c r="CP219" s="1472" t="str">
        <f t="shared" si="311"/>
        <v/>
      </c>
      <c r="CQ219" s="1028"/>
      <c r="CR219" s="130" t="str">
        <f t="shared" si="312"/>
        <v/>
      </c>
      <c r="CS219" s="1472" t="str">
        <f t="shared" si="313"/>
        <v/>
      </c>
      <c r="CT219" s="1028"/>
      <c r="CU219" s="130" t="str">
        <f t="shared" si="314"/>
        <v/>
      </c>
      <c r="CV219" s="1472" t="str">
        <f t="shared" si="315"/>
        <v/>
      </c>
      <c r="CW219" s="1028"/>
      <c r="CX219" s="130" t="str">
        <f t="shared" si="316"/>
        <v/>
      </c>
      <c r="CY219" s="1472" t="str">
        <f t="shared" si="317"/>
        <v/>
      </c>
      <c r="CZ219" s="1028"/>
      <c r="DA219" s="130" t="str">
        <f t="shared" si="318"/>
        <v/>
      </c>
      <c r="DB219" s="1472" t="str">
        <f t="shared" si="319"/>
        <v/>
      </c>
      <c r="DC219" s="1028"/>
      <c r="DD219" s="130" t="str">
        <f t="shared" si="320"/>
        <v/>
      </c>
      <c r="DE219" s="1472" t="str">
        <f t="shared" si="321"/>
        <v/>
      </c>
      <c r="DF219" s="1028"/>
      <c r="DG219" s="130" t="str">
        <f t="shared" si="322"/>
        <v/>
      </c>
      <c r="DH219" s="1472" t="str">
        <f t="shared" si="323"/>
        <v/>
      </c>
      <c r="DI219" s="1028"/>
      <c r="DJ219" s="130" t="str">
        <f t="shared" si="324"/>
        <v/>
      </c>
      <c r="DK219" s="1472" t="str">
        <f t="shared" si="325"/>
        <v/>
      </c>
      <c r="DL219" s="1028"/>
      <c r="DM219" s="130" t="str">
        <f t="shared" si="326"/>
        <v/>
      </c>
      <c r="DN219" s="1472" t="str">
        <f t="shared" si="327"/>
        <v/>
      </c>
      <c r="DO219" s="1028"/>
      <c r="DP219" s="130" t="str">
        <f t="shared" si="328"/>
        <v/>
      </c>
      <c r="DQ219" s="1472" t="str">
        <f t="shared" si="329"/>
        <v/>
      </c>
      <c r="DR219" s="1028"/>
      <c r="DS219" s="130" t="str">
        <f t="shared" si="330"/>
        <v/>
      </c>
      <c r="DT219" s="1472" t="str">
        <f t="shared" si="331"/>
        <v/>
      </c>
      <c r="DU219" s="1028"/>
      <c r="DV219" s="130" t="str">
        <f t="shared" si="332"/>
        <v/>
      </c>
      <c r="DW219" s="1472" t="str">
        <f t="shared" si="333"/>
        <v/>
      </c>
      <c r="DX219" s="147"/>
    </row>
    <row r="220" ht="23.25" customHeight="true" x14ac:dyDescent="0.25">
      <c r="B220" s="1612"/>
      <c r="C220" s="1613"/>
      <c r="D220" s="1613"/>
      <c r="E220" s="1154">
        <f t="shared" si="170"/>
        <v>35</v>
      </c>
      <c r="F220" s="1734" t="str">
        <f t="shared" si="253"/>
        <v/>
      </c>
      <c r="G220" s="1735"/>
      <c r="H220" s="1028"/>
      <c r="I220" s="130" t="str">
        <f t="shared" si="254"/>
        <v/>
      </c>
      <c r="J220" s="5" t="str">
        <f t="shared" si="255"/>
        <v/>
      </c>
      <c r="K220" s="1028"/>
      <c r="L220" s="130" t="str">
        <f t="shared" si="256"/>
        <v/>
      </c>
      <c r="M220" s="5" t="str">
        <f t="shared" si="257"/>
        <v/>
      </c>
      <c r="N220" s="1028"/>
      <c r="O220" s="130" t="str">
        <f t="shared" si="258"/>
        <v/>
      </c>
      <c r="P220" s="5" t="str">
        <f t="shared" si="259"/>
        <v/>
      </c>
      <c r="Q220" s="1028"/>
      <c r="R220" s="130" t="str">
        <f t="shared" si="260"/>
        <v/>
      </c>
      <c r="S220" s="1472" t="str">
        <f t="shared" si="261"/>
        <v/>
      </c>
      <c r="T220" s="1028"/>
      <c r="U220" s="130" t="str">
        <f t="shared" si="262"/>
        <v/>
      </c>
      <c r="V220" s="1472" t="str">
        <f t="shared" si="263"/>
        <v/>
      </c>
      <c r="W220" s="1028"/>
      <c r="X220" s="130" t="str">
        <f t="shared" si="264"/>
        <v/>
      </c>
      <c r="Y220" s="1472" t="str">
        <f t="shared" si="265"/>
        <v/>
      </c>
      <c r="Z220" s="1028"/>
      <c r="AA220" s="130" t="str">
        <f t="shared" si="266"/>
        <v/>
      </c>
      <c r="AB220" s="1472" t="str">
        <f t="shared" si="267"/>
        <v/>
      </c>
      <c r="AC220" s="1028"/>
      <c r="AD220" s="130" t="str">
        <f t="shared" si="268"/>
        <v/>
      </c>
      <c r="AE220" s="1472" t="str">
        <f t="shared" si="269"/>
        <v/>
      </c>
      <c r="AF220" s="1028"/>
      <c r="AG220" s="130" t="str">
        <f t="shared" si="270"/>
        <v/>
      </c>
      <c r="AH220" s="1472" t="str">
        <f t="shared" si="271"/>
        <v/>
      </c>
      <c r="AI220" s="1028"/>
      <c r="AJ220" s="130" t="str">
        <f t="shared" si="272"/>
        <v/>
      </c>
      <c r="AK220" s="1472" t="str">
        <f t="shared" si="273"/>
        <v/>
      </c>
      <c r="AL220" s="1028"/>
      <c r="AM220" s="130" t="str">
        <f t="shared" si="274"/>
        <v/>
      </c>
      <c r="AN220" s="1472" t="str">
        <f t="shared" si="275"/>
        <v/>
      </c>
      <c r="AO220" s="1028"/>
      <c r="AP220" s="130" t="str">
        <f t="shared" si="276"/>
        <v/>
      </c>
      <c r="AQ220" s="1472" t="str">
        <f t="shared" si="277"/>
        <v/>
      </c>
      <c r="AR220" s="1028"/>
      <c r="AS220" s="130" t="str">
        <f t="shared" si="278"/>
        <v/>
      </c>
      <c r="AT220" s="1472" t="str">
        <f t="shared" si="279"/>
        <v/>
      </c>
      <c r="AU220" s="1028"/>
      <c r="AV220" s="130" t="str">
        <f t="shared" si="280"/>
        <v/>
      </c>
      <c r="AW220" s="1472" t="str">
        <f t="shared" si="281"/>
        <v/>
      </c>
      <c r="AX220" s="1028"/>
      <c r="AY220" s="130" t="str">
        <f t="shared" si="282"/>
        <v/>
      </c>
      <c r="AZ220" s="1472" t="str">
        <f t="shared" si="283"/>
        <v/>
      </c>
      <c r="BA220" s="1028"/>
      <c r="BB220" s="130" t="str">
        <f t="shared" si="284"/>
        <v/>
      </c>
      <c r="BC220" s="1472" t="str">
        <f t="shared" si="285"/>
        <v/>
      </c>
      <c r="BD220" s="1028"/>
      <c r="BE220" s="130" t="str">
        <f t="shared" si="286"/>
        <v/>
      </c>
      <c r="BF220" s="1472" t="str">
        <f t="shared" si="287"/>
        <v/>
      </c>
      <c r="BG220" s="1028"/>
      <c r="BH220" s="130" t="str">
        <f t="shared" si="288"/>
        <v/>
      </c>
      <c r="BI220" s="1472" t="str">
        <f t="shared" si="289"/>
        <v/>
      </c>
      <c r="BJ220" s="1028"/>
      <c r="BK220" s="130" t="str">
        <f t="shared" si="290"/>
        <v/>
      </c>
      <c r="BL220" s="1472" t="str">
        <f t="shared" si="291"/>
        <v/>
      </c>
      <c r="BM220" s="1028"/>
      <c r="BN220" s="130" t="str">
        <f t="shared" si="292"/>
        <v/>
      </c>
      <c r="BO220" s="1472" t="str">
        <f t="shared" si="293"/>
        <v/>
      </c>
      <c r="BP220" s="1028"/>
      <c r="BQ220" s="130" t="str">
        <f t="shared" si="294"/>
        <v/>
      </c>
      <c r="BR220" s="1472" t="str">
        <f t="shared" si="295"/>
        <v/>
      </c>
      <c r="BS220" s="1028"/>
      <c r="BT220" s="130" t="str">
        <f t="shared" si="296"/>
        <v/>
      </c>
      <c r="BU220" s="1472" t="str">
        <f t="shared" si="297"/>
        <v/>
      </c>
      <c r="BV220" s="1028"/>
      <c r="BW220" s="130" t="str">
        <f t="shared" si="298"/>
        <v/>
      </c>
      <c r="BX220" s="1472" t="str">
        <f t="shared" si="299"/>
        <v/>
      </c>
      <c r="BY220" s="1028"/>
      <c r="BZ220" s="130" t="str">
        <f t="shared" si="300"/>
        <v/>
      </c>
      <c r="CA220" s="1472" t="str">
        <f t="shared" si="301"/>
        <v/>
      </c>
      <c r="CB220" s="1028"/>
      <c r="CC220" s="130" t="str">
        <f t="shared" si="302"/>
        <v/>
      </c>
      <c r="CD220" s="1472" t="str">
        <f t="shared" si="303"/>
        <v/>
      </c>
      <c r="CE220" s="1028"/>
      <c r="CF220" s="130" t="str">
        <f t="shared" si="304"/>
        <v/>
      </c>
      <c r="CG220" s="1472" t="str">
        <f t="shared" si="305"/>
        <v/>
      </c>
      <c r="CH220" s="1028"/>
      <c r="CI220" s="130" t="str">
        <f t="shared" si="306"/>
        <v/>
      </c>
      <c r="CJ220" s="1472" t="str">
        <f t="shared" si="307"/>
        <v/>
      </c>
      <c r="CK220" s="1028"/>
      <c r="CL220" s="130" t="str">
        <f t="shared" si="308"/>
        <v/>
      </c>
      <c r="CM220" s="1472" t="str">
        <f t="shared" si="309"/>
        <v/>
      </c>
      <c r="CN220" s="1028"/>
      <c r="CO220" s="130" t="str">
        <f t="shared" si="310"/>
        <v/>
      </c>
      <c r="CP220" s="1472" t="str">
        <f t="shared" si="311"/>
        <v/>
      </c>
      <c r="CQ220" s="1028"/>
      <c r="CR220" s="130" t="str">
        <f t="shared" si="312"/>
        <v/>
      </c>
      <c r="CS220" s="1472" t="str">
        <f t="shared" si="313"/>
        <v/>
      </c>
      <c r="CT220" s="1028"/>
      <c r="CU220" s="130" t="str">
        <f t="shared" si="314"/>
        <v/>
      </c>
      <c r="CV220" s="1472" t="str">
        <f t="shared" si="315"/>
        <v/>
      </c>
      <c r="CW220" s="1028"/>
      <c r="CX220" s="130" t="str">
        <f t="shared" si="316"/>
        <v/>
      </c>
      <c r="CY220" s="1472" t="str">
        <f t="shared" si="317"/>
        <v/>
      </c>
      <c r="CZ220" s="1028"/>
      <c r="DA220" s="130" t="str">
        <f t="shared" si="318"/>
        <v/>
      </c>
      <c r="DB220" s="1472" t="str">
        <f t="shared" si="319"/>
        <v/>
      </c>
      <c r="DC220" s="1028"/>
      <c r="DD220" s="130" t="str">
        <f t="shared" si="320"/>
        <v/>
      </c>
      <c r="DE220" s="1472" t="str">
        <f t="shared" si="321"/>
        <v/>
      </c>
      <c r="DF220" s="1028"/>
      <c r="DG220" s="130" t="str">
        <f t="shared" si="322"/>
        <v/>
      </c>
      <c r="DH220" s="1472" t="str">
        <f t="shared" si="323"/>
        <v/>
      </c>
      <c r="DI220" s="1028"/>
      <c r="DJ220" s="130" t="str">
        <f t="shared" si="324"/>
        <v/>
      </c>
      <c r="DK220" s="1472" t="str">
        <f t="shared" si="325"/>
        <v/>
      </c>
      <c r="DL220" s="1028"/>
      <c r="DM220" s="130" t="str">
        <f t="shared" si="326"/>
        <v/>
      </c>
      <c r="DN220" s="1472" t="str">
        <f t="shared" si="327"/>
        <v/>
      </c>
      <c r="DO220" s="1028"/>
      <c r="DP220" s="130" t="str">
        <f t="shared" si="328"/>
        <v/>
      </c>
      <c r="DQ220" s="1472" t="str">
        <f t="shared" si="329"/>
        <v/>
      </c>
      <c r="DR220" s="1028"/>
      <c r="DS220" s="130" t="str">
        <f t="shared" si="330"/>
        <v/>
      </c>
      <c r="DT220" s="1472" t="str">
        <f t="shared" si="331"/>
        <v/>
      </c>
      <c r="DU220" s="1028"/>
      <c r="DV220" s="130" t="str">
        <f t="shared" si="332"/>
        <v/>
      </c>
      <c r="DW220" s="1472" t="str">
        <f t="shared" si="333"/>
        <v/>
      </c>
      <c r="DX220" s="147"/>
    </row>
    <row r="221" ht="23.25" customHeight="true" x14ac:dyDescent="0.25">
      <c r="B221" s="1612"/>
      <c r="C221" s="1613"/>
      <c r="D221" s="1613"/>
      <c r="E221" s="1154">
        <f t="shared" si="170"/>
        <v>36</v>
      </c>
      <c r="F221" s="1734" t="str">
        <f t="shared" si="253"/>
        <v/>
      </c>
      <c r="G221" s="1735"/>
      <c r="H221" s="1028"/>
      <c r="I221" s="130" t="str">
        <f t="shared" si="254"/>
        <v/>
      </c>
      <c r="J221" s="5" t="str">
        <f t="shared" si="255"/>
        <v/>
      </c>
      <c r="K221" s="1028"/>
      <c r="L221" s="130" t="str">
        <f t="shared" si="256"/>
        <v/>
      </c>
      <c r="M221" s="5" t="str">
        <f t="shared" si="257"/>
        <v/>
      </c>
      <c r="N221" s="1028"/>
      <c r="O221" s="130" t="str">
        <f t="shared" si="258"/>
        <v/>
      </c>
      <c r="P221" s="5" t="str">
        <f t="shared" si="259"/>
        <v/>
      </c>
      <c r="Q221" s="1028"/>
      <c r="R221" s="130" t="str">
        <f t="shared" si="260"/>
        <v/>
      </c>
      <c r="S221" s="1472" t="str">
        <f t="shared" si="261"/>
        <v/>
      </c>
      <c r="T221" s="1028"/>
      <c r="U221" s="130" t="str">
        <f t="shared" si="262"/>
        <v/>
      </c>
      <c r="V221" s="1472" t="str">
        <f t="shared" si="263"/>
        <v/>
      </c>
      <c r="W221" s="1028"/>
      <c r="X221" s="130" t="str">
        <f t="shared" si="264"/>
        <v/>
      </c>
      <c r="Y221" s="1472" t="str">
        <f t="shared" si="265"/>
        <v/>
      </c>
      <c r="Z221" s="1028"/>
      <c r="AA221" s="130" t="str">
        <f t="shared" si="266"/>
        <v/>
      </c>
      <c r="AB221" s="1472" t="str">
        <f t="shared" si="267"/>
        <v/>
      </c>
      <c r="AC221" s="1028"/>
      <c r="AD221" s="130" t="str">
        <f t="shared" si="268"/>
        <v/>
      </c>
      <c r="AE221" s="1472" t="str">
        <f t="shared" si="269"/>
        <v/>
      </c>
      <c r="AF221" s="1028"/>
      <c r="AG221" s="130" t="str">
        <f t="shared" si="270"/>
        <v/>
      </c>
      <c r="AH221" s="1472" t="str">
        <f t="shared" si="271"/>
        <v/>
      </c>
      <c r="AI221" s="1028"/>
      <c r="AJ221" s="130" t="str">
        <f t="shared" si="272"/>
        <v/>
      </c>
      <c r="AK221" s="1472" t="str">
        <f t="shared" si="273"/>
        <v/>
      </c>
      <c r="AL221" s="1028"/>
      <c r="AM221" s="130" t="str">
        <f t="shared" si="274"/>
        <v/>
      </c>
      <c r="AN221" s="1472" t="str">
        <f t="shared" si="275"/>
        <v/>
      </c>
      <c r="AO221" s="1028"/>
      <c r="AP221" s="130" t="str">
        <f t="shared" si="276"/>
        <v/>
      </c>
      <c r="AQ221" s="1472" t="str">
        <f t="shared" si="277"/>
        <v/>
      </c>
      <c r="AR221" s="1028"/>
      <c r="AS221" s="130" t="str">
        <f t="shared" si="278"/>
        <v/>
      </c>
      <c r="AT221" s="1472" t="str">
        <f t="shared" si="279"/>
        <v/>
      </c>
      <c r="AU221" s="1028"/>
      <c r="AV221" s="130" t="str">
        <f t="shared" si="280"/>
        <v/>
      </c>
      <c r="AW221" s="1472" t="str">
        <f t="shared" si="281"/>
        <v/>
      </c>
      <c r="AX221" s="1028"/>
      <c r="AY221" s="130" t="str">
        <f t="shared" si="282"/>
        <v/>
      </c>
      <c r="AZ221" s="1472" t="str">
        <f t="shared" si="283"/>
        <v/>
      </c>
      <c r="BA221" s="1028"/>
      <c r="BB221" s="130" t="str">
        <f t="shared" si="284"/>
        <v/>
      </c>
      <c r="BC221" s="1472" t="str">
        <f t="shared" si="285"/>
        <v/>
      </c>
      <c r="BD221" s="1028"/>
      <c r="BE221" s="130" t="str">
        <f t="shared" si="286"/>
        <v/>
      </c>
      <c r="BF221" s="1472" t="str">
        <f t="shared" si="287"/>
        <v/>
      </c>
      <c r="BG221" s="1028"/>
      <c r="BH221" s="130" t="str">
        <f t="shared" si="288"/>
        <v/>
      </c>
      <c r="BI221" s="1472" t="str">
        <f t="shared" si="289"/>
        <v/>
      </c>
      <c r="BJ221" s="1028"/>
      <c r="BK221" s="130" t="str">
        <f t="shared" si="290"/>
        <v/>
      </c>
      <c r="BL221" s="1472" t="str">
        <f t="shared" si="291"/>
        <v/>
      </c>
      <c r="BM221" s="1028"/>
      <c r="BN221" s="130" t="str">
        <f t="shared" si="292"/>
        <v/>
      </c>
      <c r="BO221" s="1472" t="str">
        <f t="shared" si="293"/>
        <v/>
      </c>
      <c r="BP221" s="1028"/>
      <c r="BQ221" s="130" t="str">
        <f t="shared" si="294"/>
        <v/>
      </c>
      <c r="BR221" s="1472" t="str">
        <f t="shared" si="295"/>
        <v/>
      </c>
      <c r="BS221" s="1028"/>
      <c r="BT221" s="130" t="str">
        <f t="shared" si="296"/>
        <v/>
      </c>
      <c r="BU221" s="1472" t="str">
        <f t="shared" si="297"/>
        <v/>
      </c>
      <c r="BV221" s="1028"/>
      <c r="BW221" s="130" t="str">
        <f t="shared" si="298"/>
        <v/>
      </c>
      <c r="BX221" s="1472" t="str">
        <f t="shared" si="299"/>
        <v/>
      </c>
      <c r="BY221" s="1028"/>
      <c r="BZ221" s="130" t="str">
        <f t="shared" si="300"/>
        <v/>
      </c>
      <c r="CA221" s="1472" t="str">
        <f t="shared" si="301"/>
        <v/>
      </c>
      <c r="CB221" s="1028"/>
      <c r="CC221" s="130" t="str">
        <f t="shared" si="302"/>
        <v/>
      </c>
      <c r="CD221" s="1472" t="str">
        <f t="shared" si="303"/>
        <v/>
      </c>
      <c r="CE221" s="1028"/>
      <c r="CF221" s="130" t="str">
        <f t="shared" si="304"/>
        <v/>
      </c>
      <c r="CG221" s="1472" t="str">
        <f t="shared" si="305"/>
        <v/>
      </c>
      <c r="CH221" s="1028"/>
      <c r="CI221" s="130" t="str">
        <f t="shared" si="306"/>
        <v/>
      </c>
      <c r="CJ221" s="1472" t="str">
        <f t="shared" si="307"/>
        <v/>
      </c>
      <c r="CK221" s="1028"/>
      <c r="CL221" s="130" t="str">
        <f t="shared" si="308"/>
        <v/>
      </c>
      <c r="CM221" s="1472" t="str">
        <f t="shared" si="309"/>
        <v/>
      </c>
      <c r="CN221" s="1028"/>
      <c r="CO221" s="130" t="str">
        <f t="shared" si="310"/>
        <v/>
      </c>
      <c r="CP221" s="1472" t="str">
        <f t="shared" si="311"/>
        <v/>
      </c>
      <c r="CQ221" s="1028"/>
      <c r="CR221" s="130" t="str">
        <f t="shared" si="312"/>
        <v/>
      </c>
      <c r="CS221" s="1472" t="str">
        <f t="shared" si="313"/>
        <v/>
      </c>
      <c r="CT221" s="1028"/>
      <c r="CU221" s="130" t="str">
        <f t="shared" si="314"/>
        <v/>
      </c>
      <c r="CV221" s="1472" t="str">
        <f t="shared" si="315"/>
        <v/>
      </c>
      <c r="CW221" s="1028"/>
      <c r="CX221" s="130" t="str">
        <f t="shared" si="316"/>
        <v/>
      </c>
      <c r="CY221" s="1472" t="str">
        <f t="shared" si="317"/>
        <v/>
      </c>
      <c r="CZ221" s="1028"/>
      <c r="DA221" s="130" t="str">
        <f t="shared" si="318"/>
        <v/>
      </c>
      <c r="DB221" s="1472" t="str">
        <f t="shared" si="319"/>
        <v/>
      </c>
      <c r="DC221" s="1028"/>
      <c r="DD221" s="130" t="str">
        <f t="shared" si="320"/>
        <v/>
      </c>
      <c r="DE221" s="1472" t="str">
        <f t="shared" si="321"/>
        <v/>
      </c>
      <c r="DF221" s="1028"/>
      <c r="DG221" s="130" t="str">
        <f t="shared" si="322"/>
        <v/>
      </c>
      <c r="DH221" s="1472" t="str">
        <f t="shared" si="323"/>
        <v/>
      </c>
      <c r="DI221" s="1028"/>
      <c r="DJ221" s="130" t="str">
        <f t="shared" si="324"/>
        <v/>
      </c>
      <c r="DK221" s="1472" t="str">
        <f t="shared" si="325"/>
        <v/>
      </c>
      <c r="DL221" s="1028"/>
      <c r="DM221" s="130" t="str">
        <f t="shared" si="326"/>
        <v/>
      </c>
      <c r="DN221" s="1472" t="str">
        <f t="shared" si="327"/>
        <v/>
      </c>
      <c r="DO221" s="1028"/>
      <c r="DP221" s="130" t="str">
        <f t="shared" si="328"/>
        <v/>
      </c>
      <c r="DQ221" s="1472" t="str">
        <f t="shared" si="329"/>
        <v/>
      </c>
      <c r="DR221" s="1028"/>
      <c r="DS221" s="130" t="str">
        <f t="shared" si="330"/>
        <v/>
      </c>
      <c r="DT221" s="1472" t="str">
        <f t="shared" si="331"/>
        <v/>
      </c>
      <c r="DU221" s="1028"/>
      <c r="DV221" s="130" t="str">
        <f t="shared" si="332"/>
        <v/>
      </c>
      <c r="DW221" s="1472" t="str">
        <f t="shared" si="333"/>
        <v/>
      </c>
      <c r="DX221" s="147"/>
    </row>
    <row r="222" ht="23.25" customHeight="true" x14ac:dyDescent="0.25">
      <c r="B222" s="1612"/>
      <c r="C222" s="1613"/>
      <c r="D222" s="1613"/>
      <c r="E222" s="1154">
        <f t="shared" si="170"/>
        <v>37</v>
      </c>
      <c r="F222" s="1734" t="str">
        <f t="shared" si="253"/>
        <v/>
      </c>
      <c r="G222" s="1735"/>
      <c r="H222" s="1028"/>
      <c r="I222" s="130" t="str">
        <f t="shared" si="254"/>
        <v/>
      </c>
      <c r="J222" s="5" t="str">
        <f t="shared" si="255"/>
        <v/>
      </c>
      <c r="K222" s="1028"/>
      <c r="L222" s="130" t="str">
        <f t="shared" si="256"/>
        <v/>
      </c>
      <c r="M222" s="5" t="str">
        <f t="shared" si="257"/>
        <v/>
      </c>
      <c r="N222" s="1028"/>
      <c r="O222" s="130" t="str">
        <f t="shared" si="258"/>
        <v/>
      </c>
      <c r="P222" s="5" t="str">
        <f t="shared" si="259"/>
        <v/>
      </c>
      <c r="Q222" s="1028"/>
      <c r="R222" s="130" t="str">
        <f t="shared" si="260"/>
        <v/>
      </c>
      <c r="S222" s="1472" t="str">
        <f t="shared" si="261"/>
        <v/>
      </c>
      <c r="T222" s="1028"/>
      <c r="U222" s="130" t="str">
        <f t="shared" si="262"/>
        <v/>
      </c>
      <c r="V222" s="1472" t="str">
        <f t="shared" si="263"/>
        <v/>
      </c>
      <c r="W222" s="1028"/>
      <c r="X222" s="130" t="str">
        <f t="shared" si="264"/>
        <v/>
      </c>
      <c r="Y222" s="1472" t="str">
        <f t="shared" si="265"/>
        <v/>
      </c>
      <c r="Z222" s="1028"/>
      <c r="AA222" s="130" t="str">
        <f t="shared" si="266"/>
        <v/>
      </c>
      <c r="AB222" s="1472" t="str">
        <f t="shared" si="267"/>
        <v/>
      </c>
      <c r="AC222" s="1028"/>
      <c r="AD222" s="130" t="str">
        <f t="shared" si="268"/>
        <v/>
      </c>
      <c r="AE222" s="1472" t="str">
        <f t="shared" si="269"/>
        <v/>
      </c>
      <c r="AF222" s="1028"/>
      <c r="AG222" s="130" t="str">
        <f t="shared" si="270"/>
        <v/>
      </c>
      <c r="AH222" s="1472" t="str">
        <f t="shared" si="271"/>
        <v/>
      </c>
      <c r="AI222" s="1028"/>
      <c r="AJ222" s="130" t="str">
        <f t="shared" si="272"/>
        <v/>
      </c>
      <c r="AK222" s="1472" t="str">
        <f t="shared" si="273"/>
        <v/>
      </c>
      <c r="AL222" s="1028"/>
      <c r="AM222" s="130" t="str">
        <f t="shared" si="274"/>
        <v/>
      </c>
      <c r="AN222" s="1472" t="str">
        <f t="shared" si="275"/>
        <v/>
      </c>
      <c r="AO222" s="1028"/>
      <c r="AP222" s="130" t="str">
        <f t="shared" si="276"/>
        <v/>
      </c>
      <c r="AQ222" s="1472" t="str">
        <f t="shared" si="277"/>
        <v/>
      </c>
      <c r="AR222" s="1028"/>
      <c r="AS222" s="130" t="str">
        <f t="shared" si="278"/>
        <v/>
      </c>
      <c r="AT222" s="1472" t="str">
        <f t="shared" si="279"/>
        <v/>
      </c>
      <c r="AU222" s="1028"/>
      <c r="AV222" s="130" t="str">
        <f t="shared" si="280"/>
        <v/>
      </c>
      <c r="AW222" s="1472" t="str">
        <f t="shared" si="281"/>
        <v/>
      </c>
      <c r="AX222" s="1028"/>
      <c r="AY222" s="130" t="str">
        <f t="shared" si="282"/>
        <v/>
      </c>
      <c r="AZ222" s="1472" t="str">
        <f t="shared" si="283"/>
        <v/>
      </c>
      <c r="BA222" s="1028"/>
      <c r="BB222" s="130" t="str">
        <f t="shared" si="284"/>
        <v/>
      </c>
      <c r="BC222" s="1472" t="str">
        <f t="shared" si="285"/>
        <v/>
      </c>
      <c r="BD222" s="1028"/>
      <c r="BE222" s="130" t="str">
        <f t="shared" si="286"/>
        <v/>
      </c>
      <c r="BF222" s="1472" t="str">
        <f t="shared" si="287"/>
        <v/>
      </c>
      <c r="BG222" s="1028"/>
      <c r="BH222" s="130" t="str">
        <f t="shared" si="288"/>
        <v/>
      </c>
      <c r="BI222" s="1472" t="str">
        <f t="shared" si="289"/>
        <v/>
      </c>
      <c r="BJ222" s="1028"/>
      <c r="BK222" s="130" t="str">
        <f t="shared" si="290"/>
        <v/>
      </c>
      <c r="BL222" s="1472" t="str">
        <f t="shared" si="291"/>
        <v/>
      </c>
      <c r="BM222" s="1028"/>
      <c r="BN222" s="130" t="str">
        <f t="shared" si="292"/>
        <v/>
      </c>
      <c r="BO222" s="1472" t="str">
        <f t="shared" si="293"/>
        <v/>
      </c>
      <c r="BP222" s="1028"/>
      <c r="BQ222" s="130" t="str">
        <f t="shared" si="294"/>
        <v/>
      </c>
      <c r="BR222" s="1472" t="str">
        <f t="shared" si="295"/>
        <v/>
      </c>
      <c r="BS222" s="1028"/>
      <c r="BT222" s="130" t="str">
        <f t="shared" si="296"/>
        <v/>
      </c>
      <c r="BU222" s="1472" t="str">
        <f t="shared" si="297"/>
        <v/>
      </c>
      <c r="BV222" s="1028"/>
      <c r="BW222" s="130" t="str">
        <f t="shared" si="298"/>
        <v/>
      </c>
      <c r="BX222" s="1472" t="str">
        <f t="shared" si="299"/>
        <v/>
      </c>
      <c r="BY222" s="1028"/>
      <c r="BZ222" s="130" t="str">
        <f t="shared" si="300"/>
        <v/>
      </c>
      <c r="CA222" s="1472" t="str">
        <f t="shared" si="301"/>
        <v/>
      </c>
      <c r="CB222" s="1028"/>
      <c r="CC222" s="130" t="str">
        <f t="shared" si="302"/>
        <v/>
      </c>
      <c r="CD222" s="1472" t="str">
        <f t="shared" si="303"/>
        <v/>
      </c>
      <c r="CE222" s="1028"/>
      <c r="CF222" s="130" t="str">
        <f t="shared" si="304"/>
        <v/>
      </c>
      <c r="CG222" s="1472" t="str">
        <f t="shared" si="305"/>
        <v/>
      </c>
      <c r="CH222" s="1028"/>
      <c r="CI222" s="130" t="str">
        <f t="shared" si="306"/>
        <v/>
      </c>
      <c r="CJ222" s="1472" t="str">
        <f t="shared" si="307"/>
        <v/>
      </c>
      <c r="CK222" s="1028"/>
      <c r="CL222" s="130" t="str">
        <f t="shared" si="308"/>
        <v/>
      </c>
      <c r="CM222" s="1472" t="str">
        <f t="shared" si="309"/>
        <v/>
      </c>
      <c r="CN222" s="1028"/>
      <c r="CO222" s="130" t="str">
        <f t="shared" si="310"/>
        <v/>
      </c>
      <c r="CP222" s="1472" t="str">
        <f t="shared" si="311"/>
        <v/>
      </c>
      <c r="CQ222" s="1028"/>
      <c r="CR222" s="130" t="str">
        <f t="shared" si="312"/>
        <v/>
      </c>
      <c r="CS222" s="1472" t="str">
        <f t="shared" si="313"/>
        <v/>
      </c>
      <c r="CT222" s="1028"/>
      <c r="CU222" s="130" t="str">
        <f t="shared" si="314"/>
        <v/>
      </c>
      <c r="CV222" s="1472" t="str">
        <f t="shared" si="315"/>
        <v/>
      </c>
      <c r="CW222" s="1028"/>
      <c r="CX222" s="130" t="str">
        <f t="shared" si="316"/>
        <v/>
      </c>
      <c r="CY222" s="1472" t="str">
        <f t="shared" si="317"/>
        <v/>
      </c>
      <c r="CZ222" s="1028"/>
      <c r="DA222" s="130" t="str">
        <f t="shared" si="318"/>
        <v/>
      </c>
      <c r="DB222" s="1472" t="str">
        <f t="shared" si="319"/>
        <v/>
      </c>
      <c r="DC222" s="1028"/>
      <c r="DD222" s="130" t="str">
        <f t="shared" si="320"/>
        <v/>
      </c>
      <c r="DE222" s="1472" t="str">
        <f t="shared" si="321"/>
        <v/>
      </c>
      <c r="DF222" s="1028"/>
      <c r="DG222" s="130" t="str">
        <f t="shared" si="322"/>
        <v/>
      </c>
      <c r="DH222" s="1472" t="str">
        <f t="shared" si="323"/>
        <v/>
      </c>
      <c r="DI222" s="1028"/>
      <c r="DJ222" s="130" t="str">
        <f t="shared" si="324"/>
        <v/>
      </c>
      <c r="DK222" s="1472" t="str">
        <f t="shared" si="325"/>
        <v/>
      </c>
      <c r="DL222" s="1028"/>
      <c r="DM222" s="130" t="str">
        <f t="shared" si="326"/>
        <v/>
      </c>
      <c r="DN222" s="1472" t="str">
        <f t="shared" si="327"/>
        <v/>
      </c>
      <c r="DO222" s="1028"/>
      <c r="DP222" s="130" t="str">
        <f t="shared" si="328"/>
        <v/>
      </c>
      <c r="DQ222" s="1472" t="str">
        <f t="shared" si="329"/>
        <v/>
      </c>
      <c r="DR222" s="1028"/>
      <c r="DS222" s="130" t="str">
        <f t="shared" si="330"/>
        <v/>
      </c>
      <c r="DT222" s="1472" t="str">
        <f t="shared" si="331"/>
        <v/>
      </c>
      <c r="DU222" s="1028"/>
      <c r="DV222" s="130" t="str">
        <f t="shared" si="332"/>
        <v/>
      </c>
      <c r="DW222" s="1472" t="str">
        <f t="shared" si="333"/>
        <v/>
      </c>
      <c r="DX222" s="147"/>
    </row>
    <row r="223" ht="23.25" customHeight="true" x14ac:dyDescent="0.25">
      <c r="B223" s="1612"/>
      <c r="C223" s="1613"/>
      <c r="D223" s="1613"/>
      <c r="E223" s="1154">
        <f t="shared" si="170"/>
        <v>38</v>
      </c>
      <c r="F223" s="1734" t="str">
        <f t="shared" si="253"/>
        <v/>
      </c>
      <c r="G223" s="1735"/>
      <c r="H223" s="1028"/>
      <c r="I223" s="130" t="str">
        <f t="shared" si="254"/>
        <v/>
      </c>
      <c r="J223" s="5" t="str">
        <f t="shared" si="255"/>
        <v/>
      </c>
      <c r="K223" s="1028"/>
      <c r="L223" s="130" t="str">
        <f t="shared" si="256"/>
        <v/>
      </c>
      <c r="M223" s="5" t="str">
        <f t="shared" si="257"/>
        <v/>
      </c>
      <c r="N223" s="1028"/>
      <c r="O223" s="130" t="str">
        <f t="shared" si="258"/>
        <v/>
      </c>
      <c r="P223" s="5" t="str">
        <f t="shared" si="259"/>
        <v/>
      </c>
      <c r="Q223" s="1028"/>
      <c r="R223" s="130" t="str">
        <f t="shared" si="260"/>
        <v/>
      </c>
      <c r="S223" s="1472" t="str">
        <f t="shared" si="261"/>
        <v/>
      </c>
      <c r="T223" s="1028"/>
      <c r="U223" s="130" t="str">
        <f t="shared" si="262"/>
        <v/>
      </c>
      <c r="V223" s="1472" t="str">
        <f t="shared" si="263"/>
        <v/>
      </c>
      <c r="W223" s="1028"/>
      <c r="X223" s="130" t="str">
        <f t="shared" si="264"/>
        <v/>
      </c>
      <c r="Y223" s="1472" t="str">
        <f t="shared" si="265"/>
        <v/>
      </c>
      <c r="Z223" s="1028"/>
      <c r="AA223" s="130" t="str">
        <f t="shared" si="266"/>
        <v/>
      </c>
      <c r="AB223" s="1472" t="str">
        <f t="shared" si="267"/>
        <v/>
      </c>
      <c r="AC223" s="1028"/>
      <c r="AD223" s="130" t="str">
        <f t="shared" si="268"/>
        <v/>
      </c>
      <c r="AE223" s="1472" t="str">
        <f t="shared" si="269"/>
        <v/>
      </c>
      <c r="AF223" s="1028"/>
      <c r="AG223" s="130" t="str">
        <f t="shared" si="270"/>
        <v/>
      </c>
      <c r="AH223" s="1472" t="str">
        <f t="shared" si="271"/>
        <v/>
      </c>
      <c r="AI223" s="1028"/>
      <c r="AJ223" s="130" t="str">
        <f t="shared" si="272"/>
        <v/>
      </c>
      <c r="AK223" s="1472" t="str">
        <f t="shared" si="273"/>
        <v/>
      </c>
      <c r="AL223" s="1028"/>
      <c r="AM223" s="130" t="str">
        <f t="shared" si="274"/>
        <v/>
      </c>
      <c r="AN223" s="1472" t="str">
        <f t="shared" si="275"/>
        <v/>
      </c>
      <c r="AO223" s="1028"/>
      <c r="AP223" s="130" t="str">
        <f t="shared" si="276"/>
        <v/>
      </c>
      <c r="AQ223" s="1472" t="str">
        <f t="shared" si="277"/>
        <v/>
      </c>
      <c r="AR223" s="1028"/>
      <c r="AS223" s="130" t="str">
        <f t="shared" si="278"/>
        <v/>
      </c>
      <c r="AT223" s="1472" t="str">
        <f t="shared" si="279"/>
        <v/>
      </c>
      <c r="AU223" s="1028"/>
      <c r="AV223" s="130" t="str">
        <f t="shared" si="280"/>
        <v/>
      </c>
      <c r="AW223" s="1472" t="str">
        <f t="shared" si="281"/>
        <v/>
      </c>
      <c r="AX223" s="1028"/>
      <c r="AY223" s="130" t="str">
        <f t="shared" si="282"/>
        <v/>
      </c>
      <c r="AZ223" s="1472" t="str">
        <f t="shared" si="283"/>
        <v/>
      </c>
      <c r="BA223" s="1028"/>
      <c r="BB223" s="130" t="str">
        <f t="shared" si="284"/>
        <v/>
      </c>
      <c r="BC223" s="1472" t="str">
        <f t="shared" si="285"/>
        <v/>
      </c>
      <c r="BD223" s="1028"/>
      <c r="BE223" s="130" t="str">
        <f t="shared" si="286"/>
        <v/>
      </c>
      <c r="BF223" s="1472" t="str">
        <f t="shared" si="287"/>
        <v/>
      </c>
      <c r="BG223" s="1028"/>
      <c r="BH223" s="130" t="str">
        <f t="shared" si="288"/>
        <v/>
      </c>
      <c r="BI223" s="1472" t="str">
        <f t="shared" si="289"/>
        <v/>
      </c>
      <c r="BJ223" s="1028"/>
      <c r="BK223" s="130" t="str">
        <f t="shared" si="290"/>
        <v/>
      </c>
      <c r="BL223" s="1472" t="str">
        <f t="shared" si="291"/>
        <v/>
      </c>
      <c r="BM223" s="1028"/>
      <c r="BN223" s="130" t="str">
        <f t="shared" si="292"/>
        <v/>
      </c>
      <c r="BO223" s="1472" t="str">
        <f t="shared" si="293"/>
        <v/>
      </c>
      <c r="BP223" s="1028"/>
      <c r="BQ223" s="130" t="str">
        <f t="shared" si="294"/>
        <v/>
      </c>
      <c r="BR223" s="1472" t="str">
        <f t="shared" si="295"/>
        <v/>
      </c>
      <c r="BS223" s="1028"/>
      <c r="BT223" s="130" t="str">
        <f t="shared" si="296"/>
        <v/>
      </c>
      <c r="BU223" s="1472" t="str">
        <f t="shared" si="297"/>
        <v/>
      </c>
      <c r="BV223" s="1028"/>
      <c r="BW223" s="130" t="str">
        <f t="shared" si="298"/>
        <v/>
      </c>
      <c r="BX223" s="1472" t="str">
        <f t="shared" si="299"/>
        <v/>
      </c>
      <c r="BY223" s="1028"/>
      <c r="BZ223" s="130" t="str">
        <f t="shared" si="300"/>
        <v/>
      </c>
      <c r="CA223" s="1472" t="str">
        <f t="shared" si="301"/>
        <v/>
      </c>
      <c r="CB223" s="1028"/>
      <c r="CC223" s="130" t="str">
        <f t="shared" si="302"/>
        <v/>
      </c>
      <c r="CD223" s="1472" t="str">
        <f t="shared" si="303"/>
        <v/>
      </c>
      <c r="CE223" s="1028"/>
      <c r="CF223" s="130" t="str">
        <f t="shared" si="304"/>
        <v/>
      </c>
      <c r="CG223" s="1472" t="str">
        <f t="shared" si="305"/>
        <v/>
      </c>
      <c r="CH223" s="1028"/>
      <c r="CI223" s="130" t="str">
        <f t="shared" si="306"/>
        <v/>
      </c>
      <c r="CJ223" s="1472" t="str">
        <f t="shared" si="307"/>
        <v/>
      </c>
      <c r="CK223" s="1028"/>
      <c r="CL223" s="130" t="str">
        <f t="shared" si="308"/>
        <v/>
      </c>
      <c r="CM223" s="1472" t="str">
        <f t="shared" si="309"/>
        <v/>
      </c>
      <c r="CN223" s="1028"/>
      <c r="CO223" s="130" t="str">
        <f t="shared" si="310"/>
        <v/>
      </c>
      <c r="CP223" s="1472" t="str">
        <f t="shared" si="311"/>
        <v/>
      </c>
      <c r="CQ223" s="1028"/>
      <c r="CR223" s="130" t="str">
        <f t="shared" si="312"/>
        <v/>
      </c>
      <c r="CS223" s="1472" t="str">
        <f t="shared" si="313"/>
        <v/>
      </c>
      <c r="CT223" s="1028"/>
      <c r="CU223" s="130" t="str">
        <f t="shared" si="314"/>
        <v/>
      </c>
      <c r="CV223" s="1472" t="str">
        <f t="shared" si="315"/>
        <v/>
      </c>
      <c r="CW223" s="1028"/>
      <c r="CX223" s="130" t="str">
        <f t="shared" si="316"/>
        <v/>
      </c>
      <c r="CY223" s="1472" t="str">
        <f t="shared" si="317"/>
        <v/>
      </c>
      <c r="CZ223" s="1028"/>
      <c r="DA223" s="130" t="str">
        <f t="shared" si="318"/>
        <v/>
      </c>
      <c r="DB223" s="1472" t="str">
        <f t="shared" si="319"/>
        <v/>
      </c>
      <c r="DC223" s="1028"/>
      <c r="DD223" s="130" t="str">
        <f t="shared" si="320"/>
        <v/>
      </c>
      <c r="DE223" s="1472" t="str">
        <f t="shared" si="321"/>
        <v/>
      </c>
      <c r="DF223" s="1028"/>
      <c r="DG223" s="130" t="str">
        <f t="shared" si="322"/>
        <v/>
      </c>
      <c r="DH223" s="1472" t="str">
        <f t="shared" si="323"/>
        <v/>
      </c>
      <c r="DI223" s="1028"/>
      <c r="DJ223" s="130" t="str">
        <f t="shared" si="324"/>
        <v/>
      </c>
      <c r="DK223" s="1472" t="str">
        <f t="shared" si="325"/>
        <v/>
      </c>
      <c r="DL223" s="1028"/>
      <c r="DM223" s="130" t="str">
        <f t="shared" si="326"/>
        <v/>
      </c>
      <c r="DN223" s="1472" t="str">
        <f t="shared" si="327"/>
        <v/>
      </c>
      <c r="DO223" s="1028"/>
      <c r="DP223" s="130" t="str">
        <f t="shared" si="328"/>
        <v/>
      </c>
      <c r="DQ223" s="1472" t="str">
        <f t="shared" si="329"/>
        <v/>
      </c>
      <c r="DR223" s="1028"/>
      <c r="DS223" s="130" t="str">
        <f t="shared" si="330"/>
        <v/>
      </c>
      <c r="DT223" s="1472" t="str">
        <f t="shared" si="331"/>
        <v/>
      </c>
      <c r="DU223" s="1028"/>
      <c r="DV223" s="130" t="str">
        <f t="shared" si="332"/>
        <v/>
      </c>
      <c r="DW223" s="1472" t="str">
        <f t="shared" si="333"/>
        <v/>
      </c>
      <c r="DX223" s="147"/>
    </row>
    <row r="224" ht="23.25" customHeight="true" x14ac:dyDescent="0.25">
      <c r="B224" s="1612"/>
      <c r="C224" s="1613"/>
      <c r="D224" s="1613"/>
      <c r="E224" s="1154">
        <f t="shared" si="170"/>
        <v>39</v>
      </c>
      <c r="F224" s="1734" t="str">
        <f t="shared" si="253"/>
        <v/>
      </c>
      <c r="G224" s="1735"/>
      <c r="H224" s="1028"/>
      <c r="I224" s="130" t="str">
        <f t="shared" si="254"/>
        <v/>
      </c>
      <c r="J224" s="5" t="str">
        <f t="shared" si="255"/>
        <v/>
      </c>
      <c r="K224" s="1028"/>
      <c r="L224" s="130" t="str">
        <f t="shared" si="256"/>
        <v/>
      </c>
      <c r="M224" s="5" t="str">
        <f t="shared" si="257"/>
        <v/>
      </c>
      <c r="N224" s="1028"/>
      <c r="O224" s="130" t="str">
        <f t="shared" si="258"/>
        <v/>
      </c>
      <c r="P224" s="5" t="str">
        <f t="shared" si="259"/>
        <v/>
      </c>
      <c r="Q224" s="1028"/>
      <c r="R224" s="130" t="str">
        <f t="shared" si="260"/>
        <v/>
      </c>
      <c r="S224" s="1472" t="str">
        <f t="shared" si="261"/>
        <v/>
      </c>
      <c r="T224" s="1028"/>
      <c r="U224" s="130" t="str">
        <f t="shared" si="262"/>
        <v/>
      </c>
      <c r="V224" s="1472" t="str">
        <f t="shared" si="263"/>
        <v/>
      </c>
      <c r="W224" s="1028"/>
      <c r="X224" s="130" t="str">
        <f t="shared" si="264"/>
        <v/>
      </c>
      <c r="Y224" s="1472" t="str">
        <f t="shared" si="265"/>
        <v/>
      </c>
      <c r="Z224" s="1028"/>
      <c r="AA224" s="130" t="str">
        <f t="shared" si="266"/>
        <v/>
      </c>
      <c r="AB224" s="1472" t="str">
        <f t="shared" si="267"/>
        <v/>
      </c>
      <c r="AC224" s="1028"/>
      <c r="AD224" s="130" t="str">
        <f t="shared" si="268"/>
        <v/>
      </c>
      <c r="AE224" s="1472" t="str">
        <f t="shared" si="269"/>
        <v/>
      </c>
      <c r="AF224" s="1028"/>
      <c r="AG224" s="130" t="str">
        <f t="shared" si="270"/>
        <v/>
      </c>
      <c r="AH224" s="1472" t="str">
        <f t="shared" si="271"/>
        <v/>
      </c>
      <c r="AI224" s="1028"/>
      <c r="AJ224" s="130" t="str">
        <f t="shared" si="272"/>
        <v/>
      </c>
      <c r="AK224" s="1472" t="str">
        <f t="shared" si="273"/>
        <v/>
      </c>
      <c r="AL224" s="1028"/>
      <c r="AM224" s="130" t="str">
        <f t="shared" si="274"/>
        <v/>
      </c>
      <c r="AN224" s="1472" t="str">
        <f t="shared" si="275"/>
        <v/>
      </c>
      <c r="AO224" s="1028"/>
      <c r="AP224" s="130" t="str">
        <f t="shared" si="276"/>
        <v/>
      </c>
      <c r="AQ224" s="1472" t="str">
        <f t="shared" si="277"/>
        <v/>
      </c>
      <c r="AR224" s="1028"/>
      <c r="AS224" s="130" t="str">
        <f t="shared" si="278"/>
        <v/>
      </c>
      <c r="AT224" s="1472" t="str">
        <f t="shared" si="279"/>
        <v/>
      </c>
      <c r="AU224" s="1028"/>
      <c r="AV224" s="130" t="str">
        <f t="shared" si="280"/>
        <v/>
      </c>
      <c r="AW224" s="1472" t="str">
        <f t="shared" si="281"/>
        <v/>
      </c>
      <c r="AX224" s="1028"/>
      <c r="AY224" s="130" t="str">
        <f t="shared" si="282"/>
        <v/>
      </c>
      <c r="AZ224" s="1472" t="str">
        <f t="shared" si="283"/>
        <v/>
      </c>
      <c r="BA224" s="1028"/>
      <c r="BB224" s="130" t="str">
        <f t="shared" si="284"/>
        <v/>
      </c>
      <c r="BC224" s="1472" t="str">
        <f t="shared" si="285"/>
        <v/>
      </c>
      <c r="BD224" s="1028"/>
      <c r="BE224" s="130" t="str">
        <f t="shared" si="286"/>
        <v/>
      </c>
      <c r="BF224" s="1472" t="str">
        <f t="shared" si="287"/>
        <v/>
      </c>
      <c r="BG224" s="1028"/>
      <c r="BH224" s="130" t="str">
        <f t="shared" si="288"/>
        <v/>
      </c>
      <c r="BI224" s="1472" t="str">
        <f t="shared" si="289"/>
        <v/>
      </c>
      <c r="BJ224" s="1028"/>
      <c r="BK224" s="130" t="str">
        <f t="shared" si="290"/>
        <v/>
      </c>
      <c r="BL224" s="1472" t="str">
        <f t="shared" si="291"/>
        <v/>
      </c>
      <c r="BM224" s="1028"/>
      <c r="BN224" s="130" t="str">
        <f t="shared" si="292"/>
        <v/>
      </c>
      <c r="BO224" s="1472" t="str">
        <f t="shared" si="293"/>
        <v/>
      </c>
      <c r="BP224" s="1028"/>
      <c r="BQ224" s="130" t="str">
        <f t="shared" si="294"/>
        <v/>
      </c>
      <c r="BR224" s="1472" t="str">
        <f t="shared" si="295"/>
        <v/>
      </c>
      <c r="BS224" s="1028"/>
      <c r="BT224" s="130" t="str">
        <f t="shared" si="296"/>
        <v/>
      </c>
      <c r="BU224" s="1472" t="str">
        <f t="shared" si="297"/>
        <v/>
      </c>
      <c r="BV224" s="1028"/>
      <c r="BW224" s="130" t="str">
        <f t="shared" si="298"/>
        <v/>
      </c>
      <c r="BX224" s="1472" t="str">
        <f t="shared" si="299"/>
        <v/>
      </c>
      <c r="BY224" s="1028"/>
      <c r="BZ224" s="130" t="str">
        <f t="shared" si="300"/>
        <v/>
      </c>
      <c r="CA224" s="1472" t="str">
        <f t="shared" si="301"/>
        <v/>
      </c>
      <c r="CB224" s="1028"/>
      <c r="CC224" s="130" t="str">
        <f t="shared" si="302"/>
        <v/>
      </c>
      <c r="CD224" s="1472" t="str">
        <f t="shared" si="303"/>
        <v/>
      </c>
      <c r="CE224" s="1028"/>
      <c r="CF224" s="130" t="str">
        <f t="shared" si="304"/>
        <v/>
      </c>
      <c r="CG224" s="1472" t="str">
        <f t="shared" si="305"/>
        <v/>
      </c>
      <c r="CH224" s="1028"/>
      <c r="CI224" s="130" t="str">
        <f t="shared" si="306"/>
        <v/>
      </c>
      <c r="CJ224" s="1472" t="str">
        <f t="shared" si="307"/>
        <v/>
      </c>
      <c r="CK224" s="1028"/>
      <c r="CL224" s="130" t="str">
        <f t="shared" si="308"/>
        <v/>
      </c>
      <c r="CM224" s="1472" t="str">
        <f t="shared" si="309"/>
        <v/>
      </c>
      <c r="CN224" s="1028"/>
      <c r="CO224" s="130" t="str">
        <f t="shared" si="310"/>
        <v/>
      </c>
      <c r="CP224" s="1472" t="str">
        <f t="shared" si="311"/>
        <v/>
      </c>
      <c r="CQ224" s="1028"/>
      <c r="CR224" s="130" t="str">
        <f t="shared" si="312"/>
        <v/>
      </c>
      <c r="CS224" s="1472" t="str">
        <f t="shared" si="313"/>
        <v/>
      </c>
      <c r="CT224" s="1028"/>
      <c r="CU224" s="130" t="str">
        <f t="shared" si="314"/>
        <v/>
      </c>
      <c r="CV224" s="1472" t="str">
        <f t="shared" si="315"/>
        <v/>
      </c>
      <c r="CW224" s="1028"/>
      <c r="CX224" s="130" t="str">
        <f t="shared" si="316"/>
        <v/>
      </c>
      <c r="CY224" s="1472" t="str">
        <f t="shared" si="317"/>
        <v/>
      </c>
      <c r="CZ224" s="1028"/>
      <c r="DA224" s="130" t="str">
        <f t="shared" si="318"/>
        <v/>
      </c>
      <c r="DB224" s="1472" t="str">
        <f t="shared" si="319"/>
        <v/>
      </c>
      <c r="DC224" s="1028"/>
      <c r="DD224" s="130" t="str">
        <f t="shared" si="320"/>
        <v/>
      </c>
      <c r="DE224" s="1472" t="str">
        <f t="shared" si="321"/>
        <v/>
      </c>
      <c r="DF224" s="1028"/>
      <c r="DG224" s="130" t="str">
        <f t="shared" si="322"/>
        <v/>
      </c>
      <c r="DH224" s="1472" t="str">
        <f t="shared" si="323"/>
        <v/>
      </c>
      <c r="DI224" s="1028"/>
      <c r="DJ224" s="130" t="str">
        <f t="shared" si="324"/>
        <v/>
      </c>
      <c r="DK224" s="1472" t="str">
        <f t="shared" si="325"/>
        <v/>
      </c>
      <c r="DL224" s="1028"/>
      <c r="DM224" s="130" t="str">
        <f t="shared" si="326"/>
        <v/>
      </c>
      <c r="DN224" s="1472" t="str">
        <f t="shared" si="327"/>
        <v/>
      </c>
      <c r="DO224" s="1028"/>
      <c r="DP224" s="130" t="str">
        <f t="shared" si="328"/>
        <v/>
      </c>
      <c r="DQ224" s="1472" t="str">
        <f t="shared" si="329"/>
        <v/>
      </c>
      <c r="DR224" s="1028"/>
      <c r="DS224" s="130" t="str">
        <f t="shared" si="330"/>
        <v/>
      </c>
      <c r="DT224" s="1472" t="str">
        <f t="shared" si="331"/>
        <v/>
      </c>
      <c r="DU224" s="1028"/>
      <c r="DV224" s="130" t="str">
        <f t="shared" si="332"/>
        <v/>
      </c>
      <c r="DW224" s="1472" t="str">
        <f t="shared" si="333"/>
        <v/>
      </c>
      <c r="DX224" s="147"/>
    </row>
    <row r="225" ht="23.25" customHeight="true" x14ac:dyDescent="0.25">
      <c r="B225" s="1612"/>
      <c r="C225" s="1613"/>
      <c r="D225" s="1613"/>
      <c r="E225" s="1154">
        <f t="shared" si="170"/>
        <v>40</v>
      </c>
      <c r="F225" s="1734" t="str">
        <f t="shared" si="253"/>
        <v/>
      </c>
      <c r="G225" s="1735"/>
      <c r="H225" s="1028"/>
      <c r="I225" s="130" t="str">
        <f t="shared" si="254"/>
        <v/>
      </c>
      <c r="J225" s="5" t="str">
        <f t="shared" si="255"/>
        <v/>
      </c>
      <c r="K225" s="1028"/>
      <c r="L225" s="130" t="str">
        <f t="shared" si="256"/>
        <v/>
      </c>
      <c r="M225" s="5" t="str">
        <f t="shared" si="257"/>
        <v/>
      </c>
      <c r="N225" s="1028"/>
      <c r="O225" s="130" t="str">
        <f t="shared" si="258"/>
        <v/>
      </c>
      <c r="P225" s="5" t="str">
        <f t="shared" si="259"/>
        <v/>
      </c>
      <c r="Q225" s="1028"/>
      <c r="R225" s="130" t="str">
        <f t="shared" si="260"/>
        <v/>
      </c>
      <c r="S225" s="1472" t="str">
        <f t="shared" si="261"/>
        <v/>
      </c>
      <c r="T225" s="1028"/>
      <c r="U225" s="130" t="str">
        <f t="shared" si="262"/>
        <v/>
      </c>
      <c r="V225" s="1472" t="str">
        <f t="shared" si="263"/>
        <v/>
      </c>
      <c r="W225" s="1028"/>
      <c r="X225" s="130" t="str">
        <f t="shared" si="264"/>
        <v/>
      </c>
      <c r="Y225" s="1472" t="str">
        <f t="shared" si="265"/>
        <v/>
      </c>
      <c r="Z225" s="1028"/>
      <c r="AA225" s="130" t="str">
        <f t="shared" si="266"/>
        <v/>
      </c>
      <c r="AB225" s="1472" t="str">
        <f t="shared" si="267"/>
        <v/>
      </c>
      <c r="AC225" s="1028"/>
      <c r="AD225" s="130" t="str">
        <f t="shared" si="268"/>
        <v/>
      </c>
      <c r="AE225" s="1472" t="str">
        <f t="shared" si="269"/>
        <v/>
      </c>
      <c r="AF225" s="1028"/>
      <c r="AG225" s="130" t="str">
        <f t="shared" si="270"/>
        <v/>
      </c>
      <c r="AH225" s="1472" t="str">
        <f t="shared" si="271"/>
        <v/>
      </c>
      <c r="AI225" s="1028"/>
      <c r="AJ225" s="130" t="str">
        <f t="shared" si="272"/>
        <v/>
      </c>
      <c r="AK225" s="1472" t="str">
        <f t="shared" si="273"/>
        <v/>
      </c>
      <c r="AL225" s="1028"/>
      <c r="AM225" s="130" t="str">
        <f t="shared" si="274"/>
        <v/>
      </c>
      <c r="AN225" s="1472" t="str">
        <f t="shared" si="275"/>
        <v/>
      </c>
      <c r="AO225" s="1028"/>
      <c r="AP225" s="130" t="str">
        <f t="shared" si="276"/>
        <v/>
      </c>
      <c r="AQ225" s="1472" t="str">
        <f t="shared" si="277"/>
        <v/>
      </c>
      <c r="AR225" s="1028"/>
      <c r="AS225" s="130" t="str">
        <f t="shared" si="278"/>
        <v/>
      </c>
      <c r="AT225" s="1472" t="str">
        <f t="shared" si="279"/>
        <v/>
      </c>
      <c r="AU225" s="1028"/>
      <c r="AV225" s="130" t="str">
        <f t="shared" si="280"/>
        <v/>
      </c>
      <c r="AW225" s="1472" t="str">
        <f t="shared" si="281"/>
        <v/>
      </c>
      <c r="AX225" s="1028"/>
      <c r="AY225" s="130" t="str">
        <f t="shared" si="282"/>
        <v/>
      </c>
      <c r="AZ225" s="1472" t="str">
        <f t="shared" si="283"/>
        <v/>
      </c>
      <c r="BA225" s="1028"/>
      <c r="BB225" s="130" t="str">
        <f t="shared" si="284"/>
        <v/>
      </c>
      <c r="BC225" s="1472" t="str">
        <f t="shared" si="285"/>
        <v/>
      </c>
      <c r="BD225" s="1028"/>
      <c r="BE225" s="130" t="str">
        <f t="shared" si="286"/>
        <v/>
      </c>
      <c r="BF225" s="1472" t="str">
        <f t="shared" si="287"/>
        <v/>
      </c>
      <c r="BG225" s="1028"/>
      <c r="BH225" s="130" t="str">
        <f t="shared" si="288"/>
        <v/>
      </c>
      <c r="BI225" s="1472" t="str">
        <f t="shared" si="289"/>
        <v/>
      </c>
      <c r="BJ225" s="1028"/>
      <c r="BK225" s="130" t="str">
        <f t="shared" si="290"/>
        <v/>
      </c>
      <c r="BL225" s="1472" t="str">
        <f t="shared" si="291"/>
        <v/>
      </c>
      <c r="BM225" s="1028"/>
      <c r="BN225" s="130" t="str">
        <f t="shared" si="292"/>
        <v/>
      </c>
      <c r="BO225" s="1472" t="str">
        <f t="shared" si="293"/>
        <v/>
      </c>
      <c r="BP225" s="1028"/>
      <c r="BQ225" s="130" t="str">
        <f t="shared" si="294"/>
        <v/>
      </c>
      <c r="BR225" s="1472" t="str">
        <f t="shared" si="295"/>
        <v/>
      </c>
      <c r="BS225" s="1028"/>
      <c r="BT225" s="130" t="str">
        <f t="shared" si="296"/>
        <v/>
      </c>
      <c r="BU225" s="1472" t="str">
        <f t="shared" si="297"/>
        <v/>
      </c>
      <c r="BV225" s="1028"/>
      <c r="BW225" s="130" t="str">
        <f t="shared" si="298"/>
        <v/>
      </c>
      <c r="BX225" s="1472" t="str">
        <f t="shared" si="299"/>
        <v/>
      </c>
      <c r="BY225" s="1028"/>
      <c r="BZ225" s="130" t="str">
        <f t="shared" si="300"/>
        <v/>
      </c>
      <c r="CA225" s="1472" t="str">
        <f t="shared" si="301"/>
        <v/>
      </c>
      <c r="CB225" s="1028"/>
      <c r="CC225" s="130" t="str">
        <f t="shared" si="302"/>
        <v/>
      </c>
      <c r="CD225" s="1472" t="str">
        <f t="shared" si="303"/>
        <v/>
      </c>
      <c r="CE225" s="1028"/>
      <c r="CF225" s="130" t="str">
        <f t="shared" si="304"/>
        <v/>
      </c>
      <c r="CG225" s="1472" t="str">
        <f t="shared" si="305"/>
        <v/>
      </c>
      <c r="CH225" s="1028"/>
      <c r="CI225" s="130" t="str">
        <f t="shared" si="306"/>
        <v/>
      </c>
      <c r="CJ225" s="1472" t="str">
        <f t="shared" si="307"/>
        <v/>
      </c>
      <c r="CK225" s="1028"/>
      <c r="CL225" s="130" t="str">
        <f t="shared" si="308"/>
        <v/>
      </c>
      <c r="CM225" s="1472" t="str">
        <f t="shared" si="309"/>
        <v/>
      </c>
      <c r="CN225" s="1028"/>
      <c r="CO225" s="130" t="str">
        <f t="shared" si="310"/>
        <v/>
      </c>
      <c r="CP225" s="1472" t="str">
        <f t="shared" si="311"/>
        <v/>
      </c>
      <c r="CQ225" s="1028"/>
      <c r="CR225" s="130" t="str">
        <f t="shared" si="312"/>
        <v/>
      </c>
      <c r="CS225" s="1472" t="str">
        <f t="shared" si="313"/>
        <v/>
      </c>
      <c r="CT225" s="1028"/>
      <c r="CU225" s="130" t="str">
        <f t="shared" si="314"/>
        <v/>
      </c>
      <c r="CV225" s="1472" t="str">
        <f t="shared" si="315"/>
        <v/>
      </c>
      <c r="CW225" s="1028"/>
      <c r="CX225" s="130" t="str">
        <f t="shared" si="316"/>
        <v/>
      </c>
      <c r="CY225" s="1472" t="str">
        <f t="shared" si="317"/>
        <v/>
      </c>
      <c r="CZ225" s="1028"/>
      <c r="DA225" s="130" t="str">
        <f t="shared" si="318"/>
        <v/>
      </c>
      <c r="DB225" s="1472" t="str">
        <f t="shared" si="319"/>
        <v/>
      </c>
      <c r="DC225" s="1028"/>
      <c r="DD225" s="130" t="str">
        <f t="shared" si="320"/>
        <v/>
      </c>
      <c r="DE225" s="1472" t="str">
        <f t="shared" si="321"/>
        <v/>
      </c>
      <c r="DF225" s="1028"/>
      <c r="DG225" s="130" t="str">
        <f t="shared" si="322"/>
        <v/>
      </c>
      <c r="DH225" s="1472" t="str">
        <f t="shared" si="323"/>
        <v/>
      </c>
      <c r="DI225" s="1028"/>
      <c r="DJ225" s="130" t="str">
        <f t="shared" si="324"/>
        <v/>
      </c>
      <c r="DK225" s="1472" t="str">
        <f t="shared" si="325"/>
        <v/>
      </c>
      <c r="DL225" s="1028"/>
      <c r="DM225" s="130" t="str">
        <f t="shared" si="326"/>
        <v/>
      </c>
      <c r="DN225" s="1472" t="str">
        <f t="shared" si="327"/>
        <v/>
      </c>
      <c r="DO225" s="1028"/>
      <c r="DP225" s="130" t="str">
        <f t="shared" si="328"/>
        <v/>
      </c>
      <c r="DQ225" s="1472" t="str">
        <f t="shared" si="329"/>
        <v/>
      </c>
      <c r="DR225" s="1028"/>
      <c r="DS225" s="130" t="str">
        <f t="shared" si="330"/>
        <v/>
      </c>
      <c r="DT225" s="1472" t="str">
        <f t="shared" si="331"/>
        <v/>
      </c>
      <c r="DU225" s="1028"/>
      <c r="DV225" s="130" t="str">
        <f t="shared" si="332"/>
        <v/>
      </c>
      <c r="DW225" s="1472" t="str">
        <f t="shared" si="333"/>
        <v/>
      </c>
      <c r="DX225" s="147"/>
    </row>
    <row r="226" ht="23.25" customHeight="true" x14ac:dyDescent="0.25">
      <c r="B226" s="1612"/>
      <c r="C226" s="1613"/>
      <c r="D226" s="1613"/>
      <c r="E226" s="1154">
        <f t="shared" si="170"/>
        <v>41</v>
      </c>
      <c r="F226" s="1734" t="str">
        <f t="shared" si="253"/>
        <v/>
      </c>
      <c r="G226" s="1735"/>
      <c r="H226" s="1028"/>
      <c r="I226" s="130" t="str">
        <f t="shared" si="254"/>
        <v/>
      </c>
      <c r="J226" s="5" t="str">
        <f t="shared" si="255"/>
        <v/>
      </c>
      <c r="K226" s="1028"/>
      <c r="L226" s="130" t="str">
        <f t="shared" si="256"/>
        <v/>
      </c>
      <c r="M226" s="5" t="str">
        <f t="shared" si="257"/>
        <v/>
      </c>
      <c r="N226" s="1028"/>
      <c r="O226" s="130" t="str">
        <f t="shared" si="258"/>
        <v/>
      </c>
      <c r="P226" s="5" t="str">
        <f t="shared" si="259"/>
        <v/>
      </c>
      <c r="Q226" s="1028"/>
      <c r="R226" s="130" t="str">
        <f t="shared" si="260"/>
        <v/>
      </c>
      <c r="S226" s="1472" t="str">
        <f t="shared" si="261"/>
        <v/>
      </c>
      <c r="T226" s="1028"/>
      <c r="U226" s="130" t="str">
        <f t="shared" si="262"/>
        <v/>
      </c>
      <c r="V226" s="1472" t="str">
        <f t="shared" si="263"/>
        <v/>
      </c>
      <c r="W226" s="1028"/>
      <c r="X226" s="130" t="str">
        <f t="shared" si="264"/>
        <v/>
      </c>
      <c r="Y226" s="1472" t="str">
        <f t="shared" si="265"/>
        <v/>
      </c>
      <c r="Z226" s="1028"/>
      <c r="AA226" s="130" t="str">
        <f t="shared" si="266"/>
        <v/>
      </c>
      <c r="AB226" s="1472" t="str">
        <f t="shared" si="267"/>
        <v/>
      </c>
      <c r="AC226" s="1028"/>
      <c r="AD226" s="130" t="str">
        <f t="shared" si="268"/>
        <v/>
      </c>
      <c r="AE226" s="1472" t="str">
        <f t="shared" si="269"/>
        <v/>
      </c>
      <c r="AF226" s="1028"/>
      <c r="AG226" s="130" t="str">
        <f t="shared" si="270"/>
        <v/>
      </c>
      <c r="AH226" s="1472" t="str">
        <f t="shared" si="271"/>
        <v/>
      </c>
      <c r="AI226" s="1028"/>
      <c r="AJ226" s="130" t="str">
        <f t="shared" si="272"/>
        <v/>
      </c>
      <c r="AK226" s="1472" t="str">
        <f t="shared" si="273"/>
        <v/>
      </c>
      <c r="AL226" s="1028"/>
      <c r="AM226" s="130" t="str">
        <f t="shared" si="274"/>
        <v/>
      </c>
      <c r="AN226" s="1472" t="str">
        <f t="shared" si="275"/>
        <v/>
      </c>
      <c r="AO226" s="1028"/>
      <c r="AP226" s="130" t="str">
        <f t="shared" si="276"/>
        <v/>
      </c>
      <c r="AQ226" s="1472" t="str">
        <f t="shared" si="277"/>
        <v/>
      </c>
      <c r="AR226" s="1028"/>
      <c r="AS226" s="130" t="str">
        <f t="shared" si="278"/>
        <v/>
      </c>
      <c r="AT226" s="1472" t="str">
        <f t="shared" si="279"/>
        <v/>
      </c>
      <c r="AU226" s="1028"/>
      <c r="AV226" s="130" t="str">
        <f t="shared" si="280"/>
        <v/>
      </c>
      <c r="AW226" s="1472" t="str">
        <f t="shared" si="281"/>
        <v/>
      </c>
      <c r="AX226" s="1028"/>
      <c r="AY226" s="130" t="str">
        <f t="shared" si="282"/>
        <v/>
      </c>
      <c r="AZ226" s="1472" t="str">
        <f t="shared" si="283"/>
        <v/>
      </c>
      <c r="BA226" s="1028"/>
      <c r="BB226" s="130" t="str">
        <f t="shared" si="284"/>
        <v/>
      </c>
      <c r="BC226" s="1472" t="str">
        <f t="shared" si="285"/>
        <v/>
      </c>
      <c r="BD226" s="1028"/>
      <c r="BE226" s="130" t="str">
        <f t="shared" si="286"/>
        <v/>
      </c>
      <c r="BF226" s="1472" t="str">
        <f t="shared" si="287"/>
        <v/>
      </c>
      <c r="BG226" s="1028"/>
      <c r="BH226" s="130" t="str">
        <f t="shared" si="288"/>
        <v/>
      </c>
      <c r="BI226" s="1472" t="str">
        <f t="shared" si="289"/>
        <v/>
      </c>
      <c r="BJ226" s="1028"/>
      <c r="BK226" s="130" t="str">
        <f t="shared" si="290"/>
        <v/>
      </c>
      <c r="BL226" s="1472" t="str">
        <f t="shared" si="291"/>
        <v/>
      </c>
      <c r="BM226" s="1028"/>
      <c r="BN226" s="130" t="str">
        <f t="shared" si="292"/>
        <v/>
      </c>
      <c r="BO226" s="1472" t="str">
        <f t="shared" si="293"/>
        <v/>
      </c>
      <c r="BP226" s="1028"/>
      <c r="BQ226" s="130" t="str">
        <f t="shared" si="294"/>
        <v/>
      </c>
      <c r="BR226" s="1472" t="str">
        <f t="shared" si="295"/>
        <v/>
      </c>
      <c r="BS226" s="1028"/>
      <c r="BT226" s="130" t="str">
        <f t="shared" si="296"/>
        <v/>
      </c>
      <c r="BU226" s="1472" t="str">
        <f t="shared" si="297"/>
        <v/>
      </c>
      <c r="BV226" s="1028"/>
      <c r="BW226" s="130" t="str">
        <f t="shared" si="298"/>
        <v/>
      </c>
      <c r="BX226" s="1472" t="str">
        <f t="shared" si="299"/>
        <v/>
      </c>
      <c r="BY226" s="1028"/>
      <c r="BZ226" s="130" t="str">
        <f t="shared" si="300"/>
        <v/>
      </c>
      <c r="CA226" s="1472" t="str">
        <f t="shared" si="301"/>
        <v/>
      </c>
      <c r="CB226" s="1028"/>
      <c r="CC226" s="130" t="str">
        <f t="shared" si="302"/>
        <v/>
      </c>
      <c r="CD226" s="1472" t="str">
        <f t="shared" si="303"/>
        <v/>
      </c>
      <c r="CE226" s="1028"/>
      <c r="CF226" s="130" t="str">
        <f t="shared" si="304"/>
        <v/>
      </c>
      <c r="CG226" s="1472" t="str">
        <f t="shared" si="305"/>
        <v/>
      </c>
      <c r="CH226" s="1028"/>
      <c r="CI226" s="130" t="str">
        <f t="shared" si="306"/>
        <v/>
      </c>
      <c r="CJ226" s="1472" t="str">
        <f t="shared" si="307"/>
        <v/>
      </c>
      <c r="CK226" s="1028"/>
      <c r="CL226" s="130" t="str">
        <f t="shared" si="308"/>
        <v/>
      </c>
      <c r="CM226" s="1472" t="str">
        <f t="shared" si="309"/>
        <v/>
      </c>
      <c r="CN226" s="1028"/>
      <c r="CO226" s="130" t="str">
        <f t="shared" si="310"/>
        <v/>
      </c>
      <c r="CP226" s="1472" t="str">
        <f t="shared" si="311"/>
        <v/>
      </c>
      <c r="CQ226" s="1028"/>
      <c r="CR226" s="130" t="str">
        <f t="shared" si="312"/>
        <v/>
      </c>
      <c r="CS226" s="1472" t="str">
        <f t="shared" si="313"/>
        <v/>
      </c>
      <c r="CT226" s="1028"/>
      <c r="CU226" s="130" t="str">
        <f t="shared" si="314"/>
        <v/>
      </c>
      <c r="CV226" s="1472" t="str">
        <f t="shared" si="315"/>
        <v/>
      </c>
      <c r="CW226" s="1028"/>
      <c r="CX226" s="130" t="str">
        <f t="shared" si="316"/>
        <v/>
      </c>
      <c r="CY226" s="1472" t="str">
        <f t="shared" si="317"/>
        <v/>
      </c>
      <c r="CZ226" s="1028"/>
      <c r="DA226" s="130" t="str">
        <f t="shared" si="318"/>
        <v/>
      </c>
      <c r="DB226" s="1472" t="str">
        <f t="shared" si="319"/>
        <v/>
      </c>
      <c r="DC226" s="1028"/>
      <c r="DD226" s="130" t="str">
        <f t="shared" si="320"/>
        <v/>
      </c>
      <c r="DE226" s="1472" t="str">
        <f t="shared" si="321"/>
        <v/>
      </c>
      <c r="DF226" s="1028"/>
      <c r="DG226" s="130" t="str">
        <f t="shared" si="322"/>
        <v/>
      </c>
      <c r="DH226" s="1472" t="str">
        <f t="shared" si="323"/>
        <v/>
      </c>
      <c r="DI226" s="1028"/>
      <c r="DJ226" s="130" t="str">
        <f t="shared" si="324"/>
        <v/>
      </c>
      <c r="DK226" s="1472" t="str">
        <f t="shared" si="325"/>
        <v/>
      </c>
      <c r="DL226" s="1028"/>
      <c r="DM226" s="130" t="str">
        <f t="shared" si="326"/>
        <v/>
      </c>
      <c r="DN226" s="1472" t="str">
        <f t="shared" si="327"/>
        <v/>
      </c>
      <c r="DO226" s="1028"/>
      <c r="DP226" s="130" t="str">
        <f t="shared" si="328"/>
        <v/>
      </c>
      <c r="DQ226" s="1472" t="str">
        <f t="shared" si="329"/>
        <v/>
      </c>
      <c r="DR226" s="1028"/>
      <c r="DS226" s="130" t="str">
        <f t="shared" si="330"/>
        <v/>
      </c>
      <c r="DT226" s="1472" t="str">
        <f t="shared" si="331"/>
        <v/>
      </c>
      <c r="DU226" s="1028"/>
      <c r="DV226" s="130" t="str">
        <f t="shared" si="332"/>
        <v/>
      </c>
      <c r="DW226" s="1472" t="str">
        <f t="shared" si="333"/>
        <v/>
      </c>
      <c r="DX226" s="147"/>
    </row>
    <row r="227" ht="23.25" customHeight="true" x14ac:dyDescent="0.25">
      <c r="B227" s="1612"/>
      <c r="C227" s="1613"/>
      <c r="D227" s="1613"/>
      <c r="E227" s="1154">
        <f t="shared" si="170"/>
        <v>42</v>
      </c>
      <c r="F227" s="1734" t="str">
        <f t="shared" si="253"/>
        <v/>
      </c>
      <c r="G227" s="1735"/>
      <c r="H227" s="1028"/>
      <c r="I227" s="130" t="str">
        <f t="shared" si="254"/>
        <v/>
      </c>
      <c r="J227" s="5" t="str">
        <f t="shared" si="255"/>
        <v/>
      </c>
      <c r="K227" s="1028"/>
      <c r="L227" s="130" t="str">
        <f t="shared" si="256"/>
        <v/>
      </c>
      <c r="M227" s="5" t="str">
        <f t="shared" si="257"/>
        <v/>
      </c>
      <c r="N227" s="1028"/>
      <c r="O227" s="130" t="str">
        <f t="shared" si="258"/>
        <v/>
      </c>
      <c r="P227" s="5" t="str">
        <f t="shared" si="259"/>
        <v/>
      </c>
      <c r="Q227" s="1028"/>
      <c r="R227" s="130" t="str">
        <f t="shared" si="260"/>
        <v/>
      </c>
      <c r="S227" s="1472" t="str">
        <f t="shared" si="261"/>
        <v/>
      </c>
      <c r="T227" s="1028"/>
      <c r="U227" s="130" t="str">
        <f t="shared" si="262"/>
        <v/>
      </c>
      <c r="V227" s="1472" t="str">
        <f t="shared" si="263"/>
        <v/>
      </c>
      <c r="W227" s="1028"/>
      <c r="X227" s="130" t="str">
        <f t="shared" si="264"/>
        <v/>
      </c>
      <c r="Y227" s="1472" t="str">
        <f t="shared" si="265"/>
        <v/>
      </c>
      <c r="Z227" s="1028"/>
      <c r="AA227" s="130" t="str">
        <f t="shared" si="266"/>
        <v/>
      </c>
      <c r="AB227" s="1472" t="str">
        <f t="shared" si="267"/>
        <v/>
      </c>
      <c r="AC227" s="1028"/>
      <c r="AD227" s="130" t="str">
        <f t="shared" si="268"/>
        <v/>
      </c>
      <c r="AE227" s="1472" t="str">
        <f t="shared" si="269"/>
        <v/>
      </c>
      <c r="AF227" s="1028"/>
      <c r="AG227" s="130" t="str">
        <f t="shared" si="270"/>
        <v/>
      </c>
      <c r="AH227" s="1472" t="str">
        <f t="shared" si="271"/>
        <v/>
      </c>
      <c r="AI227" s="1028"/>
      <c r="AJ227" s="130" t="str">
        <f t="shared" si="272"/>
        <v/>
      </c>
      <c r="AK227" s="1472" t="str">
        <f t="shared" si="273"/>
        <v/>
      </c>
      <c r="AL227" s="1028"/>
      <c r="AM227" s="130" t="str">
        <f t="shared" si="274"/>
        <v/>
      </c>
      <c r="AN227" s="1472" t="str">
        <f t="shared" si="275"/>
        <v/>
      </c>
      <c r="AO227" s="1028"/>
      <c r="AP227" s="130" t="str">
        <f t="shared" si="276"/>
        <v/>
      </c>
      <c r="AQ227" s="1472" t="str">
        <f t="shared" si="277"/>
        <v/>
      </c>
      <c r="AR227" s="1028"/>
      <c r="AS227" s="130" t="str">
        <f t="shared" si="278"/>
        <v/>
      </c>
      <c r="AT227" s="1472" t="str">
        <f t="shared" si="279"/>
        <v/>
      </c>
      <c r="AU227" s="1028"/>
      <c r="AV227" s="130" t="str">
        <f t="shared" si="280"/>
        <v/>
      </c>
      <c r="AW227" s="1472" t="str">
        <f t="shared" si="281"/>
        <v/>
      </c>
      <c r="AX227" s="1028"/>
      <c r="AY227" s="130" t="str">
        <f t="shared" si="282"/>
        <v/>
      </c>
      <c r="AZ227" s="1472" t="str">
        <f t="shared" si="283"/>
        <v/>
      </c>
      <c r="BA227" s="1028"/>
      <c r="BB227" s="130" t="str">
        <f t="shared" si="284"/>
        <v/>
      </c>
      <c r="BC227" s="1472" t="str">
        <f t="shared" si="285"/>
        <v/>
      </c>
      <c r="BD227" s="1028"/>
      <c r="BE227" s="130" t="str">
        <f t="shared" si="286"/>
        <v/>
      </c>
      <c r="BF227" s="1472" t="str">
        <f t="shared" si="287"/>
        <v/>
      </c>
      <c r="BG227" s="1028"/>
      <c r="BH227" s="130" t="str">
        <f t="shared" si="288"/>
        <v/>
      </c>
      <c r="BI227" s="1472" t="str">
        <f t="shared" si="289"/>
        <v/>
      </c>
      <c r="BJ227" s="1028"/>
      <c r="BK227" s="130" t="str">
        <f t="shared" si="290"/>
        <v/>
      </c>
      <c r="BL227" s="1472" t="str">
        <f t="shared" si="291"/>
        <v/>
      </c>
      <c r="BM227" s="1028"/>
      <c r="BN227" s="130" t="str">
        <f t="shared" si="292"/>
        <v/>
      </c>
      <c r="BO227" s="1472" t="str">
        <f t="shared" si="293"/>
        <v/>
      </c>
      <c r="BP227" s="1028"/>
      <c r="BQ227" s="130" t="str">
        <f t="shared" si="294"/>
        <v/>
      </c>
      <c r="BR227" s="1472" t="str">
        <f t="shared" si="295"/>
        <v/>
      </c>
      <c r="BS227" s="1028"/>
      <c r="BT227" s="130" t="str">
        <f t="shared" si="296"/>
        <v/>
      </c>
      <c r="BU227" s="1472" t="str">
        <f t="shared" si="297"/>
        <v/>
      </c>
      <c r="BV227" s="1028"/>
      <c r="BW227" s="130" t="str">
        <f t="shared" si="298"/>
        <v/>
      </c>
      <c r="BX227" s="1472" t="str">
        <f t="shared" si="299"/>
        <v/>
      </c>
      <c r="BY227" s="1028"/>
      <c r="BZ227" s="130" t="str">
        <f t="shared" si="300"/>
        <v/>
      </c>
      <c r="CA227" s="1472" t="str">
        <f t="shared" si="301"/>
        <v/>
      </c>
      <c r="CB227" s="1028"/>
      <c r="CC227" s="130" t="str">
        <f t="shared" si="302"/>
        <v/>
      </c>
      <c r="CD227" s="1472" t="str">
        <f t="shared" si="303"/>
        <v/>
      </c>
      <c r="CE227" s="1028"/>
      <c r="CF227" s="130" t="str">
        <f t="shared" si="304"/>
        <v/>
      </c>
      <c r="CG227" s="1472" t="str">
        <f t="shared" si="305"/>
        <v/>
      </c>
      <c r="CH227" s="1028"/>
      <c r="CI227" s="130" t="str">
        <f t="shared" si="306"/>
        <v/>
      </c>
      <c r="CJ227" s="1472" t="str">
        <f t="shared" si="307"/>
        <v/>
      </c>
      <c r="CK227" s="1028"/>
      <c r="CL227" s="130" t="str">
        <f t="shared" si="308"/>
        <v/>
      </c>
      <c r="CM227" s="1472" t="str">
        <f t="shared" si="309"/>
        <v/>
      </c>
      <c r="CN227" s="1028"/>
      <c r="CO227" s="130" t="str">
        <f t="shared" si="310"/>
        <v/>
      </c>
      <c r="CP227" s="1472" t="str">
        <f t="shared" si="311"/>
        <v/>
      </c>
      <c r="CQ227" s="1028"/>
      <c r="CR227" s="130" t="str">
        <f t="shared" si="312"/>
        <v/>
      </c>
      <c r="CS227" s="1472" t="str">
        <f t="shared" si="313"/>
        <v/>
      </c>
      <c r="CT227" s="1028"/>
      <c r="CU227" s="130" t="str">
        <f t="shared" si="314"/>
        <v/>
      </c>
      <c r="CV227" s="1472" t="str">
        <f t="shared" si="315"/>
        <v/>
      </c>
      <c r="CW227" s="1028"/>
      <c r="CX227" s="130" t="str">
        <f t="shared" si="316"/>
        <v/>
      </c>
      <c r="CY227" s="1472" t="str">
        <f t="shared" si="317"/>
        <v/>
      </c>
      <c r="CZ227" s="1028"/>
      <c r="DA227" s="130" t="str">
        <f t="shared" si="318"/>
        <v/>
      </c>
      <c r="DB227" s="1472" t="str">
        <f t="shared" si="319"/>
        <v/>
      </c>
      <c r="DC227" s="1028"/>
      <c r="DD227" s="130" t="str">
        <f t="shared" si="320"/>
        <v/>
      </c>
      <c r="DE227" s="1472" t="str">
        <f t="shared" si="321"/>
        <v/>
      </c>
      <c r="DF227" s="1028"/>
      <c r="DG227" s="130" t="str">
        <f t="shared" si="322"/>
        <v/>
      </c>
      <c r="DH227" s="1472" t="str">
        <f t="shared" si="323"/>
        <v/>
      </c>
      <c r="DI227" s="1028"/>
      <c r="DJ227" s="130" t="str">
        <f t="shared" si="324"/>
        <v/>
      </c>
      <c r="DK227" s="1472" t="str">
        <f t="shared" si="325"/>
        <v/>
      </c>
      <c r="DL227" s="1028"/>
      <c r="DM227" s="130" t="str">
        <f t="shared" si="326"/>
        <v/>
      </c>
      <c r="DN227" s="1472" t="str">
        <f t="shared" si="327"/>
        <v/>
      </c>
      <c r="DO227" s="1028"/>
      <c r="DP227" s="130" t="str">
        <f t="shared" si="328"/>
        <v/>
      </c>
      <c r="DQ227" s="1472" t="str">
        <f t="shared" si="329"/>
        <v/>
      </c>
      <c r="DR227" s="1028"/>
      <c r="DS227" s="130" t="str">
        <f t="shared" si="330"/>
        <v/>
      </c>
      <c r="DT227" s="1472" t="str">
        <f t="shared" si="331"/>
        <v/>
      </c>
      <c r="DU227" s="1028"/>
      <c r="DV227" s="130" t="str">
        <f t="shared" si="332"/>
        <v/>
      </c>
      <c r="DW227" s="1472" t="str">
        <f t="shared" si="333"/>
        <v/>
      </c>
      <c r="DX227" s="147"/>
    </row>
    <row r="228" ht="23.25" customHeight="true" x14ac:dyDescent="0.25">
      <c r="B228" s="1612"/>
      <c r="C228" s="1613"/>
      <c r="D228" s="1613"/>
      <c r="E228" s="1154">
        <f t="shared" si="170"/>
        <v>43</v>
      </c>
      <c r="F228" s="1734" t="str">
        <f t="shared" si="253"/>
        <v/>
      </c>
      <c r="G228" s="1735"/>
      <c r="H228" s="1028"/>
      <c r="I228" s="130" t="str">
        <f t="shared" si="254"/>
        <v/>
      </c>
      <c r="J228" s="5" t="str">
        <f t="shared" si="255"/>
        <v/>
      </c>
      <c r="K228" s="1028"/>
      <c r="L228" s="130" t="str">
        <f t="shared" si="256"/>
        <v/>
      </c>
      <c r="M228" s="5" t="str">
        <f t="shared" si="257"/>
        <v/>
      </c>
      <c r="N228" s="1028"/>
      <c r="O228" s="130" t="str">
        <f t="shared" si="258"/>
        <v/>
      </c>
      <c r="P228" s="5" t="str">
        <f t="shared" si="259"/>
        <v/>
      </c>
      <c r="Q228" s="1028"/>
      <c r="R228" s="130" t="str">
        <f t="shared" si="260"/>
        <v/>
      </c>
      <c r="S228" s="1472" t="str">
        <f t="shared" si="261"/>
        <v/>
      </c>
      <c r="T228" s="1028"/>
      <c r="U228" s="130" t="str">
        <f t="shared" si="262"/>
        <v/>
      </c>
      <c r="V228" s="1472" t="str">
        <f t="shared" si="263"/>
        <v/>
      </c>
      <c r="W228" s="1028"/>
      <c r="X228" s="130" t="str">
        <f t="shared" si="264"/>
        <v/>
      </c>
      <c r="Y228" s="1472" t="str">
        <f t="shared" si="265"/>
        <v/>
      </c>
      <c r="Z228" s="1028"/>
      <c r="AA228" s="130" t="str">
        <f t="shared" si="266"/>
        <v/>
      </c>
      <c r="AB228" s="1472" t="str">
        <f t="shared" si="267"/>
        <v/>
      </c>
      <c r="AC228" s="1028"/>
      <c r="AD228" s="130" t="str">
        <f t="shared" si="268"/>
        <v/>
      </c>
      <c r="AE228" s="1472" t="str">
        <f t="shared" si="269"/>
        <v/>
      </c>
      <c r="AF228" s="1028"/>
      <c r="AG228" s="130" t="str">
        <f t="shared" si="270"/>
        <v/>
      </c>
      <c r="AH228" s="1472" t="str">
        <f t="shared" si="271"/>
        <v/>
      </c>
      <c r="AI228" s="1028"/>
      <c r="AJ228" s="130" t="str">
        <f t="shared" si="272"/>
        <v/>
      </c>
      <c r="AK228" s="1472" t="str">
        <f t="shared" si="273"/>
        <v/>
      </c>
      <c r="AL228" s="1028"/>
      <c r="AM228" s="130" t="str">
        <f t="shared" si="274"/>
        <v/>
      </c>
      <c r="AN228" s="1472" t="str">
        <f t="shared" si="275"/>
        <v/>
      </c>
      <c r="AO228" s="1028"/>
      <c r="AP228" s="130" t="str">
        <f t="shared" si="276"/>
        <v/>
      </c>
      <c r="AQ228" s="1472" t="str">
        <f t="shared" si="277"/>
        <v/>
      </c>
      <c r="AR228" s="1028"/>
      <c r="AS228" s="130" t="str">
        <f t="shared" si="278"/>
        <v/>
      </c>
      <c r="AT228" s="1472" t="str">
        <f t="shared" si="279"/>
        <v/>
      </c>
      <c r="AU228" s="1028"/>
      <c r="AV228" s="130" t="str">
        <f t="shared" si="280"/>
        <v/>
      </c>
      <c r="AW228" s="1472" t="str">
        <f t="shared" si="281"/>
        <v/>
      </c>
      <c r="AX228" s="1028"/>
      <c r="AY228" s="130" t="str">
        <f t="shared" si="282"/>
        <v/>
      </c>
      <c r="AZ228" s="1472" t="str">
        <f t="shared" si="283"/>
        <v/>
      </c>
      <c r="BA228" s="1028"/>
      <c r="BB228" s="130" t="str">
        <f t="shared" si="284"/>
        <v/>
      </c>
      <c r="BC228" s="1472" t="str">
        <f t="shared" si="285"/>
        <v/>
      </c>
      <c r="BD228" s="1028"/>
      <c r="BE228" s="130" t="str">
        <f t="shared" si="286"/>
        <v/>
      </c>
      <c r="BF228" s="1472" t="str">
        <f t="shared" si="287"/>
        <v/>
      </c>
      <c r="BG228" s="1028"/>
      <c r="BH228" s="130" t="str">
        <f t="shared" si="288"/>
        <v/>
      </c>
      <c r="BI228" s="1472" t="str">
        <f t="shared" si="289"/>
        <v/>
      </c>
      <c r="BJ228" s="1028"/>
      <c r="BK228" s="130" t="str">
        <f t="shared" si="290"/>
        <v/>
      </c>
      <c r="BL228" s="1472" t="str">
        <f t="shared" si="291"/>
        <v/>
      </c>
      <c r="BM228" s="1028"/>
      <c r="BN228" s="130" t="str">
        <f t="shared" si="292"/>
        <v/>
      </c>
      <c r="BO228" s="1472" t="str">
        <f t="shared" si="293"/>
        <v/>
      </c>
      <c r="BP228" s="1028"/>
      <c r="BQ228" s="130" t="str">
        <f t="shared" si="294"/>
        <v/>
      </c>
      <c r="BR228" s="1472" t="str">
        <f t="shared" si="295"/>
        <v/>
      </c>
      <c r="BS228" s="1028"/>
      <c r="BT228" s="130" t="str">
        <f t="shared" si="296"/>
        <v/>
      </c>
      <c r="BU228" s="1472" t="str">
        <f t="shared" si="297"/>
        <v/>
      </c>
      <c r="BV228" s="1028"/>
      <c r="BW228" s="130" t="str">
        <f t="shared" si="298"/>
        <v/>
      </c>
      <c r="BX228" s="1472" t="str">
        <f t="shared" si="299"/>
        <v/>
      </c>
      <c r="BY228" s="1028"/>
      <c r="BZ228" s="130" t="str">
        <f t="shared" si="300"/>
        <v/>
      </c>
      <c r="CA228" s="1472" t="str">
        <f t="shared" si="301"/>
        <v/>
      </c>
      <c r="CB228" s="1028"/>
      <c r="CC228" s="130" t="str">
        <f t="shared" si="302"/>
        <v/>
      </c>
      <c r="CD228" s="1472" t="str">
        <f t="shared" si="303"/>
        <v/>
      </c>
      <c r="CE228" s="1028"/>
      <c r="CF228" s="130" t="str">
        <f t="shared" si="304"/>
        <v/>
      </c>
      <c r="CG228" s="1472" t="str">
        <f t="shared" si="305"/>
        <v/>
      </c>
      <c r="CH228" s="1028"/>
      <c r="CI228" s="130" t="str">
        <f t="shared" si="306"/>
        <v/>
      </c>
      <c r="CJ228" s="1472" t="str">
        <f t="shared" si="307"/>
        <v/>
      </c>
      <c r="CK228" s="1028"/>
      <c r="CL228" s="130" t="str">
        <f t="shared" si="308"/>
        <v/>
      </c>
      <c r="CM228" s="1472" t="str">
        <f t="shared" si="309"/>
        <v/>
      </c>
      <c r="CN228" s="1028"/>
      <c r="CO228" s="130" t="str">
        <f t="shared" si="310"/>
        <v/>
      </c>
      <c r="CP228" s="1472" t="str">
        <f t="shared" si="311"/>
        <v/>
      </c>
      <c r="CQ228" s="1028"/>
      <c r="CR228" s="130" t="str">
        <f t="shared" si="312"/>
        <v/>
      </c>
      <c r="CS228" s="1472" t="str">
        <f t="shared" si="313"/>
        <v/>
      </c>
      <c r="CT228" s="1028"/>
      <c r="CU228" s="130" t="str">
        <f t="shared" si="314"/>
        <v/>
      </c>
      <c r="CV228" s="1472" t="str">
        <f t="shared" si="315"/>
        <v/>
      </c>
      <c r="CW228" s="1028"/>
      <c r="CX228" s="130" t="str">
        <f t="shared" si="316"/>
        <v/>
      </c>
      <c r="CY228" s="1472" t="str">
        <f t="shared" si="317"/>
        <v/>
      </c>
      <c r="CZ228" s="1028"/>
      <c r="DA228" s="130" t="str">
        <f t="shared" si="318"/>
        <v/>
      </c>
      <c r="DB228" s="1472" t="str">
        <f t="shared" si="319"/>
        <v/>
      </c>
      <c r="DC228" s="1028"/>
      <c r="DD228" s="130" t="str">
        <f t="shared" si="320"/>
        <v/>
      </c>
      <c r="DE228" s="1472" t="str">
        <f t="shared" si="321"/>
        <v/>
      </c>
      <c r="DF228" s="1028"/>
      <c r="DG228" s="130" t="str">
        <f t="shared" si="322"/>
        <v/>
      </c>
      <c r="DH228" s="1472" t="str">
        <f t="shared" si="323"/>
        <v/>
      </c>
      <c r="DI228" s="1028"/>
      <c r="DJ228" s="130" t="str">
        <f t="shared" si="324"/>
        <v/>
      </c>
      <c r="DK228" s="1472" t="str">
        <f t="shared" si="325"/>
        <v/>
      </c>
      <c r="DL228" s="1028"/>
      <c r="DM228" s="130" t="str">
        <f t="shared" si="326"/>
        <v/>
      </c>
      <c r="DN228" s="1472" t="str">
        <f t="shared" si="327"/>
        <v/>
      </c>
      <c r="DO228" s="1028"/>
      <c r="DP228" s="130" t="str">
        <f t="shared" si="328"/>
        <v/>
      </c>
      <c r="DQ228" s="1472" t="str">
        <f t="shared" si="329"/>
        <v/>
      </c>
      <c r="DR228" s="1028"/>
      <c r="DS228" s="130" t="str">
        <f t="shared" si="330"/>
        <v/>
      </c>
      <c r="DT228" s="1472" t="str">
        <f t="shared" si="331"/>
        <v/>
      </c>
      <c r="DU228" s="1028"/>
      <c r="DV228" s="130" t="str">
        <f t="shared" si="332"/>
        <v/>
      </c>
      <c r="DW228" s="1472" t="str">
        <f t="shared" si="333"/>
        <v/>
      </c>
      <c r="DX228" s="147"/>
    </row>
    <row r="229" ht="23.25" customHeight="true" x14ac:dyDescent="0.25">
      <c r="B229" s="1612"/>
      <c r="C229" s="1613"/>
      <c r="D229" s="1613"/>
      <c r="E229" s="1154">
        <f t="shared" si="170"/>
        <v>44</v>
      </c>
      <c r="F229" s="1734" t="str">
        <f t="shared" si="253"/>
        <v/>
      </c>
      <c r="G229" s="1735"/>
      <c r="H229" s="1028"/>
      <c r="I229" s="130" t="str">
        <f t="shared" si="254"/>
        <v/>
      </c>
      <c r="J229" s="5" t="str">
        <f t="shared" si="255"/>
        <v/>
      </c>
      <c r="K229" s="1028"/>
      <c r="L229" s="130" t="str">
        <f t="shared" si="256"/>
        <v/>
      </c>
      <c r="M229" s="5" t="str">
        <f t="shared" si="257"/>
        <v/>
      </c>
      <c r="N229" s="1028"/>
      <c r="O229" s="130" t="str">
        <f t="shared" si="258"/>
        <v/>
      </c>
      <c r="P229" s="5" t="str">
        <f t="shared" si="259"/>
        <v/>
      </c>
      <c r="Q229" s="1028"/>
      <c r="R229" s="130" t="str">
        <f t="shared" si="260"/>
        <v/>
      </c>
      <c r="S229" s="1472" t="str">
        <f t="shared" si="261"/>
        <v/>
      </c>
      <c r="T229" s="1028"/>
      <c r="U229" s="130" t="str">
        <f t="shared" si="262"/>
        <v/>
      </c>
      <c r="V229" s="1472" t="str">
        <f t="shared" si="263"/>
        <v/>
      </c>
      <c r="W229" s="1028"/>
      <c r="X229" s="130" t="str">
        <f t="shared" si="264"/>
        <v/>
      </c>
      <c r="Y229" s="1472" t="str">
        <f t="shared" si="265"/>
        <v/>
      </c>
      <c r="Z229" s="1028"/>
      <c r="AA229" s="130" t="str">
        <f t="shared" si="266"/>
        <v/>
      </c>
      <c r="AB229" s="1472" t="str">
        <f t="shared" si="267"/>
        <v/>
      </c>
      <c r="AC229" s="1028"/>
      <c r="AD229" s="130" t="str">
        <f t="shared" si="268"/>
        <v/>
      </c>
      <c r="AE229" s="1472" t="str">
        <f t="shared" si="269"/>
        <v/>
      </c>
      <c r="AF229" s="1028"/>
      <c r="AG229" s="130" t="str">
        <f t="shared" si="270"/>
        <v/>
      </c>
      <c r="AH229" s="1472" t="str">
        <f t="shared" si="271"/>
        <v/>
      </c>
      <c r="AI229" s="1028"/>
      <c r="AJ229" s="130" t="str">
        <f t="shared" si="272"/>
        <v/>
      </c>
      <c r="AK229" s="1472" t="str">
        <f t="shared" si="273"/>
        <v/>
      </c>
      <c r="AL229" s="1028"/>
      <c r="AM229" s="130" t="str">
        <f t="shared" si="274"/>
        <v/>
      </c>
      <c r="AN229" s="1472" t="str">
        <f t="shared" si="275"/>
        <v/>
      </c>
      <c r="AO229" s="1028"/>
      <c r="AP229" s="130" t="str">
        <f t="shared" si="276"/>
        <v/>
      </c>
      <c r="AQ229" s="1472" t="str">
        <f t="shared" si="277"/>
        <v/>
      </c>
      <c r="AR229" s="1028"/>
      <c r="AS229" s="130" t="str">
        <f t="shared" si="278"/>
        <v/>
      </c>
      <c r="AT229" s="1472" t="str">
        <f t="shared" si="279"/>
        <v/>
      </c>
      <c r="AU229" s="1028"/>
      <c r="AV229" s="130" t="str">
        <f t="shared" si="280"/>
        <v/>
      </c>
      <c r="AW229" s="1472" t="str">
        <f t="shared" si="281"/>
        <v/>
      </c>
      <c r="AX229" s="1028"/>
      <c r="AY229" s="130" t="str">
        <f t="shared" si="282"/>
        <v/>
      </c>
      <c r="AZ229" s="1472" t="str">
        <f t="shared" si="283"/>
        <v/>
      </c>
      <c r="BA229" s="1028"/>
      <c r="BB229" s="130" t="str">
        <f t="shared" si="284"/>
        <v/>
      </c>
      <c r="BC229" s="1472" t="str">
        <f t="shared" si="285"/>
        <v/>
      </c>
      <c r="BD229" s="1028"/>
      <c r="BE229" s="130" t="str">
        <f t="shared" si="286"/>
        <v/>
      </c>
      <c r="BF229" s="1472" t="str">
        <f t="shared" si="287"/>
        <v/>
      </c>
      <c r="BG229" s="1028"/>
      <c r="BH229" s="130" t="str">
        <f t="shared" si="288"/>
        <v/>
      </c>
      <c r="BI229" s="1472" t="str">
        <f t="shared" si="289"/>
        <v/>
      </c>
      <c r="BJ229" s="1028"/>
      <c r="BK229" s="130" t="str">
        <f t="shared" si="290"/>
        <v/>
      </c>
      <c r="BL229" s="1472" t="str">
        <f t="shared" si="291"/>
        <v/>
      </c>
      <c r="BM229" s="1028"/>
      <c r="BN229" s="130" t="str">
        <f t="shared" si="292"/>
        <v/>
      </c>
      <c r="BO229" s="1472" t="str">
        <f t="shared" si="293"/>
        <v/>
      </c>
      <c r="BP229" s="1028"/>
      <c r="BQ229" s="130" t="str">
        <f t="shared" si="294"/>
        <v/>
      </c>
      <c r="BR229" s="1472" t="str">
        <f t="shared" si="295"/>
        <v/>
      </c>
      <c r="BS229" s="1028"/>
      <c r="BT229" s="130" t="str">
        <f t="shared" si="296"/>
        <v/>
      </c>
      <c r="BU229" s="1472" t="str">
        <f t="shared" si="297"/>
        <v/>
      </c>
      <c r="BV229" s="1028"/>
      <c r="BW229" s="130" t="str">
        <f t="shared" si="298"/>
        <v/>
      </c>
      <c r="BX229" s="1472" t="str">
        <f t="shared" si="299"/>
        <v/>
      </c>
      <c r="BY229" s="1028"/>
      <c r="BZ229" s="130" t="str">
        <f t="shared" si="300"/>
        <v/>
      </c>
      <c r="CA229" s="1472" t="str">
        <f t="shared" si="301"/>
        <v/>
      </c>
      <c r="CB229" s="1028"/>
      <c r="CC229" s="130" t="str">
        <f t="shared" si="302"/>
        <v/>
      </c>
      <c r="CD229" s="1472" t="str">
        <f t="shared" si="303"/>
        <v/>
      </c>
      <c r="CE229" s="1028"/>
      <c r="CF229" s="130" t="str">
        <f t="shared" si="304"/>
        <v/>
      </c>
      <c r="CG229" s="1472" t="str">
        <f t="shared" si="305"/>
        <v/>
      </c>
      <c r="CH229" s="1028"/>
      <c r="CI229" s="130" t="str">
        <f t="shared" si="306"/>
        <v/>
      </c>
      <c r="CJ229" s="1472" t="str">
        <f t="shared" si="307"/>
        <v/>
      </c>
      <c r="CK229" s="1028"/>
      <c r="CL229" s="130" t="str">
        <f t="shared" si="308"/>
        <v/>
      </c>
      <c r="CM229" s="1472" t="str">
        <f t="shared" si="309"/>
        <v/>
      </c>
      <c r="CN229" s="1028"/>
      <c r="CO229" s="130" t="str">
        <f t="shared" si="310"/>
        <v/>
      </c>
      <c r="CP229" s="1472" t="str">
        <f t="shared" si="311"/>
        <v/>
      </c>
      <c r="CQ229" s="1028"/>
      <c r="CR229" s="130" t="str">
        <f t="shared" si="312"/>
        <v/>
      </c>
      <c r="CS229" s="1472" t="str">
        <f t="shared" si="313"/>
        <v/>
      </c>
      <c r="CT229" s="1028"/>
      <c r="CU229" s="130" t="str">
        <f t="shared" si="314"/>
        <v/>
      </c>
      <c r="CV229" s="1472" t="str">
        <f t="shared" si="315"/>
        <v/>
      </c>
      <c r="CW229" s="1028"/>
      <c r="CX229" s="130" t="str">
        <f t="shared" si="316"/>
        <v/>
      </c>
      <c r="CY229" s="1472" t="str">
        <f t="shared" si="317"/>
        <v/>
      </c>
      <c r="CZ229" s="1028"/>
      <c r="DA229" s="130" t="str">
        <f t="shared" si="318"/>
        <v/>
      </c>
      <c r="DB229" s="1472" t="str">
        <f t="shared" si="319"/>
        <v/>
      </c>
      <c r="DC229" s="1028"/>
      <c r="DD229" s="130" t="str">
        <f t="shared" si="320"/>
        <v/>
      </c>
      <c r="DE229" s="1472" t="str">
        <f t="shared" si="321"/>
        <v/>
      </c>
      <c r="DF229" s="1028"/>
      <c r="DG229" s="130" t="str">
        <f t="shared" si="322"/>
        <v/>
      </c>
      <c r="DH229" s="1472" t="str">
        <f t="shared" si="323"/>
        <v/>
      </c>
      <c r="DI229" s="1028"/>
      <c r="DJ229" s="130" t="str">
        <f t="shared" si="324"/>
        <v/>
      </c>
      <c r="DK229" s="1472" t="str">
        <f t="shared" si="325"/>
        <v/>
      </c>
      <c r="DL229" s="1028"/>
      <c r="DM229" s="130" t="str">
        <f t="shared" si="326"/>
        <v/>
      </c>
      <c r="DN229" s="1472" t="str">
        <f t="shared" si="327"/>
        <v/>
      </c>
      <c r="DO229" s="1028"/>
      <c r="DP229" s="130" t="str">
        <f t="shared" si="328"/>
        <v/>
      </c>
      <c r="DQ229" s="1472" t="str">
        <f t="shared" si="329"/>
        <v/>
      </c>
      <c r="DR229" s="1028"/>
      <c r="DS229" s="130" t="str">
        <f t="shared" si="330"/>
        <v/>
      </c>
      <c r="DT229" s="1472" t="str">
        <f t="shared" si="331"/>
        <v/>
      </c>
      <c r="DU229" s="1028"/>
      <c r="DV229" s="130" t="str">
        <f t="shared" si="332"/>
        <v/>
      </c>
      <c r="DW229" s="1472" t="str">
        <f t="shared" si="333"/>
        <v/>
      </c>
      <c r="DX229" s="147"/>
    </row>
    <row r="230" ht="23.25" customHeight="true" x14ac:dyDescent="0.25">
      <c r="B230" s="1612"/>
      <c r="C230" s="1613"/>
      <c r="D230" s="1613"/>
      <c r="E230" s="1154">
        <f t="shared" si="170"/>
        <v>45</v>
      </c>
      <c r="F230" s="1734" t="str">
        <f t="shared" si="253"/>
        <v/>
      </c>
      <c r="G230" s="1735"/>
      <c r="H230" s="1028"/>
      <c r="I230" s="130" t="str">
        <f t="shared" si="254"/>
        <v/>
      </c>
      <c r="J230" s="5" t="str">
        <f t="shared" si="255"/>
        <v/>
      </c>
      <c r="K230" s="1028"/>
      <c r="L230" s="130" t="str">
        <f t="shared" si="256"/>
        <v/>
      </c>
      <c r="M230" s="5" t="str">
        <f t="shared" si="257"/>
        <v/>
      </c>
      <c r="N230" s="1028"/>
      <c r="O230" s="130" t="str">
        <f t="shared" si="258"/>
        <v/>
      </c>
      <c r="P230" s="5" t="str">
        <f t="shared" si="259"/>
        <v/>
      </c>
      <c r="Q230" s="1028"/>
      <c r="R230" s="130" t="str">
        <f t="shared" si="260"/>
        <v/>
      </c>
      <c r="S230" s="1472" t="str">
        <f t="shared" si="261"/>
        <v/>
      </c>
      <c r="T230" s="1028"/>
      <c r="U230" s="130" t="str">
        <f t="shared" si="262"/>
        <v/>
      </c>
      <c r="V230" s="1472" t="str">
        <f t="shared" si="263"/>
        <v/>
      </c>
      <c r="W230" s="1028"/>
      <c r="X230" s="130" t="str">
        <f t="shared" si="264"/>
        <v/>
      </c>
      <c r="Y230" s="1472" t="str">
        <f t="shared" si="265"/>
        <v/>
      </c>
      <c r="Z230" s="1028"/>
      <c r="AA230" s="130" t="str">
        <f t="shared" si="266"/>
        <v/>
      </c>
      <c r="AB230" s="1472" t="str">
        <f t="shared" si="267"/>
        <v/>
      </c>
      <c r="AC230" s="1028"/>
      <c r="AD230" s="130" t="str">
        <f t="shared" si="268"/>
        <v/>
      </c>
      <c r="AE230" s="1472" t="str">
        <f t="shared" si="269"/>
        <v/>
      </c>
      <c r="AF230" s="1028"/>
      <c r="AG230" s="130" t="str">
        <f t="shared" si="270"/>
        <v/>
      </c>
      <c r="AH230" s="1472" t="str">
        <f t="shared" si="271"/>
        <v/>
      </c>
      <c r="AI230" s="1028"/>
      <c r="AJ230" s="130" t="str">
        <f t="shared" si="272"/>
        <v/>
      </c>
      <c r="AK230" s="1472" t="str">
        <f t="shared" si="273"/>
        <v/>
      </c>
      <c r="AL230" s="1028"/>
      <c r="AM230" s="130" t="str">
        <f t="shared" si="274"/>
        <v/>
      </c>
      <c r="AN230" s="1472" t="str">
        <f t="shared" si="275"/>
        <v/>
      </c>
      <c r="AO230" s="1028"/>
      <c r="AP230" s="130" t="str">
        <f t="shared" si="276"/>
        <v/>
      </c>
      <c r="AQ230" s="1472" t="str">
        <f t="shared" si="277"/>
        <v/>
      </c>
      <c r="AR230" s="1028"/>
      <c r="AS230" s="130" t="str">
        <f t="shared" si="278"/>
        <v/>
      </c>
      <c r="AT230" s="1472" t="str">
        <f t="shared" si="279"/>
        <v/>
      </c>
      <c r="AU230" s="1028"/>
      <c r="AV230" s="130" t="str">
        <f t="shared" si="280"/>
        <v/>
      </c>
      <c r="AW230" s="1472" t="str">
        <f t="shared" si="281"/>
        <v/>
      </c>
      <c r="AX230" s="1028"/>
      <c r="AY230" s="130" t="str">
        <f t="shared" si="282"/>
        <v/>
      </c>
      <c r="AZ230" s="1472" t="str">
        <f t="shared" si="283"/>
        <v/>
      </c>
      <c r="BA230" s="1028"/>
      <c r="BB230" s="130" t="str">
        <f t="shared" si="284"/>
        <v/>
      </c>
      <c r="BC230" s="1472" t="str">
        <f t="shared" si="285"/>
        <v/>
      </c>
      <c r="BD230" s="1028"/>
      <c r="BE230" s="130" t="str">
        <f t="shared" si="286"/>
        <v/>
      </c>
      <c r="BF230" s="1472" t="str">
        <f t="shared" si="287"/>
        <v/>
      </c>
      <c r="BG230" s="1028"/>
      <c r="BH230" s="130" t="str">
        <f t="shared" si="288"/>
        <v/>
      </c>
      <c r="BI230" s="1472" t="str">
        <f t="shared" si="289"/>
        <v/>
      </c>
      <c r="BJ230" s="1028"/>
      <c r="BK230" s="130" t="str">
        <f t="shared" si="290"/>
        <v/>
      </c>
      <c r="BL230" s="1472" t="str">
        <f t="shared" si="291"/>
        <v/>
      </c>
      <c r="BM230" s="1028"/>
      <c r="BN230" s="130" t="str">
        <f t="shared" si="292"/>
        <v/>
      </c>
      <c r="BO230" s="1472" t="str">
        <f t="shared" si="293"/>
        <v/>
      </c>
      <c r="BP230" s="1028"/>
      <c r="BQ230" s="130" t="str">
        <f t="shared" si="294"/>
        <v/>
      </c>
      <c r="BR230" s="1472" t="str">
        <f t="shared" si="295"/>
        <v/>
      </c>
      <c r="BS230" s="1028"/>
      <c r="BT230" s="130" t="str">
        <f t="shared" si="296"/>
        <v/>
      </c>
      <c r="BU230" s="1472" t="str">
        <f t="shared" si="297"/>
        <v/>
      </c>
      <c r="BV230" s="1028"/>
      <c r="BW230" s="130" t="str">
        <f t="shared" si="298"/>
        <v/>
      </c>
      <c r="BX230" s="1472" t="str">
        <f t="shared" si="299"/>
        <v/>
      </c>
      <c r="BY230" s="1028"/>
      <c r="BZ230" s="130" t="str">
        <f t="shared" si="300"/>
        <v/>
      </c>
      <c r="CA230" s="1472" t="str">
        <f t="shared" si="301"/>
        <v/>
      </c>
      <c r="CB230" s="1028"/>
      <c r="CC230" s="130" t="str">
        <f t="shared" si="302"/>
        <v/>
      </c>
      <c r="CD230" s="1472" t="str">
        <f t="shared" si="303"/>
        <v/>
      </c>
      <c r="CE230" s="1028"/>
      <c r="CF230" s="130" t="str">
        <f t="shared" si="304"/>
        <v/>
      </c>
      <c r="CG230" s="1472" t="str">
        <f t="shared" si="305"/>
        <v/>
      </c>
      <c r="CH230" s="1028"/>
      <c r="CI230" s="130" t="str">
        <f t="shared" si="306"/>
        <v/>
      </c>
      <c r="CJ230" s="1472" t="str">
        <f t="shared" si="307"/>
        <v/>
      </c>
      <c r="CK230" s="1028"/>
      <c r="CL230" s="130" t="str">
        <f t="shared" si="308"/>
        <v/>
      </c>
      <c r="CM230" s="1472" t="str">
        <f t="shared" si="309"/>
        <v/>
      </c>
      <c r="CN230" s="1028"/>
      <c r="CO230" s="130" t="str">
        <f t="shared" si="310"/>
        <v/>
      </c>
      <c r="CP230" s="1472" t="str">
        <f t="shared" si="311"/>
        <v/>
      </c>
      <c r="CQ230" s="1028"/>
      <c r="CR230" s="130" t="str">
        <f t="shared" si="312"/>
        <v/>
      </c>
      <c r="CS230" s="1472" t="str">
        <f t="shared" si="313"/>
        <v/>
      </c>
      <c r="CT230" s="1028"/>
      <c r="CU230" s="130" t="str">
        <f t="shared" si="314"/>
        <v/>
      </c>
      <c r="CV230" s="1472" t="str">
        <f t="shared" si="315"/>
        <v/>
      </c>
      <c r="CW230" s="1028"/>
      <c r="CX230" s="130" t="str">
        <f t="shared" si="316"/>
        <v/>
      </c>
      <c r="CY230" s="1472" t="str">
        <f t="shared" si="317"/>
        <v/>
      </c>
      <c r="CZ230" s="1028"/>
      <c r="DA230" s="130" t="str">
        <f t="shared" si="318"/>
        <v/>
      </c>
      <c r="DB230" s="1472" t="str">
        <f t="shared" si="319"/>
        <v/>
      </c>
      <c r="DC230" s="1028"/>
      <c r="DD230" s="130" t="str">
        <f t="shared" si="320"/>
        <v/>
      </c>
      <c r="DE230" s="1472" t="str">
        <f t="shared" si="321"/>
        <v/>
      </c>
      <c r="DF230" s="1028"/>
      <c r="DG230" s="130" t="str">
        <f t="shared" si="322"/>
        <v/>
      </c>
      <c r="DH230" s="1472" t="str">
        <f t="shared" si="323"/>
        <v/>
      </c>
      <c r="DI230" s="1028"/>
      <c r="DJ230" s="130" t="str">
        <f t="shared" si="324"/>
        <v/>
      </c>
      <c r="DK230" s="1472" t="str">
        <f t="shared" si="325"/>
        <v/>
      </c>
      <c r="DL230" s="1028"/>
      <c r="DM230" s="130" t="str">
        <f t="shared" si="326"/>
        <v/>
      </c>
      <c r="DN230" s="1472" t="str">
        <f t="shared" si="327"/>
        <v/>
      </c>
      <c r="DO230" s="1028"/>
      <c r="DP230" s="130" t="str">
        <f t="shared" si="328"/>
        <v/>
      </c>
      <c r="DQ230" s="1472" t="str">
        <f t="shared" si="329"/>
        <v/>
      </c>
      <c r="DR230" s="1028"/>
      <c r="DS230" s="130" t="str">
        <f t="shared" si="330"/>
        <v/>
      </c>
      <c r="DT230" s="1472" t="str">
        <f t="shared" si="331"/>
        <v/>
      </c>
      <c r="DU230" s="1028"/>
      <c r="DV230" s="130" t="str">
        <f t="shared" si="332"/>
        <v/>
      </c>
      <c r="DW230" s="1472" t="str">
        <f t="shared" si="333"/>
        <v/>
      </c>
      <c r="DX230" s="147"/>
    </row>
    <row r="231" ht="23.25" customHeight="true" x14ac:dyDescent="0.25">
      <c r="B231" s="1612"/>
      <c r="C231" s="1613"/>
      <c r="D231" s="1613"/>
      <c r="E231" s="1154">
        <f t="shared" si="170"/>
        <v>46</v>
      </c>
      <c r="F231" s="1734" t="str">
        <f t="shared" si="253"/>
        <v/>
      </c>
      <c r="G231" s="1735"/>
      <c r="H231" s="1028"/>
      <c r="I231" s="130" t="str">
        <f t="shared" si="254"/>
        <v/>
      </c>
      <c r="J231" s="5" t="str">
        <f t="shared" si="255"/>
        <v/>
      </c>
      <c r="K231" s="1028"/>
      <c r="L231" s="130" t="str">
        <f t="shared" si="256"/>
        <v/>
      </c>
      <c r="M231" s="5" t="str">
        <f t="shared" si="257"/>
        <v/>
      </c>
      <c r="N231" s="1028"/>
      <c r="O231" s="130" t="str">
        <f t="shared" si="258"/>
        <v/>
      </c>
      <c r="P231" s="5" t="str">
        <f t="shared" si="259"/>
        <v/>
      </c>
      <c r="Q231" s="1028"/>
      <c r="R231" s="130" t="str">
        <f t="shared" si="260"/>
        <v/>
      </c>
      <c r="S231" s="1472" t="str">
        <f t="shared" si="261"/>
        <v/>
      </c>
      <c r="T231" s="1028"/>
      <c r="U231" s="130" t="str">
        <f t="shared" si="262"/>
        <v/>
      </c>
      <c r="V231" s="1472" t="str">
        <f t="shared" si="263"/>
        <v/>
      </c>
      <c r="W231" s="1028"/>
      <c r="X231" s="130" t="str">
        <f t="shared" si="264"/>
        <v/>
      </c>
      <c r="Y231" s="1472" t="str">
        <f t="shared" si="265"/>
        <v/>
      </c>
      <c r="Z231" s="1028"/>
      <c r="AA231" s="130" t="str">
        <f t="shared" si="266"/>
        <v/>
      </c>
      <c r="AB231" s="1472" t="str">
        <f t="shared" si="267"/>
        <v/>
      </c>
      <c r="AC231" s="1028"/>
      <c r="AD231" s="130" t="str">
        <f t="shared" si="268"/>
        <v/>
      </c>
      <c r="AE231" s="1472" t="str">
        <f t="shared" si="269"/>
        <v/>
      </c>
      <c r="AF231" s="1028"/>
      <c r="AG231" s="130" t="str">
        <f t="shared" si="270"/>
        <v/>
      </c>
      <c r="AH231" s="1472" t="str">
        <f t="shared" si="271"/>
        <v/>
      </c>
      <c r="AI231" s="1028"/>
      <c r="AJ231" s="130" t="str">
        <f t="shared" si="272"/>
        <v/>
      </c>
      <c r="AK231" s="1472" t="str">
        <f t="shared" si="273"/>
        <v/>
      </c>
      <c r="AL231" s="1028"/>
      <c r="AM231" s="130" t="str">
        <f t="shared" si="274"/>
        <v/>
      </c>
      <c r="AN231" s="1472" t="str">
        <f t="shared" si="275"/>
        <v/>
      </c>
      <c r="AO231" s="1028"/>
      <c r="AP231" s="130" t="str">
        <f t="shared" si="276"/>
        <v/>
      </c>
      <c r="AQ231" s="1472" t="str">
        <f t="shared" si="277"/>
        <v/>
      </c>
      <c r="AR231" s="1028"/>
      <c r="AS231" s="130" t="str">
        <f t="shared" si="278"/>
        <v/>
      </c>
      <c r="AT231" s="1472" t="str">
        <f t="shared" si="279"/>
        <v/>
      </c>
      <c r="AU231" s="1028"/>
      <c r="AV231" s="130" t="str">
        <f t="shared" si="280"/>
        <v/>
      </c>
      <c r="AW231" s="1472" t="str">
        <f t="shared" si="281"/>
        <v/>
      </c>
      <c r="AX231" s="1028"/>
      <c r="AY231" s="130" t="str">
        <f t="shared" si="282"/>
        <v/>
      </c>
      <c r="AZ231" s="1472" t="str">
        <f t="shared" si="283"/>
        <v/>
      </c>
      <c r="BA231" s="1028"/>
      <c r="BB231" s="130" t="str">
        <f t="shared" si="284"/>
        <v/>
      </c>
      <c r="BC231" s="1472" t="str">
        <f t="shared" si="285"/>
        <v/>
      </c>
      <c r="BD231" s="1028"/>
      <c r="BE231" s="130" t="str">
        <f t="shared" si="286"/>
        <v/>
      </c>
      <c r="BF231" s="1472" t="str">
        <f t="shared" si="287"/>
        <v/>
      </c>
      <c r="BG231" s="1028"/>
      <c r="BH231" s="130" t="str">
        <f t="shared" si="288"/>
        <v/>
      </c>
      <c r="BI231" s="1472" t="str">
        <f t="shared" si="289"/>
        <v/>
      </c>
      <c r="BJ231" s="1028"/>
      <c r="BK231" s="130" t="str">
        <f t="shared" si="290"/>
        <v/>
      </c>
      <c r="BL231" s="1472" t="str">
        <f t="shared" si="291"/>
        <v/>
      </c>
      <c r="BM231" s="1028"/>
      <c r="BN231" s="130" t="str">
        <f t="shared" si="292"/>
        <v/>
      </c>
      <c r="BO231" s="1472" t="str">
        <f t="shared" si="293"/>
        <v/>
      </c>
      <c r="BP231" s="1028"/>
      <c r="BQ231" s="130" t="str">
        <f t="shared" si="294"/>
        <v/>
      </c>
      <c r="BR231" s="1472" t="str">
        <f t="shared" si="295"/>
        <v/>
      </c>
      <c r="BS231" s="1028"/>
      <c r="BT231" s="130" t="str">
        <f t="shared" si="296"/>
        <v/>
      </c>
      <c r="BU231" s="1472" t="str">
        <f t="shared" si="297"/>
        <v/>
      </c>
      <c r="BV231" s="1028"/>
      <c r="BW231" s="130" t="str">
        <f t="shared" si="298"/>
        <v/>
      </c>
      <c r="BX231" s="1472" t="str">
        <f t="shared" si="299"/>
        <v/>
      </c>
      <c r="BY231" s="1028"/>
      <c r="BZ231" s="130" t="str">
        <f t="shared" si="300"/>
        <v/>
      </c>
      <c r="CA231" s="1472" t="str">
        <f t="shared" si="301"/>
        <v/>
      </c>
      <c r="CB231" s="1028"/>
      <c r="CC231" s="130" t="str">
        <f t="shared" si="302"/>
        <v/>
      </c>
      <c r="CD231" s="1472" t="str">
        <f t="shared" si="303"/>
        <v/>
      </c>
      <c r="CE231" s="1028"/>
      <c r="CF231" s="130" t="str">
        <f t="shared" si="304"/>
        <v/>
      </c>
      <c r="CG231" s="1472" t="str">
        <f t="shared" si="305"/>
        <v/>
      </c>
      <c r="CH231" s="1028"/>
      <c r="CI231" s="130" t="str">
        <f t="shared" si="306"/>
        <v/>
      </c>
      <c r="CJ231" s="1472" t="str">
        <f t="shared" si="307"/>
        <v/>
      </c>
      <c r="CK231" s="1028"/>
      <c r="CL231" s="130" t="str">
        <f t="shared" si="308"/>
        <v/>
      </c>
      <c r="CM231" s="1472" t="str">
        <f t="shared" si="309"/>
        <v/>
      </c>
      <c r="CN231" s="1028"/>
      <c r="CO231" s="130" t="str">
        <f t="shared" si="310"/>
        <v/>
      </c>
      <c r="CP231" s="1472" t="str">
        <f t="shared" si="311"/>
        <v/>
      </c>
      <c r="CQ231" s="1028"/>
      <c r="CR231" s="130" t="str">
        <f t="shared" si="312"/>
        <v/>
      </c>
      <c r="CS231" s="1472" t="str">
        <f t="shared" si="313"/>
        <v/>
      </c>
      <c r="CT231" s="1028"/>
      <c r="CU231" s="130" t="str">
        <f t="shared" si="314"/>
        <v/>
      </c>
      <c r="CV231" s="1472" t="str">
        <f t="shared" si="315"/>
        <v/>
      </c>
      <c r="CW231" s="1028"/>
      <c r="CX231" s="130" t="str">
        <f t="shared" si="316"/>
        <v/>
      </c>
      <c r="CY231" s="1472" t="str">
        <f t="shared" si="317"/>
        <v/>
      </c>
      <c r="CZ231" s="1028"/>
      <c r="DA231" s="130" t="str">
        <f t="shared" si="318"/>
        <v/>
      </c>
      <c r="DB231" s="1472" t="str">
        <f t="shared" si="319"/>
        <v/>
      </c>
      <c r="DC231" s="1028"/>
      <c r="DD231" s="130" t="str">
        <f t="shared" si="320"/>
        <v/>
      </c>
      <c r="DE231" s="1472" t="str">
        <f t="shared" si="321"/>
        <v/>
      </c>
      <c r="DF231" s="1028"/>
      <c r="DG231" s="130" t="str">
        <f t="shared" si="322"/>
        <v/>
      </c>
      <c r="DH231" s="1472" t="str">
        <f t="shared" si="323"/>
        <v/>
      </c>
      <c r="DI231" s="1028"/>
      <c r="DJ231" s="130" t="str">
        <f t="shared" si="324"/>
        <v/>
      </c>
      <c r="DK231" s="1472" t="str">
        <f t="shared" si="325"/>
        <v/>
      </c>
      <c r="DL231" s="1028"/>
      <c r="DM231" s="130" t="str">
        <f t="shared" si="326"/>
        <v/>
      </c>
      <c r="DN231" s="1472" t="str">
        <f t="shared" si="327"/>
        <v/>
      </c>
      <c r="DO231" s="1028"/>
      <c r="DP231" s="130" t="str">
        <f t="shared" si="328"/>
        <v/>
      </c>
      <c r="DQ231" s="1472" t="str">
        <f t="shared" si="329"/>
        <v/>
      </c>
      <c r="DR231" s="1028"/>
      <c r="DS231" s="130" t="str">
        <f t="shared" si="330"/>
        <v/>
      </c>
      <c r="DT231" s="1472" t="str">
        <f t="shared" si="331"/>
        <v/>
      </c>
      <c r="DU231" s="1028"/>
      <c r="DV231" s="130" t="str">
        <f t="shared" si="332"/>
        <v/>
      </c>
      <c r="DW231" s="1472" t="str">
        <f t="shared" si="333"/>
        <v/>
      </c>
      <c r="DX231" s="147"/>
    </row>
    <row r="232" ht="23.25" customHeight="true" x14ac:dyDescent="0.25">
      <c r="B232" s="1612"/>
      <c r="C232" s="1613"/>
      <c r="D232" s="1613"/>
      <c r="E232" s="1154">
        <f t="shared" si="170"/>
        <v>47</v>
      </c>
      <c r="F232" s="1734" t="str">
        <f t="shared" si="253"/>
        <v/>
      </c>
      <c r="G232" s="1735"/>
      <c r="H232" s="1028"/>
      <c r="I232" s="130" t="str">
        <f t="shared" si="254"/>
        <v/>
      </c>
      <c r="J232" s="5" t="str">
        <f t="shared" si="255"/>
        <v/>
      </c>
      <c r="K232" s="1028"/>
      <c r="L232" s="130" t="str">
        <f t="shared" si="256"/>
        <v/>
      </c>
      <c r="M232" s="5" t="str">
        <f t="shared" si="257"/>
        <v/>
      </c>
      <c r="N232" s="1028"/>
      <c r="O232" s="130" t="str">
        <f t="shared" si="258"/>
        <v/>
      </c>
      <c r="P232" s="5" t="str">
        <f t="shared" si="259"/>
        <v/>
      </c>
      <c r="Q232" s="1028"/>
      <c r="R232" s="130" t="str">
        <f t="shared" si="260"/>
        <v/>
      </c>
      <c r="S232" s="1472" t="str">
        <f t="shared" si="261"/>
        <v/>
      </c>
      <c r="T232" s="1028"/>
      <c r="U232" s="130" t="str">
        <f t="shared" si="262"/>
        <v/>
      </c>
      <c r="V232" s="1472" t="str">
        <f t="shared" si="263"/>
        <v/>
      </c>
      <c r="W232" s="1028"/>
      <c r="X232" s="130" t="str">
        <f t="shared" si="264"/>
        <v/>
      </c>
      <c r="Y232" s="1472" t="str">
        <f t="shared" si="265"/>
        <v/>
      </c>
      <c r="Z232" s="1028"/>
      <c r="AA232" s="130" t="str">
        <f t="shared" si="266"/>
        <v/>
      </c>
      <c r="AB232" s="1472" t="str">
        <f t="shared" si="267"/>
        <v/>
      </c>
      <c r="AC232" s="1028"/>
      <c r="AD232" s="130" t="str">
        <f t="shared" si="268"/>
        <v/>
      </c>
      <c r="AE232" s="1472" t="str">
        <f t="shared" si="269"/>
        <v/>
      </c>
      <c r="AF232" s="1028"/>
      <c r="AG232" s="130" t="str">
        <f t="shared" si="270"/>
        <v/>
      </c>
      <c r="AH232" s="1472" t="str">
        <f t="shared" si="271"/>
        <v/>
      </c>
      <c r="AI232" s="1028"/>
      <c r="AJ232" s="130" t="str">
        <f t="shared" si="272"/>
        <v/>
      </c>
      <c r="AK232" s="1472" t="str">
        <f t="shared" si="273"/>
        <v/>
      </c>
      <c r="AL232" s="1028"/>
      <c r="AM232" s="130" t="str">
        <f t="shared" si="274"/>
        <v/>
      </c>
      <c r="AN232" s="1472" t="str">
        <f t="shared" si="275"/>
        <v/>
      </c>
      <c r="AO232" s="1028"/>
      <c r="AP232" s="130" t="str">
        <f t="shared" si="276"/>
        <v/>
      </c>
      <c r="AQ232" s="1472" t="str">
        <f t="shared" si="277"/>
        <v/>
      </c>
      <c r="AR232" s="1028"/>
      <c r="AS232" s="130" t="str">
        <f t="shared" si="278"/>
        <v/>
      </c>
      <c r="AT232" s="1472" t="str">
        <f t="shared" si="279"/>
        <v/>
      </c>
      <c r="AU232" s="1028"/>
      <c r="AV232" s="130" t="str">
        <f t="shared" si="280"/>
        <v/>
      </c>
      <c r="AW232" s="1472" t="str">
        <f t="shared" si="281"/>
        <v/>
      </c>
      <c r="AX232" s="1028"/>
      <c r="AY232" s="130" t="str">
        <f t="shared" si="282"/>
        <v/>
      </c>
      <c r="AZ232" s="1472" t="str">
        <f t="shared" si="283"/>
        <v/>
      </c>
      <c r="BA232" s="1028"/>
      <c r="BB232" s="130" t="str">
        <f t="shared" si="284"/>
        <v/>
      </c>
      <c r="BC232" s="1472" t="str">
        <f t="shared" si="285"/>
        <v/>
      </c>
      <c r="BD232" s="1028"/>
      <c r="BE232" s="130" t="str">
        <f t="shared" si="286"/>
        <v/>
      </c>
      <c r="BF232" s="1472" t="str">
        <f t="shared" si="287"/>
        <v/>
      </c>
      <c r="BG232" s="1028"/>
      <c r="BH232" s="130" t="str">
        <f t="shared" si="288"/>
        <v/>
      </c>
      <c r="BI232" s="1472" t="str">
        <f t="shared" si="289"/>
        <v/>
      </c>
      <c r="BJ232" s="1028"/>
      <c r="BK232" s="130" t="str">
        <f t="shared" si="290"/>
        <v/>
      </c>
      <c r="BL232" s="1472" t="str">
        <f t="shared" si="291"/>
        <v/>
      </c>
      <c r="BM232" s="1028"/>
      <c r="BN232" s="130" t="str">
        <f t="shared" si="292"/>
        <v/>
      </c>
      <c r="BO232" s="1472" t="str">
        <f t="shared" si="293"/>
        <v/>
      </c>
      <c r="BP232" s="1028"/>
      <c r="BQ232" s="130" t="str">
        <f t="shared" si="294"/>
        <v/>
      </c>
      <c r="BR232" s="1472" t="str">
        <f t="shared" si="295"/>
        <v/>
      </c>
      <c r="BS232" s="1028"/>
      <c r="BT232" s="130" t="str">
        <f t="shared" si="296"/>
        <v/>
      </c>
      <c r="BU232" s="1472" t="str">
        <f t="shared" si="297"/>
        <v/>
      </c>
      <c r="BV232" s="1028"/>
      <c r="BW232" s="130" t="str">
        <f t="shared" si="298"/>
        <v/>
      </c>
      <c r="BX232" s="1472" t="str">
        <f t="shared" si="299"/>
        <v/>
      </c>
      <c r="BY232" s="1028"/>
      <c r="BZ232" s="130" t="str">
        <f t="shared" si="300"/>
        <v/>
      </c>
      <c r="CA232" s="1472" t="str">
        <f t="shared" si="301"/>
        <v/>
      </c>
      <c r="CB232" s="1028"/>
      <c r="CC232" s="130" t="str">
        <f t="shared" si="302"/>
        <v/>
      </c>
      <c r="CD232" s="1472" t="str">
        <f t="shared" si="303"/>
        <v/>
      </c>
      <c r="CE232" s="1028"/>
      <c r="CF232" s="130" t="str">
        <f t="shared" si="304"/>
        <v/>
      </c>
      <c r="CG232" s="1472" t="str">
        <f t="shared" si="305"/>
        <v/>
      </c>
      <c r="CH232" s="1028"/>
      <c r="CI232" s="130" t="str">
        <f t="shared" si="306"/>
        <v/>
      </c>
      <c r="CJ232" s="1472" t="str">
        <f t="shared" si="307"/>
        <v/>
      </c>
      <c r="CK232" s="1028"/>
      <c r="CL232" s="130" t="str">
        <f t="shared" si="308"/>
        <v/>
      </c>
      <c r="CM232" s="1472" t="str">
        <f t="shared" si="309"/>
        <v/>
      </c>
      <c r="CN232" s="1028"/>
      <c r="CO232" s="130" t="str">
        <f t="shared" si="310"/>
        <v/>
      </c>
      <c r="CP232" s="1472" t="str">
        <f t="shared" si="311"/>
        <v/>
      </c>
      <c r="CQ232" s="1028"/>
      <c r="CR232" s="130" t="str">
        <f t="shared" si="312"/>
        <v/>
      </c>
      <c r="CS232" s="1472" t="str">
        <f t="shared" si="313"/>
        <v/>
      </c>
      <c r="CT232" s="1028"/>
      <c r="CU232" s="130" t="str">
        <f t="shared" si="314"/>
        <v/>
      </c>
      <c r="CV232" s="1472" t="str">
        <f t="shared" si="315"/>
        <v/>
      </c>
      <c r="CW232" s="1028"/>
      <c r="CX232" s="130" t="str">
        <f t="shared" si="316"/>
        <v/>
      </c>
      <c r="CY232" s="1472" t="str">
        <f t="shared" si="317"/>
        <v/>
      </c>
      <c r="CZ232" s="1028"/>
      <c r="DA232" s="130" t="str">
        <f t="shared" si="318"/>
        <v/>
      </c>
      <c r="DB232" s="1472" t="str">
        <f t="shared" si="319"/>
        <v/>
      </c>
      <c r="DC232" s="1028"/>
      <c r="DD232" s="130" t="str">
        <f t="shared" si="320"/>
        <v/>
      </c>
      <c r="DE232" s="1472" t="str">
        <f t="shared" si="321"/>
        <v/>
      </c>
      <c r="DF232" s="1028"/>
      <c r="DG232" s="130" t="str">
        <f t="shared" si="322"/>
        <v/>
      </c>
      <c r="DH232" s="1472" t="str">
        <f t="shared" si="323"/>
        <v/>
      </c>
      <c r="DI232" s="1028"/>
      <c r="DJ232" s="130" t="str">
        <f t="shared" si="324"/>
        <v/>
      </c>
      <c r="DK232" s="1472" t="str">
        <f t="shared" si="325"/>
        <v/>
      </c>
      <c r="DL232" s="1028"/>
      <c r="DM232" s="130" t="str">
        <f t="shared" si="326"/>
        <v/>
      </c>
      <c r="DN232" s="1472" t="str">
        <f t="shared" si="327"/>
        <v/>
      </c>
      <c r="DO232" s="1028"/>
      <c r="DP232" s="130" t="str">
        <f t="shared" si="328"/>
        <v/>
      </c>
      <c r="DQ232" s="1472" t="str">
        <f t="shared" si="329"/>
        <v/>
      </c>
      <c r="DR232" s="1028"/>
      <c r="DS232" s="130" t="str">
        <f t="shared" si="330"/>
        <v/>
      </c>
      <c r="DT232" s="1472" t="str">
        <f t="shared" si="331"/>
        <v/>
      </c>
      <c r="DU232" s="1028"/>
      <c r="DV232" s="130" t="str">
        <f t="shared" si="332"/>
        <v/>
      </c>
      <c r="DW232" s="1472" t="str">
        <f t="shared" si="333"/>
        <v/>
      </c>
      <c r="DX232" s="147"/>
    </row>
    <row r="233" ht="23.25" customHeight="true" x14ac:dyDescent="0.25">
      <c r="B233" s="1612"/>
      <c r="C233" s="1613"/>
      <c r="D233" s="1613"/>
      <c r="E233" s="1154">
        <f t="shared" si="170"/>
        <v>48</v>
      </c>
      <c r="F233" s="1734" t="str">
        <f t="shared" si="253"/>
        <v/>
      </c>
      <c r="G233" s="1735"/>
      <c r="H233" s="1028"/>
      <c r="I233" s="130" t="str">
        <f t="shared" si="254"/>
        <v/>
      </c>
      <c r="J233" s="5" t="str">
        <f t="shared" si="255"/>
        <v/>
      </c>
      <c r="K233" s="1028"/>
      <c r="L233" s="130" t="str">
        <f t="shared" si="256"/>
        <v/>
      </c>
      <c r="M233" s="5" t="str">
        <f t="shared" si="257"/>
        <v/>
      </c>
      <c r="N233" s="1028"/>
      <c r="O233" s="130" t="str">
        <f t="shared" si="258"/>
        <v/>
      </c>
      <c r="P233" s="5" t="str">
        <f t="shared" si="259"/>
        <v/>
      </c>
      <c r="Q233" s="1028"/>
      <c r="R233" s="130" t="str">
        <f t="shared" si="260"/>
        <v/>
      </c>
      <c r="S233" s="1472" t="str">
        <f t="shared" si="261"/>
        <v/>
      </c>
      <c r="T233" s="1028"/>
      <c r="U233" s="130" t="str">
        <f t="shared" si="262"/>
        <v/>
      </c>
      <c r="V233" s="1472" t="str">
        <f t="shared" si="263"/>
        <v/>
      </c>
      <c r="W233" s="1028"/>
      <c r="X233" s="130" t="str">
        <f t="shared" si="264"/>
        <v/>
      </c>
      <c r="Y233" s="1472" t="str">
        <f t="shared" si="265"/>
        <v/>
      </c>
      <c r="Z233" s="1028"/>
      <c r="AA233" s="130" t="str">
        <f t="shared" si="266"/>
        <v/>
      </c>
      <c r="AB233" s="1472" t="str">
        <f t="shared" si="267"/>
        <v/>
      </c>
      <c r="AC233" s="1028"/>
      <c r="AD233" s="130" t="str">
        <f t="shared" si="268"/>
        <v/>
      </c>
      <c r="AE233" s="1472" t="str">
        <f t="shared" si="269"/>
        <v/>
      </c>
      <c r="AF233" s="1028"/>
      <c r="AG233" s="130" t="str">
        <f t="shared" si="270"/>
        <v/>
      </c>
      <c r="AH233" s="1472" t="str">
        <f t="shared" si="271"/>
        <v/>
      </c>
      <c r="AI233" s="1028"/>
      <c r="AJ233" s="130" t="str">
        <f t="shared" si="272"/>
        <v/>
      </c>
      <c r="AK233" s="1472" t="str">
        <f t="shared" si="273"/>
        <v/>
      </c>
      <c r="AL233" s="1028"/>
      <c r="AM233" s="130" t="str">
        <f t="shared" si="274"/>
        <v/>
      </c>
      <c r="AN233" s="1472" t="str">
        <f t="shared" si="275"/>
        <v/>
      </c>
      <c r="AO233" s="1028"/>
      <c r="AP233" s="130" t="str">
        <f t="shared" si="276"/>
        <v/>
      </c>
      <c r="AQ233" s="1472" t="str">
        <f t="shared" si="277"/>
        <v/>
      </c>
      <c r="AR233" s="1028"/>
      <c r="AS233" s="130" t="str">
        <f t="shared" si="278"/>
        <v/>
      </c>
      <c r="AT233" s="1472" t="str">
        <f t="shared" si="279"/>
        <v/>
      </c>
      <c r="AU233" s="1028"/>
      <c r="AV233" s="130" t="str">
        <f t="shared" si="280"/>
        <v/>
      </c>
      <c r="AW233" s="1472" t="str">
        <f t="shared" si="281"/>
        <v/>
      </c>
      <c r="AX233" s="1028"/>
      <c r="AY233" s="130" t="str">
        <f t="shared" si="282"/>
        <v/>
      </c>
      <c r="AZ233" s="1472" t="str">
        <f t="shared" si="283"/>
        <v/>
      </c>
      <c r="BA233" s="1028"/>
      <c r="BB233" s="130" t="str">
        <f t="shared" si="284"/>
        <v/>
      </c>
      <c r="BC233" s="1472" t="str">
        <f t="shared" si="285"/>
        <v/>
      </c>
      <c r="BD233" s="1028"/>
      <c r="BE233" s="130" t="str">
        <f t="shared" si="286"/>
        <v/>
      </c>
      <c r="BF233" s="1472" t="str">
        <f t="shared" si="287"/>
        <v/>
      </c>
      <c r="BG233" s="1028"/>
      <c r="BH233" s="130" t="str">
        <f t="shared" si="288"/>
        <v/>
      </c>
      <c r="BI233" s="1472" t="str">
        <f t="shared" si="289"/>
        <v/>
      </c>
      <c r="BJ233" s="1028"/>
      <c r="BK233" s="130" t="str">
        <f t="shared" si="290"/>
        <v/>
      </c>
      <c r="BL233" s="1472" t="str">
        <f t="shared" si="291"/>
        <v/>
      </c>
      <c r="BM233" s="1028"/>
      <c r="BN233" s="130" t="str">
        <f t="shared" si="292"/>
        <v/>
      </c>
      <c r="BO233" s="1472" t="str">
        <f t="shared" si="293"/>
        <v/>
      </c>
      <c r="BP233" s="1028"/>
      <c r="BQ233" s="130" t="str">
        <f t="shared" si="294"/>
        <v/>
      </c>
      <c r="BR233" s="1472" t="str">
        <f t="shared" si="295"/>
        <v/>
      </c>
      <c r="BS233" s="1028"/>
      <c r="BT233" s="130" t="str">
        <f t="shared" si="296"/>
        <v/>
      </c>
      <c r="BU233" s="1472" t="str">
        <f t="shared" si="297"/>
        <v/>
      </c>
      <c r="BV233" s="1028"/>
      <c r="BW233" s="130" t="str">
        <f t="shared" si="298"/>
        <v/>
      </c>
      <c r="BX233" s="1472" t="str">
        <f t="shared" si="299"/>
        <v/>
      </c>
      <c r="BY233" s="1028"/>
      <c r="BZ233" s="130" t="str">
        <f t="shared" si="300"/>
        <v/>
      </c>
      <c r="CA233" s="1472" t="str">
        <f t="shared" si="301"/>
        <v/>
      </c>
      <c r="CB233" s="1028"/>
      <c r="CC233" s="130" t="str">
        <f t="shared" si="302"/>
        <v/>
      </c>
      <c r="CD233" s="1472" t="str">
        <f t="shared" si="303"/>
        <v/>
      </c>
      <c r="CE233" s="1028"/>
      <c r="CF233" s="130" t="str">
        <f t="shared" si="304"/>
        <v/>
      </c>
      <c r="CG233" s="1472" t="str">
        <f t="shared" si="305"/>
        <v/>
      </c>
      <c r="CH233" s="1028"/>
      <c r="CI233" s="130" t="str">
        <f t="shared" si="306"/>
        <v/>
      </c>
      <c r="CJ233" s="1472" t="str">
        <f t="shared" si="307"/>
        <v/>
      </c>
      <c r="CK233" s="1028"/>
      <c r="CL233" s="130" t="str">
        <f t="shared" si="308"/>
        <v/>
      </c>
      <c r="CM233" s="1472" t="str">
        <f t="shared" si="309"/>
        <v/>
      </c>
      <c r="CN233" s="1028"/>
      <c r="CO233" s="130" t="str">
        <f t="shared" si="310"/>
        <v/>
      </c>
      <c r="CP233" s="1472" t="str">
        <f t="shared" si="311"/>
        <v/>
      </c>
      <c r="CQ233" s="1028"/>
      <c r="CR233" s="130" t="str">
        <f t="shared" si="312"/>
        <v/>
      </c>
      <c r="CS233" s="1472" t="str">
        <f t="shared" si="313"/>
        <v/>
      </c>
      <c r="CT233" s="1028"/>
      <c r="CU233" s="130" t="str">
        <f t="shared" si="314"/>
        <v/>
      </c>
      <c r="CV233" s="1472" t="str">
        <f t="shared" si="315"/>
        <v/>
      </c>
      <c r="CW233" s="1028"/>
      <c r="CX233" s="130" t="str">
        <f t="shared" si="316"/>
        <v/>
      </c>
      <c r="CY233" s="1472" t="str">
        <f t="shared" si="317"/>
        <v/>
      </c>
      <c r="CZ233" s="1028"/>
      <c r="DA233" s="130" t="str">
        <f t="shared" si="318"/>
        <v/>
      </c>
      <c r="DB233" s="1472" t="str">
        <f t="shared" si="319"/>
        <v/>
      </c>
      <c r="DC233" s="1028"/>
      <c r="DD233" s="130" t="str">
        <f t="shared" si="320"/>
        <v/>
      </c>
      <c r="DE233" s="1472" t="str">
        <f t="shared" si="321"/>
        <v/>
      </c>
      <c r="DF233" s="1028"/>
      <c r="DG233" s="130" t="str">
        <f t="shared" si="322"/>
        <v/>
      </c>
      <c r="DH233" s="1472" t="str">
        <f t="shared" si="323"/>
        <v/>
      </c>
      <c r="DI233" s="1028"/>
      <c r="DJ233" s="130" t="str">
        <f t="shared" si="324"/>
        <v/>
      </c>
      <c r="DK233" s="1472" t="str">
        <f t="shared" si="325"/>
        <v/>
      </c>
      <c r="DL233" s="1028"/>
      <c r="DM233" s="130" t="str">
        <f t="shared" si="326"/>
        <v/>
      </c>
      <c r="DN233" s="1472" t="str">
        <f t="shared" si="327"/>
        <v/>
      </c>
      <c r="DO233" s="1028"/>
      <c r="DP233" s="130" t="str">
        <f t="shared" si="328"/>
        <v/>
      </c>
      <c r="DQ233" s="1472" t="str">
        <f t="shared" si="329"/>
        <v/>
      </c>
      <c r="DR233" s="1028"/>
      <c r="DS233" s="130" t="str">
        <f t="shared" si="330"/>
        <v/>
      </c>
      <c r="DT233" s="1472" t="str">
        <f t="shared" si="331"/>
        <v/>
      </c>
      <c r="DU233" s="1028"/>
      <c r="DV233" s="130" t="str">
        <f t="shared" si="332"/>
        <v/>
      </c>
      <c r="DW233" s="1472" t="str">
        <f t="shared" si="333"/>
        <v/>
      </c>
      <c r="DX233" s="147"/>
    </row>
    <row r="234" ht="23.25" customHeight="true" x14ac:dyDescent="0.25">
      <c r="B234" s="1612"/>
      <c r="C234" s="1613"/>
      <c r="D234" s="1613"/>
      <c r="E234" s="1154">
        <f t="shared" si="170"/>
        <v>49</v>
      </c>
      <c r="F234" s="1734" t="str">
        <f t="shared" si="253"/>
        <v/>
      </c>
      <c r="G234" s="1735"/>
      <c r="H234" s="1028"/>
      <c r="I234" s="130" t="str">
        <f t="shared" si="254"/>
        <v/>
      </c>
      <c r="J234" s="5" t="str">
        <f t="shared" si="255"/>
        <v/>
      </c>
      <c r="K234" s="1028"/>
      <c r="L234" s="130" t="str">
        <f t="shared" si="256"/>
        <v/>
      </c>
      <c r="M234" s="5" t="str">
        <f t="shared" si="257"/>
        <v/>
      </c>
      <c r="N234" s="1028"/>
      <c r="O234" s="130" t="str">
        <f t="shared" si="258"/>
        <v/>
      </c>
      <c r="P234" s="5" t="str">
        <f t="shared" si="259"/>
        <v/>
      </c>
      <c r="Q234" s="1028"/>
      <c r="R234" s="130" t="str">
        <f t="shared" si="260"/>
        <v/>
      </c>
      <c r="S234" s="1472" t="str">
        <f t="shared" si="261"/>
        <v/>
      </c>
      <c r="T234" s="1028"/>
      <c r="U234" s="130" t="str">
        <f t="shared" si="262"/>
        <v/>
      </c>
      <c r="V234" s="1472" t="str">
        <f t="shared" si="263"/>
        <v/>
      </c>
      <c r="W234" s="1028"/>
      <c r="X234" s="130" t="str">
        <f t="shared" si="264"/>
        <v/>
      </c>
      <c r="Y234" s="1472" t="str">
        <f t="shared" si="265"/>
        <v/>
      </c>
      <c r="Z234" s="1028"/>
      <c r="AA234" s="130" t="str">
        <f t="shared" si="266"/>
        <v/>
      </c>
      <c r="AB234" s="1472" t="str">
        <f t="shared" si="267"/>
        <v/>
      </c>
      <c r="AC234" s="1028"/>
      <c r="AD234" s="130" t="str">
        <f t="shared" si="268"/>
        <v/>
      </c>
      <c r="AE234" s="1472" t="str">
        <f t="shared" si="269"/>
        <v/>
      </c>
      <c r="AF234" s="1028"/>
      <c r="AG234" s="130" t="str">
        <f t="shared" si="270"/>
        <v/>
      </c>
      <c r="AH234" s="1472" t="str">
        <f t="shared" si="271"/>
        <v/>
      </c>
      <c r="AI234" s="1028"/>
      <c r="AJ234" s="130" t="str">
        <f t="shared" si="272"/>
        <v/>
      </c>
      <c r="AK234" s="1472" t="str">
        <f t="shared" si="273"/>
        <v/>
      </c>
      <c r="AL234" s="1028"/>
      <c r="AM234" s="130" t="str">
        <f t="shared" si="274"/>
        <v/>
      </c>
      <c r="AN234" s="1472" t="str">
        <f t="shared" si="275"/>
        <v/>
      </c>
      <c r="AO234" s="1028"/>
      <c r="AP234" s="130" t="str">
        <f t="shared" si="276"/>
        <v/>
      </c>
      <c r="AQ234" s="1472" t="str">
        <f t="shared" si="277"/>
        <v/>
      </c>
      <c r="AR234" s="1028"/>
      <c r="AS234" s="130" t="str">
        <f t="shared" si="278"/>
        <v/>
      </c>
      <c r="AT234" s="1472" t="str">
        <f t="shared" si="279"/>
        <v/>
      </c>
      <c r="AU234" s="1028"/>
      <c r="AV234" s="130" t="str">
        <f t="shared" si="280"/>
        <v/>
      </c>
      <c r="AW234" s="1472" t="str">
        <f t="shared" si="281"/>
        <v/>
      </c>
      <c r="AX234" s="1028"/>
      <c r="AY234" s="130" t="str">
        <f t="shared" si="282"/>
        <v/>
      </c>
      <c r="AZ234" s="1472" t="str">
        <f t="shared" si="283"/>
        <v/>
      </c>
      <c r="BA234" s="1028"/>
      <c r="BB234" s="130" t="str">
        <f t="shared" si="284"/>
        <v/>
      </c>
      <c r="BC234" s="1472" t="str">
        <f t="shared" si="285"/>
        <v/>
      </c>
      <c r="BD234" s="1028"/>
      <c r="BE234" s="130" t="str">
        <f t="shared" si="286"/>
        <v/>
      </c>
      <c r="BF234" s="1472" t="str">
        <f t="shared" si="287"/>
        <v/>
      </c>
      <c r="BG234" s="1028"/>
      <c r="BH234" s="130" t="str">
        <f t="shared" si="288"/>
        <v/>
      </c>
      <c r="BI234" s="1472" t="str">
        <f t="shared" si="289"/>
        <v/>
      </c>
      <c r="BJ234" s="1028"/>
      <c r="BK234" s="130" t="str">
        <f t="shared" si="290"/>
        <v/>
      </c>
      <c r="BL234" s="1472" t="str">
        <f t="shared" si="291"/>
        <v/>
      </c>
      <c r="BM234" s="1028"/>
      <c r="BN234" s="130" t="str">
        <f t="shared" si="292"/>
        <v/>
      </c>
      <c r="BO234" s="1472" t="str">
        <f t="shared" si="293"/>
        <v/>
      </c>
      <c r="BP234" s="1028"/>
      <c r="BQ234" s="130" t="str">
        <f t="shared" si="294"/>
        <v/>
      </c>
      <c r="BR234" s="1472" t="str">
        <f t="shared" si="295"/>
        <v/>
      </c>
      <c r="BS234" s="1028"/>
      <c r="BT234" s="130" t="str">
        <f t="shared" si="296"/>
        <v/>
      </c>
      <c r="BU234" s="1472" t="str">
        <f t="shared" si="297"/>
        <v/>
      </c>
      <c r="BV234" s="1028"/>
      <c r="BW234" s="130" t="str">
        <f t="shared" si="298"/>
        <v/>
      </c>
      <c r="BX234" s="1472" t="str">
        <f t="shared" si="299"/>
        <v/>
      </c>
      <c r="BY234" s="1028"/>
      <c r="BZ234" s="130" t="str">
        <f t="shared" si="300"/>
        <v/>
      </c>
      <c r="CA234" s="1472" t="str">
        <f t="shared" si="301"/>
        <v/>
      </c>
      <c r="CB234" s="1028"/>
      <c r="CC234" s="130" t="str">
        <f t="shared" si="302"/>
        <v/>
      </c>
      <c r="CD234" s="1472" t="str">
        <f t="shared" si="303"/>
        <v/>
      </c>
      <c r="CE234" s="1028"/>
      <c r="CF234" s="130" t="str">
        <f t="shared" si="304"/>
        <v/>
      </c>
      <c r="CG234" s="1472" t="str">
        <f t="shared" si="305"/>
        <v/>
      </c>
      <c r="CH234" s="1028"/>
      <c r="CI234" s="130" t="str">
        <f t="shared" si="306"/>
        <v/>
      </c>
      <c r="CJ234" s="1472" t="str">
        <f t="shared" si="307"/>
        <v/>
      </c>
      <c r="CK234" s="1028"/>
      <c r="CL234" s="130" t="str">
        <f t="shared" si="308"/>
        <v/>
      </c>
      <c r="CM234" s="1472" t="str">
        <f t="shared" si="309"/>
        <v/>
      </c>
      <c r="CN234" s="1028"/>
      <c r="CO234" s="130" t="str">
        <f t="shared" si="310"/>
        <v/>
      </c>
      <c r="CP234" s="1472" t="str">
        <f t="shared" si="311"/>
        <v/>
      </c>
      <c r="CQ234" s="1028"/>
      <c r="CR234" s="130" t="str">
        <f t="shared" si="312"/>
        <v/>
      </c>
      <c r="CS234" s="1472" t="str">
        <f t="shared" si="313"/>
        <v/>
      </c>
      <c r="CT234" s="1028"/>
      <c r="CU234" s="130" t="str">
        <f t="shared" si="314"/>
        <v/>
      </c>
      <c r="CV234" s="1472" t="str">
        <f t="shared" si="315"/>
        <v/>
      </c>
      <c r="CW234" s="1028"/>
      <c r="CX234" s="130" t="str">
        <f t="shared" si="316"/>
        <v/>
      </c>
      <c r="CY234" s="1472" t="str">
        <f t="shared" si="317"/>
        <v/>
      </c>
      <c r="CZ234" s="1028"/>
      <c r="DA234" s="130" t="str">
        <f t="shared" si="318"/>
        <v/>
      </c>
      <c r="DB234" s="1472" t="str">
        <f t="shared" si="319"/>
        <v/>
      </c>
      <c r="DC234" s="1028"/>
      <c r="DD234" s="130" t="str">
        <f t="shared" si="320"/>
        <v/>
      </c>
      <c r="DE234" s="1472" t="str">
        <f t="shared" si="321"/>
        <v/>
      </c>
      <c r="DF234" s="1028"/>
      <c r="DG234" s="130" t="str">
        <f t="shared" si="322"/>
        <v/>
      </c>
      <c r="DH234" s="1472" t="str">
        <f t="shared" si="323"/>
        <v/>
      </c>
      <c r="DI234" s="1028"/>
      <c r="DJ234" s="130" t="str">
        <f t="shared" si="324"/>
        <v/>
      </c>
      <c r="DK234" s="1472" t="str">
        <f t="shared" si="325"/>
        <v/>
      </c>
      <c r="DL234" s="1028"/>
      <c r="DM234" s="130" t="str">
        <f t="shared" si="326"/>
        <v/>
      </c>
      <c r="DN234" s="1472" t="str">
        <f t="shared" si="327"/>
        <v/>
      </c>
      <c r="DO234" s="1028"/>
      <c r="DP234" s="130" t="str">
        <f t="shared" si="328"/>
        <v/>
      </c>
      <c r="DQ234" s="1472" t="str">
        <f t="shared" si="329"/>
        <v/>
      </c>
      <c r="DR234" s="1028"/>
      <c r="DS234" s="130" t="str">
        <f t="shared" si="330"/>
        <v/>
      </c>
      <c r="DT234" s="1472" t="str">
        <f t="shared" si="331"/>
        <v/>
      </c>
      <c r="DU234" s="1028"/>
      <c r="DV234" s="130" t="str">
        <f t="shared" si="332"/>
        <v/>
      </c>
      <c r="DW234" s="1472" t="str">
        <f t="shared" si="333"/>
        <v/>
      </c>
      <c r="DX234" s="147"/>
    </row>
    <row r="235" ht="23.25" customHeight="true" x14ac:dyDescent="0.25">
      <c r="B235" s="1612"/>
      <c r="C235" s="1613"/>
      <c r="D235" s="1613"/>
      <c r="E235" s="1154">
        <f t="shared" si="170"/>
        <v>50</v>
      </c>
      <c r="F235" s="1734" t="str">
        <f t="shared" si="253"/>
        <v/>
      </c>
      <c r="G235" s="1735"/>
      <c r="H235" s="1028"/>
      <c r="I235" s="130" t="str">
        <f t="shared" si="254"/>
        <v/>
      </c>
      <c r="J235" s="5" t="str">
        <f t="shared" si="255"/>
        <v/>
      </c>
      <c r="K235" s="1028"/>
      <c r="L235" s="130" t="str">
        <f t="shared" si="256"/>
        <v/>
      </c>
      <c r="M235" s="5" t="str">
        <f t="shared" si="257"/>
        <v/>
      </c>
      <c r="N235" s="1028"/>
      <c r="O235" s="130" t="str">
        <f t="shared" si="258"/>
        <v/>
      </c>
      <c r="P235" s="5" t="str">
        <f t="shared" si="259"/>
        <v/>
      </c>
      <c r="Q235" s="1028"/>
      <c r="R235" s="130" t="str">
        <f t="shared" si="260"/>
        <v/>
      </c>
      <c r="S235" s="1472" t="str">
        <f t="shared" si="261"/>
        <v/>
      </c>
      <c r="T235" s="1028"/>
      <c r="U235" s="130" t="str">
        <f t="shared" si="262"/>
        <v/>
      </c>
      <c r="V235" s="1472" t="str">
        <f t="shared" si="263"/>
        <v/>
      </c>
      <c r="W235" s="1028"/>
      <c r="X235" s="130" t="str">
        <f t="shared" si="264"/>
        <v/>
      </c>
      <c r="Y235" s="1472" t="str">
        <f t="shared" si="265"/>
        <v/>
      </c>
      <c r="Z235" s="1028"/>
      <c r="AA235" s="130" t="str">
        <f t="shared" si="266"/>
        <v/>
      </c>
      <c r="AB235" s="1472" t="str">
        <f t="shared" si="267"/>
        <v/>
      </c>
      <c r="AC235" s="1028"/>
      <c r="AD235" s="130" t="str">
        <f t="shared" si="268"/>
        <v/>
      </c>
      <c r="AE235" s="1472" t="str">
        <f t="shared" si="269"/>
        <v/>
      </c>
      <c r="AF235" s="1028"/>
      <c r="AG235" s="130" t="str">
        <f t="shared" si="270"/>
        <v/>
      </c>
      <c r="AH235" s="1472" t="str">
        <f t="shared" si="271"/>
        <v/>
      </c>
      <c r="AI235" s="1028"/>
      <c r="AJ235" s="130" t="str">
        <f t="shared" si="272"/>
        <v/>
      </c>
      <c r="AK235" s="1472" t="str">
        <f t="shared" si="273"/>
        <v/>
      </c>
      <c r="AL235" s="1028"/>
      <c r="AM235" s="130" t="str">
        <f t="shared" si="274"/>
        <v/>
      </c>
      <c r="AN235" s="1472" t="str">
        <f t="shared" si="275"/>
        <v/>
      </c>
      <c r="AO235" s="1028"/>
      <c r="AP235" s="130" t="str">
        <f t="shared" si="276"/>
        <v/>
      </c>
      <c r="AQ235" s="1472" t="str">
        <f t="shared" si="277"/>
        <v/>
      </c>
      <c r="AR235" s="1028"/>
      <c r="AS235" s="130" t="str">
        <f t="shared" si="278"/>
        <v/>
      </c>
      <c r="AT235" s="1472" t="str">
        <f t="shared" si="279"/>
        <v/>
      </c>
      <c r="AU235" s="1028"/>
      <c r="AV235" s="130" t="str">
        <f t="shared" si="280"/>
        <v/>
      </c>
      <c r="AW235" s="1472" t="str">
        <f t="shared" si="281"/>
        <v/>
      </c>
      <c r="AX235" s="1028"/>
      <c r="AY235" s="130" t="str">
        <f t="shared" si="282"/>
        <v/>
      </c>
      <c r="AZ235" s="1472" t="str">
        <f t="shared" si="283"/>
        <v/>
      </c>
      <c r="BA235" s="1028"/>
      <c r="BB235" s="130" t="str">
        <f t="shared" si="284"/>
        <v/>
      </c>
      <c r="BC235" s="1472" t="str">
        <f t="shared" si="285"/>
        <v/>
      </c>
      <c r="BD235" s="1028"/>
      <c r="BE235" s="130" t="str">
        <f t="shared" si="286"/>
        <v/>
      </c>
      <c r="BF235" s="1472" t="str">
        <f t="shared" si="287"/>
        <v/>
      </c>
      <c r="BG235" s="1028"/>
      <c r="BH235" s="130" t="str">
        <f t="shared" si="288"/>
        <v/>
      </c>
      <c r="BI235" s="1472" t="str">
        <f t="shared" si="289"/>
        <v/>
      </c>
      <c r="BJ235" s="1028"/>
      <c r="BK235" s="130" t="str">
        <f t="shared" si="290"/>
        <v/>
      </c>
      <c r="BL235" s="1472" t="str">
        <f t="shared" si="291"/>
        <v/>
      </c>
      <c r="BM235" s="1028"/>
      <c r="BN235" s="130" t="str">
        <f t="shared" si="292"/>
        <v/>
      </c>
      <c r="BO235" s="1472" t="str">
        <f t="shared" si="293"/>
        <v/>
      </c>
      <c r="BP235" s="1028"/>
      <c r="BQ235" s="130" t="str">
        <f t="shared" si="294"/>
        <v/>
      </c>
      <c r="BR235" s="1472" t="str">
        <f t="shared" si="295"/>
        <v/>
      </c>
      <c r="BS235" s="1028"/>
      <c r="BT235" s="130" t="str">
        <f t="shared" si="296"/>
        <v/>
      </c>
      <c r="BU235" s="1472" t="str">
        <f t="shared" si="297"/>
        <v/>
      </c>
      <c r="BV235" s="1028"/>
      <c r="BW235" s="130" t="str">
        <f t="shared" si="298"/>
        <v/>
      </c>
      <c r="BX235" s="1472" t="str">
        <f t="shared" si="299"/>
        <v/>
      </c>
      <c r="BY235" s="1028"/>
      <c r="BZ235" s="130" t="str">
        <f t="shared" si="300"/>
        <v/>
      </c>
      <c r="CA235" s="1472" t="str">
        <f t="shared" si="301"/>
        <v/>
      </c>
      <c r="CB235" s="1028"/>
      <c r="CC235" s="130" t="str">
        <f t="shared" si="302"/>
        <v/>
      </c>
      <c r="CD235" s="1472" t="str">
        <f t="shared" si="303"/>
        <v/>
      </c>
      <c r="CE235" s="1028"/>
      <c r="CF235" s="130" t="str">
        <f t="shared" si="304"/>
        <v/>
      </c>
      <c r="CG235" s="1472" t="str">
        <f t="shared" si="305"/>
        <v/>
      </c>
      <c r="CH235" s="1028"/>
      <c r="CI235" s="130" t="str">
        <f t="shared" si="306"/>
        <v/>
      </c>
      <c r="CJ235" s="1472" t="str">
        <f t="shared" si="307"/>
        <v/>
      </c>
      <c r="CK235" s="1028"/>
      <c r="CL235" s="130" t="str">
        <f t="shared" si="308"/>
        <v/>
      </c>
      <c r="CM235" s="1472" t="str">
        <f t="shared" si="309"/>
        <v/>
      </c>
      <c r="CN235" s="1028"/>
      <c r="CO235" s="130" t="str">
        <f t="shared" si="310"/>
        <v/>
      </c>
      <c r="CP235" s="1472" t="str">
        <f t="shared" si="311"/>
        <v/>
      </c>
      <c r="CQ235" s="1028"/>
      <c r="CR235" s="130" t="str">
        <f t="shared" si="312"/>
        <v/>
      </c>
      <c r="CS235" s="1472" t="str">
        <f t="shared" si="313"/>
        <v/>
      </c>
      <c r="CT235" s="1028"/>
      <c r="CU235" s="130" t="str">
        <f t="shared" si="314"/>
        <v/>
      </c>
      <c r="CV235" s="1472" t="str">
        <f t="shared" si="315"/>
        <v/>
      </c>
      <c r="CW235" s="1028"/>
      <c r="CX235" s="130" t="str">
        <f t="shared" si="316"/>
        <v/>
      </c>
      <c r="CY235" s="1472" t="str">
        <f t="shared" si="317"/>
        <v/>
      </c>
      <c r="CZ235" s="1028"/>
      <c r="DA235" s="130" t="str">
        <f t="shared" si="318"/>
        <v/>
      </c>
      <c r="DB235" s="1472" t="str">
        <f t="shared" si="319"/>
        <v/>
      </c>
      <c r="DC235" s="1028"/>
      <c r="DD235" s="130" t="str">
        <f t="shared" si="320"/>
        <v/>
      </c>
      <c r="DE235" s="1472" t="str">
        <f t="shared" si="321"/>
        <v/>
      </c>
      <c r="DF235" s="1028"/>
      <c r="DG235" s="130" t="str">
        <f t="shared" si="322"/>
        <v/>
      </c>
      <c r="DH235" s="1472" t="str">
        <f t="shared" si="323"/>
        <v/>
      </c>
      <c r="DI235" s="1028"/>
      <c r="DJ235" s="130" t="str">
        <f t="shared" si="324"/>
        <v/>
      </c>
      <c r="DK235" s="1472" t="str">
        <f t="shared" si="325"/>
        <v/>
      </c>
      <c r="DL235" s="1028"/>
      <c r="DM235" s="130" t="str">
        <f t="shared" si="326"/>
        <v/>
      </c>
      <c r="DN235" s="1472" t="str">
        <f t="shared" si="327"/>
        <v/>
      </c>
      <c r="DO235" s="1028"/>
      <c r="DP235" s="130" t="str">
        <f t="shared" si="328"/>
        <v/>
      </c>
      <c r="DQ235" s="1472" t="str">
        <f t="shared" si="329"/>
        <v/>
      </c>
      <c r="DR235" s="1028"/>
      <c r="DS235" s="130" t="str">
        <f t="shared" si="330"/>
        <v/>
      </c>
      <c r="DT235" s="1472" t="str">
        <f t="shared" si="331"/>
        <v/>
      </c>
      <c r="DU235" s="1028"/>
      <c r="DV235" s="130" t="str">
        <f t="shared" si="332"/>
        <v/>
      </c>
      <c r="DW235" s="1472" t="str">
        <f t="shared" si="333"/>
        <v/>
      </c>
      <c r="DX235" s="147"/>
    </row>
    <row r="236" ht="23.25" customHeight="true" x14ac:dyDescent="0.25">
      <c r="B236" s="1612"/>
      <c r="C236" s="1613"/>
      <c r="D236" s="1613"/>
      <c r="E236" s="1617"/>
      <c r="F236" s="1734" t="s">
        <v>88</v>
      </c>
      <c r="G236" s="1735"/>
      <c r="H236" s="1474">
        <f t="shared" ref="H236:AM236" si="334">SUM(H186:H235)</f>
        <v>4512.0151204088124</v>
      </c>
      <c r="I236" s="1475">
        <f t="shared" si="334"/>
        <v>67.729286743544378</v>
      </c>
      <c r="J236" s="1476">
        <f t="shared" si="334"/>
        <v>1</v>
      </c>
      <c r="K236" s="1474">
        <f t="shared" si="334"/>
        <v>2980.7504537999998</v>
      </c>
      <c r="L236" s="1475">
        <f t="shared" si="334"/>
        <v>67.729705036412582</v>
      </c>
      <c r="M236" s="1476">
        <f t="shared" si="334"/>
        <v>1</v>
      </c>
      <c r="N236" s="1474">
        <f t="shared" si="334"/>
        <v>0</v>
      </c>
      <c r="O236" s="1475">
        <f t="shared" si="334"/>
        <v>0</v>
      </c>
      <c r="P236" s="1476">
        <f t="shared" si="334"/>
        <v>0</v>
      </c>
      <c r="Q236" s="1474">
        <f t="shared" si="334"/>
        <v>0</v>
      </c>
      <c r="R236" s="1475">
        <f t="shared" si="334"/>
        <v>0</v>
      </c>
      <c r="S236" s="1476">
        <f t="shared" si="334"/>
        <v>0</v>
      </c>
      <c r="T236" s="1474">
        <f t="shared" si="334"/>
        <v>0</v>
      </c>
      <c r="U236" s="1475">
        <f t="shared" si="334"/>
        <v>0</v>
      </c>
      <c r="V236" s="1476">
        <f t="shared" si="334"/>
        <v>0</v>
      </c>
      <c r="W236" s="1474">
        <f t="shared" si="334"/>
        <v>0</v>
      </c>
      <c r="X236" s="1475">
        <f t="shared" si="334"/>
        <v>0</v>
      </c>
      <c r="Y236" s="1476">
        <f t="shared" si="334"/>
        <v>0</v>
      </c>
      <c r="Z236" s="1474">
        <f t="shared" si="334"/>
        <v>0</v>
      </c>
      <c r="AA236" s="1475">
        <f t="shared" si="334"/>
        <v>0</v>
      </c>
      <c r="AB236" s="1476">
        <f t="shared" si="334"/>
        <v>0</v>
      </c>
      <c r="AC236" s="1474">
        <f t="shared" si="334"/>
        <v>0</v>
      </c>
      <c r="AD236" s="1475">
        <f t="shared" si="334"/>
        <v>0</v>
      </c>
      <c r="AE236" s="1476">
        <f t="shared" si="334"/>
        <v>0</v>
      </c>
      <c r="AF236" s="1474">
        <f t="shared" si="334"/>
        <v>0</v>
      </c>
      <c r="AG236" s="1475">
        <f t="shared" si="334"/>
        <v>0</v>
      </c>
      <c r="AH236" s="1476">
        <f t="shared" si="334"/>
        <v>0</v>
      </c>
      <c r="AI236" s="1474">
        <f t="shared" si="334"/>
        <v>0</v>
      </c>
      <c r="AJ236" s="1475">
        <f t="shared" si="334"/>
        <v>0</v>
      </c>
      <c r="AK236" s="1476">
        <f t="shared" si="334"/>
        <v>0</v>
      </c>
      <c r="AL236" s="1474">
        <f t="shared" si="334"/>
        <v>0</v>
      </c>
      <c r="AM236" s="1475">
        <f t="shared" si="334"/>
        <v>0</v>
      </c>
      <c r="AN236" s="1476">
        <f t="shared" ref="AN236:BS236" si="335">SUM(AN186:AN235)</f>
        <v>0</v>
      </c>
      <c r="AO236" s="1474">
        <f t="shared" si="335"/>
        <v>0</v>
      </c>
      <c r="AP236" s="1475">
        <f t="shared" si="335"/>
        <v>0</v>
      </c>
      <c r="AQ236" s="1476">
        <f t="shared" si="335"/>
        <v>0</v>
      </c>
      <c r="AR236" s="1474">
        <f t="shared" si="335"/>
        <v>0</v>
      </c>
      <c r="AS236" s="1475">
        <f t="shared" si="335"/>
        <v>0</v>
      </c>
      <c r="AT236" s="1476">
        <f t="shared" si="335"/>
        <v>0</v>
      </c>
      <c r="AU236" s="1474">
        <f t="shared" si="335"/>
        <v>0</v>
      </c>
      <c r="AV236" s="1475">
        <f t="shared" si="335"/>
        <v>0</v>
      </c>
      <c r="AW236" s="1476">
        <f t="shared" si="335"/>
        <v>0</v>
      </c>
      <c r="AX236" s="1474">
        <f t="shared" si="335"/>
        <v>0</v>
      </c>
      <c r="AY236" s="1475">
        <f t="shared" si="335"/>
        <v>0</v>
      </c>
      <c r="AZ236" s="1476">
        <f t="shared" si="335"/>
        <v>0</v>
      </c>
      <c r="BA236" s="1474">
        <f t="shared" si="335"/>
        <v>0</v>
      </c>
      <c r="BB236" s="1475">
        <f t="shared" si="335"/>
        <v>0</v>
      </c>
      <c r="BC236" s="1476">
        <f t="shared" si="335"/>
        <v>0</v>
      </c>
      <c r="BD236" s="1474">
        <f t="shared" si="335"/>
        <v>0</v>
      </c>
      <c r="BE236" s="1475">
        <f t="shared" si="335"/>
        <v>0</v>
      </c>
      <c r="BF236" s="1476">
        <f t="shared" si="335"/>
        <v>0</v>
      </c>
      <c r="BG236" s="1474">
        <f t="shared" si="335"/>
        <v>0</v>
      </c>
      <c r="BH236" s="1475">
        <f t="shared" si="335"/>
        <v>0</v>
      </c>
      <c r="BI236" s="1476">
        <f t="shared" si="335"/>
        <v>0</v>
      </c>
      <c r="BJ236" s="1474">
        <f t="shared" si="335"/>
        <v>0</v>
      </c>
      <c r="BK236" s="1475">
        <f t="shared" si="335"/>
        <v>0</v>
      </c>
      <c r="BL236" s="1476">
        <f t="shared" si="335"/>
        <v>0</v>
      </c>
      <c r="BM236" s="1474">
        <f t="shared" si="335"/>
        <v>0</v>
      </c>
      <c r="BN236" s="1475">
        <f t="shared" si="335"/>
        <v>0</v>
      </c>
      <c r="BO236" s="1476">
        <f t="shared" si="335"/>
        <v>0</v>
      </c>
      <c r="BP236" s="1474">
        <f t="shared" si="335"/>
        <v>0</v>
      </c>
      <c r="BQ236" s="1475">
        <f t="shared" si="335"/>
        <v>0</v>
      </c>
      <c r="BR236" s="1476">
        <f t="shared" si="335"/>
        <v>0</v>
      </c>
      <c r="BS236" s="1474">
        <f t="shared" si="335"/>
        <v>0</v>
      </c>
      <c r="BT236" s="1475">
        <f t="shared" ref="BT236:CY236" si="336">SUM(BT186:BT235)</f>
        <v>0</v>
      </c>
      <c r="BU236" s="1476">
        <f t="shared" si="336"/>
        <v>0</v>
      </c>
      <c r="BV236" s="1474">
        <f t="shared" si="336"/>
        <v>0</v>
      </c>
      <c r="BW236" s="1475">
        <f t="shared" si="336"/>
        <v>0</v>
      </c>
      <c r="BX236" s="1476">
        <f t="shared" si="336"/>
        <v>0</v>
      </c>
      <c r="BY236" s="1474">
        <f t="shared" si="336"/>
        <v>0</v>
      </c>
      <c r="BZ236" s="1475">
        <f t="shared" si="336"/>
        <v>0</v>
      </c>
      <c r="CA236" s="1476">
        <f t="shared" si="336"/>
        <v>0</v>
      </c>
      <c r="CB236" s="1474">
        <f t="shared" si="336"/>
        <v>0</v>
      </c>
      <c r="CC236" s="1475">
        <f t="shared" si="336"/>
        <v>0</v>
      </c>
      <c r="CD236" s="1476">
        <f t="shared" si="336"/>
        <v>0</v>
      </c>
      <c r="CE236" s="1474">
        <f t="shared" si="336"/>
        <v>0</v>
      </c>
      <c r="CF236" s="1475">
        <f t="shared" si="336"/>
        <v>0</v>
      </c>
      <c r="CG236" s="1476">
        <f t="shared" si="336"/>
        <v>0</v>
      </c>
      <c r="CH236" s="1474">
        <f t="shared" si="336"/>
        <v>0</v>
      </c>
      <c r="CI236" s="1475">
        <f t="shared" si="336"/>
        <v>0</v>
      </c>
      <c r="CJ236" s="1476">
        <f t="shared" si="336"/>
        <v>0</v>
      </c>
      <c r="CK236" s="1474">
        <f t="shared" si="336"/>
        <v>0</v>
      </c>
      <c r="CL236" s="1475">
        <f t="shared" si="336"/>
        <v>0</v>
      </c>
      <c r="CM236" s="1476">
        <f t="shared" si="336"/>
        <v>0</v>
      </c>
      <c r="CN236" s="1474">
        <f t="shared" si="336"/>
        <v>0</v>
      </c>
      <c r="CO236" s="1475">
        <f t="shared" si="336"/>
        <v>0</v>
      </c>
      <c r="CP236" s="1476">
        <f t="shared" si="336"/>
        <v>0</v>
      </c>
      <c r="CQ236" s="1474">
        <f t="shared" si="336"/>
        <v>0</v>
      </c>
      <c r="CR236" s="1475">
        <f t="shared" si="336"/>
        <v>0</v>
      </c>
      <c r="CS236" s="1476">
        <f t="shared" si="336"/>
        <v>0</v>
      </c>
      <c r="CT236" s="1474">
        <f t="shared" si="336"/>
        <v>0</v>
      </c>
      <c r="CU236" s="1475">
        <f t="shared" si="336"/>
        <v>0</v>
      </c>
      <c r="CV236" s="1476">
        <f t="shared" si="336"/>
        <v>0</v>
      </c>
      <c r="CW236" s="1474">
        <f t="shared" si="336"/>
        <v>0</v>
      </c>
      <c r="CX236" s="1475">
        <f t="shared" si="336"/>
        <v>0</v>
      </c>
      <c r="CY236" s="1476">
        <f t="shared" si="336"/>
        <v>0</v>
      </c>
      <c r="CZ236" s="1474">
        <f t="shared" ref="CZ236:DW236" si="337">SUM(CZ186:CZ235)</f>
        <v>0</v>
      </c>
      <c r="DA236" s="1475">
        <f t="shared" si="337"/>
        <v>0</v>
      </c>
      <c r="DB236" s="1476">
        <f t="shared" si="337"/>
        <v>0</v>
      </c>
      <c r="DC236" s="1474">
        <f t="shared" si="337"/>
        <v>0</v>
      </c>
      <c r="DD236" s="1475">
        <f t="shared" si="337"/>
        <v>0</v>
      </c>
      <c r="DE236" s="1476">
        <f t="shared" si="337"/>
        <v>0</v>
      </c>
      <c r="DF236" s="1474">
        <f t="shared" si="337"/>
        <v>0</v>
      </c>
      <c r="DG236" s="1475">
        <f t="shared" si="337"/>
        <v>0</v>
      </c>
      <c r="DH236" s="1476">
        <f t="shared" si="337"/>
        <v>0</v>
      </c>
      <c r="DI236" s="1474">
        <f t="shared" si="337"/>
        <v>0</v>
      </c>
      <c r="DJ236" s="1475">
        <f t="shared" si="337"/>
        <v>0</v>
      </c>
      <c r="DK236" s="1476">
        <f t="shared" si="337"/>
        <v>0</v>
      </c>
      <c r="DL236" s="1474">
        <f t="shared" si="337"/>
        <v>0</v>
      </c>
      <c r="DM236" s="1475">
        <f t="shared" si="337"/>
        <v>0</v>
      </c>
      <c r="DN236" s="1476">
        <f t="shared" si="337"/>
        <v>0</v>
      </c>
      <c r="DO236" s="1474">
        <f t="shared" si="337"/>
        <v>0</v>
      </c>
      <c r="DP236" s="1475">
        <f t="shared" si="337"/>
        <v>0</v>
      </c>
      <c r="DQ236" s="1476">
        <f t="shared" si="337"/>
        <v>0</v>
      </c>
      <c r="DR236" s="1474">
        <f t="shared" si="337"/>
        <v>0</v>
      </c>
      <c r="DS236" s="1475">
        <f t="shared" si="337"/>
        <v>0</v>
      </c>
      <c r="DT236" s="1476">
        <f t="shared" si="337"/>
        <v>0</v>
      </c>
      <c r="DU236" s="1474">
        <f t="shared" si="337"/>
        <v>0</v>
      </c>
      <c r="DV236" s="1475">
        <f t="shared" si="337"/>
        <v>0</v>
      </c>
      <c r="DW236" s="1476">
        <f t="shared" si="337"/>
        <v>0</v>
      </c>
      <c r="DX236" s="147"/>
    </row>
    <row r="237" ht="23.25" customHeight="true" x14ac:dyDescent="0.25">
      <c r="B237" s="1612"/>
      <c r="C237" s="1613"/>
      <c r="D237" s="1613"/>
      <c r="E237" s="1613"/>
      <c r="F237" s="1732" t="s">
        <v>1472</v>
      </c>
      <c r="G237" s="1733"/>
      <c r="H237" s="1574">
        <v>25</v>
      </c>
      <c r="I237" s="1575"/>
      <c r="J237" s="1576"/>
      <c r="K237" s="1574">
        <v>25</v>
      </c>
      <c r="L237" s="1575"/>
      <c r="M237" s="1576"/>
      <c r="N237" s="1606"/>
      <c r="O237" s="1607"/>
      <c r="P237" s="1608"/>
      <c r="Q237" s="1606"/>
      <c r="R237" s="1607"/>
      <c r="S237" s="1608"/>
      <c r="T237" s="1606"/>
      <c r="U237" s="1607"/>
      <c r="V237" s="1608"/>
      <c r="W237" s="1606"/>
      <c r="X237" s="1607"/>
      <c r="Y237" s="1608"/>
      <c r="Z237" s="1606"/>
      <c r="AA237" s="1607"/>
      <c r="AB237" s="1608"/>
      <c r="AC237" s="1606"/>
      <c r="AD237" s="1607"/>
      <c r="AE237" s="1608"/>
      <c r="AF237" s="1606"/>
      <c r="AG237" s="1607"/>
      <c r="AH237" s="1608"/>
      <c r="AI237" s="1606"/>
      <c r="AJ237" s="1607"/>
      <c r="AK237" s="1608"/>
      <c r="AL237" s="1606"/>
      <c r="AM237" s="1607"/>
      <c r="AN237" s="1608"/>
      <c r="AO237" s="1606"/>
      <c r="AP237" s="1607"/>
      <c r="AQ237" s="1608"/>
      <c r="AR237" s="1606"/>
      <c r="AS237" s="1607"/>
      <c r="AT237" s="1608"/>
      <c r="AU237" s="1606"/>
      <c r="AV237" s="1607"/>
      <c r="AW237" s="1608"/>
      <c r="AX237" s="1606"/>
      <c r="AY237" s="1607"/>
      <c r="AZ237" s="1608"/>
      <c r="BA237" s="1606"/>
      <c r="BB237" s="1607"/>
      <c r="BC237" s="1608"/>
      <c r="BD237" s="1606"/>
      <c r="BE237" s="1607"/>
      <c r="BF237" s="1608"/>
      <c r="BG237" s="1606"/>
      <c r="BH237" s="1607"/>
      <c r="BI237" s="1608"/>
      <c r="BJ237" s="1606"/>
      <c r="BK237" s="1607"/>
      <c r="BL237" s="1608"/>
      <c r="BM237" s="1606"/>
      <c r="BN237" s="1607"/>
      <c r="BO237" s="1608"/>
      <c r="BP237" s="1606"/>
      <c r="BQ237" s="1607"/>
      <c r="BR237" s="1608"/>
      <c r="BS237" s="1606"/>
      <c r="BT237" s="1607"/>
      <c r="BU237" s="1608"/>
      <c r="BV237" s="1606"/>
      <c r="BW237" s="1607"/>
      <c r="BX237" s="1608"/>
      <c r="BY237" s="1606"/>
      <c r="BZ237" s="1607"/>
      <c r="CA237" s="1608"/>
      <c r="CB237" s="1606"/>
      <c r="CC237" s="1607"/>
      <c r="CD237" s="1608"/>
      <c r="CE237" s="1606"/>
      <c r="CF237" s="1607"/>
      <c r="CG237" s="1608"/>
      <c r="CH237" s="1606"/>
      <c r="CI237" s="1607"/>
      <c r="CJ237" s="1608"/>
      <c r="CK237" s="1606"/>
      <c r="CL237" s="1607"/>
      <c r="CM237" s="1608"/>
      <c r="CN237" s="1606"/>
      <c r="CO237" s="1607"/>
      <c r="CP237" s="1608"/>
      <c r="CQ237" s="1606"/>
      <c r="CR237" s="1607"/>
      <c r="CS237" s="1608"/>
      <c r="CT237" s="1606"/>
      <c r="CU237" s="1607"/>
      <c r="CV237" s="1608"/>
      <c r="CW237" s="1606"/>
      <c r="CX237" s="1607"/>
      <c r="CY237" s="1608"/>
      <c r="CZ237" s="1606"/>
      <c r="DA237" s="1607"/>
      <c r="DB237" s="1608"/>
      <c r="DC237" s="1606"/>
      <c r="DD237" s="1607"/>
      <c r="DE237" s="1608"/>
      <c r="DF237" s="1606"/>
      <c r="DG237" s="1607"/>
      <c r="DH237" s="1608"/>
      <c r="DI237" s="1606"/>
      <c r="DJ237" s="1607"/>
      <c r="DK237" s="1608"/>
      <c r="DL237" s="1606"/>
      <c r="DM237" s="1607"/>
      <c r="DN237" s="1608"/>
      <c r="DO237" s="1606"/>
      <c r="DP237" s="1607"/>
      <c r="DQ237" s="1608"/>
      <c r="DR237" s="1606"/>
      <c r="DS237" s="1607"/>
      <c r="DT237" s="1608"/>
      <c r="DU237" s="1606"/>
      <c r="DV237" s="1607"/>
      <c r="DW237" s="1608"/>
      <c r="DX237" s="147"/>
    </row>
    <row r="238" ht="23.25" customHeight="true" x14ac:dyDescent="0.25">
      <c r="B238" s="1612"/>
      <c r="C238" s="1613"/>
      <c r="D238" s="1613"/>
      <c r="E238" s="1613"/>
      <c r="F238" s="1732" t="s">
        <v>1473</v>
      </c>
      <c r="G238" s="1733"/>
      <c r="H238" s="1574">
        <v>1</v>
      </c>
      <c r="I238" s="1575"/>
      <c r="J238" s="1576"/>
      <c r="K238" s="1574">
        <v>1</v>
      </c>
      <c r="L238" s="1575"/>
      <c r="M238" s="1576"/>
      <c r="N238" s="1606"/>
      <c r="O238" s="1607"/>
      <c r="P238" s="1608"/>
      <c r="Q238" s="1606"/>
      <c r="R238" s="1607"/>
      <c r="S238" s="1608"/>
      <c r="T238" s="1606"/>
      <c r="U238" s="1607"/>
      <c r="V238" s="1608"/>
      <c r="W238" s="1606"/>
      <c r="X238" s="1607"/>
      <c r="Y238" s="1608"/>
      <c r="Z238" s="1606"/>
      <c r="AA238" s="1607"/>
      <c r="AB238" s="1608"/>
      <c r="AC238" s="1606"/>
      <c r="AD238" s="1607"/>
      <c r="AE238" s="1608"/>
      <c r="AF238" s="1606"/>
      <c r="AG238" s="1607"/>
      <c r="AH238" s="1608"/>
      <c r="AI238" s="1606"/>
      <c r="AJ238" s="1607"/>
      <c r="AK238" s="1608"/>
      <c r="AL238" s="1606"/>
      <c r="AM238" s="1607"/>
      <c r="AN238" s="1608"/>
      <c r="AO238" s="1606"/>
      <c r="AP238" s="1607"/>
      <c r="AQ238" s="1608"/>
      <c r="AR238" s="1606"/>
      <c r="AS238" s="1607"/>
      <c r="AT238" s="1608"/>
      <c r="AU238" s="1606"/>
      <c r="AV238" s="1607"/>
      <c r="AW238" s="1608"/>
      <c r="AX238" s="1606"/>
      <c r="AY238" s="1607"/>
      <c r="AZ238" s="1608"/>
      <c r="BA238" s="1606"/>
      <c r="BB238" s="1607"/>
      <c r="BC238" s="1608"/>
      <c r="BD238" s="1606"/>
      <c r="BE238" s="1607"/>
      <c r="BF238" s="1608"/>
      <c r="BG238" s="1606"/>
      <c r="BH238" s="1607"/>
      <c r="BI238" s="1608"/>
      <c r="BJ238" s="1606"/>
      <c r="BK238" s="1607"/>
      <c r="BL238" s="1608"/>
      <c r="BM238" s="1606"/>
      <c r="BN238" s="1607"/>
      <c r="BO238" s="1608"/>
      <c r="BP238" s="1606"/>
      <c r="BQ238" s="1607"/>
      <c r="BR238" s="1608"/>
      <c r="BS238" s="1606"/>
      <c r="BT238" s="1607"/>
      <c r="BU238" s="1608"/>
      <c r="BV238" s="1606"/>
      <c r="BW238" s="1607"/>
      <c r="BX238" s="1608"/>
      <c r="BY238" s="1606"/>
      <c r="BZ238" s="1607"/>
      <c r="CA238" s="1608"/>
      <c r="CB238" s="1606"/>
      <c r="CC238" s="1607"/>
      <c r="CD238" s="1608"/>
      <c r="CE238" s="1606"/>
      <c r="CF238" s="1607"/>
      <c r="CG238" s="1608"/>
      <c r="CH238" s="1606"/>
      <c r="CI238" s="1607"/>
      <c r="CJ238" s="1608"/>
      <c r="CK238" s="1606"/>
      <c r="CL238" s="1607"/>
      <c r="CM238" s="1608"/>
      <c r="CN238" s="1606"/>
      <c r="CO238" s="1607"/>
      <c r="CP238" s="1608"/>
      <c r="CQ238" s="1606"/>
      <c r="CR238" s="1607"/>
      <c r="CS238" s="1608"/>
      <c r="CT238" s="1606"/>
      <c r="CU238" s="1607"/>
      <c r="CV238" s="1608"/>
      <c r="CW238" s="1606"/>
      <c r="CX238" s="1607"/>
      <c r="CY238" s="1608"/>
      <c r="CZ238" s="1606"/>
      <c r="DA238" s="1607"/>
      <c r="DB238" s="1608"/>
      <c r="DC238" s="1606"/>
      <c r="DD238" s="1607"/>
      <c r="DE238" s="1608"/>
      <c r="DF238" s="1606"/>
      <c r="DG238" s="1607"/>
      <c r="DH238" s="1608"/>
      <c r="DI238" s="1606"/>
      <c r="DJ238" s="1607"/>
      <c r="DK238" s="1608"/>
      <c r="DL238" s="1606"/>
      <c r="DM238" s="1607"/>
      <c r="DN238" s="1608"/>
      <c r="DO238" s="1606"/>
      <c r="DP238" s="1607"/>
      <c r="DQ238" s="1608"/>
      <c r="DR238" s="1606"/>
      <c r="DS238" s="1607"/>
      <c r="DT238" s="1608"/>
      <c r="DU238" s="1606"/>
      <c r="DV238" s="1607"/>
      <c r="DW238" s="1608"/>
      <c r="DX238" s="147"/>
    </row>
    <row r="239" ht="23.25" customHeight="true" x14ac:dyDescent="0.25">
      <c r="B239" s="1612"/>
      <c r="C239" s="1613"/>
      <c r="D239" s="1613"/>
      <c r="E239" s="1613"/>
      <c r="F239" s="1732" t="s">
        <v>75</v>
      </c>
      <c r="G239" s="1733"/>
      <c r="H239" s="1574">
        <v>0</v>
      </c>
      <c r="I239" s="1575"/>
      <c r="J239" s="1576"/>
      <c r="K239" s="1574">
        <v>0</v>
      </c>
      <c r="L239" s="1575"/>
      <c r="M239" s="1576"/>
      <c r="N239" s="1606"/>
      <c r="O239" s="1607"/>
      <c r="P239" s="1608"/>
      <c r="Q239" s="1606"/>
      <c r="R239" s="1607"/>
      <c r="S239" s="1608"/>
      <c r="T239" s="1606"/>
      <c r="U239" s="1607"/>
      <c r="V239" s="1608"/>
      <c r="W239" s="1606"/>
      <c r="X239" s="1607"/>
      <c r="Y239" s="1608"/>
      <c r="Z239" s="1606"/>
      <c r="AA239" s="1607"/>
      <c r="AB239" s="1608"/>
      <c r="AC239" s="1606"/>
      <c r="AD239" s="1607"/>
      <c r="AE239" s="1608"/>
      <c r="AF239" s="1606"/>
      <c r="AG239" s="1607"/>
      <c r="AH239" s="1608"/>
      <c r="AI239" s="1606"/>
      <c r="AJ239" s="1607"/>
      <c r="AK239" s="1608"/>
      <c r="AL239" s="1606"/>
      <c r="AM239" s="1607"/>
      <c r="AN239" s="1608"/>
      <c r="AO239" s="1606"/>
      <c r="AP239" s="1607"/>
      <c r="AQ239" s="1608"/>
      <c r="AR239" s="1606"/>
      <c r="AS239" s="1607"/>
      <c r="AT239" s="1608"/>
      <c r="AU239" s="1606"/>
      <c r="AV239" s="1607"/>
      <c r="AW239" s="1608"/>
      <c r="AX239" s="1606"/>
      <c r="AY239" s="1607"/>
      <c r="AZ239" s="1608"/>
      <c r="BA239" s="1606"/>
      <c r="BB239" s="1607"/>
      <c r="BC239" s="1608"/>
      <c r="BD239" s="1606"/>
      <c r="BE239" s="1607"/>
      <c r="BF239" s="1608"/>
      <c r="BG239" s="1606"/>
      <c r="BH239" s="1607"/>
      <c r="BI239" s="1608"/>
      <c r="BJ239" s="1606"/>
      <c r="BK239" s="1607"/>
      <c r="BL239" s="1608"/>
      <c r="BM239" s="1606"/>
      <c r="BN239" s="1607"/>
      <c r="BO239" s="1608"/>
      <c r="BP239" s="1606"/>
      <c r="BQ239" s="1607"/>
      <c r="BR239" s="1608"/>
      <c r="BS239" s="1606"/>
      <c r="BT239" s="1607"/>
      <c r="BU239" s="1608"/>
      <c r="BV239" s="1606"/>
      <c r="BW239" s="1607"/>
      <c r="BX239" s="1608"/>
      <c r="BY239" s="1606"/>
      <c r="BZ239" s="1607"/>
      <c r="CA239" s="1608"/>
      <c r="CB239" s="1606"/>
      <c r="CC239" s="1607"/>
      <c r="CD239" s="1608"/>
      <c r="CE239" s="1606"/>
      <c r="CF239" s="1607"/>
      <c r="CG239" s="1608"/>
      <c r="CH239" s="1606"/>
      <c r="CI239" s="1607"/>
      <c r="CJ239" s="1608"/>
      <c r="CK239" s="1606"/>
      <c r="CL239" s="1607"/>
      <c r="CM239" s="1608"/>
      <c r="CN239" s="1606"/>
      <c r="CO239" s="1607"/>
      <c r="CP239" s="1608"/>
      <c r="CQ239" s="1606"/>
      <c r="CR239" s="1607"/>
      <c r="CS239" s="1608"/>
      <c r="CT239" s="1606"/>
      <c r="CU239" s="1607"/>
      <c r="CV239" s="1608"/>
      <c r="CW239" s="1606"/>
      <c r="CX239" s="1607"/>
      <c r="CY239" s="1608"/>
      <c r="CZ239" s="1606"/>
      <c r="DA239" s="1607"/>
      <c r="DB239" s="1608"/>
      <c r="DC239" s="1606"/>
      <c r="DD239" s="1607"/>
      <c r="DE239" s="1608"/>
      <c r="DF239" s="1606"/>
      <c r="DG239" s="1607"/>
      <c r="DH239" s="1608"/>
      <c r="DI239" s="1606"/>
      <c r="DJ239" s="1607"/>
      <c r="DK239" s="1608"/>
      <c r="DL239" s="1606"/>
      <c r="DM239" s="1607"/>
      <c r="DN239" s="1608"/>
      <c r="DO239" s="1606"/>
      <c r="DP239" s="1607"/>
      <c r="DQ239" s="1608"/>
      <c r="DR239" s="1606"/>
      <c r="DS239" s="1607"/>
      <c r="DT239" s="1608"/>
      <c r="DU239" s="1606"/>
      <c r="DV239" s="1607"/>
      <c r="DW239" s="1608"/>
      <c r="DX239" s="147"/>
    </row>
    <row r="240" ht="23.25" customHeight="true" x14ac:dyDescent="0.25">
      <c r="B240" s="1612"/>
      <c r="C240" s="1613"/>
      <c r="D240" s="1613"/>
      <c r="E240" s="1613"/>
      <c r="F240" s="1732" t="s">
        <v>1474</v>
      </c>
      <c r="G240" s="1733"/>
      <c r="H240" s="1574">
        <v>-4916954.2417169847</v>
      </c>
      <c r="I240" s="1575"/>
      <c r="J240" s="1576"/>
      <c r="K240" s="1574">
        <v>-399821.58125213848</v>
      </c>
      <c r="L240" s="1575"/>
      <c r="M240" s="1576"/>
      <c r="N240" s="1606"/>
      <c r="O240" s="1607"/>
      <c r="P240" s="1608"/>
      <c r="Q240" s="1606"/>
      <c r="R240" s="1607"/>
      <c r="S240" s="1608"/>
      <c r="T240" s="1606"/>
      <c r="U240" s="1607"/>
      <c r="V240" s="1608"/>
      <c r="W240" s="1606"/>
      <c r="X240" s="1607"/>
      <c r="Y240" s="1608"/>
      <c r="Z240" s="1606"/>
      <c r="AA240" s="1607"/>
      <c r="AB240" s="1608"/>
      <c r="AC240" s="1606"/>
      <c r="AD240" s="1607"/>
      <c r="AE240" s="1608"/>
      <c r="AF240" s="1606"/>
      <c r="AG240" s="1607"/>
      <c r="AH240" s="1608"/>
      <c r="AI240" s="1606"/>
      <c r="AJ240" s="1607"/>
      <c r="AK240" s="1608"/>
      <c r="AL240" s="1606"/>
      <c r="AM240" s="1607"/>
      <c r="AN240" s="1608"/>
      <c r="AO240" s="1606"/>
      <c r="AP240" s="1607"/>
      <c r="AQ240" s="1608"/>
      <c r="AR240" s="1606"/>
      <c r="AS240" s="1607"/>
      <c r="AT240" s="1608"/>
      <c r="AU240" s="1606"/>
      <c r="AV240" s="1607"/>
      <c r="AW240" s="1608"/>
      <c r="AX240" s="1606"/>
      <c r="AY240" s="1607"/>
      <c r="AZ240" s="1608"/>
      <c r="BA240" s="1606"/>
      <c r="BB240" s="1607"/>
      <c r="BC240" s="1608"/>
      <c r="BD240" s="1606"/>
      <c r="BE240" s="1607"/>
      <c r="BF240" s="1608"/>
      <c r="BG240" s="1606"/>
      <c r="BH240" s="1607"/>
      <c r="BI240" s="1608"/>
      <c r="BJ240" s="1606"/>
      <c r="BK240" s="1607"/>
      <c r="BL240" s="1608"/>
      <c r="BM240" s="1606"/>
      <c r="BN240" s="1607"/>
      <c r="BO240" s="1608"/>
      <c r="BP240" s="1606"/>
      <c r="BQ240" s="1607"/>
      <c r="BR240" s="1608"/>
      <c r="BS240" s="1606"/>
      <c r="BT240" s="1607"/>
      <c r="BU240" s="1608"/>
      <c r="BV240" s="1606"/>
      <c r="BW240" s="1607"/>
      <c r="BX240" s="1608"/>
      <c r="BY240" s="1606"/>
      <c r="BZ240" s="1607"/>
      <c r="CA240" s="1608"/>
      <c r="CB240" s="1606"/>
      <c r="CC240" s="1607"/>
      <c r="CD240" s="1608"/>
      <c r="CE240" s="1606"/>
      <c r="CF240" s="1607"/>
      <c r="CG240" s="1608"/>
      <c r="CH240" s="1606"/>
      <c r="CI240" s="1607"/>
      <c r="CJ240" s="1608"/>
      <c r="CK240" s="1606"/>
      <c r="CL240" s="1607"/>
      <c r="CM240" s="1608"/>
      <c r="CN240" s="1606"/>
      <c r="CO240" s="1607"/>
      <c r="CP240" s="1608"/>
      <c r="CQ240" s="1606"/>
      <c r="CR240" s="1607"/>
      <c r="CS240" s="1608"/>
      <c r="CT240" s="1606"/>
      <c r="CU240" s="1607"/>
      <c r="CV240" s="1608"/>
      <c r="CW240" s="1606"/>
      <c r="CX240" s="1607"/>
      <c r="CY240" s="1608"/>
      <c r="CZ240" s="1606"/>
      <c r="DA240" s="1607"/>
      <c r="DB240" s="1608"/>
      <c r="DC240" s="1606"/>
      <c r="DD240" s="1607"/>
      <c r="DE240" s="1608"/>
      <c r="DF240" s="1606"/>
      <c r="DG240" s="1607"/>
      <c r="DH240" s="1608"/>
      <c r="DI240" s="1606"/>
      <c r="DJ240" s="1607"/>
      <c r="DK240" s="1608"/>
      <c r="DL240" s="1606"/>
      <c r="DM240" s="1607"/>
      <c r="DN240" s="1608"/>
      <c r="DO240" s="1606"/>
      <c r="DP240" s="1607"/>
      <c r="DQ240" s="1608"/>
      <c r="DR240" s="1606"/>
      <c r="DS240" s="1607"/>
      <c r="DT240" s="1608"/>
      <c r="DU240" s="1606"/>
      <c r="DV240" s="1607"/>
      <c r="DW240" s="1608"/>
      <c r="DX240" s="147"/>
    </row>
    <row r="241" ht="23.25" customHeight="true" x14ac:dyDescent="0.25">
      <c r="B241" s="1612"/>
      <c r="C241" s="1613"/>
      <c r="D241" s="1613"/>
      <c r="E241" s="1613"/>
      <c r="F241" s="1732" t="s">
        <v>1475</v>
      </c>
      <c r="G241" s="1733"/>
      <c r="H241" s="1574">
        <v>-9.7321236926486687</v>
      </c>
      <c r="I241" s="1575"/>
      <c r="J241" s="1576"/>
      <c r="K241" s="1574">
        <v>0.19630744634537137</v>
      </c>
      <c r="L241" s="1575"/>
      <c r="M241" s="1576"/>
      <c r="N241" s="1606"/>
      <c r="O241" s="1607"/>
      <c r="P241" s="1608"/>
      <c r="Q241" s="1606"/>
      <c r="R241" s="1607"/>
      <c r="S241" s="1608"/>
      <c r="T241" s="1606"/>
      <c r="U241" s="1607"/>
      <c r="V241" s="1608"/>
      <c r="W241" s="1606"/>
      <c r="X241" s="1607"/>
      <c r="Y241" s="1608"/>
      <c r="Z241" s="1606"/>
      <c r="AA241" s="1607"/>
      <c r="AB241" s="1608"/>
      <c r="AC241" s="1606"/>
      <c r="AD241" s="1607"/>
      <c r="AE241" s="1608"/>
      <c r="AF241" s="1606"/>
      <c r="AG241" s="1607"/>
      <c r="AH241" s="1608"/>
      <c r="AI241" s="1606"/>
      <c r="AJ241" s="1607"/>
      <c r="AK241" s="1608"/>
      <c r="AL241" s="1606"/>
      <c r="AM241" s="1607"/>
      <c r="AN241" s="1608"/>
      <c r="AO241" s="1606"/>
      <c r="AP241" s="1607"/>
      <c r="AQ241" s="1608"/>
      <c r="AR241" s="1606"/>
      <c r="AS241" s="1607"/>
      <c r="AT241" s="1608"/>
      <c r="AU241" s="1606"/>
      <c r="AV241" s="1607"/>
      <c r="AW241" s="1608"/>
      <c r="AX241" s="1606"/>
      <c r="AY241" s="1607"/>
      <c r="AZ241" s="1608"/>
      <c r="BA241" s="1606"/>
      <c r="BB241" s="1607"/>
      <c r="BC241" s="1608"/>
      <c r="BD241" s="1606"/>
      <c r="BE241" s="1607"/>
      <c r="BF241" s="1608"/>
      <c r="BG241" s="1606"/>
      <c r="BH241" s="1607"/>
      <c r="BI241" s="1608"/>
      <c r="BJ241" s="1606"/>
      <c r="BK241" s="1607"/>
      <c r="BL241" s="1608"/>
      <c r="BM241" s="1606"/>
      <c r="BN241" s="1607"/>
      <c r="BO241" s="1608"/>
      <c r="BP241" s="1606"/>
      <c r="BQ241" s="1607"/>
      <c r="BR241" s="1608"/>
      <c r="BS241" s="1606"/>
      <c r="BT241" s="1607"/>
      <c r="BU241" s="1608"/>
      <c r="BV241" s="1606"/>
      <c r="BW241" s="1607"/>
      <c r="BX241" s="1608"/>
      <c r="BY241" s="1606"/>
      <c r="BZ241" s="1607"/>
      <c r="CA241" s="1608"/>
      <c r="CB241" s="1606"/>
      <c r="CC241" s="1607"/>
      <c r="CD241" s="1608"/>
      <c r="CE241" s="1606"/>
      <c r="CF241" s="1607"/>
      <c r="CG241" s="1608"/>
      <c r="CH241" s="1606"/>
      <c r="CI241" s="1607"/>
      <c r="CJ241" s="1608"/>
      <c r="CK241" s="1606"/>
      <c r="CL241" s="1607"/>
      <c r="CM241" s="1608"/>
      <c r="CN241" s="1606"/>
      <c r="CO241" s="1607"/>
      <c r="CP241" s="1608"/>
      <c r="CQ241" s="1606"/>
      <c r="CR241" s="1607"/>
      <c r="CS241" s="1608"/>
      <c r="CT241" s="1606"/>
      <c r="CU241" s="1607"/>
      <c r="CV241" s="1608"/>
      <c r="CW241" s="1606"/>
      <c r="CX241" s="1607"/>
      <c r="CY241" s="1608"/>
      <c r="CZ241" s="1606"/>
      <c r="DA241" s="1607"/>
      <c r="DB241" s="1608"/>
      <c r="DC241" s="1606"/>
      <c r="DD241" s="1607"/>
      <c r="DE241" s="1608"/>
      <c r="DF241" s="1606"/>
      <c r="DG241" s="1607"/>
      <c r="DH241" s="1608"/>
      <c r="DI241" s="1606"/>
      <c r="DJ241" s="1607"/>
      <c r="DK241" s="1608"/>
      <c r="DL241" s="1606"/>
      <c r="DM241" s="1607"/>
      <c r="DN241" s="1608"/>
      <c r="DO241" s="1606"/>
      <c r="DP241" s="1607"/>
      <c r="DQ241" s="1608"/>
      <c r="DR241" s="1606"/>
      <c r="DS241" s="1607"/>
      <c r="DT241" s="1608"/>
      <c r="DU241" s="1606"/>
      <c r="DV241" s="1607"/>
      <c r="DW241" s="1608"/>
      <c r="DX241" s="147"/>
    </row>
    <row r="242" ht="23.25" customHeight="true" x14ac:dyDescent="0.25">
      <c r="B242" s="1612"/>
      <c r="C242" s="1613"/>
      <c r="D242" s="1613"/>
      <c r="E242" s="1613"/>
      <c r="F242" s="1750" t="s">
        <v>1476</v>
      </c>
      <c r="G242" s="1751"/>
      <c r="H242" s="1591">
        <f>IF(I$178="","",SUM(H186:H235))</f>
        <v>4512.0151204088124</v>
      </c>
      <c r="I242" s="1592"/>
      <c r="J242" s="1593"/>
      <c r="K242" s="1591">
        <f>IF(L$178="","",SUM(K186:K235))</f>
        <v>2980.7504537999998</v>
      </c>
      <c r="L242" s="1592"/>
      <c r="M242" s="1593"/>
      <c r="N242" s="1591" t="str">
        <f>IF(O$178="","",SUM(N186:N235))</f>
        <v/>
      </c>
      <c r="O242" s="1592"/>
      <c r="P242" s="1593"/>
      <c r="Q242" s="1591" t="str">
        <f>IF(R$178="","",SUM(Q186:Q235))</f>
        <v/>
      </c>
      <c r="R242" s="1592"/>
      <c r="S242" s="1593"/>
      <c r="T242" s="1591" t="str">
        <f>IF(U$178="","",SUM(T186:T235))</f>
        <v/>
      </c>
      <c r="U242" s="1592"/>
      <c r="V242" s="1593"/>
      <c r="W242" s="1591">
        <f>IF(X$178="","",SUM(W186:W235))</f>
        <v>0</v>
      </c>
      <c r="X242" s="1592"/>
      <c r="Y242" s="1593"/>
      <c r="Z242" s="1591" t="str">
        <f>IF(AA$178="","",SUM(Z186:Z235))</f>
        <v/>
      </c>
      <c r="AA242" s="1592"/>
      <c r="AB242" s="1593"/>
      <c r="AC242" s="1591" t="str">
        <f>IF(AD$178="","",SUM(AC186:AC235))</f>
        <v/>
      </c>
      <c r="AD242" s="1592"/>
      <c r="AE242" s="1593"/>
      <c r="AF242" s="1591" t="str">
        <f>IF(AG$178="","",SUM(AF186:AF235))</f>
        <v/>
      </c>
      <c r="AG242" s="1592"/>
      <c r="AH242" s="1593"/>
      <c r="AI242" s="1591" t="str">
        <f>IF(AJ$178="","",SUM(AI186:AI235))</f>
        <v/>
      </c>
      <c r="AJ242" s="1592"/>
      <c r="AK242" s="1593"/>
      <c r="AL242" s="1591" t="str">
        <f>IF(AM$178="","",SUM(AL186:AL235))</f>
        <v/>
      </c>
      <c r="AM242" s="1592"/>
      <c r="AN242" s="1593"/>
      <c r="AO242" s="1591" t="str">
        <f>IF(AP$178="","",SUM(AO186:AO235))</f>
        <v/>
      </c>
      <c r="AP242" s="1592"/>
      <c r="AQ242" s="1593"/>
      <c r="AR242" s="1591" t="str">
        <f>IF(AS$178="","",SUM(AR186:AR235))</f>
        <v/>
      </c>
      <c r="AS242" s="1592"/>
      <c r="AT242" s="1593"/>
      <c r="AU242" s="1591" t="str">
        <f>IF(AV$178="","",SUM(AU186:AU235))</f>
        <v/>
      </c>
      <c r="AV242" s="1592"/>
      <c r="AW242" s="1593"/>
      <c r="AX242" s="1591" t="str">
        <f>IF(AY$178="","",SUM(AX186:AX235))</f>
        <v/>
      </c>
      <c r="AY242" s="1592"/>
      <c r="AZ242" s="1593"/>
      <c r="BA242" s="1591" t="str">
        <f>IF(BB$178="","",SUM(BA186:BA235))</f>
        <v/>
      </c>
      <c r="BB242" s="1592"/>
      <c r="BC242" s="1593"/>
      <c r="BD242" s="1591" t="str">
        <f>IF(BE$178="","",SUM(BD186:BD235))</f>
        <v/>
      </c>
      <c r="BE242" s="1592"/>
      <c r="BF242" s="1593"/>
      <c r="BG242" s="1591" t="str">
        <f>IF(BH$178="","",SUM(BG186:BG235))</f>
        <v/>
      </c>
      <c r="BH242" s="1592"/>
      <c r="BI242" s="1593"/>
      <c r="BJ242" s="1591" t="str">
        <f>IF(BK$178="","",SUM(BJ186:BJ235))</f>
        <v/>
      </c>
      <c r="BK242" s="1592"/>
      <c r="BL242" s="1593"/>
      <c r="BM242" s="1591" t="str">
        <f>IF(BN$178="","",SUM(BM186:BM235))</f>
        <v/>
      </c>
      <c r="BN242" s="1592"/>
      <c r="BO242" s="1593"/>
      <c r="BP242" s="1591" t="str">
        <f>IF(BQ$178="","",SUM(BP186:BP235))</f>
        <v/>
      </c>
      <c r="BQ242" s="1592"/>
      <c r="BR242" s="1593"/>
      <c r="BS242" s="1591" t="str">
        <f>IF(BT$178="","",SUM(BS186:BS235))</f>
        <v/>
      </c>
      <c r="BT242" s="1592"/>
      <c r="BU242" s="1593"/>
      <c r="BV242" s="1591" t="str">
        <f>IF(BW$178="","",SUM(BV186:BV235))</f>
        <v/>
      </c>
      <c r="BW242" s="1592"/>
      <c r="BX242" s="1593"/>
      <c r="BY242" s="1591" t="str">
        <f>IF(BZ$178="","",SUM(BY186:BY235))</f>
        <v/>
      </c>
      <c r="BZ242" s="1592"/>
      <c r="CA242" s="1593"/>
      <c r="CB242" s="1591" t="str">
        <f>IF(CC$178="","",SUM(CB186:CB235))</f>
        <v/>
      </c>
      <c r="CC242" s="1592"/>
      <c r="CD242" s="1593"/>
      <c r="CE242" s="1591" t="str">
        <f>IF(CF$178="","",SUM(CE186:CE235))</f>
        <v/>
      </c>
      <c r="CF242" s="1592"/>
      <c r="CG242" s="1593"/>
      <c r="CH242" s="1591" t="str">
        <f>IF(CI$178="","",SUM(CH186:CH235))</f>
        <v/>
      </c>
      <c r="CI242" s="1592"/>
      <c r="CJ242" s="1593"/>
      <c r="CK242" s="1591" t="str">
        <f>IF(CL$178="","",SUM(CK186:CK235))</f>
        <v/>
      </c>
      <c r="CL242" s="1592"/>
      <c r="CM242" s="1593"/>
      <c r="CN242" s="1591" t="str">
        <f>IF(CO$178="","",SUM(CN186:CN235))</f>
        <v/>
      </c>
      <c r="CO242" s="1592"/>
      <c r="CP242" s="1593"/>
      <c r="CQ242" s="1591" t="str">
        <f>IF(CR$178="","",SUM(CQ186:CQ235))</f>
        <v/>
      </c>
      <c r="CR242" s="1592"/>
      <c r="CS242" s="1593"/>
      <c r="CT242" s="1591" t="str">
        <f>IF(CU$178="","",SUM(CT186:CT235))</f>
        <v/>
      </c>
      <c r="CU242" s="1592"/>
      <c r="CV242" s="1593"/>
      <c r="CW242" s="1591" t="str">
        <f>IF(CX$178="","",SUM(CW186:CW235))</f>
        <v/>
      </c>
      <c r="CX242" s="1592"/>
      <c r="CY242" s="1593"/>
      <c r="CZ242" s="1591" t="str">
        <f>IF(DA$178="","",SUM(CZ186:CZ235))</f>
        <v/>
      </c>
      <c r="DA242" s="1592"/>
      <c r="DB242" s="1593"/>
      <c r="DC242" s="1591" t="str">
        <f>IF(DD$178="","",SUM(DC186:DC235))</f>
        <v/>
      </c>
      <c r="DD242" s="1592"/>
      <c r="DE242" s="1593"/>
      <c r="DF242" s="1591" t="str">
        <f>IF(DG$178="","",SUM(DF186:DF235))</f>
        <v/>
      </c>
      <c r="DG242" s="1592"/>
      <c r="DH242" s="1593"/>
      <c r="DI242" s="1591" t="str">
        <f>IF(DJ$178="","",SUM(DI186:DI235))</f>
        <v/>
      </c>
      <c r="DJ242" s="1592"/>
      <c r="DK242" s="1593"/>
      <c r="DL242" s="1591" t="str">
        <f>IF(DM$178="","",SUM(DL186:DL235))</f>
        <v/>
      </c>
      <c r="DM242" s="1592"/>
      <c r="DN242" s="1593"/>
      <c r="DO242" s="1591" t="str">
        <f>IF(DP$178="","",SUM(DO186:DO235))</f>
        <v/>
      </c>
      <c r="DP242" s="1592"/>
      <c r="DQ242" s="1593"/>
      <c r="DR242" s="1591" t="str">
        <f>IF(DS$178="","",SUM(DR186:DR235))</f>
        <v/>
      </c>
      <c r="DS242" s="1592"/>
      <c r="DT242" s="1593"/>
      <c r="DU242" s="1591" t="str">
        <f>IF(DV$178="","",SUM(DU186:DU235))</f>
        <v/>
      </c>
      <c r="DV242" s="1592"/>
      <c r="DW242" s="1593"/>
      <c r="DX242" s="147"/>
    </row>
    <row r="243" ht="23.25" customHeight="true" x14ac:dyDescent="0.25">
      <c r="B243" s="1612"/>
      <c r="C243" s="1613"/>
      <c r="D243" s="1613"/>
      <c r="E243" s="1613"/>
      <c r="F243" s="1752" t="s">
        <v>1586</v>
      </c>
      <c r="G243" s="1753"/>
      <c r="H243" s="1579">
        <v>138.60229922465749</v>
      </c>
      <c r="I243" s="1580"/>
      <c r="J243" s="1581"/>
      <c r="K243" s="1579">
        <v>25059.37624290285</v>
      </c>
      <c r="L243" s="1580"/>
      <c r="M243" s="1581"/>
      <c r="N243" s="1594"/>
      <c r="O243" s="1595"/>
      <c r="P243" s="1596"/>
      <c r="Q243" s="1594"/>
      <c r="R243" s="1595"/>
      <c r="S243" s="1596"/>
      <c r="T243" s="1594"/>
      <c r="U243" s="1595"/>
      <c r="V243" s="1596"/>
      <c r="W243" s="1594"/>
      <c r="X243" s="1595"/>
      <c r="Y243" s="1596"/>
      <c r="Z243" s="1594"/>
      <c r="AA243" s="1595"/>
      <c r="AB243" s="1596"/>
      <c r="AC243" s="1594"/>
      <c r="AD243" s="1595"/>
      <c r="AE243" s="1596"/>
      <c r="AF243" s="1594"/>
      <c r="AG243" s="1595"/>
      <c r="AH243" s="1596"/>
      <c r="AI243" s="1594"/>
      <c r="AJ243" s="1595"/>
      <c r="AK243" s="1596"/>
      <c r="AL243" s="1594"/>
      <c r="AM243" s="1595"/>
      <c r="AN243" s="1596"/>
      <c r="AO243" s="1594"/>
      <c r="AP243" s="1595"/>
      <c r="AQ243" s="1596"/>
      <c r="AR243" s="1594"/>
      <c r="AS243" s="1595"/>
      <c r="AT243" s="1596"/>
      <c r="AU243" s="1594"/>
      <c r="AV243" s="1595"/>
      <c r="AW243" s="1596"/>
      <c r="AX243" s="1594"/>
      <c r="AY243" s="1595"/>
      <c r="AZ243" s="1596"/>
      <c r="BA243" s="1594"/>
      <c r="BB243" s="1595"/>
      <c r="BC243" s="1596"/>
      <c r="BD243" s="1594"/>
      <c r="BE243" s="1595"/>
      <c r="BF243" s="1596"/>
      <c r="BG243" s="1594"/>
      <c r="BH243" s="1595"/>
      <c r="BI243" s="1596"/>
      <c r="BJ243" s="1594"/>
      <c r="BK243" s="1595"/>
      <c r="BL243" s="1596"/>
      <c r="BM243" s="1594"/>
      <c r="BN243" s="1595"/>
      <c r="BO243" s="1596"/>
      <c r="BP243" s="1594"/>
      <c r="BQ243" s="1595"/>
      <c r="BR243" s="1596"/>
      <c r="BS243" s="1594"/>
      <c r="BT243" s="1595"/>
      <c r="BU243" s="1596"/>
      <c r="BV243" s="1594"/>
      <c r="BW243" s="1595"/>
      <c r="BX243" s="1596"/>
      <c r="BY243" s="1594"/>
      <c r="BZ243" s="1595"/>
      <c r="CA243" s="1596"/>
      <c r="CB243" s="1594"/>
      <c r="CC243" s="1595"/>
      <c r="CD243" s="1596"/>
      <c r="CE243" s="1594"/>
      <c r="CF243" s="1595"/>
      <c r="CG243" s="1596"/>
      <c r="CH243" s="1594"/>
      <c r="CI243" s="1595"/>
      <c r="CJ243" s="1596"/>
      <c r="CK243" s="1594"/>
      <c r="CL243" s="1595"/>
      <c r="CM243" s="1596"/>
      <c r="CN243" s="1594"/>
      <c r="CO243" s="1595"/>
      <c r="CP243" s="1596"/>
      <c r="CQ243" s="1594"/>
      <c r="CR243" s="1595"/>
      <c r="CS243" s="1596"/>
      <c r="CT243" s="1594"/>
      <c r="CU243" s="1595"/>
      <c r="CV243" s="1596"/>
      <c r="CW243" s="1594"/>
      <c r="CX243" s="1595"/>
      <c r="CY243" s="1596"/>
      <c r="CZ243" s="1594"/>
      <c r="DA243" s="1595"/>
      <c r="DB243" s="1596"/>
      <c r="DC243" s="1594"/>
      <c r="DD243" s="1595"/>
      <c r="DE243" s="1596"/>
      <c r="DF243" s="1594"/>
      <c r="DG243" s="1595"/>
      <c r="DH243" s="1596"/>
      <c r="DI243" s="1594"/>
      <c r="DJ243" s="1595"/>
      <c r="DK243" s="1596"/>
      <c r="DL243" s="1594"/>
      <c r="DM243" s="1595"/>
      <c r="DN243" s="1596"/>
      <c r="DO243" s="1594"/>
      <c r="DP243" s="1595"/>
      <c r="DQ243" s="1596"/>
      <c r="DR243" s="1594"/>
      <c r="DS243" s="1595"/>
      <c r="DT243" s="1596"/>
      <c r="DU243" s="1594"/>
      <c r="DV243" s="1595"/>
      <c r="DW243" s="1596"/>
      <c r="DX243" s="147"/>
    </row>
    <row r="244" ht="23.25" customHeight="true" x14ac:dyDescent="0.25">
      <c r="B244" s="1612"/>
      <c r="C244" s="1613"/>
      <c r="D244" s="1613"/>
      <c r="E244" s="1613"/>
      <c r="F244" s="1742" t="s">
        <v>1477</v>
      </c>
      <c r="G244" s="1743"/>
      <c r="H244" s="1591">
        <f>IF(H242="","",H236/I236)</f>
        <v>66.618376441693087</v>
      </c>
      <c r="I244" s="1592"/>
      <c r="J244" s="1593"/>
      <c r="K244" s="1591">
        <f>IF(K242="","",K236/L236)</f>
        <v>44.009500000000003</v>
      </c>
      <c r="L244" s="1592"/>
      <c r="M244" s="1593"/>
      <c r="N244" s="1591" t="str">
        <f>IF(N242="","",N236/O236)</f>
        <v/>
      </c>
      <c r="O244" s="1592"/>
      <c r="P244" s="1593"/>
      <c r="Q244" s="1591" t="str">
        <f>IF(Q242="","",Q236/R236)</f>
        <v/>
      </c>
      <c r="R244" s="1592"/>
      <c r="S244" s="1593"/>
      <c r="T244" s="1591" t="str">
        <f>IF(T242="","",T236/U236)</f>
        <v/>
      </c>
      <c r="U244" s="1592"/>
      <c r="V244" s="1593"/>
      <c r="W244" s="1591" t="e">
        <f>IF(W242="","",W236/X236)</f>
        <v>#DIV/0!</v>
      </c>
      <c r="X244" s="1592"/>
      <c r="Y244" s="1593"/>
      <c r="Z244" s="1591" t="str">
        <f>IF(Z242="","",Z236/AA236)</f>
        <v/>
      </c>
      <c r="AA244" s="1592"/>
      <c r="AB244" s="1593"/>
      <c r="AC244" s="1591" t="str">
        <f>IF(AC242="","",AC236/AD236)</f>
        <v/>
      </c>
      <c r="AD244" s="1592"/>
      <c r="AE244" s="1593"/>
      <c r="AF244" s="1591" t="str">
        <f>IF(AF242="","",AF236/AG236)</f>
        <v/>
      </c>
      <c r="AG244" s="1592"/>
      <c r="AH244" s="1593"/>
      <c r="AI244" s="1591" t="str">
        <f>IF(AI242="","",AI236/AJ236)</f>
        <v/>
      </c>
      <c r="AJ244" s="1592"/>
      <c r="AK244" s="1593"/>
      <c r="AL244" s="1591" t="str">
        <f>IF(AL242="","",AL236/AM236)</f>
        <v/>
      </c>
      <c r="AM244" s="1592"/>
      <c r="AN244" s="1593"/>
      <c r="AO244" s="1591" t="str">
        <f>IF(AO242="","",AO236/AP236)</f>
        <v/>
      </c>
      <c r="AP244" s="1592"/>
      <c r="AQ244" s="1593"/>
      <c r="AR244" s="1591" t="str">
        <f>IF(AR242="","",AR236/AS236)</f>
        <v/>
      </c>
      <c r="AS244" s="1592"/>
      <c r="AT244" s="1593"/>
      <c r="AU244" s="1591" t="str">
        <f>IF(AU242="","",AU236/AV236)</f>
        <v/>
      </c>
      <c r="AV244" s="1592"/>
      <c r="AW244" s="1593"/>
      <c r="AX244" s="1591" t="str">
        <f>IF(AX242="","",AX236/AY236)</f>
        <v/>
      </c>
      <c r="AY244" s="1592"/>
      <c r="AZ244" s="1593"/>
      <c r="BA244" s="1591" t="str">
        <f>IF(BA242="","",BA236/BB236)</f>
        <v/>
      </c>
      <c r="BB244" s="1592"/>
      <c r="BC244" s="1593"/>
      <c r="BD244" s="1591" t="str">
        <f>IF(BD242="","",BD236/BE236)</f>
        <v/>
      </c>
      <c r="BE244" s="1592"/>
      <c r="BF244" s="1593"/>
      <c r="BG244" s="1591" t="str">
        <f>IF(BG242="","",BG236/BH236)</f>
        <v/>
      </c>
      <c r="BH244" s="1592"/>
      <c r="BI244" s="1593"/>
      <c r="BJ244" s="1591" t="str">
        <f>IF(BJ242="","",BJ236/BK236)</f>
        <v/>
      </c>
      <c r="BK244" s="1592"/>
      <c r="BL244" s="1593"/>
      <c r="BM244" s="1591" t="str">
        <f>IF(BM242="","",BM236/BN236)</f>
        <v/>
      </c>
      <c r="BN244" s="1592"/>
      <c r="BO244" s="1593"/>
      <c r="BP244" s="1591" t="str">
        <f>IF(BP242="","",BP236/BQ236)</f>
        <v/>
      </c>
      <c r="BQ244" s="1592"/>
      <c r="BR244" s="1593"/>
      <c r="BS244" s="1591" t="str">
        <f>IF(BS242="","",BS236/BT236)</f>
        <v/>
      </c>
      <c r="BT244" s="1592"/>
      <c r="BU244" s="1593"/>
      <c r="BV244" s="1591" t="str">
        <f>IF(BV242="","",BV236/BW236)</f>
        <v/>
      </c>
      <c r="BW244" s="1592"/>
      <c r="BX244" s="1593"/>
      <c r="BY244" s="1591" t="str">
        <f>IF(BY242="","",BY236/BZ236)</f>
        <v/>
      </c>
      <c r="BZ244" s="1592"/>
      <c r="CA244" s="1593"/>
      <c r="CB244" s="1591" t="str">
        <f>IF(CB242="","",CB236/CC236)</f>
        <v/>
      </c>
      <c r="CC244" s="1592"/>
      <c r="CD244" s="1593"/>
      <c r="CE244" s="1591" t="str">
        <f>IF(CE242="","",CE236/CF236)</f>
        <v/>
      </c>
      <c r="CF244" s="1592"/>
      <c r="CG244" s="1593"/>
      <c r="CH244" s="1591" t="str">
        <f>IF(CH242="","",CH236/CI236)</f>
        <v/>
      </c>
      <c r="CI244" s="1592"/>
      <c r="CJ244" s="1593"/>
      <c r="CK244" s="1591" t="str">
        <f>IF(CK242="","",CK236/CL236)</f>
        <v/>
      </c>
      <c r="CL244" s="1592"/>
      <c r="CM244" s="1593"/>
      <c r="CN244" s="1591" t="str">
        <f>IF(CN242="","",CN236/CO236)</f>
        <v/>
      </c>
      <c r="CO244" s="1592"/>
      <c r="CP244" s="1593"/>
      <c r="CQ244" s="1591" t="str">
        <f>IF(CQ242="","",CQ236/CR236)</f>
        <v/>
      </c>
      <c r="CR244" s="1592"/>
      <c r="CS244" s="1593"/>
      <c r="CT244" s="1591" t="str">
        <f>IF(CT242="","",CT236/CU236)</f>
        <v/>
      </c>
      <c r="CU244" s="1592"/>
      <c r="CV244" s="1593"/>
      <c r="CW244" s="1591" t="str">
        <f>IF(CW242="","",CW236/CX236)</f>
        <v/>
      </c>
      <c r="CX244" s="1592"/>
      <c r="CY244" s="1593"/>
      <c r="CZ244" s="1591" t="str">
        <f>IF(CZ242="","",CZ236/DA236)</f>
        <v/>
      </c>
      <c r="DA244" s="1592"/>
      <c r="DB244" s="1593"/>
      <c r="DC244" s="1591" t="str">
        <f>IF(DC242="","",DC236/DD236)</f>
        <v/>
      </c>
      <c r="DD244" s="1592"/>
      <c r="DE244" s="1593"/>
      <c r="DF244" s="1591" t="str">
        <f>IF(DF242="","",DF236/DG236)</f>
        <v/>
      </c>
      <c r="DG244" s="1592"/>
      <c r="DH244" s="1593"/>
      <c r="DI244" s="1591" t="str">
        <f>IF(DI242="","",DI236/DJ236)</f>
        <v/>
      </c>
      <c r="DJ244" s="1592"/>
      <c r="DK244" s="1593"/>
      <c r="DL244" s="1591" t="str">
        <f>IF(DL242="","",DL236/DM236)</f>
        <v/>
      </c>
      <c r="DM244" s="1592"/>
      <c r="DN244" s="1593"/>
      <c r="DO244" s="1591" t="str">
        <f>IF(DO242="","",DO236/DP236)</f>
        <v/>
      </c>
      <c r="DP244" s="1592"/>
      <c r="DQ244" s="1593"/>
      <c r="DR244" s="1591" t="str">
        <f>IF(DR242="","",DR236/DS236)</f>
        <v/>
      </c>
      <c r="DS244" s="1592"/>
      <c r="DT244" s="1593"/>
      <c r="DU244" s="1591" t="str">
        <f>IF(DU242="","",DU236/DV236)</f>
        <v/>
      </c>
      <c r="DV244" s="1592"/>
      <c r="DW244" s="1593"/>
      <c r="DX244" s="147"/>
    </row>
    <row r="245" ht="23.25" customHeight="true" x14ac:dyDescent="0.25">
      <c r="B245" s="1612"/>
      <c r="C245" s="1613"/>
      <c r="D245" s="1613"/>
      <c r="E245" s="1613"/>
      <c r="F245" s="1744" t="s">
        <v>1478</v>
      </c>
      <c r="G245" s="1745"/>
      <c r="H245" s="1591">
        <f>IF(H242="","",H242/H244)</f>
        <v>67.729286743544378</v>
      </c>
      <c r="I245" s="1592"/>
      <c r="J245" s="1593"/>
      <c r="K245" s="1591">
        <f>IF(K242="","",K242/K244)</f>
        <v>67.729705036412582</v>
      </c>
      <c r="L245" s="1592"/>
      <c r="M245" s="1593"/>
      <c r="N245" s="1591" t="str">
        <f>IF(N242="","",N242/N244)</f>
        <v/>
      </c>
      <c r="O245" s="1592"/>
      <c r="P245" s="1593"/>
      <c r="Q245" s="1591" t="str">
        <f>IF(Q242="","",Q242/Q244)</f>
        <v/>
      </c>
      <c r="R245" s="1592"/>
      <c r="S245" s="1593"/>
      <c r="T245" s="1591" t="str">
        <f>IF(T242="","",T242/T244)</f>
        <v/>
      </c>
      <c r="U245" s="1592"/>
      <c r="V245" s="1593"/>
      <c r="W245" s="1591" t="e">
        <f>IF(W242="","",W242/W244)</f>
        <v>#DIV/0!</v>
      </c>
      <c r="X245" s="1592"/>
      <c r="Y245" s="1593"/>
      <c r="Z245" s="1591" t="str">
        <f>IF(Z242="","",Z242/Z244)</f>
        <v/>
      </c>
      <c r="AA245" s="1592"/>
      <c r="AB245" s="1593"/>
      <c r="AC245" s="1591" t="str">
        <f>IF(AC242="","",AC242/AC244)</f>
        <v/>
      </c>
      <c r="AD245" s="1592"/>
      <c r="AE245" s="1593"/>
      <c r="AF245" s="1591" t="str">
        <f>IF(AF242="","",AF242/AF244)</f>
        <v/>
      </c>
      <c r="AG245" s="1592"/>
      <c r="AH245" s="1593"/>
      <c r="AI245" s="1591" t="str">
        <f>IF(AI242="","",AI242/AI244)</f>
        <v/>
      </c>
      <c r="AJ245" s="1592"/>
      <c r="AK245" s="1593"/>
      <c r="AL245" s="1591" t="str">
        <f>IF(AL242="","",AL242/AL244)</f>
        <v/>
      </c>
      <c r="AM245" s="1592"/>
      <c r="AN245" s="1593"/>
      <c r="AO245" s="1591" t="str">
        <f>IF(AO242="","",AO242/AO244)</f>
        <v/>
      </c>
      <c r="AP245" s="1592"/>
      <c r="AQ245" s="1593"/>
      <c r="AR245" s="1591" t="str">
        <f>IF(AR242="","",AR242/AR244)</f>
        <v/>
      </c>
      <c r="AS245" s="1592"/>
      <c r="AT245" s="1593"/>
      <c r="AU245" s="1591" t="str">
        <f>IF(AU242="","",AU242/AU244)</f>
        <v/>
      </c>
      <c r="AV245" s="1592"/>
      <c r="AW245" s="1593"/>
      <c r="AX245" s="1591" t="str">
        <f>IF(AX242="","",AX242/AX244)</f>
        <v/>
      </c>
      <c r="AY245" s="1592"/>
      <c r="AZ245" s="1593"/>
      <c r="BA245" s="1591" t="str">
        <f>IF(BA242="","",BA242/BA244)</f>
        <v/>
      </c>
      <c r="BB245" s="1592"/>
      <c r="BC245" s="1593"/>
      <c r="BD245" s="1591" t="str">
        <f>IF(BD242="","",BD242/BD244)</f>
        <v/>
      </c>
      <c r="BE245" s="1592"/>
      <c r="BF245" s="1593"/>
      <c r="BG245" s="1591" t="str">
        <f>IF(BG242="","",BG242/BG244)</f>
        <v/>
      </c>
      <c r="BH245" s="1592"/>
      <c r="BI245" s="1593"/>
      <c r="BJ245" s="1591" t="str">
        <f>IF(BJ242="","",BJ242/BJ244)</f>
        <v/>
      </c>
      <c r="BK245" s="1592"/>
      <c r="BL245" s="1593"/>
      <c r="BM245" s="1591" t="str">
        <f>IF(BM242="","",BM242/BM244)</f>
        <v/>
      </c>
      <c r="BN245" s="1592"/>
      <c r="BO245" s="1593"/>
      <c r="BP245" s="1591" t="str">
        <f>IF(BP242="","",BP242/BP244)</f>
        <v/>
      </c>
      <c r="BQ245" s="1592"/>
      <c r="BR245" s="1593"/>
      <c r="BS245" s="1591" t="str">
        <f>IF(BS242="","",BS242/BS244)</f>
        <v/>
      </c>
      <c r="BT245" s="1592"/>
      <c r="BU245" s="1593"/>
      <c r="BV245" s="1591" t="str">
        <f>IF(BV242="","",BV242/BV244)</f>
        <v/>
      </c>
      <c r="BW245" s="1592"/>
      <c r="BX245" s="1593"/>
      <c r="BY245" s="1591" t="str">
        <f>IF(BY242="","",BY242/BY244)</f>
        <v/>
      </c>
      <c r="BZ245" s="1592"/>
      <c r="CA245" s="1593"/>
      <c r="CB245" s="1591" t="str">
        <f>IF(CB242="","",CB242/CB244)</f>
        <v/>
      </c>
      <c r="CC245" s="1592"/>
      <c r="CD245" s="1593"/>
      <c r="CE245" s="1591" t="str">
        <f>IF(CE242="","",CE242/CE244)</f>
        <v/>
      </c>
      <c r="CF245" s="1592"/>
      <c r="CG245" s="1593"/>
      <c r="CH245" s="1591" t="str">
        <f>IF(CH242="","",CH242/CH244)</f>
        <v/>
      </c>
      <c r="CI245" s="1592"/>
      <c r="CJ245" s="1593"/>
      <c r="CK245" s="1591" t="str">
        <f>IF(CK242="","",CK242/CK244)</f>
        <v/>
      </c>
      <c r="CL245" s="1592"/>
      <c r="CM245" s="1593"/>
      <c r="CN245" s="1591" t="str">
        <f>IF(CN242="","",CN242/CN244)</f>
        <v/>
      </c>
      <c r="CO245" s="1592"/>
      <c r="CP245" s="1593"/>
      <c r="CQ245" s="1591" t="str">
        <f>IF(CQ242="","",CQ242/CQ244)</f>
        <v/>
      </c>
      <c r="CR245" s="1592"/>
      <c r="CS245" s="1593"/>
      <c r="CT245" s="1591" t="str">
        <f>IF(CT242="","",CT242/CT244)</f>
        <v/>
      </c>
      <c r="CU245" s="1592"/>
      <c r="CV245" s="1593"/>
      <c r="CW245" s="1591" t="str">
        <f>IF(CW242="","",CW242/CW244)</f>
        <v/>
      </c>
      <c r="CX245" s="1592"/>
      <c r="CY245" s="1593"/>
      <c r="CZ245" s="1591" t="str">
        <f>IF(CZ242="","",CZ242/CZ244)</f>
        <v/>
      </c>
      <c r="DA245" s="1592"/>
      <c r="DB245" s="1593"/>
      <c r="DC245" s="1591" t="str">
        <f>IF(DC242="","",DC242/DC244)</f>
        <v/>
      </c>
      <c r="DD245" s="1592"/>
      <c r="DE245" s="1593"/>
      <c r="DF245" s="1591" t="str">
        <f>IF(DF242="","",DF242/DF244)</f>
        <v/>
      </c>
      <c r="DG245" s="1592"/>
      <c r="DH245" s="1593"/>
      <c r="DI245" s="1591" t="str">
        <f>IF(DI242="","",DI242/DI244)</f>
        <v/>
      </c>
      <c r="DJ245" s="1592"/>
      <c r="DK245" s="1593"/>
      <c r="DL245" s="1591" t="str">
        <f>IF(DL242="","",DL242/DL244)</f>
        <v/>
      </c>
      <c r="DM245" s="1592"/>
      <c r="DN245" s="1593"/>
      <c r="DO245" s="1591" t="str">
        <f>IF(DO242="","",DO242/DO244)</f>
        <v/>
      </c>
      <c r="DP245" s="1592"/>
      <c r="DQ245" s="1593"/>
      <c r="DR245" s="1591" t="str">
        <f>IF(DR242="","",DR242/DR244)</f>
        <v/>
      </c>
      <c r="DS245" s="1592"/>
      <c r="DT245" s="1593"/>
      <c r="DU245" s="1591" t="str">
        <f>IF(DU242="","",DU242/DU244)</f>
        <v/>
      </c>
      <c r="DV245" s="1592"/>
      <c r="DW245" s="1593"/>
      <c r="DX245" s="147"/>
    </row>
    <row r="246" ht="23.25" customHeight="true" x14ac:dyDescent="0.25">
      <c r="B246" s="1612"/>
      <c r="C246" s="1613"/>
      <c r="D246" s="1613"/>
      <c r="E246" s="1613"/>
      <c r="F246" s="1746" t="s">
        <v>1488</v>
      </c>
      <c r="G246" s="1747"/>
      <c r="H246" s="1594">
        <v>1</v>
      </c>
      <c r="I246" s="1595"/>
      <c r="J246" s="1596"/>
      <c r="K246" s="1594">
        <v>1E-3</v>
      </c>
      <c r="L246" s="1595"/>
      <c r="M246" s="1596"/>
      <c r="N246" s="1594"/>
      <c r="O246" s="1595"/>
      <c r="P246" s="1596"/>
      <c r="Q246" s="1594"/>
      <c r="R246" s="1595"/>
      <c r="S246" s="1596"/>
      <c r="T246" s="1594"/>
      <c r="U246" s="1595"/>
      <c r="V246" s="1596"/>
      <c r="W246" s="1594"/>
      <c r="X246" s="1595"/>
      <c r="Y246" s="1596"/>
      <c r="Z246" s="1594"/>
      <c r="AA246" s="1595"/>
      <c r="AB246" s="1596"/>
      <c r="AC246" s="1594"/>
      <c r="AD246" s="1595"/>
      <c r="AE246" s="1596"/>
      <c r="AF246" s="1594"/>
      <c r="AG246" s="1595"/>
      <c r="AH246" s="1596"/>
      <c r="AI246" s="1594"/>
      <c r="AJ246" s="1595"/>
      <c r="AK246" s="1596"/>
      <c r="AL246" s="1594"/>
      <c r="AM246" s="1595"/>
      <c r="AN246" s="1596"/>
      <c r="AO246" s="1594"/>
      <c r="AP246" s="1595"/>
      <c r="AQ246" s="1596"/>
      <c r="AR246" s="1594"/>
      <c r="AS246" s="1595"/>
      <c r="AT246" s="1596"/>
      <c r="AU246" s="1594"/>
      <c r="AV246" s="1595"/>
      <c r="AW246" s="1596"/>
      <c r="AX246" s="1594"/>
      <c r="AY246" s="1595"/>
      <c r="AZ246" s="1596"/>
      <c r="BA246" s="1594"/>
      <c r="BB246" s="1595"/>
      <c r="BC246" s="1596"/>
      <c r="BD246" s="1594"/>
      <c r="BE246" s="1595"/>
      <c r="BF246" s="1596"/>
      <c r="BG246" s="1594"/>
      <c r="BH246" s="1595"/>
      <c r="BI246" s="1596"/>
      <c r="BJ246" s="1594"/>
      <c r="BK246" s="1595"/>
      <c r="BL246" s="1596"/>
      <c r="BM246" s="1594"/>
      <c r="BN246" s="1595"/>
      <c r="BO246" s="1596"/>
      <c r="BP246" s="1594"/>
      <c r="BQ246" s="1595"/>
      <c r="BR246" s="1596"/>
      <c r="BS246" s="1594"/>
      <c r="BT246" s="1595"/>
      <c r="BU246" s="1596"/>
      <c r="BV246" s="1594"/>
      <c r="BW246" s="1595"/>
      <c r="BX246" s="1596"/>
      <c r="BY246" s="1594"/>
      <c r="BZ246" s="1595"/>
      <c r="CA246" s="1596"/>
      <c r="CB246" s="1594"/>
      <c r="CC246" s="1595"/>
      <c r="CD246" s="1596"/>
      <c r="CE246" s="1594"/>
      <c r="CF246" s="1595"/>
      <c r="CG246" s="1596"/>
      <c r="CH246" s="1594"/>
      <c r="CI246" s="1595"/>
      <c r="CJ246" s="1596"/>
      <c r="CK246" s="1594"/>
      <c r="CL246" s="1595"/>
      <c r="CM246" s="1596"/>
      <c r="CN246" s="1594"/>
      <c r="CO246" s="1595"/>
      <c r="CP246" s="1596"/>
      <c r="CQ246" s="1594"/>
      <c r="CR246" s="1595"/>
      <c r="CS246" s="1596"/>
      <c r="CT246" s="1594"/>
      <c r="CU246" s="1595"/>
      <c r="CV246" s="1596"/>
      <c r="CW246" s="1594"/>
      <c r="CX246" s="1595"/>
      <c r="CY246" s="1596"/>
      <c r="CZ246" s="1594"/>
      <c r="DA246" s="1595"/>
      <c r="DB246" s="1596"/>
      <c r="DC246" s="1594"/>
      <c r="DD246" s="1595"/>
      <c r="DE246" s="1596"/>
      <c r="DF246" s="1594"/>
      <c r="DG246" s="1595"/>
      <c r="DH246" s="1596"/>
      <c r="DI246" s="1594"/>
      <c r="DJ246" s="1595"/>
      <c r="DK246" s="1596"/>
      <c r="DL246" s="1594"/>
      <c r="DM246" s="1595"/>
      <c r="DN246" s="1596"/>
      <c r="DO246" s="1594"/>
      <c r="DP246" s="1595"/>
      <c r="DQ246" s="1596"/>
      <c r="DR246" s="1594"/>
      <c r="DS246" s="1595"/>
      <c r="DT246" s="1596"/>
      <c r="DU246" s="1594"/>
      <c r="DV246" s="1595"/>
      <c r="DW246" s="1596"/>
      <c r="DX246" s="147"/>
    </row>
    <row r="247" ht="23.25" customHeight="true" thickBot="true" x14ac:dyDescent="0.3">
      <c r="B247" s="1612"/>
      <c r="C247" s="1613"/>
      <c r="D247" s="1613"/>
      <c r="E247" s="1613"/>
      <c r="F247" s="1748" t="s">
        <v>1489</v>
      </c>
      <c r="G247" s="1749"/>
      <c r="H247" s="1597">
        <f>IF(H242="","",H242*H246)</f>
        <v>4512.0151204088124</v>
      </c>
      <c r="I247" s="1598"/>
      <c r="J247" s="1599"/>
      <c r="K247" s="1597">
        <f>IF(K242="","",K242*K246)</f>
        <v>2.9807504537999998</v>
      </c>
      <c r="L247" s="1598"/>
      <c r="M247" s="1599"/>
      <c r="N247" s="1597" t="str">
        <f>IF(N242="","",N242*N246)</f>
        <v/>
      </c>
      <c r="O247" s="1598"/>
      <c r="P247" s="1599"/>
      <c r="Q247" s="1597" t="str">
        <f>IF(Q242="","",Q242*Q246)</f>
        <v/>
      </c>
      <c r="R247" s="1598"/>
      <c r="S247" s="1599"/>
      <c r="T247" s="1597" t="str">
        <f>IF(T242="","",T242*T246)</f>
        <v/>
      </c>
      <c r="U247" s="1598"/>
      <c r="V247" s="1599"/>
      <c r="W247" s="1597">
        <f>IF(W242="","",W242*W246)</f>
        <v>0</v>
      </c>
      <c r="X247" s="1598"/>
      <c r="Y247" s="1599"/>
      <c r="Z247" s="1597" t="str">
        <f>IF(Z242="","",Z242*Z246)</f>
        <v/>
      </c>
      <c r="AA247" s="1598"/>
      <c r="AB247" s="1599"/>
      <c r="AC247" s="1597" t="str">
        <f>IF(AC242="","",AC242*AC246)</f>
        <v/>
      </c>
      <c r="AD247" s="1598"/>
      <c r="AE247" s="1599"/>
      <c r="AF247" s="1597" t="str">
        <f>IF(AF242="","",AF242*AF246)</f>
        <v/>
      </c>
      <c r="AG247" s="1598"/>
      <c r="AH247" s="1599"/>
      <c r="AI247" s="1597" t="str">
        <f>IF(AI242="","",AI242*AI246)</f>
        <v/>
      </c>
      <c r="AJ247" s="1598"/>
      <c r="AK247" s="1599"/>
      <c r="AL247" s="1597" t="str">
        <f>IF(AL242="","",AL242*AL246)</f>
        <v/>
      </c>
      <c r="AM247" s="1598"/>
      <c r="AN247" s="1599"/>
      <c r="AO247" s="1597" t="str">
        <f>IF(AO242="","",AO242*AO246)</f>
        <v/>
      </c>
      <c r="AP247" s="1598"/>
      <c r="AQ247" s="1599"/>
      <c r="AR247" s="1597" t="str">
        <f>IF(AR242="","",AR242*AR246)</f>
        <v/>
      </c>
      <c r="AS247" s="1598"/>
      <c r="AT247" s="1599"/>
      <c r="AU247" s="1597" t="str">
        <f>IF(AU242="","",AU242*AU246)</f>
        <v/>
      </c>
      <c r="AV247" s="1598"/>
      <c r="AW247" s="1599"/>
      <c r="AX247" s="1597" t="str">
        <f>IF(AX242="","",AX242*AX246)</f>
        <v/>
      </c>
      <c r="AY247" s="1598"/>
      <c r="AZ247" s="1599"/>
      <c r="BA247" s="1597" t="str">
        <f>IF(BA242="","",BA242*BA246)</f>
        <v/>
      </c>
      <c r="BB247" s="1598"/>
      <c r="BC247" s="1599"/>
      <c r="BD247" s="1597" t="str">
        <f>IF(BD242="","",BD242*BD246)</f>
        <v/>
      </c>
      <c r="BE247" s="1598"/>
      <c r="BF247" s="1599"/>
      <c r="BG247" s="1597" t="str">
        <f>IF(BG242="","",BG242*BG246)</f>
        <v/>
      </c>
      <c r="BH247" s="1598"/>
      <c r="BI247" s="1599"/>
      <c r="BJ247" s="1597" t="str">
        <f>IF(BJ242="","",BJ242*BJ246)</f>
        <v/>
      </c>
      <c r="BK247" s="1598"/>
      <c r="BL247" s="1599"/>
      <c r="BM247" s="1597" t="str">
        <f>IF(BM242="","",BM242*BM246)</f>
        <v/>
      </c>
      <c r="BN247" s="1598"/>
      <c r="BO247" s="1599"/>
      <c r="BP247" s="1597" t="str">
        <f>IF(BP242="","",BP242*BP246)</f>
        <v/>
      </c>
      <c r="BQ247" s="1598"/>
      <c r="BR247" s="1599"/>
      <c r="BS247" s="1597" t="str">
        <f>IF(BS242="","",BS242*BS246)</f>
        <v/>
      </c>
      <c r="BT247" s="1598"/>
      <c r="BU247" s="1599"/>
      <c r="BV247" s="1597" t="str">
        <f>IF(BV242="","",BV242*BV246)</f>
        <v/>
      </c>
      <c r="BW247" s="1598"/>
      <c r="BX247" s="1599"/>
      <c r="BY247" s="1597" t="str">
        <f>IF(BY242="","",BY242*BY246)</f>
        <v/>
      </c>
      <c r="BZ247" s="1598"/>
      <c r="CA247" s="1599"/>
      <c r="CB247" s="1597" t="str">
        <f>IF(CB242="","",CB242*CB246)</f>
        <v/>
      </c>
      <c r="CC247" s="1598"/>
      <c r="CD247" s="1599"/>
      <c r="CE247" s="1597" t="str">
        <f>IF(CE242="","",CE242*CE246)</f>
        <v/>
      </c>
      <c r="CF247" s="1598"/>
      <c r="CG247" s="1599"/>
      <c r="CH247" s="1597" t="str">
        <f>IF(CH242="","",CH242*CH246)</f>
        <v/>
      </c>
      <c r="CI247" s="1598"/>
      <c r="CJ247" s="1599"/>
      <c r="CK247" s="1597" t="str">
        <f>IF(CK242="","",CK242*CK246)</f>
        <v/>
      </c>
      <c r="CL247" s="1598"/>
      <c r="CM247" s="1599"/>
      <c r="CN247" s="1597" t="str">
        <f>IF(CN242="","",CN242*CN246)</f>
        <v/>
      </c>
      <c r="CO247" s="1598"/>
      <c r="CP247" s="1599"/>
      <c r="CQ247" s="1597" t="str">
        <f>IF(CQ242="","",CQ242*CQ246)</f>
        <v/>
      </c>
      <c r="CR247" s="1598"/>
      <c r="CS247" s="1599"/>
      <c r="CT247" s="1597" t="str">
        <f>IF(CT242="","",CT242*CT246)</f>
        <v/>
      </c>
      <c r="CU247" s="1598"/>
      <c r="CV247" s="1599"/>
      <c r="CW247" s="1597" t="str">
        <f>IF(CW242="","",CW242*CW246)</f>
        <v/>
      </c>
      <c r="CX247" s="1598"/>
      <c r="CY247" s="1599"/>
      <c r="CZ247" s="1597" t="str">
        <f>IF(CZ242="","",CZ242*CZ246)</f>
        <v/>
      </c>
      <c r="DA247" s="1598"/>
      <c r="DB247" s="1599"/>
      <c r="DC247" s="1597" t="str">
        <f>IF(DC242="","",DC242*DC246)</f>
        <v/>
      </c>
      <c r="DD247" s="1598"/>
      <c r="DE247" s="1599"/>
      <c r="DF247" s="1597" t="str">
        <f>IF(DF242="","",DF242*DF246)</f>
        <v/>
      </c>
      <c r="DG247" s="1598"/>
      <c r="DH247" s="1599"/>
      <c r="DI247" s="1597" t="str">
        <f>IF(DI242="","",DI242*DI246)</f>
        <v/>
      </c>
      <c r="DJ247" s="1598"/>
      <c r="DK247" s="1599"/>
      <c r="DL247" s="1597" t="str">
        <f>IF(DL242="","",DL242*DL246)</f>
        <v/>
      </c>
      <c r="DM247" s="1598"/>
      <c r="DN247" s="1599"/>
      <c r="DO247" s="1597" t="str">
        <f>IF(DO242="","",DO242*DO246)</f>
        <v/>
      </c>
      <c r="DP247" s="1598"/>
      <c r="DQ247" s="1599"/>
      <c r="DR247" s="1597" t="str">
        <f>IF(DR242="","",DR242*DR246)</f>
        <v/>
      </c>
      <c r="DS247" s="1598"/>
      <c r="DT247" s="1599"/>
      <c r="DU247" s="1597" t="str">
        <f>IF(DU242="","",DU242*DU246)</f>
        <v/>
      </c>
      <c r="DV247" s="1598"/>
      <c r="DW247" s="1599"/>
      <c r="DX247" s="147"/>
    </row>
    <row r="248" ht="23.25" customHeight="true" thickBot="true" x14ac:dyDescent="0.3">
      <c r="B248" s="1615"/>
      <c r="C248" s="1616"/>
      <c r="D248" s="1616"/>
      <c r="E248" s="1616"/>
      <c r="F248" s="1618"/>
      <c r="G248" s="1618"/>
      <c r="H248" s="1618"/>
      <c r="I248" s="1618"/>
      <c r="J248" s="1618"/>
      <c r="K248" s="1618"/>
      <c r="L248" s="1618"/>
      <c r="M248" s="1618"/>
      <c r="N248" s="1618"/>
      <c r="O248" s="1618"/>
      <c r="P248" s="1618"/>
      <c r="Q248" s="1618"/>
      <c r="R248" s="1618"/>
      <c r="S248" s="1618"/>
      <c r="T248" s="1618"/>
      <c r="U248" s="1618"/>
      <c r="V248" s="1618"/>
      <c r="W248" s="1618"/>
      <c r="X248" s="1618"/>
      <c r="Y248" s="1618"/>
      <c r="Z248" s="1618"/>
      <c r="AA248" s="1618"/>
      <c r="AB248" s="1618"/>
      <c r="AC248" s="1618"/>
      <c r="AD248" s="1618"/>
      <c r="AE248" s="1618"/>
      <c r="AF248" s="1618"/>
      <c r="AG248" s="1618"/>
      <c r="AH248" s="1618"/>
      <c r="AI248" s="1618"/>
      <c r="AJ248" s="1618"/>
      <c r="AK248" s="1618"/>
      <c r="AL248" s="1618"/>
      <c r="AM248" s="1618"/>
      <c r="AN248" s="1618"/>
      <c r="AO248" s="1618"/>
      <c r="AP248" s="1618"/>
      <c r="AQ248" s="1618"/>
      <c r="AR248" s="1618"/>
      <c r="AS248" s="1618"/>
      <c r="AT248" s="1618"/>
      <c r="AU248" s="1618"/>
      <c r="AV248" s="1618"/>
      <c r="AW248" s="1618"/>
      <c r="AX248" s="1618"/>
      <c r="AY248" s="1618"/>
      <c r="AZ248" s="1618"/>
      <c r="BA248" s="1618"/>
      <c r="BB248" s="1618"/>
      <c r="BC248" s="1618"/>
      <c r="BD248" s="1618"/>
      <c r="BE248" s="1618"/>
      <c r="BF248" s="1618"/>
      <c r="BG248" s="1618"/>
      <c r="BH248" s="1618"/>
      <c r="BI248" s="1618"/>
      <c r="BJ248" s="1618"/>
      <c r="BK248" s="1618"/>
      <c r="BL248" s="1618"/>
      <c r="BM248" s="1618"/>
      <c r="BN248" s="1618"/>
      <c r="BO248" s="1618"/>
      <c r="BP248" s="1618"/>
      <c r="BQ248" s="1618"/>
      <c r="BR248" s="1618"/>
      <c r="BS248" s="1618"/>
      <c r="BT248" s="1618"/>
      <c r="BU248" s="1618"/>
      <c r="BV248" s="1618"/>
      <c r="BW248" s="1618"/>
      <c r="BX248" s="1618"/>
      <c r="BY248" s="1618"/>
      <c r="BZ248" s="1618"/>
      <c r="CA248" s="1618"/>
      <c r="CB248" s="1618"/>
      <c r="CC248" s="1618"/>
      <c r="CD248" s="1618"/>
      <c r="CE248" s="1618"/>
      <c r="CF248" s="1618"/>
      <c r="CG248" s="1618"/>
      <c r="CH248" s="1618"/>
      <c r="CI248" s="1618"/>
      <c r="CJ248" s="1618"/>
      <c r="CK248" s="1618"/>
      <c r="CL248" s="1618"/>
      <c r="CM248" s="1618"/>
      <c r="CN248" s="1618"/>
      <c r="CO248" s="1618"/>
      <c r="CP248" s="1618"/>
      <c r="CQ248" s="1618"/>
      <c r="CR248" s="1618"/>
      <c r="CS248" s="1618"/>
      <c r="CT248" s="1618"/>
      <c r="CU248" s="1618"/>
      <c r="CV248" s="1618"/>
      <c r="CW248" s="1618"/>
      <c r="CX248" s="1618"/>
      <c r="CY248" s="1618"/>
      <c r="CZ248" s="1618"/>
      <c r="DA248" s="1618"/>
      <c r="DB248" s="1618"/>
      <c r="DC248" s="1618"/>
      <c r="DD248" s="1618"/>
      <c r="DE248" s="1618"/>
      <c r="DF248" s="1618"/>
      <c r="DG248" s="1618"/>
      <c r="DH248" s="1618"/>
      <c r="DI248" s="1618"/>
      <c r="DJ248" s="1618"/>
      <c r="DK248" s="1618"/>
      <c r="DL248" s="1618"/>
      <c r="DM248" s="1618"/>
      <c r="DN248" s="1618"/>
      <c r="DO248" s="1618"/>
      <c r="DP248" s="1618"/>
      <c r="DQ248" s="1618"/>
      <c r="DR248" s="1618"/>
      <c r="DS248" s="1618"/>
      <c r="DT248" s="1618"/>
      <c r="DU248" s="1618"/>
      <c r="DV248" s="1618"/>
      <c r="DW248" s="1618"/>
      <c r="DX248" s="1619"/>
    </row>
    <row r="249" ht="23.25" customHeight="true" x14ac:dyDescent="0.25"/>
    <row r="250" ht="23.25" customHeight="true" x14ac:dyDescent="0.25"/>
    <row r="251" ht="23.25" customHeight="true" x14ac:dyDescent="0.25">
      <c r="H251" s="8"/>
    </row>
    <row r="252" ht="23.25" customHeight="true" x14ac:dyDescent="0.25">
      <c r="H252" s="8"/>
    </row>
    <row r="253" ht="23.25" customHeight="true" x14ac:dyDescent="0.25">
      <c r="H253" s="8"/>
      <c r="N253" s="780"/>
      <c r="U253" s="781"/>
      <c r="V253" s="781"/>
    </row>
    <row r="254" ht="23.25" customHeight="true" x14ac:dyDescent="0.25">
      <c r="H254" s="8"/>
      <c r="N254" s="780"/>
      <c r="U254" s="781"/>
      <c r="V254" s="781"/>
    </row>
    <row r="255" ht="23.25" customHeight="true" x14ac:dyDescent="0.25">
      <c r="N255" s="780"/>
      <c r="U255" s="781"/>
      <c r="V255" s="781"/>
    </row>
    <row r="256" ht="23.25" customHeight="true" thickBot="true" x14ac:dyDescent="0.3">
      <c r="N256" s="780"/>
      <c r="U256" s="781"/>
      <c r="V256" s="781"/>
    </row>
    <row r="257" ht="38.4" thickBot="true" x14ac:dyDescent="0.7">
      <c r="B257" s="743" t="s">
        <v>2328</v>
      </c>
      <c r="C257" s="142"/>
      <c r="D257" s="760"/>
      <c r="E257" s="1645" t="s">
        <v>2215</v>
      </c>
      <c r="F257" s="1645"/>
      <c r="G257" s="1646" t="s">
        <v>2216</v>
      </c>
      <c r="H257" s="1646"/>
      <c r="I257" s="1646"/>
      <c r="J257" s="1585"/>
      <c r="K257" s="1585"/>
      <c r="L257" s="1585"/>
      <c r="M257" s="1585"/>
      <c r="N257" s="1585"/>
      <c r="O257" s="1585"/>
      <c r="P257" s="1585"/>
      <c r="Q257" s="1585"/>
      <c r="R257" s="1585"/>
      <c r="S257" s="1585"/>
      <c r="T257" s="1585"/>
      <c r="U257" s="1585"/>
      <c r="V257" s="1585"/>
      <c r="W257" s="1585"/>
      <c r="X257" s="1585"/>
      <c r="Y257" s="1585"/>
      <c r="Z257" s="1585"/>
      <c r="AA257" s="1585"/>
      <c r="AB257" s="1585"/>
      <c r="AC257" s="1585"/>
      <c r="AD257" s="1585"/>
      <c r="AE257" s="1585"/>
      <c r="AF257" s="1585"/>
      <c r="AG257" s="1585"/>
      <c r="AH257" s="1585"/>
      <c r="AI257" s="1585"/>
      <c r="AJ257" s="1585"/>
      <c r="AK257" s="1585"/>
      <c r="AL257" s="1585"/>
      <c r="AM257" s="1585"/>
      <c r="AN257" s="1585"/>
      <c r="AO257" s="1585"/>
      <c r="AP257" s="1585"/>
      <c r="AQ257" s="1585"/>
      <c r="AR257" s="1585"/>
      <c r="AS257" s="1585"/>
      <c r="AT257" s="1585"/>
      <c r="AU257" s="1585"/>
      <c r="AV257" s="1585"/>
      <c r="AW257" s="1585"/>
      <c r="AX257" s="1585"/>
      <c r="AY257" s="1585"/>
      <c r="AZ257" s="1585"/>
      <c r="BA257" s="1585"/>
      <c r="BB257" s="1585"/>
      <c r="BC257" s="1585"/>
      <c r="BD257" s="1585"/>
      <c r="BE257" s="1585"/>
      <c r="BF257" s="1585"/>
      <c r="BG257" s="1585"/>
      <c r="BH257" s="1585"/>
      <c r="BI257" s="1585"/>
      <c r="BJ257" s="1585"/>
      <c r="BK257" s="1585"/>
      <c r="BL257" s="1585"/>
      <c r="BM257" s="1585"/>
      <c r="BN257" s="1585"/>
      <c r="BO257" s="1585"/>
      <c r="BP257" s="1585"/>
      <c r="BQ257" s="1585"/>
      <c r="BR257" s="1585"/>
      <c r="BS257" s="1585"/>
      <c r="BT257" s="1585"/>
      <c r="BU257" s="1585"/>
      <c r="BV257" s="1585"/>
      <c r="BW257" s="1585"/>
      <c r="BX257" s="1585"/>
      <c r="BY257" s="1585"/>
      <c r="BZ257" s="1585"/>
      <c r="CA257" s="1585"/>
      <c r="CB257" s="1585"/>
      <c r="CC257" s="1585"/>
      <c r="CD257" s="1585"/>
      <c r="CE257" s="1585"/>
      <c r="CF257" s="1585"/>
      <c r="CG257" s="1585"/>
      <c r="CH257" s="1585"/>
      <c r="CI257" s="1585"/>
      <c r="CJ257" s="1585"/>
      <c r="CK257" s="1585"/>
      <c r="CL257" s="1585"/>
      <c r="CM257" s="1585"/>
      <c r="CN257" s="1585"/>
      <c r="CO257" s="1585"/>
      <c r="CP257" s="1585"/>
      <c r="CQ257" s="1585"/>
      <c r="CR257" s="1585"/>
      <c r="CS257" s="1585"/>
      <c r="CT257" s="1585"/>
      <c r="CU257" s="1587"/>
    </row>
    <row r="258" ht="23.25" customHeight="true" thickBot="true" x14ac:dyDescent="0.7">
      <c r="B258" s="1612"/>
      <c r="C258" s="1613"/>
      <c r="D258" s="1613"/>
      <c r="E258" s="1613"/>
      <c r="F258" s="663"/>
      <c r="G258" s="782"/>
      <c r="H258" s="1163"/>
      <c r="I258" s="1163"/>
      <c r="J258" s="1586"/>
      <c r="K258" s="1586"/>
      <c r="L258" s="1586"/>
      <c r="M258" s="1586"/>
      <c r="N258" s="1586"/>
      <c r="O258" s="1586"/>
      <c r="P258" s="1586"/>
      <c r="Q258" s="1586"/>
      <c r="R258" s="1586"/>
      <c r="S258" s="1586"/>
      <c r="T258" s="1586"/>
      <c r="U258" s="1586"/>
      <c r="V258" s="1586"/>
      <c r="W258" s="1586"/>
      <c r="X258" s="1586"/>
      <c r="Y258" s="1586"/>
      <c r="Z258" s="1586"/>
      <c r="AA258" s="1586"/>
      <c r="AB258" s="1586"/>
      <c r="AC258" s="1586"/>
      <c r="AD258" s="1586"/>
      <c r="AE258" s="1586"/>
      <c r="AF258" s="1586"/>
      <c r="AG258" s="1586"/>
      <c r="AH258" s="1586"/>
      <c r="AI258" s="1586"/>
      <c r="AJ258" s="1586"/>
      <c r="AK258" s="1586"/>
      <c r="AL258" s="1586"/>
      <c r="AM258" s="1586"/>
      <c r="AN258" s="1586"/>
      <c r="AO258" s="1586"/>
      <c r="AP258" s="1586"/>
      <c r="AQ258" s="1586"/>
      <c r="AR258" s="1586"/>
      <c r="AS258" s="1586"/>
      <c r="AT258" s="1586"/>
      <c r="AU258" s="1586"/>
      <c r="AV258" s="1586"/>
      <c r="AW258" s="1586"/>
      <c r="AX258" s="1586"/>
      <c r="AY258" s="1586"/>
      <c r="AZ258" s="1586"/>
      <c r="BA258" s="1586"/>
      <c r="BB258" s="1586"/>
      <c r="BC258" s="1586"/>
      <c r="BD258" s="1586"/>
      <c r="BE258" s="1586"/>
      <c r="BF258" s="1586"/>
      <c r="BG258" s="1586"/>
      <c r="BH258" s="1586"/>
      <c r="BI258" s="1586"/>
      <c r="BJ258" s="1586"/>
      <c r="BK258" s="1586"/>
      <c r="BL258" s="1586"/>
      <c r="BM258" s="1586"/>
      <c r="BN258" s="1586"/>
      <c r="BO258" s="1586"/>
      <c r="BP258" s="1586"/>
      <c r="BQ258" s="1586"/>
      <c r="BR258" s="1586"/>
      <c r="BS258" s="1586"/>
      <c r="BT258" s="1586"/>
      <c r="BU258" s="1586"/>
      <c r="BV258" s="1586"/>
      <c r="BW258" s="1586"/>
      <c r="BX258" s="1586"/>
      <c r="BY258" s="1586"/>
      <c r="BZ258" s="1586"/>
      <c r="CA258" s="1586"/>
      <c r="CB258" s="1586"/>
      <c r="CC258" s="1586"/>
      <c r="CD258" s="1586"/>
      <c r="CE258" s="1586"/>
      <c r="CF258" s="1586"/>
      <c r="CG258" s="1586"/>
      <c r="CH258" s="1586"/>
      <c r="CI258" s="1586"/>
      <c r="CJ258" s="1586"/>
      <c r="CK258" s="1586"/>
      <c r="CL258" s="1586"/>
      <c r="CM258" s="1586"/>
      <c r="CN258" s="1586"/>
      <c r="CO258" s="1586"/>
      <c r="CP258" s="1586"/>
      <c r="CQ258" s="1586"/>
      <c r="CR258" s="1586"/>
      <c r="CS258" s="1586"/>
      <c r="CT258" s="1586"/>
      <c r="CU258" s="1588"/>
    </row>
    <row r="259" ht="22.5" customHeight="true" thickBot="true" x14ac:dyDescent="0.45">
      <c r="B259" s="1612"/>
      <c r="C259" s="1613"/>
      <c r="D259" s="1613"/>
      <c r="E259" s="1613"/>
      <c r="F259" s="140"/>
      <c r="G259" s="1669" t="s">
        <v>1861</v>
      </c>
      <c r="H259" s="1670"/>
      <c r="I259" s="1670"/>
      <c r="J259" s="1671"/>
      <c r="K259" s="1690" t="s">
        <v>2329</v>
      </c>
      <c r="L259" s="1691"/>
      <c r="M259" s="1691"/>
      <c r="N259" s="1691"/>
      <c r="O259" s="1691"/>
      <c r="P259" s="1691"/>
      <c r="Q259" s="1754"/>
      <c r="R259" s="1702" t="s">
        <v>2330</v>
      </c>
      <c r="S259" s="1703"/>
      <c r="T259" s="1704"/>
      <c r="U259" s="1702" t="s">
        <v>2331</v>
      </c>
      <c r="V259" s="1703"/>
      <c r="W259" s="1703"/>
      <c r="X259" s="1704"/>
      <c r="Y259" s="1699" t="s">
        <v>2332</v>
      </c>
      <c r="Z259" s="1700"/>
      <c r="AA259" s="1700"/>
      <c r="AB259" s="1701"/>
      <c r="AC259" s="1693" t="s">
        <v>2333</v>
      </c>
      <c r="AD259" s="1694"/>
      <c r="AE259" s="1694"/>
      <c r="AF259" s="1695"/>
      <c r="AG259" s="1690" t="s">
        <v>2334</v>
      </c>
      <c r="AH259" s="1691"/>
      <c r="AI259" s="1691"/>
      <c r="AJ259" s="1691"/>
      <c r="AK259" s="1691"/>
      <c r="AL259" s="1692"/>
      <c r="AM259" s="1696" t="s">
        <v>2335</v>
      </c>
      <c r="AN259" s="1697"/>
      <c r="AO259" s="1697"/>
      <c r="AP259" s="1697"/>
      <c r="AQ259" s="1697"/>
      <c r="AR259" s="1697"/>
      <c r="AS259" s="1697"/>
      <c r="AT259" s="1697"/>
      <c r="AU259" s="1697"/>
      <c r="AV259" s="1697"/>
      <c r="AW259" s="1697"/>
      <c r="AX259" s="1698"/>
      <c r="AY259" s="1690" t="s">
        <v>2336</v>
      </c>
      <c r="AZ259" s="1691"/>
      <c r="BA259" s="1691"/>
      <c r="BB259" s="1691"/>
      <c r="BC259" s="1691"/>
      <c r="BD259" s="1691"/>
      <c r="BE259" s="1691"/>
      <c r="BF259" s="1691"/>
      <c r="BG259" s="1691"/>
      <c r="BH259" s="1691"/>
      <c r="BI259" s="1691"/>
      <c r="BJ259" s="1692"/>
      <c r="BK259" s="1696" t="s">
        <v>2337</v>
      </c>
      <c r="BL259" s="1784"/>
      <c r="BM259" s="1784"/>
      <c r="BN259" s="1784"/>
      <c r="BO259" s="1666" t="s">
        <v>2338</v>
      </c>
      <c r="BP259" s="1667"/>
      <c r="BQ259" s="1667"/>
      <c r="BR259" s="1667"/>
      <c r="BS259" s="1667"/>
      <c r="BT259" s="1667"/>
      <c r="BU259" s="1667"/>
      <c r="BV259" s="1667"/>
      <c r="BW259" s="1667"/>
      <c r="BX259" s="1667"/>
      <c r="BY259" s="1667"/>
      <c r="BZ259" s="1667"/>
      <c r="CA259" s="1667"/>
      <c r="CB259" s="1667"/>
      <c r="CC259" s="1667"/>
      <c r="CD259" s="1667"/>
      <c r="CE259" s="1667"/>
      <c r="CF259" s="1667"/>
      <c r="CG259" s="1667"/>
      <c r="CH259" s="1667"/>
      <c r="CI259" s="1667"/>
      <c r="CJ259" s="1667"/>
      <c r="CK259" s="1667"/>
      <c r="CL259" s="1667"/>
      <c r="CM259" s="1667"/>
      <c r="CN259" s="1667"/>
      <c r="CO259" s="1667"/>
      <c r="CP259" s="1667"/>
      <c r="CQ259" s="1667"/>
      <c r="CR259" s="1667"/>
      <c r="CS259" s="1667"/>
      <c r="CT259" s="1668"/>
      <c r="CU259" s="1588"/>
    </row>
    <row r="260" s="783" customFormat="true" ht="42" customHeight="true" x14ac:dyDescent="0.25">
      <c r="B260" s="1612"/>
      <c r="C260" s="1613"/>
      <c r="D260" s="1613"/>
      <c r="E260" s="1613"/>
      <c r="F260" s="1710" t="s">
        <v>1469</v>
      </c>
      <c r="G260" s="1712" t="s">
        <v>2160</v>
      </c>
      <c r="H260" s="1736" t="s">
        <v>186</v>
      </c>
      <c r="I260" s="1736" t="s">
        <v>2159</v>
      </c>
      <c r="J260" s="1740" t="s">
        <v>204</v>
      </c>
      <c r="K260" s="1738" t="s">
        <v>2317</v>
      </c>
      <c r="L260" s="1657" t="s">
        <v>36</v>
      </c>
      <c r="M260" s="1657"/>
      <c r="N260" s="1657" t="s">
        <v>79</v>
      </c>
      <c r="O260" s="1657"/>
      <c r="P260" s="1660" t="s">
        <v>1004</v>
      </c>
      <c r="Q260" s="1755" t="s">
        <v>1022</v>
      </c>
      <c r="R260" s="1658" t="s">
        <v>1159</v>
      </c>
      <c r="S260" s="1640" t="s">
        <v>1549</v>
      </c>
      <c r="T260" s="1684" t="s">
        <v>1025</v>
      </c>
      <c r="U260" s="1655" t="s">
        <v>1003</v>
      </c>
      <c r="V260" s="1682" t="s">
        <v>1001</v>
      </c>
      <c r="W260" s="1647" t="s">
        <v>400</v>
      </c>
      <c r="X260" s="1684" t="s">
        <v>399</v>
      </c>
      <c r="Y260" s="1658" t="s">
        <v>1823</v>
      </c>
      <c r="Z260" s="1640" t="s">
        <v>1824</v>
      </c>
      <c r="AA260" s="1627" t="s">
        <v>1825</v>
      </c>
      <c r="AB260" s="1686" t="s">
        <v>240</v>
      </c>
      <c r="AC260" s="1678" t="s">
        <v>389</v>
      </c>
      <c r="AD260" s="1627" t="s">
        <v>244</v>
      </c>
      <c r="AE260" s="1627" t="s">
        <v>250</v>
      </c>
      <c r="AF260" s="1629" t="s">
        <v>242</v>
      </c>
      <c r="AG260" s="1662" t="s">
        <v>245</v>
      </c>
      <c r="AH260" s="1660" t="s">
        <v>1863</v>
      </c>
      <c r="AI260" s="1640" t="s">
        <v>246</v>
      </c>
      <c r="AJ260" s="1660" t="s">
        <v>1863</v>
      </c>
      <c r="AK260" s="1640" t="s">
        <v>247</v>
      </c>
      <c r="AL260" s="1688" t="s">
        <v>1863</v>
      </c>
      <c r="AM260" s="1658" t="s">
        <v>187</v>
      </c>
      <c r="AN260" s="1640" t="s">
        <v>2293</v>
      </c>
      <c r="AO260" s="1640" t="s">
        <v>198</v>
      </c>
      <c r="AP260" s="1627" t="s">
        <v>239</v>
      </c>
      <c r="AQ260" s="1634" t="s">
        <v>1839</v>
      </c>
      <c r="AR260" s="1627" t="s">
        <v>205</v>
      </c>
      <c r="AS260" s="1634" t="s">
        <v>1840</v>
      </c>
      <c r="AT260" s="1627" t="s">
        <v>261</v>
      </c>
      <c r="AU260" s="1660" t="s">
        <v>1842</v>
      </c>
      <c r="AV260" s="1672" t="s">
        <v>248</v>
      </c>
      <c r="AW260" s="1672" t="s">
        <v>249</v>
      </c>
      <c r="AX260" s="1629" t="s">
        <v>241</v>
      </c>
      <c r="AY260" s="1662" t="s">
        <v>2165</v>
      </c>
      <c r="AZ260" s="1672" t="s">
        <v>2163</v>
      </c>
      <c r="BA260" s="1627" t="s">
        <v>2164</v>
      </c>
      <c r="BB260" s="1653" t="s">
        <v>2169</v>
      </c>
      <c r="BC260" s="1627" t="s">
        <v>2388</v>
      </c>
      <c r="BD260" s="1625" t="s">
        <v>2166</v>
      </c>
      <c r="BE260" s="1625" t="s">
        <v>2389</v>
      </c>
      <c r="BF260" s="1672" t="s">
        <v>2170</v>
      </c>
      <c r="BG260" s="1653" t="s">
        <v>2171</v>
      </c>
      <c r="BH260" s="1649" t="s">
        <v>2167</v>
      </c>
      <c r="BI260" s="1651" t="s">
        <v>2172</v>
      </c>
      <c r="BJ260" s="1680" t="s">
        <v>243</v>
      </c>
      <c r="BK260" s="1638" t="s">
        <v>2310</v>
      </c>
      <c r="BL260" s="1640" t="s">
        <v>1140</v>
      </c>
      <c r="BM260" s="1642" t="s">
        <v>2299</v>
      </c>
      <c r="BN260" s="1642" t="s">
        <v>2300</v>
      </c>
      <c r="BO260" s="1674" t="s">
        <v>2168</v>
      </c>
      <c r="BP260" s="1714" t="s">
        <v>1834</v>
      </c>
      <c r="BQ260" s="1678" t="s">
        <v>626</v>
      </c>
      <c r="BR260" s="1660" t="s">
        <v>1835</v>
      </c>
      <c r="BS260" s="1627" t="s">
        <v>201</v>
      </c>
      <c r="BT260" s="1636" t="s">
        <v>2022</v>
      </c>
      <c r="BU260" s="1627" t="s">
        <v>634</v>
      </c>
      <c r="BV260" s="1636" t="s">
        <v>1836</v>
      </c>
      <c r="BW260" s="1676" t="s">
        <v>650</v>
      </c>
      <c r="BX260" s="1647" t="s">
        <v>649</v>
      </c>
      <c r="BY260" s="1676" t="s">
        <v>661</v>
      </c>
      <c r="BZ260" s="1647" t="s">
        <v>662</v>
      </c>
      <c r="CA260" s="1676" t="s">
        <v>2173</v>
      </c>
      <c r="CB260" s="1682" t="s">
        <v>2174</v>
      </c>
      <c r="CC260" s="1647" t="s">
        <v>664</v>
      </c>
      <c r="CD260" s="1627" t="s">
        <v>1844</v>
      </c>
      <c r="CE260" s="1636" t="s">
        <v>1837</v>
      </c>
      <c r="CF260" s="1627" t="s">
        <v>961</v>
      </c>
      <c r="CG260" s="1636" t="s">
        <v>1838</v>
      </c>
      <c r="CH260" s="1643" t="s">
        <v>692</v>
      </c>
      <c r="CI260" s="1643" t="s">
        <v>693</v>
      </c>
      <c r="CJ260" s="1643" t="s">
        <v>694</v>
      </c>
      <c r="CK260" s="1643" t="s">
        <v>695</v>
      </c>
      <c r="CL260" s="1643" t="s">
        <v>696</v>
      </c>
      <c r="CM260" s="1643" t="s">
        <v>697</v>
      </c>
      <c r="CN260" s="1643" t="s">
        <v>698</v>
      </c>
      <c r="CO260" s="1643" t="s">
        <v>699</v>
      </c>
      <c r="CP260" s="1647" t="s">
        <v>700</v>
      </c>
      <c r="CQ260" s="1627" t="s">
        <v>994</v>
      </c>
      <c r="CR260" s="1647" t="s">
        <v>994</v>
      </c>
      <c r="CS260" s="1627" t="s">
        <v>202</v>
      </c>
      <c r="CT260" s="1664" t="s">
        <v>202</v>
      </c>
      <c r="CU260" s="1588"/>
      <c r="CY260" s="784"/>
    </row>
    <row r="261" s="783" customFormat="true" ht="42" customHeight="true" x14ac:dyDescent="0.25">
      <c r="B261" s="1612"/>
      <c r="C261" s="1613"/>
      <c r="D261" s="1613"/>
      <c r="E261" s="1613"/>
      <c r="F261" s="1711"/>
      <c r="G261" s="1713"/>
      <c r="H261" s="1737"/>
      <c r="I261" s="1737"/>
      <c r="J261" s="1741"/>
      <c r="K261" s="1739"/>
      <c r="L261" s="38" t="s">
        <v>30</v>
      </c>
      <c r="M261" s="38" t="s">
        <v>94</v>
      </c>
      <c r="N261" s="1158" t="s">
        <v>30</v>
      </c>
      <c r="O261" s="38" t="s">
        <v>94</v>
      </c>
      <c r="P261" s="1661"/>
      <c r="Q261" s="1756"/>
      <c r="R261" s="1659"/>
      <c r="S261" s="1641"/>
      <c r="T261" s="1685"/>
      <c r="U261" s="1656"/>
      <c r="V261" s="1683"/>
      <c r="W261" s="1648"/>
      <c r="X261" s="1685"/>
      <c r="Y261" s="1659"/>
      <c r="Z261" s="1641"/>
      <c r="AA261" s="1628"/>
      <c r="AB261" s="1687"/>
      <c r="AC261" s="1679"/>
      <c r="AD261" s="1628"/>
      <c r="AE261" s="1628"/>
      <c r="AF261" s="1630"/>
      <c r="AG261" s="1663"/>
      <c r="AH261" s="1661"/>
      <c r="AI261" s="1641"/>
      <c r="AJ261" s="1661"/>
      <c r="AK261" s="1641"/>
      <c r="AL261" s="1689"/>
      <c r="AM261" s="1659"/>
      <c r="AN261" s="1641"/>
      <c r="AO261" s="1641"/>
      <c r="AP261" s="1628"/>
      <c r="AQ261" s="1635"/>
      <c r="AR261" s="1628"/>
      <c r="AS261" s="1635"/>
      <c r="AT261" s="1628"/>
      <c r="AU261" s="1661"/>
      <c r="AV261" s="1673"/>
      <c r="AW261" s="1673"/>
      <c r="AX261" s="1630"/>
      <c r="AY261" s="1663"/>
      <c r="AZ261" s="1673"/>
      <c r="BA261" s="1628"/>
      <c r="BB261" s="1654"/>
      <c r="BC261" s="1628"/>
      <c r="BD261" s="1626"/>
      <c r="BE261" s="1626"/>
      <c r="BF261" s="1673"/>
      <c r="BG261" s="1654"/>
      <c r="BH261" s="1650"/>
      <c r="BI261" s="1652"/>
      <c r="BJ261" s="1681"/>
      <c r="BK261" s="1639"/>
      <c r="BL261" s="1641"/>
      <c r="BM261" s="1626"/>
      <c r="BN261" s="1626"/>
      <c r="BO261" s="1675"/>
      <c r="BP261" s="1715"/>
      <c r="BQ261" s="1679"/>
      <c r="BR261" s="1661"/>
      <c r="BS261" s="1628"/>
      <c r="BT261" s="1637"/>
      <c r="BU261" s="1628"/>
      <c r="BV261" s="1637"/>
      <c r="BW261" s="1677"/>
      <c r="BX261" s="1648"/>
      <c r="BY261" s="1677"/>
      <c r="BZ261" s="1648"/>
      <c r="CA261" s="1677"/>
      <c r="CB261" s="1683"/>
      <c r="CC261" s="1648"/>
      <c r="CD261" s="1628"/>
      <c r="CE261" s="1637"/>
      <c r="CF261" s="1628"/>
      <c r="CG261" s="1637"/>
      <c r="CH261" s="1644"/>
      <c r="CI261" s="1644"/>
      <c r="CJ261" s="1644"/>
      <c r="CK261" s="1644"/>
      <c r="CL261" s="1644"/>
      <c r="CM261" s="1644"/>
      <c r="CN261" s="1644"/>
      <c r="CO261" s="1644"/>
      <c r="CP261" s="1648"/>
      <c r="CQ261" s="1628"/>
      <c r="CR261" s="1648"/>
      <c r="CS261" s="1628"/>
      <c r="CT261" s="1665"/>
      <c r="CU261" s="1588"/>
      <c r="CY261" s="784"/>
    </row>
    <row r="262" ht="23.25" customHeight="true" x14ac:dyDescent="0.25">
      <c r="B262" s="1612"/>
      <c r="C262" s="1613"/>
      <c r="D262" s="1613"/>
      <c r="E262" s="1613"/>
      <c r="F262" s="1481">
        <f>C32</f>
        <v>1</v>
      </c>
      <c r="G262" s="1482" t="str">
        <f t="shared" ref="G262:G280" si="338">IF(D32="","",D32)</f>
        <v>Carbon Dioxide</v>
      </c>
      <c r="H262" s="1483" t="str">
        <f t="shared" ref="H262:H280" si="339">IF(G32="","",G32)</f>
        <v>124-38-9</v>
      </c>
      <c r="I262" s="1483" t="str">
        <f t="shared" ref="I262:I280" si="340">IF(E32="","",E32)</f>
        <v>CO2</v>
      </c>
      <c r="J262" s="1484">
        <f t="shared" ref="J262:J280" si="341">IF(F32="","",F32)</f>
        <v>44.009500000000003</v>
      </c>
      <c r="K262" s="1046">
        <v>1</v>
      </c>
      <c r="L262" s="1483">
        <f>IF(F32&lt;&gt;"",SUM(H32+Q32+T32+K32+N32+W32+Z32+AC32+AF32+AI32+AL32+AO32+AR32+AU32+AX32+BA32+BD32+BG32+BJ32+BM32+BP32+BS32+BV32+BY32+CB32+CE32+CH32+CK32+CN32+CQ32+CT32+CW32+CZ32+DC32+DF32+DI32+DL32+DO32+DR32+DU32),"")</f>
        <v>0</v>
      </c>
      <c r="M262" s="1483">
        <f>IF(F32&lt;&gt;"",SUM(H186+K186+N186+Q186+T186+W186+Z186+AC186+AF186+AI186+AL186+AO186+AR186+AU186+AX186+BA186+BD186+BG186+BJ186+BM186+BP186+BS186+BV186+BY186+CB186+CE186+CH186+CK186+CN186+CQ186+CT186+CW186+CZ186+DC186+DF186+DI186+DL186+DO186+DR186+DU186),"")</f>
        <v>2980.7504537999998</v>
      </c>
      <c r="N262" s="1483">
        <f>IF(F32&lt;&gt;"",SUM(I32+R32+U32+L32+O32+X32+AA32+AD32+AG32+AJ32+AM32+AP32+AS32+AV32+AY32+BB32+BE32+BH32+BK32+BN32+BQ32+BT32+BW32+BZ32+CC32+CF32+CI32+CL32+CO32+CR32+CU32+CX32+DA32+DD32+DG32+DJ32+DM32+DP32+DS32+DV32),"")</f>
        <v>0</v>
      </c>
      <c r="O262" s="1483">
        <f>IF(F32&lt;&gt;"",SUM(I186+L186+O186+R186+U186+X186+AA186+AD186+AG186+AJ186+AM186+AP186+AS186+AV186+AY186+BB186+BE186+BH186+BK186+BN186+BQ186+BT186+BW186+BZ186+CC186+CF186+CI186+CL186+CO186+CR186+CU186+CX186+DA186+DD186+DG186+DJ186+DM186+DP186+DS186+DV186),"")</f>
        <v>67.729705036412582</v>
      </c>
      <c r="P262" s="1485">
        <f>IF(M262="","",M262-Q262)</f>
        <v>2980.7504537999998</v>
      </c>
      <c r="Q262" s="1486">
        <f>IF(F32&lt;&gt;"",SUM(IF(I$179=1,H186,0)+IF(L$179=1,K186,0)+IF(O$179=1,N186,0)+IF(R$179=1,Q186,0)+IF(U$179=1,T186,0)+IF(X$179=1,W186,0)+IF(AA$179=1,Z186,0)+IF(AD$179=1,AC186,0)+IF(AG$179=1,AF186,0)+IF(AJ$179=1,AI186,0)+IF(AM$179=1,AL186,0)+IF(AP$179=1,AO186,0)+IF(AS$179=1,AR186,0)+IF(AV$179=1,AU186,0)+IF(AY$179=1,AX186,0)+IF(BB$179=1,BA186,0)+IF(BE$179=1,BD186,0)+IF(BH$179=1,BG186,0)+IF(BK$179=1,BJ186,0)+IF(BN$179=1,BM186,0)+IF(BQ$179=1,BP186,0)+IF(BT$179=1,BS186,0)+IF(BW$179=1,BV186,0)+IF(BZ$179=1,BY186,0)+IF(CC$179=1,CB186,0)+IF(CF$179=1,CE186,0)+IF(CI$179=1,CH186,0)+IF(CL$179=1,CK186,0)+IF(CO$179=1,CN186,0)+IF(CR$179=1,CQ186,0)+IF(CU$179=1,CT186,0)+IF(CX$179=1,CW186,0)+IF(DA$179=1,CZ186,0)+IF(DD$179=1,DC186,0)+IF(DG$179=1,DF186,0)    +IF(DJ$179=1,DI186,0)+IF(DM$179=1,DL186,0)+IF(DP$179=1,DO186,0)+IF(DS$179=1,DR186,0)+IF(DV$179=1,DU186,0)),"")</f>
        <v>0</v>
      </c>
      <c r="R262" s="1046">
        <v>0</v>
      </c>
      <c r="S262" s="1022">
        <v>0</v>
      </c>
      <c r="T262" s="1047">
        <v>0</v>
      </c>
      <c r="U262" s="1046">
        <v>0</v>
      </c>
      <c r="V262" s="1022">
        <v>0</v>
      </c>
      <c r="W262" s="1487">
        <f>IF(F262&gt;$F$18,"",IF(AZ262&gt;=25,1,0))</f>
        <v>0</v>
      </c>
      <c r="X262" s="1048">
        <v>0</v>
      </c>
      <c r="Y262" s="1049"/>
      <c r="Z262" s="1049"/>
      <c r="AA262" s="1054">
        <v>40000000</v>
      </c>
      <c r="AB262" s="1050">
        <v>9100</v>
      </c>
      <c r="AC262" s="1051">
        <v>43829</v>
      </c>
      <c r="AD262" s="1026"/>
      <c r="AE262" s="1022" t="s">
        <v>2411</v>
      </c>
      <c r="AF262" s="1022"/>
      <c r="AG262" s="1022">
        <v>0.36099999999999999</v>
      </c>
      <c r="AH262" s="65"/>
      <c r="AI262" s="1026"/>
      <c r="AJ262" s="65"/>
      <c r="AK262" s="1026"/>
      <c r="AL262" s="68"/>
      <c r="AM262" s="1026">
        <v>1</v>
      </c>
      <c r="AN262" s="1026">
        <v>0</v>
      </c>
      <c r="AO262" s="1026">
        <v>0</v>
      </c>
      <c r="AP262" s="1026"/>
      <c r="AQ262" s="1488" t="str">
        <f t="shared" ref="AQ262:AQ279" si="342">IF(F262&gt;$F$18,"",IF(AP262&lt;&gt;"","",IF(AI262&lt;25,"T+",IF(AND(AI262&gt;=25,AI262&lt;=200),"T",IF(AND(AI262&gt;200,AI262&lt;=2000),"Xn","")))))</f>
        <v>T+</v>
      </c>
      <c r="AR262" s="1053"/>
      <c r="AS262" s="1488" t="str">
        <f t="shared" ref="AS262:AS280" si="343">IF(F262&gt;$F$18,"",IF(AR262&lt;&gt;"","",IF(AI262&lt;25,"26/27/28",IF(AND(AI262&gt;=25,AI262&lt;=200),"23/24/25",IF(AND(AI262&gt;200,AI262&lt;=2000),"20/21/22","")))))</f>
        <v>26/27/28</v>
      </c>
      <c r="AT262" s="1053"/>
      <c r="AU262" s="1488">
        <f t="shared" ref="AU262:AU280" si="344">IF(F262&gt;$F$18,"",IF(AT262&lt;&gt;"","",IF(AI262&lt;=5,1,IF(AND(AI262&gt;5,AI262&lt;=50),2,IF(AND(AI262&gt;50,AI262&lt;=500),3,IF(AND(AI262&gt;500,AI262&lt;=2000),4,IF(AND(AI262&gt;2000,AI262&lt;=5000),5,"NO")))))))</f>
        <v>1</v>
      </c>
      <c r="AV262" s="1026">
        <v>0</v>
      </c>
      <c r="AW262" s="1026">
        <v>0</v>
      </c>
      <c r="AX262" s="1026" t="s">
        <v>394</v>
      </c>
      <c r="AY262" s="1026">
        <v>-78.48</v>
      </c>
      <c r="AZ262" s="1026">
        <v>-56.5</v>
      </c>
      <c r="BA262" s="1026"/>
      <c r="BB262" s="1026"/>
      <c r="BC262" s="1026"/>
      <c r="BD262" s="1026"/>
      <c r="BE262" s="1026"/>
      <c r="BF262" s="1026">
        <f>37.13/44.009</f>
        <v>0.84369106319161991</v>
      </c>
      <c r="BG262" s="1026">
        <f>16.7/44.0095*1000</f>
        <v>379.46352492075567</v>
      </c>
      <c r="BH262" s="1026">
        <v>1.7989999999999999</v>
      </c>
      <c r="BI262" s="1026">
        <v>57.2</v>
      </c>
      <c r="BJ262" s="1026">
        <v>3.7</v>
      </c>
      <c r="BK262" s="1059">
        <v>37800</v>
      </c>
      <c r="BL262" s="1059">
        <v>19.87</v>
      </c>
      <c r="BM262" s="1059">
        <f>-393.52/44.0095</f>
        <v>-8.9417057680728007</v>
      </c>
      <c r="BN262" s="1059">
        <f>213.79/44.0095</f>
        <v>4.8578147899885247</v>
      </c>
      <c r="BO262" s="1060">
        <v>0</v>
      </c>
      <c r="BP262" s="1488" t="str">
        <f>IF(F262&gt;$F$18,"",IF(BO262&lt;&gt;"","",IF(ISNA(VLOOKUP('I. Stream &amp; Compound Data'!H262,'Potency Factors '!D$4:E$55,2,FALSE))=TRUE,0,VLOOKUP('I. Stream &amp; Compound Data'!H262,'Potency Factors '!D$4:E$55,2,FALSE))))</f>
        <v/>
      </c>
      <c r="BQ262" s="1053">
        <v>0</v>
      </c>
      <c r="BR262" s="1488" t="str">
        <f>IF(F262&gt;$F$18,"",IF(BQ262&lt;&gt;"","",IF(ISNA(VLOOKUP('I. Stream &amp; Compound Data'!H262,'Potency Factors '!D$68:E$167,2,FALSE))=TRUE,0,VLOOKUP('I. Stream &amp; Compound Data'!H262,'Potency Factors '!D$68:E$167,2,FALSE))))</f>
        <v/>
      </c>
      <c r="BS262" s="1053">
        <v>1</v>
      </c>
      <c r="BT262" s="1488" t="str">
        <f>IF(F262&gt;$F$18,"",IF(BS262&lt;&gt;"","",IF(ISNA(VLOOKUP('I. Stream &amp; Compound Data'!H262,'Potency Factors '!$D$412:$F$473,3,FALSE))=TRUE,0,VLOOKUP('I. Stream &amp; Compound Data'!H262,'Potency Factors '!$D$412:$F$473,3,FALSE))))</f>
        <v/>
      </c>
      <c r="BU262" s="1053"/>
      <c r="BV262" s="1488">
        <f>IF(F262&gt;$F$18,"",IF(BU262&lt;&gt;"","",IF(ISNA(VLOOKUP('I. Stream &amp; Compound Data'!H262,'Potency Factors '!D$180:E$185,2,FALSE))=TRUE,0,VLOOKUP('I. Stream &amp; Compound Data'!H262,'Potency Factors '!D$180:E$185,2,FALSE))))</f>
        <v>0</v>
      </c>
      <c r="BW262" s="1055"/>
      <c r="BX262" s="1489">
        <f>IF(F262&gt;$F$18,"",BW262/F32)</f>
        <v>0</v>
      </c>
      <c r="BY262" s="1055"/>
      <c r="BZ262" s="1489">
        <f>IF(F262&gt;$F$18,"",(BY262*17)/F32)</f>
        <v>0</v>
      </c>
      <c r="CA262" s="1055"/>
      <c r="CB262" s="1036"/>
      <c r="CC262" s="1489">
        <f t="shared" ref="CC262:CC280" si="345">IF(F262&gt;$F$18,"",(CA262*CB262)/F32)</f>
        <v>0</v>
      </c>
      <c r="CD262" s="1053"/>
      <c r="CE262" s="1488">
        <f>IF(F262&gt;$F$18,"",IF(CD262&lt;&gt;"","",IF(ISNA(VLOOKUP('I. Stream &amp; Compound Data'!H262,'Potency Factors '!D$224:F$345,3,FALSE))=TRUE,0,VLOOKUP('I. Stream &amp; Compound Data'!H262,'Potency Factors '!D$224:F$345,3,FALSE))))</f>
        <v>0</v>
      </c>
      <c r="CF262" s="1053"/>
      <c r="CG262" s="1488">
        <f>IF(F262&gt;$F$18,"",IF(CF262&lt;&gt;"","",IF(ISNA(VLOOKUP('I. Stream &amp; Compound Data'!H262,'Potency Factors '!D$361:F$374,3,FALSE))=TRUE,0,VLOOKUP('I. Stream &amp; Compound Data'!H262,'Potency Factors '!D$361:F$374,3,FALSE))))</f>
        <v>0</v>
      </c>
      <c r="CH262" s="1055">
        <v>1</v>
      </c>
      <c r="CI262" s="1055">
        <v>0</v>
      </c>
      <c r="CJ262" s="1055">
        <v>0</v>
      </c>
      <c r="CK262" s="1055">
        <v>0</v>
      </c>
      <c r="CL262" s="1055">
        <v>0</v>
      </c>
      <c r="CM262" s="1055">
        <v>2</v>
      </c>
      <c r="CN262" s="1055">
        <v>0</v>
      </c>
      <c r="CO262" s="1055">
        <v>0</v>
      </c>
      <c r="CP262" s="1490">
        <f t="shared" ref="CP262:CP280" si="346">IF(F262&gt;$F$18,"",ROUND(16*(2*CH262+0.5*(CI262-CK262)+2.5*CJ262+3*CO262+2.5*CN262+0.5*CL262-CM262)/F32,2))</f>
        <v>0</v>
      </c>
      <c r="CQ262" s="1053"/>
      <c r="CR262" s="1488">
        <f>IF(F262&gt;$F$18,"",IF(CQ262&lt;&gt;"","",IF(ISNA(VLOOKUP('I. Stream &amp; Compound Data'!H262,'Potency Factors '!D$387:E$399,2,FALSE))=FALSE,VLOOKUP('I. Stream &amp; Compound Data'!H262,'Potency Factors '!D$387:E$399,2,FALSE),IF(ISNUMBER(SEARCH("phosphate",G262))=TRUE,1,IF(ISNUMBER(SEARCH("nitrate",G262))=TRUE,0.1,0)))))</f>
        <v>0</v>
      </c>
      <c r="CS262" s="1053"/>
      <c r="CT262" s="1491">
        <f>IF(F262&gt;$F$18,"",IF(CS262&lt;&gt;"","",IF(ISNA(VLOOKUP('I. Stream &amp; Compound Data'!H262,'Potency Factors '!$D$485:$F$558,3,FALSE))=TRUE,0,VLOOKUP('I. Stream &amp; Compound Data'!H262,'Potency Factors '!$D$485:$F$558,3,FALSE))))</f>
        <v>0</v>
      </c>
      <c r="CU262" s="1588"/>
    </row>
    <row r="263" ht="23.25" customHeight="true" x14ac:dyDescent="0.25">
      <c r="B263" s="1612"/>
      <c r="C263" s="1613"/>
      <c r="D263" s="1613"/>
      <c r="E263" s="1613"/>
      <c r="F263" s="1481">
        <f t="shared" ref="F263:F280" si="347">C33</f>
        <v>2</v>
      </c>
      <c r="G263" s="1482" t="str">
        <f t="shared" si="338"/>
        <v>Water</v>
      </c>
      <c r="H263" s="1483" t="str">
        <f t="shared" si="339"/>
        <v>7732-18-5</v>
      </c>
      <c r="I263" s="1483" t="str">
        <f t="shared" si="340"/>
        <v>H2O</v>
      </c>
      <c r="J263" s="1484">
        <f t="shared" si="341"/>
        <v>18.0153</v>
      </c>
      <c r="K263" s="1046">
        <v>5</v>
      </c>
      <c r="L263" s="1483">
        <f t="shared" ref="L263:L272" si="348">IF(F33&lt;&gt;"",SUM(H33+Q33+T33+K33+N33+W33+Z33+AC33+AF33+AI33+AL33+AO33+AR33+AU33+AX33+BA33+BD33+BG33+BJ33+BM33+BP33+BS33+BV33+BY33+CB33+CE33+CH33+CK33+CN33+CQ33+CT33+CW33+CZ33+DC33+DF33+DI33+DL33+DO33+DR33+DU33),"")</f>
        <v>0</v>
      </c>
      <c r="M263" s="1483">
        <f t="shared" ref="M263:M311" si="349">IF(F33&lt;&gt;"",SUM(H187+K187+N187+Q187+T187+W187+Z187+AC187+AF187+AI187+AL187+AO187+AR187+AU187+AX187+BA187+BD187+BG187+BJ187+BM187+BP187+BS187+BV187+BY187+CB187+CE187+CH187+CK187+CN187+CQ187+CT187+CW187+CZ187+DC187+DF187+DI187+DL187+DO187+DR187+DU187),"")</f>
        <v>0</v>
      </c>
      <c r="N263" s="1483">
        <f t="shared" ref="N263:N311" si="350">IF(F33&lt;&gt;"",SUM(I33+R33+U33+L33+O33+X33+AA33+AD33+AG33+AJ33+AM33+AP33+AS33+AV33+AY33+BB33+BE33+BH33+BK33+BN33+BQ33+BT33+BW33+BZ33+CC33+CF33+CI33+CL33+CO33+CR33+CU33+CX33+DA33+DD33+DG33+DJ33+DM33+DP33+DS33+DV33),"")</f>
        <v>0</v>
      </c>
      <c r="O263" s="1483">
        <f t="shared" ref="O263:O311" si="351">IF(F33&lt;&gt;"",SUM(I187+L187+O187+R187+U187+X187+AA187+AD187+AG187+AJ187+AM187+AP187+AS187+AV187+AY187+BB187+BE187+BH187+BK187+BN187+BQ187+BT187+BW187+BZ187+CC187+CF187+CI187+CL187+CO187+CR187+CU187+CX187+DA187+DD187+DG187+DJ187+DM187+DP187+DS187+DV187),"")</f>
        <v>0</v>
      </c>
      <c r="P263" s="1485">
        <f t="shared" ref="P263:P311" si="352">IF(M263="","",M263-Q263)</f>
        <v>0</v>
      </c>
      <c r="Q263" s="1486">
        <f>IF(F33&lt;&gt;"",SUM(IF(I$179=1,H187,0)+IF(L$179=1,K187,0)+IF(O$179=1,N187,0)+IF(R$179=1,Q187,0)+IF(U$179=1,T187,0)+IF(X$179=1,W187,0)+IF(AA$179=1,Z187,0)+IF(AD$179=1,AC187,0)+IF(AG$179=1,AF187,0)+IF(AJ$179=1,AI187,0)+IF(AM$179=1,AL187,0)+IF(AP$179=1,AO187,0)+IF(AS$179=1,AR187,0)+IF(AV$179=1,AU187,0)+IF(AY$179=1,AX187,0)+IF(BB$179=1,BA187,0)+IF(BE$179=1,BD187,0)+IF(BH$179=1,BG187,0)+IF(BK$179=1,BJ187,0)+IF(BN$179=1,BM187,0)+IF(BQ$179=1,BP187,0)+IF(BT$179=1,BS187,0)+IF(BW$179=1,BV187,0)+IF(BZ$179=1,BY187,0)+IF(CC$179=1,CB187,0)+IF(CF$179=1,CE187,0)+IF(CI$179=1,CH187,0)+IF(CL$179=1,CK187,0)+IF(CO$179=1,CN187,0)+IF(CR$179=1,CQ187,0)+IF(CU$179=1,CT187,0)+IF(CX$179=1,CW187,0)+IF(DA$179=1,CZ187,0)+IF(DD$179=1,DC187,0)+IF(DG$179=1,DF187,0)    +IF(DJ$179=1,DI187,0)+IF(DM$179=1,DL187,0)+IF(DP$179=1,DO187,0)+IF(DS$179=1,DR187,0)+IF(DV$179=1,DU187,0)),"")</f>
        <v>0</v>
      </c>
      <c r="R263" s="1046">
        <v>1</v>
      </c>
      <c r="S263" s="1022">
        <v>1</v>
      </c>
      <c r="T263" s="1047">
        <v>0</v>
      </c>
      <c r="U263" s="1046">
        <v>0</v>
      </c>
      <c r="V263" s="1022">
        <v>0</v>
      </c>
      <c r="W263" s="1487">
        <f t="shared" ref="W263:W310" si="353">IF(F263&gt;$F$18,"",IF(AZ263&gt;=25,1,0))</f>
        <v>0</v>
      </c>
      <c r="X263" s="1048">
        <v>1</v>
      </c>
      <c r="Y263" s="1049" t="s">
        <v>200</v>
      </c>
      <c r="Z263" s="1026"/>
      <c r="AA263" s="1026"/>
      <c r="AB263" s="1050"/>
      <c r="AC263" s="1051">
        <v>0</v>
      </c>
      <c r="AD263" s="1026"/>
      <c r="AE263" s="1022">
        <v>344</v>
      </c>
      <c r="AF263" s="1022"/>
      <c r="AG263" s="1022">
        <v>10000</v>
      </c>
      <c r="AH263" s="65"/>
      <c r="AI263" s="1026">
        <v>90000</v>
      </c>
      <c r="AJ263" s="65"/>
      <c r="AK263" s="1026"/>
      <c r="AL263" s="68"/>
      <c r="AM263" s="1026">
        <v>0</v>
      </c>
      <c r="AN263" s="1026">
        <v>0</v>
      </c>
      <c r="AO263" s="1026">
        <v>0</v>
      </c>
      <c r="AP263" s="1026"/>
      <c r="AQ263" s="1488" t="str">
        <f t="shared" si="342"/>
        <v/>
      </c>
      <c r="AR263" s="1053"/>
      <c r="AS263" s="1488" t="str">
        <f t="shared" si="343"/>
        <v/>
      </c>
      <c r="AT263" s="1053"/>
      <c r="AU263" s="1488" t="str">
        <f t="shared" si="344"/>
        <v>NO</v>
      </c>
      <c r="AV263" s="1026">
        <v>0</v>
      </c>
      <c r="AW263" s="1026">
        <v>0</v>
      </c>
      <c r="AX263" s="1026" t="s">
        <v>394</v>
      </c>
      <c r="AY263" s="1026">
        <v>99.999999999999972</v>
      </c>
      <c r="AZ263" s="1026">
        <v>-2.273181642920008E-14</v>
      </c>
      <c r="BA263" s="1026"/>
      <c r="BB263" s="1026"/>
      <c r="BC263" s="1026">
        <v>2000</v>
      </c>
      <c r="BD263" s="1026"/>
      <c r="BE263" s="1026"/>
      <c r="BF263" s="1026">
        <v>4.184454528497386</v>
      </c>
      <c r="BG263" s="1026">
        <v>2264.697976870953</v>
      </c>
      <c r="BH263" s="1026">
        <v>997.04190279393686</v>
      </c>
      <c r="BI263" s="1026">
        <v>0.19940338517582701</v>
      </c>
      <c r="BJ263" s="1026">
        <v>7</v>
      </c>
      <c r="BK263" s="1059">
        <v>664</v>
      </c>
      <c r="BL263" s="1059">
        <v>9.5</v>
      </c>
      <c r="BM263" s="1059">
        <v>-15.859</v>
      </c>
      <c r="BN263" s="1059">
        <v>-9.0430000000000007E-3</v>
      </c>
      <c r="BO263" s="1060"/>
      <c r="BP263" s="1488">
        <f>IF(F263&gt;$F$18,"",IF(BO263&lt;&gt;"","",IF(ISNA(VLOOKUP('I. Stream &amp; Compound Data'!H263,'Potency Factors '!D$4:E$55,2,FALSE))=TRUE,0,VLOOKUP('I. Stream &amp; Compound Data'!H263,'Potency Factors '!D$4:E$55,2,FALSE))))</f>
        <v>0</v>
      </c>
      <c r="BQ263" s="1053"/>
      <c r="BR263" s="1488">
        <f>IF(F263&gt;$F$18,"",IF(BQ263&lt;&gt;"","",IF(ISNA(VLOOKUP('I. Stream &amp; Compound Data'!H263,'Potency Factors '!D$68:E$167,2,FALSE))=TRUE,0,VLOOKUP('I. Stream &amp; Compound Data'!H263,'Potency Factors '!D$68:E$167,2,FALSE))))</f>
        <v>0</v>
      </c>
      <c r="BS263" s="1053"/>
      <c r="BT263" s="1488">
        <f>IF(F263&gt;$F$18,"",IF(BS263&lt;&gt;"","",IF(ISNA(VLOOKUP('I. Stream &amp; Compound Data'!H263,'Potency Factors '!$D$412:$F$473,3,FALSE))=TRUE,0,VLOOKUP('I. Stream &amp; Compound Data'!H263,'Potency Factors '!$D$412:$F$473,3,FALSE))))</f>
        <v>0</v>
      </c>
      <c r="BU263" s="1053"/>
      <c r="BV263" s="1488">
        <f>IF(F263&gt;$F$18,"",IF(BU263&lt;&gt;"","",IF(ISNA(VLOOKUP('I. Stream &amp; Compound Data'!H263,'Potency Factors '!D$180:E$185,2,FALSE))=TRUE,0,VLOOKUP('I. Stream &amp; Compound Data'!H263,'Potency Factors '!D$180:E$185,2,FALSE))))</f>
        <v>0</v>
      </c>
      <c r="BW263" s="1055">
        <v>0</v>
      </c>
      <c r="BX263" s="1489">
        <f t="shared" ref="BX263:BX280" si="354">IF(F263&gt;$F$18,"",BW263/F33)</f>
        <v>0</v>
      </c>
      <c r="BY263" s="1055">
        <v>0</v>
      </c>
      <c r="BZ263" s="1489">
        <f t="shared" ref="BZ263:BZ280" si="355">IF(F263&gt;$F$18,"",(BY263*17)/F33)</f>
        <v>0</v>
      </c>
      <c r="CA263" s="1055">
        <v>0</v>
      </c>
      <c r="CB263" s="1036">
        <v>0</v>
      </c>
      <c r="CC263" s="1489">
        <f t="shared" si="345"/>
        <v>0</v>
      </c>
      <c r="CD263" s="1053"/>
      <c r="CE263" s="1488">
        <f>IF(F263&gt;$F$18,"",IF(CD263&lt;&gt;"","",IF(ISNA(VLOOKUP('I. Stream &amp; Compound Data'!H263,'Potency Factors '!D$224:F$345,3,FALSE))=TRUE,0,VLOOKUP('I. Stream &amp; Compound Data'!H263,'Potency Factors '!D$224:F$345,3,FALSE))))</f>
        <v>0</v>
      </c>
      <c r="CF263" s="1053"/>
      <c r="CG263" s="1488">
        <f>IF(F263&gt;$F$18,"",IF(CF263&lt;&gt;"","",IF(ISNA(VLOOKUP('I. Stream &amp; Compound Data'!H263,'Potency Factors '!D$361:F$374,3,FALSE))=TRUE,0,VLOOKUP('I. Stream &amp; Compound Data'!H263,'Potency Factors '!D$361:F$374,3,FALSE))))</f>
        <v>0</v>
      </c>
      <c r="CH263" s="1055">
        <v>0</v>
      </c>
      <c r="CI263" s="1055">
        <v>2</v>
      </c>
      <c r="CJ263" s="1055">
        <v>0</v>
      </c>
      <c r="CK263" s="1055">
        <v>0</v>
      </c>
      <c r="CL263" s="1055">
        <v>0</v>
      </c>
      <c r="CM263" s="1055">
        <v>1</v>
      </c>
      <c r="CN263" s="1055">
        <v>0</v>
      </c>
      <c r="CO263" s="1055">
        <v>0</v>
      </c>
      <c r="CP263" s="1490">
        <f t="shared" si="346"/>
        <v>0</v>
      </c>
      <c r="CQ263" s="1053"/>
      <c r="CR263" s="1488">
        <f>IF(F263&gt;$F$18,"",IF(CQ263&lt;&gt;"","",IF(ISNA(VLOOKUP('I. Stream &amp; Compound Data'!H263,'Potency Factors '!D$387:E$399,2,FALSE))=FALSE,VLOOKUP('I. Stream &amp; Compound Data'!H263,'Potency Factors '!D$387:E$399,2,FALSE),IF(ISNUMBER(SEARCH("phosphate",G263))=TRUE,1,IF(ISNUMBER(SEARCH("nitrate",G263))=TRUE,0.1,0)))))</f>
        <v>0</v>
      </c>
      <c r="CS263" s="1053"/>
      <c r="CT263" s="1491">
        <f>IF(F263&gt;$F$18,"",IF(CS263&lt;&gt;"","",IF(ISNA(VLOOKUP('I. Stream &amp; Compound Data'!H263,'Potency Factors '!$D$485:$F$558,3,FALSE))=TRUE,0,VLOOKUP('I. Stream &amp; Compound Data'!H263,'Potency Factors '!$D$485:$F$558,3,FALSE))))</f>
        <v>0</v>
      </c>
      <c r="CU263" s="1588"/>
    </row>
    <row r="264" ht="23.25" customHeight="true" x14ac:dyDescent="0.25">
      <c r="B264" s="1612"/>
      <c r="C264" s="1613"/>
      <c r="D264" s="1613"/>
      <c r="E264" s="1613"/>
      <c r="F264" s="1481">
        <f t="shared" si="347"/>
        <v>3</v>
      </c>
      <c r="G264" s="1482" t="str">
        <f t="shared" si="338"/>
        <v>Calcium Oxide</v>
      </c>
      <c r="H264" s="1483" t="str">
        <f t="shared" si="339"/>
        <v>1305-78-8</v>
      </c>
      <c r="I264" s="1483" t="str">
        <f t="shared" si="340"/>
        <v>CaO</v>
      </c>
      <c r="J264" s="1484">
        <f t="shared" si="341"/>
        <v>56.076999999999998</v>
      </c>
      <c r="K264" s="1046">
        <v>1</v>
      </c>
      <c r="L264" s="1483">
        <f t="shared" si="348"/>
        <v>0</v>
      </c>
      <c r="M264" s="1483">
        <f t="shared" si="349"/>
        <v>2888.3362910273868</v>
      </c>
      <c r="N264" s="1483">
        <f t="shared" si="350"/>
        <v>0</v>
      </c>
      <c r="O264" s="1483">
        <f t="shared" si="351"/>
        <v>51.506612176603362</v>
      </c>
      <c r="P264" s="1485">
        <f t="shared" si="352"/>
        <v>0</v>
      </c>
      <c r="Q264" s="1486">
        <f t="shared" ref="Q264:Q311" si="356">IF(F34&lt;&gt;"",SUM(IF(I$179=1,H188,0)+IF(L$179=1,K188,0)+IF(O$179=1,N188,0)+IF(R$179=1,Q188,0)+IF(U$179=1,T188,0)+IF(X$179=1,W188,0)+IF(AA$179=1,Z188,0)+IF(AD$179=1,AC188,0)+IF(AG$179=1,AF188,0)+IF(AJ$179=1,AI188,0)+IF(AM$179=1,AL188,0)+IF(AP$179=1,AO188,0)+IF(AS$179=1,AR188,0)+IF(AV$179=1,AU188,0)+IF(AY$179=1,AX188,0)+IF(BB$179=1,BA188,0)+IF(BE$179=1,BD188,0)+IF(BH$179=1,BG188,0)+IF(BK$179=1,BJ188,0)+IF(BN$179=1,BM188,0)+IF(BQ$179=1,BP188,0)+IF(BT$179=1,BS188,0)+IF(BW$179=1,BV188,0)+IF(BZ$179=1,BY188,0)+IF(CC$179=1,CB188,0)+IF(CF$179=1,CE188,0)+IF(CI$179=1,CH188,0)+IF(CL$179=1,CK188,0)+IF(CO$179=1,CN188,0)+IF(CR$179=1,CQ188,0)+IF(CU$179=1,CT188,0)+IF(CX$179=1,CW188,0)+IF(DA$179=1,CZ188,0)+IF(DD$179=1,DC188,0)+IF(DG$179=1,DF188,0)    +IF(DJ$179=1,DI188,0)+IF(DM$179=1,DL188,0)+IF(DP$179=1,DO188,0)+IF(DS$179=1,DR188,0)+IF(DV$179=1,DU188,0)),"")</f>
        <v>2888.3362910273868</v>
      </c>
      <c r="R264" s="1046">
        <v>0</v>
      </c>
      <c r="S264" s="1022">
        <v>1</v>
      </c>
      <c r="T264" s="1047">
        <v>0</v>
      </c>
      <c r="U264" s="1046">
        <v>0</v>
      </c>
      <c r="V264" s="1022">
        <v>1</v>
      </c>
      <c r="W264" s="1487">
        <f t="shared" si="353"/>
        <v>1</v>
      </c>
      <c r="X264" s="1048">
        <v>0</v>
      </c>
      <c r="Y264" s="1061"/>
      <c r="Z264" s="1054"/>
      <c r="AA264" s="1054">
        <v>25</v>
      </c>
      <c r="AB264" s="1050">
        <v>1</v>
      </c>
      <c r="AC264" s="1051">
        <v>0</v>
      </c>
      <c r="AD264" s="1026"/>
      <c r="AE264" s="1022" t="s">
        <v>2411</v>
      </c>
      <c r="AF264" s="1022" t="s">
        <v>2411</v>
      </c>
      <c r="AG264" s="1022">
        <v>50.6</v>
      </c>
      <c r="AH264" s="65"/>
      <c r="AI264" s="1026">
        <v>2000</v>
      </c>
      <c r="AJ264" s="65"/>
      <c r="AK264" s="1026">
        <v>2500</v>
      </c>
      <c r="AL264" s="68"/>
      <c r="AM264" s="1026">
        <v>1</v>
      </c>
      <c r="AN264" s="1026">
        <v>0</v>
      </c>
      <c r="AO264" s="1026">
        <v>0</v>
      </c>
      <c r="AP264" s="1026"/>
      <c r="AQ264" s="1488" t="str">
        <f t="shared" si="342"/>
        <v>Xn</v>
      </c>
      <c r="AR264" s="1053"/>
      <c r="AS264" s="1488" t="str">
        <f t="shared" si="343"/>
        <v>20/21/22</v>
      </c>
      <c r="AT264" s="1053"/>
      <c r="AU264" s="1488">
        <f t="shared" si="344"/>
        <v>4</v>
      </c>
      <c r="AV264" s="1026">
        <v>0</v>
      </c>
      <c r="AW264" s="1026">
        <v>1</v>
      </c>
      <c r="AX264" s="1026">
        <v>1</v>
      </c>
      <c r="AY264" s="1026">
        <v>2850</v>
      </c>
      <c r="AZ264" s="1026">
        <v>2613</v>
      </c>
      <c r="BA264" s="1026"/>
      <c r="BB264" s="1026"/>
      <c r="BC264" s="1026"/>
      <c r="BD264" s="1026"/>
      <c r="BE264" s="1026"/>
      <c r="BF264" s="1026">
        <f>42.08937/56.077</f>
        <v>0.7505638675392764</v>
      </c>
      <c r="BG264" s="1026"/>
      <c r="BH264" s="1026">
        <v>3340</v>
      </c>
      <c r="BI264" s="1026">
        <v>0</v>
      </c>
      <c r="BJ264" s="1026">
        <v>12.8</v>
      </c>
      <c r="BK264" s="1059"/>
      <c r="BL264" s="1059">
        <v>0.11020000000000001</v>
      </c>
      <c r="BM264" s="1059">
        <f>-635.09/56.077</f>
        <v>-11.325320541398435</v>
      </c>
      <c r="BN264" s="1059">
        <f>38.1/56.077</f>
        <v>0.6794229363197033</v>
      </c>
      <c r="BO264" s="1060">
        <v>0</v>
      </c>
      <c r="BP264" s="1488" t="str">
        <f>IF(F264&gt;$F$18,"",IF(BO264&lt;&gt;"","",IF(ISNA(VLOOKUP('I. Stream &amp; Compound Data'!H264,'Potency Factors '!D$4:E$55,2,FALSE))=TRUE,0,VLOOKUP('I. Stream &amp; Compound Data'!H264,'Potency Factors '!D$4:E$55,2,FALSE))))</f>
        <v/>
      </c>
      <c r="BQ264" s="1053">
        <v>0</v>
      </c>
      <c r="BR264" s="1488" t="str">
        <f>IF(F264&gt;$F$18,"",IF(BQ264&lt;&gt;"","",IF(ISNA(VLOOKUP('I. Stream &amp; Compound Data'!H264,'Potency Factors '!D$68:E$167,2,FALSE))=TRUE,0,VLOOKUP('I. Stream &amp; Compound Data'!H264,'Potency Factors '!D$68:E$167,2,FALSE))))</f>
        <v/>
      </c>
      <c r="BS264" s="1053"/>
      <c r="BT264" s="1488">
        <f>IF(F264&gt;$F$18,"",IF(BS264&lt;&gt;"","",IF(ISNA(VLOOKUP('I. Stream &amp; Compound Data'!H264,'Potency Factors '!$D$412:$F$473,3,FALSE))=TRUE,0,VLOOKUP('I. Stream &amp; Compound Data'!H264,'Potency Factors '!$D$412:$F$473,3,FALSE))))</f>
        <v>0</v>
      </c>
      <c r="BU264" s="1053"/>
      <c r="BV264" s="1488">
        <f>IF(F264&gt;$F$18,"",IF(BU264&lt;&gt;"","",IF(ISNA(VLOOKUP('I. Stream &amp; Compound Data'!H264,'Potency Factors '!D$180:E$185,2,FALSE))=TRUE,0,VLOOKUP('I. Stream &amp; Compound Data'!H264,'Potency Factors '!D$180:E$185,2,FALSE))))</f>
        <v>0</v>
      </c>
      <c r="BW264" s="1055"/>
      <c r="BX264" s="1489">
        <f t="shared" si="354"/>
        <v>0</v>
      </c>
      <c r="BY264" s="1055"/>
      <c r="BZ264" s="1489">
        <f t="shared" si="355"/>
        <v>0</v>
      </c>
      <c r="CA264" s="1055"/>
      <c r="CB264" s="1036"/>
      <c r="CC264" s="1489">
        <f t="shared" si="345"/>
        <v>0</v>
      </c>
      <c r="CD264" s="1053"/>
      <c r="CE264" s="1488">
        <f>IF(F264&gt;$F$18,"",IF(CD264&lt;&gt;"","",IF(ISNA(VLOOKUP('I. Stream &amp; Compound Data'!H264,'Potency Factors '!D$224:F$345,3,FALSE))=TRUE,0,VLOOKUP('I. Stream &amp; Compound Data'!H264,'Potency Factors '!D$224:F$345,3,FALSE))))</f>
        <v>0</v>
      </c>
      <c r="CF264" s="1053"/>
      <c r="CG264" s="1488">
        <f>IF(F264&gt;$F$18,"",IF(CF264&lt;&gt;"","",IF(ISNA(VLOOKUP('I. Stream &amp; Compound Data'!H264,'Potency Factors '!D$361:F$374,3,FALSE))=TRUE,0,VLOOKUP('I. Stream &amp; Compound Data'!H264,'Potency Factors '!D$361:F$374,3,FALSE))))</f>
        <v>0</v>
      </c>
      <c r="CH264" s="1055">
        <v>0</v>
      </c>
      <c r="CI264" s="1055">
        <v>0</v>
      </c>
      <c r="CJ264" s="1055">
        <v>0</v>
      </c>
      <c r="CK264" s="1055">
        <v>0</v>
      </c>
      <c r="CL264" s="1055">
        <v>0</v>
      </c>
      <c r="CM264" s="1055">
        <v>1</v>
      </c>
      <c r="CN264" s="1055">
        <v>0</v>
      </c>
      <c r="CO264" s="1055">
        <v>0</v>
      </c>
      <c r="CP264" s="1490">
        <f t="shared" si="346"/>
        <v>-0.28999999999999998</v>
      </c>
      <c r="CQ264" s="1053"/>
      <c r="CR264" s="1488">
        <f>IF(F264&gt;$F$18,"",IF(CQ264&lt;&gt;"","",IF(ISNA(VLOOKUP('I. Stream &amp; Compound Data'!H264,'Potency Factors '!D$387:E$399,2,FALSE))=FALSE,VLOOKUP('I. Stream &amp; Compound Data'!H264,'Potency Factors '!D$387:E$399,2,FALSE),IF(ISNUMBER(SEARCH("phosphate",G264))=TRUE,1,IF(ISNUMBER(SEARCH("nitrate",G264))=TRUE,0.1,0)))))</f>
        <v>0</v>
      </c>
      <c r="CS264" s="1053"/>
      <c r="CT264" s="1491">
        <f>IF(F264&gt;$F$18,"",IF(CS264&lt;&gt;"","",IF(ISNA(VLOOKUP('I. Stream &amp; Compound Data'!H264,'Potency Factors '!$D$485:$F$558,3,FALSE))=TRUE,0,VLOOKUP('I. Stream &amp; Compound Data'!H264,'Potency Factors '!$D$485:$F$558,3,FALSE))))</f>
        <v>0</v>
      </c>
      <c r="CU264" s="1588"/>
    </row>
    <row r="265" ht="23.25" customHeight="true" x14ac:dyDescent="0.25">
      <c r="B265" s="1612"/>
      <c r="C265" s="1613"/>
      <c r="D265" s="1613"/>
      <c r="E265" s="1613"/>
      <c r="F265" s="1481">
        <f t="shared" si="347"/>
        <v>4</v>
      </c>
      <c r="G265" s="1482" t="str">
        <f t="shared" si="338"/>
        <v>Calcium Carbonate</v>
      </c>
      <c r="H265" s="1483" t="str">
        <f t="shared" si="339"/>
        <v>471-34-1</v>
      </c>
      <c r="I265" s="1483" t="str">
        <f t="shared" si="340"/>
        <v>CaCO3</v>
      </c>
      <c r="J265" s="1484">
        <f t="shared" si="341"/>
        <v>100.087</v>
      </c>
      <c r="K265" s="1046">
        <v>2</v>
      </c>
      <c r="L265" s="1483">
        <f t="shared" si="348"/>
        <v>6778.7792000553327</v>
      </c>
      <c r="M265" s="1483">
        <f t="shared" si="349"/>
        <v>1623.6788293814257</v>
      </c>
      <c r="N265" s="1483">
        <f t="shared" si="350"/>
        <v>67.728867885492946</v>
      </c>
      <c r="O265" s="1483">
        <f t="shared" si="351"/>
        <v>16.222674566941016</v>
      </c>
      <c r="P265" s="1485">
        <f t="shared" si="352"/>
        <v>0</v>
      </c>
      <c r="Q265" s="1486">
        <f t="shared" si="356"/>
        <v>1623.6788293814257</v>
      </c>
      <c r="R265" s="1046">
        <v>0</v>
      </c>
      <c r="S265" s="1022">
        <v>1</v>
      </c>
      <c r="T265" s="1047">
        <v>0.8</v>
      </c>
      <c r="U265" s="1046">
        <v>0</v>
      </c>
      <c r="V265" s="1022">
        <v>1</v>
      </c>
      <c r="W265" s="1487">
        <f t="shared" si="353"/>
        <v>0</v>
      </c>
      <c r="X265" s="1048">
        <v>0</v>
      </c>
      <c r="Y265" s="1049"/>
      <c r="Z265" s="1026"/>
      <c r="AA265" s="1026"/>
      <c r="AB265" s="1050"/>
      <c r="AC265" s="1051">
        <v>0</v>
      </c>
      <c r="AD265" s="1026"/>
      <c r="AE265" s="1022" t="s">
        <v>2411</v>
      </c>
      <c r="AF265" s="1022" t="s">
        <v>2411</v>
      </c>
      <c r="AG265" s="1022">
        <v>3</v>
      </c>
      <c r="AH265" s="65"/>
      <c r="AI265" s="1026">
        <v>6450</v>
      </c>
      <c r="AJ265" s="65"/>
      <c r="AK265" s="1026">
        <v>2000</v>
      </c>
      <c r="AL265" s="68"/>
      <c r="AM265" s="1026">
        <v>0</v>
      </c>
      <c r="AN265" s="1026">
        <v>0</v>
      </c>
      <c r="AO265" s="1026">
        <v>0</v>
      </c>
      <c r="AP265" s="1026"/>
      <c r="AQ265" s="1488" t="str">
        <f t="shared" si="342"/>
        <v/>
      </c>
      <c r="AR265" s="1053">
        <v>36</v>
      </c>
      <c r="AS265" s="1488" t="str">
        <f t="shared" si="343"/>
        <v/>
      </c>
      <c r="AT265" s="1053"/>
      <c r="AU265" s="1488" t="str">
        <f t="shared" si="344"/>
        <v>NO</v>
      </c>
      <c r="AV265" s="1026">
        <v>0</v>
      </c>
      <c r="AW265" s="1026">
        <v>0</v>
      </c>
      <c r="AX265" s="1026" t="s">
        <v>394</v>
      </c>
      <c r="AY265" s="1026"/>
      <c r="AZ265" s="1026"/>
      <c r="BA265" s="1026"/>
      <c r="BB265" s="1026"/>
      <c r="BC265" s="1026">
        <v>700</v>
      </c>
      <c r="BD265" s="1026"/>
      <c r="BE265" s="1026"/>
      <c r="BF265" s="1026">
        <v>0.83430000000000004</v>
      </c>
      <c r="BG265" s="1026"/>
      <c r="BH265" s="1026">
        <v>2800</v>
      </c>
      <c r="BI265" s="1026">
        <v>0</v>
      </c>
      <c r="BJ265" s="1026">
        <v>8</v>
      </c>
      <c r="BK265" s="1059"/>
      <c r="BL265" s="1059">
        <v>1E-3</v>
      </c>
      <c r="BM265" s="1059">
        <f>-1206.9/100.0869</f>
        <v>-12.058521145124887</v>
      </c>
      <c r="BN265" s="1059">
        <f>92.9/100.0869</f>
        <v>0.92819339993545613</v>
      </c>
      <c r="BO265" s="1060">
        <v>0</v>
      </c>
      <c r="BP265" s="1488" t="str">
        <f>IF(F265&gt;$F$18,"",IF(BO265&lt;&gt;"","",IF(ISNA(VLOOKUP('I. Stream &amp; Compound Data'!H265,'Potency Factors '!D$4:E$55,2,FALSE))=TRUE,0,VLOOKUP('I. Stream &amp; Compound Data'!H265,'Potency Factors '!D$4:E$55,2,FALSE))))</f>
        <v/>
      </c>
      <c r="BQ265" s="1053">
        <v>0</v>
      </c>
      <c r="BR265" s="1488" t="str">
        <f>IF(F265&gt;$F$18,"",IF(BQ265&lt;&gt;"","",IF(ISNA(VLOOKUP('I. Stream &amp; Compound Data'!H265,'Potency Factors '!D$68:E$167,2,FALSE))=TRUE,0,VLOOKUP('I. Stream &amp; Compound Data'!H265,'Potency Factors '!D$68:E$167,2,FALSE))))</f>
        <v/>
      </c>
      <c r="BS265" s="1053">
        <v>0.44</v>
      </c>
      <c r="BT265" s="1488" t="str">
        <f>IF(F265&gt;$F$18,"",IF(BS265&lt;&gt;"","",IF(ISNA(VLOOKUP('I. Stream &amp; Compound Data'!H265,'Potency Factors '!$D$412:$F$473,3,FALSE))=TRUE,0,VLOOKUP('I. Stream &amp; Compound Data'!H265,'Potency Factors '!$D$412:$F$473,3,FALSE))))</f>
        <v/>
      </c>
      <c r="BU265" s="1053"/>
      <c r="BV265" s="1488">
        <f>IF(F265&gt;$F$18,"",IF(BU265&lt;&gt;"","",IF(ISNA(VLOOKUP('I. Stream &amp; Compound Data'!H265,'Potency Factors '!D$180:E$185,2,FALSE))=TRUE,0,VLOOKUP('I. Stream &amp; Compound Data'!H265,'Potency Factors '!D$180:E$185,2,FALSE))))</f>
        <v>0</v>
      </c>
      <c r="BW265" s="1055"/>
      <c r="BX265" s="1489">
        <f t="shared" si="354"/>
        <v>0</v>
      </c>
      <c r="BY265" s="1055"/>
      <c r="BZ265" s="1489">
        <f t="shared" si="355"/>
        <v>0</v>
      </c>
      <c r="CA265" s="1055"/>
      <c r="CB265" s="1036"/>
      <c r="CC265" s="1489">
        <f t="shared" si="345"/>
        <v>0</v>
      </c>
      <c r="CD265" s="1053"/>
      <c r="CE265" s="1488">
        <f>IF(F265&gt;$F$18,"",IF(CD265&lt;&gt;"","",IF(ISNA(VLOOKUP('I. Stream &amp; Compound Data'!H265,'Potency Factors '!D$224:F$345,3,FALSE))=TRUE,0,VLOOKUP('I. Stream &amp; Compound Data'!H265,'Potency Factors '!D$224:F$345,3,FALSE))))</f>
        <v>0</v>
      </c>
      <c r="CF265" s="1053"/>
      <c r="CG265" s="1488">
        <f>IF(F265&gt;$F$18,"",IF(CF265&lt;&gt;"","",IF(ISNA(VLOOKUP('I. Stream &amp; Compound Data'!H265,'Potency Factors '!D$361:F$374,3,FALSE))=TRUE,0,VLOOKUP('I. Stream &amp; Compound Data'!H265,'Potency Factors '!D$361:F$374,3,FALSE))))</f>
        <v>0</v>
      </c>
      <c r="CH265" s="1055">
        <v>1</v>
      </c>
      <c r="CI265" s="1055">
        <v>0</v>
      </c>
      <c r="CJ265" s="1055">
        <v>0</v>
      </c>
      <c r="CK265" s="1055">
        <v>0</v>
      </c>
      <c r="CL265" s="1055">
        <v>0</v>
      </c>
      <c r="CM265" s="1055">
        <v>3</v>
      </c>
      <c r="CN265" s="1055">
        <v>0</v>
      </c>
      <c r="CO265" s="1055">
        <v>0</v>
      </c>
      <c r="CP265" s="1490">
        <f t="shared" si="346"/>
        <v>-0.16</v>
      </c>
      <c r="CQ265" s="1053"/>
      <c r="CR265" s="1488">
        <f>IF(F265&gt;$F$18,"",IF(CQ265&lt;&gt;"","",IF(ISNA(VLOOKUP('I. Stream &amp; Compound Data'!H265,'Potency Factors '!D$387:E$399,2,FALSE))=FALSE,VLOOKUP('I. Stream &amp; Compound Data'!H265,'Potency Factors '!D$387:E$399,2,FALSE),IF(ISNUMBER(SEARCH("phosphate",G265))=TRUE,1,IF(ISNUMBER(SEARCH("nitrate",G265))=TRUE,0.1,0)))))</f>
        <v>0</v>
      </c>
      <c r="CS265" s="1053"/>
      <c r="CT265" s="1491">
        <f>IF(F265&gt;$F$18,"",IF(CS265&lt;&gt;"","",IF(ISNA(VLOOKUP('I. Stream &amp; Compound Data'!H265,'Potency Factors '!$D$485:$F$558,3,FALSE))=TRUE,0,VLOOKUP('I. Stream &amp; Compound Data'!H265,'Potency Factors '!$D$485:$F$558,3,FALSE))))</f>
        <v>0</v>
      </c>
      <c r="CU265" s="1588"/>
    </row>
    <row r="266" ht="23.25" customHeight="true" x14ac:dyDescent="0.25">
      <c r="B266" s="1612"/>
      <c r="C266" s="1613"/>
      <c r="D266" s="1613"/>
      <c r="E266" s="1613"/>
      <c r="F266" s="1481">
        <f t="shared" si="347"/>
        <v>5</v>
      </c>
      <c r="G266" s="1482" t="str">
        <f t="shared" si="338"/>
        <v/>
      </c>
      <c r="H266" s="1483" t="str">
        <f t="shared" si="339"/>
        <v/>
      </c>
      <c r="I266" s="1483" t="str">
        <f t="shared" si="340"/>
        <v/>
      </c>
      <c r="J266" s="1484" t="str">
        <f t="shared" si="341"/>
        <v/>
      </c>
      <c r="K266" s="1046"/>
      <c r="L266" s="1483" t="str">
        <f t="shared" si="348"/>
        <v/>
      </c>
      <c r="M266" s="1483" t="str">
        <f t="shared" si="349"/>
        <v/>
      </c>
      <c r="N266" s="1483" t="str">
        <f t="shared" si="350"/>
        <v/>
      </c>
      <c r="O266" s="1483" t="str">
        <f t="shared" si="351"/>
        <v/>
      </c>
      <c r="P266" s="1485" t="str">
        <f t="shared" si="352"/>
        <v/>
      </c>
      <c r="Q266" s="1486" t="str">
        <f t="shared" si="356"/>
        <v/>
      </c>
      <c r="R266" s="1046"/>
      <c r="S266" s="1022"/>
      <c r="T266" s="1047"/>
      <c r="U266" s="1046"/>
      <c r="V266" s="1022"/>
      <c r="W266" s="1487" t="str">
        <f t="shared" si="353"/>
        <v/>
      </c>
      <c r="X266" s="1048"/>
      <c r="Y266" s="1049"/>
      <c r="Z266" s="1026"/>
      <c r="AA266" s="1026"/>
      <c r="AB266" s="1050"/>
      <c r="AC266" s="1051"/>
      <c r="AD266" s="1026"/>
      <c r="AE266" s="1026"/>
      <c r="AF266" s="1050"/>
      <c r="AG266" s="1049"/>
      <c r="AH266" s="65"/>
      <c r="AI266" s="1026"/>
      <c r="AJ266" s="65"/>
      <c r="AK266" s="1026"/>
      <c r="AL266" s="68"/>
      <c r="AM266" s="1046"/>
      <c r="AN266" s="1022"/>
      <c r="AO266" s="1022"/>
      <c r="AP266" s="1052"/>
      <c r="AQ266" s="1488" t="str">
        <f t="shared" si="342"/>
        <v/>
      </c>
      <c r="AR266" s="1053"/>
      <c r="AS266" s="1488" t="str">
        <f t="shared" si="343"/>
        <v/>
      </c>
      <c r="AT266" s="1053"/>
      <c r="AU266" s="1488" t="str">
        <f t="shared" si="344"/>
        <v/>
      </c>
      <c r="AV266" s="1026"/>
      <c r="AW266" s="1026"/>
      <c r="AX266" s="1026"/>
      <c r="AY266" s="1049"/>
      <c r="AZ266" s="1026"/>
      <c r="BA266" s="1026"/>
      <c r="BB266" s="1054"/>
      <c r="BC266" s="1026"/>
      <c r="BD266" s="1055"/>
      <c r="BE266" s="1035"/>
      <c r="BF266" s="1056"/>
      <c r="BG266" s="1056"/>
      <c r="BH266" s="1057"/>
      <c r="BI266" s="1054"/>
      <c r="BJ266" s="1050"/>
      <c r="BK266" s="1058"/>
      <c r="BL266" s="1059"/>
      <c r="BM266" s="1059"/>
      <c r="BN266" s="1036"/>
      <c r="BO266" s="1060"/>
      <c r="BP266" s="1488" t="str">
        <f>IF(F266&gt;$F$18,"",IF(BO266&lt;&gt;"","",IF(ISNA(VLOOKUP('I. Stream &amp; Compound Data'!H266,'Potency Factors '!D$4:E$55,2,FALSE))=TRUE,0,VLOOKUP('I. Stream &amp; Compound Data'!H266,'Potency Factors '!D$4:E$55,2,FALSE))))</f>
        <v/>
      </c>
      <c r="BQ266" s="1053"/>
      <c r="BR266" s="1488" t="str">
        <f>IF(F266&gt;$F$18,"",IF(BQ266&lt;&gt;"","",IF(ISNA(VLOOKUP('I. Stream &amp; Compound Data'!H266,'Potency Factors '!D$68:E$167,2,FALSE))=TRUE,0,VLOOKUP('I. Stream &amp; Compound Data'!H266,'Potency Factors '!D$68:E$167,2,FALSE))))</f>
        <v/>
      </c>
      <c r="BS266" s="1053"/>
      <c r="BT266" s="1488" t="str">
        <f>IF(F266&gt;$F$18,"",IF(BS266&lt;&gt;"","",IF(ISNA(VLOOKUP('I. Stream &amp; Compound Data'!H266,'Potency Factors '!$D$412:$F$473,3,FALSE))=TRUE,0,VLOOKUP('I. Stream &amp; Compound Data'!H266,'Potency Factors '!$D$412:$F$473,3,FALSE))))</f>
        <v/>
      </c>
      <c r="BU266" s="1053"/>
      <c r="BV266" s="1488" t="str">
        <f>IF(F266&gt;$F$18,"",IF(BU266&lt;&gt;"","",IF(ISNA(VLOOKUP('I. Stream &amp; Compound Data'!H266,'Potency Factors '!D$180:E$185,2,FALSE))=TRUE,0,VLOOKUP('I. Stream &amp; Compound Data'!H266,'Potency Factors '!D$180:E$185,2,FALSE))))</f>
        <v/>
      </c>
      <c r="BW266" s="1055"/>
      <c r="BX266" s="1489" t="str">
        <f t="shared" si="354"/>
        <v/>
      </c>
      <c r="BY266" s="1055"/>
      <c r="BZ266" s="1489" t="str">
        <f t="shared" si="355"/>
        <v/>
      </c>
      <c r="CA266" s="1055"/>
      <c r="CB266" s="1036"/>
      <c r="CC266" s="1489" t="str">
        <f t="shared" si="345"/>
        <v/>
      </c>
      <c r="CD266" s="1053"/>
      <c r="CE266" s="1488" t="str">
        <f>IF(F266&gt;$F$18,"",IF(CD266&lt;&gt;"","",IF(ISNA(VLOOKUP('I. Stream &amp; Compound Data'!H266,'Potency Factors '!D$224:F$345,3,FALSE))=TRUE,0,VLOOKUP('I. Stream &amp; Compound Data'!H266,'Potency Factors '!D$224:F$345,3,FALSE))))</f>
        <v/>
      </c>
      <c r="CF266" s="1053"/>
      <c r="CG266" s="1488" t="str">
        <f>IF(F266&gt;$F$18,"",IF(CF266&lt;&gt;"","",IF(ISNA(VLOOKUP('I. Stream &amp; Compound Data'!H266,'Potency Factors '!D$361:F$374,3,FALSE))=TRUE,0,VLOOKUP('I. Stream &amp; Compound Data'!H266,'Potency Factors '!D$361:F$374,3,FALSE))))</f>
        <v/>
      </c>
      <c r="CH266" s="1055"/>
      <c r="CI266" s="1055"/>
      <c r="CJ266" s="1055"/>
      <c r="CK266" s="1055"/>
      <c r="CL266" s="1055"/>
      <c r="CM266" s="1055"/>
      <c r="CN266" s="1055"/>
      <c r="CO266" s="1055"/>
      <c r="CP266" s="1490" t="str">
        <f t="shared" si="346"/>
        <v/>
      </c>
      <c r="CQ266" s="1053"/>
      <c r="CR266" s="1488" t="str">
        <f>IF(F266&gt;$F$18,"",IF(CQ266&lt;&gt;"","",IF(ISNA(VLOOKUP('I. Stream &amp; Compound Data'!H266,'Potency Factors '!D$387:E$399,2,FALSE))=FALSE,VLOOKUP('I. Stream &amp; Compound Data'!H266,'Potency Factors '!D$387:E$399,2,FALSE),IF(ISNUMBER(SEARCH("phosphate",G266))=TRUE,1,IF(ISNUMBER(SEARCH("nitrate",G266))=TRUE,0.1,0)))))</f>
        <v/>
      </c>
      <c r="CS266" s="1053"/>
      <c r="CT266" s="1491" t="str">
        <f>IF(F266&gt;$F$18,"",IF(CS266&lt;&gt;"","",IF(ISNA(VLOOKUP('I. Stream &amp; Compound Data'!H266,'Potency Factors '!$D$485:$F$558,3,FALSE))=TRUE,0,VLOOKUP('I. Stream &amp; Compound Data'!H266,'Potency Factors '!$D$485:$F$558,3,FALSE))))</f>
        <v/>
      </c>
      <c r="CU266" s="1588"/>
    </row>
    <row r="267" ht="23.25" customHeight="true" x14ac:dyDescent="0.25">
      <c r="B267" s="1612"/>
      <c r="C267" s="1613"/>
      <c r="D267" s="1613"/>
      <c r="E267" s="1613"/>
      <c r="F267" s="1481">
        <f t="shared" si="347"/>
        <v>6</v>
      </c>
      <c r="G267" s="1482" t="str">
        <f t="shared" si="338"/>
        <v/>
      </c>
      <c r="H267" s="1483" t="str">
        <f t="shared" si="339"/>
        <v/>
      </c>
      <c r="I267" s="1483" t="str">
        <f t="shared" si="340"/>
        <v/>
      </c>
      <c r="J267" s="1484" t="str">
        <f t="shared" si="341"/>
        <v/>
      </c>
      <c r="K267" s="1046"/>
      <c r="L267" s="1483" t="str">
        <f t="shared" si="348"/>
        <v/>
      </c>
      <c r="M267" s="1483" t="str">
        <f t="shared" si="349"/>
        <v/>
      </c>
      <c r="N267" s="1483" t="str">
        <f t="shared" si="350"/>
        <v/>
      </c>
      <c r="O267" s="1483" t="str">
        <f t="shared" si="351"/>
        <v/>
      </c>
      <c r="P267" s="1485" t="str">
        <f t="shared" si="352"/>
        <v/>
      </c>
      <c r="Q267" s="1486" t="str">
        <f t="shared" si="356"/>
        <v/>
      </c>
      <c r="R267" s="1046"/>
      <c r="S267" s="1022"/>
      <c r="T267" s="1047"/>
      <c r="U267" s="1046"/>
      <c r="V267" s="1022"/>
      <c r="W267" s="1487" t="str">
        <f t="shared" si="353"/>
        <v/>
      </c>
      <c r="X267" s="1048"/>
      <c r="Y267" s="1049"/>
      <c r="Z267" s="1026"/>
      <c r="AA267" s="1026"/>
      <c r="AB267" s="1050"/>
      <c r="AC267" s="1051"/>
      <c r="AD267" s="1026"/>
      <c r="AE267" s="1037"/>
      <c r="AF267" s="1050"/>
      <c r="AG267" s="1049"/>
      <c r="AH267" s="65"/>
      <c r="AI267" s="1026"/>
      <c r="AJ267" s="65"/>
      <c r="AK267" s="1026"/>
      <c r="AL267" s="68"/>
      <c r="AM267" s="1046"/>
      <c r="AN267" s="1022"/>
      <c r="AO267" s="1022"/>
      <c r="AP267" s="1052"/>
      <c r="AQ267" s="1488" t="str">
        <f t="shared" si="342"/>
        <v/>
      </c>
      <c r="AR267" s="1053"/>
      <c r="AS267" s="1488" t="str">
        <f t="shared" si="343"/>
        <v/>
      </c>
      <c r="AT267" s="1053"/>
      <c r="AU267" s="1488" t="str">
        <f t="shared" si="344"/>
        <v/>
      </c>
      <c r="AV267" s="1026"/>
      <c r="AW267" s="1026"/>
      <c r="AX267" s="1050"/>
      <c r="AY267" s="1049"/>
      <c r="AZ267" s="1026"/>
      <c r="BA267" s="1026"/>
      <c r="BB267" s="1054"/>
      <c r="BC267" s="1026"/>
      <c r="BD267" s="1055"/>
      <c r="BE267" s="1035"/>
      <c r="BF267" s="1056"/>
      <c r="BG267" s="1057"/>
      <c r="BH267" s="1057"/>
      <c r="BI267" s="1026"/>
      <c r="BJ267" s="1050"/>
      <c r="BK267" s="1058"/>
      <c r="BL267" s="1059"/>
      <c r="BM267" s="1059"/>
      <c r="BN267" s="1036"/>
      <c r="BO267" s="1060"/>
      <c r="BP267" s="1488" t="str">
        <f>IF(F267&gt;$F$18,"",IF(BO267&lt;&gt;"","",IF(ISNA(VLOOKUP('I. Stream &amp; Compound Data'!H267,'Potency Factors '!D$4:E$55,2,FALSE))=TRUE,0,VLOOKUP('I. Stream &amp; Compound Data'!H267,'Potency Factors '!D$4:E$55,2,FALSE))))</f>
        <v/>
      </c>
      <c r="BQ267" s="1053"/>
      <c r="BR267" s="1488" t="str">
        <f>IF(F267&gt;$F$18,"",IF(BQ267&lt;&gt;"","",IF(ISNA(VLOOKUP('I. Stream &amp; Compound Data'!H267,'Potency Factors '!D$68:E$167,2,FALSE))=TRUE,0,VLOOKUP('I. Stream &amp; Compound Data'!H267,'Potency Factors '!D$68:E$167,2,FALSE))))</f>
        <v/>
      </c>
      <c r="BS267" s="1053"/>
      <c r="BT267" s="1488" t="str">
        <f>IF(F267&gt;$F$18,"",IF(BS267&lt;&gt;"","",IF(ISNA(VLOOKUP('I. Stream &amp; Compound Data'!H267,'Potency Factors '!$D$412:$F$473,3,FALSE))=TRUE,0,VLOOKUP('I. Stream &amp; Compound Data'!H267,'Potency Factors '!$D$412:$F$473,3,FALSE))))</f>
        <v/>
      </c>
      <c r="BU267" s="1053"/>
      <c r="BV267" s="1488" t="str">
        <f>IF(F267&gt;$F$18,"",IF(BU267&lt;&gt;"","",IF(ISNA(VLOOKUP('I. Stream &amp; Compound Data'!H267,'Potency Factors '!D$180:E$185,2,FALSE))=TRUE,0,VLOOKUP('I. Stream &amp; Compound Data'!H267,'Potency Factors '!D$180:E$185,2,FALSE))))</f>
        <v/>
      </c>
      <c r="BW267" s="1055"/>
      <c r="BX267" s="1489" t="str">
        <f t="shared" si="354"/>
        <v/>
      </c>
      <c r="BY267" s="1055"/>
      <c r="BZ267" s="1489" t="str">
        <f t="shared" si="355"/>
        <v/>
      </c>
      <c r="CA267" s="1055"/>
      <c r="CB267" s="1036"/>
      <c r="CC267" s="1489" t="str">
        <f t="shared" si="345"/>
        <v/>
      </c>
      <c r="CD267" s="1053"/>
      <c r="CE267" s="1488" t="str">
        <f>IF(F267&gt;$F$18,"",IF(CD267&lt;&gt;"","",IF(ISNA(VLOOKUP('I. Stream &amp; Compound Data'!H267,'Potency Factors '!D$224:F$345,3,FALSE))=TRUE,0,VLOOKUP('I. Stream &amp; Compound Data'!H267,'Potency Factors '!D$224:F$345,3,FALSE))))</f>
        <v/>
      </c>
      <c r="CF267" s="1053"/>
      <c r="CG267" s="1488" t="str">
        <f>IF(F267&gt;$F$18,"",IF(CF267&lt;&gt;"","",IF(ISNA(VLOOKUP('I. Stream &amp; Compound Data'!H267,'Potency Factors '!D$361:F$374,3,FALSE))=TRUE,0,VLOOKUP('I. Stream &amp; Compound Data'!H267,'Potency Factors '!D$361:F$374,3,FALSE))))</f>
        <v/>
      </c>
      <c r="CH267" s="1055"/>
      <c r="CI267" s="1055"/>
      <c r="CJ267" s="1055"/>
      <c r="CK267" s="1055"/>
      <c r="CL267" s="1055"/>
      <c r="CM267" s="1055"/>
      <c r="CN267" s="1055"/>
      <c r="CO267" s="1055"/>
      <c r="CP267" s="1490" t="str">
        <f t="shared" si="346"/>
        <v/>
      </c>
      <c r="CQ267" s="1053"/>
      <c r="CR267" s="1488" t="str">
        <f>IF(F267&gt;$F$18,"",IF(CQ267&lt;&gt;"","",IF(ISNA(VLOOKUP('I. Stream &amp; Compound Data'!H267,'Potency Factors '!D$387:E$399,2,FALSE))=FALSE,VLOOKUP('I. Stream &amp; Compound Data'!H267,'Potency Factors '!D$387:E$399,2,FALSE),IF(ISNUMBER(SEARCH("phosphate",G267))=TRUE,1,IF(ISNUMBER(SEARCH("nitrate",G267))=TRUE,0.1,0)))))</f>
        <v/>
      </c>
      <c r="CS267" s="1053"/>
      <c r="CT267" s="1491" t="str">
        <f>IF(F267&gt;$F$18,"",IF(CS267&lt;&gt;"","",IF(ISNA(VLOOKUP('I. Stream &amp; Compound Data'!H267,'Potency Factors '!$D$485:$F$558,3,FALSE))=TRUE,0,VLOOKUP('I. Stream &amp; Compound Data'!H267,'Potency Factors '!$D$485:$F$558,3,FALSE))))</f>
        <v/>
      </c>
      <c r="CU267" s="1588"/>
    </row>
    <row r="268" ht="23.25" customHeight="true" x14ac:dyDescent="0.25">
      <c r="B268" s="1612"/>
      <c r="C268" s="1613"/>
      <c r="D268" s="1613"/>
      <c r="E268" s="1613"/>
      <c r="F268" s="1481">
        <f t="shared" si="347"/>
        <v>7</v>
      </c>
      <c r="G268" s="1482" t="str">
        <f t="shared" si="338"/>
        <v/>
      </c>
      <c r="H268" s="1483" t="str">
        <f t="shared" si="339"/>
        <v/>
      </c>
      <c r="I268" s="1483" t="str">
        <f t="shared" si="340"/>
        <v/>
      </c>
      <c r="J268" s="1484" t="str">
        <f t="shared" si="341"/>
        <v/>
      </c>
      <c r="K268" s="1046"/>
      <c r="L268" s="1483" t="str">
        <f t="shared" si="348"/>
        <v/>
      </c>
      <c r="M268" s="1483" t="str">
        <f t="shared" si="349"/>
        <v/>
      </c>
      <c r="N268" s="1483" t="str">
        <f t="shared" si="350"/>
        <v/>
      </c>
      <c r="O268" s="1483" t="str">
        <f t="shared" si="351"/>
        <v/>
      </c>
      <c r="P268" s="1485" t="str">
        <f t="shared" si="352"/>
        <v/>
      </c>
      <c r="Q268" s="1486" t="str">
        <f t="shared" si="356"/>
        <v/>
      </c>
      <c r="R268" s="1046"/>
      <c r="S268" s="1022"/>
      <c r="T268" s="1047"/>
      <c r="U268" s="1046"/>
      <c r="V268" s="1022"/>
      <c r="W268" s="1487" t="str">
        <f t="shared" si="353"/>
        <v/>
      </c>
      <c r="X268" s="1048"/>
      <c r="Y268" s="1049"/>
      <c r="Z268" s="1026"/>
      <c r="AA268" s="1026"/>
      <c r="AB268" s="1050"/>
      <c r="AC268" s="1051"/>
      <c r="AD268" s="1026"/>
      <c r="AE268" s="1026"/>
      <c r="AF268" s="1050"/>
      <c r="AG268" s="1049"/>
      <c r="AH268" s="65"/>
      <c r="AI268" s="1026"/>
      <c r="AJ268" s="65"/>
      <c r="AK268" s="1026"/>
      <c r="AL268" s="68"/>
      <c r="AM268" s="1046"/>
      <c r="AN268" s="1022"/>
      <c r="AO268" s="1022"/>
      <c r="AP268" s="1052"/>
      <c r="AQ268" s="1488" t="str">
        <f t="shared" si="342"/>
        <v/>
      </c>
      <c r="AR268" s="1053"/>
      <c r="AS268" s="1488" t="str">
        <f t="shared" si="343"/>
        <v/>
      </c>
      <c r="AT268" s="1053"/>
      <c r="AU268" s="1488" t="str">
        <f t="shared" si="344"/>
        <v/>
      </c>
      <c r="AV268" s="1026"/>
      <c r="AW268" s="1026"/>
      <c r="AX268" s="1050"/>
      <c r="AY268" s="1049"/>
      <c r="AZ268" s="1026"/>
      <c r="BA268" s="1026"/>
      <c r="BB268" s="1054"/>
      <c r="BC268" s="1026"/>
      <c r="BD268" s="1055"/>
      <c r="BE268" s="1035"/>
      <c r="BF268" s="1056"/>
      <c r="BG268" s="1056"/>
      <c r="BH268" s="1057"/>
      <c r="BI268" s="1026"/>
      <c r="BJ268" s="1050"/>
      <c r="BK268" s="1058"/>
      <c r="BL268" s="1059"/>
      <c r="BM268" s="1059"/>
      <c r="BN268" s="1036"/>
      <c r="BO268" s="1060"/>
      <c r="BP268" s="1488" t="str">
        <f>IF(F268&gt;$F$18,"",IF(BO268&lt;&gt;"","",IF(ISNA(VLOOKUP('I. Stream &amp; Compound Data'!H268,'Potency Factors '!D$4:E$55,2,FALSE))=TRUE,0,VLOOKUP('I. Stream &amp; Compound Data'!H268,'Potency Factors '!D$4:E$55,2,FALSE))))</f>
        <v/>
      </c>
      <c r="BQ268" s="1053"/>
      <c r="BR268" s="1488" t="str">
        <f>IF(F268&gt;$F$18,"",IF(BQ268&lt;&gt;"","",IF(ISNA(VLOOKUP('I. Stream &amp; Compound Data'!H268,'Potency Factors '!D$68:E$167,2,FALSE))=TRUE,0,VLOOKUP('I. Stream &amp; Compound Data'!H268,'Potency Factors '!D$68:E$167,2,FALSE))))</f>
        <v/>
      </c>
      <c r="BS268" s="1053"/>
      <c r="BT268" s="1488" t="str">
        <f>IF(F268&gt;$F$18,"",IF(BS268&lt;&gt;"","",IF(ISNA(VLOOKUP('I. Stream &amp; Compound Data'!H268,'Potency Factors '!$D$412:$F$473,3,FALSE))=TRUE,0,VLOOKUP('I. Stream &amp; Compound Data'!H268,'Potency Factors '!$D$412:$F$473,3,FALSE))))</f>
        <v/>
      </c>
      <c r="BU268" s="1053"/>
      <c r="BV268" s="1488" t="str">
        <f>IF(F268&gt;$F$18,"",IF(BU268&lt;&gt;"","",IF(ISNA(VLOOKUP('I. Stream &amp; Compound Data'!H268,'Potency Factors '!D$180:E$185,2,FALSE))=TRUE,0,VLOOKUP('I. Stream &amp; Compound Data'!H268,'Potency Factors '!D$180:E$185,2,FALSE))))</f>
        <v/>
      </c>
      <c r="BW268" s="1055"/>
      <c r="BX268" s="1489" t="str">
        <f t="shared" si="354"/>
        <v/>
      </c>
      <c r="BY268" s="1055"/>
      <c r="BZ268" s="1489" t="str">
        <f t="shared" si="355"/>
        <v/>
      </c>
      <c r="CA268" s="1055"/>
      <c r="CB268" s="1036"/>
      <c r="CC268" s="1489" t="str">
        <f t="shared" si="345"/>
        <v/>
      </c>
      <c r="CD268" s="1053"/>
      <c r="CE268" s="1488" t="str">
        <f>IF(F268&gt;$F$18,"",IF(CD268&lt;&gt;"","",IF(ISNA(VLOOKUP('I. Stream &amp; Compound Data'!H268,'Potency Factors '!D$224:F$345,3,FALSE))=TRUE,0,VLOOKUP('I. Stream &amp; Compound Data'!H268,'Potency Factors '!D$224:F$345,3,FALSE))))</f>
        <v/>
      </c>
      <c r="CF268" s="1053"/>
      <c r="CG268" s="1488" t="str">
        <f>IF(F268&gt;$F$18,"",IF(CF268&lt;&gt;"","",IF(ISNA(VLOOKUP('I. Stream &amp; Compound Data'!H268,'Potency Factors '!D$361:F$374,3,FALSE))=TRUE,0,VLOOKUP('I. Stream &amp; Compound Data'!H268,'Potency Factors '!D$361:F$374,3,FALSE))))</f>
        <v/>
      </c>
      <c r="CH268" s="1055"/>
      <c r="CI268" s="1055"/>
      <c r="CJ268" s="1055"/>
      <c r="CK268" s="1055"/>
      <c r="CL268" s="1055"/>
      <c r="CM268" s="1055"/>
      <c r="CN268" s="1055"/>
      <c r="CO268" s="1055"/>
      <c r="CP268" s="1490" t="str">
        <f t="shared" si="346"/>
        <v/>
      </c>
      <c r="CQ268" s="1053"/>
      <c r="CR268" s="1488" t="str">
        <f>IF(F268&gt;$F$18,"",IF(CQ268&lt;&gt;"","",IF(ISNA(VLOOKUP('I. Stream &amp; Compound Data'!H268,'Potency Factors '!D$387:E$399,2,FALSE))=FALSE,VLOOKUP('I. Stream &amp; Compound Data'!H268,'Potency Factors '!D$387:E$399,2,FALSE),IF(ISNUMBER(SEARCH("phosphate",G268))=TRUE,1,IF(ISNUMBER(SEARCH("nitrate",G268))=TRUE,0.1,0)))))</f>
        <v/>
      </c>
      <c r="CS268" s="1053"/>
      <c r="CT268" s="1491" t="str">
        <f>IF(F268&gt;$F$18,"",IF(CS268&lt;&gt;"","",IF(ISNA(VLOOKUP('I. Stream &amp; Compound Data'!H268,'Potency Factors '!$D$485:$F$558,3,FALSE))=TRUE,0,VLOOKUP('I. Stream &amp; Compound Data'!H268,'Potency Factors '!$D$485:$F$558,3,FALSE))))</f>
        <v/>
      </c>
      <c r="CU268" s="1588"/>
    </row>
    <row r="269" ht="23.25" customHeight="true" x14ac:dyDescent="0.25">
      <c r="B269" s="1612"/>
      <c r="C269" s="1613"/>
      <c r="D269" s="1613"/>
      <c r="E269" s="1613"/>
      <c r="F269" s="1481">
        <f t="shared" si="347"/>
        <v>8</v>
      </c>
      <c r="G269" s="1482" t="str">
        <f t="shared" si="338"/>
        <v/>
      </c>
      <c r="H269" s="1483" t="str">
        <f t="shared" si="339"/>
        <v/>
      </c>
      <c r="I269" s="1483" t="str">
        <f t="shared" si="340"/>
        <v/>
      </c>
      <c r="J269" s="1484" t="str">
        <f t="shared" si="341"/>
        <v/>
      </c>
      <c r="K269" s="1046"/>
      <c r="L269" s="1483" t="str">
        <f t="shared" si="348"/>
        <v/>
      </c>
      <c r="M269" s="1483" t="str">
        <f t="shared" si="349"/>
        <v/>
      </c>
      <c r="N269" s="1483" t="str">
        <f t="shared" si="350"/>
        <v/>
      </c>
      <c r="O269" s="1483" t="str">
        <f t="shared" si="351"/>
        <v/>
      </c>
      <c r="P269" s="1485" t="str">
        <f t="shared" si="352"/>
        <v/>
      </c>
      <c r="Q269" s="1486" t="str">
        <f t="shared" si="356"/>
        <v/>
      </c>
      <c r="R269" s="1046"/>
      <c r="S269" s="1022"/>
      <c r="T269" s="1047"/>
      <c r="U269" s="1046"/>
      <c r="V269" s="1022"/>
      <c r="W269" s="1487" t="str">
        <f t="shared" si="353"/>
        <v/>
      </c>
      <c r="X269" s="1048"/>
      <c r="Y269" s="1049"/>
      <c r="Z269" s="1026"/>
      <c r="AA269" s="1026"/>
      <c r="AB269" s="1050"/>
      <c r="AC269" s="1051"/>
      <c r="AD269" s="1026"/>
      <c r="AE269" s="1026"/>
      <c r="AF269" s="1050"/>
      <c r="AG269" s="1049"/>
      <c r="AH269" s="65"/>
      <c r="AI269" s="1026"/>
      <c r="AJ269" s="65"/>
      <c r="AK269" s="1026"/>
      <c r="AL269" s="68"/>
      <c r="AM269" s="1046"/>
      <c r="AN269" s="1022"/>
      <c r="AO269" s="1022"/>
      <c r="AP269" s="1052"/>
      <c r="AQ269" s="1488" t="str">
        <f t="shared" si="342"/>
        <v/>
      </c>
      <c r="AR269" s="1053"/>
      <c r="AS269" s="1488" t="str">
        <f t="shared" si="343"/>
        <v/>
      </c>
      <c r="AT269" s="1053"/>
      <c r="AU269" s="1488" t="str">
        <f t="shared" si="344"/>
        <v/>
      </c>
      <c r="AV269" s="1026"/>
      <c r="AW269" s="1026"/>
      <c r="AX269" s="1050"/>
      <c r="AY269" s="1049"/>
      <c r="AZ269" s="1026"/>
      <c r="BA269" s="1026"/>
      <c r="BB269" s="1054"/>
      <c r="BC269" s="1026"/>
      <c r="BD269" s="1055"/>
      <c r="BE269" s="1035"/>
      <c r="BF269" s="1056"/>
      <c r="BG269" s="1057"/>
      <c r="BH269" s="1057"/>
      <c r="BI269" s="1026"/>
      <c r="BJ269" s="1050"/>
      <c r="BK269" s="1058"/>
      <c r="BL269" s="1059"/>
      <c r="BM269" s="1059"/>
      <c r="BN269" s="1036"/>
      <c r="BO269" s="1060"/>
      <c r="BP269" s="1488" t="str">
        <f>IF(F269&gt;$F$18,"",IF(BO269&lt;&gt;"","",IF(ISNA(VLOOKUP('I. Stream &amp; Compound Data'!H269,'Potency Factors '!D$4:E$55,2,FALSE))=TRUE,0,VLOOKUP('I. Stream &amp; Compound Data'!H269,'Potency Factors '!D$4:E$55,2,FALSE))))</f>
        <v/>
      </c>
      <c r="BQ269" s="1053"/>
      <c r="BR269" s="1488" t="str">
        <f>IF(F269&gt;$F$18,"",IF(BQ269&lt;&gt;"","",IF(ISNA(VLOOKUP('I. Stream &amp; Compound Data'!H269,'Potency Factors '!D$68:E$167,2,FALSE))=TRUE,0,VLOOKUP('I. Stream &amp; Compound Data'!H269,'Potency Factors '!D$68:E$167,2,FALSE))))</f>
        <v/>
      </c>
      <c r="BS269" s="1053"/>
      <c r="BT269" s="1488" t="str">
        <f>IF(F269&gt;$F$18,"",IF(BS269&lt;&gt;"","",IF(ISNA(VLOOKUP('I. Stream &amp; Compound Data'!H269,'Potency Factors '!$D$412:$F$473,3,FALSE))=TRUE,0,VLOOKUP('I. Stream &amp; Compound Data'!H269,'Potency Factors '!$D$412:$F$473,3,FALSE))))</f>
        <v/>
      </c>
      <c r="BU269" s="1053"/>
      <c r="BV269" s="1488" t="str">
        <f>IF(F269&gt;$F$18,"",IF(BU269&lt;&gt;"","",IF(ISNA(VLOOKUP('I. Stream &amp; Compound Data'!H269,'Potency Factors '!D$180:E$185,2,FALSE))=TRUE,0,VLOOKUP('I. Stream &amp; Compound Data'!H269,'Potency Factors '!D$180:E$185,2,FALSE))))</f>
        <v/>
      </c>
      <c r="BW269" s="1055"/>
      <c r="BX269" s="1489" t="str">
        <f t="shared" si="354"/>
        <v/>
      </c>
      <c r="BY269" s="1055"/>
      <c r="BZ269" s="1489" t="str">
        <f t="shared" si="355"/>
        <v/>
      </c>
      <c r="CA269" s="1055"/>
      <c r="CB269" s="1036"/>
      <c r="CC269" s="1489" t="str">
        <f t="shared" si="345"/>
        <v/>
      </c>
      <c r="CD269" s="1053"/>
      <c r="CE269" s="1488" t="str">
        <f>IF(F269&gt;$F$18,"",IF(CD269&lt;&gt;"","",IF(ISNA(VLOOKUP('I. Stream &amp; Compound Data'!H269,'Potency Factors '!D$224:F$345,3,FALSE))=TRUE,0,VLOOKUP('I. Stream &amp; Compound Data'!H269,'Potency Factors '!D$224:F$345,3,FALSE))))</f>
        <v/>
      </c>
      <c r="CF269" s="1053"/>
      <c r="CG269" s="1488" t="str">
        <f>IF(F269&gt;$F$18,"",IF(CF269&lt;&gt;"","",IF(ISNA(VLOOKUP('I. Stream &amp; Compound Data'!H269,'Potency Factors '!D$361:F$374,3,FALSE))=TRUE,0,VLOOKUP('I. Stream &amp; Compound Data'!H269,'Potency Factors '!D$361:F$374,3,FALSE))))</f>
        <v/>
      </c>
      <c r="CH269" s="1055"/>
      <c r="CI269" s="1055"/>
      <c r="CJ269" s="1055"/>
      <c r="CK269" s="1055"/>
      <c r="CL269" s="1055"/>
      <c r="CM269" s="1055"/>
      <c r="CN269" s="1055"/>
      <c r="CO269" s="1055"/>
      <c r="CP269" s="1490" t="str">
        <f t="shared" si="346"/>
        <v/>
      </c>
      <c r="CQ269" s="1053"/>
      <c r="CR269" s="1488" t="str">
        <f>IF(F269&gt;$F$18,"",IF(CQ269&lt;&gt;"","",IF(ISNA(VLOOKUP('I. Stream &amp; Compound Data'!H269,'Potency Factors '!D$387:E$399,2,FALSE))=FALSE,VLOOKUP('I. Stream &amp; Compound Data'!H269,'Potency Factors '!D$387:E$399,2,FALSE),IF(ISNUMBER(SEARCH("phosphate",G269))=TRUE,1,IF(ISNUMBER(SEARCH("nitrate",G269))=TRUE,0.1,0)))))</f>
        <v/>
      </c>
      <c r="CS269" s="1053"/>
      <c r="CT269" s="1491" t="str">
        <f>IF(F269&gt;$F$18,"",IF(CS269&lt;&gt;"","",IF(ISNA(VLOOKUP('I. Stream &amp; Compound Data'!H269,'Potency Factors '!$D$485:$F$558,3,FALSE))=TRUE,0,VLOOKUP('I. Stream &amp; Compound Data'!H269,'Potency Factors '!$D$485:$F$558,3,FALSE))))</f>
        <v/>
      </c>
      <c r="CU269" s="1588"/>
    </row>
    <row r="270" ht="23.25" customHeight="true" x14ac:dyDescent="0.25">
      <c r="B270" s="1612"/>
      <c r="C270" s="1613"/>
      <c r="D270" s="1613"/>
      <c r="E270" s="1613"/>
      <c r="F270" s="1481">
        <f t="shared" si="347"/>
        <v>9</v>
      </c>
      <c r="G270" s="1482" t="str">
        <f t="shared" si="338"/>
        <v/>
      </c>
      <c r="H270" s="1483" t="str">
        <f t="shared" si="339"/>
        <v/>
      </c>
      <c r="I270" s="1483" t="str">
        <f t="shared" si="340"/>
        <v/>
      </c>
      <c r="J270" s="1484" t="str">
        <f t="shared" si="341"/>
        <v/>
      </c>
      <c r="K270" s="1046"/>
      <c r="L270" s="1483" t="str">
        <f t="shared" si="348"/>
        <v/>
      </c>
      <c r="M270" s="1483" t="str">
        <f t="shared" si="349"/>
        <v/>
      </c>
      <c r="N270" s="1483" t="str">
        <f t="shared" si="350"/>
        <v/>
      </c>
      <c r="O270" s="1483" t="str">
        <f t="shared" si="351"/>
        <v/>
      </c>
      <c r="P270" s="1485" t="str">
        <f t="shared" si="352"/>
        <v/>
      </c>
      <c r="Q270" s="1486" t="str">
        <f t="shared" si="356"/>
        <v/>
      </c>
      <c r="R270" s="1046"/>
      <c r="S270" s="1022"/>
      <c r="T270" s="1047"/>
      <c r="U270" s="1046"/>
      <c r="V270" s="1022"/>
      <c r="W270" s="1487" t="str">
        <f t="shared" si="353"/>
        <v/>
      </c>
      <c r="X270" s="1048"/>
      <c r="Y270" s="1046"/>
      <c r="Z270" s="1022"/>
      <c r="AA270" s="1022"/>
      <c r="AB270" s="1050"/>
      <c r="AC270" s="1051"/>
      <c r="AD270" s="1026"/>
      <c r="AE270" s="1026"/>
      <c r="AF270" s="1050"/>
      <c r="AG270" s="1049"/>
      <c r="AH270" s="65"/>
      <c r="AI270" s="1026"/>
      <c r="AJ270" s="65"/>
      <c r="AK270" s="1026"/>
      <c r="AL270" s="68"/>
      <c r="AM270" s="1046"/>
      <c r="AN270" s="1022"/>
      <c r="AO270" s="1022"/>
      <c r="AP270" s="1052"/>
      <c r="AQ270" s="1488" t="str">
        <f t="shared" si="342"/>
        <v/>
      </c>
      <c r="AR270" s="1053"/>
      <c r="AS270" s="1488" t="str">
        <f t="shared" si="343"/>
        <v/>
      </c>
      <c r="AT270" s="1053"/>
      <c r="AU270" s="1488" t="str">
        <f t="shared" si="344"/>
        <v/>
      </c>
      <c r="AV270" s="1026"/>
      <c r="AW270" s="1026"/>
      <c r="AX270" s="1050"/>
      <c r="AY270" s="1049"/>
      <c r="AZ270" s="1036"/>
      <c r="BA270" s="1026"/>
      <c r="BB270" s="1054"/>
      <c r="BC270" s="1026"/>
      <c r="BD270" s="1055"/>
      <c r="BE270" s="1035"/>
      <c r="BF270" s="1056"/>
      <c r="BG270" s="1057"/>
      <c r="BH270" s="1057"/>
      <c r="BI270" s="1026"/>
      <c r="BJ270" s="1050"/>
      <c r="BK270" s="1058"/>
      <c r="BL270" s="1059"/>
      <c r="BM270" s="1059"/>
      <c r="BN270" s="1036"/>
      <c r="BO270" s="1060"/>
      <c r="BP270" s="1488" t="str">
        <f>IF(F270&gt;$F$18,"",IF(BO270&lt;&gt;"","",IF(ISNA(VLOOKUP('I. Stream &amp; Compound Data'!H270,'Potency Factors '!D$4:E$55,2,FALSE))=TRUE,0,VLOOKUP('I. Stream &amp; Compound Data'!H270,'Potency Factors '!D$4:E$55,2,FALSE))))</f>
        <v/>
      </c>
      <c r="BQ270" s="1053"/>
      <c r="BR270" s="1488" t="str">
        <f>IF(F270&gt;$F$18,"",IF(BQ270&lt;&gt;"","",IF(ISNA(VLOOKUP('I. Stream &amp; Compound Data'!H270,'Potency Factors '!D$68:E$167,2,FALSE))=TRUE,0,VLOOKUP('I. Stream &amp; Compound Data'!H270,'Potency Factors '!D$68:E$167,2,FALSE))))</f>
        <v/>
      </c>
      <c r="BS270" s="1053"/>
      <c r="BT270" s="1488" t="str">
        <f>IF(F270&gt;$F$18,"",IF(BS270&lt;&gt;"","",IF(ISNA(VLOOKUP('I. Stream &amp; Compound Data'!H270,'Potency Factors '!$D$412:$F$473,3,FALSE))=TRUE,0,VLOOKUP('I. Stream &amp; Compound Data'!H270,'Potency Factors '!$D$412:$F$473,3,FALSE))))</f>
        <v/>
      </c>
      <c r="BU270" s="1053"/>
      <c r="BV270" s="1488" t="str">
        <f>IF(F270&gt;$F$18,"",IF(BU270&lt;&gt;"","",IF(ISNA(VLOOKUP('I. Stream &amp; Compound Data'!H270,'Potency Factors '!D$180:E$185,2,FALSE))=TRUE,0,VLOOKUP('I. Stream &amp; Compound Data'!H270,'Potency Factors '!D$180:E$185,2,FALSE))))</f>
        <v/>
      </c>
      <c r="BW270" s="1055"/>
      <c r="BX270" s="1489" t="str">
        <f t="shared" si="354"/>
        <v/>
      </c>
      <c r="BY270" s="1055"/>
      <c r="BZ270" s="1489" t="str">
        <f t="shared" si="355"/>
        <v/>
      </c>
      <c r="CA270" s="1055"/>
      <c r="CB270" s="1036"/>
      <c r="CC270" s="1489" t="str">
        <f t="shared" si="345"/>
        <v/>
      </c>
      <c r="CD270" s="1053"/>
      <c r="CE270" s="1488" t="str">
        <f>IF(F270&gt;$F$18,"",IF(CD270&lt;&gt;"","",IF(ISNA(VLOOKUP('I. Stream &amp; Compound Data'!H270,'Potency Factors '!D$224:F$345,3,FALSE))=TRUE,0,VLOOKUP('I. Stream &amp; Compound Data'!H270,'Potency Factors '!D$224:F$345,3,FALSE))))</f>
        <v/>
      </c>
      <c r="CF270" s="1053"/>
      <c r="CG270" s="1488" t="str">
        <f>IF(F270&gt;$F$18,"",IF(CF270&lt;&gt;"","",IF(ISNA(VLOOKUP('I. Stream &amp; Compound Data'!H270,'Potency Factors '!D$361:F$374,3,FALSE))=TRUE,0,VLOOKUP('I. Stream &amp; Compound Data'!H270,'Potency Factors '!D$361:F$374,3,FALSE))))</f>
        <v/>
      </c>
      <c r="CH270" s="1055"/>
      <c r="CI270" s="1055"/>
      <c r="CJ270" s="1055"/>
      <c r="CK270" s="1055"/>
      <c r="CL270" s="1055"/>
      <c r="CM270" s="1055"/>
      <c r="CN270" s="1055"/>
      <c r="CO270" s="1055"/>
      <c r="CP270" s="1490" t="str">
        <f t="shared" si="346"/>
        <v/>
      </c>
      <c r="CQ270" s="1053"/>
      <c r="CR270" s="1488" t="str">
        <f>IF(F270&gt;$F$18,"",IF(CQ270&lt;&gt;"","",IF(ISNA(VLOOKUP('I. Stream &amp; Compound Data'!H270,'Potency Factors '!D$387:E$399,2,FALSE))=FALSE,VLOOKUP('I. Stream &amp; Compound Data'!H270,'Potency Factors '!D$387:E$399,2,FALSE),IF(ISNUMBER(SEARCH("phosphate",G270))=TRUE,1,IF(ISNUMBER(SEARCH("nitrate",G270))=TRUE,0.1,0)))))</f>
        <v/>
      </c>
      <c r="CS270" s="1053"/>
      <c r="CT270" s="1491" t="str">
        <f>IF(F270&gt;$F$18,"",IF(CS270&lt;&gt;"","",IF(ISNA(VLOOKUP('I. Stream &amp; Compound Data'!H270,'Potency Factors '!$D$485:$F$558,3,FALSE))=TRUE,0,VLOOKUP('I. Stream &amp; Compound Data'!H270,'Potency Factors '!$D$485:$F$558,3,FALSE))))</f>
        <v/>
      </c>
      <c r="CU270" s="1588"/>
    </row>
    <row r="271" ht="23.25" customHeight="true" x14ac:dyDescent="0.25">
      <c r="B271" s="1612"/>
      <c r="C271" s="1613"/>
      <c r="D271" s="1613"/>
      <c r="E271" s="1613"/>
      <c r="F271" s="1481">
        <f t="shared" si="347"/>
        <v>10</v>
      </c>
      <c r="G271" s="1482" t="str">
        <f t="shared" si="338"/>
        <v/>
      </c>
      <c r="H271" s="1483" t="str">
        <f t="shared" si="339"/>
        <v/>
      </c>
      <c r="I271" s="1483" t="str">
        <f t="shared" si="340"/>
        <v/>
      </c>
      <c r="J271" s="1484" t="str">
        <f t="shared" si="341"/>
        <v/>
      </c>
      <c r="K271" s="1046"/>
      <c r="L271" s="1483" t="str">
        <f t="shared" si="348"/>
        <v/>
      </c>
      <c r="M271" s="1483" t="str">
        <f t="shared" si="349"/>
        <v/>
      </c>
      <c r="N271" s="1483" t="str">
        <f t="shared" si="350"/>
        <v/>
      </c>
      <c r="O271" s="1483" t="str">
        <f t="shared" si="351"/>
        <v/>
      </c>
      <c r="P271" s="1485" t="str">
        <f t="shared" si="352"/>
        <v/>
      </c>
      <c r="Q271" s="1486" t="str">
        <f t="shared" si="356"/>
        <v/>
      </c>
      <c r="R271" s="1046"/>
      <c r="S271" s="1022"/>
      <c r="T271" s="1047"/>
      <c r="U271" s="1046"/>
      <c r="V271" s="1022"/>
      <c r="W271" s="1487" t="str">
        <f t="shared" si="353"/>
        <v/>
      </c>
      <c r="X271" s="1048"/>
      <c r="Y271" s="1046"/>
      <c r="Z271" s="1022"/>
      <c r="AA271" s="1022"/>
      <c r="AB271" s="1050"/>
      <c r="AC271" s="1051"/>
      <c r="AD271" s="1026"/>
      <c r="AE271" s="1026"/>
      <c r="AF271" s="1050"/>
      <c r="AG271" s="1049"/>
      <c r="AH271" s="65"/>
      <c r="AI271" s="1026"/>
      <c r="AJ271" s="65"/>
      <c r="AK271" s="1026"/>
      <c r="AL271" s="68"/>
      <c r="AM271" s="1046"/>
      <c r="AN271" s="1022"/>
      <c r="AO271" s="1022"/>
      <c r="AP271" s="1052"/>
      <c r="AQ271" s="1488" t="str">
        <f t="shared" si="342"/>
        <v/>
      </c>
      <c r="AR271" s="1053"/>
      <c r="AS271" s="1488" t="str">
        <f t="shared" si="343"/>
        <v/>
      </c>
      <c r="AT271" s="1053"/>
      <c r="AU271" s="1488" t="str">
        <f t="shared" si="344"/>
        <v/>
      </c>
      <c r="AV271" s="1026"/>
      <c r="AW271" s="1026"/>
      <c r="AX271" s="1050"/>
      <c r="AY271" s="1049"/>
      <c r="AZ271" s="1036"/>
      <c r="BA271" s="1026"/>
      <c r="BB271" s="1054"/>
      <c r="BC271" s="1026"/>
      <c r="BD271" s="1055"/>
      <c r="BE271" s="1035"/>
      <c r="BF271" s="1056"/>
      <c r="BG271" s="1057"/>
      <c r="BH271" s="1057"/>
      <c r="BI271" s="1054"/>
      <c r="BJ271" s="1050"/>
      <c r="BK271" s="1058"/>
      <c r="BL271" s="1059"/>
      <c r="BM271" s="1059"/>
      <c r="BN271" s="1036"/>
      <c r="BO271" s="1060"/>
      <c r="BP271" s="1488" t="str">
        <f>IF(F271&gt;$F$18,"",IF(BO271&lt;&gt;"","",IF(ISNA(VLOOKUP('I. Stream &amp; Compound Data'!H271,'Potency Factors '!D$4:E$55,2,FALSE))=TRUE,0,VLOOKUP('I. Stream &amp; Compound Data'!H271,'Potency Factors '!D$4:E$55,2,FALSE))))</f>
        <v/>
      </c>
      <c r="BQ271" s="1053"/>
      <c r="BR271" s="1488" t="str">
        <f>IF(F271&gt;$F$18,"",IF(BQ271&lt;&gt;"","",IF(ISNA(VLOOKUP('I. Stream &amp; Compound Data'!H271,'Potency Factors '!D$68:E$167,2,FALSE))=TRUE,0,VLOOKUP('I. Stream &amp; Compound Data'!H271,'Potency Factors '!D$68:E$167,2,FALSE))))</f>
        <v/>
      </c>
      <c r="BS271" s="1053"/>
      <c r="BT271" s="1488" t="str">
        <f>IF(F271&gt;$F$18,"",IF(BS271&lt;&gt;"","",IF(ISNA(VLOOKUP('I. Stream &amp; Compound Data'!H271,'Potency Factors '!$D$412:$F$473,3,FALSE))=TRUE,0,VLOOKUP('I. Stream &amp; Compound Data'!H271,'Potency Factors '!$D$412:$F$473,3,FALSE))))</f>
        <v/>
      </c>
      <c r="BU271" s="1053"/>
      <c r="BV271" s="1488" t="str">
        <f>IF(F271&gt;$F$18,"",IF(BU271&lt;&gt;"","",IF(ISNA(VLOOKUP('I. Stream &amp; Compound Data'!H271,'Potency Factors '!D$180:E$185,2,FALSE))=TRUE,0,VLOOKUP('I. Stream &amp; Compound Data'!H271,'Potency Factors '!D$180:E$185,2,FALSE))))</f>
        <v/>
      </c>
      <c r="BW271" s="1055"/>
      <c r="BX271" s="1489" t="str">
        <f t="shared" si="354"/>
        <v/>
      </c>
      <c r="BY271" s="1055"/>
      <c r="BZ271" s="1489" t="str">
        <f t="shared" si="355"/>
        <v/>
      </c>
      <c r="CA271" s="1055"/>
      <c r="CB271" s="1036"/>
      <c r="CC271" s="1489" t="str">
        <f t="shared" si="345"/>
        <v/>
      </c>
      <c r="CD271" s="1053"/>
      <c r="CE271" s="1488" t="str">
        <f>IF(F271&gt;$F$18,"",IF(CD271&lt;&gt;"","",IF(ISNA(VLOOKUP('I. Stream &amp; Compound Data'!H271,'Potency Factors '!D$224:F$345,3,FALSE))=TRUE,0,VLOOKUP('I. Stream &amp; Compound Data'!H271,'Potency Factors '!D$224:F$345,3,FALSE))))</f>
        <v/>
      </c>
      <c r="CF271" s="1053"/>
      <c r="CG271" s="1488" t="str">
        <f>IF(F271&gt;$F$18,"",IF(CF271&lt;&gt;"","",IF(ISNA(VLOOKUP('I. Stream &amp; Compound Data'!H271,'Potency Factors '!D$361:F$374,3,FALSE))=TRUE,0,VLOOKUP('I. Stream &amp; Compound Data'!H271,'Potency Factors '!D$361:F$374,3,FALSE))))</f>
        <v/>
      </c>
      <c r="CH271" s="1055"/>
      <c r="CI271" s="1055"/>
      <c r="CJ271" s="1055"/>
      <c r="CK271" s="1055"/>
      <c r="CL271" s="1055"/>
      <c r="CM271" s="1055"/>
      <c r="CN271" s="1055"/>
      <c r="CO271" s="1055"/>
      <c r="CP271" s="1490" t="str">
        <f t="shared" si="346"/>
        <v/>
      </c>
      <c r="CQ271" s="1053"/>
      <c r="CR271" s="1488" t="str">
        <f>IF(F271&gt;$F$18,"",IF(CQ271&lt;&gt;"","",IF(ISNA(VLOOKUP('I. Stream &amp; Compound Data'!H271,'Potency Factors '!D$387:E$399,2,FALSE))=FALSE,VLOOKUP('I. Stream &amp; Compound Data'!H271,'Potency Factors '!D$387:E$399,2,FALSE),IF(ISNUMBER(SEARCH("phosphate",G271))=TRUE,1,IF(ISNUMBER(SEARCH("nitrate",G271))=TRUE,0.1,0)))))</f>
        <v/>
      </c>
      <c r="CS271" s="1053"/>
      <c r="CT271" s="1491" t="str">
        <f>IF(F271&gt;$F$18,"",IF(CS271&lt;&gt;"","",IF(ISNA(VLOOKUP('I. Stream &amp; Compound Data'!H271,'Potency Factors '!$D$485:$F$558,3,FALSE))=TRUE,0,VLOOKUP('I. Stream &amp; Compound Data'!H271,'Potency Factors '!$D$485:$F$558,3,FALSE))))</f>
        <v/>
      </c>
      <c r="CU271" s="1588"/>
    </row>
    <row r="272" ht="23.25" customHeight="true" x14ac:dyDescent="0.25">
      <c r="B272" s="1612"/>
      <c r="C272" s="1613"/>
      <c r="D272" s="1613"/>
      <c r="E272" s="1613"/>
      <c r="F272" s="1481">
        <f t="shared" si="347"/>
        <v>11</v>
      </c>
      <c r="G272" s="1482" t="str">
        <f t="shared" si="338"/>
        <v/>
      </c>
      <c r="H272" s="1483" t="str">
        <f t="shared" si="339"/>
        <v/>
      </c>
      <c r="I272" s="1483" t="str">
        <f t="shared" si="340"/>
        <v/>
      </c>
      <c r="J272" s="1484" t="str">
        <f t="shared" si="341"/>
        <v/>
      </c>
      <c r="K272" s="1046"/>
      <c r="L272" s="1483" t="str">
        <f t="shared" si="348"/>
        <v/>
      </c>
      <c r="M272" s="1483" t="str">
        <f t="shared" si="349"/>
        <v/>
      </c>
      <c r="N272" s="1483" t="str">
        <f t="shared" si="350"/>
        <v/>
      </c>
      <c r="O272" s="1483" t="str">
        <f t="shared" si="351"/>
        <v/>
      </c>
      <c r="P272" s="1485" t="str">
        <f t="shared" si="352"/>
        <v/>
      </c>
      <c r="Q272" s="1486" t="str">
        <f t="shared" si="356"/>
        <v/>
      </c>
      <c r="R272" s="1046"/>
      <c r="S272" s="1022"/>
      <c r="T272" s="1047"/>
      <c r="U272" s="1046"/>
      <c r="V272" s="1022"/>
      <c r="W272" s="1487" t="str">
        <f t="shared" si="353"/>
        <v/>
      </c>
      <c r="X272" s="1048"/>
      <c r="Y272" s="1046"/>
      <c r="Z272" s="1022"/>
      <c r="AA272" s="1022"/>
      <c r="AB272" s="1050"/>
      <c r="AC272" s="1051"/>
      <c r="AD272" s="1026"/>
      <c r="AE272" s="1026"/>
      <c r="AF272" s="1050"/>
      <c r="AG272" s="1049"/>
      <c r="AH272" s="65" t="s">
        <v>1862</v>
      </c>
      <c r="AI272" s="1026"/>
      <c r="AJ272" s="65" t="s">
        <v>1864</v>
      </c>
      <c r="AK272" s="1026"/>
      <c r="AL272" s="68"/>
      <c r="AM272" s="1046"/>
      <c r="AN272" s="1022"/>
      <c r="AO272" s="1022"/>
      <c r="AP272" s="1052"/>
      <c r="AQ272" s="1488" t="str">
        <f t="shared" si="342"/>
        <v/>
      </c>
      <c r="AR272" s="1053"/>
      <c r="AS272" s="1488" t="str">
        <f t="shared" si="343"/>
        <v/>
      </c>
      <c r="AT272" s="1053"/>
      <c r="AU272" s="1488" t="str">
        <f t="shared" si="344"/>
        <v/>
      </c>
      <c r="AV272" s="1026"/>
      <c r="AW272" s="1026"/>
      <c r="AX272" s="1050"/>
      <c r="AY272" s="1049"/>
      <c r="AZ272" s="1036"/>
      <c r="BA272" s="1026"/>
      <c r="BB272" s="1054"/>
      <c r="BC272" s="1026"/>
      <c r="BD272" s="1055"/>
      <c r="BE272" s="1035"/>
      <c r="BF272" s="1056"/>
      <c r="BG272" s="1057"/>
      <c r="BH272" s="1057"/>
      <c r="BI272" s="1026"/>
      <c r="BJ272" s="1050"/>
      <c r="BK272" s="1058"/>
      <c r="BL272" s="1059"/>
      <c r="BM272" s="1059"/>
      <c r="BN272" s="1036"/>
      <c r="BO272" s="1060"/>
      <c r="BP272" s="1488" t="str">
        <f>IF(F272&gt;$F$18,"",IF(BO272&lt;&gt;"","",IF(ISNA(VLOOKUP('I. Stream &amp; Compound Data'!H272,'Potency Factors '!D$4:E$55,2,FALSE))=TRUE,0,VLOOKUP('I. Stream &amp; Compound Data'!H272,'Potency Factors '!D$4:E$55,2,FALSE))))</f>
        <v/>
      </c>
      <c r="BQ272" s="1053"/>
      <c r="BR272" s="1488" t="str">
        <f>IF(F272&gt;$F$18,"",IF(BQ272&lt;&gt;"","",IF(ISNA(VLOOKUP('I. Stream &amp; Compound Data'!H272,'Potency Factors '!D$68:E$167,2,FALSE))=TRUE,0,VLOOKUP('I. Stream &amp; Compound Data'!H272,'Potency Factors '!D$68:E$167,2,FALSE))))</f>
        <v/>
      </c>
      <c r="BS272" s="1053"/>
      <c r="BT272" s="1488" t="str">
        <f>IF(F272&gt;$F$18,"",IF(BS272&lt;&gt;"","",IF(ISNA(VLOOKUP('I. Stream &amp; Compound Data'!H272,'Potency Factors '!$D$412:$F$473,3,FALSE))=TRUE,0,VLOOKUP('I. Stream &amp; Compound Data'!H272,'Potency Factors '!$D$412:$F$473,3,FALSE))))</f>
        <v/>
      </c>
      <c r="BU272" s="1053"/>
      <c r="BV272" s="1488" t="str">
        <f>IF(F272&gt;$F$18,"",IF(BU272&lt;&gt;"","",IF(ISNA(VLOOKUP('I. Stream &amp; Compound Data'!H272,'Potency Factors '!D$180:E$185,2,FALSE))=TRUE,0,VLOOKUP('I. Stream &amp; Compound Data'!H272,'Potency Factors '!D$180:E$185,2,FALSE))))</f>
        <v/>
      </c>
      <c r="BW272" s="1055"/>
      <c r="BX272" s="1489" t="str">
        <f t="shared" si="354"/>
        <v/>
      </c>
      <c r="BY272" s="1055"/>
      <c r="BZ272" s="1489" t="str">
        <f t="shared" si="355"/>
        <v/>
      </c>
      <c r="CA272" s="1055"/>
      <c r="CB272" s="1036"/>
      <c r="CC272" s="1489" t="str">
        <f t="shared" si="345"/>
        <v/>
      </c>
      <c r="CD272" s="1053"/>
      <c r="CE272" s="1488" t="str">
        <f>IF(F272&gt;$F$18,"",IF(CD272&lt;&gt;"","",IF(ISNA(VLOOKUP('I. Stream &amp; Compound Data'!H272,'Potency Factors '!D$224:F$345,3,FALSE))=TRUE,0,VLOOKUP('I. Stream &amp; Compound Data'!H272,'Potency Factors '!D$224:F$345,3,FALSE))))</f>
        <v/>
      </c>
      <c r="CF272" s="1053"/>
      <c r="CG272" s="1488" t="str">
        <f>IF(F272&gt;$F$18,"",IF(CF272&lt;&gt;"","",IF(ISNA(VLOOKUP('I. Stream &amp; Compound Data'!H272,'Potency Factors '!D$361:F$374,3,FALSE))=TRUE,0,VLOOKUP('I. Stream &amp; Compound Data'!H272,'Potency Factors '!D$361:F$374,3,FALSE))))</f>
        <v/>
      </c>
      <c r="CH272" s="1055"/>
      <c r="CI272" s="1055"/>
      <c r="CJ272" s="1055"/>
      <c r="CK272" s="1055"/>
      <c r="CL272" s="1055"/>
      <c r="CM272" s="1055"/>
      <c r="CN272" s="1055"/>
      <c r="CO272" s="1055"/>
      <c r="CP272" s="1490" t="str">
        <f t="shared" si="346"/>
        <v/>
      </c>
      <c r="CQ272" s="1053"/>
      <c r="CR272" s="1488" t="str">
        <f>IF(F272&gt;$F$18,"",IF(CQ272&lt;&gt;"","",IF(ISNA(VLOOKUP('I. Stream &amp; Compound Data'!H272,'Potency Factors '!D$387:E$399,2,FALSE))=FALSE,VLOOKUP('I. Stream &amp; Compound Data'!H272,'Potency Factors '!D$387:E$399,2,FALSE),IF(ISNUMBER(SEARCH("phosphate",G272))=TRUE,1,IF(ISNUMBER(SEARCH("nitrate",G272))=TRUE,0.1,0)))))</f>
        <v/>
      </c>
      <c r="CS272" s="1053"/>
      <c r="CT272" s="1491" t="str">
        <f>IF(F272&gt;$F$18,"",IF(CS272&lt;&gt;"","",IF(ISNA(VLOOKUP('I. Stream &amp; Compound Data'!H272,'Potency Factors '!$D$485:$F$558,3,FALSE))=TRUE,0,VLOOKUP('I. Stream &amp; Compound Data'!H272,'Potency Factors '!$D$485:$F$558,3,FALSE))))</f>
        <v/>
      </c>
      <c r="CU272" s="1588"/>
    </row>
    <row r="273" ht="23.25" customHeight="true" x14ac:dyDescent="0.25">
      <c r="B273" s="1612"/>
      <c r="C273" s="1613"/>
      <c r="D273" s="1613"/>
      <c r="E273" s="1613"/>
      <c r="F273" s="1481">
        <f t="shared" si="347"/>
        <v>12</v>
      </c>
      <c r="G273" s="1482" t="str">
        <f t="shared" si="338"/>
        <v/>
      </c>
      <c r="H273" s="1483" t="str">
        <f t="shared" si="339"/>
        <v/>
      </c>
      <c r="I273" s="1483" t="str">
        <f t="shared" si="340"/>
        <v/>
      </c>
      <c r="J273" s="1484" t="str">
        <f t="shared" si="341"/>
        <v/>
      </c>
      <c r="K273" s="1046"/>
      <c r="L273" s="1483" t="str">
        <f>IF(F43&lt;&gt;"",SUM(H43+Q43+T43+K43+N43+W43+Z43+AC43+AF43+AI43+AL43+AO43+AR43+AU43+AX43+BA43+BD43+BG43+BJ43+BM43+BP43+BS43+BV43+BY43+CB43+CE43+CH43+CK43+CN43+CQ43+CT43+CW43+CZ43+DC43+DF43+DI43+DL43+DO43+DR43+DU43),"")</f>
        <v/>
      </c>
      <c r="M273" s="1483" t="str">
        <f t="shared" si="349"/>
        <v/>
      </c>
      <c r="N273" s="1483" t="str">
        <f t="shared" si="350"/>
        <v/>
      </c>
      <c r="O273" s="1483" t="str">
        <f t="shared" si="351"/>
        <v/>
      </c>
      <c r="P273" s="1485" t="str">
        <f t="shared" si="352"/>
        <v/>
      </c>
      <c r="Q273" s="1486" t="str">
        <f t="shared" si="356"/>
        <v/>
      </c>
      <c r="R273" s="1046"/>
      <c r="S273" s="1022"/>
      <c r="T273" s="1047"/>
      <c r="U273" s="1046"/>
      <c r="V273" s="1022"/>
      <c r="W273" s="1487" t="str">
        <f t="shared" si="353"/>
        <v/>
      </c>
      <c r="X273" s="1048"/>
      <c r="Y273" s="1046"/>
      <c r="Z273" s="1022"/>
      <c r="AA273" s="1022"/>
      <c r="AB273" s="1050"/>
      <c r="AC273" s="1051"/>
      <c r="AD273" s="1026"/>
      <c r="AE273" s="1026"/>
      <c r="AF273" s="1050"/>
      <c r="AG273" s="1049"/>
      <c r="AH273" s="65"/>
      <c r="AI273" s="1026"/>
      <c r="AJ273" s="65"/>
      <c r="AK273" s="1026"/>
      <c r="AL273" s="68"/>
      <c r="AM273" s="1046"/>
      <c r="AN273" s="1022"/>
      <c r="AO273" s="1022"/>
      <c r="AP273" s="1052"/>
      <c r="AQ273" s="1488" t="str">
        <f t="shared" si="342"/>
        <v/>
      </c>
      <c r="AR273" s="1053"/>
      <c r="AS273" s="1488" t="str">
        <f t="shared" si="343"/>
        <v/>
      </c>
      <c r="AT273" s="1053"/>
      <c r="AU273" s="1488" t="str">
        <f t="shared" si="344"/>
        <v/>
      </c>
      <c r="AV273" s="1026"/>
      <c r="AW273" s="1026"/>
      <c r="AX273" s="1050"/>
      <c r="AY273" s="1049"/>
      <c r="AZ273" s="1036"/>
      <c r="BA273" s="1026"/>
      <c r="BB273" s="1054"/>
      <c r="BC273" s="1026"/>
      <c r="BD273" s="1055"/>
      <c r="BE273" s="1035"/>
      <c r="BF273" s="1056"/>
      <c r="BG273" s="1057"/>
      <c r="BH273" s="1057"/>
      <c r="BI273" s="1026"/>
      <c r="BJ273" s="1050"/>
      <c r="BK273" s="1058"/>
      <c r="BL273" s="1059"/>
      <c r="BM273" s="1059"/>
      <c r="BN273" s="1036"/>
      <c r="BO273" s="1060"/>
      <c r="BP273" s="1488" t="str">
        <f>IF(F273&gt;$F$18,"",IF(BO273&lt;&gt;"","",IF(ISNA(VLOOKUP('I. Stream &amp; Compound Data'!H273,'Potency Factors '!D$4:E$55,2,FALSE))=TRUE,0,VLOOKUP('I. Stream &amp; Compound Data'!H273,'Potency Factors '!D$4:E$55,2,FALSE))))</f>
        <v/>
      </c>
      <c r="BQ273" s="1053"/>
      <c r="BR273" s="1488" t="str">
        <f>IF(F273&gt;$F$18,"",IF(BQ273&lt;&gt;"","",IF(ISNA(VLOOKUP('I. Stream &amp; Compound Data'!H273,'Potency Factors '!D$68:E$167,2,FALSE))=TRUE,0,VLOOKUP('I. Stream &amp; Compound Data'!H273,'Potency Factors '!D$68:E$167,2,FALSE))))</f>
        <v/>
      </c>
      <c r="BS273" s="1053"/>
      <c r="BT273" s="1488" t="str">
        <f>IF(F273&gt;$F$18,"",IF(BS273&lt;&gt;"","",IF(ISNA(VLOOKUP('I. Stream &amp; Compound Data'!H273,'Potency Factors '!$D$412:$F$473,3,FALSE))=TRUE,0,VLOOKUP('I. Stream &amp; Compound Data'!H273,'Potency Factors '!$D$412:$F$473,3,FALSE))))</f>
        <v/>
      </c>
      <c r="BU273" s="1053"/>
      <c r="BV273" s="1488" t="str">
        <f>IF(F273&gt;$F$18,"",IF(BU273&lt;&gt;"","",IF(ISNA(VLOOKUP('I. Stream &amp; Compound Data'!H273,'Potency Factors '!D$180:E$185,2,FALSE))=TRUE,0,VLOOKUP('I. Stream &amp; Compound Data'!H273,'Potency Factors '!D$180:E$185,2,FALSE))))</f>
        <v/>
      </c>
      <c r="BW273" s="1055"/>
      <c r="BX273" s="1489" t="str">
        <f t="shared" si="354"/>
        <v/>
      </c>
      <c r="BY273" s="1055"/>
      <c r="BZ273" s="1489" t="str">
        <f t="shared" si="355"/>
        <v/>
      </c>
      <c r="CA273" s="1055"/>
      <c r="CB273" s="1036"/>
      <c r="CC273" s="1489" t="str">
        <f t="shared" si="345"/>
        <v/>
      </c>
      <c r="CD273" s="1053"/>
      <c r="CE273" s="1488" t="str">
        <f>IF(F273&gt;$F$18,"",IF(CD273&lt;&gt;"","",IF(ISNA(VLOOKUP('I. Stream &amp; Compound Data'!H273,'Potency Factors '!D$224:F$345,3,FALSE))=TRUE,0,VLOOKUP('I. Stream &amp; Compound Data'!H273,'Potency Factors '!D$224:F$345,3,FALSE))))</f>
        <v/>
      </c>
      <c r="CF273" s="1053"/>
      <c r="CG273" s="1488" t="str">
        <f>IF(F273&gt;$F$18,"",IF(CF273&lt;&gt;"","",IF(ISNA(VLOOKUP('I. Stream &amp; Compound Data'!H273,'Potency Factors '!D$361:F$374,3,FALSE))=TRUE,0,VLOOKUP('I. Stream &amp; Compound Data'!H273,'Potency Factors '!D$361:F$374,3,FALSE))))</f>
        <v/>
      </c>
      <c r="CH273" s="1055"/>
      <c r="CI273" s="1055"/>
      <c r="CJ273" s="1055"/>
      <c r="CK273" s="1055"/>
      <c r="CL273" s="1055"/>
      <c r="CM273" s="1055"/>
      <c r="CN273" s="1055"/>
      <c r="CO273" s="1055"/>
      <c r="CP273" s="1490" t="str">
        <f t="shared" si="346"/>
        <v/>
      </c>
      <c r="CQ273" s="1053"/>
      <c r="CR273" s="1488" t="str">
        <f>IF(F273&gt;$F$18,"",IF(CQ273&lt;&gt;"","",IF(ISNA(VLOOKUP('I. Stream &amp; Compound Data'!H273,'Potency Factors '!D$387:E$399,2,FALSE))=FALSE,VLOOKUP('I. Stream &amp; Compound Data'!H273,'Potency Factors '!D$387:E$399,2,FALSE),IF(ISNUMBER(SEARCH("phosphate",G273))=TRUE,1,IF(ISNUMBER(SEARCH("nitrate",G273))=TRUE,0.1,0)))))</f>
        <v/>
      </c>
      <c r="CS273" s="1053"/>
      <c r="CT273" s="1491" t="str">
        <f>IF(F273&gt;$F$18,"",IF(CS273&lt;&gt;"","",IF(ISNA(VLOOKUP('I. Stream &amp; Compound Data'!H273,'Potency Factors '!$D$485:$F$558,3,FALSE))=TRUE,0,VLOOKUP('I. Stream &amp; Compound Data'!H273,'Potency Factors '!$D$485:$F$558,3,FALSE))))</f>
        <v/>
      </c>
      <c r="CU273" s="1588"/>
    </row>
    <row r="274" ht="23.25" customHeight="true" x14ac:dyDescent="0.25">
      <c r="B274" s="1612"/>
      <c r="C274" s="1613"/>
      <c r="D274" s="1613"/>
      <c r="E274" s="1613"/>
      <c r="F274" s="1481">
        <f t="shared" si="347"/>
        <v>13</v>
      </c>
      <c r="G274" s="1482" t="str">
        <f t="shared" si="338"/>
        <v/>
      </c>
      <c r="H274" s="1483" t="str">
        <f t="shared" si="339"/>
        <v/>
      </c>
      <c r="I274" s="1483" t="str">
        <f t="shared" si="340"/>
        <v/>
      </c>
      <c r="J274" s="1484" t="str">
        <f t="shared" si="341"/>
        <v/>
      </c>
      <c r="K274" s="1046"/>
      <c r="L274" s="1483" t="str">
        <f t="shared" ref="L274:L311" si="357">IF(F44&lt;&gt;"",SUM(H44+Q44+T44+K44+N44+W44+Z44+AC44+AF44+AI44+AL44+AO44+AR44+AU44+AX44+BA44+BD44+BG44+BJ44+BM44+BP44+BS44+BV44+BY44+CB44+CE44+CH44+CK44+CN44+CQ44+CT44+CW44+CZ44+DC44+DF44+DI44+DL44+DO44+DR44+DU44),"")</f>
        <v/>
      </c>
      <c r="M274" s="1483" t="str">
        <f t="shared" si="349"/>
        <v/>
      </c>
      <c r="N274" s="1483" t="str">
        <f t="shared" si="350"/>
        <v/>
      </c>
      <c r="O274" s="1483" t="str">
        <f t="shared" si="351"/>
        <v/>
      </c>
      <c r="P274" s="1485" t="str">
        <f t="shared" si="352"/>
        <v/>
      </c>
      <c r="Q274" s="1486" t="str">
        <f t="shared" si="356"/>
        <v/>
      </c>
      <c r="R274" s="1046"/>
      <c r="S274" s="1022"/>
      <c r="T274" s="1047"/>
      <c r="U274" s="1046"/>
      <c r="V274" s="1022"/>
      <c r="W274" s="1487" t="str">
        <f t="shared" si="353"/>
        <v/>
      </c>
      <c r="X274" s="1048"/>
      <c r="Y274" s="1046"/>
      <c r="Z274" s="1022"/>
      <c r="AA274" s="1022"/>
      <c r="AB274" s="1050"/>
      <c r="AC274" s="1051"/>
      <c r="AD274" s="1026"/>
      <c r="AE274" s="1026"/>
      <c r="AF274" s="1050"/>
      <c r="AG274" s="1049"/>
      <c r="AH274" s="65"/>
      <c r="AI274" s="1026"/>
      <c r="AJ274" s="65"/>
      <c r="AK274" s="1026"/>
      <c r="AL274" s="68"/>
      <c r="AM274" s="1046"/>
      <c r="AN274" s="1022"/>
      <c r="AO274" s="1022"/>
      <c r="AP274" s="1052"/>
      <c r="AQ274" s="1488" t="str">
        <f t="shared" si="342"/>
        <v/>
      </c>
      <c r="AR274" s="1053"/>
      <c r="AS274" s="1488" t="str">
        <f t="shared" si="343"/>
        <v/>
      </c>
      <c r="AT274" s="1053"/>
      <c r="AU274" s="1488" t="str">
        <f t="shared" si="344"/>
        <v/>
      </c>
      <c r="AV274" s="1026"/>
      <c r="AW274" s="1026"/>
      <c r="AX274" s="1050"/>
      <c r="AY274" s="1049"/>
      <c r="AZ274" s="1036"/>
      <c r="BA274" s="1026"/>
      <c r="BB274" s="1054"/>
      <c r="BC274" s="1026"/>
      <c r="BD274" s="1055"/>
      <c r="BE274" s="1035"/>
      <c r="BF274" s="1056"/>
      <c r="BG274" s="1057"/>
      <c r="BH274" s="1057"/>
      <c r="BI274" s="1026"/>
      <c r="BJ274" s="1050"/>
      <c r="BK274" s="1058"/>
      <c r="BL274" s="1059"/>
      <c r="BM274" s="1059"/>
      <c r="BN274" s="1036"/>
      <c r="BO274" s="1060"/>
      <c r="BP274" s="1488" t="str">
        <f>IF(F274&gt;$F$18,"",IF(BO274&lt;&gt;"","",IF(ISNA(VLOOKUP('I. Stream &amp; Compound Data'!H274,'Potency Factors '!D$4:E$55,2,FALSE))=TRUE,0,VLOOKUP('I. Stream &amp; Compound Data'!H274,'Potency Factors '!D$4:E$55,2,FALSE))))</f>
        <v/>
      </c>
      <c r="BQ274" s="1053"/>
      <c r="BR274" s="1488" t="str">
        <f>IF(F274&gt;$F$18,"",IF(BQ274&lt;&gt;"","",IF(ISNA(VLOOKUP('I. Stream &amp; Compound Data'!H274,'Potency Factors '!D$68:E$167,2,FALSE))=TRUE,0,VLOOKUP('I. Stream &amp; Compound Data'!H274,'Potency Factors '!D$68:E$167,2,FALSE))))</f>
        <v/>
      </c>
      <c r="BS274" s="1053"/>
      <c r="BT274" s="1488" t="str">
        <f>IF(F274&gt;$F$18,"",IF(BS274&lt;&gt;"","",IF(ISNA(VLOOKUP('I. Stream &amp; Compound Data'!H274,'Potency Factors '!$D$412:$F$473,3,FALSE))=TRUE,0,VLOOKUP('I. Stream &amp; Compound Data'!H274,'Potency Factors '!$D$412:$F$473,3,FALSE))))</f>
        <v/>
      </c>
      <c r="BU274" s="1053"/>
      <c r="BV274" s="1488" t="str">
        <f>IF(F274&gt;$F$18,"",IF(BU274&lt;&gt;"","",IF(ISNA(VLOOKUP('I. Stream &amp; Compound Data'!H274,'Potency Factors '!D$180:E$185,2,FALSE))=TRUE,0,VLOOKUP('I. Stream &amp; Compound Data'!H274,'Potency Factors '!D$180:E$185,2,FALSE))))</f>
        <v/>
      </c>
      <c r="BW274" s="1055"/>
      <c r="BX274" s="1489" t="str">
        <f t="shared" si="354"/>
        <v/>
      </c>
      <c r="BY274" s="1055"/>
      <c r="BZ274" s="1489" t="str">
        <f t="shared" si="355"/>
        <v/>
      </c>
      <c r="CA274" s="1055"/>
      <c r="CB274" s="1036"/>
      <c r="CC274" s="1489" t="str">
        <f t="shared" si="345"/>
        <v/>
      </c>
      <c r="CD274" s="1053"/>
      <c r="CE274" s="1488" t="str">
        <f>IF(F274&gt;$F$18,"",IF(CD274&lt;&gt;"","",IF(ISNA(VLOOKUP('I. Stream &amp; Compound Data'!H274,'Potency Factors '!D$224:F$345,3,FALSE))=TRUE,0,VLOOKUP('I. Stream &amp; Compound Data'!H274,'Potency Factors '!D$224:F$345,3,FALSE))))</f>
        <v/>
      </c>
      <c r="CF274" s="1053"/>
      <c r="CG274" s="1488" t="str">
        <f>IF(F274&gt;$F$18,"",IF(CF274&lt;&gt;"","",IF(ISNA(VLOOKUP('I. Stream &amp; Compound Data'!H274,'Potency Factors '!D$361:F$374,3,FALSE))=TRUE,0,VLOOKUP('I. Stream &amp; Compound Data'!H274,'Potency Factors '!D$361:F$374,3,FALSE))))</f>
        <v/>
      </c>
      <c r="CH274" s="1055"/>
      <c r="CI274" s="1055"/>
      <c r="CJ274" s="1055"/>
      <c r="CK274" s="1055"/>
      <c r="CL274" s="1055"/>
      <c r="CM274" s="1055"/>
      <c r="CN274" s="1055"/>
      <c r="CO274" s="1055"/>
      <c r="CP274" s="1490" t="str">
        <f t="shared" si="346"/>
        <v/>
      </c>
      <c r="CQ274" s="1053"/>
      <c r="CR274" s="1488" t="str">
        <f>IF(F274&gt;$F$18,"",IF(CQ274&lt;&gt;"","",IF(ISNA(VLOOKUP('I. Stream &amp; Compound Data'!H274,'Potency Factors '!D$387:E$399,2,FALSE))=FALSE,VLOOKUP('I. Stream &amp; Compound Data'!H274,'Potency Factors '!D$387:E$399,2,FALSE),IF(ISNUMBER(SEARCH("phosphate",G274))=TRUE,1,IF(ISNUMBER(SEARCH("nitrate",G274))=TRUE,0.1,0)))))</f>
        <v/>
      </c>
      <c r="CS274" s="1053"/>
      <c r="CT274" s="1491" t="str">
        <f>IF(F274&gt;$F$18,"",IF(CS274&lt;&gt;"","",IF(ISNA(VLOOKUP('I. Stream &amp; Compound Data'!H274,'Potency Factors '!$D$485:$F$558,3,FALSE))=TRUE,0,VLOOKUP('I. Stream &amp; Compound Data'!H274,'Potency Factors '!$D$485:$F$558,3,FALSE))))</f>
        <v/>
      </c>
      <c r="CU274" s="1588"/>
    </row>
    <row r="275" ht="23.25" customHeight="true" x14ac:dyDescent="0.25">
      <c r="B275" s="1612"/>
      <c r="C275" s="1613"/>
      <c r="D275" s="1613"/>
      <c r="E275" s="1613"/>
      <c r="F275" s="1481">
        <f t="shared" si="347"/>
        <v>14</v>
      </c>
      <c r="G275" s="1482" t="str">
        <f t="shared" si="338"/>
        <v/>
      </c>
      <c r="H275" s="1483" t="str">
        <f t="shared" si="339"/>
        <v/>
      </c>
      <c r="I275" s="1483" t="str">
        <f t="shared" si="340"/>
        <v/>
      </c>
      <c r="J275" s="1484" t="str">
        <f t="shared" si="341"/>
        <v/>
      </c>
      <c r="K275" s="1046"/>
      <c r="L275" s="1483" t="str">
        <f t="shared" si="357"/>
        <v/>
      </c>
      <c r="M275" s="1483" t="str">
        <f t="shared" si="349"/>
        <v/>
      </c>
      <c r="N275" s="1483" t="str">
        <f t="shared" si="350"/>
        <v/>
      </c>
      <c r="O275" s="1483" t="str">
        <f t="shared" si="351"/>
        <v/>
      </c>
      <c r="P275" s="1485" t="str">
        <f t="shared" si="352"/>
        <v/>
      </c>
      <c r="Q275" s="1486" t="str">
        <f t="shared" si="356"/>
        <v/>
      </c>
      <c r="R275" s="1046"/>
      <c r="S275" s="1022"/>
      <c r="T275" s="1047"/>
      <c r="U275" s="1046"/>
      <c r="V275" s="1022"/>
      <c r="W275" s="1487" t="str">
        <f t="shared" si="353"/>
        <v/>
      </c>
      <c r="X275" s="1048"/>
      <c r="Y275" s="1046"/>
      <c r="Z275" s="1022"/>
      <c r="AA275" s="1022"/>
      <c r="AB275" s="1050"/>
      <c r="AC275" s="1051"/>
      <c r="AD275" s="1026"/>
      <c r="AE275" s="1026"/>
      <c r="AF275" s="1050"/>
      <c r="AG275" s="1049"/>
      <c r="AH275" s="65"/>
      <c r="AI275" s="1026"/>
      <c r="AJ275" s="65"/>
      <c r="AK275" s="1026"/>
      <c r="AL275" s="68"/>
      <c r="AM275" s="1046"/>
      <c r="AN275" s="1022"/>
      <c r="AO275" s="1022"/>
      <c r="AP275" s="1052"/>
      <c r="AQ275" s="1488" t="str">
        <f t="shared" si="342"/>
        <v/>
      </c>
      <c r="AR275" s="1053"/>
      <c r="AS275" s="1488" t="str">
        <f t="shared" si="343"/>
        <v/>
      </c>
      <c r="AT275" s="1053"/>
      <c r="AU275" s="1488" t="str">
        <f t="shared" si="344"/>
        <v/>
      </c>
      <c r="AV275" s="1026"/>
      <c r="AW275" s="1026"/>
      <c r="AX275" s="1050"/>
      <c r="AY275" s="1049"/>
      <c r="AZ275" s="1036"/>
      <c r="BA275" s="1026"/>
      <c r="BB275" s="1054"/>
      <c r="BC275" s="1026"/>
      <c r="BD275" s="1055"/>
      <c r="BE275" s="1035"/>
      <c r="BF275" s="1056"/>
      <c r="BG275" s="1057"/>
      <c r="BH275" s="1057"/>
      <c r="BI275" s="1026"/>
      <c r="BJ275" s="1050"/>
      <c r="BK275" s="1058"/>
      <c r="BL275" s="1059"/>
      <c r="BM275" s="1059"/>
      <c r="BN275" s="1036"/>
      <c r="BO275" s="1060"/>
      <c r="BP275" s="1488" t="str">
        <f>IF(F275&gt;$F$18,"",IF(BO275&lt;&gt;"","",IF(ISNA(VLOOKUP('I. Stream &amp; Compound Data'!H275,'Potency Factors '!D$4:E$55,2,FALSE))=TRUE,0,VLOOKUP('I. Stream &amp; Compound Data'!H275,'Potency Factors '!D$4:E$55,2,FALSE))))</f>
        <v/>
      </c>
      <c r="BQ275" s="1053"/>
      <c r="BR275" s="1488" t="str">
        <f>IF(F275&gt;$F$18,"",IF(BQ275&lt;&gt;"","",IF(ISNA(VLOOKUP('I. Stream &amp; Compound Data'!H275,'Potency Factors '!D$68:E$167,2,FALSE))=TRUE,0,VLOOKUP('I. Stream &amp; Compound Data'!H275,'Potency Factors '!D$68:E$167,2,FALSE))))</f>
        <v/>
      </c>
      <c r="BS275" s="1053"/>
      <c r="BT275" s="1488" t="str">
        <f>IF(F275&gt;$F$18,"",IF(BS275&lt;&gt;"","",IF(ISNA(VLOOKUP('I. Stream &amp; Compound Data'!H275,'Potency Factors '!$D$412:$F$473,3,FALSE))=TRUE,0,VLOOKUP('I. Stream &amp; Compound Data'!H275,'Potency Factors '!$D$412:$F$473,3,FALSE))))</f>
        <v/>
      </c>
      <c r="BU275" s="1053"/>
      <c r="BV275" s="1488" t="str">
        <f>IF(F275&gt;$F$18,"",IF(BU275&lt;&gt;"","",IF(ISNA(VLOOKUP('I. Stream &amp; Compound Data'!H275,'Potency Factors '!D$180:E$185,2,FALSE))=TRUE,0,VLOOKUP('I. Stream &amp; Compound Data'!H275,'Potency Factors '!D$180:E$185,2,FALSE))))</f>
        <v/>
      </c>
      <c r="BW275" s="1055"/>
      <c r="BX275" s="1489" t="str">
        <f t="shared" si="354"/>
        <v/>
      </c>
      <c r="BY275" s="1055"/>
      <c r="BZ275" s="1489" t="str">
        <f t="shared" si="355"/>
        <v/>
      </c>
      <c r="CA275" s="1055"/>
      <c r="CB275" s="1036"/>
      <c r="CC275" s="1489" t="str">
        <f t="shared" si="345"/>
        <v/>
      </c>
      <c r="CD275" s="1053"/>
      <c r="CE275" s="1488" t="str">
        <f>IF(F275&gt;$F$18,"",IF(CD275&lt;&gt;"","",IF(ISNA(VLOOKUP('I. Stream &amp; Compound Data'!H275,'Potency Factors '!D$224:F$345,3,FALSE))=TRUE,0,VLOOKUP('I. Stream &amp; Compound Data'!H275,'Potency Factors '!D$224:F$345,3,FALSE))))</f>
        <v/>
      </c>
      <c r="CF275" s="1053"/>
      <c r="CG275" s="1488" t="str">
        <f>IF(F275&gt;$F$18,"",IF(CF275&lt;&gt;"","",IF(ISNA(VLOOKUP('I. Stream &amp; Compound Data'!H275,'Potency Factors '!D$361:F$374,3,FALSE))=TRUE,0,VLOOKUP('I. Stream &amp; Compound Data'!H275,'Potency Factors '!D$361:F$374,3,FALSE))))</f>
        <v/>
      </c>
      <c r="CH275" s="1055"/>
      <c r="CI275" s="1055"/>
      <c r="CJ275" s="1055"/>
      <c r="CK275" s="1055"/>
      <c r="CL275" s="1055"/>
      <c r="CM275" s="1055"/>
      <c r="CN275" s="1055"/>
      <c r="CO275" s="1055"/>
      <c r="CP275" s="1490" t="str">
        <f t="shared" si="346"/>
        <v/>
      </c>
      <c r="CQ275" s="1053"/>
      <c r="CR275" s="1488" t="str">
        <f>IF(F275&gt;$F$18,"",IF(CQ275&lt;&gt;"","",IF(ISNA(VLOOKUP('I. Stream &amp; Compound Data'!H275,'Potency Factors '!D$387:E$399,2,FALSE))=FALSE,VLOOKUP('I. Stream &amp; Compound Data'!H275,'Potency Factors '!D$387:E$399,2,FALSE),IF(ISNUMBER(SEARCH("phosphate",G275))=TRUE,1,IF(ISNUMBER(SEARCH("nitrate",G275))=TRUE,0.1,0)))))</f>
        <v/>
      </c>
      <c r="CS275" s="1053"/>
      <c r="CT275" s="1491" t="str">
        <f>IF(F275&gt;$F$18,"",IF(CS275&lt;&gt;"","",IF(ISNA(VLOOKUP('I. Stream &amp; Compound Data'!H275,'Potency Factors '!$D$485:$F$558,3,FALSE))=TRUE,0,VLOOKUP('I. Stream &amp; Compound Data'!H275,'Potency Factors '!$D$485:$F$558,3,FALSE))))</f>
        <v/>
      </c>
      <c r="CU275" s="1588"/>
    </row>
    <row r="276" ht="23.25" customHeight="true" x14ac:dyDescent="0.25">
      <c r="B276" s="1612"/>
      <c r="C276" s="1613"/>
      <c r="D276" s="1613"/>
      <c r="E276" s="1613"/>
      <c r="F276" s="1481">
        <f t="shared" si="347"/>
        <v>15</v>
      </c>
      <c r="G276" s="1482" t="str">
        <f t="shared" si="338"/>
        <v/>
      </c>
      <c r="H276" s="1483" t="str">
        <f t="shared" si="339"/>
        <v/>
      </c>
      <c r="I276" s="1483" t="str">
        <f t="shared" si="340"/>
        <v/>
      </c>
      <c r="J276" s="1484" t="str">
        <f t="shared" si="341"/>
        <v/>
      </c>
      <c r="K276" s="1046"/>
      <c r="L276" s="1483" t="str">
        <f t="shared" si="357"/>
        <v/>
      </c>
      <c r="M276" s="1483" t="str">
        <f t="shared" si="349"/>
        <v/>
      </c>
      <c r="N276" s="1483" t="str">
        <f t="shared" si="350"/>
        <v/>
      </c>
      <c r="O276" s="1483" t="str">
        <f t="shared" si="351"/>
        <v/>
      </c>
      <c r="P276" s="1485" t="str">
        <f t="shared" si="352"/>
        <v/>
      </c>
      <c r="Q276" s="1486" t="str">
        <f t="shared" si="356"/>
        <v/>
      </c>
      <c r="R276" s="1046"/>
      <c r="S276" s="1022"/>
      <c r="T276" s="1047"/>
      <c r="U276" s="1046"/>
      <c r="V276" s="1022"/>
      <c r="W276" s="1487" t="str">
        <f t="shared" si="353"/>
        <v/>
      </c>
      <c r="X276" s="1048"/>
      <c r="Y276" s="1046"/>
      <c r="Z276" s="1022"/>
      <c r="AA276" s="1022"/>
      <c r="AB276" s="1050"/>
      <c r="AC276" s="1051"/>
      <c r="AD276" s="1026"/>
      <c r="AE276" s="1026"/>
      <c r="AF276" s="1050"/>
      <c r="AG276" s="1049"/>
      <c r="AH276" s="65"/>
      <c r="AI276" s="1026"/>
      <c r="AJ276" s="65"/>
      <c r="AK276" s="1026"/>
      <c r="AL276" s="68"/>
      <c r="AM276" s="1046"/>
      <c r="AN276" s="1022"/>
      <c r="AO276" s="1022"/>
      <c r="AP276" s="1052"/>
      <c r="AQ276" s="1488" t="str">
        <f t="shared" si="342"/>
        <v/>
      </c>
      <c r="AR276" s="1053"/>
      <c r="AS276" s="1488" t="str">
        <f t="shared" si="343"/>
        <v/>
      </c>
      <c r="AT276" s="1053"/>
      <c r="AU276" s="1488" t="str">
        <f t="shared" si="344"/>
        <v/>
      </c>
      <c r="AV276" s="1026"/>
      <c r="AW276" s="1026"/>
      <c r="AX276" s="1050"/>
      <c r="AY276" s="1049"/>
      <c r="AZ276" s="1036"/>
      <c r="BA276" s="1026"/>
      <c r="BB276" s="1054"/>
      <c r="BC276" s="1026"/>
      <c r="BD276" s="1055"/>
      <c r="BE276" s="1035"/>
      <c r="BF276" s="1056"/>
      <c r="BG276" s="1057"/>
      <c r="BH276" s="1057"/>
      <c r="BI276" s="1026"/>
      <c r="BJ276" s="1050"/>
      <c r="BK276" s="1058"/>
      <c r="BL276" s="1059"/>
      <c r="BM276" s="1059"/>
      <c r="BN276" s="1036"/>
      <c r="BO276" s="1060"/>
      <c r="BP276" s="1488" t="str">
        <f>IF(F276&gt;$F$18,"",IF(BO276&lt;&gt;"","",IF(ISNA(VLOOKUP('I. Stream &amp; Compound Data'!H276,'Potency Factors '!D$4:E$55,2,FALSE))=TRUE,0,VLOOKUP('I. Stream &amp; Compound Data'!H276,'Potency Factors '!D$4:E$55,2,FALSE))))</f>
        <v/>
      </c>
      <c r="BQ276" s="1053"/>
      <c r="BR276" s="1488" t="str">
        <f>IF(F276&gt;$F$18,"",IF(BQ276&lt;&gt;"","",IF(ISNA(VLOOKUP('I. Stream &amp; Compound Data'!H276,'Potency Factors '!D$68:E$167,2,FALSE))=TRUE,0,VLOOKUP('I. Stream &amp; Compound Data'!H276,'Potency Factors '!D$68:E$167,2,FALSE))))</f>
        <v/>
      </c>
      <c r="BS276" s="1053"/>
      <c r="BT276" s="1488" t="str">
        <f>IF(F276&gt;$F$18,"",IF(BS276&lt;&gt;"","",IF(ISNA(VLOOKUP('I. Stream &amp; Compound Data'!H276,'Potency Factors '!$D$412:$F$473,3,FALSE))=TRUE,0,VLOOKUP('I. Stream &amp; Compound Data'!H276,'Potency Factors '!$D$412:$F$473,3,FALSE))))</f>
        <v/>
      </c>
      <c r="BU276" s="1053"/>
      <c r="BV276" s="1488" t="str">
        <f>IF(F276&gt;$F$18,"",IF(BU276&lt;&gt;"","",IF(ISNA(VLOOKUP('I. Stream &amp; Compound Data'!H276,'Potency Factors '!D$180:E$185,2,FALSE))=TRUE,0,VLOOKUP('I. Stream &amp; Compound Data'!H276,'Potency Factors '!D$180:E$185,2,FALSE))))</f>
        <v/>
      </c>
      <c r="BW276" s="1055"/>
      <c r="BX276" s="1489" t="str">
        <f t="shared" si="354"/>
        <v/>
      </c>
      <c r="BY276" s="1055"/>
      <c r="BZ276" s="1489" t="str">
        <f t="shared" si="355"/>
        <v/>
      </c>
      <c r="CA276" s="1055"/>
      <c r="CB276" s="1036"/>
      <c r="CC276" s="1489" t="str">
        <f t="shared" si="345"/>
        <v/>
      </c>
      <c r="CD276" s="1053"/>
      <c r="CE276" s="1488" t="str">
        <f>IF(F276&gt;$F$18,"",IF(CD276&lt;&gt;"","",IF(ISNA(VLOOKUP('I. Stream &amp; Compound Data'!H276,'Potency Factors '!D$224:F$345,3,FALSE))=TRUE,0,VLOOKUP('I. Stream &amp; Compound Data'!H276,'Potency Factors '!D$224:F$345,3,FALSE))))</f>
        <v/>
      </c>
      <c r="CF276" s="1053"/>
      <c r="CG276" s="1488" t="str">
        <f>IF(F276&gt;$F$18,"",IF(CF276&lt;&gt;"","",IF(ISNA(VLOOKUP('I. Stream &amp; Compound Data'!H276,'Potency Factors '!D$361:F$374,3,FALSE))=TRUE,0,VLOOKUP('I. Stream &amp; Compound Data'!H276,'Potency Factors '!D$361:F$374,3,FALSE))))</f>
        <v/>
      </c>
      <c r="CH276" s="1055"/>
      <c r="CI276" s="1055"/>
      <c r="CJ276" s="1055"/>
      <c r="CK276" s="1055"/>
      <c r="CL276" s="1055"/>
      <c r="CM276" s="1055"/>
      <c r="CN276" s="1055"/>
      <c r="CO276" s="1055"/>
      <c r="CP276" s="1490" t="str">
        <f t="shared" si="346"/>
        <v/>
      </c>
      <c r="CQ276" s="1053"/>
      <c r="CR276" s="1488" t="str">
        <f>IF(F276&gt;$F$18,"",IF(CQ276&lt;&gt;"","",IF(ISNA(VLOOKUP('I. Stream &amp; Compound Data'!H276,'Potency Factors '!D$387:E$399,2,FALSE))=FALSE,VLOOKUP('I. Stream &amp; Compound Data'!H276,'Potency Factors '!D$387:E$399,2,FALSE),IF(ISNUMBER(SEARCH("phosphate",G276))=TRUE,1,IF(ISNUMBER(SEARCH("nitrate",G276))=TRUE,0.1,0)))))</f>
        <v/>
      </c>
      <c r="CS276" s="1053"/>
      <c r="CT276" s="1491" t="str">
        <f>IF(F276&gt;$F$18,"",IF(CS276&lt;&gt;"","",IF(ISNA(VLOOKUP('I. Stream &amp; Compound Data'!H276,'Potency Factors '!$D$485:$F$558,3,FALSE))=TRUE,0,VLOOKUP('I. Stream &amp; Compound Data'!H276,'Potency Factors '!$D$485:$F$558,3,FALSE))))</f>
        <v/>
      </c>
      <c r="CU276" s="1588"/>
    </row>
    <row r="277" ht="23.25" customHeight="true" x14ac:dyDescent="0.25">
      <c r="B277" s="1612"/>
      <c r="C277" s="1613"/>
      <c r="D277" s="1613"/>
      <c r="E277" s="1613"/>
      <c r="F277" s="1481">
        <f t="shared" si="347"/>
        <v>16</v>
      </c>
      <c r="G277" s="1482" t="str">
        <f t="shared" si="338"/>
        <v/>
      </c>
      <c r="H277" s="1483" t="str">
        <f t="shared" si="339"/>
        <v/>
      </c>
      <c r="I277" s="1483" t="str">
        <f t="shared" si="340"/>
        <v/>
      </c>
      <c r="J277" s="1484" t="str">
        <f t="shared" si="341"/>
        <v/>
      </c>
      <c r="K277" s="1046"/>
      <c r="L277" s="1483" t="str">
        <f t="shared" si="357"/>
        <v/>
      </c>
      <c r="M277" s="1483" t="str">
        <f t="shared" si="349"/>
        <v/>
      </c>
      <c r="N277" s="1483" t="str">
        <f t="shared" si="350"/>
        <v/>
      </c>
      <c r="O277" s="1483" t="str">
        <f t="shared" si="351"/>
        <v/>
      </c>
      <c r="P277" s="1485" t="str">
        <f t="shared" si="352"/>
        <v/>
      </c>
      <c r="Q277" s="1486" t="str">
        <f t="shared" si="356"/>
        <v/>
      </c>
      <c r="R277" s="1046"/>
      <c r="S277" s="1022"/>
      <c r="T277" s="1047"/>
      <c r="U277" s="1046"/>
      <c r="V277" s="1022"/>
      <c r="W277" s="1487" t="str">
        <f t="shared" si="353"/>
        <v/>
      </c>
      <c r="X277" s="1048"/>
      <c r="Y277" s="1046"/>
      <c r="Z277" s="1022"/>
      <c r="AA277" s="1022"/>
      <c r="AB277" s="1050"/>
      <c r="AC277" s="1051"/>
      <c r="AD277" s="1026"/>
      <c r="AE277" s="1026"/>
      <c r="AF277" s="1050"/>
      <c r="AG277" s="1049"/>
      <c r="AH277" s="65"/>
      <c r="AI277" s="1026"/>
      <c r="AJ277" s="65"/>
      <c r="AK277" s="1026"/>
      <c r="AL277" s="68"/>
      <c r="AM277" s="1046"/>
      <c r="AN277" s="1022"/>
      <c r="AO277" s="1022"/>
      <c r="AP277" s="1052"/>
      <c r="AQ277" s="1488" t="str">
        <f t="shared" si="342"/>
        <v/>
      </c>
      <c r="AR277" s="1053"/>
      <c r="AS277" s="1488" t="str">
        <f t="shared" si="343"/>
        <v/>
      </c>
      <c r="AT277" s="1053"/>
      <c r="AU277" s="1488" t="str">
        <f t="shared" si="344"/>
        <v/>
      </c>
      <c r="AV277" s="1026"/>
      <c r="AW277" s="1026"/>
      <c r="AX277" s="1050"/>
      <c r="AY277" s="1049"/>
      <c r="AZ277" s="1036"/>
      <c r="BA277" s="1026"/>
      <c r="BB277" s="1054"/>
      <c r="BC277" s="1026"/>
      <c r="BD277" s="1055"/>
      <c r="BE277" s="1035"/>
      <c r="BF277" s="1056"/>
      <c r="BG277" s="1057"/>
      <c r="BH277" s="1057"/>
      <c r="BI277" s="1026"/>
      <c r="BJ277" s="1050"/>
      <c r="BK277" s="1058"/>
      <c r="BL277" s="1059"/>
      <c r="BM277" s="1059"/>
      <c r="BN277" s="1036"/>
      <c r="BO277" s="1060"/>
      <c r="BP277" s="1488" t="str">
        <f>IF(F277&gt;$F$18,"",IF(BO277&lt;&gt;"","",IF(ISNA(VLOOKUP('I. Stream &amp; Compound Data'!H277,'Potency Factors '!D$4:E$55,2,FALSE))=TRUE,0,VLOOKUP('I. Stream &amp; Compound Data'!H277,'Potency Factors '!D$4:E$55,2,FALSE))))</f>
        <v/>
      </c>
      <c r="BQ277" s="1053"/>
      <c r="BR277" s="1488" t="str">
        <f>IF(F277&gt;$F$18,"",IF(BQ277&lt;&gt;"","",IF(ISNA(VLOOKUP('I. Stream &amp; Compound Data'!H277,'Potency Factors '!D$68:E$167,2,FALSE))=TRUE,0,VLOOKUP('I. Stream &amp; Compound Data'!H277,'Potency Factors '!D$68:E$167,2,FALSE))))</f>
        <v/>
      </c>
      <c r="BS277" s="1053"/>
      <c r="BT277" s="1488" t="str">
        <f>IF(F277&gt;$F$18,"",IF(BS277&lt;&gt;"","",IF(ISNA(VLOOKUP('I. Stream &amp; Compound Data'!H277,'Potency Factors '!$D$412:$F$473,3,FALSE))=TRUE,0,VLOOKUP('I. Stream &amp; Compound Data'!H277,'Potency Factors '!$D$412:$F$473,3,FALSE))))</f>
        <v/>
      </c>
      <c r="BU277" s="1053"/>
      <c r="BV277" s="1488" t="str">
        <f>IF(F277&gt;$F$18,"",IF(BU277&lt;&gt;"","",IF(ISNA(VLOOKUP('I. Stream &amp; Compound Data'!H277,'Potency Factors '!D$180:E$185,2,FALSE))=TRUE,0,VLOOKUP('I. Stream &amp; Compound Data'!H277,'Potency Factors '!D$180:E$185,2,FALSE))))</f>
        <v/>
      </c>
      <c r="BW277" s="1055"/>
      <c r="BX277" s="1489" t="str">
        <f t="shared" si="354"/>
        <v/>
      </c>
      <c r="BY277" s="1055"/>
      <c r="BZ277" s="1489" t="str">
        <f t="shared" si="355"/>
        <v/>
      </c>
      <c r="CA277" s="1055"/>
      <c r="CB277" s="1036"/>
      <c r="CC277" s="1489" t="str">
        <f t="shared" si="345"/>
        <v/>
      </c>
      <c r="CD277" s="1053"/>
      <c r="CE277" s="1488" t="str">
        <f>IF(F277&gt;$F$18,"",IF(CD277&lt;&gt;"","",IF(ISNA(VLOOKUP('I. Stream &amp; Compound Data'!H277,'Potency Factors '!D$224:F$345,3,FALSE))=TRUE,0,VLOOKUP('I. Stream &amp; Compound Data'!H277,'Potency Factors '!D$224:F$345,3,FALSE))))</f>
        <v/>
      </c>
      <c r="CF277" s="1053"/>
      <c r="CG277" s="1488" t="str">
        <f>IF(F277&gt;$F$18,"",IF(CF277&lt;&gt;"","",IF(ISNA(VLOOKUP('I. Stream &amp; Compound Data'!H277,'Potency Factors '!D$361:F$374,3,FALSE))=TRUE,0,VLOOKUP('I. Stream &amp; Compound Data'!H277,'Potency Factors '!D$361:F$374,3,FALSE))))</f>
        <v/>
      </c>
      <c r="CH277" s="1055"/>
      <c r="CI277" s="1055"/>
      <c r="CJ277" s="1055"/>
      <c r="CK277" s="1055"/>
      <c r="CL277" s="1055"/>
      <c r="CM277" s="1055"/>
      <c r="CN277" s="1055"/>
      <c r="CO277" s="1055"/>
      <c r="CP277" s="1490" t="str">
        <f t="shared" si="346"/>
        <v/>
      </c>
      <c r="CQ277" s="1053"/>
      <c r="CR277" s="1488" t="str">
        <f>IF(F277&gt;$F$18,"",IF(CQ277&lt;&gt;"","",IF(ISNA(VLOOKUP('I. Stream &amp; Compound Data'!H277,'Potency Factors '!D$387:E$399,2,FALSE))=FALSE,VLOOKUP('I. Stream &amp; Compound Data'!H277,'Potency Factors '!D$387:E$399,2,FALSE),IF(ISNUMBER(SEARCH("phosphate",G277))=TRUE,1,IF(ISNUMBER(SEARCH("nitrate",G277))=TRUE,0.1,0)))))</f>
        <v/>
      </c>
      <c r="CS277" s="1053"/>
      <c r="CT277" s="1491" t="str">
        <f>IF(F277&gt;$F$18,"",IF(CS277&lt;&gt;"","",IF(ISNA(VLOOKUP('I. Stream &amp; Compound Data'!H277,'Potency Factors '!$D$485:$F$558,3,FALSE))=TRUE,0,VLOOKUP('I. Stream &amp; Compound Data'!H277,'Potency Factors '!$D$485:$F$558,3,FALSE))))</f>
        <v/>
      </c>
      <c r="CU277" s="1588"/>
    </row>
    <row r="278" ht="23.25" customHeight="true" x14ac:dyDescent="0.25">
      <c r="B278" s="1612"/>
      <c r="C278" s="1613"/>
      <c r="D278" s="1613"/>
      <c r="E278" s="1613"/>
      <c r="F278" s="1481">
        <f t="shared" si="347"/>
        <v>17</v>
      </c>
      <c r="G278" s="1482" t="str">
        <f t="shared" si="338"/>
        <v/>
      </c>
      <c r="H278" s="1483" t="str">
        <f t="shared" si="339"/>
        <v/>
      </c>
      <c r="I278" s="1483" t="str">
        <f t="shared" si="340"/>
        <v/>
      </c>
      <c r="J278" s="1484" t="str">
        <f t="shared" si="341"/>
        <v/>
      </c>
      <c r="K278" s="1046"/>
      <c r="L278" s="1483" t="str">
        <f t="shared" si="357"/>
        <v/>
      </c>
      <c r="M278" s="1483" t="str">
        <f t="shared" si="349"/>
        <v/>
      </c>
      <c r="N278" s="1483" t="str">
        <f t="shared" si="350"/>
        <v/>
      </c>
      <c r="O278" s="1483" t="str">
        <f t="shared" si="351"/>
        <v/>
      </c>
      <c r="P278" s="1485" t="str">
        <f t="shared" si="352"/>
        <v/>
      </c>
      <c r="Q278" s="1486" t="str">
        <f t="shared" si="356"/>
        <v/>
      </c>
      <c r="R278" s="1046"/>
      <c r="S278" s="1022"/>
      <c r="T278" s="1047"/>
      <c r="U278" s="1046"/>
      <c r="V278" s="1022"/>
      <c r="W278" s="1487" t="str">
        <f t="shared" si="353"/>
        <v/>
      </c>
      <c r="X278" s="1048"/>
      <c r="Y278" s="1046"/>
      <c r="Z278" s="1022"/>
      <c r="AA278" s="1022"/>
      <c r="AB278" s="1050"/>
      <c r="AC278" s="1051"/>
      <c r="AD278" s="1026"/>
      <c r="AE278" s="1026"/>
      <c r="AF278" s="1050"/>
      <c r="AG278" s="1049"/>
      <c r="AH278" s="65"/>
      <c r="AI278" s="1026"/>
      <c r="AJ278" s="65"/>
      <c r="AK278" s="1026"/>
      <c r="AL278" s="68"/>
      <c r="AM278" s="1046"/>
      <c r="AN278" s="1022"/>
      <c r="AO278" s="1022"/>
      <c r="AP278" s="1052"/>
      <c r="AQ278" s="1488" t="str">
        <f t="shared" si="342"/>
        <v/>
      </c>
      <c r="AR278" s="1053"/>
      <c r="AS278" s="1488" t="str">
        <f t="shared" si="343"/>
        <v/>
      </c>
      <c r="AT278" s="1053"/>
      <c r="AU278" s="1488" t="str">
        <f t="shared" si="344"/>
        <v/>
      </c>
      <c r="AV278" s="1026"/>
      <c r="AW278" s="1026"/>
      <c r="AX278" s="1050"/>
      <c r="AY278" s="1049"/>
      <c r="AZ278" s="1036"/>
      <c r="BA278" s="1026"/>
      <c r="BB278" s="1054"/>
      <c r="BC278" s="1026"/>
      <c r="BD278" s="1055"/>
      <c r="BE278" s="1035"/>
      <c r="BF278" s="1056"/>
      <c r="BG278" s="1057"/>
      <c r="BH278" s="1057"/>
      <c r="BI278" s="1026"/>
      <c r="BJ278" s="1050"/>
      <c r="BK278" s="1058"/>
      <c r="BL278" s="1059"/>
      <c r="BM278" s="1059"/>
      <c r="BN278" s="1036"/>
      <c r="BO278" s="1060"/>
      <c r="BP278" s="1488" t="str">
        <f>IF(F278&gt;$F$18,"",IF(BO278&lt;&gt;"","",IF(ISNA(VLOOKUP('I. Stream &amp; Compound Data'!H278,'Potency Factors '!D$4:E$55,2,FALSE))=TRUE,0,VLOOKUP('I. Stream &amp; Compound Data'!H278,'Potency Factors '!D$4:E$55,2,FALSE))))</f>
        <v/>
      </c>
      <c r="BQ278" s="1053"/>
      <c r="BR278" s="1488" t="str">
        <f>IF(F278&gt;$F$18,"",IF(BQ278&lt;&gt;"","",IF(ISNA(VLOOKUP('I. Stream &amp; Compound Data'!H278,'Potency Factors '!D$68:E$167,2,FALSE))=TRUE,0,VLOOKUP('I. Stream &amp; Compound Data'!H278,'Potency Factors '!D$68:E$167,2,FALSE))))</f>
        <v/>
      </c>
      <c r="BS278" s="1053"/>
      <c r="BT278" s="1488" t="str">
        <f>IF(F278&gt;$F$18,"",IF(BS278&lt;&gt;"","",IF(ISNA(VLOOKUP('I. Stream &amp; Compound Data'!H278,'Potency Factors '!$D$412:$F$473,3,FALSE))=TRUE,0,VLOOKUP('I. Stream &amp; Compound Data'!H278,'Potency Factors '!$D$412:$F$473,3,FALSE))))</f>
        <v/>
      </c>
      <c r="BU278" s="1053"/>
      <c r="BV278" s="1488" t="str">
        <f>IF(F278&gt;$F$18,"",IF(BU278&lt;&gt;"","",IF(ISNA(VLOOKUP('I. Stream &amp; Compound Data'!H278,'Potency Factors '!D$180:E$185,2,FALSE))=TRUE,0,VLOOKUP('I. Stream &amp; Compound Data'!H278,'Potency Factors '!D$180:E$185,2,FALSE))))</f>
        <v/>
      </c>
      <c r="BW278" s="1055"/>
      <c r="BX278" s="1489" t="str">
        <f t="shared" si="354"/>
        <v/>
      </c>
      <c r="BY278" s="1055"/>
      <c r="BZ278" s="1489" t="str">
        <f t="shared" si="355"/>
        <v/>
      </c>
      <c r="CA278" s="1055"/>
      <c r="CB278" s="1036"/>
      <c r="CC278" s="1489" t="str">
        <f t="shared" si="345"/>
        <v/>
      </c>
      <c r="CD278" s="1053"/>
      <c r="CE278" s="1488" t="str">
        <f>IF(F278&gt;$F$18,"",IF(CD278&lt;&gt;"","",IF(ISNA(VLOOKUP('I. Stream &amp; Compound Data'!H278,'Potency Factors '!D$224:F$345,3,FALSE))=TRUE,0,VLOOKUP('I. Stream &amp; Compound Data'!H278,'Potency Factors '!D$224:F$345,3,FALSE))))</f>
        <v/>
      </c>
      <c r="CF278" s="1053"/>
      <c r="CG278" s="1488" t="str">
        <f>IF(F278&gt;$F$18,"",IF(CF278&lt;&gt;"","",IF(ISNA(VLOOKUP('I. Stream &amp; Compound Data'!H278,'Potency Factors '!D$361:F$374,3,FALSE))=TRUE,0,VLOOKUP('I. Stream &amp; Compound Data'!H278,'Potency Factors '!D$361:F$374,3,FALSE))))</f>
        <v/>
      </c>
      <c r="CH278" s="1055"/>
      <c r="CI278" s="1055"/>
      <c r="CJ278" s="1055"/>
      <c r="CK278" s="1055"/>
      <c r="CL278" s="1055"/>
      <c r="CM278" s="1055"/>
      <c r="CN278" s="1055"/>
      <c r="CO278" s="1055"/>
      <c r="CP278" s="1490" t="str">
        <f t="shared" si="346"/>
        <v/>
      </c>
      <c r="CQ278" s="1053"/>
      <c r="CR278" s="1488" t="str">
        <f>IF(F278&gt;$F$18,"",IF(CQ278&lt;&gt;"","",IF(ISNA(VLOOKUP('I. Stream &amp; Compound Data'!H278,'Potency Factors '!D$387:E$399,2,FALSE))=FALSE,VLOOKUP('I. Stream &amp; Compound Data'!H278,'Potency Factors '!D$387:E$399,2,FALSE),IF(ISNUMBER(SEARCH("phosphate",G278))=TRUE,1,IF(ISNUMBER(SEARCH("nitrate",G278))=TRUE,0.1,0)))))</f>
        <v/>
      </c>
      <c r="CS278" s="1053"/>
      <c r="CT278" s="1491" t="str">
        <f>IF(F278&gt;$F$18,"",IF(CS278&lt;&gt;"","",IF(ISNA(VLOOKUP('I. Stream &amp; Compound Data'!H278,'Potency Factors '!$D$485:$F$558,3,FALSE))=TRUE,0,VLOOKUP('I. Stream &amp; Compound Data'!H278,'Potency Factors '!$D$485:$F$558,3,FALSE))))</f>
        <v/>
      </c>
      <c r="CU278" s="1588"/>
    </row>
    <row r="279" ht="23.25" customHeight="true" x14ac:dyDescent="0.25">
      <c r="B279" s="1612"/>
      <c r="C279" s="1613"/>
      <c r="D279" s="1613"/>
      <c r="E279" s="1613"/>
      <c r="F279" s="1481">
        <f t="shared" si="347"/>
        <v>18</v>
      </c>
      <c r="G279" s="1482" t="str">
        <f t="shared" si="338"/>
        <v/>
      </c>
      <c r="H279" s="1483" t="str">
        <f t="shared" si="339"/>
        <v/>
      </c>
      <c r="I279" s="1483" t="str">
        <f t="shared" si="340"/>
        <v/>
      </c>
      <c r="J279" s="1484" t="str">
        <f t="shared" si="341"/>
        <v/>
      </c>
      <c r="K279" s="1046"/>
      <c r="L279" s="1483" t="str">
        <f t="shared" si="357"/>
        <v/>
      </c>
      <c r="M279" s="1483" t="str">
        <f t="shared" si="349"/>
        <v/>
      </c>
      <c r="N279" s="1483" t="str">
        <f t="shared" si="350"/>
        <v/>
      </c>
      <c r="O279" s="1483" t="str">
        <f t="shared" si="351"/>
        <v/>
      </c>
      <c r="P279" s="1485" t="str">
        <f t="shared" si="352"/>
        <v/>
      </c>
      <c r="Q279" s="1486" t="str">
        <f t="shared" si="356"/>
        <v/>
      </c>
      <c r="R279" s="1046"/>
      <c r="S279" s="1022"/>
      <c r="T279" s="1047"/>
      <c r="U279" s="1046"/>
      <c r="V279" s="1022"/>
      <c r="W279" s="1487" t="str">
        <f t="shared" si="353"/>
        <v/>
      </c>
      <c r="X279" s="1048"/>
      <c r="Y279" s="1046"/>
      <c r="Z279" s="1022"/>
      <c r="AA279" s="1022"/>
      <c r="AB279" s="1050"/>
      <c r="AC279" s="1051"/>
      <c r="AD279" s="1026"/>
      <c r="AE279" s="1026"/>
      <c r="AF279" s="1050"/>
      <c r="AG279" s="1049"/>
      <c r="AH279" s="65"/>
      <c r="AI279" s="1026"/>
      <c r="AJ279" s="65"/>
      <c r="AK279" s="1026"/>
      <c r="AL279" s="68"/>
      <c r="AM279" s="1046"/>
      <c r="AN279" s="1022"/>
      <c r="AO279" s="1022"/>
      <c r="AP279" s="1052"/>
      <c r="AQ279" s="1488" t="str">
        <f t="shared" si="342"/>
        <v/>
      </c>
      <c r="AR279" s="1053"/>
      <c r="AS279" s="1488" t="str">
        <f t="shared" si="343"/>
        <v/>
      </c>
      <c r="AT279" s="1053"/>
      <c r="AU279" s="1488" t="str">
        <f t="shared" si="344"/>
        <v/>
      </c>
      <c r="AV279" s="1026"/>
      <c r="AW279" s="1026"/>
      <c r="AX279" s="1050"/>
      <c r="AY279" s="1049"/>
      <c r="AZ279" s="1036"/>
      <c r="BA279" s="1026"/>
      <c r="BB279" s="1054"/>
      <c r="BC279" s="1026"/>
      <c r="BD279" s="1055"/>
      <c r="BE279" s="1035"/>
      <c r="BF279" s="1056"/>
      <c r="BG279" s="1057"/>
      <c r="BH279" s="1057"/>
      <c r="BI279" s="1026"/>
      <c r="BJ279" s="1050"/>
      <c r="BK279" s="1058"/>
      <c r="BL279" s="1059"/>
      <c r="BM279" s="1059"/>
      <c r="BN279" s="1036"/>
      <c r="BO279" s="1060"/>
      <c r="BP279" s="1488" t="str">
        <f>IF(F279&gt;$F$18,"",IF(BO279&lt;&gt;"","",IF(ISNA(VLOOKUP('I. Stream &amp; Compound Data'!H279,'Potency Factors '!D$4:E$55,2,FALSE))=TRUE,0,VLOOKUP('I. Stream &amp; Compound Data'!H279,'Potency Factors '!D$4:E$55,2,FALSE))))</f>
        <v/>
      </c>
      <c r="BQ279" s="1053"/>
      <c r="BR279" s="1488" t="str">
        <f>IF(F279&gt;$F$18,"",IF(BQ279&lt;&gt;"","",IF(ISNA(VLOOKUP('I. Stream &amp; Compound Data'!H279,'Potency Factors '!D$68:E$167,2,FALSE))=TRUE,0,VLOOKUP('I. Stream &amp; Compound Data'!H279,'Potency Factors '!D$68:E$167,2,FALSE))))</f>
        <v/>
      </c>
      <c r="BS279" s="1053"/>
      <c r="BT279" s="1488" t="str">
        <f>IF(F279&gt;$F$18,"",IF(BS279&lt;&gt;"","",IF(ISNA(VLOOKUP('I. Stream &amp; Compound Data'!H279,'Potency Factors '!$D$412:$F$473,3,FALSE))=TRUE,0,VLOOKUP('I. Stream &amp; Compound Data'!H279,'Potency Factors '!$D$412:$F$473,3,FALSE))))</f>
        <v/>
      </c>
      <c r="BU279" s="1053"/>
      <c r="BV279" s="1488" t="str">
        <f>IF(F279&gt;$F$18,"",IF(BU279&lt;&gt;"","",IF(ISNA(VLOOKUP('I. Stream &amp; Compound Data'!H279,'Potency Factors '!D$180:E$185,2,FALSE))=TRUE,0,VLOOKUP('I. Stream &amp; Compound Data'!H279,'Potency Factors '!D$180:E$185,2,FALSE))))</f>
        <v/>
      </c>
      <c r="BW279" s="1055"/>
      <c r="BX279" s="1489" t="str">
        <f t="shared" si="354"/>
        <v/>
      </c>
      <c r="BY279" s="1055"/>
      <c r="BZ279" s="1489" t="str">
        <f t="shared" si="355"/>
        <v/>
      </c>
      <c r="CA279" s="1055"/>
      <c r="CB279" s="1036"/>
      <c r="CC279" s="1489" t="str">
        <f t="shared" si="345"/>
        <v/>
      </c>
      <c r="CD279" s="1053"/>
      <c r="CE279" s="1488" t="str">
        <f>IF(F279&gt;$F$18,"",IF(CD279&lt;&gt;"","",IF(ISNA(VLOOKUP('I. Stream &amp; Compound Data'!H279,'Potency Factors '!D$224:F$345,3,FALSE))=TRUE,0,VLOOKUP('I. Stream &amp; Compound Data'!H279,'Potency Factors '!D$224:F$345,3,FALSE))))</f>
        <v/>
      </c>
      <c r="CF279" s="1053"/>
      <c r="CG279" s="1488" t="str">
        <f>IF(F279&gt;$F$18,"",IF(CF279&lt;&gt;"","",IF(ISNA(VLOOKUP('I. Stream &amp; Compound Data'!H279,'Potency Factors '!D$361:F$374,3,FALSE))=TRUE,0,VLOOKUP('I. Stream &amp; Compound Data'!H279,'Potency Factors '!D$361:F$374,3,FALSE))))</f>
        <v/>
      </c>
      <c r="CH279" s="1055"/>
      <c r="CI279" s="1055"/>
      <c r="CJ279" s="1055"/>
      <c r="CK279" s="1055"/>
      <c r="CL279" s="1055"/>
      <c r="CM279" s="1055"/>
      <c r="CN279" s="1055"/>
      <c r="CO279" s="1055"/>
      <c r="CP279" s="1490" t="str">
        <f t="shared" si="346"/>
        <v/>
      </c>
      <c r="CQ279" s="1053"/>
      <c r="CR279" s="1488" t="str">
        <f>IF(F279&gt;$F$18,"",IF(CQ279&lt;&gt;"","",IF(ISNA(VLOOKUP('I. Stream &amp; Compound Data'!H279,'Potency Factors '!D$387:E$399,2,FALSE))=FALSE,VLOOKUP('I. Stream &amp; Compound Data'!H279,'Potency Factors '!D$387:E$399,2,FALSE),IF(ISNUMBER(SEARCH("phosphate",G279))=TRUE,1,IF(ISNUMBER(SEARCH("nitrate",G279))=TRUE,0.1,0)))))</f>
        <v/>
      </c>
      <c r="CS279" s="1053"/>
      <c r="CT279" s="1491" t="str">
        <f>IF(F279&gt;$F$18,"",IF(CS279&lt;&gt;"","",IF(ISNA(VLOOKUP('I. Stream &amp; Compound Data'!H279,'Potency Factors '!$D$485:$F$558,3,FALSE))=TRUE,0,VLOOKUP('I. Stream &amp; Compound Data'!H279,'Potency Factors '!$D$485:$F$558,3,FALSE))))</f>
        <v/>
      </c>
      <c r="CU279" s="1588"/>
    </row>
    <row r="280" ht="23.25" customHeight="true" x14ac:dyDescent="0.25">
      <c r="B280" s="1612"/>
      <c r="C280" s="1613"/>
      <c r="D280" s="1613"/>
      <c r="E280" s="1613"/>
      <c r="F280" s="1481">
        <f t="shared" si="347"/>
        <v>19</v>
      </c>
      <c r="G280" s="1482" t="str">
        <f t="shared" si="338"/>
        <v/>
      </c>
      <c r="H280" s="1483" t="str">
        <f t="shared" si="339"/>
        <v/>
      </c>
      <c r="I280" s="1483" t="str">
        <f t="shared" si="340"/>
        <v/>
      </c>
      <c r="J280" s="1484" t="str">
        <f t="shared" si="341"/>
        <v/>
      </c>
      <c r="K280" s="1046"/>
      <c r="L280" s="1483" t="str">
        <f t="shared" si="357"/>
        <v/>
      </c>
      <c r="M280" s="1483" t="str">
        <f t="shared" si="349"/>
        <v/>
      </c>
      <c r="N280" s="1483" t="str">
        <f t="shared" si="350"/>
        <v/>
      </c>
      <c r="O280" s="1483" t="str">
        <f t="shared" si="351"/>
        <v/>
      </c>
      <c r="P280" s="1485" t="str">
        <f t="shared" si="352"/>
        <v/>
      </c>
      <c r="Q280" s="1486" t="str">
        <f t="shared" si="356"/>
        <v/>
      </c>
      <c r="R280" s="1046"/>
      <c r="S280" s="1022"/>
      <c r="T280" s="1047"/>
      <c r="U280" s="1046"/>
      <c r="V280" s="1022"/>
      <c r="W280" s="1487" t="str">
        <f t="shared" si="353"/>
        <v/>
      </c>
      <c r="X280" s="1048"/>
      <c r="Y280" s="1046"/>
      <c r="Z280" s="1022"/>
      <c r="AA280" s="1022"/>
      <c r="AB280" s="1050"/>
      <c r="AC280" s="1051"/>
      <c r="AD280" s="1026"/>
      <c r="AE280" s="1026"/>
      <c r="AF280" s="1050"/>
      <c r="AG280" s="1049"/>
      <c r="AH280" s="65"/>
      <c r="AI280" s="1026"/>
      <c r="AJ280" s="65"/>
      <c r="AK280" s="1026"/>
      <c r="AL280" s="68"/>
      <c r="AM280" s="1046"/>
      <c r="AN280" s="1022"/>
      <c r="AO280" s="1022"/>
      <c r="AP280" s="1052"/>
      <c r="AQ280" s="1488" t="str">
        <f>IF(F280&gt;$F$18,"",IF(AP280&lt;&gt;"","",IF(AI280&lt;25,"T+",IF(AND(AI280&gt;=25,AI280&lt;=200),"T",IF(AND(AI280&gt;200,AI280&lt;=2000),"Xn","")))))</f>
        <v/>
      </c>
      <c r="AR280" s="1053"/>
      <c r="AS280" s="1488" t="str">
        <f t="shared" si="343"/>
        <v/>
      </c>
      <c r="AT280" s="1053"/>
      <c r="AU280" s="1488" t="str">
        <f t="shared" si="344"/>
        <v/>
      </c>
      <c r="AV280" s="1026"/>
      <c r="AW280" s="1026"/>
      <c r="AX280" s="1050"/>
      <c r="AY280" s="1049"/>
      <c r="AZ280" s="1036"/>
      <c r="BA280" s="1026"/>
      <c r="BB280" s="1054"/>
      <c r="BC280" s="1026"/>
      <c r="BD280" s="1055"/>
      <c r="BE280" s="1035"/>
      <c r="BF280" s="1056"/>
      <c r="BG280" s="1057"/>
      <c r="BH280" s="1057"/>
      <c r="BI280" s="1026"/>
      <c r="BJ280" s="1050"/>
      <c r="BK280" s="1058"/>
      <c r="BL280" s="1059"/>
      <c r="BM280" s="1059"/>
      <c r="BN280" s="1036"/>
      <c r="BO280" s="1060"/>
      <c r="BP280" s="1488" t="str">
        <f>IF(F280&gt;$F$18,"",IF(BO280&lt;&gt;"","",IF(ISNA(VLOOKUP('I. Stream &amp; Compound Data'!H280,'Potency Factors '!D$4:E$55,2,FALSE))=TRUE,0,VLOOKUP('I. Stream &amp; Compound Data'!H280,'Potency Factors '!D$4:E$55,2,FALSE))))</f>
        <v/>
      </c>
      <c r="BQ280" s="1053"/>
      <c r="BR280" s="1488" t="str">
        <f>IF(F280&gt;$F$18,"",IF(BQ280&lt;&gt;"","",IF(ISNA(VLOOKUP('I. Stream &amp; Compound Data'!H280,'Potency Factors '!D$68:E$167,2,FALSE))=TRUE,0,VLOOKUP('I. Stream &amp; Compound Data'!H280,'Potency Factors '!D$68:E$167,2,FALSE))))</f>
        <v/>
      </c>
      <c r="BS280" s="1053"/>
      <c r="BT280" s="1488" t="str">
        <f>IF(F280&gt;$F$18,"",IF(BS280&lt;&gt;"","",IF(ISNA(VLOOKUP('I. Stream &amp; Compound Data'!H280,'Potency Factors '!$D$412:$F$473,3,FALSE))=TRUE,0,VLOOKUP('I. Stream &amp; Compound Data'!H280,'Potency Factors '!$D$412:$F$473,3,FALSE))))</f>
        <v/>
      </c>
      <c r="BU280" s="1053"/>
      <c r="BV280" s="1488" t="str">
        <f>IF(F280&gt;$F$18,"",IF(BU280&lt;&gt;"","",IF(ISNA(VLOOKUP('I. Stream &amp; Compound Data'!H280,'Potency Factors '!D$180:E$185,2,FALSE))=TRUE,0,VLOOKUP('I. Stream &amp; Compound Data'!H280,'Potency Factors '!D$180:E$185,2,FALSE))))</f>
        <v/>
      </c>
      <c r="BW280" s="1055"/>
      <c r="BX280" s="1489" t="str">
        <f t="shared" si="354"/>
        <v/>
      </c>
      <c r="BY280" s="1055"/>
      <c r="BZ280" s="1489" t="str">
        <f t="shared" si="355"/>
        <v/>
      </c>
      <c r="CA280" s="1055"/>
      <c r="CB280" s="1036"/>
      <c r="CC280" s="1489" t="str">
        <f t="shared" si="345"/>
        <v/>
      </c>
      <c r="CD280" s="1053"/>
      <c r="CE280" s="1488" t="str">
        <f>IF(F280&gt;$F$18,"",IF(CD280&lt;&gt;"","",IF(ISNA(VLOOKUP('I. Stream &amp; Compound Data'!H280,'Potency Factors '!D$224:F$345,3,FALSE))=TRUE,0,VLOOKUP('I. Stream &amp; Compound Data'!H280,'Potency Factors '!D$224:F$345,3,FALSE))))</f>
        <v/>
      </c>
      <c r="CF280" s="1053"/>
      <c r="CG280" s="1488" t="str">
        <f>IF(F280&gt;$F$18,"",IF(CF280&lt;&gt;"","",IF(ISNA(VLOOKUP('I. Stream &amp; Compound Data'!H280,'Potency Factors '!D$361:F$374,3,FALSE))=TRUE,0,VLOOKUP('I. Stream &amp; Compound Data'!H280,'Potency Factors '!D$361:F$374,3,FALSE))))</f>
        <v/>
      </c>
      <c r="CH280" s="1055"/>
      <c r="CI280" s="1055"/>
      <c r="CJ280" s="1055"/>
      <c r="CK280" s="1055"/>
      <c r="CL280" s="1055"/>
      <c r="CM280" s="1055"/>
      <c r="CN280" s="1055"/>
      <c r="CO280" s="1055"/>
      <c r="CP280" s="1490" t="str">
        <f t="shared" si="346"/>
        <v/>
      </c>
      <c r="CQ280" s="1053"/>
      <c r="CR280" s="1488" t="str">
        <f>IF(F280&gt;$F$18,"",IF(CQ280&lt;&gt;"","",IF(ISNA(VLOOKUP('I. Stream &amp; Compound Data'!H280,'Potency Factors '!D$387:E$399,2,FALSE))=FALSE,VLOOKUP('I. Stream &amp; Compound Data'!H280,'Potency Factors '!D$387:E$399,2,FALSE),IF(ISNUMBER(SEARCH("phosphate",G280))=TRUE,1,IF(ISNUMBER(SEARCH("nitrate",G280))=TRUE,0.1,0)))))</f>
        <v/>
      </c>
      <c r="CS280" s="1053"/>
      <c r="CT280" s="1491" t="str">
        <f>IF(F280&gt;$F$18,"",IF(CS280&lt;&gt;"","",IF(ISNA(VLOOKUP('I. Stream &amp; Compound Data'!H280,'Potency Factors '!$D$485:$F$558,3,FALSE))=TRUE,0,VLOOKUP('I. Stream &amp; Compound Data'!H280,'Potency Factors '!$D$485:$F$558,3,FALSE))))</f>
        <v/>
      </c>
      <c r="CU280" s="1588"/>
    </row>
    <row r="281" ht="23.25" customHeight="true" x14ac:dyDescent="0.25">
      <c r="B281" s="1612"/>
      <c r="C281" s="1613"/>
      <c r="D281" s="1613"/>
      <c r="E281" s="1613"/>
      <c r="F281" s="1481">
        <f t="shared" ref="F281:F311" si="358">C51</f>
        <v>20</v>
      </c>
      <c r="G281" s="1482" t="str">
        <f t="shared" ref="G281:G311" si="359">IF(D51="","",D51)</f>
        <v/>
      </c>
      <c r="H281" s="1483" t="str">
        <f t="shared" ref="H281:H311" si="360">IF(G51="","",G51)</f>
        <v/>
      </c>
      <c r="I281" s="1483" t="str">
        <f t="shared" ref="I281:I311" si="361">IF(E51="","",E51)</f>
        <v/>
      </c>
      <c r="J281" s="1484" t="str">
        <f t="shared" ref="J281:J311" si="362">IF(F51="","",F51)</f>
        <v/>
      </c>
      <c r="K281" s="1046"/>
      <c r="L281" s="1483" t="str">
        <f t="shared" si="357"/>
        <v/>
      </c>
      <c r="M281" s="1483" t="str">
        <f t="shared" si="349"/>
        <v/>
      </c>
      <c r="N281" s="1483" t="str">
        <f t="shared" si="350"/>
        <v/>
      </c>
      <c r="O281" s="1483" t="str">
        <f t="shared" si="351"/>
        <v/>
      </c>
      <c r="P281" s="1485" t="str">
        <f t="shared" si="352"/>
        <v/>
      </c>
      <c r="Q281" s="1486" t="str">
        <f t="shared" si="356"/>
        <v/>
      </c>
      <c r="R281" s="1046"/>
      <c r="S281" s="1022"/>
      <c r="T281" s="1047"/>
      <c r="U281" s="1046"/>
      <c r="V281" s="1022"/>
      <c r="W281" s="1487" t="str">
        <f t="shared" si="353"/>
        <v/>
      </c>
      <c r="X281" s="1048"/>
      <c r="Y281" s="1046"/>
      <c r="Z281" s="1022"/>
      <c r="AA281" s="1022"/>
      <c r="AB281" s="1050"/>
      <c r="AC281" s="1051"/>
      <c r="AD281" s="1026"/>
      <c r="AE281" s="1026"/>
      <c r="AF281" s="1050"/>
      <c r="AG281" s="1049"/>
      <c r="AH281" s="65"/>
      <c r="AI281" s="1026"/>
      <c r="AJ281" s="65"/>
      <c r="AK281" s="1026"/>
      <c r="AL281" s="68"/>
      <c r="AM281" s="1046"/>
      <c r="AN281" s="1022"/>
      <c r="AO281" s="1022"/>
      <c r="AP281" s="1052"/>
      <c r="AQ281" s="1488" t="str">
        <f t="shared" ref="AQ281:AQ311" si="363">IF(F281&gt;$F$18,"",IF(AP281&lt;&gt;"","",IF(AI281&lt;25,"T+",IF(AND(AI281&gt;=25,AI281&lt;=200),"T",IF(AND(AI281&gt;200,AI281&lt;=2000),"Xn","")))))</f>
        <v/>
      </c>
      <c r="AR281" s="1053"/>
      <c r="AS281" s="1488" t="str">
        <f t="shared" ref="AS281:AS311" si="364">IF(F281&gt;$F$18,"",IF(AR281&lt;&gt;"","",IF(AI281&lt;25,"26/27/28",IF(AND(AI281&gt;=25,AI281&lt;=200),"23/24/25",IF(AND(AI281&gt;200,AI281&lt;=2000),"20/21/22","")))))</f>
        <v/>
      </c>
      <c r="AT281" s="1053"/>
      <c r="AU281" s="1488" t="str">
        <f t="shared" ref="AU281:AU311" si="365">IF(F281&gt;$F$18,"",IF(AT281&lt;&gt;"","",IF(AI281&lt;=5,1,IF(AND(AI281&gt;5,AI281&lt;=50),2,IF(AND(AI281&gt;50,AI281&lt;=500),3,IF(AND(AI281&gt;500,AI281&lt;=2000),4,IF(AND(AI281&gt;2000,AI281&lt;=5000),5,"NO")))))))</f>
        <v/>
      </c>
      <c r="AV281" s="1026"/>
      <c r="AW281" s="1026"/>
      <c r="AX281" s="1050"/>
      <c r="AY281" s="1049"/>
      <c r="AZ281" s="1036"/>
      <c r="BA281" s="1026"/>
      <c r="BB281" s="1054"/>
      <c r="BC281" s="1026"/>
      <c r="BD281" s="1055"/>
      <c r="BE281" s="1035"/>
      <c r="BF281" s="1056"/>
      <c r="BG281" s="1057"/>
      <c r="BH281" s="1057"/>
      <c r="BI281" s="1026"/>
      <c r="BJ281" s="1050"/>
      <c r="BK281" s="1058"/>
      <c r="BL281" s="1059"/>
      <c r="BM281" s="1059"/>
      <c r="BN281" s="1036"/>
      <c r="BO281" s="1060"/>
      <c r="BP281" s="1488" t="str">
        <f>IF(F281&gt;$F$18,"",IF(BO281&lt;&gt;"","",IF(ISNA(VLOOKUP('I. Stream &amp; Compound Data'!H281,'Potency Factors '!D$4:E$55,2,FALSE))=TRUE,0,VLOOKUP('I. Stream &amp; Compound Data'!H281,'Potency Factors '!D$4:E$55,2,FALSE))))</f>
        <v/>
      </c>
      <c r="BQ281" s="1053"/>
      <c r="BR281" s="1488" t="str">
        <f>IF(F281&gt;$F$18,"",IF(BQ281&lt;&gt;"","",IF(ISNA(VLOOKUP('I. Stream &amp; Compound Data'!H281,'Potency Factors '!D$68:E$167,2,FALSE))=TRUE,0,VLOOKUP('I. Stream &amp; Compound Data'!H281,'Potency Factors '!D$68:E$167,2,FALSE))))</f>
        <v/>
      </c>
      <c r="BS281" s="1053"/>
      <c r="BT281" s="1488" t="str">
        <f>IF(F281&gt;$F$18,"",IF(BS281&lt;&gt;"","",IF(ISNA(VLOOKUP('I. Stream &amp; Compound Data'!H281,'Potency Factors '!$D$412:$F$473,3,FALSE))=TRUE,0,VLOOKUP('I. Stream &amp; Compound Data'!H281,'Potency Factors '!$D$412:$F$473,3,FALSE))))</f>
        <v/>
      </c>
      <c r="BU281" s="1053"/>
      <c r="BV281" s="1488" t="str">
        <f>IF(F281&gt;$F$18,"",IF(BU281&lt;&gt;"","",IF(ISNA(VLOOKUP('I. Stream &amp; Compound Data'!H281,'Potency Factors '!D$180:E$185,2,FALSE))=TRUE,0,VLOOKUP('I. Stream &amp; Compound Data'!H281,'Potency Factors '!D$180:E$185,2,FALSE))))</f>
        <v/>
      </c>
      <c r="BW281" s="1055"/>
      <c r="BX281" s="1489" t="str">
        <f t="shared" ref="BX281:BX311" si="366">IF(F281&gt;$F$18,"",BW281/F51)</f>
        <v/>
      </c>
      <c r="BY281" s="1055"/>
      <c r="BZ281" s="1489" t="str">
        <f t="shared" ref="BZ281:BZ311" si="367">IF(F281&gt;$F$18,"",(BY281*17)/F51)</f>
        <v/>
      </c>
      <c r="CA281" s="1055"/>
      <c r="CB281" s="1036"/>
      <c r="CC281" s="1489" t="str">
        <f t="shared" ref="CC281:CC311" si="368">IF(F281&gt;$F$18,"",(CA281*CB281)/F51)</f>
        <v/>
      </c>
      <c r="CD281" s="1053"/>
      <c r="CE281" s="1488" t="str">
        <f>IF(F281&gt;$F$18,"",IF(CD281&lt;&gt;"","",IF(ISNA(VLOOKUP('I. Stream &amp; Compound Data'!H281,'Potency Factors '!D$224:F$345,3,FALSE))=TRUE,0,VLOOKUP('I. Stream &amp; Compound Data'!H281,'Potency Factors '!D$224:F$345,3,FALSE))))</f>
        <v/>
      </c>
      <c r="CF281" s="1053"/>
      <c r="CG281" s="1488" t="str">
        <f>IF(F281&gt;$F$18,"",IF(CF281&lt;&gt;"","",IF(ISNA(VLOOKUP('I. Stream &amp; Compound Data'!H281,'Potency Factors '!D$361:F$374,3,FALSE))=TRUE,0,VLOOKUP('I. Stream &amp; Compound Data'!H281,'Potency Factors '!D$361:F$374,3,FALSE))))</f>
        <v/>
      </c>
      <c r="CH281" s="1055"/>
      <c r="CI281" s="1055"/>
      <c r="CJ281" s="1055"/>
      <c r="CK281" s="1055"/>
      <c r="CL281" s="1055"/>
      <c r="CM281" s="1055"/>
      <c r="CN281" s="1055"/>
      <c r="CO281" s="1055"/>
      <c r="CP281" s="1490" t="str">
        <f t="shared" ref="CP281:CP311" si="369">IF(F281&gt;$F$18,"",ROUND(16*(2*CH281+0.5*(CI281-CK281)+2.5*CJ281+3*CO281+2.5*CN281+0.5*CL281-CM281)/F51,2))</f>
        <v/>
      </c>
      <c r="CQ281" s="1053"/>
      <c r="CR281" s="1488" t="str">
        <f>IF(F281&gt;$F$18,"",IF(CQ281&lt;&gt;"","",IF(ISNA(VLOOKUP('I. Stream &amp; Compound Data'!H281,'Potency Factors '!D$387:E$399,2,FALSE))=FALSE,VLOOKUP('I. Stream &amp; Compound Data'!H281,'Potency Factors '!D$387:E$399,2,FALSE),IF(ISNUMBER(SEARCH("phosphate",G281))=TRUE,1,IF(ISNUMBER(SEARCH("nitrate",G281))=TRUE,0.1,0)))))</f>
        <v/>
      </c>
      <c r="CS281" s="1053"/>
      <c r="CT281" s="1491" t="str">
        <f>IF(F281&gt;$F$18,"",IF(CS281&lt;&gt;"","",IF(ISNA(VLOOKUP('I. Stream &amp; Compound Data'!H281,'Potency Factors '!$D$485:$F$558,3,FALSE))=TRUE,0,VLOOKUP('I. Stream &amp; Compound Data'!H281,'Potency Factors '!$D$485:$F$558,3,FALSE))))</f>
        <v/>
      </c>
      <c r="CU281" s="1588"/>
    </row>
    <row r="282" ht="15" x14ac:dyDescent="0.25">
      <c r="B282" s="1612"/>
      <c r="C282" s="1613"/>
      <c r="D282" s="1613"/>
      <c r="E282" s="1613"/>
      <c r="F282" s="1481">
        <f t="shared" si="358"/>
        <v>21</v>
      </c>
      <c r="G282" s="1482" t="str">
        <f t="shared" si="359"/>
        <v/>
      </c>
      <c r="H282" s="1483" t="str">
        <f t="shared" si="360"/>
        <v/>
      </c>
      <c r="I282" s="1483" t="str">
        <f t="shared" si="361"/>
        <v/>
      </c>
      <c r="J282" s="1484" t="str">
        <f t="shared" si="362"/>
        <v/>
      </c>
      <c r="K282" s="1046"/>
      <c r="L282" s="1483" t="str">
        <f t="shared" si="357"/>
        <v/>
      </c>
      <c r="M282" s="1483" t="str">
        <f t="shared" si="349"/>
        <v/>
      </c>
      <c r="N282" s="1483" t="str">
        <f t="shared" si="350"/>
        <v/>
      </c>
      <c r="O282" s="1483" t="str">
        <f t="shared" si="351"/>
        <v/>
      </c>
      <c r="P282" s="1485" t="str">
        <f t="shared" si="352"/>
        <v/>
      </c>
      <c r="Q282" s="1486" t="str">
        <f t="shared" si="356"/>
        <v/>
      </c>
      <c r="R282" s="1046"/>
      <c r="S282" s="1022"/>
      <c r="T282" s="1047"/>
      <c r="U282" s="1046"/>
      <c r="V282" s="1022"/>
      <c r="W282" s="1487" t="str">
        <f t="shared" si="353"/>
        <v/>
      </c>
      <c r="X282" s="1048"/>
      <c r="Y282" s="1046"/>
      <c r="Z282" s="1022"/>
      <c r="AA282" s="1022"/>
      <c r="AB282" s="1050"/>
      <c r="AC282" s="1051"/>
      <c r="AD282" s="1026"/>
      <c r="AE282" s="1026"/>
      <c r="AF282" s="1050"/>
      <c r="AG282" s="1049"/>
      <c r="AH282" s="65"/>
      <c r="AI282" s="1026"/>
      <c r="AJ282" s="65"/>
      <c r="AK282" s="1026"/>
      <c r="AL282" s="68"/>
      <c r="AM282" s="1046"/>
      <c r="AN282" s="1022"/>
      <c r="AO282" s="1022"/>
      <c r="AP282" s="1052"/>
      <c r="AQ282" s="1488" t="str">
        <f t="shared" si="363"/>
        <v/>
      </c>
      <c r="AR282" s="1053"/>
      <c r="AS282" s="1488" t="str">
        <f t="shared" si="364"/>
        <v/>
      </c>
      <c r="AT282" s="1053"/>
      <c r="AU282" s="1488" t="str">
        <f t="shared" si="365"/>
        <v/>
      </c>
      <c r="AV282" s="1026"/>
      <c r="AW282" s="1026"/>
      <c r="AX282" s="1050"/>
      <c r="AY282" s="1049"/>
      <c r="AZ282" s="1036"/>
      <c r="BA282" s="1026"/>
      <c r="BB282" s="1054"/>
      <c r="BC282" s="1026"/>
      <c r="BD282" s="1055"/>
      <c r="BE282" s="1035"/>
      <c r="BF282" s="1056"/>
      <c r="BG282" s="1057"/>
      <c r="BH282" s="1057"/>
      <c r="BI282" s="1026"/>
      <c r="BJ282" s="1050"/>
      <c r="BK282" s="1058"/>
      <c r="BL282" s="1059"/>
      <c r="BM282" s="1059"/>
      <c r="BN282" s="1036"/>
      <c r="BO282" s="1060"/>
      <c r="BP282" s="1488" t="str">
        <f>IF(F282&gt;$F$18,"",IF(BO282&lt;&gt;"","",IF(ISNA(VLOOKUP('I. Stream &amp; Compound Data'!H282,'Potency Factors '!D$4:E$55,2,FALSE))=TRUE,0,VLOOKUP('I. Stream &amp; Compound Data'!H282,'Potency Factors '!D$4:E$55,2,FALSE))))</f>
        <v/>
      </c>
      <c r="BQ282" s="1053"/>
      <c r="BR282" s="1488" t="str">
        <f>IF(F282&gt;$F$18,"",IF(BQ282&lt;&gt;"","",IF(ISNA(VLOOKUP('I. Stream &amp; Compound Data'!H282,'Potency Factors '!D$68:E$167,2,FALSE))=TRUE,0,VLOOKUP('I. Stream &amp; Compound Data'!H282,'Potency Factors '!D$68:E$167,2,FALSE))))</f>
        <v/>
      </c>
      <c r="BS282" s="1053"/>
      <c r="BT282" s="1488" t="str">
        <f>IF(F282&gt;$F$18,"",IF(BS282&lt;&gt;"","",IF(ISNA(VLOOKUP('I. Stream &amp; Compound Data'!H282,'Potency Factors '!$D$412:$F$473,3,FALSE))=TRUE,0,VLOOKUP('I. Stream &amp; Compound Data'!H282,'Potency Factors '!$D$412:$F$473,3,FALSE))))</f>
        <v/>
      </c>
      <c r="BU282" s="1053"/>
      <c r="BV282" s="1488" t="str">
        <f>IF(F282&gt;$F$18,"",IF(BU282&lt;&gt;"","",IF(ISNA(VLOOKUP('I. Stream &amp; Compound Data'!H282,'Potency Factors '!D$180:E$185,2,FALSE))=TRUE,0,VLOOKUP('I. Stream &amp; Compound Data'!H282,'Potency Factors '!D$180:E$185,2,FALSE))))</f>
        <v/>
      </c>
      <c r="BW282" s="1055"/>
      <c r="BX282" s="1489" t="str">
        <f t="shared" si="366"/>
        <v/>
      </c>
      <c r="BY282" s="1055"/>
      <c r="BZ282" s="1489" t="str">
        <f t="shared" si="367"/>
        <v/>
      </c>
      <c r="CA282" s="1055"/>
      <c r="CB282" s="1036"/>
      <c r="CC282" s="1489" t="str">
        <f t="shared" si="368"/>
        <v/>
      </c>
      <c r="CD282" s="1053"/>
      <c r="CE282" s="1488" t="str">
        <f>IF(F282&gt;$F$18,"",IF(CD282&lt;&gt;"","",IF(ISNA(VLOOKUP('I. Stream &amp; Compound Data'!H282,'Potency Factors '!D$224:F$345,3,FALSE))=TRUE,0,VLOOKUP('I. Stream &amp; Compound Data'!H282,'Potency Factors '!D$224:F$345,3,FALSE))))</f>
        <v/>
      </c>
      <c r="CF282" s="1053"/>
      <c r="CG282" s="1488" t="str">
        <f>IF(F282&gt;$F$18,"",IF(CF282&lt;&gt;"","",IF(ISNA(VLOOKUP('I. Stream &amp; Compound Data'!H282,'Potency Factors '!D$361:F$374,3,FALSE))=TRUE,0,VLOOKUP('I. Stream &amp; Compound Data'!H282,'Potency Factors '!D$361:F$374,3,FALSE))))</f>
        <v/>
      </c>
      <c r="CH282" s="1055"/>
      <c r="CI282" s="1055"/>
      <c r="CJ282" s="1055"/>
      <c r="CK282" s="1055"/>
      <c r="CL282" s="1055"/>
      <c r="CM282" s="1055"/>
      <c r="CN282" s="1055"/>
      <c r="CO282" s="1055"/>
      <c r="CP282" s="1490" t="str">
        <f t="shared" si="369"/>
        <v/>
      </c>
      <c r="CQ282" s="1053"/>
      <c r="CR282" s="1488" t="str">
        <f>IF(F282&gt;$F$18,"",IF(CQ282&lt;&gt;"","",IF(ISNA(VLOOKUP('I. Stream &amp; Compound Data'!H282,'Potency Factors '!D$387:E$399,2,FALSE))=FALSE,VLOOKUP('I. Stream &amp; Compound Data'!H282,'Potency Factors '!D$387:E$399,2,FALSE),IF(ISNUMBER(SEARCH("phosphate",G282))=TRUE,1,IF(ISNUMBER(SEARCH("nitrate",G282))=TRUE,0.1,0)))))</f>
        <v/>
      </c>
      <c r="CS282" s="1053"/>
      <c r="CT282" s="1491" t="str">
        <f>IF(F282&gt;$F$18,"",IF(CS282&lt;&gt;"","",IF(ISNA(VLOOKUP('I. Stream &amp; Compound Data'!H282,'Potency Factors '!$D$485:$F$558,3,FALSE))=TRUE,0,VLOOKUP('I. Stream &amp; Compound Data'!H282,'Potency Factors '!$D$485:$F$558,3,FALSE))))</f>
        <v/>
      </c>
      <c r="CU282" s="1588"/>
    </row>
    <row r="283" ht="15" x14ac:dyDescent="0.25">
      <c r="B283" s="1612"/>
      <c r="C283" s="1613"/>
      <c r="D283" s="1613"/>
      <c r="E283" s="1613"/>
      <c r="F283" s="1481">
        <f t="shared" si="358"/>
        <v>22</v>
      </c>
      <c r="G283" s="1482" t="str">
        <f t="shared" si="359"/>
        <v/>
      </c>
      <c r="H283" s="1483" t="str">
        <f t="shared" si="360"/>
        <v/>
      </c>
      <c r="I283" s="1483" t="str">
        <f t="shared" si="361"/>
        <v/>
      </c>
      <c r="J283" s="1484" t="str">
        <f t="shared" si="362"/>
        <v/>
      </c>
      <c r="K283" s="1046"/>
      <c r="L283" s="1483" t="str">
        <f t="shared" si="357"/>
        <v/>
      </c>
      <c r="M283" s="1483" t="str">
        <f t="shared" si="349"/>
        <v/>
      </c>
      <c r="N283" s="1483" t="str">
        <f t="shared" si="350"/>
        <v/>
      </c>
      <c r="O283" s="1483" t="str">
        <f t="shared" si="351"/>
        <v/>
      </c>
      <c r="P283" s="1485" t="str">
        <f t="shared" si="352"/>
        <v/>
      </c>
      <c r="Q283" s="1486" t="str">
        <f t="shared" si="356"/>
        <v/>
      </c>
      <c r="R283" s="1046"/>
      <c r="S283" s="1022"/>
      <c r="T283" s="1047"/>
      <c r="U283" s="1046"/>
      <c r="V283" s="1022"/>
      <c r="W283" s="1487" t="str">
        <f t="shared" si="353"/>
        <v/>
      </c>
      <c r="X283" s="1048"/>
      <c r="Y283" s="1046"/>
      <c r="Z283" s="1022"/>
      <c r="AA283" s="1022"/>
      <c r="AB283" s="1050"/>
      <c r="AC283" s="1051"/>
      <c r="AD283" s="1026"/>
      <c r="AE283" s="1026"/>
      <c r="AF283" s="1050"/>
      <c r="AG283" s="1049"/>
      <c r="AH283" s="65"/>
      <c r="AI283" s="1026"/>
      <c r="AJ283" s="65"/>
      <c r="AK283" s="1026"/>
      <c r="AL283" s="68"/>
      <c r="AM283" s="1046"/>
      <c r="AN283" s="1022"/>
      <c r="AO283" s="1022"/>
      <c r="AP283" s="1052"/>
      <c r="AQ283" s="1488" t="str">
        <f t="shared" si="363"/>
        <v/>
      </c>
      <c r="AR283" s="1053"/>
      <c r="AS283" s="1488" t="str">
        <f t="shared" si="364"/>
        <v/>
      </c>
      <c r="AT283" s="1053"/>
      <c r="AU283" s="1488" t="str">
        <f t="shared" si="365"/>
        <v/>
      </c>
      <c r="AV283" s="1026"/>
      <c r="AW283" s="1026"/>
      <c r="AX283" s="1050"/>
      <c r="AY283" s="1049"/>
      <c r="AZ283" s="1036"/>
      <c r="BA283" s="1026"/>
      <c r="BB283" s="1054"/>
      <c r="BC283" s="1026"/>
      <c r="BD283" s="1055"/>
      <c r="BE283" s="1035"/>
      <c r="BF283" s="1056"/>
      <c r="BG283" s="1057"/>
      <c r="BH283" s="1057"/>
      <c r="BI283" s="1026"/>
      <c r="BJ283" s="1050"/>
      <c r="BK283" s="1058"/>
      <c r="BL283" s="1059"/>
      <c r="BM283" s="1059"/>
      <c r="BN283" s="1036"/>
      <c r="BO283" s="1060"/>
      <c r="BP283" s="1488" t="str">
        <f>IF(F283&gt;$F$18,"",IF(BO283&lt;&gt;"","",IF(ISNA(VLOOKUP('I. Stream &amp; Compound Data'!H283,'Potency Factors '!D$4:E$55,2,FALSE))=TRUE,0,VLOOKUP('I. Stream &amp; Compound Data'!H283,'Potency Factors '!D$4:E$55,2,FALSE))))</f>
        <v/>
      </c>
      <c r="BQ283" s="1053"/>
      <c r="BR283" s="1488" t="str">
        <f>IF(F283&gt;$F$18,"",IF(BQ283&lt;&gt;"","",IF(ISNA(VLOOKUP('I. Stream &amp; Compound Data'!H283,'Potency Factors '!D$68:E$167,2,FALSE))=TRUE,0,VLOOKUP('I. Stream &amp; Compound Data'!H283,'Potency Factors '!D$68:E$167,2,FALSE))))</f>
        <v/>
      </c>
      <c r="BS283" s="1053"/>
      <c r="BT283" s="1488" t="str">
        <f>IF(F283&gt;$F$18,"",IF(BS283&lt;&gt;"","",IF(ISNA(VLOOKUP('I. Stream &amp; Compound Data'!H283,'Potency Factors '!$D$412:$F$473,3,FALSE))=TRUE,0,VLOOKUP('I. Stream &amp; Compound Data'!H283,'Potency Factors '!$D$412:$F$473,3,FALSE))))</f>
        <v/>
      </c>
      <c r="BU283" s="1053"/>
      <c r="BV283" s="1488" t="str">
        <f>IF(F283&gt;$F$18,"",IF(BU283&lt;&gt;"","",IF(ISNA(VLOOKUP('I. Stream &amp; Compound Data'!H283,'Potency Factors '!D$180:E$185,2,FALSE))=TRUE,0,VLOOKUP('I. Stream &amp; Compound Data'!H283,'Potency Factors '!D$180:E$185,2,FALSE))))</f>
        <v/>
      </c>
      <c r="BW283" s="1055"/>
      <c r="BX283" s="1489" t="str">
        <f t="shared" si="366"/>
        <v/>
      </c>
      <c r="BY283" s="1055"/>
      <c r="BZ283" s="1489" t="str">
        <f t="shared" si="367"/>
        <v/>
      </c>
      <c r="CA283" s="1055"/>
      <c r="CB283" s="1036"/>
      <c r="CC283" s="1489" t="str">
        <f t="shared" si="368"/>
        <v/>
      </c>
      <c r="CD283" s="1053"/>
      <c r="CE283" s="1488" t="str">
        <f>IF(F283&gt;$F$18,"",IF(CD283&lt;&gt;"","",IF(ISNA(VLOOKUP('I. Stream &amp; Compound Data'!H283,'Potency Factors '!D$224:F$345,3,FALSE))=TRUE,0,VLOOKUP('I. Stream &amp; Compound Data'!H283,'Potency Factors '!D$224:F$345,3,FALSE))))</f>
        <v/>
      </c>
      <c r="CF283" s="1053"/>
      <c r="CG283" s="1488" t="str">
        <f>IF(F283&gt;$F$18,"",IF(CF283&lt;&gt;"","",IF(ISNA(VLOOKUP('I. Stream &amp; Compound Data'!H283,'Potency Factors '!D$361:F$374,3,FALSE))=TRUE,0,VLOOKUP('I. Stream &amp; Compound Data'!H283,'Potency Factors '!D$361:F$374,3,FALSE))))</f>
        <v/>
      </c>
      <c r="CH283" s="1055"/>
      <c r="CI283" s="1055"/>
      <c r="CJ283" s="1055"/>
      <c r="CK283" s="1055"/>
      <c r="CL283" s="1055"/>
      <c r="CM283" s="1055"/>
      <c r="CN283" s="1055"/>
      <c r="CO283" s="1055"/>
      <c r="CP283" s="1490" t="str">
        <f t="shared" si="369"/>
        <v/>
      </c>
      <c r="CQ283" s="1053"/>
      <c r="CR283" s="1488" t="str">
        <f>IF(F283&gt;$F$18,"",IF(CQ283&lt;&gt;"","",IF(ISNA(VLOOKUP('I. Stream &amp; Compound Data'!H283,'Potency Factors '!D$387:E$399,2,FALSE))=FALSE,VLOOKUP('I. Stream &amp; Compound Data'!H283,'Potency Factors '!D$387:E$399,2,FALSE),IF(ISNUMBER(SEARCH("phosphate",G283))=TRUE,1,IF(ISNUMBER(SEARCH("nitrate",G283))=TRUE,0.1,0)))))</f>
        <v/>
      </c>
      <c r="CS283" s="1053"/>
      <c r="CT283" s="1491" t="str">
        <f>IF(F283&gt;$F$18,"",IF(CS283&lt;&gt;"","",IF(ISNA(VLOOKUP('I. Stream &amp; Compound Data'!H283,'Potency Factors '!$D$485:$F$558,3,FALSE))=TRUE,0,VLOOKUP('I. Stream &amp; Compound Data'!H283,'Potency Factors '!$D$485:$F$558,3,FALSE))))</f>
        <v/>
      </c>
      <c r="CU283" s="1588"/>
    </row>
    <row r="284" ht="15" x14ac:dyDescent="0.25">
      <c r="B284" s="1612"/>
      <c r="C284" s="1613"/>
      <c r="D284" s="1613"/>
      <c r="E284" s="1613"/>
      <c r="F284" s="1481">
        <f t="shared" si="358"/>
        <v>23</v>
      </c>
      <c r="G284" s="1482" t="str">
        <f t="shared" si="359"/>
        <v/>
      </c>
      <c r="H284" s="1483" t="str">
        <f t="shared" si="360"/>
        <v/>
      </c>
      <c r="I284" s="1483" t="str">
        <f t="shared" si="361"/>
        <v/>
      </c>
      <c r="J284" s="1484" t="str">
        <f t="shared" si="362"/>
        <v/>
      </c>
      <c r="K284" s="1046"/>
      <c r="L284" s="1483" t="str">
        <f t="shared" si="357"/>
        <v/>
      </c>
      <c r="M284" s="1483" t="str">
        <f t="shared" si="349"/>
        <v/>
      </c>
      <c r="N284" s="1483" t="str">
        <f t="shared" si="350"/>
        <v/>
      </c>
      <c r="O284" s="1483" t="str">
        <f t="shared" si="351"/>
        <v/>
      </c>
      <c r="P284" s="1485" t="str">
        <f t="shared" si="352"/>
        <v/>
      </c>
      <c r="Q284" s="1486" t="str">
        <f t="shared" si="356"/>
        <v/>
      </c>
      <c r="R284" s="1046"/>
      <c r="S284" s="1022"/>
      <c r="T284" s="1047"/>
      <c r="U284" s="1046"/>
      <c r="V284" s="1022"/>
      <c r="W284" s="1487" t="str">
        <f t="shared" si="353"/>
        <v/>
      </c>
      <c r="X284" s="1048"/>
      <c r="Y284" s="1046"/>
      <c r="Z284" s="1022"/>
      <c r="AA284" s="1022"/>
      <c r="AB284" s="1050"/>
      <c r="AC284" s="1051"/>
      <c r="AD284" s="1026"/>
      <c r="AE284" s="1026"/>
      <c r="AF284" s="1050"/>
      <c r="AG284" s="1049"/>
      <c r="AH284" s="65"/>
      <c r="AI284" s="1026"/>
      <c r="AJ284" s="65"/>
      <c r="AK284" s="1026"/>
      <c r="AL284" s="68"/>
      <c r="AM284" s="1046"/>
      <c r="AN284" s="1022"/>
      <c r="AO284" s="1022"/>
      <c r="AP284" s="1052"/>
      <c r="AQ284" s="1488" t="str">
        <f t="shared" si="363"/>
        <v/>
      </c>
      <c r="AR284" s="1053"/>
      <c r="AS284" s="1488" t="str">
        <f t="shared" si="364"/>
        <v/>
      </c>
      <c r="AT284" s="1053"/>
      <c r="AU284" s="1488" t="str">
        <f t="shared" si="365"/>
        <v/>
      </c>
      <c r="AV284" s="1026"/>
      <c r="AW284" s="1026"/>
      <c r="AX284" s="1050"/>
      <c r="AY284" s="1049"/>
      <c r="AZ284" s="1036"/>
      <c r="BA284" s="1026"/>
      <c r="BB284" s="1054"/>
      <c r="BC284" s="1026"/>
      <c r="BD284" s="1055"/>
      <c r="BE284" s="1035"/>
      <c r="BF284" s="1056"/>
      <c r="BG284" s="1057"/>
      <c r="BH284" s="1057"/>
      <c r="BI284" s="1026"/>
      <c r="BJ284" s="1050"/>
      <c r="BK284" s="1058"/>
      <c r="BL284" s="1059"/>
      <c r="BM284" s="1059"/>
      <c r="BN284" s="1036"/>
      <c r="BO284" s="1060"/>
      <c r="BP284" s="1488" t="str">
        <f>IF(F284&gt;$F$18,"",IF(BO284&lt;&gt;"","",IF(ISNA(VLOOKUP('I. Stream &amp; Compound Data'!H284,'Potency Factors '!D$4:E$55,2,FALSE))=TRUE,0,VLOOKUP('I. Stream &amp; Compound Data'!H284,'Potency Factors '!D$4:E$55,2,FALSE))))</f>
        <v/>
      </c>
      <c r="BQ284" s="1053"/>
      <c r="BR284" s="1488" t="str">
        <f>IF(F284&gt;$F$18,"",IF(BQ284&lt;&gt;"","",IF(ISNA(VLOOKUP('I. Stream &amp; Compound Data'!H284,'Potency Factors '!D$68:E$167,2,FALSE))=TRUE,0,VLOOKUP('I. Stream &amp; Compound Data'!H284,'Potency Factors '!D$68:E$167,2,FALSE))))</f>
        <v/>
      </c>
      <c r="BS284" s="1053"/>
      <c r="BT284" s="1488" t="str">
        <f>IF(F284&gt;$F$18,"",IF(BS284&lt;&gt;"","",IF(ISNA(VLOOKUP('I. Stream &amp; Compound Data'!H284,'Potency Factors '!$D$412:$F$473,3,FALSE))=TRUE,0,VLOOKUP('I. Stream &amp; Compound Data'!H284,'Potency Factors '!$D$412:$F$473,3,FALSE))))</f>
        <v/>
      </c>
      <c r="BU284" s="1053"/>
      <c r="BV284" s="1488" t="str">
        <f>IF(F284&gt;$F$18,"",IF(BU284&lt;&gt;"","",IF(ISNA(VLOOKUP('I. Stream &amp; Compound Data'!H284,'Potency Factors '!D$180:E$185,2,FALSE))=TRUE,0,VLOOKUP('I. Stream &amp; Compound Data'!H284,'Potency Factors '!D$180:E$185,2,FALSE))))</f>
        <v/>
      </c>
      <c r="BW284" s="1055"/>
      <c r="BX284" s="1489" t="str">
        <f t="shared" si="366"/>
        <v/>
      </c>
      <c r="BY284" s="1055"/>
      <c r="BZ284" s="1489" t="str">
        <f t="shared" si="367"/>
        <v/>
      </c>
      <c r="CA284" s="1055"/>
      <c r="CB284" s="1036"/>
      <c r="CC284" s="1489" t="str">
        <f t="shared" si="368"/>
        <v/>
      </c>
      <c r="CD284" s="1053"/>
      <c r="CE284" s="1488" t="str">
        <f>IF(F284&gt;$F$18,"",IF(CD284&lt;&gt;"","",IF(ISNA(VLOOKUP('I. Stream &amp; Compound Data'!H284,'Potency Factors '!D$224:F$345,3,FALSE))=TRUE,0,VLOOKUP('I. Stream &amp; Compound Data'!H284,'Potency Factors '!D$224:F$345,3,FALSE))))</f>
        <v/>
      </c>
      <c r="CF284" s="1053"/>
      <c r="CG284" s="1488" t="str">
        <f>IF(F284&gt;$F$18,"",IF(CF284&lt;&gt;"","",IF(ISNA(VLOOKUP('I. Stream &amp; Compound Data'!H284,'Potency Factors '!D$361:F$374,3,FALSE))=TRUE,0,VLOOKUP('I. Stream &amp; Compound Data'!H284,'Potency Factors '!D$361:F$374,3,FALSE))))</f>
        <v/>
      </c>
      <c r="CH284" s="1055"/>
      <c r="CI284" s="1055"/>
      <c r="CJ284" s="1055"/>
      <c r="CK284" s="1055"/>
      <c r="CL284" s="1055"/>
      <c r="CM284" s="1055"/>
      <c r="CN284" s="1055"/>
      <c r="CO284" s="1055"/>
      <c r="CP284" s="1490" t="str">
        <f t="shared" si="369"/>
        <v/>
      </c>
      <c r="CQ284" s="1053"/>
      <c r="CR284" s="1488" t="str">
        <f>IF(F284&gt;$F$18,"",IF(CQ284&lt;&gt;"","",IF(ISNA(VLOOKUP('I. Stream &amp; Compound Data'!H284,'Potency Factors '!D$387:E$399,2,FALSE))=FALSE,VLOOKUP('I. Stream &amp; Compound Data'!H284,'Potency Factors '!D$387:E$399,2,FALSE),IF(ISNUMBER(SEARCH("phosphate",G284))=TRUE,1,IF(ISNUMBER(SEARCH("nitrate",G284))=TRUE,0.1,0)))))</f>
        <v/>
      </c>
      <c r="CS284" s="1053"/>
      <c r="CT284" s="1491" t="str">
        <f>IF(F284&gt;$F$18,"",IF(CS284&lt;&gt;"","",IF(ISNA(VLOOKUP('I. Stream &amp; Compound Data'!H284,'Potency Factors '!$D$485:$F$558,3,FALSE))=TRUE,0,VLOOKUP('I. Stream &amp; Compound Data'!H284,'Potency Factors '!$D$485:$F$558,3,FALSE))))</f>
        <v/>
      </c>
      <c r="CU284" s="1588"/>
    </row>
    <row r="285" ht="15" x14ac:dyDescent="0.25">
      <c r="B285" s="1612"/>
      <c r="C285" s="1613"/>
      <c r="D285" s="1613"/>
      <c r="E285" s="1613"/>
      <c r="F285" s="1481">
        <f t="shared" si="358"/>
        <v>24</v>
      </c>
      <c r="G285" s="1482" t="str">
        <f t="shared" si="359"/>
        <v/>
      </c>
      <c r="H285" s="1483" t="str">
        <f t="shared" si="360"/>
        <v/>
      </c>
      <c r="I285" s="1483" t="str">
        <f t="shared" si="361"/>
        <v/>
      </c>
      <c r="J285" s="1484" t="str">
        <f t="shared" si="362"/>
        <v/>
      </c>
      <c r="K285" s="1046"/>
      <c r="L285" s="1483" t="str">
        <f t="shared" si="357"/>
        <v/>
      </c>
      <c r="M285" s="1483" t="str">
        <f t="shared" si="349"/>
        <v/>
      </c>
      <c r="N285" s="1483" t="str">
        <f t="shared" si="350"/>
        <v/>
      </c>
      <c r="O285" s="1483" t="str">
        <f t="shared" si="351"/>
        <v/>
      </c>
      <c r="P285" s="1485" t="str">
        <f t="shared" si="352"/>
        <v/>
      </c>
      <c r="Q285" s="1486" t="str">
        <f t="shared" si="356"/>
        <v/>
      </c>
      <c r="R285" s="1046"/>
      <c r="S285" s="1022"/>
      <c r="T285" s="1047"/>
      <c r="U285" s="1046"/>
      <c r="V285" s="1022"/>
      <c r="W285" s="1487" t="str">
        <f t="shared" si="353"/>
        <v/>
      </c>
      <c r="X285" s="1048"/>
      <c r="Y285" s="1046"/>
      <c r="Z285" s="1022"/>
      <c r="AA285" s="1022"/>
      <c r="AB285" s="1050"/>
      <c r="AC285" s="1051"/>
      <c r="AD285" s="1026"/>
      <c r="AE285" s="1026"/>
      <c r="AF285" s="1050"/>
      <c r="AG285" s="1049"/>
      <c r="AH285" s="65"/>
      <c r="AI285" s="1026"/>
      <c r="AJ285" s="65"/>
      <c r="AK285" s="1026"/>
      <c r="AL285" s="68"/>
      <c r="AM285" s="1046"/>
      <c r="AN285" s="1022"/>
      <c r="AO285" s="1022"/>
      <c r="AP285" s="1052"/>
      <c r="AQ285" s="1488" t="str">
        <f t="shared" si="363"/>
        <v/>
      </c>
      <c r="AR285" s="1053"/>
      <c r="AS285" s="1488" t="str">
        <f t="shared" si="364"/>
        <v/>
      </c>
      <c r="AT285" s="1053"/>
      <c r="AU285" s="1488" t="str">
        <f t="shared" si="365"/>
        <v/>
      </c>
      <c r="AV285" s="1026"/>
      <c r="AW285" s="1026"/>
      <c r="AX285" s="1050"/>
      <c r="AY285" s="1049"/>
      <c r="AZ285" s="1036"/>
      <c r="BA285" s="1026"/>
      <c r="BB285" s="1054"/>
      <c r="BC285" s="1026"/>
      <c r="BD285" s="1055"/>
      <c r="BE285" s="1035"/>
      <c r="BF285" s="1056"/>
      <c r="BG285" s="1057"/>
      <c r="BH285" s="1057"/>
      <c r="BI285" s="1026"/>
      <c r="BJ285" s="1050"/>
      <c r="BK285" s="1058"/>
      <c r="BL285" s="1059"/>
      <c r="BM285" s="1059"/>
      <c r="BN285" s="1036"/>
      <c r="BO285" s="1060"/>
      <c r="BP285" s="1488" t="str">
        <f>IF(F285&gt;$F$18,"",IF(BO285&lt;&gt;"","",IF(ISNA(VLOOKUP('I. Stream &amp; Compound Data'!H285,'Potency Factors '!D$4:E$55,2,FALSE))=TRUE,0,VLOOKUP('I. Stream &amp; Compound Data'!H285,'Potency Factors '!D$4:E$55,2,FALSE))))</f>
        <v/>
      </c>
      <c r="BQ285" s="1053"/>
      <c r="BR285" s="1488" t="str">
        <f>IF(F285&gt;$F$18,"",IF(BQ285&lt;&gt;"","",IF(ISNA(VLOOKUP('I. Stream &amp; Compound Data'!H285,'Potency Factors '!D$68:E$167,2,FALSE))=TRUE,0,VLOOKUP('I. Stream &amp; Compound Data'!H285,'Potency Factors '!D$68:E$167,2,FALSE))))</f>
        <v/>
      </c>
      <c r="BS285" s="1053"/>
      <c r="BT285" s="1488" t="str">
        <f>IF(F285&gt;$F$18,"",IF(BS285&lt;&gt;"","",IF(ISNA(VLOOKUP('I. Stream &amp; Compound Data'!H285,'Potency Factors '!$D$412:$F$473,3,FALSE))=TRUE,0,VLOOKUP('I. Stream &amp; Compound Data'!H285,'Potency Factors '!$D$412:$F$473,3,FALSE))))</f>
        <v/>
      </c>
      <c r="BU285" s="1053"/>
      <c r="BV285" s="1488" t="str">
        <f>IF(F285&gt;$F$18,"",IF(BU285&lt;&gt;"","",IF(ISNA(VLOOKUP('I. Stream &amp; Compound Data'!H285,'Potency Factors '!D$180:E$185,2,FALSE))=TRUE,0,VLOOKUP('I. Stream &amp; Compound Data'!H285,'Potency Factors '!D$180:E$185,2,FALSE))))</f>
        <v/>
      </c>
      <c r="BW285" s="1055"/>
      <c r="BX285" s="1489" t="str">
        <f t="shared" si="366"/>
        <v/>
      </c>
      <c r="BY285" s="1055"/>
      <c r="BZ285" s="1489" t="str">
        <f t="shared" si="367"/>
        <v/>
      </c>
      <c r="CA285" s="1055"/>
      <c r="CB285" s="1036"/>
      <c r="CC285" s="1489" t="str">
        <f t="shared" si="368"/>
        <v/>
      </c>
      <c r="CD285" s="1053"/>
      <c r="CE285" s="1488" t="str">
        <f>IF(F285&gt;$F$18,"",IF(CD285&lt;&gt;"","",IF(ISNA(VLOOKUP('I. Stream &amp; Compound Data'!H285,'Potency Factors '!D$224:F$345,3,FALSE))=TRUE,0,VLOOKUP('I. Stream &amp; Compound Data'!H285,'Potency Factors '!D$224:F$345,3,FALSE))))</f>
        <v/>
      </c>
      <c r="CF285" s="1053"/>
      <c r="CG285" s="1488" t="str">
        <f>IF(F285&gt;$F$18,"",IF(CF285&lt;&gt;"","",IF(ISNA(VLOOKUP('I. Stream &amp; Compound Data'!H285,'Potency Factors '!D$361:F$374,3,FALSE))=TRUE,0,VLOOKUP('I. Stream &amp; Compound Data'!H285,'Potency Factors '!D$361:F$374,3,FALSE))))</f>
        <v/>
      </c>
      <c r="CH285" s="1055"/>
      <c r="CI285" s="1055"/>
      <c r="CJ285" s="1055"/>
      <c r="CK285" s="1055"/>
      <c r="CL285" s="1055"/>
      <c r="CM285" s="1055"/>
      <c r="CN285" s="1055"/>
      <c r="CO285" s="1055"/>
      <c r="CP285" s="1490" t="str">
        <f t="shared" si="369"/>
        <v/>
      </c>
      <c r="CQ285" s="1053"/>
      <c r="CR285" s="1488" t="str">
        <f>IF(F285&gt;$F$18,"",IF(CQ285&lt;&gt;"","",IF(ISNA(VLOOKUP('I. Stream &amp; Compound Data'!H285,'Potency Factors '!D$387:E$399,2,FALSE))=FALSE,VLOOKUP('I. Stream &amp; Compound Data'!H285,'Potency Factors '!D$387:E$399,2,FALSE),IF(ISNUMBER(SEARCH("phosphate",G285))=TRUE,1,IF(ISNUMBER(SEARCH("nitrate",G285))=TRUE,0.1,0)))))</f>
        <v/>
      </c>
      <c r="CS285" s="1053"/>
      <c r="CT285" s="1491" t="str">
        <f>IF(F285&gt;$F$18,"",IF(CS285&lt;&gt;"","",IF(ISNA(VLOOKUP('I. Stream &amp; Compound Data'!H285,'Potency Factors '!$D$485:$F$558,3,FALSE))=TRUE,0,VLOOKUP('I. Stream &amp; Compound Data'!H285,'Potency Factors '!$D$485:$F$558,3,FALSE))))</f>
        <v/>
      </c>
      <c r="CU285" s="1588"/>
    </row>
    <row r="286" ht="15" x14ac:dyDescent="0.25">
      <c r="B286" s="1612"/>
      <c r="C286" s="1613"/>
      <c r="D286" s="1613"/>
      <c r="E286" s="1613"/>
      <c r="F286" s="1481">
        <f t="shared" si="358"/>
        <v>25</v>
      </c>
      <c r="G286" s="1482" t="str">
        <f t="shared" si="359"/>
        <v/>
      </c>
      <c r="H286" s="1483" t="str">
        <f t="shared" si="360"/>
        <v/>
      </c>
      <c r="I286" s="1483" t="str">
        <f t="shared" si="361"/>
        <v/>
      </c>
      <c r="J286" s="1484" t="str">
        <f t="shared" si="362"/>
        <v/>
      </c>
      <c r="K286" s="1046"/>
      <c r="L286" s="1483" t="str">
        <f t="shared" si="357"/>
        <v/>
      </c>
      <c r="M286" s="1483" t="str">
        <f t="shared" si="349"/>
        <v/>
      </c>
      <c r="N286" s="1483" t="str">
        <f t="shared" si="350"/>
        <v/>
      </c>
      <c r="O286" s="1483" t="str">
        <f t="shared" si="351"/>
        <v/>
      </c>
      <c r="P286" s="1485" t="str">
        <f t="shared" si="352"/>
        <v/>
      </c>
      <c r="Q286" s="1486" t="str">
        <f t="shared" si="356"/>
        <v/>
      </c>
      <c r="R286" s="1046"/>
      <c r="S286" s="1022"/>
      <c r="T286" s="1047"/>
      <c r="U286" s="1046"/>
      <c r="V286" s="1022"/>
      <c r="W286" s="1487" t="str">
        <f t="shared" si="353"/>
        <v/>
      </c>
      <c r="X286" s="1048"/>
      <c r="Y286" s="1046"/>
      <c r="Z286" s="1022"/>
      <c r="AA286" s="1022"/>
      <c r="AB286" s="1050"/>
      <c r="AC286" s="1051"/>
      <c r="AD286" s="1026"/>
      <c r="AE286" s="1026"/>
      <c r="AF286" s="1050"/>
      <c r="AG286" s="1049"/>
      <c r="AH286" s="65"/>
      <c r="AI286" s="1026"/>
      <c r="AJ286" s="65"/>
      <c r="AK286" s="1026"/>
      <c r="AL286" s="68"/>
      <c r="AM286" s="1046"/>
      <c r="AN286" s="1022"/>
      <c r="AO286" s="1022"/>
      <c r="AP286" s="1052"/>
      <c r="AQ286" s="1488" t="str">
        <f t="shared" si="363"/>
        <v/>
      </c>
      <c r="AR286" s="1053"/>
      <c r="AS286" s="1488" t="str">
        <f t="shared" si="364"/>
        <v/>
      </c>
      <c r="AT286" s="1053"/>
      <c r="AU286" s="1488" t="str">
        <f t="shared" si="365"/>
        <v/>
      </c>
      <c r="AV286" s="1026"/>
      <c r="AW286" s="1026"/>
      <c r="AX286" s="1050"/>
      <c r="AY286" s="1049"/>
      <c r="AZ286" s="1036"/>
      <c r="BA286" s="1026"/>
      <c r="BB286" s="1054"/>
      <c r="BC286" s="1026"/>
      <c r="BD286" s="1055"/>
      <c r="BE286" s="1035"/>
      <c r="BF286" s="1056"/>
      <c r="BG286" s="1057"/>
      <c r="BH286" s="1057"/>
      <c r="BI286" s="1026"/>
      <c r="BJ286" s="1050"/>
      <c r="BK286" s="1058"/>
      <c r="BL286" s="1059"/>
      <c r="BM286" s="1059"/>
      <c r="BN286" s="1036"/>
      <c r="BO286" s="1060"/>
      <c r="BP286" s="1488" t="str">
        <f>IF(F286&gt;$F$18,"",IF(BO286&lt;&gt;"","",IF(ISNA(VLOOKUP('I. Stream &amp; Compound Data'!H286,'Potency Factors '!D$4:E$55,2,FALSE))=TRUE,0,VLOOKUP('I. Stream &amp; Compound Data'!H286,'Potency Factors '!D$4:E$55,2,FALSE))))</f>
        <v/>
      </c>
      <c r="BQ286" s="1053"/>
      <c r="BR286" s="1488" t="str">
        <f>IF(F286&gt;$F$18,"",IF(BQ286&lt;&gt;"","",IF(ISNA(VLOOKUP('I. Stream &amp; Compound Data'!H286,'Potency Factors '!D$68:E$167,2,FALSE))=TRUE,0,VLOOKUP('I. Stream &amp; Compound Data'!H286,'Potency Factors '!D$68:E$167,2,FALSE))))</f>
        <v/>
      </c>
      <c r="BS286" s="1053"/>
      <c r="BT286" s="1488" t="str">
        <f>IF(F286&gt;$F$18,"",IF(BS286&lt;&gt;"","",IF(ISNA(VLOOKUP('I. Stream &amp; Compound Data'!H286,'Potency Factors '!$D$412:$F$473,3,FALSE))=TRUE,0,VLOOKUP('I. Stream &amp; Compound Data'!H286,'Potency Factors '!$D$412:$F$473,3,FALSE))))</f>
        <v/>
      </c>
      <c r="BU286" s="1053"/>
      <c r="BV286" s="1488" t="str">
        <f>IF(F286&gt;$F$18,"",IF(BU286&lt;&gt;"","",IF(ISNA(VLOOKUP('I. Stream &amp; Compound Data'!H286,'Potency Factors '!D$180:E$185,2,FALSE))=TRUE,0,VLOOKUP('I. Stream &amp; Compound Data'!H286,'Potency Factors '!D$180:E$185,2,FALSE))))</f>
        <v/>
      </c>
      <c r="BW286" s="1055"/>
      <c r="BX286" s="1489" t="str">
        <f t="shared" si="366"/>
        <v/>
      </c>
      <c r="BY286" s="1055"/>
      <c r="BZ286" s="1489" t="str">
        <f t="shared" si="367"/>
        <v/>
      </c>
      <c r="CA286" s="1055"/>
      <c r="CB286" s="1036"/>
      <c r="CC286" s="1489" t="str">
        <f t="shared" si="368"/>
        <v/>
      </c>
      <c r="CD286" s="1053"/>
      <c r="CE286" s="1488" t="str">
        <f>IF(F286&gt;$F$18,"",IF(CD286&lt;&gt;"","",IF(ISNA(VLOOKUP('I. Stream &amp; Compound Data'!H286,'Potency Factors '!D$224:F$345,3,FALSE))=TRUE,0,VLOOKUP('I. Stream &amp; Compound Data'!H286,'Potency Factors '!D$224:F$345,3,FALSE))))</f>
        <v/>
      </c>
      <c r="CF286" s="1053"/>
      <c r="CG286" s="1488" t="str">
        <f>IF(F286&gt;$F$18,"",IF(CF286&lt;&gt;"","",IF(ISNA(VLOOKUP('I. Stream &amp; Compound Data'!H286,'Potency Factors '!D$361:F$374,3,FALSE))=TRUE,0,VLOOKUP('I. Stream &amp; Compound Data'!H286,'Potency Factors '!D$361:F$374,3,FALSE))))</f>
        <v/>
      </c>
      <c r="CH286" s="1055"/>
      <c r="CI286" s="1055"/>
      <c r="CJ286" s="1055"/>
      <c r="CK286" s="1055"/>
      <c r="CL286" s="1055"/>
      <c r="CM286" s="1055"/>
      <c r="CN286" s="1055"/>
      <c r="CO286" s="1055"/>
      <c r="CP286" s="1490" t="str">
        <f t="shared" si="369"/>
        <v/>
      </c>
      <c r="CQ286" s="1053"/>
      <c r="CR286" s="1488" t="str">
        <f>IF(F286&gt;$F$18,"",IF(CQ286&lt;&gt;"","",IF(ISNA(VLOOKUP('I. Stream &amp; Compound Data'!H286,'Potency Factors '!D$387:E$399,2,FALSE))=FALSE,VLOOKUP('I. Stream &amp; Compound Data'!H286,'Potency Factors '!D$387:E$399,2,FALSE),IF(ISNUMBER(SEARCH("phosphate",G286))=TRUE,1,IF(ISNUMBER(SEARCH("nitrate",G286))=TRUE,0.1,0)))))</f>
        <v/>
      </c>
      <c r="CS286" s="1053"/>
      <c r="CT286" s="1491" t="str">
        <f>IF(F286&gt;$F$18,"",IF(CS286&lt;&gt;"","",IF(ISNA(VLOOKUP('I. Stream &amp; Compound Data'!H286,'Potency Factors '!$D$485:$F$558,3,FALSE))=TRUE,0,VLOOKUP('I. Stream &amp; Compound Data'!H286,'Potency Factors '!$D$485:$F$558,3,FALSE))))</f>
        <v/>
      </c>
      <c r="CU286" s="1588"/>
    </row>
    <row r="287" ht="15" x14ac:dyDescent="0.25">
      <c r="B287" s="1612"/>
      <c r="C287" s="1613"/>
      <c r="D287" s="1613"/>
      <c r="E287" s="1613"/>
      <c r="F287" s="1481">
        <f t="shared" si="358"/>
        <v>26</v>
      </c>
      <c r="G287" s="1482" t="str">
        <f t="shared" si="359"/>
        <v/>
      </c>
      <c r="H287" s="1483" t="str">
        <f t="shared" si="360"/>
        <v/>
      </c>
      <c r="I287" s="1483" t="str">
        <f t="shared" si="361"/>
        <v/>
      </c>
      <c r="J287" s="1484" t="str">
        <f t="shared" si="362"/>
        <v/>
      </c>
      <c r="K287" s="1046"/>
      <c r="L287" s="1483" t="str">
        <f t="shared" si="357"/>
        <v/>
      </c>
      <c r="M287" s="1483" t="str">
        <f t="shared" si="349"/>
        <v/>
      </c>
      <c r="N287" s="1483" t="str">
        <f t="shared" si="350"/>
        <v/>
      </c>
      <c r="O287" s="1483" t="str">
        <f t="shared" si="351"/>
        <v/>
      </c>
      <c r="P287" s="1485" t="str">
        <f t="shared" si="352"/>
        <v/>
      </c>
      <c r="Q287" s="1486" t="str">
        <f t="shared" si="356"/>
        <v/>
      </c>
      <c r="R287" s="1046"/>
      <c r="S287" s="1022"/>
      <c r="T287" s="1047"/>
      <c r="U287" s="1046"/>
      <c r="V287" s="1022"/>
      <c r="W287" s="1487" t="str">
        <f t="shared" si="353"/>
        <v/>
      </c>
      <c r="X287" s="1048"/>
      <c r="Y287" s="1046"/>
      <c r="Z287" s="1022"/>
      <c r="AA287" s="1022"/>
      <c r="AB287" s="1050"/>
      <c r="AC287" s="1051"/>
      <c r="AD287" s="1026"/>
      <c r="AE287" s="1026"/>
      <c r="AF287" s="1050"/>
      <c r="AG287" s="1049"/>
      <c r="AH287" s="65"/>
      <c r="AI287" s="1026"/>
      <c r="AJ287" s="65"/>
      <c r="AK287" s="1026"/>
      <c r="AL287" s="68"/>
      <c r="AM287" s="1046"/>
      <c r="AN287" s="1022"/>
      <c r="AO287" s="1022"/>
      <c r="AP287" s="1052"/>
      <c r="AQ287" s="1488" t="str">
        <f t="shared" si="363"/>
        <v/>
      </c>
      <c r="AR287" s="1053"/>
      <c r="AS287" s="1488" t="str">
        <f t="shared" si="364"/>
        <v/>
      </c>
      <c r="AT287" s="1053"/>
      <c r="AU287" s="1488" t="str">
        <f t="shared" si="365"/>
        <v/>
      </c>
      <c r="AV287" s="1026"/>
      <c r="AW287" s="1026"/>
      <c r="AX287" s="1050"/>
      <c r="AY287" s="1049"/>
      <c r="AZ287" s="1036"/>
      <c r="BA287" s="1026"/>
      <c r="BB287" s="1054"/>
      <c r="BC287" s="1026"/>
      <c r="BD287" s="1055"/>
      <c r="BE287" s="1035"/>
      <c r="BF287" s="1056"/>
      <c r="BG287" s="1057"/>
      <c r="BH287" s="1057"/>
      <c r="BI287" s="1026"/>
      <c r="BJ287" s="1050"/>
      <c r="BK287" s="1058"/>
      <c r="BL287" s="1059"/>
      <c r="BM287" s="1059"/>
      <c r="BN287" s="1036"/>
      <c r="BO287" s="1060"/>
      <c r="BP287" s="1488" t="str">
        <f>IF(F287&gt;$F$18,"",IF(BO287&lt;&gt;"","",IF(ISNA(VLOOKUP('I. Stream &amp; Compound Data'!H287,'Potency Factors '!D$4:E$55,2,FALSE))=TRUE,0,VLOOKUP('I. Stream &amp; Compound Data'!H287,'Potency Factors '!D$4:E$55,2,FALSE))))</f>
        <v/>
      </c>
      <c r="BQ287" s="1053"/>
      <c r="BR287" s="1488" t="str">
        <f>IF(F287&gt;$F$18,"",IF(BQ287&lt;&gt;"","",IF(ISNA(VLOOKUP('I. Stream &amp; Compound Data'!H287,'Potency Factors '!D$68:E$167,2,FALSE))=TRUE,0,VLOOKUP('I. Stream &amp; Compound Data'!H287,'Potency Factors '!D$68:E$167,2,FALSE))))</f>
        <v/>
      </c>
      <c r="BS287" s="1053"/>
      <c r="BT287" s="1488" t="str">
        <f>IF(F287&gt;$F$18,"",IF(BS287&lt;&gt;"","",IF(ISNA(VLOOKUP('I. Stream &amp; Compound Data'!H287,'Potency Factors '!$D$412:$F$473,3,FALSE))=TRUE,0,VLOOKUP('I. Stream &amp; Compound Data'!H287,'Potency Factors '!$D$412:$F$473,3,FALSE))))</f>
        <v/>
      </c>
      <c r="BU287" s="1053"/>
      <c r="BV287" s="1488" t="str">
        <f>IF(F287&gt;$F$18,"",IF(BU287&lt;&gt;"","",IF(ISNA(VLOOKUP('I. Stream &amp; Compound Data'!H287,'Potency Factors '!D$180:E$185,2,FALSE))=TRUE,0,VLOOKUP('I. Stream &amp; Compound Data'!H287,'Potency Factors '!D$180:E$185,2,FALSE))))</f>
        <v/>
      </c>
      <c r="BW287" s="1055"/>
      <c r="BX287" s="1489" t="str">
        <f t="shared" si="366"/>
        <v/>
      </c>
      <c r="BY287" s="1055"/>
      <c r="BZ287" s="1489" t="str">
        <f t="shared" si="367"/>
        <v/>
      </c>
      <c r="CA287" s="1055"/>
      <c r="CB287" s="1036"/>
      <c r="CC287" s="1489" t="str">
        <f t="shared" si="368"/>
        <v/>
      </c>
      <c r="CD287" s="1053"/>
      <c r="CE287" s="1488" t="str">
        <f>IF(F287&gt;$F$18,"",IF(CD287&lt;&gt;"","",IF(ISNA(VLOOKUP('I. Stream &amp; Compound Data'!H287,'Potency Factors '!D$224:F$345,3,FALSE))=TRUE,0,VLOOKUP('I. Stream &amp; Compound Data'!H287,'Potency Factors '!D$224:F$345,3,FALSE))))</f>
        <v/>
      </c>
      <c r="CF287" s="1053"/>
      <c r="CG287" s="1488" t="str">
        <f>IF(F287&gt;$F$18,"",IF(CF287&lt;&gt;"","",IF(ISNA(VLOOKUP('I. Stream &amp; Compound Data'!H287,'Potency Factors '!D$361:F$374,3,FALSE))=TRUE,0,VLOOKUP('I. Stream &amp; Compound Data'!H287,'Potency Factors '!D$361:F$374,3,FALSE))))</f>
        <v/>
      </c>
      <c r="CH287" s="1055"/>
      <c r="CI287" s="1055"/>
      <c r="CJ287" s="1055"/>
      <c r="CK287" s="1055"/>
      <c r="CL287" s="1055"/>
      <c r="CM287" s="1055"/>
      <c r="CN287" s="1055"/>
      <c r="CO287" s="1055"/>
      <c r="CP287" s="1490" t="str">
        <f t="shared" si="369"/>
        <v/>
      </c>
      <c r="CQ287" s="1053"/>
      <c r="CR287" s="1488" t="str">
        <f>IF(F287&gt;$F$18,"",IF(CQ287&lt;&gt;"","",IF(ISNA(VLOOKUP('I. Stream &amp; Compound Data'!H287,'Potency Factors '!D$387:E$399,2,FALSE))=FALSE,VLOOKUP('I. Stream &amp; Compound Data'!H287,'Potency Factors '!D$387:E$399,2,FALSE),IF(ISNUMBER(SEARCH("phosphate",G287))=TRUE,1,IF(ISNUMBER(SEARCH("nitrate",G287))=TRUE,0.1,0)))))</f>
        <v/>
      </c>
      <c r="CS287" s="1053"/>
      <c r="CT287" s="1491" t="str">
        <f>IF(F287&gt;$F$18,"",IF(CS287&lt;&gt;"","",IF(ISNA(VLOOKUP('I. Stream &amp; Compound Data'!H287,'Potency Factors '!$D$485:$F$558,3,FALSE))=TRUE,0,VLOOKUP('I. Stream &amp; Compound Data'!H287,'Potency Factors '!$D$485:$F$558,3,FALSE))))</f>
        <v/>
      </c>
      <c r="CU287" s="1588"/>
    </row>
    <row r="288" ht="15" x14ac:dyDescent="0.25">
      <c r="B288" s="1612"/>
      <c r="C288" s="1613"/>
      <c r="D288" s="1613"/>
      <c r="E288" s="1613"/>
      <c r="F288" s="1481">
        <f t="shared" si="358"/>
        <v>27</v>
      </c>
      <c r="G288" s="1482" t="str">
        <f t="shared" si="359"/>
        <v/>
      </c>
      <c r="H288" s="1483" t="str">
        <f t="shared" si="360"/>
        <v/>
      </c>
      <c r="I288" s="1483" t="str">
        <f t="shared" si="361"/>
        <v/>
      </c>
      <c r="J288" s="1484" t="str">
        <f t="shared" si="362"/>
        <v/>
      </c>
      <c r="K288" s="1046"/>
      <c r="L288" s="1483" t="str">
        <f t="shared" si="357"/>
        <v/>
      </c>
      <c r="M288" s="1483" t="str">
        <f t="shared" si="349"/>
        <v/>
      </c>
      <c r="N288" s="1483" t="str">
        <f t="shared" si="350"/>
        <v/>
      </c>
      <c r="O288" s="1483" t="str">
        <f t="shared" si="351"/>
        <v/>
      </c>
      <c r="P288" s="1485" t="str">
        <f t="shared" si="352"/>
        <v/>
      </c>
      <c r="Q288" s="1486" t="str">
        <f t="shared" si="356"/>
        <v/>
      </c>
      <c r="R288" s="1046"/>
      <c r="S288" s="1022"/>
      <c r="T288" s="1047"/>
      <c r="U288" s="1046"/>
      <c r="V288" s="1022"/>
      <c r="W288" s="1487" t="str">
        <f t="shared" si="353"/>
        <v/>
      </c>
      <c r="X288" s="1048"/>
      <c r="Y288" s="1046"/>
      <c r="Z288" s="1022"/>
      <c r="AA288" s="1022"/>
      <c r="AB288" s="1050"/>
      <c r="AC288" s="1051"/>
      <c r="AD288" s="1026"/>
      <c r="AE288" s="1026"/>
      <c r="AF288" s="1050"/>
      <c r="AG288" s="1049"/>
      <c r="AH288" s="65"/>
      <c r="AI288" s="1026"/>
      <c r="AJ288" s="65"/>
      <c r="AK288" s="1026"/>
      <c r="AL288" s="68"/>
      <c r="AM288" s="1046"/>
      <c r="AN288" s="1022"/>
      <c r="AO288" s="1022"/>
      <c r="AP288" s="1052"/>
      <c r="AQ288" s="1488" t="str">
        <f t="shared" si="363"/>
        <v/>
      </c>
      <c r="AR288" s="1053"/>
      <c r="AS288" s="1488" t="str">
        <f t="shared" si="364"/>
        <v/>
      </c>
      <c r="AT288" s="1053"/>
      <c r="AU288" s="1488" t="str">
        <f t="shared" si="365"/>
        <v/>
      </c>
      <c r="AV288" s="1026"/>
      <c r="AW288" s="1026"/>
      <c r="AX288" s="1050"/>
      <c r="AY288" s="1049"/>
      <c r="AZ288" s="1036"/>
      <c r="BA288" s="1026"/>
      <c r="BB288" s="1054"/>
      <c r="BC288" s="1026"/>
      <c r="BD288" s="1055"/>
      <c r="BE288" s="1035"/>
      <c r="BF288" s="1056"/>
      <c r="BG288" s="1057"/>
      <c r="BH288" s="1057"/>
      <c r="BI288" s="1026"/>
      <c r="BJ288" s="1050"/>
      <c r="BK288" s="1058"/>
      <c r="BL288" s="1059"/>
      <c r="BM288" s="1059"/>
      <c r="BN288" s="1036"/>
      <c r="BO288" s="1060"/>
      <c r="BP288" s="1488" t="str">
        <f>IF(F288&gt;$F$18,"",IF(BO288&lt;&gt;"","",IF(ISNA(VLOOKUP('I. Stream &amp; Compound Data'!H288,'Potency Factors '!D$4:E$55,2,FALSE))=TRUE,0,VLOOKUP('I. Stream &amp; Compound Data'!H288,'Potency Factors '!D$4:E$55,2,FALSE))))</f>
        <v/>
      </c>
      <c r="BQ288" s="1053"/>
      <c r="BR288" s="1488" t="str">
        <f>IF(F288&gt;$F$18,"",IF(BQ288&lt;&gt;"","",IF(ISNA(VLOOKUP('I. Stream &amp; Compound Data'!H288,'Potency Factors '!D$68:E$167,2,FALSE))=TRUE,0,VLOOKUP('I. Stream &amp; Compound Data'!H288,'Potency Factors '!D$68:E$167,2,FALSE))))</f>
        <v/>
      </c>
      <c r="BS288" s="1053"/>
      <c r="BT288" s="1488" t="str">
        <f>IF(F288&gt;$F$18,"",IF(BS288&lt;&gt;"","",IF(ISNA(VLOOKUP('I. Stream &amp; Compound Data'!H288,'Potency Factors '!$D$412:$F$473,3,FALSE))=TRUE,0,VLOOKUP('I. Stream &amp; Compound Data'!H288,'Potency Factors '!$D$412:$F$473,3,FALSE))))</f>
        <v/>
      </c>
      <c r="BU288" s="1053"/>
      <c r="BV288" s="1488" t="str">
        <f>IF(F288&gt;$F$18,"",IF(BU288&lt;&gt;"","",IF(ISNA(VLOOKUP('I. Stream &amp; Compound Data'!H288,'Potency Factors '!D$180:E$185,2,FALSE))=TRUE,0,VLOOKUP('I. Stream &amp; Compound Data'!H288,'Potency Factors '!D$180:E$185,2,FALSE))))</f>
        <v/>
      </c>
      <c r="BW288" s="1055"/>
      <c r="BX288" s="1489" t="str">
        <f t="shared" si="366"/>
        <v/>
      </c>
      <c r="BY288" s="1055"/>
      <c r="BZ288" s="1489" t="str">
        <f t="shared" si="367"/>
        <v/>
      </c>
      <c r="CA288" s="1055"/>
      <c r="CB288" s="1036"/>
      <c r="CC288" s="1489" t="str">
        <f t="shared" si="368"/>
        <v/>
      </c>
      <c r="CD288" s="1053"/>
      <c r="CE288" s="1488" t="str">
        <f>IF(F288&gt;$F$18,"",IF(CD288&lt;&gt;"","",IF(ISNA(VLOOKUP('I. Stream &amp; Compound Data'!H288,'Potency Factors '!D$224:F$345,3,FALSE))=TRUE,0,VLOOKUP('I. Stream &amp; Compound Data'!H288,'Potency Factors '!D$224:F$345,3,FALSE))))</f>
        <v/>
      </c>
      <c r="CF288" s="1053"/>
      <c r="CG288" s="1488" t="str">
        <f>IF(F288&gt;$F$18,"",IF(CF288&lt;&gt;"","",IF(ISNA(VLOOKUP('I. Stream &amp; Compound Data'!H288,'Potency Factors '!D$361:F$374,3,FALSE))=TRUE,0,VLOOKUP('I. Stream &amp; Compound Data'!H288,'Potency Factors '!D$361:F$374,3,FALSE))))</f>
        <v/>
      </c>
      <c r="CH288" s="1055"/>
      <c r="CI288" s="1055"/>
      <c r="CJ288" s="1055"/>
      <c r="CK288" s="1055"/>
      <c r="CL288" s="1055"/>
      <c r="CM288" s="1055"/>
      <c r="CN288" s="1055"/>
      <c r="CO288" s="1055"/>
      <c r="CP288" s="1490" t="str">
        <f t="shared" si="369"/>
        <v/>
      </c>
      <c r="CQ288" s="1053"/>
      <c r="CR288" s="1488" t="str">
        <f>IF(F288&gt;$F$18,"",IF(CQ288&lt;&gt;"","",IF(ISNA(VLOOKUP('I. Stream &amp; Compound Data'!H288,'Potency Factors '!D$387:E$399,2,FALSE))=FALSE,VLOOKUP('I. Stream &amp; Compound Data'!H288,'Potency Factors '!D$387:E$399,2,FALSE),IF(ISNUMBER(SEARCH("phosphate",G288))=TRUE,1,IF(ISNUMBER(SEARCH("nitrate",G288))=TRUE,0.1,0)))))</f>
        <v/>
      </c>
      <c r="CS288" s="1053"/>
      <c r="CT288" s="1491" t="str">
        <f>IF(F288&gt;$F$18,"",IF(CS288&lt;&gt;"","",IF(ISNA(VLOOKUP('I. Stream &amp; Compound Data'!H288,'Potency Factors '!$D$485:$F$558,3,FALSE))=TRUE,0,VLOOKUP('I. Stream &amp; Compound Data'!H288,'Potency Factors '!$D$485:$F$558,3,FALSE))))</f>
        <v/>
      </c>
      <c r="CU288" s="1588"/>
    </row>
    <row r="289" ht="15" x14ac:dyDescent="0.25">
      <c r="B289" s="1612"/>
      <c r="C289" s="1613"/>
      <c r="D289" s="1613"/>
      <c r="E289" s="1613"/>
      <c r="F289" s="1481">
        <f t="shared" si="358"/>
        <v>28</v>
      </c>
      <c r="G289" s="1482" t="str">
        <f t="shared" si="359"/>
        <v/>
      </c>
      <c r="H289" s="1483" t="str">
        <f t="shared" si="360"/>
        <v/>
      </c>
      <c r="I289" s="1483" t="str">
        <f t="shared" si="361"/>
        <v/>
      </c>
      <c r="J289" s="1484" t="str">
        <f t="shared" si="362"/>
        <v/>
      </c>
      <c r="K289" s="1046"/>
      <c r="L289" s="1483" t="str">
        <f t="shared" si="357"/>
        <v/>
      </c>
      <c r="M289" s="1483" t="str">
        <f t="shared" si="349"/>
        <v/>
      </c>
      <c r="N289" s="1483" t="str">
        <f t="shared" si="350"/>
        <v/>
      </c>
      <c r="O289" s="1483" t="str">
        <f t="shared" si="351"/>
        <v/>
      </c>
      <c r="P289" s="1485" t="str">
        <f t="shared" si="352"/>
        <v/>
      </c>
      <c r="Q289" s="1486" t="str">
        <f t="shared" si="356"/>
        <v/>
      </c>
      <c r="R289" s="1046"/>
      <c r="S289" s="1022"/>
      <c r="T289" s="1047"/>
      <c r="U289" s="1046"/>
      <c r="V289" s="1022"/>
      <c r="W289" s="1487" t="str">
        <f t="shared" si="353"/>
        <v/>
      </c>
      <c r="X289" s="1048"/>
      <c r="Y289" s="1046"/>
      <c r="Z289" s="1022"/>
      <c r="AA289" s="1022"/>
      <c r="AB289" s="1050"/>
      <c r="AC289" s="1051"/>
      <c r="AD289" s="1026"/>
      <c r="AE289" s="1026"/>
      <c r="AF289" s="1050"/>
      <c r="AG289" s="1049"/>
      <c r="AH289" s="65"/>
      <c r="AI289" s="1026"/>
      <c r="AJ289" s="65"/>
      <c r="AK289" s="1026"/>
      <c r="AL289" s="68"/>
      <c r="AM289" s="1046"/>
      <c r="AN289" s="1022"/>
      <c r="AO289" s="1022"/>
      <c r="AP289" s="1052"/>
      <c r="AQ289" s="1488" t="str">
        <f t="shared" si="363"/>
        <v/>
      </c>
      <c r="AR289" s="1053"/>
      <c r="AS289" s="1488" t="str">
        <f t="shared" si="364"/>
        <v/>
      </c>
      <c r="AT289" s="1053"/>
      <c r="AU289" s="1488" t="str">
        <f t="shared" si="365"/>
        <v/>
      </c>
      <c r="AV289" s="1026"/>
      <c r="AW289" s="1026"/>
      <c r="AX289" s="1050"/>
      <c r="AY289" s="1049"/>
      <c r="AZ289" s="1036"/>
      <c r="BA289" s="1026"/>
      <c r="BB289" s="1054"/>
      <c r="BC289" s="1026"/>
      <c r="BD289" s="1055"/>
      <c r="BE289" s="1035"/>
      <c r="BF289" s="1056"/>
      <c r="BG289" s="1057"/>
      <c r="BH289" s="1057"/>
      <c r="BI289" s="1026"/>
      <c r="BJ289" s="1050"/>
      <c r="BK289" s="1058"/>
      <c r="BL289" s="1059"/>
      <c r="BM289" s="1059"/>
      <c r="BN289" s="1036"/>
      <c r="BO289" s="1060"/>
      <c r="BP289" s="1488" t="str">
        <f>IF(F289&gt;$F$18,"",IF(BO289&lt;&gt;"","",IF(ISNA(VLOOKUP('I. Stream &amp; Compound Data'!H289,'Potency Factors '!D$4:E$55,2,FALSE))=TRUE,0,VLOOKUP('I. Stream &amp; Compound Data'!H289,'Potency Factors '!D$4:E$55,2,FALSE))))</f>
        <v/>
      </c>
      <c r="BQ289" s="1053"/>
      <c r="BR289" s="1488" t="str">
        <f>IF(F289&gt;$F$18,"",IF(BQ289&lt;&gt;"","",IF(ISNA(VLOOKUP('I. Stream &amp; Compound Data'!H289,'Potency Factors '!D$68:E$167,2,FALSE))=TRUE,0,VLOOKUP('I. Stream &amp; Compound Data'!H289,'Potency Factors '!D$68:E$167,2,FALSE))))</f>
        <v/>
      </c>
      <c r="BS289" s="1053"/>
      <c r="BT289" s="1488" t="str">
        <f>IF(F289&gt;$F$18,"",IF(BS289&lt;&gt;"","",IF(ISNA(VLOOKUP('I. Stream &amp; Compound Data'!H289,'Potency Factors '!$D$412:$F$473,3,FALSE))=TRUE,0,VLOOKUP('I. Stream &amp; Compound Data'!H289,'Potency Factors '!$D$412:$F$473,3,FALSE))))</f>
        <v/>
      </c>
      <c r="BU289" s="1053"/>
      <c r="BV289" s="1488" t="str">
        <f>IF(F289&gt;$F$18,"",IF(BU289&lt;&gt;"","",IF(ISNA(VLOOKUP('I. Stream &amp; Compound Data'!H289,'Potency Factors '!D$180:E$185,2,FALSE))=TRUE,0,VLOOKUP('I. Stream &amp; Compound Data'!H289,'Potency Factors '!D$180:E$185,2,FALSE))))</f>
        <v/>
      </c>
      <c r="BW289" s="1055"/>
      <c r="BX289" s="1489" t="str">
        <f t="shared" si="366"/>
        <v/>
      </c>
      <c r="BY289" s="1055"/>
      <c r="BZ289" s="1489" t="str">
        <f t="shared" si="367"/>
        <v/>
      </c>
      <c r="CA289" s="1055"/>
      <c r="CB289" s="1036"/>
      <c r="CC289" s="1489" t="str">
        <f t="shared" si="368"/>
        <v/>
      </c>
      <c r="CD289" s="1053"/>
      <c r="CE289" s="1488" t="str">
        <f>IF(F289&gt;$F$18,"",IF(CD289&lt;&gt;"","",IF(ISNA(VLOOKUP('I. Stream &amp; Compound Data'!H289,'Potency Factors '!D$224:F$345,3,FALSE))=TRUE,0,VLOOKUP('I. Stream &amp; Compound Data'!H289,'Potency Factors '!D$224:F$345,3,FALSE))))</f>
        <v/>
      </c>
      <c r="CF289" s="1053"/>
      <c r="CG289" s="1488" t="str">
        <f>IF(F289&gt;$F$18,"",IF(CF289&lt;&gt;"","",IF(ISNA(VLOOKUP('I. Stream &amp; Compound Data'!H289,'Potency Factors '!D$361:F$374,3,FALSE))=TRUE,0,VLOOKUP('I. Stream &amp; Compound Data'!H289,'Potency Factors '!D$361:F$374,3,FALSE))))</f>
        <v/>
      </c>
      <c r="CH289" s="1055"/>
      <c r="CI289" s="1055"/>
      <c r="CJ289" s="1055"/>
      <c r="CK289" s="1055"/>
      <c r="CL289" s="1055"/>
      <c r="CM289" s="1055"/>
      <c r="CN289" s="1055"/>
      <c r="CO289" s="1055"/>
      <c r="CP289" s="1490" t="str">
        <f t="shared" si="369"/>
        <v/>
      </c>
      <c r="CQ289" s="1053"/>
      <c r="CR289" s="1488" t="str">
        <f>IF(F289&gt;$F$18,"",IF(CQ289&lt;&gt;"","",IF(ISNA(VLOOKUP('I. Stream &amp; Compound Data'!H289,'Potency Factors '!D$387:E$399,2,FALSE))=FALSE,VLOOKUP('I. Stream &amp; Compound Data'!H289,'Potency Factors '!D$387:E$399,2,FALSE),IF(ISNUMBER(SEARCH("phosphate",G289))=TRUE,1,IF(ISNUMBER(SEARCH("nitrate",G289))=TRUE,0.1,0)))))</f>
        <v/>
      </c>
      <c r="CS289" s="1053"/>
      <c r="CT289" s="1491" t="str">
        <f>IF(F289&gt;$F$18,"",IF(CS289&lt;&gt;"","",IF(ISNA(VLOOKUP('I. Stream &amp; Compound Data'!H289,'Potency Factors '!$D$485:$F$558,3,FALSE))=TRUE,0,VLOOKUP('I. Stream &amp; Compound Data'!H289,'Potency Factors '!$D$485:$F$558,3,FALSE))))</f>
        <v/>
      </c>
      <c r="CU289" s="1588"/>
    </row>
    <row r="290" ht="15" x14ac:dyDescent="0.25">
      <c r="B290" s="1612"/>
      <c r="C290" s="1613"/>
      <c r="D290" s="1613"/>
      <c r="E290" s="1613"/>
      <c r="F290" s="1481">
        <f t="shared" si="358"/>
        <v>29</v>
      </c>
      <c r="G290" s="1482" t="str">
        <f t="shared" si="359"/>
        <v/>
      </c>
      <c r="H290" s="1483" t="str">
        <f t="shared" si="360"/>
        <v/>
      </c>
      <c r="I290" s="1483" t="str">
        <f t="shared" si="361"/>
        <v/>
      </c>
      <c r="J290" s="1484" t="str">
        <f t="shared" si="362"/>
        <v/>
      </c>
      <c r="K290" s="1046"/>
      <c r="L290" s="1483" t="str">
        <f t="shared" si="357"/>
        <v/>
      </c>
      <c r="M290" s="1483" t="str">
        <f t="shared" si="349"/>
        <v/>
      </c>
      <c r="N290" s="1483" t="str">
        <f t="shared" si="350"/>
        <v/>
      </c>
      <c r="O290" s="1483" t="str">
        <f t="shared" si="351"/>
        <v/>
      </c>
      <c r="P290" s="1485" t="str">
        <f t="shared" si="352"/>
        <v/>
      </c>
      <c r="Q290" s="1486" t="str">
        <f t="shared" si="356"/>
        <v/>
      </c>
      <c r="R290" s="1046"/>
      <c r="S290" s="1022"/>
      <c r="T290" s="1047"/>
      <c r="U290" s="1046"/>
      <c r="V290" s="1022"/>
      <c r="W290" s="1487" t="str">
        <f t="shared" si="353"/>
        <v/>
      </c>
      <c r="X290" s="1048"/>
      <c r="Y290" s="1046"/>
      <c r="Z290" s="1022"/>
      <c r="AA290" s="1022"/>
      <c r="AB290" s="1050"/>
      <c r="AC290" s="1051"/>
      <c r="AD290" s="1026"/>
      <c r="AE290" s="1026"/>
      <c r="AF290" s="1050"/>
      <c r="AG290" s="1049"/>
      <c r="AH290" s="65"/>
      <c r="AI290" s="1026"/>
      <c r="AJ290" s="65"/>
      <c r="AK290" s="1026"/>
      <c r="AL290" s="68"/>
      <c r="AM290" s="1046"/>
      <c r="AN290" s="1022"/>
      <c r="AO290" s="1022"/>
      <c r="AP290" s="1052"/>
      <c r="AQ290" s="1488" t="str">
        <f t="shared" si="363"/>
        <v/>
      </c>
      <c r="AR290" s="1053"/>
      <c r="AS290" s="1488" t="str">
        <f t="shared" si="364"/>
        <v/>
      </c>
      <c r="AT290" s="1053"/>
      <c r="AU290" s="1488" t="str">
        <f t="shared" si="365"/>
        <v/>
      </c>
      <c r="AV290" s="1026"/>
      <c r="AW290" s="1026"/>
      <c r="AX290" s="1050"/>
      <c r="AY290" s="1049"/>
      <c r="AZ290" s="1036"/>
      <c r="BA290" s="1026"/>
      <c r="BB290" s="1054"/>
      <c r="BC290" s="1026"/>
      <c r="BD290" s="1055"/>
      <c r="BE290" s="1035"/>
      <c r="BF290" s="1056"/>
      <c r="BG290" s="1057"/>
      <c r="BH290" s="1057"/>
      <c r="BI290" s="1026"/>
      <c r="BJ290" s="1050"/>
      <c r="BK290" s="1058"/>
      <c r="BL290" s="1059"/>
      <c r="BM290" s="1059"/>
      <c r="BN290" s="1036"/>
      <c r="BO290" s="1060"/>
      <c r="BP290" s="1488" t="str">
        <f>IF(F290&gt;$F$18,"",IF(BO290&lt;&gt;"","",IF(ISNA(VLOOKUP('I. Stream &amp; Compound Data'!H290,'Potency Factors '!D$4:E$55,2,FALSE))=TRUE,0,VLOOKUP('I. Stream &amp; Compound Data'!H290,'Potency Factors '!D$4:E$55,2,FALSE))))</f>
        <v/>
      </c>
      <c r="BQ290" s="1053"/>
      <c r="BR290" s="1488" t="str">
        <f>IF(F290&gt;$F$18,"",IF(BQ290&lt;&gt;"","",IF(ISNA(VLOOKUP('I. Stream &amp; Compound Data'!H290,'Potency Factors '!D$68:E$167,2,FALSE))=TRUE,0,VLOOKUP('I. Stream &amp; Compound Data'!H290,'Potency Factors '!D$68:E$167,2,FALSE))))</f>
        <v/>
      </c>
      <c r="BS290" s="1053"/>
      <c r="BT290" s="1488" t="str">
        <f>IF(F290&gt;$F$18,"",IF(BS290&lt;&gt;"","",IF(ISNA(VLOOKUP('I. Stream &amp; Compound Data'!H290,'Potency Factors '!$D$412:$F$473,3,FALSE))=TRUE,0,VLOOKUP('I. Stream &amp; Compound Data'!H290,'Potency Factors '!$D$412:$F$473,3,FALSE))))</f>
        <v/>
      </c>
      <c r="BU290" s="1053"/>
      <c r="BV290" s="1488" t="str">
        <f>IF(F290&gt;$F$18,"",IF(BU290&lt;&gt;"","",IF(ISNA(VLOOKUP('I. Stream &amp; Compound Data'!H290,'Potency Factors '!D$180:E$185,2,FALSE))=TRUE,0,VLOOKUP('I. Stream &amp; Compound Data'!H290,'Potency Factors '!D$180:E$185,2,FALSE))))</f>
        <v/>
      </c>
      <c r="BW290" s="1055"/>
      <c r="BX290" s="1489" t="str">
        <f t="shared" si="366"/>
        <v/>
      </c>
      <c r="BY290" s="1055"/>
      <c r="BZ290" s="1489" t="str">
        <f t="shared" si="367"/>
        <v/>
      </c>
      <c r="CA290" s="1055"/>
      <c r="CB290" s="1036"/>
      <c r="CC290" s="1489" t="str">
        <f t="shared" si="368"/>
        <v/>
      </c>
      <c r="CD290" s="1053"/>
      <c r="CE290" s="1488" t="str">
        <f>IF(F290&gt;$F$18,"",IF(CD290&lt;&gt;"","",IF(ISNA(VLOOKUP('I. Stream &amp; Compound Data'!H290,'Potency Factors '!D$224:F$345,3,FALSE))=TRUE,0,VLOOKUP('I. Stream &amp; Compound Data'!H290,'Potency Factors '!D$224:F$345,3,FALSE))))</f>
        <v/>
      </c>
      <c r="CF290" s="1053"/>
      <c r="CG290" s="1488" t="str">
        <f>IF(F290&gt;$F$18,"",IF(CF290&lt;&gt;"","",IF(ISNA(VLOOKUP('I. Stream &amp; Compound Data'!H290,'Potency Factors '!D$361:F$374,3,FALSE))=TRUE,0,VLOOKUP('I. Stream &amp; Compound Data'!H290,'Potency Factors '!D$361:F$374,3,FALSE))))</f>
        <v/>
      </c>
      <c r="CH290" s="1055"/>
      <c r="CI290" s="1055"/>
      <c r="CJ290" s="1055"/>
      <c r="CK290" s="1055"/>
      <c r="CL290" s="1055"/>
      <c r="CM290" s="1055"/>
      <c r="CN290" s="1055"/>
      <c r="CO290" s="1055"/>
      <c r="CP290" s="1490" t="str">
        <f t="shared" si="369"/>
        <v/>
      </c>
      <c r="CQ290" s="1053"/>
      <c r="CR290" s="1488" t="str">
        <f>IF(F290&gt;$F$18,"",IF(CQ290&lt;&gt;"","",IF(ISNA(VLOOKUP('I. Stream &amp; Compound Data'!H290,'Potency Factors '!D$387:E$399,2,FALSE))=FALSE,VLOOKUP('I. Stream &amp; Compound Data'!H290,'Potency Factors '!D$387:E$399,2,FALSE),IF(ISNUMBER(SEARCH("phosphate",G290))=TRUE,1,IF(ISNUMBER(SEARCH("nitrate",G290))=TRUE,0.1,0)))))</f>
        <v/>
      </c>
      <c r="CS290" s="1053"/>
      <c r="CT290" s="1491" t="str">
        <f>IF(F290&gt;$F$18,"",IF(CS290&lt;&gt;"","",IF(ISNA(VLOOKUP('I. Stream &amp; Compound Data'!H290,'Potency Factors '!$D$485:$F$558,3,FALSE))=TRUE,0,VLOOKUP('I. Stream &amp; Compound Data'!H290,'Potency Factors '!$D$485:$F$558,3,FALSE))))</f>
        <v/>
      </c>
      <c r="CU290" s="1588"/>
    </row>
    <row r="291" ht="15" x14ac:dyDescent="0.25">
      <c r="B291" s="1612"/>
      <c r="C291" s="1613"/>
      <c r="D291" s="1613"/>
      <c r="E291" s="1613"/>
      <c r="F291" s="1481">
        <f t="shared" si="358"/>
        <v>30</v>
      </c>
      <c r="G291" s="1482" t="str">
        <f t="shared" si="359"/>
        <v/>
      </c>
      <c r="H291" s="1483" t="str">
        <f t="shared" si="360"/>
        <v/>
      </c>
      <c r="I291" s="1483" t="str">
        <f t="shared" si="361"/>
        <v/>
      </c>
      <c r="J291" s="1484" t="str">
        <f t="shared" si="362"/>
        <v/>
      </c>
      <c r="K291" s="1046"/>
      <c r="L291" s="1483" t="str">
        <f t="shared" si="357"/>
        <v/>
      </c>
      <c r="M291" s="1483" t="str">
        <f t="shared" si="349"/>
        <v/>
      </c>
      <c r="N291" s="1483" t="str">
        <f t="shared" si="350"/>
        <v/>
      </c>
      <c r="O291" s="1483" t="str">
        <f t="shared" si="351"/>
        <v/>
      </c>
      <c r="P291" s="1485" t="str">
        <f t="shared" si="352"/>
        <v/>
      </c>
      <c r="Q291" s="1486" t="str">
        <f t="shared" si="356"/>
        <v/>
      </c>
      <c r="R291" s="1046"/>
      <c r="S291" s="1022"/>
      <c r="T291" s="1047"/>
      <c r="U291" s="1046"/>
      <c r="V291" s="1022"/>
      <c r="W291" s="1487" t="str">
        <f t="shared" si="353"/>
        <v/>
      </c>
      <c r="X291" s="1048"/>
      <c r="Y291" s="1046"/>
      <c r="Z291" s="1022"/>
      <c r="AA291" s="1022"/>
      <c r="AB291" s="1050"/>
      <c r="AC291" s="1051"/>
      <c r="AD291" s="1026"/>
      <c r="AE291" s="1026"/>
      <c r="AF291" s="1050"/>
      <c r="AG291" s="1049"/>
      <c r="AH291" s="65"/>
      <c r="AI291" s="1026"/>
      <c r="AJ291" s="65"/>
      <c r="AK291" s="1026"/>
      <c r="AL291" s="68"/>
      <c r="AM291" s="1046"/>
      <c r="AN291" s="1022"/>
      <c r="AO291" s="1022"/>
      <c r="AP291" s="1052"/>
      <c r="AQ291" s="1488" t="str">
        <f t="shared" si="363"/>
        <v/>
      </c>
      <c r="AR291" s="1053"/>
      <c r="AS291" s="1488" t="str">
        <f t="shared" si="364"/>
        <v/>
      </c>
      <c r="AT291" s="1053"/>
      <c r="AU291" s="1488" t="str">
        <f t="shared" si="365"/>
        <v/>
      </c>
      <c r="AV291" s="1026"/>
      <c r="AW291" s="1026"/>
      <c r="AX291" s="1050"/>
      <c r="AY291" s="1049"/>
      <c r="AZ291" s="1036"/>
      <c r="BA291" s="1026"/>
      <c r="BB291" s="1054"/>
      <c r="BC291" s="1026"/>
      <c r="BD291" s="1055"/>
      <c r="BE291" s="1035"/>
      <c r="BF291" s="1056"/>
      <c r="BG291" s="1057"/>
      <c r="BH291" s="1057"/>
      <c r="BI291" s="1026"/>
      <c r="BJ291" s="1050"/>
      <c r="BK291" s="1058"/>
      <c r="BL291" s="1059"/>
      <c r="BM291" s="1059"/>
      <c r="BN291" s="1036"/>
      <c r="BO291" s="1060"/>
      <c r="BP291" s="1488" t="str">
        <f>IF(F291&gt;$F$18,"",IF(BO291&lt;&gt;"","",IF(ISNA(VLOOKUP('I. Stream &amp; Compound Data'!H291,'Potency Factors '!D$4:E$55,2,FALSE))=TRUE,0,VLOOKUP('I. Stream &amp; Compound Data'!H291,'Potency Factors '!D$4:E$55,2,FALSE))))</f>
        <v/>
      </c>
      <c r="BQ291" s="1053"/>
      <c r="BR291" s="1488" t="str">
        <f>IF(F291&gt;$F$18,"",IF(BQ291&lt;&gt;"","",IF(ISNA(VLOOKUP('I. Stream &amp; Compound Data'!H291,'Potency Factors '!D$68:E$167,2,FALSE))=TRUE,0,VLOOKUP('I. Stream &amp; Compound Data'!H291,'Potency Factors '!D$68:E$167,2,FALSE))))</f>
        <v/>
      </c>
      <c r="BS291" s="1053"/>
      <c r="BT291" s="1488" t="str">
        <f>IF(F291&gt;$F$18,"",IF(BS291&lt;&gt;"","",IF(ISNA(VLOOKUP('I. Stream &amp; Compound Data'!H291,'Potency Factors '!$D$412:$F$473,3,FALSE))=TRUE,0,VLOOKUP('I. Stream &amp; Compound Data'!H291,'Potency Factors '!$D$412:$F$473,3,FALSE))))</f>
        <v/>
      </c>
      <c r="BU291" s="1053"/>
      <c r="BV291" s="1488" t="str">
        <f>IF(F291&gt;$F$18,"",IF(BU291&lt;&gt;"","",IF(ISNA(VLOOKUP('I. Stream &amp; Compound Data'!H291,'Potency Factors '!D$180:E$185,2,FALSE))=TRUE,0,VLOOKUP('I. Stream &amp; Compound Data'!H291,'Potency Factors '!D$180:E$185,2,FALSE))))</f>
        <v/>
      </c>
      <c r="BW291" s="1055"/>
      <c r="BX291" s="1489" t="str">
        <f t="shared" si="366"/>
        <v/>
      </c>
      <c r="BY291" s="1055"/>
      <c r="BZ291" s="1489" t="str">
        <f t="shared" si="367"/>
        <v/>
      </c>
      <c r="CA291" s="1055"/>
      <c r="CB291" s="1036"/>
      <c r="CC291" s="1489" t="str">
        <f t="shared" si="368"/>
        <v/>
      </c>
      <c r="CD291" s="1053"/>
      <c r="CE291" s="1488" t="str">
        <f>IF(F291&gt;$F$18,"",IF(CD291&lt;&gt;"","",IF(ISNA(VLOOKUP('I. Stream &amp; Compound Data'!H291,'Potency Factors '!D$224:F$345,3,FALSE))=TRUE,0,VLOOKUP('I. Stream &amp; Compound Data'!H291,'Potency Factors '!D$224:F$345,3,FALSE))))</f>
        <v/>
      </c>
      <c r="CF291" s="1053"/>
      <c r="CG291" s="1488" t="str">
        <f>IF(F291&gt;$F$18,"",IF(CF291&lt;&gt;"","",IF(ISNA(VLOOKUP('I. Stream &amp; Compound Data'!H291,'Potency Factors '!D$361:F$374,3,FALSE))=TRUE,0,VLOOKUP('I. Stream &amp; Compound Data'!H291,'Potency Factors '!D$361:F$374,3,FALSE))))</f>
        <v/>
      </c>
      <c r="CH291" s="1055"/>
      <c r="CI291" s="1055"/>
      <c r="CJ291" s="1055"/>
      <c r="CK291" s="1055"/>
      <c r="CL291" s="1055"/>
      <c r="CM291" s="1055"/>
      <c r="CN291" s="1055"/>
      <c r="CO291" s="1055"/>
      <c r="CP291" s="1490" t="str">
        <f t="shared" si="369"/>
        <v/>
      </c>
      <c r="CQ291" s="1053"/>
      <c r="CR291" s="1488" t="str">
        <f>IF(F291&gt;$F$18,"",IF(CQ291&lt;&gt;"","",IF(ISNA(VLOOKUP('I. Stream &amp; Compound Data'!H291,'Potency Factors '!D$387:E$399,2,FALSE))=FALSE,VLOOKUP('I. Stream &amp; Compound Data'!H291,'Potency Factors '!D$387:E$399,2,FALSE),IF(ISNUMBER(SEARCH("phosphate",G291))=TRUE,1,IF(ISNUMBER(SEARCH("nitrate",G291))=TRUE,0.1,0)))))</f>
        <v/>
      </c>
      <c r="CS291" s="1053"/>
      <c r="CT291" s="1491" t="str">
        <f>IF(F291&gt;$F$18,"",IF(CS291&lt;&gt;"","",IF(ISNA(VLOOKUP('I. Stream &amp; Compound Data'!H291,'Potency Factors '!$D$485:$F$558,3,FALSE))=TRUE,0,VLOOKUP('I. Stream &amp; Compound Data'!H291,'Potency Factors '!$D$485:$F$558,3,FALSE))))</f>
        <v/>
      </c>
      <c r="CU291" s="1588"/>
    </row>
    <row r="292" ht="15" x14ac:dyDescent="0.25">
      <c r="B292" s="1612"/>
      <c r="C292" s="1613"/>
      <c r="D292" s="1613"/>
      <c r="E292" s="1613"/>
      <c r="F292" s="1481">
        <f t="shared" si="358"/>
        <v>31</v>
      </c>
      <c r="G292" s="1482" t="str">
        <f t="shared" si="359"/>
        <v/>
      </c>
      <c r="H292" s="1483" t="str">
        <f t="shared" si="360"/>
        <v/>
      </c>
      <c r="I292" s="1483" t="str">
        <f t="shared" si="361"/>
        <v/>
      </c>
      <c r="J292" s="1484" t="str">
        <f t="shared" si="362"/>
        <v/>
      </c>
      <c r="K292" s="1046"/>
      <c r="L292" s="1483" t="str">
        <f t="shared" si="357"/>
        <v/>
      </c>
      <c r="M292" s="1483" t="str">
        <f t="shared" si="349"/>
        <v/>
      </c>
      <c r="N292" s="1483" t="str">
        <f t="shared" si="350"/>
        <v/>
      </c>
      <c r="O292" s="1483" t="str">
        <f t="shared" si="351"/>
        <v/>
      </c>
      <c r="P292" s="1485" t="str">
        <f t="shared" si="352"/>
        <v/>
      </c>
      <c r="Q292" s="1486" t="str">
        <f t="shared" si="356"/>
        <v/>
      </c>
      <c r="R292" s="1046"/>
      <c r="S292" s="1022"/>
      <c r="T292" s="1047"/>
      <c r="U292" s="1046"/>
      <c r="V292" s="1022"/>
      <c r="W292" s="1487" t="str">
        <f t="shared" si="353"/>
        <v/>
      </c>
      <c r="X292" s="1048"/>
      <c r="Y292" s="1046"/>
      <c r="Z292" s="1022"/>
      <c r="AA292" s="1022"/>
      <c r="AB292" s="1050"/>
      <c r="AC292" s="1051"/>
      <c r="AD292" s="1026"/>
      <c r="AE292" s="1026"/>
      <c r="AF292" s="1050"/>
      <c r="AG292" s="1049"/>
      <c r="AH292" s="65"/>
      <c r="AI292" s="1026"/>
      <c r="AJ292" s="65"/>
      <c r="AK292" s="1026"/>
      <c r="AL292" s="68"/>
      <c r="AM292" s="1046"/>
      <c r="AN292" s="1022"/>
      <c r="AO292" s="1022"/>
      <c r="AP292" s="1052"/>
      <c r="AQ292" s="1488" t="str">
        <f t="shared" si="363"/>
        <v/>
      </c>
      <c r="AR292" s="1053"/>
      <c r="AS292" s="1488" t="str">
        <f t="shared" si="364"/>
        <v/>
      </c>
      <c r="AT292" s="1053"/>
      <c r="AU292" s="1488" t="str">
        <f t="shared" si="365"/>
        <v/>
      </c>
      <c r="AV292" s="1026"/>
      <c r="AW292" s="1026"/>
      <c r="AX292" s="1050"/>
      <c r="AY292" s="1049"/>
      <c r="AZ292" s="1036"/>
      <c r="BA292" s="1026"/>
      <c r="BB292" s="1054"/>
      <c r="BC292" s="1026"/>
      <c r="BD292" s="1055"/>
      <c r="BE292" s="1035"/>
      <c r="BF292" s="1056"/>
      <c r="BG292" s="1057"/>
      <c r="BH292" s="1057"/>
      <c r="BI292" s="1026"/>
      <c r="BJ292" s="1050"/>
      <c r="BK292" s="1058"/>
      <c r="BL292" s="1059"/>
      <c r="BM292" s="1059"/>
      <c r="BN292" s="1036"/>
      <c r="BO292" s="1060"/>
      <c r="BP292" s="1488" t="str">
        <f>IF(F292&gt;$F$18,"",IF(BO292&lt;&gt;"","",IF(ISNA(VLOOKUP('I. Stream &amp; Compound Data'!H292,'Potency Factors '!D$4:E$55,2,FALSE))=TRUE,0,VLOOKUP('I. Stream &amp; Compound Data'!H292,'Potency Factors '!D$4:E$55,2,FALSE))))</f>
        <v/>
      </c>
      <c r="BQ292" s="1053"/>
      <c r="BR292" s="1488" t="str">
        <f>IF(F292&gt;$F$18,"",IF(BQ292&lt;&gt;"","",IF(ISNA(VLOOKUP('I. Stream &amp; Compound Data'!H292,'Potency Factors '!D$68:E$167,2,FALSE))=TRUE,0,VLOOKUP('I. Stream &amp; Compound Data'!H292,'Potency Factors '!D$68:E$167,2,FALSE))))</f>
        <v/>
      </c>
      <c r="BS292" s="1053"/>
      <c r="BT292" s="1488" t="str">
        <f>IF(F292&gt;$F$18,"",IF(BS292&lt;&gt;"","",IF(ISNA(VLOOKUP('I. Stream &amp; Compound Data'!H292,'Potency Factors '!$D$412:$F$473,3,FALSE))=TRUE,0,VLOOKUP('I. Stream &amp; Compound Data'!H292,'Potency Factors '!$D$412:$F$473,3,FALSE))))</f>
        <v/>
      </c>
      <c r="BU292" s="1053"/>
      <c r="BV292" s="1488" t="str">
        <f>IF(F292&gt;$F$18,"",IF(BU292&lt;&gt;"","",IF(ISNA(VLOOKUP('I. Stream &amp; Compound Data'!H292,'Potency Factors '!D$180:E$185,2,FALSE))=TRUE,0,VLOOKUP('I. Stream &amp; Compound Data'!H292,'Potency Factors '!D$180:E$185,2,FALSE))))</f>
        <v/>
      </c>
      <c r="BW292" s="1055"/>
      <c r="BX292" s="1489" t="str">
        <f t="shared" si="366"/>
        <v/>
      </c>
      <c r="BY292" s="1055"/>
      <c r="BZ292" s="1489" t="str">
        <f t="shared" si="367"/>
        <v/>
      </c>
      <c r="CA292" s="1055"/>
      <c r="CB292" s="1036"/>
      <c r="CC292" s="1489" t="str">
        <f t="shared" si="368"/>
        <v/>
      </c>
      <c r="CD292" s="1053"/>
      <c r="CE292" s="1488" t="str">
        <f>IF(F292&gt;$F$18,"",IF(CD292&lt;&gt;"","",IF(ISNA(VLOOKUP('I. Stream &amp; Compound Data'!H292,'Potency Factors '!D$224:F$345,3,FALSE))=TRUE,0,VLOOKUP('I. Stream &amp; Compound Data'!H292,'Potency Factors '!D$224:F$345,3,FALSE))))</f>
        <v/>
      </c>
      <c r="CF292" s="1053"/>
      <c r="CG292" s="1488" t="str">
        <f>IF(F292&gt;$F$18,"",IF(CF292&lt;&gt;"","",IF(ISNA(VLOOKUP('I. Stream &amp; Compound Data'!H292,'Potency Factors '!D$361:F$374,3,FALSE))=TRUE,0,VLOOKUP('I. Stream &amp; Compound Data'!H292,'Potency Factors '!D$361:F$374,3,FALSE))))</f>
        <v/>
      </c>
      <c r="CH292" s="1055"/>
      <c r="CI292" s="1055"/>
      <c r="CJ292" s="1055"/>
      <c r="CK292" s="1055"/>
      <c r="CL292" s="1055"/>
      <c r="CM292" s="1055"/>
      <c r="CN292" s="1055"/>
      <c r="CO292" s="1055"/>
      <c r="CP292" s="1490" t="str">
        <f t="shared" si="369"/>
        <v/>
      </c>
      <c r="CQ292" s="1053"/>
      <c r="CR292" s="1488" t="str">
        <f>IF(F292&gt;$F$18,"",IF(CQ292&lt;&gt;"","",IF(ISNA(VLOOKUP('I. Stream &amp; Compound Data'!H292,'Potency Factors '!D$387:E$399,2,FALSE))=FALSE,VLOOKUP('I. Stream &amp; Compound Data'!H292,'Potency Factors '!D$387:E$399,2,FALSE),IF(ISNUMBER(SEARCH("phosphate",G292))=TRUE,1,IF(ISNUMBER(SEARCH("nitrate",G292))=TRUE,0.1,0)))))</f>
        <v/>
      </c>
      <c r="CS292" s="1053"/>
      <c r="CT292" s="1491" t="str">
        <f>IF(F292&gt;$F$18,"",IF(CS292&lt;&gt;"","",IF(ISNA(VLOOKUP('I. Stream &amp; Compound Data'!H292,'Potency Factors '!$D$485:$F$558,3,FALSE))=TRUE,0,VLOOKUP('I. Stream &amp; Compound Data'!H292,'Potency Factors '!$D$485:$F$558,3,FALSE))))</f>
        <v/>
      </c>
      <c r="CU292" s="1588"/>
    </row>
    <row r="293" ht="15" x14ac:dyDescent="0.25">
      <c r="B293" s="1612"/>
      <c r="C293" s="1613"/>
      <c r="D293" s="1613"/>
      <c r="E293" s="1613"/>
      <c r="F293" s="1481">
        <f t="shared" si="358"/>
        <v>32</v>
      </c>
      <c r="G293" s="1482" t="str">
        <f t="shared" si="359"/>
        <v/>
      </c>
      <c r="H293" s="1483" t="str">
        <f t="shared" si="360"/>
        <v/>
      </c>
      <c r="I293" s="1483" t="str">
        <f t="shared" si="361"/>
        <v/>
      </c>
      <c r="J293" s="1484" t="str">
        <f t="shared" si="362"/>
        <v/>
      </c>
      <c r="K293" s="1046"/>
      <c r="L293" s="1483" t="str">
        <f t="shared" si="357"/>
        <v/>
      </c>
      <c r="M293" s="1483" t="str">
        <f t="shared" si="349"/>
        <v/>
      </c>
      <c r="N293" s="1483" t="str">
        <f t="shared" si="350"/>
        <v/>
      </c>
      <c r="O293" s="1483" t="str">
        <f t="shared" si="351"/>
        <v/>
      </c>
      <c r="P293" s="1485" t="str">
        <f t="shared" si="352"/>
        <v/>
      </c>
      <c r="Q293" s="1486" t="str">
        <f t="shared" si="356"/>
        <v/>
      </c>
      <c r="R293" s="1046"/>
      <c r="S293" s="1022"/>
      <c r="T293" s="1047"/>
      <c r="U293" s="1046"/>
      <c r="V293" s="1022"/>
      <c r="W293" s="1487" t="str">
        <f t="shared" si="353"/>
        <v/>
      </c>
      <c r="X293" s="1048"/>
      <c r="Y293" s="1046"/>
      <c r="Z293" s="1022"/>
      <c r="AA293" s="1022"/>
      <c r="AB293" s="1050"/>
      <c r="AC293" s="1051"/>
      <c r="AD293" s="1026"/>
      <c r="AE293" s="1026"/>
      <c r="AF293" s="1050"/>
      <c r="AG293" s="1049"/>
      <c r="AH293" s="65"/>
      <c r="AI293" s="1026"/>
      <c r="AJ293" s="65"/>
      <c r="AK293" s="1026"/>
      <c r="AL293" s="68"/>
      <c r="AM293" s="1046"/>
      <c r="AN293" s="1022"/>
      <c r="AO293" s="1022"/>
      <c r="AP293" s="1052"/>
      <c r="AQ293" s="1488" t="str">
        <f t="shared" si="363"/>
        <v/>
      </c>
      <c r="AR293" s="1053"/>
      <c r="AS293" s="1488" t="str">
        <f t="shared" si="364"/>
        <v/>
      </c>
      <c r="AT293" s="1053"/>
      <c r="AU293" s="1488" t="str">
        <f t="shared" si="365"/>
        <v/>
      </c>
      <c r="AV293" s="1026"/>
      <c r="AW293" s="1026"/>
      <c r="AX293" s="1050"/>
      <c r="AY293" s="1049"/>
      <c r="AZ293" s="1036"/>
      <c r="BA293" s="1026"/>
      <c r="BB293" s="1054"/>
      <c r="BC293" s="1026"/>
      <c r="BD293" s="1055"/>
      <c r="BE293" s="1035"/>
      <c r="BF293" s="1056"/>
      <c r="BG293" s="1057"/>
      <c r="BH293" s="1057"/>
      <c r="BI293" s="1026"/>
      <c r="BJ293" s="1050"/>
      <c r="BK293" s="1058"/>
      <c r="BL293" s="1059"/>
      <c r="BM293" s="1059"/>
      <c r="BN293" s="1036"/>
      <c r="BO293" s="1060"/>
      <c r="BP293" s="1488" t="str">
        <f>IF(F293&gt;$F$18,"",IF(BO293&lt;&gt;"","",IF(ISNA(VLOOKUP('I. Stream &amp; Compound Data'!H293,'Potency Factors '!D$4:E$55,2,FALSE))=TRUE,0,VLOOKUP('I. Stream &amp; Compound Data'!H293,'Potency Factors '!D$4:E$55,2,FALSE))))</f>
        <v/>
      </c>
      <c r="BQ293" s="1053"/>
      <c r="BR293" s="1488" t="str">
        <f>IF(F293&gt;$F$18,"",IF(BQ293&lt;&gt;"","",IF(ISNA(VLOOKUP('I. Stream &amp; Compound Data'!H293,'Potency Factors '!D$68:E$167,2,FALSE))=TRUE,0,VLOOKUP('I. Stream &amp; Compound Data'!H293,'Potency Factors '!D$68:E$167,2,FALSE))))</f>
        <v/>
      </c>
      <c r="BS293" s="1053"/>
      <c r="BT293" s="1488" t="str">
        <f>IF(F293&gt;$F$18,"",IF(BS293&lt;&gt;"","",IF(ISNA(VLOOKUP('I. Stream &amp; Compound Data'!H293,'Potency Factors '!$D$412:$F$473,3,FALSE))=TRUE,0,VLOOKUP('I. Stream &amp; Compound Data'!H293,'Potency Factors '!$D$412:$F$473,3,FALSE))))</f>
        <v/>
      </c>
      <c r="BU293" s="1053"/>
      <c r="BV293" s="1488" t="str">
        <f>IF(F293&gt;$F$18,"",IF(BU293&lt;&gt;"","",IF(ISNA(VLOOKUP('I. Stream &amp; Compound Data'!H293,'Potency Factors '!D$180:E$185,2,FALSE))=TRUE,0,VLOOKUP('I. Stream &amp; Compound Data'!H293,'Potency Factors '!D$180:E$185,2,FALSE))))</f>
        <v/>
      </c>
      <c r="BW293" s="1055"/>
      <c r="BX293" s="1489" t="str">
        <f t="shared" si="366"/>
        <v/>
      </c>
      <c r="BY293" s="1055"/>
      <c r="BZ293" s="1489" t="str">
        <f t="shared" si="367"/>
        <v/>
      </c>
      <c r="CA293" s="1055"/>
      <c r="CB293" s="1036"/>
      <c r="CC293" s="1489" t="str">
        <f t="shared" si="368"/>
        <v/>
      </c>
      <c r="CD293" s="1053"/>
      <c r="CE293" s="1488" t="str">
        <f>IF(F293&gt;$F$18,"",IF(CD293&lt;&gt;"","",IF(ISNA(VLOOKUP('I. Stream &amp; Compound Data'!H293,'Potency Factors '!D$224:F$345,3,FALSE))=TRUE,0,VLOOKUP('I. Stream &amp; Compound Data'!H293,'Potency Factors '!D$224:F$345,3,FALSE))))</f>
        <v/>
      </c>
      <c r="CF293" s="1053"/>
      <c r="CG293" s="1488" t="str">
        <f>IF(F293&gt;$F$18,"",IF(CF293&lt;&gt;"","",IF(ISNA(VLOOKUP('I. Stream &amp; Compound Data'!H293,'Potency Factors '!D$361:F$374,3,FALSE))=TRUE,0,VLOOKUP('I. Stream &amp; Compound Data'!H293,'Potency Factors '!D$361:F$374,3,FALSE))))</f>
        <v/>
      </c>
      <c r="CH293" s="1055"/>
      <c r="CI293" s="1055"/>
      <c r="CJ293" s="1055"/>
      <c r="CK293" s="1055"/>
      <c r="CL293" s="1055"/>
      <c r="CM293" s="1055"/>
      <c r="CN293" s="1055"/>
      <c r="CO293" s="1055"/>
      <c r="CP293" s="1490" t="str">
        <f t="shared" si="369"/>
        <v/>
      </c>
      <c r="CQ293" s="1053"/>
      <c r="CR293" s="1488" t="str">
        <f>IF(F293&gt;$F$18,"",IF(CQ293&lt;&gt;"","",IF(ISNA(VLOOKUP('I. Stream &amp; Compound Data'!H293,'Potency Factors '!D$387:E$399,2,FALSE))=FALSE,VLOOKUP('I. Stream &amp; Compound Data'!H293,'Potency Factors '!D$387:E$399,2,FALSE),IF(ISNUMBER(SEARCH("phosphate",G293))=TRUE,1,IF(ISNUMBER(SEARCH("nitrate",G293))=TRUE,0.1,0)))))</f>
        <v/>
      </c>
      <c r="CS293" s="1053"/>
      <c r="CT293" s="1491" t="str">
        <f>IF(F293&gt;$F$18,"",IF(CS293&lt;&gt;"","",IF(ISNA(VLOOKUP('I. Stream &amp; Compound Data'!H293,'Potency Factors '!$D$485:$F$558,3,FALSE))=TRUE,0,VLOOKUP('I. Stream &amp; Compound Data'!H293,'Potency Factors '!$D$485:$F$558,3,FALSE))))</f>
        <v/>
      </c>
      <c r="CU293" s="1588"/>
    </row>
    <row r="294" ht="15" x14ac:dyDescent="0.25">
      <c r="B294" s="1612"/>
      <c r="C294" s="1613"/>
      <c r="D294" s="1613"/>
      <c r="E294" s="1613"/>
      <c r="F294" s="1481">
        <f t="shared" si="358"/>
        <v>33</v>
      </c>
      <c r="G294" s="1482" t="str">
        <f t="shared" si="359"/>
        <v/>
      </c>
      <c r="H294" s="1483" t="str">
        <f t="shared" si="360"/>
        <v/>
      </c>
      <c r="I294" s="1483" t="str">
        <f t="shared" si="361"/>
        <v/>
      </c>
      <c r="J294" s="1484" t="str">
        <f t="shared" si="362"/>
        <v/>
      </c>
      <c r="K294" s="1046"/>
      <c r="L294" s="1483" t="str">
        <f t="shared" si="357"/>
        <v/>
      </c>
      <c r="M294" s="1483" t="str">
        <f t="shared" si="349"/>
        <v/>
      </c>
      <c r="N294" s="1483" t="str">
        <f t="shared" si="350"/>
        <v/>
      </c>
      <c r="O294" s="1483" t="str">
        <f t="shared" si="351"/>
        <v/>
      </c>
      <c r="P294" s="1485" t="str">
        <f t="shared" si="352"/>
        <v/>
      </c>
      <c r="Q294" s="1486" t="str">
        <f t="shared" si="356"/>
        <v/>
      </c>
      <c r="R294" s="1046"/>
      <c r="S294" s="1022"/>
      <c r="T294" s="1047"/>
      <c r="U294" s="1046"/>
      <c r="V294" s="1022"/>
      <c r="W294" s="1487" t="str">
        <f t="shared" si="353"/>
        <v/>
      </c>
      <c r="X294" s="1048"/>
      <c r="Y294" s="1046"/>
      <c r="Z294" s="1022"/>
      <c r="AA294" s="1022"/>
      <c r="AB294" s="1050"/>
      <c r="AC294" s="1051"/>
      <c r="AD294" s="1026"/>
      <c r="AE294" s="1026"/>
      <c r="AF294" s="1050"/>
      <c r="AG294" s="1049"/>
      <c r="AH294" s="65"/>
      <c r="AI294" s="1026"/>
      <c r="AJ294" s="65"/>
      <c r="AK294" s="1026"/>
      <c r="AL294" s="68"/>
      <c r="AM294" s="1046"/>
      <c r="AN294" s="1022"/>
      <c r="AO294" s="1022"/>
      <c r="AP294" s="1052"/>
      <c r="AQ294" s="1488" t="str">
        <f t="shared" si="363"/>
        <v/>
      </c>
      <c r="AR294" s="1053"/>
      <c r="AS294" s="1488" t="str">
        <f t="shared" si="364"/>
        <v/>
      </c>
      <c r="AT294" s="1053"/>
      <c r="AU294" s="1488" t="str">
        <f t="shared" si="365"/>
        <v/>
      </c>
      <c r="AV294" s="1026"/>
      <c r="AW294" s="1026"/>
      <c r="AX294" s="1050"/>
      <c r="AY294" s="1049"/>
      <c r="AZ294" s="1036"/>
      <c r="BA294" s="1026"/>
      <c r="BB294" s="1054"/>
      <c r="BC294" s="1026"/>
      <c r="BD294" s="1055"/>
      <c r="BE294" s="1035"/>
      <c r="BF294" s="1056"/>
      <c r="BG294" s="1057"/>
      <c r="BH294" s="1057"/>
      <c r="BI294" s="1026"/>
      <c r="BJ294" s="1050"/>
      <c r="BK294" s="1058"/>
      <c r="BL294" s="1059"/>
      <c r="BM294" s="1059"/>
      <c r="BN294" s="1036"/>
      <c r="BO294" s="1060"/>
      <c r="BP294" s="1488" t="str">
        <f>IF(F294&gt;$F$18,"",IF(BO294&lt;&gt;"","",IF(ISNA(VLOOKUP('I. Stream &amp; Compound Data'!H294,'Potency Factors '!D$4:E$55,2,FALSE))=TRUE,0,VLOOKUP('I. Stream &amp; Compound Data'!H294,'Potency Factors '!D$4:E$55,2,FALSE))))</f>
        <v/>
      </c>
      <c r="BQ294" s="1053"/>
      <c r="BR294" s="1488" t="str">
        <f>IF(F294&gt;$F$18,"",IF(BQ294&lt;&gt;"","",IF(ISNA(VLOOKUP('I. Stream &amp; Compound Data'!H294,'Potency Factors '!D$68:E$167,2,FALSE))=TRUE,0,VLOOKUP('I. Stream &amp; Compound Data'!H294,'Potency Factors '!D$68:E$167,2,FALSE))))</f>
        <v/>
      </c>
      <c r="BS294" s="1053"/>
      <c r="BT294" s="1488" t="str">
        <f>IF(F294&gt;$F$18,"",IF(BS294&lt;&gt;"","",IF(ISNA(VLOOKUP('I. Stream &amp; Compound Data'!H294,'Potency Factors '!$D$412:$F$473,3,FALSE))=TRUE,0,VLOOKUP('I. Stream &amp; Compound Data'!H294,'Potency Factors '!$D$412:$F$473,3,FALSE))))</f>
        <v/>
      </c>
      <c r="BU294" s="1053"/>
      <c r="BV294" s="1488" t="str">
        <f>IF(F294&gt;$F$18,"",IF(BU294&lt;&gt;"","",IF(ISNA(VLOOKUP('I. Stream &amp; Compound Data'!H294,'Potency Factors '!D$180:E$185,2,FALSE))=TRUE,0,VLOOKUP('I. Stream &amp; Compound Data'!H294,'Potency Factors '!D$180:E$185,2,FALSE))))</f>
        <v/>
      </c>
      <c r="BW294" s="1055"/>
      <c r="BX294" s="1489" t="str">
        <f t="shared" si="366"/>
        <v/>
      </c>
      <c r="BY294" s="1055"/>
      <c r="BZ294" s="1489" t="str">
        <f t="shared" si="367"/>
        <v/>
      </c>
      <c r="CA294" s="1055"/>
      <c r="CB294" s="1036"/>
      <c r="CC294" s="1489" t="str">
        <f t="shared" si="368"/>
        <v/>
      </c>
      <c r="CD294" s="1053"/>
      <c r="CE294" s="1488" t="str">
        <f>IF(F294&gt;$F$18,"",IF(CD294&lt;&gt;"","",IF(ISNA(VLOOKUP('I. Stream &amp; Compound Data'!H294,'Potency Factors '!D$224:F$345,3,FALSE))=TRUE,0,VLOOKUP('I. Stream &amp; Compound Data'!H294,'Potency Factors '!D$224:F$345,3,FALSE))))</f>
        <v/>
      </c>
      <c r="CF294" s="1053"/>
      <c r="CG294" s="1488" t="str">
        <f>IF(F294&gt;$F$18,"",IF(CF294&lt;&gt;"","",IF(ISNA(VLOOKUP('I. Stream &amp; Compound Data'!H294,'Potency Factors '!D$361:F$374,3,FALSE))=TRUE,0,VLOOKUP('I. Stream &amp; Compound Data'!H294,'Potency Factors '!D$361:F$374,3,FALSE))))</f>
        <v/>
      </c>
      <c r="CH294" s="1055"/>
      <c r="CI294" s="1055"/>
      <c r="CJ294" s="1055"/>
      <c r="CK294" s="1055"/>
      <c r="CL294" s="1055"/>
      <c r="CM294" s="1055"/>
      <c r="CN294" s="1055"/>
      <c r="CO294" s="1055"/>
      <c r="CP294" s="1490" t="str">
        <f t="shared" si="369"/>
        <v/>
      </c>
      <c r="CQ294" s="1053"/>
      <c r="CR294" s="1488" t="str">
        <f>IF(F294&gt;$F$18,"",IF(CQ294&lt;&gt;"","",IF(ISNA(VLOOKUP('I. Stream &amp; Compound Data'!H294,'Potency Factors '!D$387:E$399,2,FALSE))=FALSE,VLOOKUP('I. Stream &amp; Compound Data'!H294,'Potency Factors '!D$387:E$399,2,FALSE),IF(ISNUMBER(SEARCH("phosphate",G294))=TRUE,1,IF(ISNUMBER(SEARCH("nitrate",G294))=TRUE,0.1,0)))))</f>
        <v/>
      </c>
      <c r="CS294" s="1053"/>
      <c r="CT294" s="1491" t="str">
        <f>IF(F294&gt;$F$18,"",IF(CS294&lt;&gt;"","",IF(ISNA(VLOOKUP('I. Stream &amp; Compound Data'!H294,'Potency Factors '!$D$485:$F$558,3,FALSE))=TRUE,0,VLOOKUP('I. Stream &amp; Compound Data'!H294,'Potency Factors '!$D$485:$F$558,3,FALSE))))</f>
        <v/>
      </c>
      <c r="CU294" s="1588"/>
    </row>
    <row r="295" ht="15" x14ac:dyDescent="0.25">
      <c r="B295" s="1612"/>
      <c r="C295" s="1613"/>
      <c r="D295" s="1613"/>
      <c r="E295" s="1613"/>
      <c r="F295" s="1481">
        <f t="shared" si="358"/>
        <v>34</v>
      </c>
      <c r="G295" s="1482" t="str">
        <f t="shared" si="359"/>
        <v/>
      </c>
      <c r="H295" s="1483" t="str">
        <f t="shared" si="360"/>
        <v/>
      </c>
      <c r="I295" s="1483" t="str">
        <f t="shared" si="361"/>
        <v/>
      </c>
      <c r="J295" s="1484" t="str">
        <f t="shared" si="362"/>
        <v/>
      </c>
      <c r="K295" s="1046"/>
      <c r="L295" s="1483" t="str">
        <f t="shared" si="357"/>
        <v/>
      </c>
      <c r="M295" s="1483" t="str">
        <f t="shared" si="349"/>
        <v/>
      </c>
      <c r="N295" s="1483" t="str">
        <f t="shared" si="350"/>
        <v/>
      </c>
      <c r="O295" s="1483" t="str">
        <f t="shared" si="351"/>
        <v/>
      </c>
      <c r="P295" s="1485" t="str">
        <f t="shared" si="352"/>
        <v/>
      </c>
      <c r="Q295" s="1486" t="str">
        <f t="shared" si="356"/>
        <v/>
      </c>
      <c r="R295" s="1046"/>
      <c r="S295" s="1022"/>
      <c r="T295" s="1047"/>
      <c r="U295" s="1046"/>
      <c r="V295" s="1022"/>
      <c r="W295" s="1487" t="str">
        <f t="shared" si="353"/>
        <v/>
      </c>
      <c r="X295" s="1048"/>
      <c r="Y295" s="1046"/>
      <c r="Z295" s="1022"/>
      <c r="AA295" s="1022"/>
      <c r="AB295" s="1050"/>
      <c r="AC295" s="1051"/>
      <c r="AD295" s="1026"/>
      <c r="AE295" s="1026"/>
      <c r="AF295" s="1050"/>
      <c r="AG295" s="1049"/>
      <c r="AH295" s="65"/>
      <c r="AI295" s="1026"/>
      <c r="AJ295" s="65"/>
      <c r="AK295" s="1026"/>
      <c r="AL295" s="68"/>
      <c r="AM295" s="1046"/>
      <c r="AN295" s="1022"/>
      <c r="AO295" s="1022"/>
      <c r="AP295" s="1052"/>
      <c r="AQ295" s="1488" t="str">
        <f t="shared" si="363"/>
        <v/>
      </c>
      <c r="AR295" s="1053"/>
      <c r="AS295" s="1488" t="str">
        <f t="shared" si="364"/>
        <v/>
      </c>
      <c r="AT295" s="1053"/>
      <c r="AU295" s="1488" t="str">
        <f t="shared" si="365"/>
        <v/>
      </c>
      <c r="AV295" s="1026"/>
      <c r="AW295" s="1026"/>
      <c r="AX295" s="1050"/>
      <c r="AY295" s="1049"/>
      <c r="AZ295" s="1036"/>
      <c r="BA295" s="1026"/>
      <c r="BB295" s="1054"/>
      <c r="BC295" s="1026"/>
      <c r="BD295" s="1055"/>
      <c r="BE295" s="1035"/>
      <c r="BF295" s="1056"/>
      <c r="BG295" s="1057"/>
      <c r="BH295" s="1057"/>
      <c r="BI295" s="1026"/>
      <c r="BJ295" s="1050"/>
      <c r="BK295" s="1058"/>
      <c r="BL295" s="1059"/>
      <c r="BM295" s="1059"/>
      <c r="BN295" s="1036"/>
      <c r="BO295" s="1060"/>
      <c r="BP295" s="1488" t="str">
        <f>IF(F295&gt;$F$18,"",IF(BO295&lt;&gt;"","",IF(ISNA(VLOOKUP('I. Stream &amp; Compound Data'!H295,'Potency Factors '!D$4:E$55,2,FALSE))=TRUE,0,VLOOKUP('I. Stream &amp; Compound Data'!H295,'Potency Factors '!D$4:E$55,2,FALSE))))</f>
        <v/>
      </c>
      <c r="BQ295" s="1053"/>
      <c r="BR295" s="1488" t="str">
        <f>IF(F295&gt;$F$18,"",IF(BQ295&lt;&gt;"","",IF(ISNA(VLOOKUP('I. Stream &amp; Compound Data'!H295,'Potency Factors '!D$68:E$167,2,FALSE))=TRUE,0,VLOOKUP('I. Stream &amp; Compound Data'!H295,'Potency Factors '!D$68:E$167,2,FALSE))))</f>
        <v/>
      </c>
      <c r="BS295" s="1053"/>
      <c r="BT295" s="1488" t="str">
        <f>IF(F295&gt;$F$18,"",IF(BS295&lt;&gt;"","",IF(ISNA(VLOOKUP('I. Stream &amp; Compound Data'!H295,'Potency Factors '!$D$412:$F$473,3,FALSE))=TRUE,0,VLOOKUP('I. Stream &amp; Compound Data'!H295,'Potency Factors '!$D$412:$F$473,3,FALSE))))</f>
        <v/>
      </c>
      <c r="BU295" s="1053"/>
      <c r="BV295" s="1488" t="str">
        <f>IF(F295&gt;$F$18,"",IF(BU295&lt;&gt;"","",IF(ISNA(VLOOKUP('I. Stream &amp; Compound Data'!H295,'Potency Factors '!D$180:E$185,2,FALSE))=TRUE,0,VLOOKUP('I. Stream &amp; Compound Data'!H295,'Potency Factors '!D$180:E$185,2,FALSE))))</f>
        <v/>
      </c>
      <c r="BW295" s="1055"/>
      <c r="BX295" s="1489" t="str">
        <f t="shared" si="366"/>
        <v/>
      </c>
      <c r="BY295" s="1055"/>
      <c r="BZ295" s="1489" t="str">
        <f t="shared" si="367"/>
        <v/>
      </c>
      <c r="CA295" s="1055"/>
      <c r="CB295" s="1036"/>
      <c r="CC295" s="1489" t="str">
        <f t="shared" si="368"/>
        <v/>
      </c>
      <c r="CD295" s="1053"/>
      <c r="CE295" s="1488" t="str">
        <f>IF(F295&gt;$F$18,"",IF(CD295&lt;&gt;"","",IF(ISNA(VLOOKUP('I. Stream &amp; Compound Data'!H295,'Potency Factors '!D$224:F$345,3,FALSE))=TRUE,0,VLOOKUP('I. Stream &amp; Compound Data'!H295,'Potency Factors '!D$224:F$345,3,FALSE))))</f>
        <v/>
      </c>
      <c r="CF295" s="1053"/>
      <c r="CG295" s="1488" t="str">
        <f>IF(F295&gt;$F$18,"",IF(CF295&lt;&gt;"","",IF(ISNA(VLOOKUP('I. Stream &amp; Compound Data'!H295,'Potency Factors '!D$361:F$374,3,FALSE))=TRUE,0,VLOOKUP('I. Stream &amp; Compound Data'!H295,'Potency Factors '!D$361:F$374,3,FALSE))))</f>
        <v/>
      </c>
      <c r="CH295" s="1055"/>
      <c r="CI295" s="1055"/>
      <c r="CJ295" s="1055"/>
      <c r="CK295" s="1055"/>
      <c r="CL295" s="1055"/>
      <c r="CM295" s="1055"/>
      <c r="CN295" s="1055"/>
      <c r="CO295" s="1055"/>
      <c r="CP295" s="1490" t="str">
        <f t="shared" si="369"/>
        <v/>
      </c>
      <c r="CQ295" s="1053"/>
      <c r="CR295" s="1488" t="str">
        <f>IF(F295&gt;$F$18,"",IF(CQ295&lt;&gt;"","",IF(ISNA(VLOOKUP('I. Stream &amp; Compound Data'!H295,'Potency Factors '!D$387:E$399,2,FALSE))=FALSE,VLOOKUP('I. Stream &amp; Compound Data'!H295,'Potency Factors '!D$387:E$399,2,FALSE),IF(ISNUMBER(SEARCH("phosphate",G295))=TRUE,1,IF(ISNUMBER(SEARCH("nitrate",G295))=TRUE,0.1,0)))))</f>
        <v/>
      </c>
      <c r="CS295" s="1053"/>
      <c r="CT295" s="1491" t="str">
        <f>IF(F295&gt;$F$18,"",IF(CS295&lt;&gt;"","",IF(ISNA(VLOOKUP('I. Stream &amp; Compound Data'!H295,'Potency Factors '!$D$485:$F$558,3,FALSE))=TRUE,0,VLOOKUP('I. Stream &amp; Compound Data'!H295,'Potency Factors '!$D$485:$F$558,3,FALSE))))</f>
        <v/>
      </c>
      <c r="CU295" s="1588"/>
    </row>
    <row r="296" ht="15" x14ac:dyDescent="0.25">
      <c r="B296" s="1612"/>
      <c r="C296" s="1613"/>
      <c r="D296" s="1613"/>
      <c r="E296" s="1613"/>
      <c r="F296" s="1481">
        <f t="shared" si="358"/>
        <v>35</v>
      </c>
      <c r="G296" s="1482" t="str">
        <f t="shared" si="359"/>
        <v/>
      </c>
      <c r="H296" s="1483" t="str">
        <f t="shared" si="360"/>
        <v/>
      </c>
      <c r="I296" s="1483" t="str">
        <f t="shared" si="361"/>
        <v/>
      </c>
      <c r="J296" s="1484" t="str">
        <f t="shared" si="362"/>
        <v/>
      </c>
      <c r="K296" s="1046"/>
      <c r="L296" s="1483" t="str">
        <f t="shared" si="357"/>
        <v/>
      </c>
      <c r="M296" s="1483" t="str">
        <f t="shared" si="349"/>
        <v/>
      </c>
      <c r="N296" s="1483" t="str">
        <f t="shared" si="350"/>
        <v/>
      </c>
      <c r="O296" s="1483" t="str">
        <f t="shared" si="351"/>
        <v/>
      </c>
      <c r="P296" s="1485" t="str">
        <f t="shared" si="352"/>
        <v/>
      </c>
      <c r="Q296" s="1486" t="str">
        <f t="shared" si="356"/>
        <v/>
      </c>
      <c r="R296" s="1046"/>
      <c r="S296" s="1022"/>
      <c r="T296" s="1047"/>
      <c r="U296" s="1046"/>
      <c r="V296" s="1022"/>
      <c r="W296" s="1487" t="str">
        <f t="shared" si="353"/>
        <v/>
      </c>
      <c r="X296" s="1048"/>
      <c r="Y296" s="1046"/>
      <c r="Z296" s="1022"/>
      <c r="AA296" s="1022"/>
      <c r="AB296" s="1050"/>
      <c r="AC296" s="1051"/>
      <c r="AD296" s="1026"/>
      <c r="AE296" s="1026"/>
      <c r="AF296" s="1050"/>
      <c r="AG296" s="1049"/>
      <c r="AH296" s="65"/>
      <c r="AI296" s="1026"/>
      <c r="AJ296" s="65"/>
      <c r="AK296" s="1026"/>
      <c r="AL296" s="68"/>
      <c r="AM296" s="1046"/>
      <c r="AN296" s="1022"/>
      <c r="AO296" s="1022"/>
      <c r="AP296" s="1052"/>
      <c r="AQ296" s="1488" t="str">
        <f t="shared" si="363"/>
        <v/>
      </c>
      <c r="AR296" s="1053"/>
      <c r="AS296" s="1488" t="str">
        <f t="shared" si="364"/>
        <v/>
      </c>
      <c r="AT296" s="1053"/>
      <c r="AU296" s="1488" t="str">
        <f t="shared" si="365"/>
        <v/>
      </c>
      <c r="AV296" s="1026"/>
      <c r="AW296" s="1026"/>
      <c r="AX296" s="1050"/>
      <c r="AY296" s="1049"/>
      <c r="AZ296" s="1036"/>
      <c r="BA296" s="1026"/>
      <c r="BB296" s="1054"/>
      <c r="BC296" s="1026"/>
      <c r="BD296" s="1055"/>
      <c r="BE296" s="1035"/>
      <c r="BF296" s="1056"/>
      <c r="BG296" s="1057"/>
      <c r="BH296" s="1057"/>
      <c r="BI296" s="1026"/>
      <c r="BJ296" s="1050"/>
      <c r="BK296" s="1058"/>
      <c r="BL296" s="1059"/>
      <c r="BM296" s="1059"/>
      <c r="BN296" s="1036"/>
      <c r="BO296" s="1060"/>
      <c r="BP296" s="1488" t="str">
        <f>IF(F296&gt;$F$18,"",IF(BO296&lt;&gt;"","",IF(ISNA(VLOOKUP('I. Stream &amp; Compound Data'!H296,'Potency Factors '!D$4:E$55,2,FALSE))=TRUE,0,VLOOKUP('I. Stream &amp; Compound Data'!H296,'Potency Factors '!D$4:E$55,2,FALSE))))</f>
        <v/>
      </c>
      <c r="BQ296" s="1053"/>
      <c r="BR296" s="1488" t="str">
        <f>IF(F296&gt;$F$18,"",IF(BQ296&lt;&gt;"","",IF(ISNA(VLOOKUP('I. Stream &amp; Compound Data'!H296,'Potency Factors '!D$68:E$167,2,FALSE))=TRUE,0,VLOOKUP('I. Stream &amp; Compound Data'!H296,'Potency Factors '!D$68:E$167,2,FALSE))))</f>
        <v/>
      </c>
      <c r="BS296" s="1053"/>
      <c r="BT296" s="1488" t="str">
        <f>IF(F296&gt;$F$18,"",IF(BS296&lt;&gt;"","",IF(ISNA(VLOOKUP('I. Stream &amp; Compound Data'!H296,'Potency Factors '!$D$412:$F$473,3,FALSE))=TRUE,0,VLOOKUP('I. Stream &amp; Compound Data'!H296,'Potency Factors '!$D$412:$F$473,3,FALSE))))</f>
        <v/>
      </c>
      <c r="BU296" s="1053"/>
      <c r="BV296" s="1488" t="str">
        <f>IF(F296&gt;$F$18,"",IF(BU296&lt;&gt;"","",IF(ISNA(VLOOKUP('I. Stream &amp; Compound Data'!H296,'Potency Factors '!D$180:E$185,2,FALSE))=TRUE,0,VLOOKUP('I. Stream &amp; Compound Data'!H296,'Potency Factors '!D$180:E$185,2,FALSE))))</f>
        <v/>
      </c>
      <c r="BW296" s="1055"/>
      <c r="BX296" s="1489" t="str">
        <f t="shared" si="366"/>
        <v/>
      </c>
      <c r="BY296" s="1055"/>
      <c r="BZ296" s="1489" t="str">
        <f t="shared" si="367"/>
        <v/>
      </c>
      <c r="CA296" s="1055"/>
      <c r="CB296" s="1036"/>
      <c r="CC296" s="1489" t="str">
        <f t="shared" si="368"/>
        <v/>
      </c>
      <c r="CD296" s="1053"/>
      <c r="CE296" s="1488" t="str">
        <f>IF(F296&gt;$F$18,"",IF(CD296&lt;&gt;"","",IF(ISNA(VLOOKUP('I. Stream &amp; Compound Data'!H296,'Potency Factors '!D$224:F$345,3,FALSE))=TRUE,0,VLOOKUP('I. Stream &amp; Compound Data'!H296,'Potency Factors '!D$224:F$345,3,FALSE))))</f>
        <v/>
      </c>
      <c r="CF296" s="1053"/>
      <c r="CG296" s="1488" t="str">
        <f>IF(F296&gt;$F$18,"",IF(CF296&lt;&gt;"","",IF(ISNA(VLOOKUP('I. Stream &amp; Compound Data'!H296,'Potency Factors '!D$361:F$374,3,FALSE))=TRUE,0,VLOOKUP('I. Stream &amp; Compound Data'!H296,'Potency Factors '!D$361:F$374,3,FALSE))))</f>
        <v/>
      </c>
      <c r="CH296" s="1055"/>
      <c r="CI296" s="1055"/>
      <c r="CJ296" s="1055"/>
      <c r="CK296" s="1055"/>
      <c r="CL296" s="1055"/>
      <c r="CM296" s="1055"/>
      <c r="CN296" s="1055"/>
      <c r="CO296" s="1055"/>
      <c r="CP296" s="1490" t="str">
        <f t="shared" si="369"/>
        <v/>
      </c>
      <c r="CQ296" s="1053"/>
      <c r="CR296" s="1488" t="str">
        <f>IF(F296&gt;$F$18,"",IF(CQ296&lt;&gt;"","",IF(ISNA(VLOOKUP('I. Stream &amp; Compound Data'!H296,'Potency Factors '!D$387:E$399,2,FALSE))=FALSE,VLOOKUP('I. Stream &amp; Compound Data'!H296,'Potency Factors '!D$387:E$399,2,FALSE),IF(ISNUMBER(SEARCH("phosphate",G296))=TRUE,1,IF(ISNUMBER(SEARCH("nitrate",G296))=TRUE,0.1,0)))))</f>
        <v/>
      </c>
      <c r="CS296" s="1053"/>
      <c r="CT296" s="1491" t="str">
        <f>IF(F296&gt;$F$18,"",IF(CS296&lt;&gt;"","",IF(ISNA(VLOOKUP('I. Stream &amp; Compound Data'!H296,'Potency Factors '!$D$485:$F$558,3,FALSE))=TRUE,0,VLOOKUP('I. Stream &amp; Compound Data'!H296,'Potency Factors '!$D$485:$F$558,3,FALSE))))</f>
        <v/>
      </c>
      <c r="CU296" s="1588"/>
    </row>
    <row r="297" ht="15" x14ac:dyDescent="0.25">
      <c r="B297" s="1612"/>
      <c r="C297" s="1613"/>
      <c r="D297" s="1613"/>
      <c r="E297" s="1613"/>
      <c r="F297" s="1481">
        <f t="shared" si="358"/>
        <v>36</v>
      </c>
      <c r="G297" s="1482" t="str">
        <f t="shared" si="359"/>
        <v/>
      </c>
      <c r="H297" s="1483" t="str">
        <f t="shared" si="360"/>
        <v/>
      </c>
      <c r="I297" s="1483" t="str">
        <f t="shared" si="361"/>
        <v/>
      </c>
      <c r="J297" s="1484" t="str">
        <f t="shared" si="362"/>
        <v/>
      </c>
      <c r="K297" s="1046"/>
      <c r="L297" s="1483" t="str">
        <f t="shared" si="357"/>
        <v/>
      </c>
      <c r="M297" s="1483" t="str">
        <f t="shared" si="349"/>
        <v/>
      </c>
      <c r="N297" s="1483" t="str">
        <f t="shared" si="350"/>
        <v/>
      </c>
      <c r="O297" s="1483" t="str">
        <f t="shared" si="351"/>
        <v/>
      </c>
      <c r="P297" s="1485" t="str">
        <f t="shared" si="352"/>
        <v/>
      </c>
      <c r="Q297" s="1486" t="str">
        <f t="shared" si="356"/>
        <v/>
      </c>
      <c r="R297" s="1046"/>
      <c r="S297" s="1022"/>
      <c r="T297" s="1047"/>
      <c r="U297" s="1046"/>
      <c r="V297" s="1022"/>
      <c r="W297" s="1487" t="str">
        <f t="shared" si="353"/>
        <v/>
      </c>
      <c r="X297" s="1048"/>
      <c r="Y297" s="1046"/>
      <c r="Z297" s="1022"/>
      <c r="AA297" s="1022"/>
      <c r="AB297" s="1050"/>
      <c r="AC297" s="1051"/>
      <c r="AD297" s="1026"/>
      <c r="AE297" s="1026"/>
      <c r="AF297" s="1050"/>
      <c r="AG297" s="1049"/>
      <c r="AH297" s="65"/>
      <c r="AI297" s="1026"/>
      <c r="AJ297" s="65"/>
      <c r="AK297" s="1026"/>
      <c r="AL297" s="68"/>
      <c r="AM297" s="1046"/>
      <c r="AN297" s="1022"/>
      <c r="AO297" s="1022"/>
      <c r="AP297" s="1052"/>
      <c r="AQ297" s="1488" t="str">
        <f t="shared" si="363"/>
        <v/>
      </c>
      <c r="AR297" s="1053"/>
      <c r="AS297" s="1488" t="str">
        <f t="shared" si="364"/>
        <v/>
      </c>
      <c r="AT297" s="1053"/>
      <c r="AU297" s="1488" t="str">
        <f t="shared" si="365"/>
        <v/>
      </c>
      <c r="AV297" s="1026"/>
      <c r="AW297" s="1026"/>
      <c r="AX297" s="1050"/>
      <c r="AY297" s="1049"/>
      <c r="AZ297" s="1036"/>
      <c r="BA297" s="1026"/>
      <c r="BB297" s="1054"/>
      <c r="BC297" s="1026"/>
      <c r="BD297" s="1055"/>
      <c r="BE297" s="1035"/>
      <c r="BF297" s="1056"/>
      <c r="BG297" s="1057"/>
      <c r="BH297" s="1057"/>
      <c r="BI297" s="1026"/>
      <c r="BJ297" s="1050"/>
      <c r="BK297" s="1058"/>
      <c r="BL297" s="1059"/>
      <c r="BM297" s="1059"/>
      <c r="BN297" s="1036"/>
      <c r="BO297" s="1060"/>
      <c r="BP297" s="1488" t="str">
        <f>IF(F297&gt;$F$18,"",IF(BO297&lt;&gt;"","",IF(ISNA(VLOOKUP('I. Stream &amp; Compound Data'!H297,'Potency Factors '!D$4:E$55,2,FALSE))=TRUE,0,VLOOKUP('I. Stream &amp; Compound Data'!H297,'Potency Factors '!D$4:E$55,2,FALSE))))</f>
        <v/>
      </c>
      <c r="BQ297" s="1053"/>
      <c r="BR297" s="1488" t="str">
        <f>IF(F297&gt;$F$18,"",IF(BQ297&lt;&gt;"","",IF(ISNA(VLOOKUP('I. Stream &amp; Compound Data'!H297,'Potency Factors '!D$68:E$167,2,FALSE))=TRUE,0,VLOOKUP('I. Stream &amp; Compound Data'!H297,'Potency Factors '!D$68:E$167,2,FALSE))))</f>
        <v/>
      </c>
      <c r="BS297" s="1053"/>
      <c r="BT297" s="1488" t="str">
        <f>IF(F297&gt;$F$18,"",IF(BS297&lt;&gt;"","",IF(ISNA(VLOOKUP('I. Stream &amp; Compound Data'!H297,'Potency Factors '!$D$412:$F$473,3,FALSE))=TRUE,0,VLOOKUP('I. Stream &amp; Compound Data'!H297,'Potency Factors '!$D$412:$F$473,3,FALSE))))</f>
        <v/>
      </c>
      <c r="BU297" s="1053"/>
      <c r="BV297" s="1488" t="str">
        <f>IF(F297&gt;$F$18,"",IF(BU297&lt;&gt;"","",IF(ISNA(VLOOKUP('I. Stream &amp; Compound Data'!H297,'Potency Factors '!D$180:E$185,2,FALSE))=TRUE,0,VLOOKUP('I. Stream &amp; Compound Data'!H297,'Potency Factors '!D$180:E$185,2,FALSE))))</f>
        <v/>
      </c>
      <c r="BW297" s="1055"/>
      <c r="BX297" s="1489" t="str">
        <f t="shared" si="366"/>
        <v/>
      </c>
      <c r="BY297" s="1055"/>
      <c r="BZ297" s="1489" t="str">
        <f t="shared" si="367"/>
        <v/>
      </c>
      <c r="CA297" s="1055"/>
      <c r="CB297" s="1036"/>
      <c r="CC297" s="1489" t="str">
        <f t="shared" si="368"/>
        <v/>
      </c>
      <c r="CD297" s="1053"/>
      <c r="CE297" s="1488" t="str">
        <f>IF(F297&gt;$F$18,"",IF(CD297&lt;&gt;"","",IF(ISNA(VLOOKUP('I. Stream &amp; Compound Data'!H297,'Potency Factors '!D$224:F$345,3,FALSE))=TRUE,0,VLOOKUP('I. Stream &amp; Compound Data'!H297,'Potency Factors '!D$224:F$345,3,FALSE))))</f>
        <v/>
      </c>
      <c r="CF297" s="1053"/>
      <c r="CG297" s="1488" t="str">
        <f>IF(F297&gt;$F$18,"",IF(CF297&lt;&gt;"","",IF(ISNA(VLOOKUP('I. Stream &amp; Compound Data'!H297,'Potency Factors '!D$361:F$374,3,FALSE))=TRUE,0,VLOOKUP('I. Stream &amp; Compound Data'!H297,'Potency Factors '!D$361:F$374,3,FALSE))))</f>
        <v/>
      </c>
      <c r="CH297" s="1055"/>
      <c r="CI297" s="1055"/>
      <c r="CJ297" s="1055"/>
      <c r="CK297" s="1055"/>
      <c r="CL297" s="1055"/>
      <c r="CM297" s="1055"/>
      <c r="CN297" s="1055"/>
      <c r="CO297" s="1055"/>
      <c r="CP297" s="1490" t="str">
        <f t="shared" si="369"/>
        <v/>
      </c>
      <c r="CQ297" s="1053"/>
      <c r="CR297" s="1488" t="str">
        <f>IF(F297&gt;$F$18,"",IF(CQ297&lt;&gt;"","",IF(ISNA(VLOOKUP('I. Stream &amp; Compound Data'!H297,'Potency Factors '!D$387:E$399,2,FALSE))=FALSE,VLOOKUP('I. Stream &amp; Compound Data'!H297,'Potency Factors '!D$387:E$399,2,FALSE),IF(ISNUMBER(SEARCH("phosphate",G297))=TRUE,1,IF(ISNUMBER(SEARCH("nitrate",G297))=TRUE,0.1,0)))))</f>
        <v/>
      </c>
      <c r="CS297" s="1053"/>
      <c r="CT297" s="1491" t="str">
        <f>IF(F297&gt;$F$18,"",IF(CS297&lt;&gt;"","",IF(ISNA(VLOOKUP('I. Stream &amp; Compound Data'!H297,'Potency Factors '!$D$485:$F$558,3,FALSE))=TRUE,0,VLOOKUP('I. Stream &amp; Compound Data'!H297,'Potency Factors '!$D$485:$F$558,3,FALSE))))</f>
        <v/>
      </c>
      <c r="CU297" s="1588"/>
    </row>
    <row r="298" ht="15" x14ac:dyDescent="0.25">
      <c r="B298" s="1612"/>
      <c r="C298" s="1613"/>
      <c r="D298" s="1613"/>
      <c r="E298" s="1613"/>
      <c r="F298" s="1481">
        <f t="shared" si="358"/>
        <v>37</v>
      </c>
      <c r="G298" s="1482" t="str">
        <f t="shared" si="359"/>
        <v/>
      </c>
      <c r="H298" s="1483" t="str">
        <f t="shared" si="360"/>
        <v/>
      </c>
      <c r="I298" s="1483" t="str">
        <f t="shared" si="361"/>
        <v/>
      </c>
      <c r="J298" s="1484" t="str">
        <f t="shared" si="362"/>
        <v/>
      </c>
      <c r="K298" s="1046"/>
      <c r="L298" s="1483" t="str">
        <f t="shared" si="357"/>
        <v/>
      </c>
      <c r="M298" s="1483" t="str">
        <f t="shared" si="349"/>
        <v/>
      </c>
      <c r="N298" s="1483" t="str">
        <f t="shared" si="350"/>
        <v/>
      </c>
      <c r="O298" s="1483" t="str">
        <f t="shared" si="351"/>
        <v/>
      </c>
      <c r="P298" s="1485" t="str">
        <f t="shared" si="352"/>
        <v/>
      </c>
      <c r="Q298" s="1486" t="str">
        <f t="shared" si="356"/>
        <v/>
      </c>
      <c r="R298" s="1046"/>
      <c r="S298" s="1022"/>
      <c r="T298" s="1047"/>
      <c r="U298" s="1046"/>
      <c r="V298" s="1022"/>
      <c r="W298" s="1487" t="str">
        <f t="shared" si="353"/>
        <v/>
      </c>
      <c r="X298" s="1048"/>
      <c r="Y298" s="1046"/>
      <c r="Z298" s="1022"/>
      <c r="AA298" s="1022"/>
      <c r="AB298" s="1050"/>
      <c r="AC298" s="1051"/>
      <c r="AD298" s="1026"/>
      <c r="AE298" s="1026"/>
      <c r="AF298" s="1050"/>
      <c r="AG298" s="1049"/>
      <c r="AH298" s="65"/>
      <c r="AI298" s="1026"/>
      <c r="AJ298" s="65"/>
      <c r="AK298" s="1026"/>
      <c r="AL298" s="68"/>
      <c r="AM298" s="1046"/>
      <c r="AN298" s="1022"/>
      <c r="AO298" s="1022"/>
      <c r="AP298" s="1052"/>
      <c r="AQ298" s="1488" t="str">
        <f t="shared" si="363"/>
        <v/>
      </c>
      <c r="AR298" s="1053"/>
      <c r="AS298" s="1488" t="str">
        <f t="shared" si="364"/>
        <v/>
      </c>
      <c r="AT298" s="1053"/>
      <c r="AU298" s="1488" t="str">
        <f t="shared" si="365"/>
        <v/>
      </c>
      <c r="AV298" s="1026"/>
      <c r="AW298" s="1026"/>
      <c r="AX298" s="1050"/>
      <c r="AY298" s="1049"/>
      <c r="AZ298" s="1036"/>
      <c r="BA298" s="1026"/>
      <c r="BB298" s="1054"/>
      <c r="BC298" s="1026"/>
      <c r="BD298" s="1055"/>
      <c r="BE298" s="1035"/>
      <c r="BF298" s="1056"/>
      <c r="BG298" s="1057"/>
      <c r="BH298" s="1057"/>
      <c r="BI298" s="1026"/>
      <c r="BJ298" s="1050"/>
      <c r="BK298" s="1058"/>
      <c r="BL298" s="1059"/>
      <c r="BM298" s="1059"/>
      <c r="BN298" s="1036"/>
      <c r="BO298" s="1060"/>
      <c r="BP298" s="1488" t="str">
        <f>IF(F298&gt;$F$18,"",IF(BO298&lt;&gt;"","",IF(ISNA(VLOOKUP('I. Stream &amp; Compound Data'!H298,'Potency Factors '!D$4:E$55,2,FALSE))=TRUE,0,VLOOKUP('I. Stream &amp; Compound Data'!H298,'Potency Factors '!D$4:E$55,2,FALSE))))</f>
        <v/>
      </c>
      <c r="BQ298" s="1053"/>
      <c r="BR298" s="1488" t="str">
        <f>IF(F298&gt;$F$18,"",IF(BQ298&lt;&gt;"","",IF(ISNA(VLOOKUP('I. Stream &amp; Compound Data'!H298,'Potency Factors '!D$68:E$167,2,FALSE))=TRUE,0,VLOOKUP('I. Stream &amp; Compound Data'!H298,'Potency Factors '!D$68:E$167,2,FALSE))))</f>
        <v/>
      </c>
      <c r="BS298" s="1053"/>
      <c r="BT298" s="1488" t="str">
        <f>IF(F298&gt;$F$18,"",IF(BS298&lt;&gt;"","",IF(ISNA(VLOOKUP('I. Stream &amp; Compound Data'!H298,'Potency Factors '!$D$412:$F$473,3,FALSE))=TRUE,0,VLOOKUP('I. Stream &amp; Compound Data'!H298,'Potency Factors '!$D$412:$F$473,3,FALSE))))</f>
        <v/>
      </c>
      <c r="BU298" s="1053"/>
      <c r="BV298" s="1488" t="str">
        <f>IF(F298&gt;$F$18,"",IF(BU298&lt;&gt;"","",IF(ISNA(VLOOKUP('I. Stream &amp; Compound Data'!H298,'Potency Factors '!D$180:E$185,2,FALSE))=TRUE,0,VLOOKUP('I. Stream &amp; Compound Data'!H298,'Potency Factors '!D$180:E$185,2,FALSE))))</f>
        <v/>
      </c>
      <c r="BW298" s="1055"/>
      <c r="BX298" s="1489" t="str">
        <f t="shared" si="366"/>
        <v/>
      </c>
      <c r="BY298" s="1055"/>
      <c r="BZ298" s="1489" t="str">
        <f t="shared" si="367"/>
        <v/>
      </c>
      <c r="CA298" s="1055"/>
      <c r="CB298" s="1036"/>
      <c r="CC298" s="1489" t="str">
        <f t="shared" si="368"/>
        <v/>
      </c>
      <c r="CD298" s="1053"/>
      <c r="CE298" s="1488" t="str">
        <f>IF(F298&gt;$F$18,"",IF(CD298&lt;&gt;"","",IF(ISNA(VLOOKUP('I. Stream &amp; Compound Data'!H298,'Potency Factors '!D$224:F$345,3,FALSE))=TRUE,0,VLOOKUP('I. Stream &amp; Compound Data'!H298,'Potency Factors '!D$224:F$345,3,FALSE))))</f>
        <v/>
      </c>
      <c r="CF298" s="1053"/>
      <c r="CG298" s="1488" t="str">
        <f>IF(F298&gt;$F$18,"",IF(CF298&lt;&gt;"","",IF(ISNA(VLOOKUP('I. Stream &amp; Compound Data'!H298,'Potency Factors '!D$361:F$374,3,FALSE))=TRUE,0,VLOOKUP('I. Stream &amp; Compound Data'!H298,'Potency Factors '!D$361:F$374,3,FALSE))))</f>
        <v/>
      </c>
      <c r="CH298" s="1055"/>
      <c r="CI298" s="1055"/>
      <c r="CJ298" s="1055"/>
      <c r="CK298" s="1055"/>
      <c r="CL298" s="1055"/>
      <c r="CM298" s="1055"/>
      <c r="CN298" s="1055"/>
      <c r="CO298" s="1055"/>
      <c r="CP298" s="1490" t="str">
        <f t="shared" si="369"/>
        <v/>
      </c>
      <c r="CQ298" s="1053"/>
      <c r="CR298" s="1488" t="str">
        <f>IF(F298&gt;$F$18,"",IF(CQ298&lt;&gt;"","",IF(ISNA(VLOOKUP('I. Stream &amp; Compound Data'!H298,'Potency Factors '!D$387:E$399,2,FALSE))=FALSE,VLOOKUP('I. Stream &amp; Compound Data'!H298,'Potency Factors '!D$387:E$399,2,FALSE),IF(ISNUMBER(SEARCH("phosphate",G298))=TRUE,1,IF(ISNUMBER(SEARCH("nitrate",G298))=TRUE,0.1,0)))))</f>
        <v/>
      </c>
      <c r="CS298" s="1053"/>
      <c r="CT298" s="1491" t="str">
        <f>IF(F298&gt;$F$18,"",IF(CS298&lt;&gt;"","",IF(ISNA(VLOOKUP('I. Stream &amp; Compound Data'!H298,'Potency Factors '!$D$485:$F$558,3,FALSE))=TRUE,0,VLOOKUP('I. Stream &amp; Compound Data'!H298,'Potency Factors '!$D$485:$F$558,3,FALSE))))</f>
        <v/>
      </c>
      <c r="CU298" s="1588"/>
    </row>
    <row r="299" ht="15" x14ac:dyDescent="0.25">
      <c r="B299" s="1612"/>
      <c r="C299" s="1613"/>
      <c r="D299" s="1613"/>
      <c r="E299" s="1613"/>
      <c r="F299" s="1481">
        <f t="shared" si="358"/>
        <v>38</v>
      </c>
      <c r="G299" s="1482" t="str">
        <f t="shared" si="359"/>
        <v/>
      </c>
      <c r="H299" s="1483" t="str">
        <f t="shared" si="360"/>
        <v/>
      </c>
      <c r="I299" s="1483" t="str">
        <f t="shared" si="361"/>
        <v/>
      </c>
      <c r="J299" s="1484" t="str">
        <f t="shared" si="362"/>
        <v/>
      </c>
      <c r="K299" s="1046"/>
      <c r="L299" s="1483" t="str">
        <f t="shared" si="357"/>
        <v/>
      </c>
      <c r="M299" s="1483" t="str">
        <f t="shared" si="349"/>
        <v/>
      </c>
      <c r="N299" s="1483" t="str">
        <f t="shared" si="350"/>
        <v/>
      </c>
      <c r="O299" s="1483" t="str">
        <f t="shared" si="351"/>
        <v/>
      </c>
      <c r="P299" s="1485" t="str">
        <f t="shared" si="352"/>
        <v/>
      </c>
      <c r="Q299" s="1486" t="str">
        <f t="shared" si="356"/>
        <v/>
      </c>
      <c r="R299" s="1046"/>
      <c r="S299" s="1022"/>
      <c r="T299" s="1047"/>
      <c r="U299" s="1046"/>
      <c r="V299" s="1022"/>
      <c r="W299" s="1487" t="str">
        <f t="shared" si="353"/>
        <v/>
      </c>
      <c r="X299" s="1048"/>
      <c r="Y299" s="1046"/>
      <c r="Z299" s="1022"/>
      <c r="AA299" s="1022"/>
      <c r="AB299" s="1050"/>
      <c r="AC299" s="1051"/>
      <c r="AD299" s="1026"/>
      <c r="AE299" s="1026"/>
      <c r="AF299" s="1050"/>
      <c r="AG299" s="1049"/>
      <c r="AH299" s="65"/>
      <c r="AI299" s="1026"/>
      <c r="AJ299" s="65"/>
      <c r="AK299" s="1026"/>
      <c r="AL299" s="68"/>
      <c r="AM299" s="1046"/>
      <c r="AN299" s="1022"/>
      <c r="AO299" s="1022"/>
      <c r="AP299" s="1052"/>
      <c r="AQ299" s="1488" t="str">
        <f t="shared" si="363"/>
        <v/>
      </c>
      <c r="AR299" s="1053"/>
      <c r="AS299" s="1488" t="str">
        <f t="shared" si="364"/>
        <v/>
      </c>
      <c r="AT299" s="1053"/>
      <c r="AU299" s="1488" t="str">
        <f t="shared" si="365"/>
        <v/>
      </c>
      <c r="AV299" s="1026"/>
      <c r="AW299" s="1026"/>
      <c r="AX299" s="1050"/>
      <c r="AY299" s="1049"/>
      <c r="AZ299" s="1036"/>
      <c r="BA299" s="1026"/>
      <c r="BB299" s="1054"/>
      <c r="BC299" s="1026"/>
      <c r="BD299" s="1055"/>
      <c r="BE299" s="1035"/>
      <c r="BF299" s="1056"/>
      <c r="BG299" s="1057"/>
      <c r="BH299" s="1057"/>
      <c r="BI299" s="1026"/>
      <c r="BJ299" s="1050"/>
      <c r="BK299" s="1058"/>
      <c r="BL299" s="1059"/>
      <c r="BM299" s="1059"/>
      <c r="BN299" s="1036"/>
      <c r="BO299" s="1060"/>
      <c r="BP299" s="1488" t="str">
        <f>IF(F299&gt;$F$18,"",IF(BO299&lt;&gt;"","",IF(ISNA(VLOOKUP('I. Stream &amp; Compound Data'!H299,'Potency Factors '!D$4:E$55,2,FALSE))=TRUE,0,VLOOKUP('I. Stream &amp; Compound Data'!H299,'Potency Factors '!D$4:E$55,2,FALSE))))</f>
        <v/>
      </c>
      <c r="BQ299" s="1053"/>
      <c r="BR299" s="1488" t="str">
        <f>IF(F299&gt;$F$18,"",IF(BQ299&lt;&gt;"","",IF(ISNA(VLOOKUP('I. Stream &amp; Compound Data'!H299,'Potency Factors '!D$68:E$167,2,FALSE))=TRUE,0,VLOOKUP('I. Stream &amp; Compound Data'!H299,'Potency Factors '!D$68:E$167,2,FALSE))))</f>
        <v/>
      </c>
      <c r="BS299" s="1053"/>
      <c r="BT299" s="1488" t="str">
        <f>IF(F299&gt;$F$18,"",IF(BS299&lt;&gt;"","",IF(ISNA(VLOOKUP('I. Stream &amp; Compound Data'!H299,'Potency Factors '!$D$412:$F$473,3,FALSE))=TRUE,0,VLOOKUP('I. Stream &amp; Compound Data'!H299,'Potency Factors '!$D$412:$F$473,3,FALSE))))</f>
        <v/>
      </c>
      <c r="BU299" s="1053"/>
      <c r="BV299" s="1488" t="str">
        <f>IF(F299&gt;$F$18,"",IF(BU299&lt;&gt;"","",IF(ISNA(VLOOKUP('I. Stream &amp; Compound Data'!H299,'Potency Factors '!D$180:E$185,2,FALSE))=TRUE,0,VLOOKUP('I. Stream &amp; Compound Data'!H299,'Potency Factors '!D$180:E$185,2,FALSE))))</f>
        <v/>
      </c>
      <c r="BW299" s="1055"/>
      <c r="BX299" s="1489" t="str">
        <f t="shared" si="366"/>
        <v/>
      </c>
      <c r="BY299" s="1055"/>
      <c r="BZ299" s="1489" t="str">
        <f t="shared" si="367"/>
        <v/>
      </c>
      <c r="CA299" s="1055"/>
      <c r="CB299" s="1036"/>
      <c r="CC299" s="1489" t="str">
        <f t="shared" si="368"/>
        <v/>
      </c>
      <c r="CD299" s="1053"/>
      <c r="CE299" s="1488" t="str">
        <f>IF(F299&gt;$F$18,"",IF(CD299&lt;&gt;"","",IF(ISNA(VLOOKUP('I. Stream &amp; Compound Data'!H299,'Potency Factors '!D$224:F$345,3,FALSE))=TRUE,0,VLOOKUP('I. Stream &amp; Compound Data'!H299,'Potency Factors '!D$224:F$345,3,FALSE))))</f>
        <v/>
      </c>
      <c r="CF299" s="1053"/>
      <c r="CG299" s="1488" t="str">
        <f>IF(F299&gt;$F$18,"",IF(CF299&lt;&gt;"","",IF(ISNA(VLOOKUP('I. Stream &amp; Compound Data'!H299,'Potency Factors '!D$361:F$374,3,FALSE))=TRUE,0,VLOOKUP('I. Stream &amp; Compound Data'!H299,'Potency Factors '!D$361:F$374,3,FALSE))))</f>
        <v/>
      </c>
      <c r="CH299" s="1055"/>
      <c r="CI299" s="1055"/>
      <c r="CJ299" s="1055"/>
      <c r="CK299" s="1055"/>
      <c r="CL299" s="1055"/>
      <c r="CM299" s="1055"/>
      <c r="CN299" s="1055"/>
      <c r="CO299" s="1055"/>
      <c r="CP299" s="1490" t="str">
        <f t="shared" si="369"/>
        <v/>
      </c>
      <c r="CQ299" s="1053"/>
      <c r="CR299" s="1488" t="str">
        <f>IF(F299&gt;$F$18,"",IF(CQ299&lt;&gt;"","",IF(ISNA(VLOOKUP('I. Stream &amp; Compound Data'!H299,'Potency Factors '!D$387:E$399,2,FALSE))=FALSE,VLOOKUP('I. Stream &amp; Compound Data'!H299,'Potency Factors '!D$387:E$399,2,FALSE),IF(ISNUMBER(SEARCH("phosphate",G299))=TRUE,1,IF(ISNUMBER(SEARCH("nitrate",G299))=TRUE,0.1,0)))))</f>
        <v/>
      </c>
      <c r="CS299" s="1053"/>
      <c r="CT299" s="1491" t="str">
        <f>IF(F299&gt;$F$18,"",IF(CS299&lt;&gt;"","",IF(ISNA(VLOOKUP('I. Stream &amp; Compound Data'!H299,'Potency Factors '!$D$485:$F$558,3,FALSE))=TRUE,0,VLOOKUP('I. Stream &amp; Compound Data'!H299,'Potency Factors '!$D$485:$F$558,3,FALSE))))</f>
        <v/>
      </c>
      <c r="CU299" s="1588"/>
    </row>
    <row r="300" ht="15" x14ac:dyDescent="0.25">
      <c r="B300" s="1612"/>
      <c r="C300" s="1613"/>
      <c r="D300" s="1613"/>
      <c r="E300" s="1613"/>
      <c r="F300" s="1481">
        <f t="shared" si="358"/>
        <v>39</v>
      </c>
      <c r="G300" s="1482" t="str">
        <f t="shared" si="359"/>
        <v/>
      </c>
      <c r="H300" s="1483" t="str">
        <f t="shared" si="360"/>
        <v/>
      </c>
      <c r="I300" s="1483" t="str">
        <f t="shared" si="361"/>
        <v/>
      </c>
      <c r="J300" s="1484" t="str">
        <f t="shared" si="362"/>
        <v/>
      </c>
      <c r="K300" s="1046"/>
      <c r="L300" s="1483" t="str">
        <f t="shared" si="357"/>
        <v/>
      </c>
      <c r="M300" s="1483" t="str">
        <f t="shared" si="349"/>
        <v/>
      </c>
      <c r="N300" s="1483" t="str">
        <f t="shared" si="350"/>
        <v/>
      </c>
      <c r="O300" s="1483" t="str">
        <f t="shared" si="351"/>
        <v/>
      </c>
      <c r="P300" s="1485" t="str">
        <f t="shared" si="352"/>
        <v/>
      </c>
      <c r="Q300" s="1486" t="str">
        <f t="shared" si="356"/>
        <v/>
      </c>
      <c r="R300" s="1046"/>
      <c r="S300" s="1022"/>
      <c r="T300" s="1047"/>
      <c r="U300" s="1046"/>
      <c r="V300" s="1022"/>
      <c r="W300" s="1487" t="str">
        <f t="shared" si="353"/>
        <v/>
      </c>
      <c r="X300" s="1048"/>
      <c r="Y300" s="1046"/>
      <c r="Z300" s="1022"/>
      <c r="AA300" s="1022"/>
      <c r="AB300" s="1050"/>
      <c r="AC300" s="1051"/>
      <c r="AD300" s="1026"/>
      <c r="AE300" s="1026"/>
      <c r="AF300" s="1050"/>
      <c r="AG300" s="1049"/>
      <c r="AH300" s="65"/>
      <c r="AI300" s="1026"/>
      <c r="AJ300" s="65"/>
      <c r="AK300" s="1026"/>
      <c r="AL300" s="68"/>
      <c r="AM300" s="1046"/>
      <c r="AN300" s="1022"/>
      <c r="AO300" s="1022"/>
      <c r="AP300" s="1052"/>
      <c r="AQ300" s="1488" t="str">
        <f t="shared" si="363"/>
        <v/>
      </c>
      <c r="AR300" s="1053"/>
      <c r="AS300" s="1488" t="str">
        <f t="shared" si="364"/>
        <v/>
      </c>
      <c r="AT300" s="1053"/>
      <c r="AU300" s="1488" t="str">
        <f t="shared" si="365"/>
        <v/>
      </c>
      <c r="AV300" s="1026"/>
      <c r="AW300" s="1026"/>
      <c r="AX300" s="1050"/>
      <c r="AY300" s="1049"/>
      <c r="AZ300" s="1036"/>
      <c r="BA300" s="1026"/>
      <c r="BB300" s="1054"/>
      <c r="BC300" s="1026"/>
      <c r="BD300" s="1055"/>
      <c r="BE300" s="1035"/>
      <c r="BF300" s="1056"/>
      <c r="BG300" s="1057"/>
      <c r="BH300" s="1057"/>
      <c r="BI300" s="1026"/>
      <c r="BJ300" s="1050"/>
      <c r="BK300" s="1058"/>
      <c r="BL300" s="1059"/>
      <c r="BM300" s="1059"/>
      <c r="BN300" s="1036"/>
      <c r="BO300" s="1060"/>
      <c r="BP300" s="1488" t="str">
        <f>IF(F300&gt;$F$18,"",IF(BO300&lt;&gt;"","",IF(ISNA(VLOOKUP('I. Stream &amp; Compound Data'!H300,'Potency Factors '!D$4:E$55,2,FALSE))=TRUE,0,VLOOKUP('I. Stream &amp; Compound Data'!H300,'Potency Factors '!D$4:E$55,2,FALSE))))</f>
        <v/>
      </c>
      <c r="BQ300" s="1053"/>
      <c r="BR300" s="1488" t="str">
        <f>IF(F300&gt;$F$18,"",IF(BQ300&lt;&gt;"","",IF(ISNA(VLOOKUP('I. Stream &amp; Compound Data'!H300,'Potency Factors '!D$68:E$167,2,FALSE))=TRUE,0,VLOOKUP('I. Stream &amp; Compound Data'!H300,'Potency Factors '!D$68:E$167,2,FALSE))))</f>
        <v/>
      </c>
      <c r="BS300" s="1053"/>
      <c r="BT300" s="1488" t="str">
        <f>IF(F300&gt;$F$18,"",IF(BS300&lt;&gt;"","",IF(ISNA(VLOOKUP('I. Stream &amp; Compound Data'!H300,'Potency Factors '!$D$412:$F$473,3,FALSE))=TRUE,0,VLOOKUP('I. Stream &amp; Compound Data'!H300,'Potency Factors '!$D$412:$F$473,3,FALSE))))</f>
        <v/>
      </c>
      <c r="BU300" s="1053"/>
      <c r="BV300" s="1488" t="str">
        <f>IF(F300&gt;$F$18,"",IF(BU300&lt;&gt;"","",IF(ISNA(VLOOKUP('I. Stream &amp; Compound Data'!H300,'Potency Factors '!D$180:E$185,2,FALSE))=TRUE,0,VLOOKUP('I. Stream &amp; Compound Data'!H300,'Potency Factors '!D$180:E$185,2,FALSE))))</f>
        <v/>
      </c>
      <c r="BW300" s="1055"/>
      <c r="BX300" s="1489" t="str">
        <f t="shared" si="366"/>
        <v/>
      </c>
      <c r="BY300" s="1055"/>
      <c r="BZ300" s="1489" t="str">
        <f t="shared" si="367"/>
        <v/>
      </c>
      <c r="CA300" s="1055"/>
      <c r="CB300" s="1036"/>
      <c r="CC300" s="1489" t="str">
        <f t="shared" si="368"/>
        <v/>
      </c>
      <c r="CD300" s="1053"/>
      <c r="CE300" s="1488" t="str">
        <f>IF(F300&gt;$F$18,"",IF(CD300&lt;&gt;"","",IF(ISNA(VLOOKUP('I. Stream &amp; Compound Data'!H300,'Potency Factors '!D$224:F$345,3,FALSE))=TRUE,0,VLOOKUP('I. Stream &amp; Compound Data'!H300,'Potency Factors '!D$224:F$345,3,FALSE))))</f>
        <v/>
      </c>
      <c r="CF300" s="1053"/>
      <c r="CG300" s="1488" t="str">
        <f>IF(F300&gt;$F$18,"",IF(CF300&lt;&gt;"","",IF(ISNA(VLOOKUP('I. Stream &amp; Compound Data'!H300,'Potency Factors '!D$361:F$374,3,FALSE))=TRUE,0,VLOOKUP('I. Stream &amp; Compound Data'!H300,'Potency Factors '!D$361:F$374,3,FALSE))))</f>
        <v/>
      </c>
      <c r="CH300" s="1055"/>
      <c r="CI300" s="1055"/>
      <c r="CJ300" s="1055"/>
      <c r="CK300" s="1055"/>
      <c r="CL300" s="1055"/>
      <c r="CM300" s="1055"/>
      <c r="CN300" s="1055"/>
      <c r="CO300" s="1055"/>
      <c r="CP300" s="1490" t="str">
        <f t="shared" si="369"/>
        <v/>
      </c>
      <c r="CQ300" s="1053"/>
      <c r="CR300" s="1488" t="str">
        <f>IF(F300&gt;$F$18,"",IF(CQ300&lt;&gt;"","",IF(ISNA(VLOOKUP('I. Stream &amp; Compound Data'!H300,'Potency Factors '!D$387:E$399,2,FALSE))=FALSE,VLOOKUP('I. Stream &amp; Compound Data'!H300,'Potency Factors '!D$387:E$399,2,FALSE),IF(ISNUMBER(SEARCH("phosphate",G300))=TRUE,1,IF(ISNUMBER(SEARCH("nitrate",G300))=TRUE,0.1,0)))))</f>
        <v/>
      </c>
      <c r="CS300" s="1053"/>
      <c r="CT300" s="1491" t="str">
        <f>IF(F300&gt;$F$18,"",IF(CS300&lt;&gt;"","",IF(ISNA(VLOOKUP('I. Stream &amp; Compound Data'!H300,'Potency Factors '!$D$485:$F$558,3,FALSE))=TRUE,0,VLOOKUP('I. Stream &amp; Compound Data'!H300,'Potency Factors '!$D$485:$F$558,3,FALSE))))</f>
        <v/>
      </c>
      <c r="CU300" s="1588"/>
    </row>
    <row r="301" ht="15" x14ac:dyDescent="0.25">
      <c r="B301" s="1612"/>
      <c r="C301" s="1613"/>
      <c r="D301" s="1613"/>
      <c r="E301" s="1613"/>
      <c r="F301" s="1481">
        <f t="shared" si="358"/>
        <v>40</v>
      </c>
      <c r="G301" s="1482" t="str">
        <f t="shared" si="359"/>
        <v/>
      </c>
      <c r="H301" s="1483" t="str">
        <f t="shared" si="360"/>
        <v/>
      </c>
      <c r="I301" s="1483" t="str">
        <f t="shared" si="361"/>
        <v/>
      </c>
      <c r="J301" s="1484" t="str">
        <f t="shared" si="362"/>
        <v/>
      </c>
      <c r="K301" s="1046"/>
      <c r="L301" s="1483" t="str">
        <f t="shared" si="357"/>
        <v/>
      </c>
      <c r="M301" s="1483" t="str">
        <f t="shared" si="349"/>
        <v/>
      </c>
      <c r="N301" s="1483" t="str">
        <f t="shared" si="350"/>
        <v/>
      </c>
      <c r="O301" s="1483" t="str">
        <f t="shared" si="351"/>
        <v/>
      </c>
      <c r="P301" s="1485" t="str">
        <f t="shared" si="352"/>
        <v/>
      </c>
      <c r="Q301" s="1486" t="str">
        <f t="shared" si="356"/>
        <v/>
      </c>
      <c r="R301" s="1046"/>
      <c r="S301" s="1022"/>
      <c r="T301" s="1047"/>
      <c r="U301" s="1046"/>
      <c r="V301" s="1022"/>
      <c r="W301" s="1487" t="str">
        <f t="shared" si="353"/>
        <v/>
      </c>
      <c r="X301" s="1048"/>
      <c r="Y301" s="1046"/>
      <c r="Z301" s="1022"/>
      <c r="AA301" s="1022"/>
      <c r="AB301" s="1050"/>
      <c r="AC301" s="1051"/>
      <c r="AD301" s="1026"/>
      <c r="AE301" s="1026"/>
      <c r="AF301" s="1050"/>
      <c r="AG301" s="1049"/>
      <c r="AH301" s="65"/>
      <c r="AI301" s="1026"/>
      <c r="AJ301" s="65"/>
      <c r="AK301" s="1026"/>
      <c r="AL301" s="68"/>
      <c r="AM301" s="1046"/>
      <c r="AN301" s="1022"/>
      <c r="AO301" s="1022"/>
      <c r="AP301" s="1052"/>
      <c r="AQ301" s="1488" t="str">
        <f t="shared" si="363"/>
        <v/>
      </c>
      <c r="AR301" s="1053"/>
      <c r="AS301" s="1488" t="str">
        <f t="shared" si="364"/>
        <v/>
      </c>
      <c r="AT301" s="1053"/>
      <c r="AU301" s="1488" t="str">
        <f t="shared" si="365"/>
        <v/>
      </c>
      <c r="AV301" s="1026"/>
      <c r="AW301" s="1026"/>
      <c r="AX301" s="1050"/>
      <c r="AY301" s="1049"/>
      <c r="AZ301" s="1036"/>
      <c r="BA301" s="1026"/>
      <c r="BB301" s="1054"/>
      <c r="BC301" s="1026"/>
      <c r="BD301" s="1055"/>
      <c r="BE301" s="1035"/>
      <c r="BF301" s="1056"/>
      <c r="BG301" s="1057"/>
      <c r="BH301" s="1057"/>
      <c r="BI301" s="1026"/>
      <c r="BJ301" s="1050"/>
      <c r="BK301" s="1058"/>
      <c r="BL301" s="1059"/>
      <c r="BM301" s="1059"/>
      <c r="BN301" s="1036"/>
      <c r="BO301" s="1060"/>
      <c r="BP301" s="1488" t="str">
        <f>IF(F301&gt;$F$18,"",IF(BO301&lt;&gt;"","",IF(ISNA(VLOOKUP('I. Stream &amp; Compound Data'!H301,'Potency Factors '!D$4:E$55,2,FALSE))=TRUE,0,VLOOKUP('I. Stream &amp; Compound Data'!H301,'Potency Factors '!D$4:E$55,2,FALSE))))</f>
        <v/>
      </c>
      <c r="BQ301" s="1053"/>
      <c r="BR301" s="1488" t="str">
        <f>IF(F301&gt;$F$18,"",IF(BQ301&lt;&gt;"","",IF(ISNA(VLOOKUP('I. Stream &amp; Compound Data'!H301,'Potency Factors '!D$68:E$167,2,FALSE))=TRUE,0,VLOOKUP('I. Stream &amp; Compound Data'!H301,'Potency Factors '!D$68:E$167,2,FALSE))))</f>
        <v/>
      </c>
      <c r="BS301" s="1053"/>
      <c r="BT301" s="1488" t="str">
        <f>IF(F301&gt;$F$18,"",IF(BS301&lt;&gt;"","",IF(ISNA(VLOOKUP('I. Stream &amp; Compound Data'!H301,'Potency Factors '!$D$412:$F$473,3,FALSE))=TRUE,0,VLOOKUP('I. Stream &amp; Compound Data'!H301,'Potency Factors '!$D$412:$F$473,3,FALSE))))</f>
        <v/>
      </c>
      <c r="BU301" s="1053"/>
      <c r="BV301" s="1488" t="str">
        <f>IF(F301&gt;$F$18,"",IF(BU301&lt;&gt;"","",IF(ISNA(VLOOKUP('I. Stream &amp; Compound Data'!H301,'Potency Factors '!D$180:E$185,2,FALSE))=TRUE,0,VLOOKUP('I. Stream &amp; Compound Data'!H301,'Potency Factors '!D$180:E$185,2,FALSE))))</f>
        <v/>
      </c>
      <c r="BW301" s="1055"/>
      <c r="BX301" s="1489" t="str">
        <f t="shared" si="366"/>
        <v/>
      </c>
      <c r="BY301" s="1055"/>
      <c r="BZ301" s="1489" t="str">
        <f t="shared" si="367"/>
        <v/>
      </c>
      <c r="CA301" s="1055"/>
      <c r="CB301" s="1036"/>
      <c r="CC301" s="1489" t="str">
        <f t="shared" si="368"/>
        <v/>
      </c>
      <c r="CD301" s="1053"/>
      <c r="CE301" s="1488" t="str">
        <f>IF(F301&gt;$F$18,"",IF(CD301&lt;&gt;"","",IF(ISNA(VLOOKUP('I. Stream &amp; Compound Data'!H301,'Potency Factors '!D$224:F$345,3,FALSE))=TRUE,0,VLOOKUP('I. Stream &amp; Compound Data'!H301,'Potency Factors '!D$224:F$345,3,FALSE))))</f>
        <v/>
      </c>
      <c r="CF301" s="1053"/>
      <c r="CG301" s="1488" t="str">
        <f>IF(F301&gt;$F$18,"",IF(CF301&lt;&gt;"","",IF(ISNA(VLOOKUP('I. Stream &amp; Compound Data'!H301,'Potency Factors '!D$361:F$374,3,FALSE))=TRUE,0,VLOOKUP('I. Stream &amp; Compound Data'!H301,'Potency Factors '!D$361:F$374,3,FALSE))))</f>
        <v/>
      </c>
      <c r="CH301" s="1055"/>
      <c r="CI301" s="1055"/>
      <c r="CJ301" s="1055"/>
      <c r="CK301" s="1055"/>
      <c r="CL301" s="1055"/>
      <c r="CM301" s="1055"/>
      <c r="CN301" s="1055"/>
      <c r="CO301" s="1055"/>
      <c r="CP301" s="1490" t="str">
        <f t="shared" si="369"/>
        <v/>
      </c>
      <c r="CQ301" s="1053"/>
      <c r="CR301" s="1488" t="str">
        <f>IF(F301&gt;$F$18,"",IF(CQ301&lt;&gt;"","",IF(ISNA(VLOOKUP('I. Stream &amp; Compound Data'!H301,'Potency Factors '!D$387:E$399,2,FALSE))=FALSE,VLOOKUP('I. Stream &amp; Compound Data'!H301,'Potency Factors '!D$387:E$399,2,FALSE),IF(ISNUMBER(SEARCH("phosphate",G301))=TRUE,1,IF(ISNUMBER(SEARCH("nitrate",G301))=TRUE,0.1,0)))))</f>
        <v/>
      </c>
      <c r="CS301" s="1053"/>
      <c r="CT301" s="1491" t="str">
        <f>IF(F301&gt;$F$18,"",IF(CS301&lt;&gt;"","",IF(ISNA(VLOOKUP('I. Stream &amp; Compound Data'!H301,'Potency Factors '!$D$485:$F$558,3,FALSE))=TRUE,0,VLOOKUP('I. Stream &amp; Compound Data'!H301,'Potency Factors '!$D$485:$F$558,3,FALSE))))</f>
        <v/>
      </c>
      <c r="CU301" s="1588"/>
    </row>
    <row r="302" ht="15" x14ac:dyDescent="0.25">
      <c r="B302" s="1612"/>
      <c r="C302" s="1613"/>
      <c r="D302" s="1613"/>
      <c r="E302" s="1613"/>
      <c r="F302" s="1481">
        <f t="shared" si="358"/>
        <v>41</v>
      </c>
      <c r="G302" s="1482" t="str">
        <f t="shared" si="359"/>
        <v/>
      </c>
      <c r="H302" s="1483" t="str">
        <f t="shared" si="360"/>
        <v/>
      </c>
      <c r="I302" s="1483" t="str">
        <f t="shared" si="361"/>
        <v/>
      </c>
      <c r="J302" s="1484" t="str">
        <f t="shared" si="362"/>
        <v/>
      </c>
      <c r="K302" s="1046"/>
      <c r="L302" s="1483" t="str">
        <f t="shared" si="357"/>
        <v/>
      </c>
      <c r="M302" s="1483" t="str">
        <f t="shared" si="349"/>
        <v/>
      </c>
      <c r="N302" s="1483" t="str">
        <f t="shared" si="350"/>
        <v/>
      </c>
      <c r="O302" s="1483" t="str">
        <f t="shared" si="351"/>
        <v/>
      </c>
      <c r="P302" s="1485" t="str">
        <f t="shared" si="352"/>
        <v/>
      </c>
      <c r="Q302" s="1486" t="str">
        <f t="shared" si="356"/>
        <v/>
      </c>
      <c r="R302" s="1046"/>
      <c r="S302" s="1022"/>
      <c r="T302" s="1047"/>
      <c r="U302" s="1046"/>
      <c r="V302" s="1022"/>
      <c r="W302" s="1487" t="str">
        <f t="shared" si="353"/>
        <v/>
      </c>
      <c r="X302" s="1048"/>
      <c r="Y302" s="1046"/>
      <c r="Z302" s="1022"/>
      <c r="AA302" s="1022"/>
      <c r="AB302" s="1050"/>
      <c r="AC302" s="1051"/>
      <c r="AD302" s="1026"/>
      <c r="AE302" s="1026"/>
      <c r="AF302" s="1050"/>
      <c r="AG302" s="1049"/>
      <c r="AH302" s="65"/>
      <c r="AI302" s="1026"/>
      <c r="AJ302" s="65"/>
      <c r="AK302" s="1026"/>
      <c r="AL302" s="68"/>
      <c r="AM302" s="1046"/>
      <c r="AN302" s="1022"/>
      <c r="AO302" s="1022"/>
      <c r="AP302" s="1052"/>
      <c r="AQ302" s="1488" t="str">
        <f t="shared" si="363"/>
        <v/>
      </c>
      <c r="AR302" s="1053"/>
      <c r="AS302" s="1488" t="str">
        <f t="shared" si="364"/>
        <v/>
      </c>
      <c r="AT302" s="1053"/>
      <c r="AU302" s="1488" t="str">
        <f t="shared" si="365"/>
        <v/>
      </c>
      <c r="AV302" s="1026"/>
      <c r="AW302" s="1026"/>
      <c r="AX302" s="1050"/>
      <c r="AY302" s="1049"/>
      <c r="AZ302" s="1036"/>
      <c r="BA302" s="1026"/>
      <c r="BB302" s="1054"/>
      <c r="BC302" s="1026"/>
      <c r="BD302" s="1055"/>
      <c r="BE302" s="1035"/>
      <c r="BF302" s="1056"/>
      <c r="BG302" s="1057"/>
      <c r="BH302" s="1057"/>
      <c r="BI302" s="1026"/>
      <c r="BJ302" s="1050"/>
      <c r="BK302" s="1058"/>
      <c r="BL302" s="1059"/>
      <c r="BM302" s="1059"/>
      <c r="BN302" s="1036"/>
      <c r="BO302" s="1060"/>
      <c r="BP302" s="1488" t="str">
        <f>IF(F302&gt;$F$18,"",IF(BO302&lt;&gt;"","",IF(ISNA(VLOOKUP('I. Stream &amp; Compound Data'!H302,'Potency Factors '!D$4:E$55,2,FALSE))=TRUE,0,VLOOKUP('I. Stream &amp; Compound Data'!H302,'Potency Factors '!D$4:E$55,2,FALSE))))</f>
        <v/>
      </c>
      <c r="BQ302" s="1053"/>
      <c r="BR302" s="1488" t="str">
        <f>IF(F302&gt;$F$18,"",IF(BQ302&lt;&gt;"","",IF(ISNA(VLOOKUP('I. Stream &amp; Compound Data'!H302,'Potency Factors '!D$68:E$167,2,FALSE))=TRUE,0,VLOOKUP('I. Stream &amp; Compound Data'!H302,'Potency Factors '!D$68:E$167,2,FALSE))))</f>
        <v/>
      </c>
      <c r="BS302" s="1053"/>
      <c r="BT302" s="1488" t="str">
        <f>IF(F302&gt;$F$18,"",IF(BS302&lt;&gt;"","",IF(ISNA(VLOOKUP('I. Stream &amp; Compound Data'!H302,'Potency Factors '!$D$412:$F$473,3,FALSE))=TRUE,0,VLOOKUP('I. Stream &amp; Compound Data'!H302,'Potency Factors '!$D$412:$F$473,3,FALSE))))</f>
        <v/>
      </c>
      <c r="BU302" s="1053"/>
      <c r="BV302" s="1488" t="str">
        <f>IF(F302&gt;$F$18,"",IF(BU302&lt;&gt;"","",IF(ISNA(VLOOKUP('I. Stream &amp; Compound Data'!H302,'Potency Factors '!D$180:E$185,2,FALSE))=TRUE,0,VLOOKUP('I. Stream &amp; Compound Data'!H302,'Potency Factors '!D$180:E$185,2,FALSE))))</f>
        <v/>
      </c>
      <c r="BW302" s="1055"/>
      <c r="BX302" s="1489" t="str">
        <f t="shared" si="366"/>
        <v/>
      </c>
      <c r="BY302" s="1055"/>
      <c r="BZ302" s="1489" t="str">
        <f t="shared" si="367"/>
        <v/>
      </c>
      <c r="CA302" s="1055"/>
      <c r="CB302" s="1036"/>
      <c r="CC302" s="1489" t="str">
        <f t="shared" si="368"/>
        <v/>
      </c>
      <c r="CD302" s="1053"/>
      <c r="CE302" s="1488" t="str">
        <f>IF(F302&gt;$F$18,"",IF(CD302&lt;&gt;"","",IF(ISNA(VLOOKUP('I. Stream &amp; Compound Data'!H302,'Potency Factors '!D$224:F$345,3,FALSE))=TRUE,0,VLOOKUP('I. Stream &amp; Compound Data'!H302,'Potency Factors '!D$224:F$345,3,FALSE))))</f>
        <v/>
      </c>
      <c r="CF302" s="1053"/>
      <c r="CG302" s="1488" t="str">
        <f>IF(F302&gt;$F$18,"",IF(CF302&lt;&gt;"","",IF(ISNA(VLOOKUP('I. Stream &amp; Compound Data'!H302,'Potency Factors '!D$361:F$374,3,FALSE))=TRUE,0,VLOOKUP('I. Stream &amp; Compound Data'!H302,'Potency Factors '!D$361:F$374,3,FALSE))))</f>
        <v/>
      </c>
      <c r="CH302" s="1055"/>
      <c r="CI302" s="1055"/>
      <c r="CJ302" s="1055"/>
      <c r="CK302" s="1055"/>
      <c r="CL302" s="1055"/>
      <c r="CM302" s="1055"/>
      <c r="CN302" s="1055"/>
      <c r="CO302" s="1055"/>
      <c r="CP302" s="1490" t="str">
        <f t="shared" si="369"/>
        <v/>
      </c>
      <c r="CQ302" s="1053"/>
      <c r="CR302" s="1488" t="str">
        <f>IF(F302&gt;$F$18,"",IF(CQ302&lt;&gt;"","",IF(ISNA(VLOOKUP('I. Stream &amp; Compound Data'!H302,'Potency Factors '!D$387:E$399,2,FALSE))=FALSE,VLOOKUP('I. Stream &amp; Compound Data'!H302,'Potency Factors '!D$387:E$399,2,FALSE),IF(ISNUMBER(SEARCH("phosphate",G302))=TRUE,1,IF(ISNUMBER(SEARCH("nitrate",G302))=TRUE,0.1,0)))))</f>
        <v/>
      </c>
      <c r="CS302" s="1053"/>
      <c r="CT302" s="1491" t="str">
        <f>IF(F302&gt;$F$18,"",IF(CS302&lt;&gt;"","",IF(ISNA(VLOOKUP('I. Stream &amp; Compound Data'!H302,'Potency Factors '!$D$485:$F$558,3,FALSE))=TRUE,0,VLOOKUP('I. Stream &amp; Compound Data'!H302,'Potency Factors '!$D$485:$F$558,3,FALSE))))</f>
        <v/>
      </c>
      <c r="CU302" s="1588"/>
    </row>
    <row r="303" ht="15" x14ac:dyDescent="0.25">
      <c r="B303" s="1612"/>
      <c r="C303" s="1613"/>
      <c r="D303" s="1613"/>
      <c r="E303" s="1613"/>
      <c r="F303" s="1481">
        <f t="shared" si="358"/>
        <v>42</v>
      </c>
      <c r="G303" s="1482" t="str">
        <f t="shared" si="359"/>
        <v/>
      </c>
      <c r="H303" s="1483" t="str">
        <f t="shared" si="360"/>
        <v/>
      </c>
      <c r="I303" s="1483" t="str">
        <f t="shared" si="361"/>
        <v/>
      </c>
      <c r="J303" s="1484" t="str">
        <f t="shared" si="362"/>
        <v/>
      </c>
      <c r="K303" s="1046"/>
      <c r="L303" s="1483" t="str">
        <f t="shared" si="357"/>
        <v/>
      </c>
      <c r="M303" s="1483" t="str">
        <f t="shared" si="349"/>
        <v/>
      </c>
      <c r="N303" s="1483" t="str">
        <f t="shared" si="350"/>
        <v/>
      </c>
      <c r="O303" s="1483" t="str">
        <f t="shared" si="351"/>
        <v/>
      </c>
      <c r="P303" s="1485" t="str">
        <f t="shared" si="352"/>
        <v/>
      </c>
      <c r="Q303" s="1486" t="str">
        <f t="shared" si="356"/>
        <v/>
      </c>
      <c r="R303" s="1046"/>
      <c r="S303" s="1022"/>
      <c r="T303" s="1047"/>
      <c r="U303" s="1046"/>
      <c r="V303" s="1022"/>
      <c r="W303" s="1487" t="str">
        <f t="shared" si="353"/>
        <v/>
      </c>
      <c r="X303" s="1048"/>
      <c r="Y303" s="1046"/>
      <c r="Z303" s="1022"/>
      <c r="AA303" s="1022"/>
      <c r="AB303" s="1050"/>
      <c r="AC303" s="1051"/>
      <c r="AD303" s="1026"/>
      <c r="AE303" s="1026"/>
      <c r="AF303" s="1050"/>
      <c r="AG303" s="1049"/>
      <c r="AH303" s="65"/>
      <c r="AI303" s="1026"/>
      <c r="AJ303" s="65"/>
      <c r="AK303" s="1026"/>
      <c r="AL303" s="68"/>
      <c r="AM303" s="1046"/>
      <c r="AN303" s="1022"/>
      <c r="AO303" s="1022"/>
      <c r="AP303" s="1052"/>
      <c r="AQ303" s="1488" t="str">
        <f t="shared" si="363"/>
        <v/>
      </c>
      <c r="AR303" s="1053"/>
      <c r="AS303" s="1488" t="str">
        <f t="shared" si="364"/>
        <v/>
      </c>
      <c r="AT303" s="1053"/>
      <c r="AU303" s="1488" t="str">
        <f t="shared" si="365"/>
        <v/>
      </c>
      <c r="AV303" s="1026"/>
      <c r="AW303" s="1026"/>
      <c r="AX303" s="1050"/>
      <c r="AY303" s="1049"/>
      <c r="AZ303" s="1036"/>
      <c r="BA303" s="1026"/>
      <c r="BB303" s="1054"/>
      <c r="BC303" s="1026"/>
      <c r="BD303" s="1055"/>
      <c r="BE303" s="1035"/>
      <c r="BF303" s="1056"/>
      <c r="BG303" s="1057"/>
      <c r="BH303" s="1057"/>
      <c r="BI303" s="1026"/>
      <c r="BJ303" s="1050"/>
      <c r="BK303" s="1058"/>
      <c r="BL303" s="1059"/>
      <c r="BM303" s="1059"/>
      <c r="BN303" s="1036"/>
      <c r="BO303" s="1060"/>
      <c r="BP303" s="1488" t="str">
        <f>IF(F303&gt;$F$18,"",IF(BO303&lt;&gt;"","",IF(ISNA(VLOOKUP('I. Stream &amp; Compound Data'!H303,'Potency Factors '!D$4:E$55,2,FALSE))=TRUE,0,VLOOKUP('I. Stream &amp; Compound Data'!H303,'Potency Factors '!D$4:E$55,2,FALSE))))</f>
        <v/>
      </c>
      <c r="BQ303" s="1053"/>
      <c r="BR303" s="1488" t="str">
        <f>IF(F303&gt;$F$18,"",IF(BQ303&lt;&gt;"","",IF(ISNA(VLOOKUP('I. Stream &amp; Compound Data'!H303,'Potency Factors '!D$68:E$167,2,FALSE))=TRUE,0,VLOOKUP('I. Stream &amp; Compound Data'!H303,'Potency Factors '!D$68:E$167,2,FALSE))))</f>
        <v/>
      </c>
      <c r="BS303" s="1053"/>
      <c r="BT303" s="1488" t="str">
        <f>IF(F303&gt;$F$18,"",IF(BS303&lt;&gt;"","",IF(ISNA(VLOOKUP('I. Stream &amp; Compound Data'!H303,'Potency Factors '!$D$412:$F$473,3,FALSE))=TRUE,0,VLOOKUP('I. Stream &amp; Compound Data'!H303,'Potency Factors '!$D$412:$F$473,3,FALSE))))</f>
        <v/>
      </c>
      <c r="BU303" s="1053"/>
      <c r="BV303" s="1488" t="str">
        <f>IF(F303&gt;$F$18,"",IF(BU303&lt;&gt;"","",IF(ISNA(VLOOKUP('I. Stream &amp; Compound Data'!H303,'Potency Factors '!D$180:E$185,2,FALSE))=TRUE,0,VLOOKUP('I. Stream &amp; Compound Data'!H303,'Potency Factors '!D$180:E$185,2,FALSE))))</f>
        <v/>
      </c>
      <c r="BW303" s="1055"/>
      <c r="BX303" s="1489" t="str">
        <f t="shared" si="366"/>
        <v/>
      </c>
      <c r="BY303" s="1055"/>
      <c r="BZ303" s="1489" t="str">
        <f t="shared" si="367"/>
        <v/>
      </c>
      <c r="CA303" s="1055"/>
      <c r="CB303" s="1036"/>
      <c r="CC303" s="1489" t="str">
        <f t="shared" si="368"/>
        <v/>
      </c>
      <c r="CD303" s="1053"/>
      <c r="CE303" s="1488" t="str">
        <f>IF(F303&gt;$F$18,"",IF(CD303&lt;&gt;"","",IF(ISNA(VLOOKUP('I. Stream &amp; Compound Data'!H303,'Potency Factors '!D$224:F$345,3,FALSE))=TRUE,0,VLOOKUP('I. Stream &amp; Compound Data'!H303,'Potency Factors '!D$224:F$345,3,FALSE))))</f>
        <v/>
      </c>
      <c r="CF303" s="1053"/>
      <c r="CG303" s="1488" t="str">
        <f>IF(F303&gt;$F$18,"",IF(CF303&lt;&gt;"","",IF(ISNA(VLOOKUP('I. Stream &amp; Compound Data'!H303,'Potency Factors '!D$361:F$374,3,FALSE))=TRUE,0,VLOOKUP('I. Stream &amp; Compound Data'!H303,'Potency Factors '!D$361:F$374,3,FALSE))))</f>
        <v/>
      </c>
      <c r="CH303" s="1055"/>
      <c r="CI303" s="1055"/>
      <c r="CJ303" s="1055"/>
      <c r="CK303" s="1055"/>
      <c r="CL303" s="1055"/>
      <c r="CM303" s="1055"/>
      <c r="CN303" s="1055"/>
      <c r="CO303" s="1055"/>
      <c r="CP303" s="1490" t="str">
        <f t="shared" si="369"/>
        <v/>
      </c>
      <c r="CQ303" s="1053"/>
      <c r="CR303" s="1488" t="str">
        <f>IF(F303&gt;$F$18,"",IF(CQ303&lt;&gt;"","",IF(ISNA(VLOOKUP('I. Stream &amp; Compound Data'!H303,'Potency Factors '!D$387:E$399,2,FALSE))=FALSE,VLOOKUP('I. Stream &amp; Compound Data'!H303,'Potency Factors '!D$387:E$399,2,FALSE),IF(ISNUMBER(SEARCH("phosphate",G303))=TRUE,1,IF(ISNUMBER(SEARCH("nitrate",G303))=TRUE,0.1,0)))))</f>
        <v/>
      </c>
      <c r="CS303" s="1053"/>
      <c r="CT303" s="1491" t="str">
        <f>IF(F303&gt;$F$18,"",IF(CS303&lt;&gt;"","",IF(ISNA(VLOOKUP('I. Stream &amp; Compound Data'!H303,'Potency Factors '!$D$485:$F$558,3,FALSE))=TRUE,0,VLOOKUP('I. Stream &amp; Compound Data'!H303,'Potency Factors '!$D$485:$F$558,3,FALSE))))</f>
        <v/>
      </c>
      <c r="CU303" s="1588"/>
    </row>
    <row r="304" ht="15" x14ac:dyDescent="0.25">
      <c r="B304" s="1612"/>
      <c r="C304" s="1613"/>
      <c r="D304" s="1613"/>
      <c r="E304" s="1613"/>
      <c r="F304" s="1481">
        <f t="shared" si="358"/>
        <v>43</v>
      </c>
      <c r="G304" s="1482" t="str">
        <f t="shared" si="359"/>
        <v/>
      </c>
      <c r="H304" s="1483" t="str">
        <f t="shared" si="360"/>
        <v/>
      </c>
      <c r="I304" s="1483" t="str">
        <f t="shared" si="361"/>
        <v/>
      </c>
      <c r="J304" s="1484" t="str">
        <f t="shared" si="362"/>
        <v/>
      </c>
      <c r="K304" s="1046"/>
      <c r="L304" s="1483" t="str">
        <f t="shared" si="357"/>
        <v/>
      </c>
      <c r="M304" s="1483" t="str">
        <f t="shared" si="349"/>
        <v/>
      </c>
      <c r="N304" s="1483" t="str">
        <f t="shared" si="350"/>
        <v/>
      </c>
      <c r="O304" s="1483" t="str">
        <f t="shared" si="351"/>
        <v/>
      </c>
      <c r="P304" s="1485" t="str">
        <f t="shared" si="352"/>
        <v/>
      </c>
      <c r="Q304" s="1486" t="str">
        <f t="shared" si="356"/>
        <v/>
      </c>
      <c r="R304" s="1046"/>
      <c r="S304" s="1022"/>
      <c r="T304" s="1047"/>
      <c r="U304" s="1046"/>
      <c r="V304" s="1022"/>
      <c r="W304" s="1487" t="str">
        <f t="shared" si="353"/>
        <v/>
      </c>
      <c r="X304" s="1048"/>
      <c r="Y304" s="1046"/>
      <c r="Z304" s="1022"/>
      <c r="AA304" s="1022"/>
      <c r="AB304" s="1050"/>
      <c r="AC304" s="1051"/>
      <c r="AD304" s="1026"/>
      <c r="AE304" s="1026"/>
      <c r="AF304" s="1050"/>
      <c r="AG304" s="1049"/>
      <c r="AH304" s="65"/>
      <c r="AI304" s="1026"/>
      <c r="AJ304" s="65"/>
      <c r="AK304" s="1026"/>
      <c r="AL304" s="68"/>
      <c r="AM304" s="1046"/>
      <c r="AN304" s="1022"/>
      <c r="AO304" s="1022"/>
      <c r="AP304" s="1052"/>
      <c r="AQ304" s="1488" t="str">
        <f t="shared" si="363"/>
        <v/>
      </c>
      <c r="AR304" s="1053"/>
      <c r="AS304" s="1488" t="str">
        <f t="shared" si="364"/>
        <v/>
      </c>
      <c r="AT304" s="1053"/>
      <c r="AU304" s="1488" t="str">
        <f t="shared" si="365"/>
        <v/>
      </c>
      <c r="AV304" s="1026"/>
      <c r="AW304" s="1026"/>
      <c r="AX304" s="1050"/>
      <c r="AY304" s="1049"/>
      <c r="AZ304" s="1036"/>
      <c r="BA304" s="1026"/>
      <c r="BB304" s="1054"/>
      <c r="BC304" s="1026"/>
      <c r="BD304" s="1055"/>
      <c r="BE304" s="1035"/>
      <c r="BF304" s="1056"/>
      <c r="BG304" s="1057"/>
      <c r="BH304" s="1057"/>
      <c r="BI304" s="1026"/>
      <c r="BJ304" s="1050"/>
      <c r="BK304" s="1058"/>
      <c r="BL304" s="1059"/>
      <c r="BM304" s="1059"/>
      <c r="BN304" s="1036"/>
      <c r="BO304" s="1060"/>
      <c r="BP304" s="1488" t="str">
        <f>IF(F304&gt;$F$18,"",IF(BO304&lt;&gt;"","",IF(ISNA(VLOOKUP('I. Stream &amp; Compound Data'!H304,'Potency Factors '!D$4:E$55,2,FALSE))=TRUE,0,VLOOKUP('I. Stream &amp; Compound Data'!H304,'Potency Factors '!D$4:E$55,2,FALSE))))</f>
        <v/>
      </c>
      <c r="BQ304" s="1053"/>
      <c r="BR304" s="1488" t="str">
        <f>IF(F304&gt;$F$18,"",IF(BQ304&lt;&gt;"","",IF(ISNA(VLOOKUP('I. Stream &amp; Compound Data'!H304,'Potency Factors '!D$68:E$167,2,FALSE))=TRUE,0,VLOOKUP('I. Stream &amp; Compound Data'!H304,'Potency Factors '!D$68:E$167,2,FALSE))))</f>
        <v/>
      </c>
      <c r="BS304" s="1053"/>
      <c r="BT304" s="1488" t="str">
        <f>IF(F304&gt;$F$18,"",IF(BS304&lt;&gt;"","",IF(ISNA(VLOOKUP('I. Stream &amp; Compound Data'!H304,'Potency Factors '!$D$412:$F$473,3,FALSE))=TRUE,0,VLOOKUP('I. Stream &amp; Compound Data'!H304,'Potency Factors '!$D$412:$F$473,3,FALSE))))</f>
        <v/>
      </c>
      <c r="BU304" s="1053"/>
      <c r="BV304" s="1488" t="str">
        <f>IF(F304&gt;$F$18,"",IF(BU304&lt;&gt;"","",IF(ISNA(VLOOKUP('I. Stream &amp; Compound Data'!H304,'Potency Factors '!D$180:E$185,2,FALSE))=TRUE,0,VLOOKUP('I. Stream &amp; Compound Data'!H304,'Potency Factors '!D$180:E$185,2,FALSE))))</f>
        <v/>
      </c>
      <c r="BW304" s="1055"/>
      <c r="BX304" s="1489" t="str">
        <f t="shared" si="366"/>
        <v/>
      </c>
      <c r="BY304" s="1055"/>
      <c r="BZ304" s="1489" t="str">
        <f t="shared" si="367"/>
        <v/>
      </c>
      <c r="CA304" s="1055"/>
      <c r="CB304" s="1036"/>
      <c r="CC304" s="1489" t="str">
        <f t="shared" si="368"/>
        <v/>
      </c>
      <c r="CD304" s="1053"/>
      <c r="CE304" s="1488" t="str">
        <f>IF(F304&gt;$F$18,"",IF(CD304&lt;&gt;"","",IF(ISNA(VLOOKUP('I. Stream &amp; Compound Data'!H304,'Potency Factors '!D$224:F$345,3,FALSE))=TRUE,0,VLOOKUP('I. Stream &amp; Compound Data'!H304,'Potency Factors '!D$224:F$345,3,FALSE))))</f>
        <v/>
      </c>
      <c r="CF304" s="1053"/>
      <c r="CG304" s="1488" t="str">
        <f>IF(F304&gt;$F$18,"",IF(CF304&lt;&gt;"","",IF(ISNA(VLOOKUP('I. Stream &amp; Compound Data'!H304,'Potency Factors '!D$361:F$374,3,FALSE))=TRUE,0,VLOOKUP('I. Stream &amp; Compound Data'!H304,'Potency Factors '!D$361:F$374,3,FALSE))))</f>
        <v/>
      </c>
      <c r="CH304" s="1055"/>
      <c r="CI304" s="1055"/>
      <c r="CJ304" s="1055"/>
      <c r="CK304" s="1055"/>
      <c r="CL304" s="1055"/>
      <c r="CM304" s="1055"/>
      <c r="CN304" s="1055"/>
      <c r="CO304" s="1055"/>
      <c r="CP304" s="1490" t="str">
        <f t="shared" si="369"/>
        <v/>
      </c>
      <c r="CQ304" s="1053"/>
      <c r="CR304" s="1488" t="str">
        <f>IF(F304&gt;$F$18,"",IF(CQ304&lt;&gt;"","",IF(ISNA(VLOOKUP('I. Stream &amp; Compound Data'!H304,'Potency Factors '!D$387:E$399,2,FALSE))=FALSE,VLOOKUP('I. Stream &amp; Compound Data'!H304,'Potency Factors '!D$387:E$399,2,FALSE),IF(ISNUMBER(SEARCH("phosphate",G304))=TRUE,1,IF(ISNUMBER(SEARCH("nitrate",G304))=TRUE,0.1,0)))))</f>
        <v/>
      </c>
      <c r="CS304" s="1053"/>
      <c r="CT304" s="1491" t="str">
        <f>IF(F304&gt;$F$18,"",IF(CS304&lt;&gt;"","",IF(ISNA(VLOOKUP('I. Stream &amp; Compound Data'!H304,'Potency Factors '!$D$485:$F$558,3,FALSE))=TRUE,0,VLOOKUP('I. Stream &amp; Compound Data'!H304,'Potency Factors '!$D$485:$F$558,3,FALSE))))</f>
        <v/>
      </c>
      <c r="CU304" s="1588"/>
    </row>
    <row r="305" ht="15" x14ac:dyDescent="0.25">
      <c r="B305" s="1612"/>
      <c r="C305" s="1613"/>
      <c r="D305" s="1613"/>
      <c r="E305" s="1613"/>
      <c r="F305" s="1481">
        <f t="shared" si="358"/>
        <v>44</v>
      </c>
      <c r="G305" s="1482" t="str">
        <f t="shared" si="359"/>
        <v/>
      </c>
      <c r="H305" s="1483" t="str">
        <f t="shared" si="360"/>
        <v/>
      </c>
      <c r="I305" s="1483" t="str">
        <f t="shared" si="361"/>
        <v/>
      </c>
      <c r="J305" s="1484" t="str">
        <f t="shared" si="362"/>
        <v/>
      </c>
      <c r="K305" s="1046"/>
      <c r="L305" s="1483" t="str">
        <f t="shared" si="357"/>
        <v/>
      </c>
      <c r="M305" s="1483" t="str">
        <f t="shared" si="349"/>
        <v/>
      </c>
      <c r="N305" s="1483" t="str">
        <f t="shared" si="350"/>
        <v/>
      </c>
      <c r="O305" s="1483" t="str">
        <f t="shared" si="351"/>
        <v/>
      </c>
      <c r="P305" s="1485" t="str">
        <f t="shared" si="352"/>
        <v/>
      </c>
      <c r="Q305" s="1486" t="str">
        <f t="shared" si="356"/>
        <v/>
      </c>
      <c r="R305" s="1046"/>
      <c r="S305" s="1022"/>
      <c r="T305" s="1047"/>
      <c r="U305" s="1046"/>
      <c r="V305" s="1022"/>
      <c r="W305" s="1487" t="str">
        <f t="shared" si="353"/>
        <v/>
      </c>
      <c r="X305" s="1048"/>
      <c r="Y305" s="1046"/>
      <c r="Z305" s="1022"/>
      <c r="AA305" s="1022"/>
      <c r="AB305" s="1050"/>
      <c r="AC305" s="1051"/>
      <c r="AD305" s="1026"/>
      <c r="AE305" s="1026"/>
      <c r="AF305" s="1050"/>
      <c r="AG305" s="1049"/>
      <c r="AH305" s="65"/>
      <c r="AI305" s="1026"/>
      <c r="AJ305" s="65"/>
      <c r="AK305" s="1026"/>
      <c r="AL305" s="68"/>
      <c r="AM305" s="1046"/>
      <c r="AN305" s="1022"/>
      <c r="AO305" s="1022"/>
      <c r="AP305" s="1052"/>
      <c r="AQ305" s="1488" t="str">
        <f t="shared" si="363"/>
        <v/>
      </c>
      <c r="AR305" s="1053"/>
      <c r="AS305" s="1488" t="str">
        <f t="shared" si="364"/>
        <v/>
      </c>
      <c r="AT305" s="1053"/>
      <c r="AU305" s="1488" t="str">
        <f t="shared" si="365"/>
        <v/>
      </c>
      <c r="AV305" s="1026"/>
      <c r="AW305" s="1026"/>
      <c r="AX305" s="1050"/>
      <c r="AY305" s="1049"/>
      <c r="AZ305" s="1036"/>
      <c r="BA305" s="1026"/>
      <c r="BB305" s="1054"/>
      <c r="BC305" s="1026"/>
      <c r="BD305" s="1055"/>
      <c r="BE305" s="1035"/>
      <c r="BF305" s="1056"/>
      <c r="BG305" s="1057"/>
      <c r="BH305" s="1057"/>
      <c r="BI305" s="1026"/>
      <c r="BJ305" s="1050"/>
      <c r="BK305" s="1058"/>
      <c r="BL305" s="1059"/>
      <c r="BM305" s="1059"/>
      <c r="BN305" s="1036"/>
      <c r="BO305" s="1060"/>
      <c r="BP305" s="1488" t="str">
        <f>IF(F305&gt;$F$18,"",IF(BO305&lt;&gt;"","",IF(ISNA(VLOOKUP('I. Stream &amp; Compound Data'!H305,'Potency Factors '!D$4:E$55,2,FALSE))=TRUE,0,VLOOKUP('I. Stream &amp; Compound Data'!H305,'Potency Factors '!D$4:E$55,2,FALSE))))</f>
        <v/>
      </c>
      <c r="BQ305" s="1053"/>
      <c r="BR305" s="1488" t="str">
        <f>IF(F305&gt;$F$18,"",IF(BQ305&lt;&gt;"","",IF(ISNA(VLOOKUP('I. Stream &amp; Compound Data'!H305,'Potency Factors '!D$68:E$167,2,FALSE))=TRUE,0,VLOOKUP('I. Stream &amp; Compound Data'!H305,'Potency Factors '!D$68:E$167,2,FALSE))))</f>
        <v/>
      </c>
      <c r="BS305" s="1053"/>
      <c r="BT305" s="1488" t="str">
        <f>IF(F305&gt;$F$18,"",IF(BS305&lt;&gt;"","",IF(ISNA(VLOOKUP('I. Stream &amp; Compound Data'!H305,'Potency Factors '!$D$412:$F$473,3,FALSE))=TRUE,0,VLOOKUP('I. Stream &amp; Compound Data'!H305,'Potency Factors '!$D$412:$F$473,3,FALSE))))</f>
        <v/>
      </c>
      <c r="BU305" s="1053"/>
      <c r="BV305" s="1488" t="str">
        <f>IF(F305&gt;$F$18,"",IF(BU305&lt;&gt;"","",IF(ISNA(VLOOKUP('I. Stream &amp; Compound Data'!H305,'Potency Factors '!D$180:E$185,2,FALSE))=TRUE,0,VLOOKUP('I. Stream &amp; Compound Data'!H305,'Potency Factors '!D$180:E$185,2,FALSE))))</f>
        <v/>
      </c>
      <c r="BW305" s="1055"/>
      <c r="BX305" s="1489" t="str">
        <f t="shared" si="366"/>
        <v/>
      </c>
      <c r="BY305" s="1055"/>
      <c r="BZ305" s="1489" t="str">
        <f t="shared" si="367"/>
        <v/>
      </c>
      <c r="CA305" s="1055"/>
      <c r="CB305" s="1036"/>
      <c r="CC305" s="1489" t="str">
        <f t="shared" si="368"/>
        <v/>
      </c>
      <c r="CD305" s="1053"/>
      <c r="CE305" s="1488" t="str">
        <f>IF(F305&gt;$F$18,"",IF(CD305&lt;&gt;"","",IF(ISNA(VLOOKUP('I. Stream &amp; Compound Data'!H305,'Potency Factors '!D$224:F$345,3,FALSE))=TRUE,0,VLOOKUP('I. Stream &amp; Compound Data'!H305,'Potency Factors '!D$224:F$345,3,FALSE))))</f>
        <v/>
      </c>
      <c r="CF305" s="1053"/>
      <c r="CG305" s="1488" t="str">
        <f>IF(F305&gt;$F$18,"",IF(CF305&lt;&gt;"","",IF(ISNA(VLOOKUP('I. Stream &amp; Compound Data'!H305,'Potency Factors '!D$361:F$374,3,FALSE))=TRUE,0,VLOOKUP('I. Stream &amp; Compound Data'!H305,'Potency Factors '!D$361:F$374,3,FALSE))))</f>
        <v/>
      </c>
      <c r="CH305" s="1055"/>
      <c r="CI305" s="1055"/>
      <c r="CJ305" s="1055"/>
      <c r="CK305" s="1055"/>
      <c r="CL305" s="1055"/>
      <c r="CM305" s="1055"/>
      <c r="CN305" s="1055"/>
      <c r="CO305" s="1055"/>
      <c r="CP305" s="1490" t="str">
        <f t="shared" si="369"/>
        <v/>
      </c>
      <c r="CQ305" s="1053"/>
      <c r="CR305" s="1488" t="str">
        <f>IF(F305&gt;$F$18,"",IF(CQ305&lt;&gt;"","",IF(ISNA(VLOOKUP('I. Stream &amp; Compound Data'!H305,'Potency Factors '!D$387:E$399,2,FALSE))=FALSE,VLOOKUP('I. Stream &amp; Compound Data'!H305,'Potency Factors '!D$387:E$399,2,FALSE),IF(ISNUMBER(SEARCH("phosphate",G305))=TRUE,1,IF(ISNUMBER(SEARCH("nitrate",G305))=TRUE,0.1,0)))))</f>
        <v/>
      </c>
      <c r="CS305" s="1053"/>
      <c r="CT305" s="1491" t="str">
        <f>IF(F305&gt;$F$18,"",IF(CS305&lt;&gt;"","",IF(ISNA(VLOOKUP('I. Stream &amp; Compound Data'!H305,'Potency Factors '!$D$485:$F$558,3,FALSE))=TRUE,0,VLOOKUP('I. Stream &amp; Compound Data'!H305,'Potency Factors '!$D$485:$F$558,3,FALSE))))</f>
        <v/>
      </c>
      <c r="CU305" s="1588"/>
    </row>
    <row r="306" ht="15" x14ac:dyDescent="0.25">
      <c r="B306" s="1612"/>
      <c r="C306" s="1613"/>
      <c r="D306" s="1613"/>
      <c r="E306" s="1613"/>
      <c r="F306" s="1481">
        <f t="shared" si="358"/>
        <v>45</v>
      </c>
      <c r="G306" s="1482" t="str">
        <f t="shared" si="359"/>
        <v/>
      </c>
      <c r="H306" s="1483" t="str">
        <f t="shared" si="360"/>
        <v/>
      </c>
      <c r="I306" s="1483" t="str">
        <f t="shared" si="361"/>
        <v/>
      </c>
      <c r="J306" s="1484" t="str">
        <f t="shared" si="362"/>
        <v/>
      </c>
      <c r="K306" s="1046"/>
      <c r="L306" s="1483" t="str">
        <f t="shared" si="357"/>
        <v/>
      </c>
      <c r="M306" s="1483" t="str">
        <f t="shared" si="349"/>
        <v/>
      </c>
      <c r="N306" s="1483" t="str">
        <f t="shared" si="350"/>
        <v/>
      </c>
      <c r="O306" s="1483" t="str">
        <f t="shared" si="351"/>
        <v/>
      </c>
      <c r="P306" s="1485" t="str">
        <f t="shared" si="352"/>
        <v/>
      </c>
      <c r="Q306" s="1486" t="str">
        <f t="shared" si="356"/>
        <v/>
      </c>
      <c r="R306" s="1046"/>
      <c r="S306" s="1022"/>
      <c r="T306" s="1047"/>
      <c r="U306" s="1046"/>
      <c r="V306" s="1022"/>
      <c r="W306" s="1487" t="str">
        <f t="shared" si="353"/>
        <v/>
      </c>
      <c r="X306" s="1048"/>
      <c r="Y306" s="1046"/>
      <c r="Z306" s="1022"/>
      <c r="AA306" s="1022"/>
      <c r="AB306" s="1050"/>
      <c r="AC306" s="1051"/>
      <c r="AD306" s="1026"/>
      <c r="AE306" s="1026"/>
      <c r="AF306" s="1050"/>
      <c r="AG306" s="1049"/>
      <c r="AH306" s="65"/>
      <c r="AI306" s="1026"/>
      <c r="AJ306" s="65"/>
      <c r="AK306" s="1026"/>
      <c r="AL306" s="68"/>
      <c r="AM306" s="1046"/>
      <c r="AN306" s="1022"/>
      <c r="AO306" s="1022"/>
      <c r="AP306" s="1052"/>
      <c r="AQ306" s="1488" t="str">
        <f t="shared" si="363"/>
        <v/>
      </c>
      <c r="AR306" s="1053"/>
      <c r="AS306" s="1488" t="str">
        <f t="shared" si="364"/>
        <v/>
      </c>
      <c r="AT306" s="1053"/>
      <c r="AU306" s="1488" t="str">
        <f t="shared" si="365"/>
        <v/>
      </c>
      <c r="AV306" s="1026"/>
      <c r="AW306" s="1026"/>
      <c r="AX306" s="1050"/>
      <c r="AY306" s="1049"/>
      <c r="AZ306" s="1036"/>
      <c r="BA306" s="1026"/>
      <c r="BB306" s="1054"/>
      <c r="BC306" s="1026"/>
      <c r="BD306" s="1055"/>
      <c r="BE306" s="1035"/>
      <c r="BF306" s="1056"/>
      <c r="BG306" s="1057"/>
      <c r="BH306" s="1057"/>
      <c r="BI306" s="1026"/>
      <c r="BJ306" s="1050"/>
      <c r="BK306" s="1058"/>
      <c r="BL306" s="1059"/>
      <c r="BM306" s="1059"/>
      <c r="BN306" s="1036"/>
      <c r="BO306" s="1060"/>
      <c r="BP306" s="1488" t="str">
        <f>IF(F306&gt;$F$18,"",IF(BO306&lt;&gt;"","",IF(ISNA(VLOOKUP('I. Stream &amp; Compound Data'!H306,'Potency Factors '!D$4:E$55,2,FALSE))=TRUE,0,VLOOKUP('I. Stream &amp; Compound Data'!H306,'Potency Factors '!D$4:E$55,2,FALSE))))</f>
        <v/>
      </c>
      <c r="BQ306" s="1053"/>
      <c r="BR306" s="1488" t="str">
        <f>IF(F306&gt;$F$18,"",IF(BQ306&lt;&gt;"","",IF(ISNA(VLOOKUP('I. Stream &amp; Compound Data'!H306,'Potency Factors '!D$68:E$167,2,FALSE))=TRUE,0,VLOOKUP('I. Stream &amp; Compound Data'!H306,'Potency Factors '!D$68:E$167,2,FALSE))))</f>
        <v/>
      </c>
      <c r="BS306" s="1053"/>
      <c r="BT306" s="1488" t="str">
        <f>IF(F306&gt;$F$18,"",IF(BS306&lt;&gt;"","",IF(ISNA(VLOOKUP('I. Stream &amp; Compound Data'!H306,'Potency Factors '!$D$412:$F$473,3,FALSE))=TRUE,0,VLOOKUP('I. Stream &amp; Compound Data'!H306,'Potency Factors '!$D$412:$F$473,3,FALSE))))</f>
        <v/>
      </c>
      <c r="BU306" s="1053"/>
      <c r="BV306" s="1488" t="str">
        <f>IF(F306&gt;$F$18,"",IF(BU306&lt;&gt;"","",IF(ISNA(VLOOKUP('I. Stream &amp; Compound Data'!H306,'Potency Factors '!D$180:E$185,2,FALSE))=TRUE,0,VLOOKUP('I. Stream &amp; Compound Data'!H306,'Potency Factors '!D$180:E$185,2,FALSE))))</f>
        <v/>
      </c>
      <c r="BW306" s="1055"/>
      <c r="BX306" s="1489" t="str">
        <f t="shared" si="366"/>
        <v/>
      </c>
      <c r="BY306" s="1055"/>
      <c r="BZ306" s="1489" t="str">
        <f t="shared" si="367"/>
        <v/>
      </c>
      <c r="CA306" s="1055"/>
      <c r="CB306" s="1036"/>
      <c r="CC306" s="1489" t="str">
        <f t="shared" si="368"/>
        <v/>
      </c>
      <c r="CD306" s="1053"/>
      <c r="CE306" s="1488" t="str">
        <f>IF(F306&gt;$F$18,"",IF(CD306&lt;&gt;"","",IF(ISNA(VLOOKUP('I. Stream &amp; Compound Data'!H306,'Potency Factors '!D$224:F$345,3,FALSE))=TRUE,0,VLOOKUP('I. Stream &amp; Compound Data'!H306,'Potency Factors '!D$224:F$345,3,FALSE))))</f>
        <v/>
      </c>
      <c r="CF306" s="1053"/>
      <c r="CG306" s="1488" t="str">
        <f>IF(F306&gt;$F$18,"",IF(CF306&lt;&gt;"","",IF(ISNA(VLOOKUP('I. Stream &amp; Compound Data'!H306,'Potency Factors '!D$361:F$374,3,FALSE))=TRUE,0,VLOOKUP('I. Stream &amp; Compound Data'!H306,'Potency Factors '!D$361:F$374,3,FALSE))))</f>
        <v/>
      </c>
      <c r="CH306" s="1055"/>
      <c r="CI306" s="1055"/>
      <c r="CJ306" s="1055"/>
      <c r="CK306" s="1055"/>
      <c r="CL306" s="1055"/>
      <c r="CM306" s="1055"/>
      <c r="CN306" s="1055"/>
      <c r="CO306" s="1055"/>
      <c r="CP306" s="1490" t="str">
        <f t="shared" si="369"/>
        <v/>
      </c>
      <c r="CQ306" s="1053"/>
      <c r="CR306" s="1488" t="str">
        <f>IF(F306&gt;$F$18,"",IF(CQ306&lt;&gt;"","",IF(ISNA(VLOOKUP('I. Stream &amp; Compound Data'!H306,'Potency Factors '!D$387:E$399,2,FALSE))=FALSE,VLOOKUP('I. Stream &amp; Compound Data'!H306,'Potency Factors '!D$387:E$399,2,FALSE),IF(ISNUMBER(SEARCH("phosphate",G306))=TRUE,1,IF(ISNUMBER(SEARCH("nitrate",G306))=TRUE,0.1,0)))))</f>
        <v/>
      </c>
      <c r="CS306" s="1053"/>
      <c r="CT306" s="1491" t="str">
        <f>IF(F306&gt;$F$18,"",IF(CS306&lt;&gt;"","",IF(ISNA(VLOOKUP('I. Stream &amp; Compound Data'!H306,'Potency Factors '!$D$485:$F$558,3,FALSE))=TRUE,0,VLOOKUP('I. Stream &amp; Compound Data'!H306,'Potency Factors '!$D$485:$F$558,3,FALSE))))</f>
        <v/>
      </c>
      <c r="CU306" s="1588"/>
    </row>
    <row r="307" ht="15" x14ac:dyDescent="0.25">
      <c r="B307" s="1612"/>
      <c r="C307" s="1613"/>
      <c r="D307" s="1613"/>
      <c r="E307" s="1613"/>
      <c r="F307" s="1481">
        <f t="shared" si="358"/>
        <v>46</v>
      </c>
      <c r="G307" s="1482" t="str">
        <f t="shared" si="359"/>
        <v/>
      </c>
      <c r="H307" s="1483" t="str">
        <f t="shared" si="360"/>
        <v/>
      </c>
      <c r="I307" s="1483" t="str">
        <f t="shared" si="361"/>
        <v/>
      </c>
      <c r="J307" s="1484" t="str">
        <f t="shared" si="362"/>
        <v/>
      </c>
      <c r="K307" s="1046"/>
      <c r="L307" s="1483" t="str">
        <f t="shared" si="357"/>
        <v/>
      </c>
      <c r="M307" s="1483" t="str">
        <f t="shared" si="349"/>
        <v/>
      </c>
      <c r="N307" s="1483" t="str">
        <f t="shared" si="350"/>
        <v/>
      </c>
      <c r="O307" s="1483" t="str">
        <f t="shared" si="351"/>
        <v/>
      </c>
      <c r="P307" s="1485" t="str">
        <f t="shared" si="352"/>
        <v/>
      </c>
      <c r="Q307" s="1486" t="str">
        <f t="shared" si="356"/>
        <v/>
      </c>
      <c r="R307" s="1046"/>
      <c r="S307" s="1022"/>
      <c r="T307" s="1047"/>
      <c r="U307" s="1046"/>
      <c r="V307" s="1022"/>
      <c r="W307" s="1487" t="str">
        <f t="shared" si="353"/>
        <v/>
      </c>
      <c r="X307" s="1048"/>
      <c r="Y307" s="1046"/>
      <c r="Z307" s="1022"/>
      <c r="AA307" s="1022"/>
      <c r="AB307" s="1050"/>
      <c r="AC307" s="1051"/>
      <c r="AD307" s="1026"/>
      <c r="AE307" s="1026"/>
      <c r="AF307" s="1050"/>
      <c r="AG307" s="1049"/>
      <c r="AH307" s="65"/>
      <c r="AI307" s="1026"/>
      <c r="AJ307" s="65"/>
      <c r="AK307" s="1026"/>
      <c r="AL307" s="68"/>
      <c r="AM307" s="1046"/>
      <c r="AN307" s="1022"/>
      <c r="AO307" s="1022"/>
      <c r="AP307" s="1052"/>
      <c r="AQ307" s="1488" t="str">
        <f t="shared" si="363"/>
        <v/>
      </c>
      <c r="AR307" s="1053"/>
      <c r="AS307" s="1488" t="str">
        <f t="shared" si="364"/>
        <v/>
      </c>
      <c r="AT307" s="1053"/>
      <c r="AU307" s="1488" t="str">
        <f t="shared" si="365"/>
        <v/>
      </c>
      <c r="AV307" s="1026"/>
      <c r="AW307" s="1026"/>
      <c r="AX307" s="1050"/>
      <c r="AY307" s="1049"/>
      <c r="AZ307" s="1036"/>
      <c r="BA307" s="1026"/>
      <c r="BB307" s="1054"/>
      <c r="BC307" s="1026"/>
      <c r="BD307" s="1055"/>
      <c r="BE307" s="1035"/>
      <c r="BF307" s="1056"/>
      <c r="BG307" s="1057"/>
      <c r="BH307" s="1057"/>
      <c r="BI307" s="1026"/>
      <c r="BJ307" s="1050"/>
      <c r="BK307" s="1058"/>
      <c r="BL307" s="1059"/>
      <c r="BM307" s="1059"/>
      <c r="BN307" s="1036"/>
      <c r="BO307" s="1060"/>
      <c r="BP307" s="1488" t="str">
        <f>IF(F307&gt;$F$18,"",IF(BO307&lt;&gt;"","",IF(ISNA(VLOOKUP('I. Stream &amp; Compound Data'!H307,'Potency Factors '!D$4:E$55,2,FALSE))=TRUE,0,VLOOKUP('I. Stream &amp; Compound Data'!H307,'Potency Factors '!D$4:E$55,2,FALSE))))</f>
        <v/>
      </c>
      <c r="BQ307" s="1053"/>
      <c r="BR307" s="1488" t="str">
        <f>IF(F307&gt;$F$18,"",IF(BQ307&lt;&gt;"","",IF(ISNA(VLOOKUP('I. Stream &amp; Compound Data'!H307,'Potency Factors '!D$68:E$167,2,FALSE))=TRUE,0,VLOOKUP('I. Stream &amp; Compound Data'!H307,'Potency Factors '!D$68:E$167,2,FALSE))))</f>
        <v/>
      </c>
      <c r="BS307" s="1053"/>
      <c r="BT307" s="1488" t="str">
        <f>IF(F307&gt;$F$18,"",IF(BS307&lt;&gt;"","",IF(ISNA(VLOOKUP('I. Stream &amp; Compound Data'!H307,'Potency Factors '!$D$412:$F$473,3,FALSE))=TRUE,0,VLOOKUP('I. Stream &amp; Compound Data'!H307,'Potency Factors '!$D$412:$F$473,3,FALSE))))</f>
        <v/>
      </c>
      <c r="BU307" s="1053"/>
      <c r="BV307" s="1488" t="str">
        <f>IF(F307&gt;$F$18,"",IF(BU307&lt;&gt;"","",IF(ISNA(VLOOKUP('I. Stream &amp; Compound Data'!H307,'Potency Factors '!D$180:E$185,2,FALSE))=TRUE,0,VLOOKUP('I. Stream &amp; Compound Data'!H307,'Potency Factors '!D$180:E$185,2,FALSE))))</f>
        <v/>
      </c>
      <c r="BW307" s="1055"/>
      <c r="BX307" s="1489" t="str">
        <f t="shared" si="366"/>
        <v/>
      </c>
      <c r="BY307" s="1055"/>
      <c r="BZ307" s="1489" t="str">
        <f t="shared" si="367"/>
        <v/>
      </c>
      <c r="CA307" s="1055"/>
      <c r="CB307" s="1036"/>
      <c r="CC307" s="1489" t="str">
        <f t="shared" si="368"/>
        <v/>
      </c>
      <c r="CD307" s="1053"/>
      <c r="CE307" s="1488" t="str">
        <f>IF(F307&gt;$F$18,"",IF(CD307&lt;&gt;"","",IF(ISNA(VLOOKUP('I. Stream &amp; Compound Data'!H307,'Potency Factors '!D$224:F$345,3,FALSE))=TRUE,0,VLOOKUP('I. Stream &amp; Compound Data'!H307,'Potency Factors '!D$224:F$345,3,FALSE))))</f>
        <v/>
      </c>
      <c r="CF307" s="1053"/>
      <c r="CG307" s="1488" t="str">
        <f>IF(F307&gt;$F$18,"",IF(CF307&lt;&gt;"","",IF(ISNA(VLOOKUP('I. Stream &amp; Compound Data'!H307,'Potency Factors '!D$361:F$374,3,FALSE))=TRUE,0,VLOOKUP('I. Stream &amp; Compound Data'!H307,'Potency Factors '!D$361:F$374,3,FALSE))))</f>
        <v/>
      </c>
      <c r="CH307" s="1055"/>
      <c r="CI307" s="1055"/>
      <c r="CJ307" s="1055"/>
      <c r="CK307" s="1055"/>
      <c r="CL307" s="1055"/>
      <c r="CM307" s="1055"/>
      <c r="CN307" s="1055"/>
      <c r="CO307" s="1055"/>
      <c r="CP307" s="1490" t="str">
        <f t="shared" si="369"/>
        <v/>
      </c>
      <c r="CQ307" s="1053"/>
      <c r="CR307" s="1488" t="str">
        <f>IF(F307&gt;$F$18,"",IF(CQ307&lt;&gt;"","",IF(ISNA(VLOOKUP('I. Stream &amp; Compound Data'!H307,'Potency Factors '!D$387:E$399,2,FALSE))=FALSE,VLOOKUP('I. Stream &amp; Compound Data'!H307,'Potency Factors '!D$387:E$399,2,FALSE),IF(ISNUMBER(SEARCH("phosphate",G307))=TRUE,1,IF(ISNUMBER(SEARCH("nitrate",G307))=TRUE,0.1,0)))))</f>
        <v/>
      </c>
      <c r="CS307" s="1053"/>
      <c r="CT307" s="1491" t="str">
        <f>IF(F307&gt;$F$18,"",IF(CS307&lt;&gt;"","",IF(ISNA(VLOOKUP('I. Stream &amp; Compound Data'!H307,'Potency Factors '!$D$485:$F$558,3,FALSE))=TRUE,0,VLOOKUP('I. Stream &amp; Compound Data'!H307,'Potency Factors '!$D$485:$F$558,3,FALSE))))</f>
        <v/>
      </c>
      <c r="CU307" s="1588"/>
    </row>
    <row r="308" ht="15" x14ac:dyDescent="0.25">
      <c r="B308" s="1612"/>
      <c r="C308" s="1613"/>
      <c r="D308" s="1613"/>
      <c r="E308" s="1613"/>
      <c r="F308" s="1481">
        <f t="shared" si="358"/>
        <v>47</v>
      </c>
      <c r="G308" s="1482" t="str">
        <f t="shared" si="359"/>
        <v/>
      </c>
      <c r="H308" s="1483" t="str">
        <f t="shared" si="360"/>
        <v/>
      </c>
      <c r="I308" s="1483" t="str">
        <f t="shared" si="361"/>
        <v/>
      </c>
      <c r="J308" s="1484" t="str">
        <f t="shared" si="362"/>
        <v/>
      </c>
      <c r="K308" s="1046"/>
      <c r="L308" s="1483" t="str">
        <f t="shared" si="357"/>
        <v/>
      </c>
      <c r="M308" s="1483" t="str">
        <f t="shared" si="349"/>
        <v/>
      </c>
      <c r="N308" s="1483" t="str">
        <f t="shared" si="350"/>
        <v/>
      </c>
      <c r="O308" s="1483" t="str">
        <f t="shared" si="351"/>
        <v/>
      </c>
      <c r="P308" s="1485" t="str">
        <f t="shared" si="352"/>
        <v/>
      </c>
      <c r="Q308" s="1486" t="str">
        <f t="shared" si="356"/>
        <v/>
      </c>
      <c r="R308" s="1046"/>
      <c r="S308" s="1022"/>
      <c r="T308" s="1047"/>
      <c r="U308" s="1046"/>
      <c r="V308" s="1022"/>
      <c r="W308" s="1487" t="str">
        <f t="shared" si="353"/>
        <v/>
      </c>
      <c r="X308" s="1048"/>
      <c r="Y308" s="1046"/>
      <c r="Z308" s="1022"/>
      <c r="AA308" s="1022"/>
      <c r="AB308" s="1050"/>
      <c r="AC308" s="1051"/>
      <c r="AD308" s="1026"/>
      <c r="AE308" s="1026"/>
      <c r="AF308" s="1050"/>
      <c r="AG308" s="1049"/>
      <c r="AH308" s="65"/>
      <c r="AI308" s="1026"/>
      <c r="AJ308" s="65"/>
      <c r="AK308" s="1026"/>
      <c r="AL308" s="68"/>
      <c r="AM308" s="1046"/>
      <c r="AN308" s="1022"/>
      <c r="AO308" s="1022"/>
      <c r="AP308" s="1052"/>
      <c r="AQ308" s="1488" t="str">
        <f t="shared" si="363"/>
        <v/>
      </c>
      <c r="AR308" s="1053"/>
      <c r="AS308" s="1488" t="str">
        <f t="shared" si="364"/>
        <v/>
      </c>
      <c r="AT308" s="1053"/>
      <c r="AU308" s="1488" t="str">
        <f t="shared" si="365"/>
        <v/>
      </c>
      <c r="AV308" s="1026"/>
      <c r="AW308" s="1026"/>
      <c r="AX308" s="1050"/>
      <c r="AY308" s="1049"/>
      <c r="AZ308" s="1036"/>
      <c r="BA308" s="1026"/>
      <c r="BB308" s="1054"/>
      <c r="BC308" s="1026"/>
      <c r="BD308" s="1055"/>
      <c r="BE308" s="1035"/>
      <c r="BF308" s="1056"/>
      <c r="BG308" s="1057"/>
      <c r="BH308" s="1057"/>
      <c r="BI308" s="1026"/>
      <c r="BJ308" s="1050"/>
      <c r="BK308" s="1058"/>
      <c r="BL308" s="1059"/>
      <c r="BM308" s="1059"/>
      <c r="BN308" s="1036"/>
      <c r="BO308" s="1060"/>
      <c r="BP308" s="1488" t="str">
        <f>IF(F308&gt;$F$18,"",IF(BO308&lt;&gt;"","",IF(ISNA(VLOOKUP('I. Stream &amp; Compound Data'!H308,'Potency Factors '!D$4:E$55,2,FALSE))=TRUE,0,VLOOKUP('I. Stream &amp; Compound Data'!H308,'Potency Factors '!D$4:E$55,2,FALSE))))</f>
        <v/>
      </c>
      <c r="BQ308" s="1053"/>
      <c r="BR308" s="1488" t="str">
        <f>IF(F308&gt;$F$18,"",IF(BQ308&lt;&gt;"","",IF(ISNA(VLOOKUP('I. Stream &amp; Compound Data'!H308,'Potency Factors '!D$68:E$167,2,FALSE))=TRUE,0,VLOOKUP('I. Stream &amp; Compound Data'!H308,'Potency Factors '!D$68:E$167,2,FALSE))))</f>
        <v/>
      </c>
      <c r="BS308" s="1053"/>
      <c r="BT308" s="1488" t="str">
        <f>IF(F308&gt;$F$18,"",IF(BS308&lt;&gt;"","",IF(ISNA(VLOOKUP('I. Stream &amp; Compound Data'!H308,'Potency Factors '!$D$412:$F$473,3,FALSE))=TRUE,0,VLOOKUP('I. Stream &amp; Compound Data'!H308,'Potency Factors '!$D$412:$F$473,3,FALSE))))</f>
        <v/>
      </c>
      <c r="BU308" s="1053"/>
      <c r="BV308" s="1488" t="str">
        <f>IF(F308&gt;$F$18,"",IF(BU308&lt;&gt;"","",IF(ISNA(VLOOKUP('I. Stream &amp; Compound Data'!H308,'Potency Factors '!D$180:E$185,2,FALSE))=TRUE,0,VLOOKUP('I. Stream &amp; Compound Data'!H308,'Potency Factors '!D$180:E$185,2,FALSE))))</f>
        <v/>
      </c>
      <c r="BW308" s="1055"/>
      <c r="BX308" s="1489" t="str">
        <f t="shared" si="366"/>
        <v/>
      </c>
      <c r="BY308" s="1055"/>
      <c r="BZ308" s="1489" t="str">
        <f t="shared" si="367"/>
        <v/>
      </c>
      <c r="CA308" s="1055"/>
      <c r="CB308" s="1036"/>
      <c r="CC308" s="1489" t="str">
        <f t="shared" si="368"/>
        <v/>
      </c>
      <c r="CD308" s="1053"/>
      <c r="CE308" s="1488" t="str">
        <f>IF(F308&gt;$F$18,"",IF(CD308&lt;&gt;"","",IF(ISNA(VLOOKUP('I. Stream &amp; Compound Data'!H308,'Potency Factors '!D$224:F$345,3,FALSE))=TRUE,0,VLOOKUP('I. Stream &amp; Compound Data'!H308,'Potency Factors '!D$224:F$345,3,FALSE))))</f>
        <v/>
      </c>
      <c r="CF308" s="1053"/>
      <c r="CG308" s="1488" t="str">
        <f>IF(F308&gt;$F$18,"",IF(CF308&lt;&gt;"","",IF(ISNA(VLOOKUP('I. Stream &amp; Compound Data'!H308,'Potency Factors '!D$361:F$374,3,FALSE))=TRUE,0,VLOOKUP('I. Stream &amp; Compound Data'!H308,'Potency Factors '!D$361:F$374,3,FALSE))))</f>
        <v/>
      </c>
      <c r="CH308" s="1055"/>
      <c r="CI308" s="1055"/>
      <c r="CJ308" s="1055"/>
      <c r="CK308" s="1055"/>
      <c r="CL308" s="1055"/>
      <c r="CM308" s="1055"/>
      <c r="CN308" s="1055"/>
      <c r="CO308" s="1055"/>
      <c r="CP308" s="1490" t="str">
        <f t="shared" si="369"/>
        <v/>
      </c>
      <c r="CQ308" s="1053"/>
      <c r="CR308" s="1488" t="str">
        <f>IF(F308&gt;$F$18,"",IF(CQ308&lt;&gt;"","",IF(ISNA(VLOOKUP('I. Stream &amp; Compound Data'!H308,'Potency Factors '!D$387:E$399,2,FALSE))=FALSE,VLOOKUP('I. Stream &amp; Compound Data'!H308,'Potency Factors '!D$387:E$399,2,FALSE),IF(ISNUMBER(SEARCH("phosphate",G308))=TRUE,1,IF(ISNUMBER(SEARCH("nitrate",G308))=TRUE,0.1,0)))))</f>
        <v/>
      </c>
      <c r="CS308" s="1053"/>
      <c r="CT308" s="1491" t="str">
        <f>IF(F308&gt;$F$18,"",IF(CS308&lt;&gt;"","",IF(ISNA(VLOOKUP('I. Stream &amp; Compound Data'!H308,'Potency Factors '!$D$485:$F$558,3,FALSE))=TRUE,0,VLOOKUP('I. Stream &amp; Compound Data'!H308,'Potency Factors '!$D$485:$F$558,3,FALSE))))</f>
        <v/>
      </c>
      <c r="CU308" s="1588"/>
    </row>
    <row r="309" ht="15" x14ac:dyDescent="0.25">
      <c r="B309" s="1612"/>
      <c r="C309" s="1613"/>
      <c r="D309" s="1613"/>
      <c r="E309" s="1613"/>
      <c r="F309" s="1481">
        <f t="shared" si="358"/>
        <v>48</v>
      </c>
      <c r="G309" s="1482" t="str">
        <f t="shared" si="359"/>
        <v/>
      </c>
      <c r="H309" s="1483" t="str">
        <f t="shared" si="360"/>
        <v/>
      </c>
      <c r="I309" s="1483" t="str">
        <f t="shared" si="361"/>
        <v/>
      </c>
      <c r="J309" s="1484" t="str">
        <f t="shared" si="362"/>
        <v/>
      </c>
      <c r="K309" s="1046"/>
      <c r="L309" s="1483" t="str">
        <f t="shared" si="357"/>
        <v/>
      </c>
      <c r="M309" s="1483" t="str">
        <f t="shared" si="349"/>
        <v/>
      </c>
      <c r="N309" s="1483" t="str">
        <f t="shared" si="350"/>
        <v/>
      </c>
      <c r="O309" s="1483" t="str">
        <f t="shared" si="351"/>
        <v/>
      </c>
      <c r="P309" s="1485" t="str">
        <f t="shared" si="352"/>
        <v/>
      </c>
      <c r="Q309" s="1486" t="str">
        <f t="shared" si="356"/>
        <v/>
      </c>
      <c r="R309" s="1046"/>
      <c r="S309" s="1022"/>
      <c r="T309" s="1047"/>
      <c r="U309" s="1046"/>
      <c r="V309" s="1022"/>
      <c r="W309" s="1487" t="str">
        <f t="shared" si="353"/>
        <v/>
      </c>
      <c r="X309" s="1048"/>
      <c r="Y309" s="1046"/>
      <c r="Z309" s="1022"/>
      <c r="AA309" s="1022"/>
      <c r="AB309" s="1050"/>
      <c r="AC309" s="1051"/>
      <c r="AD309" s="1026"/>
      <c r="AE309" s="1026"/>
      <c r="AF309" s="1050"/>
      <c r="AG309" s="1049"/>
      <c r="AH309" s="65"/>
      <c r="AI309" s="1026"/>
      <c r="AJ309" s="65"/>
      <c r="AK309" s="1026"/>
      <c r="AL309" s="68"/>
      <c r="AM309" s="1046"/>
      <c r="AN309" s="1022"/>
      <c r="AO309" s="1022"/>
      <c r="AP309" s="1052"/>
      <c r="AQ309" s="1488" t="str">
        <f t="shared" si="363"/>
        <v/>
      </c>
      <c r="AR309" s="1053"/>
      <c r="AS309" s="1488" t="str">
        <f t="shared" si="364"/>
        <v/>
      </c>
      <c r="AT309" s="1053"/>
      <c r="AU309" s="1488" t="str">
        <f t="shared" si="365"/>
        <v/>
      </c>
      <c r="AV309" s="1026"/>
      <c r="AW309" s="1026"/>
      <c r="AX309" s="1050"/>
      <c r="AY309" s="1049"/>
      <c r="AZ309" s="1036"/>
      <c r="BA309" s="1026"/>
      <c r="BB309" s="1054"/>
      <c r="BC309" s="1026"/>
      <c r="BD309" s="1055"/>
      <c r="BE309" s="1035"/>
      <c r="BF309" s="1056"/>
      <c r="BG309" s="1057"/>
      <c r="BH309" s="1057"/>
      <c r="BI309" s="1026"/>
      <c r="BJ309" s="1050"/>
      <c r="BK309" s="1058"/>
      <c r="BL309" s="1059"/>
      <c r="BM309" s="1059"/>
      <c r="BN309" s="1036"/>
      <c r="BO309" s="1060"/>
      <c r="BP309" s="1488" t="str">
        <f>IF(F309&gt;$F$18,"",IF(BO309&lt;&gt;"","",IF(ISNA(VLOOKUP('I. Stream &amp; Compound Data'!H309,'Potency Factors '!D$4:E$55,2,FALSE))=TRUE,0,VLOOKUP('I. Stream &amp; Compound Data'!H309,'Potency Factors '!D$4:E$55,2,FALSE))))</f>
        <v/>
      </c>
      <c r="BQ309" s="1053"/>
      <c r="BR309" s="1488" t="str">
        <f>IF(F309&gt;$F$18,"",IF(BQ309&lt;&gt;"","",IF(ISNA(VLOOKUP('I. Stream &amp; Compound Data'!H309,'Potency Factors '!D$68:E$167,2,FALSE))=TRUE,0,VLOOKUP('I. Stream &amp; Compound Data'!H309,'Potency Factors '!D$68:E$167,2,FALSE))))</f>
        <v/>
      </c>
      <c r="BS309" s="1053"/>
      <c r="BT309" s="1488" t="str">
        <f>IF(F309&gt;$F$18,"",IF(BS309&lt;&gt;"","",IF(ISNA(VLOOKUP('I. Stream &amp; Compound Data'!H309,'Potency Factors '!$D$412:$F$473,3,FALSE))=TRUE,0,VLOOKUP('I. Stream &amp; Compound Data'!H309,'Potency Factors '!$D$412:$F$473,3,FALSE))))</f>
        <v/>
      </c>
      <c r="BU309" s="1053"/>
      <c r="BV309" s="1488" t="str">
        <f>IF(F309&gt;$F$18,"",IF(BU309&lt;&gt;"","",IF(ISNA(VLOOKUP('I. Stream &amp; Compound Data'!H309,'Potency Factors '!D$180:E$185,2,FALSE))=TRUE,0,VLOOKUP('I. Stream &amp; Compound Data'!H309,'Potency Factors '!D$180:E$185,2,FALSE))))</f>
        <v/>
      </c>
      <c r="BW309" s="1055"/>
      <c r="BX309" s="1489" t="str">
        <f t="shared" si="366"/>
        <v/>
      </c>
      <c r="BY309" s="1055"/>
      <c r="BZ309" s="1489" t="str">
        <f t="shared" si="367"/>
        <v/>
      </c>
      <c r="CA309" s="1055"/>
      <c r="CB309" s="1036"/>
      <c r="CC309" s="1489" t="str">
        <f t="shared" si="368"/>
        <v/>
      </c>
      <c r="CD309" s="1053"/>
      <c r="CE309" s="1488" t="str">
        <f>IF(F309&gt;$F$18,"",IF(CD309&lt;&gt;"","",IF(ISNA(VLOOKUP('I. Stream &amp; Compound Data'!H309,'Potency Factors '!D$224:F$345,3,FALSE))=TRUE,0,VLOOKUP('I. Stream &amp; Compound Data'!H309,'Potency Factors '!D$224:F$345,3,FALSE))))</f>
        <v/>
      </c>
      <c r="CF309" s="1053"/>
      <c r="CG309" s="1488" t="str">
        <f>IF(F309&gt;$F$18,"",IF(CF309&lt;&gt;"","",IF(ISNA(VLOOKUP('I. Stream &amp; Compound Data'!H309,'Potency Factors '!D$361:F$374,3,FALSE))=TRUE,0,VLOOKUP('I. Stream &amp; Compound Data'!H309,'Potency Factors '!D$361:F$374,3,FALSE))))</f>
        <v/>
      </c>
      <c r="CH309" s="1055"/>
      <c r="CI309" s="1055"/>
      <c r="CJ309" s="1055"/>
      <c r="CK309" s="1055"/>
      <c r="CL309" s="1055"/>
      <c r="CM309" s="1055"/>
      <c r="CN309" s="1055"/>
      <c r="CO309" s="1055"/>
      <c r="CP309" s="1490" t="str">
        <f t="shared" si="369"/>
        <v/>
      </c>
      <c r="CQ309" s="1053"/>
      <c r="CR309" s="1488" t="str">
        <f>IF(F309&gt;$F$18,"",IF(CQ309&lt;&gt;"","",IF(ISNA(VLOOKUP('I. Stream &amp; Compound Data'!H309,'Potency Factors '!D$387:E$399,2,FALSE))=FALSE,VLOOKUP('I. Stream &amp; Compound Data'!H309,'Potency Factors '!D$387:E$399,2,FALSE),IF(ISNUMBER(SEARCH("phosphate",G309))=TRUE,1,IF(ISNUMBER(SEARCH("nitrate",G309))=TRUE,0.1,0)))))</f>
        <v/>
      </c>
      <c r="CS309" s="1053"/>
      <c r="CT309" s="1491" t="str">
        <f>IF(F309&gt;$F$18,"",IF(CS309&lt;&gt;"","",IF(ISNA(VLOOKUP('I. Stream &amp; Compound Data'!H309,'Potency Factors '!$D$485:$F$558,3,FALSE))=TRUE,0,VLOOKUP('I. Stream &amp; Compound Data'!H309,'Potency Factors '!$D$485:$F$558,3,FALSE))))</f>
        <v/>
      </c>
      <c r="CU309" s="1588"/>
    </row>
    <row r="310" ht="15" x14ac:dyDescent="0.25">
      <c r="B310" s="1612"/>
      <c r="C310" s="1613"/>
      <c r="D310" s="1613"/>
      <c r="E310" s="1613"/>
      <c r="F310" s="1481">
        <f t="shared" si="358"/>
        <v>49</v>
      </c>
      <c r="G310" s="1482" t="str">
        <f t="shared" si="359"/>
        <v/>
      </c>
      <c r="H310" s="1483" t="str">
        <f t="shared" si="360"/>
        <v/>
      </c>
      <c r="I310" s="1483" t="str">
        <f t="shared" si="361"/>
        <v/>
      </c>
      <c r="J310" s="1484" t="str">
        <f t="shared" si="362"/>
        <v/>
      </c>
      <c r="K310" s="1046"/>
      <c r="L310" s="1483" t="str">
        <f t="shared" si="357"/>
        <v/>
      </c>
      <c r="M310" s="1483" t="str">
        <f t="shared" si="349"/>
        <v/>
      </c>
      <c r="N310" s="1483" t="str">
        <f t="shared" si="350"/>
        <v/>
      </c>
      <c r="O310" s="1483" t="str">
        <f t="shared" si="351"/>
        <v/>
      </c>
      <c r="P310" s="1485" t="str">
        <f t="shared" si="352"/>
        <v/>
      </c>
      <c r="Q310" s="1486" t="str">
        <f t="shared" si="356"/>
        <v/>
      </c>
      <c r="R310" s="1046"/>
      <c r="S310" s="1022"/>
      <c r="T310" s="1047"/>
      <c r="U310" s="1046"/>
      <c r="V310" s="1022"/>
      <c r="W310" s="1487" t="str">
        <f t="shared" si="353"/>
        <v/>
      </c>
      <c r="X310" s="1048"/>
      <c r="Y310" s="1046"/>
      <c r="Z310" s="1022"/>
      <c r="AA310" s="1022"/>
      <c r="AB310" s="1050"/>
      <c r="AC310" s="1051"/>
      <c r="AD310" s="1026"/>
      <c r="AE310" s="1026"/>
      <c r="AF310" s="1050"/>
      <c r="AG310" s="1049"/>
      <c r="AH310" s="65"/>
      <c r="AI310" s="1026"/>
      <c r="AJ310" s="65"/>
      <c r="AK310" s="1026"/>
      <c r="AL310" s="68"/>
      <c r="AM310" s="1046"/>
      <c r="AN310" s="1022"/>
      <c r="AO310" s="1022"/>
      <c r="AP310" s="1052"/>
      <c r="AQ310" s="1488" t="str">
        <f t="shared" si="363"/>
        <v/>
      </c>
      <c r="AR310" s="1053"/>
      <c r="AS310" s="1488" t="str">
        <f t="shared" si="364"/>
        <v/>
      </c>
      <c r="AT310" s="1053"/>
      <c r="AU310" s="1488" t="str">
        <f t="shared" si="365"/>
        <v/>
      </c>
      <c r="AV310" s="1026"/>
      <c r="AW310" s="1026"/>
      <c r="AX310" s="1050"/>
      <c r="AY310" s="1049"/>
      <c r="AZ310" s="1036"/>
      <c r="BA310" s="1026"/>
      <c r="BB310" s="1054"/>
      <c r="BC310" s="1026"/>
      <c r="BD310" s="1055"/>
      <c r="BE310" s="1035"/>
      <c r="BF310" s="1056"/>
      <c r="BG310" s="1057"/>
      <c r="BH310" s="1057"/>
      <c r="BI310" s="1026"/>
      <c r="BJ310" s="1050"/>
      <c r="BK310" s="1058"/>
      <c r="BL310" s="1059"/>
      <c r="BM310" s="1059"/>
      <c r="BN310" s="1036"/>
      <c r="BO310" s="1060"/>
      <c r="BP310" s="1488" t="str">
        <f>IF(F310&gt;$F$18,"",IF(BO310&lt;&gt;"","",IF(ISNA(VLOOKUP('I. Stream &amp; Compound Data'!H310,'Potency Factors '!D$4:E$55,2,FALSE))=TRUE,0,VLOOKUP('I. Stream &amp; Compound Data'!H310,'Potency Factors '!D$4:E$55,2,FALSE))))</f>
        <v/>
      </c>
      <c r="BQ310" s="1053"/>
      <c r="BR310" s="1488" t="str">
        <f>IF(F310&gt;$F$18,"",IF(BQ310&lt;&gt;"","",IF(ISNA(VLOOKUP('I. Stream &amp; Compound Data'!H310,'Potency Factors '!D$68:E$167,2,FALSE))=TRUE,0,VLOOKUP('I. Stream &amp; Compound Data'!H310,'Potency Factors '!D$68:E$167,2,FALSE))))</f>
        <v/>
      </c>
      <c r="BS310" s="1053"/>
      <c r="BT310" s="1488" t="str">
        <f>IF(F310&gt;$F$18,"",IF(BS310&lt;&gt;"","",IF(ISNA(VLOOKUP('I. Stream &amp; Compound Data'!H310,'Potency Factors '!$D$412:$F$473,3,FALSE))=TRUE,0,VLOOKUP('I. Stream &amp; Compound Data'!H310,'Potency Factors '!$D$412:$F$473,3,FALSE))))</f>
        <v/>
      </c>
      <c r="BU310" s="1053"/>
      <c r="BV310" s="1488" t="str">
        <f>IF(F310&gt;$F$18,"",IF(BU310&lt;&gt;"","",IF(ISNA(VLOOKUP('I. Stream &amp; Compound Data'!H310,'Potency Factors '!D$180:E$185,2,FALSE))=TRUE,0,VLOOKUP('I. Stream &amp; Compound Data'!H310,'Potency Factors '!D$180:E$185,2,FALSE))))</f>
        <v/>
      </c>
      <c r="BW310" s="1055"/>
      <c r="BX310" s="1489" t="str">
        <f t="shared" si="366"/>
        <v/>
      </c>
      <c r="BY310" s="1055"/>
      <c r="BZ310" s="1489" t="str">
        <f t="shared" si="367"/>
        <v/>
      </c>
      <c r="CA310" s="1055"/>
      <c r="CB310" s="1036"/>
      <c r="CC310" s="1489" t="str">
        <f t="shared" si="368"/>
        <v/>
      </c>
      <c r="CD310" s="1053"/>
      <c r="CE310" s="1488" t="str">
        <f>IF(F310&gt;$F$18,"",IF(CD310&lt;&gt;"","",IF(ISNA(VLOOKUP('I. Stream &amp; Compound Data'!H310,'Potency Factors '!D$224:F$345,3,FALSE))=TRUE,0,VLOOKUP('I. Stream &amp; Compound Data'!H310,'Potency Factors '!D$224:F$345,3,FALSE))))</f>
        <v/>
      </c>
      <c r="CF310" s="1053"/>
      <c r="CG310" s="1488" t="str">
        <f>IF(F310&gt;$F$18,"",IF(CF310&lt;&gt;"","",IF(ISNA(VLOOKUP('I. Stream &amp; Compound Data'!H310,'Potency Factors '!D$361:F$374,3,FALSE))=TRUE,0,VLOOKUP('I. Stream &amp; Compound Data'!H310,'Potency Factors '!D$361:F$374,3,FALSE))))</f>
        <v/>
      </c>
      <c r="CH310" s="1055"/>
      <c r="CI310" s="1055"/>
      <c r="CJ310" s="1055"/>
      <c r="CK310" s="1055"/>
      <c r="CL310" s="1055"/>
      <c r="CM310" s="1055"/>
      <c r="CN310" s="1055"/>
      <c r="CO310" s="1055"/>
      <c r="CP310" s="1490" t="str">
        <f t="shared" si="369"/>
        <v/>
      </c>
      <c r="CQ310" s="1053"/>
      <c r="CR310" s="1488" t="str">
        <f>IF(F310&gt;$F$18,"",IF(CQ310&lt;&gt;"","",IF(ISNA(VLOOKUP('I. Stream &amp; Compound Data'!H310,'Potency Factors '!D$387:E$399,2,FALSE))=FALSE,VLOOKUP('I. Stream &amp; Compound Data'!H310,'Potency Factors '!D$387:E$399,2,FALSE),IF(ISNUMBER(SEARCH("phosphate",G310))=TRUE,1,IF(ISNUMBER(SEARCH("nitrate",G310))=TRUE,0.1,0)))))</f>
        <v/>
      </c>
      <c r="CS310" s="1053"/>
      <c r="CT310" s="1491" t="str">
        <f>IF(F310&gt;$F$18,"",IF(CS310&lt;&gt;"","",IF(ISNA(VLOOKUP('I. Stream &amp; Compound Data'!H310,'Potency Factors '!$D$485:$F$558,3,FALSE))=TRUE,0,VLOOKUP('I. Stream &amp; Compound Data'!H310,'Potency Factors '!$D$485:$F$558,3,FALSE))))</f>
        <v/>
      </c>
      <c r="CU310" s="1588"/>
    </row>
    <row r="311" ht="15.6" thickBot="true" x14ac:dyDescent="0.3">
      <c r="B311" s="1612"/>
      <c r="C311" s="1613"/>
      <c r="D311" s="1613"/>
      <c r="E311" s="1613"/>
      <c r="F311" s="1492">
        <f t="shared" si="358"/>
        <v>50</v>
      </c>
      <c r="G311" s="1493" t="str">
        <f t="shared" si="359"/>
        <v/>
      </c>
      <c r="H311" s="1494" t="str">
        <f t="shared" si="360"/>
        <v/>
      </c>
      <c r="I311" s="1494" t="str">
        <f t="shared" si="361"/>
        <v/>
      </c>
      <c r="J311" s="1495" t="str">
        <f t="shared" si="362"/>
        <v/>
      </c>
      <c r="K311" s="1063"/>
      <c r="L311" s="1494" t="str">
        <f t="shared" si="357"/>
        <v/>
      </c>
      <c r="M311" s="1494" t="str">
        <f t="shared" si="349"/>
        <v/>
      </c>
      <c r="N311" s="1494" t="str">
        <f t="shared" si="350"/>
        <v/>
      </c>
      <c r="O311" s="1494" t="str">
        <f t="shared" si="351"/>
        <v/>
      </c>
      <c r="P311" s="1496" t="str">
        <f t="shared" si="352"/>
        <v/>
      </c>
      <c r="Q311" s="1497" t="str">
        <f t="shared" si="356"/>
        <v/>
      </c>
      <c r="R311" s="1063"/>
      <c r="S311" s="1064"/>
      <c r="T311" s="1065"/>
      <c r="U311" s="1063"/>
      <c r="V311" s="1064"/>
      <c r="W311" s="1498" t="str">
        <f>IF(F311&gt;$F$18,"",IF(AZ311&gt;=25,1,0))</f>
        <v/>
      </c>
      <c r="X311" s="1066"/>
      <c r="Y311" s="1063"/>
      <c r="Z311" s="1064"/>
      <c r="AA311" s="1064"/>
      <c r="AB311" s="1067"/>
      <c r="AC311" s="1068"/>
      <c r="AD311" s="1062"/>
      <c r="AE311" s="1062"/>
      <c r="AF311" s="1067"/>
      <c r="AG311" s="1069"/>
      <c r="AH311" s="785"/>
      <c r="AI311" s="1062"/>
      <c r="AJ311" s="785"/>
      <c r="AK311" s="1062"/>
      <c r="AL311" s="67"/>
      <c r="AM311" s="1063"/>
      <c r="AN311" s="1064"/>
      <c r="AO311" s="1064"/>
      <c r="AP311" s="1070"/>
      <c r="AQ311" s="1499" t="str">
        <f t="shared" si="363"/>
        <v/>
      </c>
      <c r="AR311" s="1071"/>
      <c r="AS311" s="1499" t="str">
        <f t="shared" si="364"/>
        <v/>
      </c>
      <c r="AT311" s="1071"/>
      <c r="AU311" s="1499" t="str">
        <f t="shared" si="365"/>
        <v/>
      </c>
      <c r="AV311" s="1062"/>
      <c r="AW311" s="1062"/>
      <c r="AX311" s="1067"/>
      <c r="AY311" s="1069"/>
      <c r="AZ311" s="1072"/>
      <c r="BA311" s="1062"/>
      <c r="BB311" s="1073"/>
      <c r="BC311" s="1062"/>
      <c r="BD311" s="1074"/>
      <c r="BE311" s="1045"/>
      <c r="BF311" s="1075"/>
      <c r="BG311" s="1076"/>
      <c r="BH311" s="1076"/>
      <c r="BI311" s="1062"/>
      <c r="BJ311" s="1067"/>
      <c r="BK311" s="1077"/>
      <c r="BL311" s="1078"/>
      <c r="BM311" s="1078"/>
      <c r="BN311" s="1072"/>
      <c r="BO311" s="1079"/>
      <c r="BP311" s="1499" t="str">
        <f>IF(F311&gt;$F$18,"",IF(BO311&lt;&gt;"","",IF(ISNA(VLOOKUP('I. Stream &amp; Compound Data'!H311,'Potency Factors '!D$4:E$55,2,FALSE))=TRUE,0,VLOOKUP('I. Stream &amp; Compound Data'!H311,'Potency Factors '!D$4:E$55,2,FALSE))))</f>
        <v/>
      </c>
      <c r="BQ311" s="1071"/>
      <c r="BR311" s="1499" t="str">
        <f>IF(F311&gt;$F$18,"",IF(BQ311&lt;&gt;"","",IF(ISNA(VLOOKUP('I. Stream &amp; Compound Data'!H311,'Potency Factors '!D$68:E$167,2,FALSE))=TRUE,0,VLOOKUP('I. Stream &amp; Compound Data'!H311,'Potency Factors '!D$68:E$167,2,FALSE))))</f>
        <v/>
      </c>
      <c r="BS311" s="1071"/>
      <c r="BT311" s="1499" t="str">
        <f>IF(F311&gt;$F$18,"",IF(BS311&lt;&gt;"","",IF(ISNA(VLOOKUP('I. Stream &amp; Compound Data'!H311,'Potency Factors '!$D$412:$F$473,3,FALSE))=TRUE,0,VLOOKUP('I. Stream &amp; Compound Data'!H311,'Potency Factors '!$D$412:$F$473,3,FALSE))))</f>
        <v/>
      </c>
      <c r="BU311" s="1071"/>
      <c r="BV311" s="1499" t="str">
        <f>IF(F311&gt;$F$18,"",IF(BU311&lt;&gt;"","",IF(ISNA(VLOOKUP('I. Stream &amp; Compound Data'!H311,'Potency Factors '!D$180:E$185,2,FALSE))=TRUE,0,VLOOKUP('I. Stream &amp; Compound Data'!H311,'Potency Factors '!D$180:E$185,2,FALSE))))</f>
        <v/>
      </c>
      <c r="BW311" s="1074"/>
      <c r="BX311" s="1500" t="str">
        <f t="shared" si="366"/>
        <v/>
      </c>
      <c r="BY311" s="1074"/>
      <c r="BZ311" s="1500" t="str">
        <f t="shared" si="367"/>
        <v/>
      </c>
      <c r="CA311" s="1074"/>
      <c r="CB311" s="1072"/>
      <c r="CC311" s="1500" t="str">
        <f t="shared" si="368"/>
        <v/>
      </c>
      <c r="CD311" s="1071"/>
      <c r="CE311" s="1499" t="str">
        <f>IF(F311&gt;$F$18,"",IF(CD311&lt;&gt;"","",IF(ISNA(VLOOKUP('I. Stream &amp; Compound Data'!H311,'Potency Factors '!D$224:F$345,3,FALSE))=TRUE,0,VLOOKUP('I. Stream &amp; Compound Data'!H311,'Potency Factors '!D$224:F$345,3,FALSE))))</f>
        <v/>
      </c>
      <c r="CF311" s="1071"/>
      <c r="CG311" s="1499" t="str">
        <f>IF(F311&gt;$F$18,"",IF(CF311&lt;&gt;"","",IF(ISNA(VLOOKUP('I. Stream &amp; Compound Data'!H311,'Potency Factors '!D$361:F$374,3,FALSE))=TRUE,0,VLOOKUP('I. Stream &amp; Compound Data'!H311,'Potency Factors '!D$361:F$374,3,FALSE))))</f>
        <v/>
      </c>
      <c r="CH311" s="1074"/>
      <c r="CI311" s="1074"/>
      <c r="CJ311" s="1074"/>
      <c r="CK311" s="1074"/>
      <c r="CL311" s="1074"/>
      <c r="CM311" s="1074"/>
      <c r="CN311" s="1074"/>
      <c r="CO311" s="1074"/>
      <c r="CP311" s="127" t="str">
        <f t="shared" si="369"/>
        <v/>
      </c>
      <c r="CQ311" s="1071"/>
      <c r="CR311" s="1499" t="str">
        <f>IF(F311&gt;$F$18,"",IF(CQ311&lt;&gt;"","",IF(ISNA(VLOOKUP('I. Stream &amp; Compound Data'!H311,'Potency Factors '!D$387:E$399,2,FALSE))=FALSE,VLOOKUP('I. Stream &amp; Compound Data'!H311,'Potency Factors '!D$387:E$399,2,FALSE),IF(ISNUMBER(SEARCH("phosphate",G311))=TRUE,1,IF(ISNUMBER(SEARCH("nitrate",G311))=TRUE,0.1,0)))))</f>
        <v/>
      </c>
      <c r="CS311" s="1071"/>
      <c r="CT311" s="1501" t="str">
        <f>IF(F311&gt;$F$18,"",IF(CS311&lt;&gt;"","",IF(ISNA(VLOOKUP('I. Stream &amp; Compound Data'!H311,'Potency Factors '!$D$485:$F$558,3,FALSE))=TRUE,0,VLOOKUP('I. Stream &amp; Compound Data'!H311,'Potency Factors '!$D$485:$F$558,3,FALSE))))</f>
        <v/>
      </c>
      <c r="CU311" s="1588"/>
    </row>
    <row r="312" ht="15.6" thickBot="true" x14ac:dyDescent="0.3">
      <c r="B312" s="1615"/>
      <c r="C312" s="1616"/>
      <c r="D312" s="1616"/>
      <c r="E312" s="1616"/>
      <c r="F312" s="137"/>
      <c r="G312" s="1590"/>
      <c r="H312" s="1590"/>
      <c r="I312" s="1590"/>
      <c r="J312" s="1590"/>
      <c r="K312" s="1590"/>
      <c r="L312" s="1590"/>
      <c r="M312" s="1590"/>
      <c r="N312" s="1590"/>
      <c r="O312" s="1590"/>
      <c r="P312" s="1590"/>
      <c r="Q312" s="1590"/>
      <c r="R312" s="1590"/>
      <c r="S312" s="1590"/>
      <c r="T312" s="1590"/>
      <c r="U312" s="1590"/>
      <c r="V312" s="1590"/>
      <c r="W312" s="1590"/>
      <c r="X312" s="1590"/>
      <c r="Y312" s="1590"/>
      <c r="Z312" s="1590"/>
      <c r="AA312" s="1590"/>
      <c r="AB312" s="1590"/>
      <c r="AC312" s="1590"/>
      <c r="AD312" s="1590"/>
      <c r="AE312" s="1590"/>
      <c r="AF312" s="1590"/>
      <c r="AG312" s="1590"/>
      <c r="AH312" s="1590"/>
      <c r="AI312" s="1590"/>
      <c r="AJ312" s="1590"/>
      <c r="AK312" s="1590"/>
      <c r="AL312" s="1590"/>
      <c r="AM312" s="1590"/>
      <c r="AN312" s="1590"/>
      <c r="AO312" s="1590"/>
      <c r="AP312" s="1590"/>
      <c r="AQ312" s="1590"/>
      <c r="AR312" s="1590"/>
      <c r="AS312" s="1590"/>
      <c r="AT312" s="1590"/>
      <c r="AU312" s="1590"/>
      <c r="AV312" s="1590"/>
      <c r="AW312" s="1590"/>
      <c r="AX312" s="1590"/>
      <c r="AY312" s="1590"/>
      <c r="AZ312" s="1590"/>
      <c r="BA312" s="1590"/>
      <c r="BB312" s="1590"/>
      <c r="BC312" s="1590"/>
      <c r="BD312" s="1590"/>
      <c r="BE312" s="1590"/>
      <c r="BF312" s="1590"/>
      <c r="BG312" s="1590"/>
      <c r="BH312" s="1590"/>
      <c r="BI312" s="1590"/>
      <c r="BJ312" s="1590"/>
      <c r="BK312" s="1590"/>
      <c r="BL312" s="1590"/>
      <c r="BM312" s="1590"/>
      <c r="BN312" s="1590"/>
      <c r="BO312" s="1590"/>
      <c r="BP312" s="1590"/>
      <c r="BQ312" s="1590"/>
      <c r="BR312" s="1590"/>
      <c r="BS312" s="1590"/>
      <c r="BT312" s="1590"/>
      <c r="BU312" s="1590"/>
      <c r="BV312" s="1590"/>
      <c r="BW312" s="1590"/>
      <c r="BX312" s="1590"/>
      <c r="BY312" s="1590"/>
      <c r="BZ312" s="1590"/>
      <c r="CA312" s="1590"/>
      <c r="CB312" s="1590"/>
      <c r="CC312" s="1590"/>
      <c r="CD312" s="1590"/>
      <c r="CE312" s="1590"/>
      <c r="CF312" s="1590"/>
      <c r="CG312" s="1590"/>
      <c r="CH312" s="1590"/>
      <c r="CI312" s="1590"/>
      <c r="CJ312" s="1590"/>
      <c r="CK312" s="1590"/>
      <c r="CL312" s="1590"/>
      <c r="CM312" s="1590"/>
      <c r="CN312" s="1590"/>
      <c r="CO312" s="1590"/>
      <c r="CP312" s="1590"/>
      <c r="CQ312" s="1590"/>
      <c r="CR312" s="1590"/>
      <c r="CS312" s="1590"/>
      <c r="CT312" s="1590"/>
      <c r="CU312" s="1589"/>
    </row>
    <row r="313" x14ac:dyDescent="0.25">
      <c r="I313"/>
      <c r="J313"/>
      <c r="K313"/>
      <c r="L313"/>
      <c r="M313"/>
      <c r="N313"/>
    </row>
    <row r="314" x14ac:dyDescent="0.25">
      <c r="I314"/>
      <c r="J314"/>
      <c r="K314"/>
      <c r="L314"/>
      <c r="M314"/>
      <c r="N314"/>
    </row>
    <row r="315" x14ac:dyDescent="0.25">
      <c r="I315"/>
      <c r="J315"/>
      <c r="K315"/>
      <c r="L315"/>
      <c r="M315"/>
      <c r="N315"/>
    </row>
    <row r="316" x14ac:dyDescent="0.25">
      <c r="I316"/>
      <c r="J316"/>
      <c r="K316"/>
      <c r="L316"/>
      <c r="M316"/>
      <c r="N316"/>
    </row>
    <row r="317" x14ac:dyDescent="0.25">
      <c r="I317"/>
      <c r="J317"/>
      <c r="K317"/>
      <c r="L317"/>
      <c r="M317"/>
      <c r="N317"/>
    </row>
    <row r="318" x14ac:dyDescent="0.25">
      <c r="I318"/>
      <c r="J318"/>
      <c r="K318"/>
      <c r="L318"/>
      <c r="M318"/>
      <c r="N318"/>
    </row>
    <row r="319" x14ac:dyDescent="0.25">
      <c r="I319"/>
      <c r="J319"/>
      <c r="K319"/>
      <c r="L319"/>
      <c r="M319"/>
      <c r="N319"/>
    </row>
    <row r="320" x14ac:dyDescent="0.25">
      <c r="I320"/>
      <c r="J320"/>
      <c r="K320"/>
      <c r="L320"/>
      <c r="M320"/>
      <c r="N320"/>
    </row>
    <row r="321" x14ac:dyDescent="0.25">
      <c r="I321"/>
      <c r="J321"/>
      <c r="K321"/>
      <c r="L321"/>
      <c r="M321"/>
      <c r="N321"/>
    </row>
    <row r="322" x14ac:dyDescent="0.25">
      <c r="I322"/>
      <c r="J322"/>
      <c r="K322"/>
      <c r="L322"/>
      <c r="M322"/>
      <c r="N322"/>
    </row>
    <row r="323" x14ac:dyDescent="0.25">
      <c r="I323"/>
      <c r="J323"/>
      <c r="K323"/>
      <c r="L323"/>
      <c r="M323"/>
      <c r="N323"/>
    </row>
    <row r="324" x14ac:dyDescent="0.25">
      <c r="I324"/>
      <c r="J324"/>
      <c r="K324"/>
      <c r="L324"/>
      <c r="M324"/>
      <c r="N324"/>
    </row>
    <row r="334" x14ac:dyDescent="0.25">
      <c r="I334" s="8"/>
      <c r="J334" s="8"/>
      <c r="M334"/>
      <c r="N334"/>
      <c r="O334"/>
      <c r="P334"/>
      <c r="Q334"/>
      <c r="R334"/>
      <c r="S334"/>
      <c r="T334" s="9"/>
      <c r="U334" s="8"/>
      <c r="V334" s="8"/>
      <c r="W334" s="8"/>
      <c r="X334" s="8"/>
      <c r="Y334" s="8"/>
      <c r="Z334" s="8"/>
      <c r="AA334" s="8"/>
      <c r="AB334" s="8"/>
      <c r="AC334" s="8"/>
      <c r="AD334" s="8"/>
    </row>
    <row r="335" x14ac:dyDescent="0.25">
      <c r="K335" s="786"/>
      <c r="L335" s="786"/>
      <c r="M335" s="787"/>
      <c r="N335" s="786"/>
      <c r="O335" s="786"/>
      <c r="P335" s="787"/>
      <c r="Q335" s="786"/>
      <c r="R335"/>
      <c r="S335"/>
      <c r="T335" s="9"/>
      <c r="U335" s="8"/>
      <c r="V335" s="8"/>
      <c r="W335" s="8"/>
      <c r="X335" s="8"/>
      <c r="Y335" s="8"/>
      <c r="Z335" s="8"/>
      <c r="AA335" s="8"/>
      <c r="AB335" s="8"/>
      <c r="AC335" s="8"/>
      <c r="AD335" s="8"/>
    </row>
    <row r="336" x14ac:dyDescent="0.25">
      <c r="K336" s="9"/>
      <c r="L336" s="9"/>
      <c r="M336" s="9"/>
      <c r="N336" s="9"/>
      <c r="O336" s="9"/>
      <c r="P336" s="788"/>
      <c r="Q336" s="789"/>
      <c r="R336"/>
      <c r="S336"/>
      <c r="T336"/>
      <c r="U336" s="8"/>
      <c r="V336" s="8"/>
      <c r="W336" s="8"/>
      <c r="X336" s="8"/>
      <c r="Y336" s="8"/>
      <c r="Z336" s="8"/>
      <c r="AA336" s="8"/>
      <c r="AB336" s="8"/>
      <c r="AC336" s="8"/>
      <c r="AD336" s="8"/>
    </row>
    <row r="337" x14ac:dyDescent="0.25">
      <c r="K337" s="9"/>
      <c r="L337" s="9"/>
      <c r="M337" s="9"/>
      <c r="N337" s="9"/>
      <c r="O337" s="9"/>
      <c r="P337" s="788"/>
      <c r="Q337" s="789"/>
      <c r="R337"/>
      <c r="S337"/>
      <c r="T337"/>
      <c r="U337" s="8"/>
      <c r="V337" s="8"/>
      <c r="W337" s="8"/>
      <c r="X337" s="8"/>
      <c r="Y337" s="8"/>
      <c r="Z337" s="8"/>
      <c r="AA337" s="8"/>
      <c r="AB337" s="8"/>
      <c r="AC337" s="8"/>
      <c r="AD337" s="8"/>
    </row>
    <row r="338" x14ac:dyDescent="0.25">
      <c r="K338" s="9"/>
      <c r="L338" s="9"/>
      <c r="M338" s="9"/>
      <c r="N338" s="9"/>
      <c r="O338" s="9"/>
      <c r="P338" s="673"/>
      <c r="Q338" s="789"/>
      <c r="R338"/>
      <c r="S338"/>
      <c r="T338"/>
      <c r="U338" s="8"/>
      <c r="V338" s="8"/>
      <c r="W338" s="8"/>
      <c r="X338" s="8"/>
      <c r="Y338" s="8"/>
      <c r="Z338" s="8"/>
      <c r="AA338" s="8"/>
      <c r="AB338" s="8"/>
      <c r="AC338" s="8"/>
      <c r="AD338" s="8"/>
    </row>
    <row r="339" x14ac:dyDescent="0.25">
      <c r="I339" s="788"/>
      <c r="K339" s="788"/>
      <c r="L339" s="9"/>
      <c r="M339" s="788"/>
      <c r="N339" s="788"/>
      <c r="O339" s="9"/>
      <c r="P339" s="673"/>
      <c r="Q339" s="789"/>
      <c r="R339"/>
      <c r="S339"/>
      <c r="T339"/>
      <c r="U339" s="8"/>
      <c r="V339" s="8"/>
      <c r="W339" s="8"/>
      <c r="X339" s="8"/>
      <c r="Y339" s="8"/>
      <c r="Z339" s="8"/>
      <c r="AA339" s="8"/>
      <c r="AB339" s="8"/>
      <c r="AC339" s="8"/>
      <c r="AD339" s="8"/>
    </row>
    <row r="340" x14ac:dyDescent="0.25">
      <c r="I340" s="788"/>
      <c r="K340" s="788"/>
      <c r="L340" s="9"/>
      <c r="M340" s="788"/>
      <c r="N340" s="788"/>
      <c r="O340" s="9"/>
      <c r="P340" s="673"/>
      <c r="Q340" s="789"/>
      <c r="R340"/>
      <c r="S340"/>
      <c r="T340"/>
      <c r="U340" s="8"/>
      <c r="V340" s="8"/>
      <c r="W340" s="8"/>
      <c r="X340" s="8"/>
      <c r="Y340" s="8"/>
      <c r="Z340" s="8"/>
      <c r="AA340" s="8"/>
      <c r="AB340" s="8"/>
      <c r="AC340" s="8"/>
      <c r="AD340" s="8"/>
    </row>
    <row r="341" x14ac:dyDescent="0.25">
      <c r="I341" s="788"/>
      <c r="K341" s="788"/>
      <c r="L341" s="9"/>
      <c r="M341" s="788"/>
      <c r="N341" s="788"/>
      <c r="O341" s="9"/>
      <c r="P341" s="673"/>
      <c r="Q341" s="789"/>
      <c r="R341"/>
      <c r="S341"/>
      <c r="T341"/>
      <c r="U341" s="8"/>
      <c r="V341" s="8"/>
      <c r="W341" s="8"/>
      <c r="X341" s="8"/>
      <c r="Y341" s="8"/>
      <c r="Z341" s="8"/>
      <c r="AA341" s="8"/>
      <c r="AB341" s="8"/>
      <c r="AC341" s="8"/>
      <c r="AD341" s="8"/>
    </row>
    <row r="342" x14ac:dyDescent="0.25">
      <c r="I342" s="788"/>
      <c r="J342" s="788"/>
      <c r="K342" s="788"/>
      <c r="L342" s="788"/>
      <c r="M342" s="788"/>
      <c r="N342" s="788"/>
      <c r="O342" s="788"/>
      <c r="P342" s="788"/>
      <c r="Q342"/>
      <c r="R342"/>
      <c r="S342"/>
      <c r="T342"/>
      <c r="U342" s="8"/>
      <c r="V342" s="8"/>
      <c r="W342" s="8"/>
      <c r="X342" s="8"/>
      <c r="Y342" s="8"/>
      <c r="Z342" s="8"/>
      <c r="AA342" s="8"/>
      <c r="AB342" s="8"/>
      <c r="AC342" s="8"/>
      <c r="AD342" s="8"/>
    </row>
    <row r="343" x14ac:dyDescent="0.25">
      <c r="I343" s="8"/>
      <c r="J343" s="8"/>
      <c r="M343"/>
      <c r="N343"/>
      <c r="O343"/>
      <c r="P343"/>
      <c r="Q343"/>
      <c r="R343"/>
      <c r="S343"/>
      <c r="T343"/>
      <c r="U343" s="8"/>
      <c r="V343" s="8"/>
      <c r="W343" s="8"/>
      <c r="X343" s="8"/>
      <c r="Y343" s="8"/>
      <c r="Z343" s="8"/>
      <c r="AA343" s="8"/>
      <c r="AB343" s="8"/>
      <c r="AC343" s="8"/>
      <c r="AD343" s="8"/>
    </row>
    <row r="344" x14ac:dyDescent="0.25">
      <c r="I344" s="8"/>
      <c r="J344" s="8"/>
      <c r="M344"/>
      <c r="N344"/>
      <c r="O344"/>
      <c r="P344"/>
      <c r="Q344"/>
      <c r="R344"/>
      <c r="S344"/>
      <c r="T344"/>
      <c r="U344" s="8"/>
      <c r="V344" s="8"/>
      <c r="W344" s="8"/>
      <c r="X344" s="8"/>
      <c r="Y344" s="8"/>
      <c r="Z344" s="8"/>
      <c r="AA344" s="8"/>
      <c r="AB344" s="8"/>
      <c r="AC344" s="8"/>
      <c r="AD344" s="8"/>
    </row>
    <row r="345" x14ac:dyDescent="0.25">
      <c r="I345" s="8"/>
      <c r="J345" s="8"/>
      <c r="M345"/>
      <c r="N345"/>
      <c r="O345"/>
      <c r="P345"/>
      <c r="Q345"/>
      <c r="R345"/>
      <c r="S345"/>
      <c r="T345"/>
      <c r="U345" s="8"/>
      <c r="V345" s="8"/>
      <c r="W345" s="8"/>
      <c r="X345" s="8"/>
      <c r="Y345" s="8"/>
      <c r="Z345" s="8"/>
      <c r="AA345" s="8"/>
      <c r="AB345" s="8"/>
      <c r="AC345" s="8"/>
      <c r="AD345" s="8"/>
    </row>
    <row r="346" x14ac:dyDescent="0.25">
      <c r="I346" s="8"/>
      <c r="J346" s="8"/>
      <c r="M346"/>
      <c r="N346"/>
      <c r="O346"/>
      <c r="P346"/>
      <c r="Q346"/>
      <c r="R346"/>
      <c r="S346"/>
      <c r="T346"/>
      <c r="U346" s="8"/>
      <c r="V346" s="8"/>
      <c r="W346" s="8"/>
      <c r="X346" s="8"/>
      <c r="Y346" s="8"/>
      <c r="Z346" s="8"/>
      <c r="AA346" s="8"/>
      <c r="AB346" s="8"/>
      <c r="AC346" s="8"/>
      <c r="AD346" s="8"/>
    </row>
    <row r="347" x14ac:dyDescent="0.25">
      <c r="I347" s="8"/>
      <c r="J347" s="8"/>
      <c r="M347"/>
      <c r="N347"/>
      <c r="O347"/>
      <c r="P347"/>
      <c r="Q347"/>
      <c r="R347"/>
      <c r="S347"/>
      <c r="T347"/>
      <c r="U347" s="8"/>
      <c r="V347" s="8"/>
      <c r="W347" s="8"/>
      <c r="X347" s="8"/>
      <c r="Y347" s="8"/>
      <c r="Z347" s="8"/>
      <c r="AA347" s="8"/>
      <c r="AB347" s="8"/>
      <c r="AC347" s="8"/>
      <c r="AD347" s="8"/>
    </row>
    <row r="348" ht="21" x14ac:dyDescent="0.4">
      <c r="I348" s="18"/>
      <c r="J348" s="8"/>
      <c r="N348" s="758"/>
      <c r="O348" s="758"/>
      <c r="S348" s="9"/>
      <c r="T348"/>
      <c r="U348" s="8"/>
      <c r="V348" s="8"/>
      <c r="W348" s="8"/>
      <c r="X348" s="8"/>
      <c r="Y348" s="8"/>
      <c r="Z348" s="8"/>
      <c r="AA348" s="8"/>
      <c r="AB348" s="8"/>
      <c r="AC348" s="8"/>
      <c r="AD348" s="8"/>
    </row>
    <row r="349" x14ac:dyDescent="0.25">
      <c r="K349" s="786"/>
      <c r="L349" s="787"/>
      <c r="M349" s="786"/>
      <c r="N349" s="758"/>
      <c r="O349" s="758"/>
      <c r="S349" s="9"/>
      <c r="T349"/>
      <c r="U349" s="8"/>
      <c r="V349" s="8"/>
      <c r="W349" s="8"/>
      <c r="X349" s="8"/>
      <c r="Y349" s="8"/>
      <c r="Z349" s="8"/>
      <c r="AA349" s="8"/>
      <c r="AB349" s="8"/>
      <c r="AC349" s="8"/>
      <c r="AD349" s="8"/>
    </row>
    <row r="350" x14ac:dyDescent="0.25">
      <c r="J350" s="8"/>
      <c r="N350" s="758"/>
      <c r="O350" s="758"/>
      <c r="S350" s="9"/>
      <c r="T350"/>
      <c r="U350" s="8"/>
      <c r="V350" s="8"/>
      <c r="W350" s="8"/>
      <c r="X350" s="8"/>
      <c r="Y350" s="8"/>
      <c r="Z350" s="8"/>
      <c r="AA350" s="8"/>
      <c r="AB350" s="8"/>
      <c r="AC350" s="8"/>
      <c r="AD350" s="8"/>
    </row>
    <row r="351" x14ac:dyDescent="0.25">
      <c r="I351" s="8"/>
      <c r="J351" s="8"/>
      <c r="N351" s="758"/>
      <c r="O351" s="758"/>
      <c r="S351" s="9"/>
      <c r="T351"/>
      <c r="U351" s="8"/>
      <c r="V351" s="8"/>
      <c r="W351" s="8"/>
      <c r="X351" s="8"/>
      <c r="Y351" s="8"/>
      <c r="Z351" s="8"/>
      <c r="AA351" s="8"/>
      <c r="AB351" s="8"/>
      <c r="AC351" s="8"/>
      <c r="AD351" s="8"/>
    </row>
    <row r="352" x14ac:dyDescent="0.25">
      <c r="I352" s="8"/>
      <c r="J352" s="8"/>
      <c r="N352" s="758"/>
      <c r="O352" s="758"/>
      <c r="S352" s="9"/>
      <c r="T352"/>
      <c r="U352" s="8"/>
      <c r="V352" s="8"/>
      <c r="W352" s="8"/>
      <c r="X352" s="8"/>
      <c r="Y352" s="8"/>
      <c r="Z352" s="8"/>
      <c r="AA352" s="8"/>
      <c r="AB352" s="8"/>
      <c r="AC352" s="8"/>
      <c r="AD352" s="8"/>
    </row>
    <row r="353" x14ac:dyDescent="0.25">
      <c r="I353" s="8"/>
      <c r="J353" s="8"/>
      <c r="N353" s="758"/>
      <c r="O353" s="758"/>
      <c r="S353" s="9"/>
      <c r="T353"/>
      <c r="U353" s="8"/>
      <c r="V353" s="8"/>
      <c r="W353" s="8"/>
      <c r="X353" s="8"/>
      <c r="Y353" s="8"/>
      <c r="Z353" s="8"/>
      <c r="AA353" s="8"/>
      <c r="AB353" s="8"/>
      <c r="AC353" s="8"/>
      <c r="AD353" s="8"/>
    </row>
    <row r="354" x14ac:dyDescent="0.25">
      <c r="I354" s="8"/>
      <c r="J354" s="8"/>
      <c r="N354" s="758"/>
      <c r="O354" s="758"/>
      <c r="S354" s="9"/>
      <c r="T354"/>
      <c r="U354" s="8"/>
      <c r="V354" s="8"/>
      <c r="W354" s="8"/>
      <c r="X354" s="8"/>
      <c r="Y354" s="8"/>
      <c r="Z354" s="8"/>
      <c r="AA354" s="8"/>
      <c r="AB354" s="8"/>
      <c r="AC354" s="8"/>
      <c r="AD354" s="8"/>
    </row>
    <row r="355" x14ac:dyDescent="0.25">
      <c r="I355" s="8"/>
      <c r="J355" s="8"/>
      <c r="N355" s="758"/>
      <c r="O355" s="758"/>
      <c r="S355" s="9"/>
      <c r="T355"/>
      <c r="U355" s="8"/>
      <c r="V355" s="8"/>
      <c r="W355" s="8"/>
      <c r="X355" s="8"/>
      <c r="Y355" s="8"/>
      <c r="Z355" s="8"/>
      <c r="AA355" s="8"/>
      <c r="AB355" s="8"/>
      <c r="AC355" s="8"/>
      <c r="AD355" s="8"/>
    </row>
    <row r="356" x14ac:dyDescent="0.25">
      <c r="I356" s="8"/>
      <c r="J356" s="8"/>
      <c r="N356" s="758"/>
      <c r="O356" s="758"/>
      <c r="S356" s="9"/>
      <c r="T356"/>
      <c r="U356" s="8"/>
      <c r="V356" s="8"/>
      <c r="W356" s="8"/>
      <c r="X356" s="8"/>
      <c r="Y356" s="8"/>
      <c r="Z356" s="8"/>
      <c r="AA356" s="8"/>
      <c r="AB356" s="8"/>
      <c r="AC356" s="8"/>
      <c r="AD356" s="8"/>
    </row>
    <row r="357" x14ac:dyDescent="0.25">
      <c r="I357" s="8"/>
      <c r="J357" s="8"/>
      <c r="N357" s="758"/>
      <c r="O357" s="758"/>
      <c r="S357" s="9"/>
      <c r="T357"/>
      <c r="U357" s="8"/>
      <c r="V357" s="8"/>
      <c r="W357" s="8"/>
      <c r="X357" s="8"/>
      <c r="Y357" s="8"/>
      <c r="Z357" s="8"/>
      <c r="AA357" s="8"/>
      <c r="AB357" s="8"/>
      <c r="AC357" s="8"/>
      <c r="AD357" s="8"/>
    </row>
    <row r="358" x14ac:dyDescent="0.25">
      <c r="I358" s="8"/>
      <c r="J358" s="8"/>
      <c r="N358" s="758"/>
      <c r="O358" s="758"/>
      <c r="S358" s="9"/>
      <c r="T358"/>
      <c r="U358" s="8"/>
      <c r="V358" s="8"/>
      <c r="W358" s="8"/>
      <c r="X358" s="8"/>
      <c r="Y358" s="8"/>
      <c r="Z358" s="8"/>
      <c r="AA358" s="8"/>
      <c r="AB358" s="8"/>
      <c r="AC358" s="8"/>
      <c r="AD358" s="8"/>
    </row>
    <row r="359" x14ac:dyDescent="0.25">
      <c r="I359" s="8"/>
      <c r="J359" s="8"/>
      <c r="M359"/>
      <c r="N359"/>
      <c r="O359"/>
      <c r="P359"/>
      <c r="Q359"/>
      <c r="R359"/>
      <c r="S359"/>
      <c r="T359"/>
      <c r="U359" s="8"/>
      <c r="V359" s="8"/>
      <c r="W359" s="8"/>
      <c r="X359" s="8"/>
      <c r="Y359" s="8"/>
      <c r="Z359" s="8"/>
      <c r="AA359" s="8"/>
      <c r="AB359" s="8"/>
      <c r="AC359" s="8"/>
      <c r="AD359" s="8"/>
    </row>
    <row r="360" ht="21" x14ac:dyDescent="0.4">
      <c r="I360" s="18"/>
      <c r="J360" s="8"/>
      <c r="M360"/>
      <c r="N360"/>
      <c r="O360"/>
      <c r="P360"/>
      <c r="Q360"/>
      <c r="R360"/>
      <c r="S360"/>
      <c r="T360"/>
      <c r="U360" s="8"/>
      <c r="V360" s="8"/>
      <c r="W360" s="8"/>
      <c r="X360" s="8"/>
      <c r="Y360" s="8"/>
      <c r="Z360" s="8"/>
      <c r="AA360" s="8"/>
      <c r="AB360" s="8"/>
      <c r="AC360" s="8"/>
      <c r="AD360" s="8"/>
    </row>
    <row r="361" x14ac:dyDescent="0.25">
      <c r="I361" s="8"/>
      <c r="J361" s="8"/>
      <c r="N361"/>
      <c r="O361"/>
      <c r="P361"/>
      <c r="Q361"/>
      <c r="R361"/>
      <c r="S361"/>
      <c r="T361" s="9"/>
      <c r="U361" s="8"/>
      <c r="V361" s="8"/>
      <c r="W361" s="8"/>
      <c r="X361" s="8"/>
      <c r="Y361" s="8"/>
      <c r="Z361" s="8"/>
      <c r="AA361" s="8"/>
      <c r="AB361" s="8"/>
      <c r="AC361" s="8"/>
      <c r="AD361" s="8"/>
    </row>
    <row r="362" x14ac:dyDescent="0.25">
      <c r="I362" s="8"/>
      <c r="J362" s="673"/>
      <c r="K362" s="673"/>
      <c r="N362"/>
      <c r="O362"/>
      <c r="P362"/>
      <c r="Q362"/>
      <c r="R362"/>
      <c r="S362"/>
      <c r="T362" s="9"/>
      <c r="U362" s="8"/>
      <c r="V362" s="8"/>
      <c r="W362" s="8"/>
      <c r="X362" s="8"/>
      <c r="Y362" s="8"/>
      <c r="Z362" s="8"/>
      <c r="AA362" s="8"/>
      <c r="AB362" s="8"/>
      <c r="AC362" s="8"/>
      <c r="AD362" s="8"/>
    </row>
    <row r="363" x14ac:dyDescent="0.25">
      <c r="I363" s="8"/>
      <c r="J363" s="673"/>
      <c r="K363" s="790"/>
      <c r="N363"/>
      <c r="O363"/>
      <c r="P363"/>
      <c r="Q363"/>
      <c r="R363"/>
      <c r="S363"/>
      <c r="T363" s="9"/>
      <c r="U363" s="8"/>
      <c r="V363" s="8"/>
      <c r="W363" s="8"/>
      <c r="X363" s="8"/>
      <c r="Y363" s="8"/>
      <c r="Z363" s="8"/>
      <c r="AA363" s="8"/>
      <c r="AB363" s="8"/>
      <c r="AC363" s="8"/>
      <c r="AD363" s="8"/>
    </row>
    <row r="364" x14ac:dyDescent="0.25">
      <c r="I364" s="8"/>
      <c r="J364" s="673"/>
      <c r="K364" s="673"/>
      <c r="M364"/>
      <c r="N364"/>
      <c r="O364"/>
      <c r="P364"/>
      <c r="Q364"/>
      <c r="R364"/>
      <c r="S364"/>
      <c r="T364" s="9"/>
      <c r="U364" s="8"/>
      <c r="V364" s="8"/>
      <c r="W364" s="8"/>
      <c r="X364" s="8"/>
      <c r="Y364" s="8"/>
      <c r="Z364" s="8"/>
      <c r="AA364" s="8"/>
      <c r="AB364" s="8"/>
      <c r="AC364" s="8"/>
      <c r="AD364" s="8"/>
    </row>
    <row r="365" x14ac:dyDescent="0.25">
      <c r="I365" s="8"/>
      <c r="J365" s="673"/>
      <c r="K365" s="673"/>
      <c r="M365"/>
      <c r="N365"/>
      <c r="O365"/>
      <c r="P365"/>
      <c r="Q365"/>
      <c r="R365"/>
      <c r="S365"/>
      <c r="T365" s="9"/>
      <c r="U365" s="8"/>
      <c r="V365" s="8"/>
      <c r="W365" s="8"/>
      <c r="X365" s="8"/>
      <c r="Y365" s="8"/>
      <c r="Z365" s="8"/>
      <c r="AA365" s="8"/>
      <c r="AB365" s="8"/>
      <c r="AC365" s="8"/>
      <c r="AD365" s="8"/>
    </row>
    <row r="366" x14ac:dyDescent="0.25">
      <c r="I366" s="8"/>
      <c r="J366" s="673"/>
      <c r="K366" s="673"/>
      <c r="M366"/>
      <c r="N366"/>
      <c r="O366"/>
      <c r="P366"/>
      <c r="Q366"/>
      <c r="R366"/>
      <c r="S366"/>
      <c r="T366" s="9"/>
      <c r="U366" s="8"/>
      <c r="V366" s="8"/>
      <c r="W366" s="8"/>
      <c r="X366" s="8"/>
      <c r="Y366" s="8"/>
      <c r="Z366" s="8"/>
      <c r="AA366" s="8"/>
      <c r="AB366" s="8"/>
      <c r="AC366" s="8"/>
      <c r="AD366" s="8"/>
    </row>
    <row r="367" x14ac:dyDescent="0.25">
      <c r="I367" s="8"/>
      <c r="J367" s="673"/>
      <c r="K367" s="673"/>
      <c r="M367"/>
      <c r="N367"/>
      <c r="O367"/>
      <c r="P367"/>
      <c r="Q367"/>
      <c r="R367"/>
      <c r="S367"/>
      <c r="T367" s="9"/>
      <c r="U367" s="8"/>
      <c r="V367" s="8"/>
      <c r="W367" s="8"/>
      <c r="X367" s="8"/>
      <c r="Y367" s="8"/>
      <c r="Z367" s="8"/>
      <c r="AA367" s="8"/>
      <c r="AB367" s="8"/>
      <c r="AC367" s="8"/>
      <c r="AD367" s="8"/>
    </row>
    <row r="368" x14ac:dyDescent="0.25">
      <c r="I368" s="8"/>
      <c r="K368" s="9"/>
      <c r="M368"/>
      <c r="N368"/>
      <c r="O368"/>
      <c r="P368"/>
      <c r="Q368"/>
      <c r="R368"/>
      <c r="S368"/>
      <c r="T368" s="9"/>
      <c r="U368" s="8"/>
      <c r="V368" s="8"/>
      <c r="W368" s="8"/>
      <c r="X368" s="8"/>
      <c r="Y368" s="8"/>
      <c r="Z368" s="8"/>
      <c r="AA368" s="8"/>
      <c r="AB368" s="8"/>
      <c r="AC368" s="8"/>
      <c r="AD368" s="8"/>
    </row>
    <row r="369" x14ac:dyDescent="0.25">
      <c r="I369" s="8"/>
      <c r="J369" s="8"/>
      <c r="M369"/>
      <c r="N369"/>
      <c r="O369"/>
      <c r="P369"/>
      <c r="Q369"/>
      <c r="R369"/>
      <c r="S369"/>
      <c r="T369" s="9"/>
      <c r="U369" s="8"/>
      <c r="V369" s="8"/>
      <c r="W369" s="8"/>
      <c r="X369" s="8"/>
      <c r="Y369" s="8"/>
      <c r="Z369" s="8"/>
      <c r="AA369" s="8"/>
      <c r="AB369" s="8"/>
      <c r="AC369" s="8"/>
      <c r="AD369" s="8"/>
    </row>
    <row r="370" x14ac:dyDescent="0.25">
      <c r="I370" s="8"/>
      <c r="J370" s="8"/>
      <c r="M370"/>
      <c r="N370"/>
      <c r="O370"/>
      <c r="P370"/>
      <c r="Q370"/>
      <c r="R370"/>
      <c r="S370"/>
      <c r="T370" s="9"/>
      <c r="U370" s="8"/>
      <c r="V370" s="8"/>
      <c r="W370" s="8"/>
      <c r="X370" s="8"/>
      <c r="Y370" s="8"/>
      <c r="Z370" s="8"/>
      <c r="AA370" s="8"/>
      <c r="AB370" s="8"/>
      <c r="AC370" s="8"/>
      <c r="AD370" s="8"/>
    </row>
    <row r="371" x14ac:dyDescent="0.25">
      <c r="I371" s="8"/>
      <c r="J371" s="8"/>
      <c r="M371"/>
      <c r="N371"/>
      <c r="O371"/>
      <c r="P371"/>
      <c r="Q371"/>
      <c r="R371"/>
      <c r="S371"/>
      <c r="T371" s="9"/>
      <c r="U371" s="8"/>
      <c r="V371" s="8"/>
      <c r="W371" s="8"/>
      <c r="X371" s="8"/>
      <c r="Y371" s="8"/>
      <c r="Z371" s="8"/>
      <c r="AA371" s="8"/>
      <c r="AB371" s="8"/>
      <c r="AC371" s="8"/>
      <c r="AD371" s="8"/>
    </row>
    <row r="372" x14ac:dyDescent="0.25">
      <c r="S372"/>
      <c r="T372" s="9"/>
      <c r="U372" s="8"/>
      <c r="V372" s="8"/>
      <c r="W372" s="8"/>
      <c r="X372" s="8"/>
      <c r="Y372" s="8"/>
      <c r="Z372" s="8"/>
      <c r="AA372" s="8"/>
      <c r="AB372" s="8"/>
      <c r="AC372" s="8"/>
      <c r="AD372" s="8"/>
    </row>
    <row r="373" x14ac:dyDescent="0.25">
      <c r="S373"/>
      <c r="T373" s="9"/>
      <c r="U373" s="8"/>
      <c r="V373" s="8"/>
      <c r="W373" s="8"/>
      <c r="X373" s="8"/>
      <c r="Y373" s="8"/>
      <c r="Z373" s="8"/>
      <c r="AA373" s="8"/>
      <c r="AB373" s="8"/>
      <c r="AC373" s="8"/>
      <c r="AD373" s="8"/>
    </row>
    <row r="374" x14ac:dyDescent="0.25">
      <c r="S374" s="9"/>
      <c r="T374" s="9"/>
      <c r="U374" s="8"/>
      <c r="V374" s="8"/>
      <c r="W374" s="8"/>
      <c r="X374" s="8"/>
      <c r="Y374" s="8"/>
      <c r="Z374" s="8"/>
      <c r="AA374" s="8"/>
      <c r="AB374" s="8"/>
      <c r="AC374" s="8"/>
      <c r="AD374" s="8"/>
    </row>
    <row r="375" x14ac:dyDescent="0.25">
      <c r="S375" s="9"/>
      <c r="T375" s="9"/>
      <c r="U375" s="8"/>
      <c r="V375" s="8"/>
      <c r="W375" s="8"/>
      <c r="X375" s="8"/>
      <c r="Y375" s="8"/>
      <c r="Z375" s="8"/>
      <c r="AA375" s="8"/>
      <c r="AB375" s="8"/>
      <c r="AC375" s="8"/>
      <c r="AD375" s="8"/>
    </row>
    <row r="376" x14ac:dyDescent="0.25">
      <c r="S376" s="9"/>
      <c r="T376" s="9"/>
      <c r="U376" s="8"/>
      <c r="V376" s="8"/>
      <c r="W376" s="8"/>
      <c r="X376" s="8"/>
      <c r="Y376" s="8"/>
      <c r="Z376" s="8"/>
      <c r="AA376" s="8"/>
      <c r="AB376" s="8"/>
      <c r="AC376" s="8"/>
      <c r="AD376" s="8"/>
    </row>
    <row r="377" x14ac:dyDescent="0.25">
      <c r="S377" s="9"/>
      <c r="T377" s="9"/>
      <c r="U377" s="8"/>
      <c r="V377" s="8"/>
      <c r="W377" s="8"/>
      <c r="X377" s="8"/>
      <c r="Y377" s="8"/>
      <c r="Z377" s="8"/>
      <c r="AA377" s="8"/>
      <c r="AB377" s="8"/>
      <c r="AC377" s="8"/>
      <c r="AD377" s="8"/>
    </row>
    <row r="378" x14ac:dyDescent="0.25">
      <c r="S378" s="9"/>
      <c r="T378" s="9"/>
      <c r="U378" s="8"/>
      <c r="V378" s="8"/>
      <c r="W378" s="8"/>
      <c r="X378" s="8"/>
      <c r="Y378" s="8"/>
      <c r="Z378" s="8"/>
      <c r="AA378" s="8"/>
      <c r="AB378" s="8"/>
      <c r="AC378" s="8"/>
      <c r="AD378" s="8"/>
    </row>
    <row r="379" x14ac:dyDescent="0.25">
      <c r="S379" s="9"/>
      <c r="T379" s="9"/>
      <c r="U379" s="8"/>
      <c r="V379" s="8"/>
      <c r="W379" s="8"/>
      <c r="X379" s="8"/>
      <c r="Y379" s="8"/>
      <c r="Z379" s="8"/>
      <c r="AA379" s="8"/>
      <c r="AB379" s="8"/>
      <c r="AC379" s="8"/>
      <c r="AD379" s="8"/>
    </row>
    <row r="380" x14ac:dyDescent="0.25">
      <c r="S380" s="9"/>
      <c r="T380" s="9"/>
      <c r="U380" s="8"/>
      <c r="V380" s="8"/>
      <c r="W380" s="8"/>
      <c r="X380" s="8"/>
      <c r="Y380" s="8"/>
      <c r="Z380" s="8"/>
      <c r="AA380" s="8"/>
      <c r="AB380" s="8"/>
      <c r="AC380" s="8"/>
      <c r="AD380" s="8"/>
    </row>
    <row r="381" x14ac:dyDescent="0.25">
      <c r="S381" s="9"/>
      <c r="T381" s="9"/>
      <c r="U381" s="8"/>
      <c r="V381" s="8"/>
      <c r="W381" s="8"/>
      <c r="X381" s="8"/>
      <c r="Y381" s="8"/>
      <c r="Z381" s="8"/>
      <c r="AA381" s="8"/>
      <c r="AB381" s="8"/>
      <c r="AC381" s="8"/>
      <c r="AD381" s="8"/>
    </row>
    <row r="382" x14ac:dyDescent="0.25">
      <c r="S382" s="9"/>
      <c r="T382" s="9"/>
      <c r="U382" s="8"/>
      <c r="V382" s="8"/>
      <c r="W382" s="8"/>
      <c r="X382" s="8"/>
      <c r="Y382" s="8"/>
      <c r="Z382" s="8"/>
      <c r="AA382" s="8"/>
      <c r="AB382" s="8"/>
      <c r="AC382" s="8"/>
      <c r="AD382" s="8"/>
    </row>
    <row r="383" x14ac:dyDescent="0.25">
      <c r="S383" s="9"/>
      <c r="T383" s="9"/>
      <c r="U383" s="8"/>
      <c r="V383" s="8"/>
      <c r="W383" s="8"/>
      <c r="X383" s="8"/>
      <c r="Y383" s="8"/>
      <c r="Z383" s="8"/>
      <c r="AA383" s="8"/>
      <c r="AB383" s="8"/>
      <c r="AC383" s="8"/>
      <c r="AD383" s="8"/>
    </row>
    <row r="384" x14ac:dyDescent="0.25">
      <c r="S384" s="9"/>
      <c r="T384" s="9"/>
      <c r="U384" s="8"/>
      <c r="V384" s="8"/>
      <c r="W384" s="8"/>
      <c r="X384" s="8"/>
      <c r="Y384" s="8"/>
      <c r="Z384" s="8"/>
      <c r="AA384" s="8"/>
      <c r="AB384" s="8"/>
      <c r="AC384" s="8"/>
      <c r="AD384" s="8"/>
    </row>
    <row r="385" x14ac:dyDescent="0.25">
      <c r="S385" s="9"/>
      <c r="T385" s="9"/>
      <c r="U385" s="8"/>
      <c r="V385" s="8"/>
      <c r="W385" s="8"/>
      <c r="X385" s="8"/>
      <c r="Y385" s="8"/>
      <c r="Z385" s="8"/>
      <c r="AA385" s="8"/>
      <c r="AB385" s="8"/>
      <c r="AC385" s="8"/>
      <c r="AD385" s="8"/>
    </row>
    <row r="386" x14ac:dyDescent="0.25">
      <c r="S386" s="9"/>
      <c r="T386" s="9"/>
      <c r="U386" s="8"/>
      <c r="V386" s="8"/>
      <c r="W386" s="8"/>
      <c r="X386" s="8"/>
      <c r="Y386" s="8"/>
      <c r="Z386" s="8"/>
      <c r="AA386" s="8"/>
      <c r="AB386" s="8"/>
      <c r="AC386" s="8"/>
      <c r="AD386" s="8"/>
    </row>
    <row r="387" x14ac:dyDescent="0.25">
      <c r="S387" s="9"/>
      <c r="T387" s="9"/>
      <c r="U387" s="8"/>
      <c r="V387" s="8"/>
      <c r="W387" s="8"/>
      <c r="X387" s="8"/>
      <c r="Y387" s="8"/>
      <c r="Z387" s="8"/>
      <c r="AA387" s="8"/>
      <c r="AB387" s="8"/>
      <c r="AC387" s="8"/>
      <c r="AD387" s="8"/>
    </row>
    <row r="388" x14ac:dyDescent="0.25">
      <c r="S388" s="9"/>
      <c r="T388" s="9"/>
      <c r="U388" s="8"/>
      <c r="V388" s="8"/>
      <c r="W388" s="8"/>
      <c r="X388" s="8"/>
      <c r="Y388" s="8"/>
      <c r="Z388" s="8"/>
      <c r="AA388" s="8"/>
      <c r="AB388" s="8"/>
      <c r="AC388" s="8"/>
      <c r="AD388" s="8"/>
    </row>
    <row r="389" x14ac:dyDescent="0.25">
      <c r="S389" s="9"/>
      <c r="T389" s="9"/>
      <c r="U389" s="8"/>
      <c r="V389" s="8"/>
      <c r="W389" s="8"/>
      <c r="X389" s="8"/>
      <c r="Y389" s="8"/>
      <c r="Z389" s="8"/>
      <c r="AA389" s="8"/>
      <c r="AB389" s="8"/>
      <c r="AC389" s="8"/>
      <c r="AD389" s="8"/>
    </row>
    <row r="390" x14ac:dyDescent="0.25">
      <c r="S390" s="9"/>
      <c r="T390" s="9"/>
      <c r="U390" s="8"/>
      <c r="V390" s="8"/>
      <c r="W390" s="8"/>
      <c r="X390" s="8"/>
      <c r="Y390" s="8"/>
      <c r="Z390" s="8"/>
      <c r="AA390" s="8"/>
      <c r="AB390" s="8"/>
      <c r="AC390" s="8"/>
      <c r="AD390" s="8"/>
    </row>
    <row r="391" x14ac:dyDescent="0.25">
      <c r="S391" s="9"/>
      <c r="T391" s="9"/>
      <c r="U391" s="8"/>
      <c r="V391" s="8"/>
      <c r="W391" s="8"/>
      <c r="X391" s="8"/>
      <c r="Y391" s="8"/>
      <c r="Z391" s="8"/>
      <c r="AA391" s="8"/>
      <c r="AB391" s="8"/>
      <c r="AC391" s="8"/>
      <c r="AD391" s="8"/>
    </row>
    <row r="392" x14ac:dyDescent="0.25">
      <c r="S392" s="9"/>
      <c r="T392" s="9"/>
      <c r="U392" s="8"/>
      <c r="V392" s="8"/>
      <c r="W392" s="8"/>
      <c r="X392" s="8"/>
      <c r="Y392" s="8"/>
      <c r="Z392" s="8"/>
      <c r="AA392" s="8"/>
      <c r="AB392" s="8"/>
      <c r="AC392" s="8"/>
      <c r="AD392" s="8"/>
    </row>
    <row r="393" x14ac:dyDescent="0.25">
      <c r="S393" s="9"/>
      <c r="T393" s="9"/>
      <c r="U393" s="8"/>
      <c r="V393" s="8"/>
      <c r="W393" s="8"/>
      <c r="X393" s="8"/>
      <c r="Y393" s="8"/>
      <c r="Z393" s="8"/>
      <c r="AA393" s="8"/>
      <c r="AB393" s="8"/>
      <c r="AC393" s="8"/>
      <c r="AD393" s="8"/>
    </row>
    <row r="394" x14ac:dyDescent="0.25">
      <c r="S394" s="9"/>
      <c r="T394" s="9"/>
      <c r="U394" s="8"/>
      <c r="V394" s="8"/>
      <c r="W394" s="8"/>
      <c r="X394" s="8"/>
      <c r="Y394" s="8"/>
      <c r="Z394" s="8"/>
      <c r="AA394" s="8"/>
      <c r="AB394" s="8"/>
      <c r="AC394" s="8"/>
      <c r="AD394" s="8"/>
    </row>
    <row r="395" x14ac:dyDescent="0.25">
      <c r="S395" s="9"/>
      <c r="T395" s="9"/>
      <c r="U395" s="8"/>
      <c r="V395" s="8"/>
      <c r="W395" s="8"/>
      <c r="X395" s="8"/>
      <c r="Y395" s="8"/>
      <c r="Z395" s="8"/>
      <c r="AA395" s="8"/>
      <c r="AB395" s="8"/>
      <c r="AC395" s="8"/>
      <c r="AD395" s="8"/>
    </row>
    <row r="396" x14ac:dyDescent="0.25">
      <c r="S396" s="9"/>
      <c r="T396" s="9"/>
      <c r="U396" s="8"/>
      <c r="V396" s="8"/>
      <c r="W396" s="8"/>
      <c r="X396" s="8"/>
      <c r="Y396" s="8"/>
      <c r="Z396" s="8"/>
      <c r="AA396" s="8"/>
      <c r="AB396" s="8"/>
      <c r="AC396" s="8"/>
      <c r="AD396" s="8"/>
    </row>
    <row r="397" x14ac:dyDescent="0.25">
      <c r="S397" s="9"/>
      <c r="T397" s="9"/>
      <c r="U397" s="8"/>
      <c r="V397" s="8"/>
      <c r="W397" s="8"/>
      <c r="X397" s="8"/>
      <c r="Y397" s="8"/>
      <c r="Z397" s="8"/>
      <c r="AA397" s="8"/>
      <c r="AB397" s="8"/>
      <c r="AC397" s="8"/>
      <c r="AD397" s="8"/>
    </row>
    <row r="398" x14ac:dyDescent="0.25">
      <c r="S398" s="9"/>
      <c r="T398" s="9"/>
      <c r="U398" s="8"/>
      <c r="V398" s="8"/>
      <c r="W398" s="8"/>
      <c r="X398" s="8"/>
      <c r="Y398" s="8"/>
      <c r="Z398" s="8"/>
      <c r="AA398" s="8"/>
      <c r="AB398" s="8"/>
      <c r="AC398" s="8"/>
      <c r="AD398" s="8"/>
    </row>
    <row r="399" x14ac:dyDescent="0.25">
      <c r="S399" s="9"/>
      <c r="T399" s="9"/>
      <c r="U399" s="8"/>
      <c r="V399" s="8"/>
      <c r="W399" s="8"/>
      <c r="X399" s="8"/>
      <c r="Y399" s="8"/>
      <c r="Z399" s="8"/>
      <c r="AA399" s="8"/>
      <c r="AB399" s="8"/>
      <c r="AC399" s="8"/>
      <c r="AD399" s="8"/>
    </row>
    <row r="400" x14ac:dyDescent="0.25">
      <c r="S400" s="9"/>
      <c r="T400" s="9"/>
      <c r="U400" s="8"/>
      <c r="V400" s="8"/>
      <c r="W400" s="8"/>
      <c r="X400" s="8"/>
      <c r="Y400" s="8"/>
      <c r="Z400" s="8"/>
      <c r="AA400" s="8"/>
      <c r="AB400" s="8"/>
      <c r="AC400" s="8"/>
      <c r="AD400" s="8"/>
    </row>
    <row r="401" x14ac:dyDescent="0.25">
      <c r="S401" s="9"/>
      <c r="T401" s="9"/>
      <c r="U401" s="8"/>
      <c r="V401" s="8"/>
      <c r="W401" s="8"/>
      <c r="X401" s="8"/>
      <c r="Y401" s="8"/>
      <c r="Z401" s="8"/>
      <c r="AA401" s="8"/>
      <c r="AB401" s="8"/>
      <c r="AC401" s="8"/>
      <c r="AD401" s="8"/>
    </row>
    <row r="402" x14ac:dyDescent="0.25">
      <c r="S402" s="9"/>
      <c r="T402" s="9"/>
      <c r="U402" s="791"/>
      <c r="V402" s="791"/>
      <c r="W402" s="791"/>
      <c r="X402" s="791"/>
      <c r="Y402" s="8"/>
      <c r="Z402" s="8"/>
      <c r="AA402" s="8"/>
      <c r="AB402" s="8"/>
      <c r="AC402" s="8"/>
      <c r="AD402" s="8"/>
    </row>
    <row r="403" x14ac:dyDescent="0.25">
      <c r="S403" s="9"/>
      <c r="T403" s="9"/>
      <c r="U403" s="791"/>
      <c r="V403" s="791"/>
      <c r="W403" s="791"/>
      <c r="X403" s="791"/>
      <c r="Y403" s="8"/>
      <c r="Z403" s="8"/>
      <c r="AA403" s="8"/>
      <c r="AB403" s="8"/>
      <c r="AC403" s="8"/>
      <c r="AD403" s="8"/>
    </row>
    <row r="404" x14ac:dyDescent="0.25">
      <c r="S404" s="9"/>
      <c r="T404" s="9"/>
      <c r="U404" s="792"/>
      <c r="V404" s="792"/>
      <c r="W404" s="792"/>
      <c r="X404" s="792"/>
      <c r="Y404" s="793"/>
      <c r="Z404" s="794"/>
      <c r="AA404" s="795"/>
      <c r="AB404" s="795"/>
      <c r="AC404" s="794"/>
      <c r="AD404" s="794"/>
    </row>
    <row r="405" x14ac:dyDescent="0.25">
      <c r="S405" s="9"/>
      <c r="T405" s="9"/>
      <c r="U405" s="8"/>
      <c r="V405" s="8"/>
      <c r="W405" s="8"/>
      <c r="X405" s="8"/>
      <c r="Y405" s="8"/>
      <c r="Z405" s="8"/>
      <c r="AA405" s="8"/>
      <c r="AB405" s="8"/>
      <c r="AC405" s="8"/>
      <c r="AD405" s="8"/>
    </row>
    <row r="406" x14ac:dyDescent="0.25">
      <c r="S406" s="9"/>
      <c r="T406" s="9"/>
      <c r="U406" s="8"/>
      <c r="V406" s="8"/>
      <c r="W406" s="8"/>
      <c r="X406" s="8"/>
      <c r="Y406" s="8"/>
      <c r="Z406" s="8"/>
      <c r="AA406" s="8"/>
      <c r="AB406" s="8"/>
      <c r="AC406" s="8"/>
      <c r="AD406" s="8"/>
    </row>
    <row r="407" x14ac:dyDescent="0.25">
      <c r="S407" s="9"/>
      <c r="T407" s="9"/>
      <c r="U407" s="8"/>
      <c r="V407" s="8"/>
      <c r="W407" s="8"/>
      <c r="X407" s="8"/>
      <c r="Y407" s="8"/>
      <c r="Z407" s="8"/>
      <c r="AA407" s="8"/>
      <c r="AB407" s="8"/>
      <c r="AC407" s="8"/>
      <c r="AD407" s="8"/>
    </row>
    <row r="408" x14ac:dyDescent="0.25">
      <c r="S408" s="9"/>
      <c r="T408" s="9"/>
      <c r="U408" s="8"/>
      <c r="V408" s="8"/>
      <c r="W408" s="8"/>
      <c r="X408" s="8"/>
      <c r="Y408" s="8"/>
      <c r="Z408" s="8"/>
      <c r="AA408" s="8"/>
      <c r="AB408" s="8"/>
      <c r="AC408" s="8"/>
      <c r="AD408" s="8"/>
    </row>
    <row r="409" x14ac:dyDescent="0.25">
      <c r="S409" s="9"/>
      <c r="T409" s="9"/>
      <c r="U409" s="8"/>
      <c r="V409" s="8"/>
      <c r="W409" s="8"/>
      <c r="X409" s="8"/>
      <c r="Y409" s="8"/>
      <c r="Z409" s="8"/>
      <c r="AA409" s="8"/>
      <c r="AB409" s="8"/>
      <c r="AC409" s="8"/>
      <c r="AD409" s="8"/>
    </row>
    <row r="410" x14ac:dyDescent="0.25">
      <c r="S410" s="9"/>
      <c r="T410" s="9"/>
      <c r="U410" s="8"/>
      <c r="V410" s="8"/>
      <c r="W410" s="8"/>
      <c r="X410" s="8"/>
      <c r="Y410" s="8"/>
      <c r="Z410" s="8"/>
      <c r="AA410" s="8"/>
      <c r="AB410" s="8"/>
      <c r="AC410" s="8"/>
      <c r="AD410" s="8"/>
    </row>
    <row r="411" x14ac:dyDescent="0.25">
      <c r="S411" s="9"/>
      <c r="T411" s="9"/>
      <c r="U411" s="8"/>
      <c r="V411" s="8"/>
      <c r="W411" s="8"/>
      <c r="X411" s="8"/>
      <c r="Y411" s="8"/>
      <c r="Z411" s="8"/>
      <c r="AA411" s="8"/>
      <c r="AB411" s="8"/>
      <c r="AC411" s="8"/>
      <c r="AD411" s="8"/>
    </row>
    <row r="412" x14ac:dyDescent="0.25">
      <c r="S412" s="9"/>
      <c r="T412" s="9"/>
      <c r="U412" s="8"/>
      <c r="V412" s="8"/>
      <c r="W412" s="8"/>
      <c r="X412" s="8"/>
      <c r="Y412" s="8"/>
      <c r="Z412" s="8"/>
      <c r="AA412" s="8"/>
      <c r="AB412" s="8"/>
      <c r="AC412" s="8"/>
      <c r="AD412" s="8"/>
    </row>
    <row r="413" x14ac:dyDescent="0.25">
      <c r="S413" s="9"/>
      <c r="T413" s="9"/>
      <c r="U413" s="8"/>
      <c r="V413" s="8"/>
      <c r="W413" s="8"/>
      <c r="X413" s="8"/>
      <c r="Y413" s="8"/>
      <c r="Z413" s="8"/>
      <c r="AA413" s="8"/>
      <c r="AB413" s="8"/>
      <c r="AC413" s="8"/>
      <c r="AD413" s="8"/>
    </row>
    <row r="414" x14ac:dyDescent="0.25">
      <c r="S414" s="9"/>
      <c r="T414" s="9"/>
      <c r="U414" s="8"/>
      <c r="V414" s="8"/>
      <c r="W414" s="8"/>
      <c r="X414" s="8"/>
      <c r="Y414" s="8"/>
      <c r="Z414" s="8"/>
      <c r="AA414" s="8"/>
      <c r="AB414" s="8"/>
      <c r="AC414" s="8"/>
      <c r="AD414" s="8"/>
    </row>
    <row r="415" x14ac:dyDescent="0.25">
      <c r="S415" s="9"/>
      <c r="T415" s="9"/>
      <c r="U415" s="8"/>
      <c r="V415" s="8"/>
      <c r="W415" s="8"/>
      <c r="X415" s="8"/>
      <c r="Y415" s="8"/>
      <c r="Z415" s="8"/>
      <c r="AA415" s="8"/>
      <c r="AB415" s="8"/>
      <c r="AC415" s="8"/>
      <c r="AD415" s="8"/>
    </row>
    <row r="416" x14ac:dyDescent="0.25">
      <c r="S416" s="9"/>
      <c r="T416" s="9"/>
      <c r="U416" s="8"/>
      <c r="V416" s="8"/>
      <c r="W416" s="8"/>
      <c r="X416" s="8"/>
      <c r="Y416" s="8"/>
      <c r="Z416" s="8"/>
      <c r="AA416" s="8"/>
      <c r="AB416" s="8"/>
      <c r="AC416" s="8"/>
      <c r="AD416" s="8"/>
    </row>
    <row r="417" x14ac:dyDescent="0.25">
      <c r="S417" s="9"/>
      <c r="T417" s="9"/>
      <c r="U417" s="8"/>
      <c r="V417" s="8"/>
      <c r="W417" s="8"/>
      <c r="X417" s="8"/>
      <c r="Y417" s="8"/>
      <c r="Z417" s="8"/>
      <c r="AA417" s="8"/>
      <c r="AB417" s="8"/>
      <c r="AC417" s="8"/>
      <c r="AD417" s="8"/>
    </row>
    <row r="418" x14ac:dyDescent="0.25">
      <c r="S418" s="9"/>
      <c r="T418" s="9"/>
      <c r="U418" s="8"/>
      <c r="V418" s="8"/>
      <c r="W418" s="8"/>
      <c r="X418" s="8"/>
      <c r="Y418" s="8"/>
      <c r="Z418" s="8"/>
      <c r="AA418" s="8"/>
      <c r="AB418" s="8"/>
      <c r="AC418" s="8"/>
      <c r="AD418" s="8"/>
    </row>
    <row r="419" x14ac:dyDescent="0.25">
      <c r="S419" s="9"/>
      <c r="T419" s="9"/>
      <c r="U419" s="8"/>
      <c r="V419" s="8"/>
      <c r="W419" s="8"/>
      <c r="X419" s="8"/>
      <c r="Y419" s="8"/>
      <c r="Z419" s="8"/>
      <c r="AA419" s="8"/>
      <c r="AB419" s="8"/>
      <c r="AC419" s="8"/>
      <c r="AD419" s="8"/>
    </row>
    <row r="420" x14ac:dyDescent="0.25">
      <c r="S420" s="9"/>
      <c r="T420" s="9"/>
      <c r="U420" s="8"/>
      <c r="V420" s="8"/>
      <c r="W420" s="8"/>
      <c r="X420" s="8"/>
      <c r="Y420" s="8"/>
      <c r="Z420" s="8"/>
      <c r="AA420" s="8"/>
      <c r="AB420" s="8"/>
      <c r="AC420" s="8"/>
      <c r="AD420" s="8"/>
    </row>
    <row r="421" x14ac:dyDescent="0.25">
      <c r="S421" s="9"/>
      <c r="T421" s="9"/>
      <c r="U421" s="8"/>
      <c r="V421" s="8"/>
      <c r="W421" s="8"/>
      <c r="X421" s="8"/>
      <c r="Y421" s="8"/>
      <c r="Z421" s="8"/>
      <c r="AA421" s="8"/>
      <c r="AB421" s="8"/>
      <c r="AC421" s="8"/>
      <c r="AD421" s="8"/>
    </row>
    <row r="422" x14ac:dyDescent="0.25">
      <c r="S422" s="9"/>
      <c r="T422" s="9"/>
      <c r="U422" s="8"/>
      <c r="V422" s="8"/>
      <c r="W422" s="8"/>
      <c r="X422" s="8"/>
      <c r="Y422" s="8"/>
      <c r="Z422" s="8"/>
      <c r="AA422" s="8"/>
      <c r="AB422" s="8"/>
      <c r="AC422" s="8"/>
      <c r="AD422" s="8"/>
    </row>
    <row r="423" x14ac:dyDescent="0.25">
      <c r="S423" s="9"/>
      <c r="T423" s="9"/>
      <c r="U423" s="8"/>
      <c r="V423" s="8"/>
      <c r="W423" s="8"/>
      <c r="X423" s="8"/>
      <c r="Y423" s="8"/>
      <c r="Z423" s="8"/>
      <c r="AA423" s="8"/>
      <c r="AB423" s="8"/>
      <c r="AC423" s="8"/>
      <c r="AD423" s="8"/>
    </row>
    <row r="424" x14ac:dyDescent="0.25">
      <c r="S424" s="9"/>
      <c r="T424" s="9"/>
      <c r="U424" s="8"/>
      <c r="V424" s="8"/>
      <c r="W424" s="8"/>
      <c r="X424" s="8"/>
      <c r="Y424" s="8"/>
      <c r="Z424" s="8"/>
      <c r="AA424" s="8"/>
      <c r="AB424" s="8"/>
      <c r="AC424" s="8"/>
      <c r="AD424" s="8"/>
    </row>
    <row r="425" x14ac:dyDescent="0.25">
      <c r="S425" s="9"/>
      <c r="T425" s="9"/>
      <c r="U425" s="8"/>
      <c r="V425" s="8"/>
      <c r="W425" s="8"/>
      <c r="X425" s="8"/>
      <c r="Y425" s="8"/>
      <c r="Z425" s="8"/>
      <c r="AA425" s="8"/>
      <c r="AB425" s="8"/>
      <c r="AC425" s="8"/>
      <c r="AD425" s="8"/>
    </row>
    <row r="426" x14ac:dyDescent="0.25">
      <c r="S426" s="9"/>
      <c r="T426" s="9"/>
      <c r="U426" s="8"/>
      <c r="V426" s="8"/>
      <c r="W426" s="8"/>
      <c r="X426" s="8"/>
      <c r="Y426" s="8"/>
      <c r="Z426" s="8"/>
      <c r="AA426" s="8"/>
      <c r="AB426" s="8"/>
      <c r="AC426" s="8"/>
      <c r="AD426" s="8"/>
    </row>
    <row r="427" x14ac:dyDescent="0.25">
      <c r="S427" s="9"/>
      <c r="T427" s="9"/>
      <c r="U427" s="8"/>
      <c r="V427" s="8"/>
      <c r="W427" s="8"/>
      <c r="X427" s="8"/>
      <c r="Y427" s="8"/>
      <c r="Z427" s="8"/>
      <c r="AA427" s="8"/>
      <c r="AB427" s="8"/>
      <c r="AC427" s="8"/>
      <c r="AD427" s="8"/>
    </row>
    <row r="428" x14ac:dyDescent="0.25">
      <c r="S428" s="9"/>
      <c r="T428" s="9"/>
      <c r="U428" s="8"/>
      <c r="V428" s="8"/>
      <c r="W428" s="8"/>
      <c r="X428" s="8"/>
      <c r="Y428" s="8"/>
      <c r="Z428" s="8"/>
      <c r="AA428" s="8"/>
      <c r="AB428" s="8"/>
      <c r="AC428" s="8"/>
      <c r="AD428" s="8"/>
    </row>
    <row r="429" x14ac:dyDescent="0.25">
      <c r="S429" s="9"/>
      <c r="T429" s="9"/>
      <c r="U429" s="8"/>
      <c r="V429" s="8"/>
      <c r="W429" s="8"/>
      <c r="X429" s="8"/>
      <c r="Y429" s="8"/>
      <c r="Z429" s="8"/>
      <c r="AA429" s="8"/>
      <c r="AB429" s="8"/>
      <c r="AC429" s="8"/>
      <c r="AD429" s="8"/>
    </row>
    <row r="430" x14ac:dyDescent="0.25">
      <c r="S430" s="9"/>
      <c r="T430" s="9"/>
      <c r="U430" s="8"/>
      <c r="V430" s="8"/>
      <c r="W430" s="8"/>
      <c r="X430" s="8"/>
      <c r="Y430" s="8"/>
      <c r="Z430" s="8"/>
      <c r="AA430" s="8"/>
      <c r="AB430" s="8"/>
      <c r="AC430" s="8"/>
      <c r="AD430" s="8"/>
    </row>
    <row r="431" x14ac:dyDescent="0.25">
      <c r="S431" s="9"/>
      <c r="T431" s="9"/>
      <c r="U431" s="8"/>
      <c r="V431" s="8"/>
      <c r="W431" s="8"/>
      <c r="X431" s="8"/>
      <c r="Y431" s="8"/>
      <c r="Z431" s="8"/>
      <c r="AA431" s="8"/>
      <c r="AB431" s="8"/>
      <c r="AC431" s="8"/>
      <c r="AD431" s="8"/>
    </row>
    <row r="432" x14ac:dyDescent="0.25">
      <c r="S432" s="9"/>
      <c r="T432" s="9"/>
      <c r="U432" s="8"/>
      <c r="V432" s="8"/>
      <c r="W432" s="8"/>
      <c r="X432" s="8"/>
      <c r="Y432" s="8"/>
      <c r="Z432" s="8"/>
      <c r="AA432" s="8"/>
      <c r="AB432" s="8"/>
      <c r="AC432" s="8"/>
      <c r="AD432" s="8"/>
    </row>
    <row r="433" x14ac:dyDescent="0.25">
      <c r="S433" s="9"/>
      <c r="T433" s="9"/>
      <c r="U433" s="8"/>
      <c r="V433" s="8"/>
      <c r="W433" s="8"/>
      <c r="X433" s="8"/>
      <c r="Y433" s="8"/>
      <c r="Z433" s="8"/>
      <c r="AA433" s="8"/>
      <c r="AB433" s="8"/>
      <c r="AC433" s="8"/>
      <c r="AD433" s="8"/>
    </row>
    <row r="434" x14ac:dyDescent="0.25">
      <c r="S434" s="9"/>
      <c r="T434" s="9"/>
      <c r="U434" s="8"/>
      <c r="V434" s="8"/>
      <c r="W434" s="8"/>
      <c r="X434" s="8"/>
      <c r="Y434" s="8"/>
      <c r="Z434" s="8"/>
      <c r="AA434" s="8"/>
      <c r="AB434" s="8"/>
      <c r="AC434" s="8"/>
      <c r="AD434" s="8"/>
    </row>
    <row r="435" x14ac:dyDescent="0.25">
      <c r="S435" s="9"/>
      <c r="T435" s="9"/>
      <c r="U435" s="8"/>
      <c r="V435" s="8"/>
      <c r="W435" s="8"/>
      <c r="X435" s="8"/>
      <c r="Y435" s="8"/>
      <c r="Z435" s="8"/>
      <c r="AA435" s="8"/>
      <c r="AB435" s="8"/>
      <c r="AC435" s="8"/>
      <c r="AD435" s="8"/>
    </row>
    <row r="436" x14ac:dyDescent="0.25">
      <c r="S436" s="9"/>
      <c r="T436" s="9"/>
      <c r="U436" s="8"/>
      <c r="V436" s="8"/>
      <c r="W436" s="8"/>
      <c r="X436" s="8"/>
      <c r="Y436" s="8"/>
      <c r="Z436" s="8"/>
      <c r="AA436" s="8"/>
      <c r="AB436" s="8"/>
      <c r="AC436" s="8"/>
      <c r="AD436" s="8"/>
    </row>
    <row r="437" x14ac:dyDescent="0.25">
      <c r="S437" s="9"/>
      <c r="T437" s="9"/>
      <c r="U437" s="8"/>
      <c r="V437" s="8"/>
      <c r="W437" s="8"/>
      <c r="X437" s="8"/>
      <c r="Y437" s="8"/>
      <c r="Z437" s="8"/>
      <c r="AA437" s="8"/>
      <c r="AB437" s="8"/>
      <c r="AC437" s="8"/>
      <c r="AD437" s="8"/>
    </row>
    <row r="438" x14ac:dyDescent="0.25">
      <c r="S438" s="9"/>
      <c r="T438" s="9"/>
      <c r="U438" s="8"/>
      <c r="V438" s="8"/>
      <c r="W438" s="8"/>
      <c r="X438" s="8"/>
      <c r="Y438" s="8"/>
      <c r="Z438" s="8"/>
      <c r="AA438" s="8"/>
      <c r="AB438" s="8"/>
      <c r="AC438" s="8"/>
      <c r="AD438" s="8"/>
    </row>
    <row r="439" x14ac:dyDescent="0.25">
      <c r="S439" s="9"/>
      <c r="T439" s="9"/>
      <c r="U439" s="8"/>
      <c r="V439" s="8"/>
      <c r="W439" s="8"/>
      <c r="X439" s="8"/>
      <c r="Y439" s="8"/>
      <c r="Z439" s="8"/>
      <c r="AA439" s="8"/>
      <c r="AB439" s="8"/>
      <c r="AC439" s="8"/>
      <c r="AD439" s="8"/>
    </row>
    <row r="440" x14ac:dyDescent="0.25">
      <c r="S440" s="9"/>
      <c r="T440" s="9"/>
      <c r="U440" s="8"/>
      <c r="V440" s="8"/>
      <c r="W440" s="8"/>
      <c r="X440" s="8"/>
      <c r="Y440" s="8"/>
      <c r="Z440" s="8"/>
      <c r="AA440" s="8"/>
      <c r="AB440" s="8"/>
      <c r="AC440" s="8"/>
      <c r="AD440" s="8"/>
    </row>
    <row r="441" x14ac:dyDescent="0.25">
      <c r="I441" s="8"/>
      <c r="J441" s="8"/>
      <c r="N441" s="758"/>
      <c r="O441" s="758"/>
      <c r="S441" s="9"/>
      <c r="T441" s="9"/>
      <c r="U441" s="8"/>
      <c r="V441" s="8"/>
      <c r="W441" s="8"/>
      <c r="X441" s="8"/>
      <c r="Y441" s="8"/>
      <c r="Z441" s="8"/>
      <c r="AA441" s="8"/>
      <c r="AB441" s="8"/>
      <c r="AC441" s="8"/>
      <c r="AD441" s="8"/>
    </row>
    <row r="442" x14ac:dyDescent="0.25">
      <c r="I442" s="8"/>
      <c r="J442" s="8"/>
      <c r="N442" s="758"/>
      <c r="O442" s="758"/>
      <c r="S442" s="9"/>
      <c r="T442" s="9"/>
      <c r="U442" s="8"/>
      <c r="V442" s="8"/>
      <c r="W442" s="8"/>
      <c r="X442" s="8"/>
      <c r="Y442" s="8"/>
      <c r="Z442" s="8"/>
      <c r="AA442" s="8"/>
      <c r="AB442" s="8"/>
      <c r="AC442" s="8"/>
      <c r="AD442" s="8"/>
    </row>
    <row r="443" x14ac:dyDescent="0.25">
      <c r="I443" s="8"/>
      <c r="J443" s="8"/>
      <c r="N443" s="758"/>
      <c r="O443" s="758"/>
      <c r="S443" s="9"/>
      <c r="T443" s="9"/>
      <c r="U443" s="8"/>
      <c r="V443" s="8"/>
      <c r="W443" s="8"/>
      <c r="X443" s="8"/>
      <c r="Y443" s="8"/>
      <c r="Z443" s="8"/>
      <c r="AA443" s="8"/>
      <c r="AB443" s="8"/>
      <c r="AC443" s="8"/>
      <c r="AD443" s="8"/>
    </row>
  </sheetData>
  <sheetProtection sheet="true" objects="true" scenarios="true"/>
  <dataConsolidate link="true"/>
  <mergeCells count="1194">
    <mergeCell ref="BK259:BN259"/>
    <mergeCell ref="N240:P240"/>
    <mergeCell ref="N241:P241"/>
    <mergeCell ref="C10:K10"/>
    <mergeCell ref="F108:G108"/>
    <mergeCell ref="F109:G109"/>
    <mergeCell ref="Z237:AB237"/>
    <mergeCell ref="Z238:AB238"/>
    <mergeCell ref="Z239:AB239"/>
    <mergeCell ref="F236:G236"/>
    <mergeCell ref="Q83:S83"/>
    <mergeCell ref="Q84:S84"/>
    <mergeCell ref="Q85:S85"/>
    <mergeCell ref="T88:V88"/>
    <mergeCell ref="T89:V89"/>
    <mergeCell ref="T90:V90"/>
    <mergeCell ref="T91:V91"/>
    <mergeCell ref="T83:V83"/>
    <mergeCell ref="T84:V84"/>
    <mergeCell ref="T85:V85"/>
    <mergeCell ref="F238:G238"/>
    <mergeCell ref="N238:P238"/>
    <mergeCell ref="N239:P239"/>
    <mergeCell ref="AE28:AE30"/>
    <mergeCell ref="AH28:AH30"/>
    <mergeCell ref="AK28:AK30"/>
    <mergeCell ref="S28:S30"/>
    <mergeCell ref="AB102:AB167"/>
    <mergeCell ref="F167:AA167"/>
    <mergeCell ref="W239:Y239"/>
    <mergeCell ref="W237:Y237"/>
    <mergeCell ref="N237:P237"/>
    <mergeCell ref="C3:K3"/>
    <mergeCell ref="C5:K5"/>
    <mergeCell ref="C6:K6"/>
    <mergeCell ref="C7:K7"/>
    <mergeCell ref="C8:K8"/>
    <mergeCell ref="F191:G191"/>
    <mergeCell ref="F192:G192"/>
    <mergeCell ref="F193:G193"/>
    <mergeCell ref="F237:G237"/>
    <mergeCell ref="F188:G188"/>
    <mergeCell ref="F189:G189"/>
    <mergeCell ref="F190:G190"/>
    <mergeCell ref="E25:F25"/>
    <mergeCell ref="H92:J92"/>
    <mergeCell ref="F107:G107"/>
    <mergeCell ref="E102:F102"/>
    <mergeCell ref="F194:G194"/>
    <mergeCell ref="F185:G185"/>
    <mergeCell ref="F186:G186"/>
    <mergeCell ref="F187:G187"/>
    <mergeCell ref="F200:G200"/>
    <mergeCell ref="F201:G201"/>
    <mergeCell ref="F202:G202"/>
    <mergeCell ref="F203:G203"/>
    <mergeCell ref="J28:J30"/>
    <mergeCell ref="F195:G195"/>
    <mergeCell ref="F196:G196"/>
    <mergeCell ref="F197:G197"/>
    <mergeCell ref="F214:G214"/>
    <mergeCell ref="F215:G215"/>
    <mergeCell ref="F216:G216"/>
    <mergeCell ref="F217:G217"/>
    <mergeCell ref="F161:G161"/>
    <mergeCell ref="F162:G162"/>
    <mergeCell ref="F163:G163"/>
    <mergeCell ref="F164:G164"/>
    <mergeCell ref="F165:G165"/>
    <mergeCell ref="J178:J184"/>
    <mergeCell ref="M178:M184"/>
    <mergeCell ref="P178:P184"/>
    <mergeCell ref="P28:P30"/>
    <mergeCell ref="M28:M30"/>
    <mergeCell ref="H177:J177"/>
    <mergeCell ref="K177:M177"/>
    <mergeCell ref="N177:P177"/>
    <mergeCell ref="Q177:S177"/>
    <mergeCell ref="E176:F176"/>
    <mergeCell ref="F166:G166"/>
    <mergeCell ref="B103:E167"/>
    <mergeCell ref="H102:AA106"/>
    <mergeCell ref="W83:Y83"/>
    <mergeCell ref="W84:Y84"/>
    <mergeCell ref="W85:Y85"/>
    <mergeCell ref="W86:Y86"/>
    <mergeCell ref="W87:Y87"/>
    <mergeCell ref="Q90:S90"/>
    <mergeCell ref="Q91:S91"/>
    <mergeCell ref="K88:M88"/>
    <mergeCell ref="K89:M89"/>
    <mergeCell ref="K90:M90"/>
    <mergeCell ref="K91:M91"/>
    <mergeCell ref="K83:M83"/>
    <mergeCell ref="K84:M84"/>
    <mergeCell ref="K85:M85"/>
    <mergeCell ref="I260:I261"/>
    <mergeCell ref="K260:K261"/>
    <mergeCell ref="J260:J261"/>
    <mergeCell ref="L260:M260"/>
    <mergeCell ref="H260:H261"/>
    <mergeCell ref="E257:F257"/>
    <mergeCell ref="H244:J244"/>
    <mergeCell ref="H245:J245"/>
    <mergeCell ref="F244:G244"/>
    <mergeCell ref="F245:G245"/>
    <mergeCell ref="F246:G246"/>
    <mergeCell ref="F247:G247"/>
    <mergeCell ref="H246:J246"/>
    <mergeCell ref="H247:J247"/>
    <mergeCell ref="K246:M246"/>
    <mergeCell ref="F242:G242"/>
    <mergeCell ref="F243:G243"/>
    <mergeCell ref="K259:Q259"/>
    <mergeCell ref="Q260:Q261"/>
    <mergeCell ref="Q247:S247"/>
    <mergeCell ref="K247:M247"/>
    <mergeCell ref="K244:M244"/>
    <mergeCell ref="K245:M245"/>
    <mergeCell ref="Q242:S242"/>
    <mergeCell ref="P260:P261"/>
    <mergeCell ref="Q243:S243"/>
    <mergeCell ref="Q244:S244"/>
    <mergeCell ref="Q245:S245"/>
    <mergeCell ref="K242:M242"/>
    <mergeCell ref="H242:J242"/>
    <mergeCell ref="B258:E312"/>
    <mergeCell ref="F198:G198"/>
    <mergeCell ref="F199:G199"/>
    <mergeCell ref="F206:G206"/>
    <mergeCell ref="F207:G207"/>
    <mergeCell ref="F208:G208"/>
    <mergeCell ref="F209:G209"/>
    <mergeCell ref="F210:G210"/>
    <mergeCell ref="F211:G211"/>
    <mergeCell ref="F212:G212"/>
    <mergeCell ref="F231:G231"/>
    <mergeCell ref="F232:G232"/>
    <mergeCell ref="F233:G233"/>
    <mergeCell ref="F234:G234"/>
    <mergeCell ref="F235:G235"/>
    <mergeCell ref="F222:G222"/>
    <mergeCell ref="F223:G223"/>
    <mergeCell ref="F224:G224"/>
    <mergeCell ref="F225:G225"/>
    <mergeCell ref="F226:G226"/>
    <mergeCell ref="F227:G227"/>
    <mergeCell ref="F228:G228"/>
    <mergeCell ref="F229:G229"/>
    <mergeCell ref="F204:G204"/>
    <mergeCell ref="F205:G205"/>
    <mergeCell ref="F230:G230"/>
    <mergeCell ref="F213:G213"/>
    <mergeCell ref="F218:G218"/>
    <mergeCell ref="F219:G219"/>
    <mergeCell ref="F220:G220"/>
    <mergeCell ref="F221:G221"/>
    <mergeCell ref="CS260:CS261"/>
    <mergeCell ref="AY260:AY261"/>
    <mergeCell ref="AZ260:AZ261"/>
    <mergeCell ref="AF237:AH237"/>
    <mergeCell ref="AF238:AH238"/>
    <mergeCell ref="AF239:AH239"/>
    <mergeCell ref="AI245:AK245"/>
    <mergeCell ref="AI241:AK241"/>
    <mergeCell ref="C15:H15"/>
    <mergeCell ref="Y28:Y30"/>
    <mergeCell ref="V28:V30"/>
    <mergeCell ref="F260:F261"/>
    <mergeCell ref="G260:G261"/>
    <mergeCell ref="BP260:BP261"/>
    <mergeCell ref="F82:G82"/>
    <mergeCell ref="F83:G83"/>
    <mergeCell ref="F84:G84"/>
    <mergeCell ref="F85:G85"/>
    <mergeCell ref="F86:G86"/>
    <mergeCell ref="F87:G87"/>
    <mergeCell ref="F88:G88"/>
    <mergeCell ref="F89:G89"/>
    <mergeCell ref="F90:G90"/>
    <mergeCell ref="F91:G91"/>
    <mergeCell ref="H88:J88"/>
    <mergeCell ref="H89:J89"/>
    <mergeCell ref="H90:J90"/>
    <mergeCell ref="H91:J91"/>
    <mergeCell ref="F92:G92"/>
    <mergeCell ref="F241:G241"/>
    <mergeCell ref="F240:G240"/>
    <mergeCell ref="F239:G239"/>
    <mergeCell ref="N88:P88"/>
    <mergeCell ref="N89:P89"/>
    <mergeCell ref="N90:P90"/>
    <mergeCell ref="N91:P91"/>
    <mergeCell ref="N83:P83"/>
    <mergeCell ref="N84:P84"/>
    <mergeCell ref="N85:P85"/>
    <mergeCell ref="W88:Y88"/>
    <mergeCell ref="Q88:S88"/>
    <mergeCell ref="Q89:S89"/>
    <mergeCell ref="AF83:AH83"/>
    <mergeCell ref="AF84:AH84"/>
    <mergeCell ref="AF85:AH85"/>
    <mergeCell ref="AF86:AH86"/>
    <mergeCell ref="AF87:AH87"/>
    <mergeCell ref="AK178:AK184"/>
    <mergeCell ref="AI83:AK83"/>
    <mergeCell ref="AF88:AH88"/>
    <mergeCell ref="AI84:AK84"/>
    <mergeCell ref="AI85:AK85"/>
    <mergeCell ref="AI86:AK86"/>
    <mergeCell ref="AI87:AK87"/>
    <mergeCell ref="AH178:AH184"/>
    <mergeCell ref="V178:V184"/>
    <mergeCell ref="AC83:AE83"/>
    <mergeCell ref="AC84:AE84"/>
    <mergeCell ref="AC85:AE85"/>
    <mergeCell ref="AC86:AE86"/>
    <mergeCell ref="AC87:AE87"/>
    <mergeCell ref="Z83:AB83"/>
    <mergeCell ref="Z84:AB84"/>
    <mergeCell ref="Z85:AB85"/>
    <mergeCell ref="Z86:AB86"/>
    <mergeCell ref="Z87:AB87"/>
    <mergeCell ref="Z90:AB90"/>
    <mergeCell ref="Z91:AB91"/>
    <mergeCell ref="W89:Y89"/>
    <mergeCell ref="W90:Y90"/>
    <mergeCell ref="W91:Y91"/>
    <mergeCell ref="W92:Y92"/>
    <mergeCell ref="Z88:AB88"/>
    <mergeCell ref="Z89:AB89"/>
    <mergeCell ref="AI88:AK88"/>
    <mergeCell ref="AI89:AK89"/>
    <mergeCell ref="AI90:AK90"/>
    <mergeCell ref="AI91:AK91"/>
    <mergeCell ref="AI92:AK92"/>
    <mergeCell ref="AF92:AH92"/>
    <mergeCell ref="AC88:AE88"/>
    <mergeCell ref="AC89:AE89"/>
    <mergeCell ref="AC90:AE90"/>
    <mergeCell ref="AC91:AE91"/>
    <mergeCell ref="AC92:AE92"/>
    <mergeCell ref="AF89:AH89"/>
    <mergeCell ref="AF90:AH90"/>
    <mergeCell ref="AF91:AH91"/>
    <mergeCell ref="AC177:AE177"/>
    <mergeCell ref="AF177:AH177"/>
    <mergeCell ref="AI177:AK177"/>
    <mergeCell ref="AE178:AE184"/>
    <mergeCell ref="AC238:AE238"/>
    <mergeCell ref="AC239:AE239"/>
    <mergeCell ref="I176:DX176"/>
    <mergeCell ref="Q92:S92"/>
    <mergeCell ref="T92:V92"/>
    <mergeCell ref="K92:M92"/>
    <mergeCell ref="N92:P92"/>
    <mergeCell ref="BV91:BX91"/>
    <mergeCell ref="BV92:BX92"/>
    <mergeCell ref="CB91:CD91"/>
    <mergeCell ref="CB92:CD92"/>
    <mergeCell ref="CH91:CJ91"/>
    <mergeCell ref="CH92:CJ92"/>
    <mergeCell ref="CN91:CP91"/>
    <mergeCell ref="CN92:CP92"/>
    <mergeCell ref="CT91:CV91"/>
    <mergeCell ref="CT92:CV92"/>
    <mergeCell ref="CZ91:DB91"/>
    <mergeCell ref="CZ92:DB92"/>
    <mergeCell ref="DF91:DH91"/>
    <mergeCell ref="DF92:DH92"/>
    <mergeCell ref="DL91:DN91"/>
    <mergeCell ref="DL92:DN92"/>
    <mergeCell ref="DR91:DT91"/>
    <mergeCell ref="DR92:DT92"/>
    <mergeCell ref="AO177:AQ177"/>
    <mergeCell ref="AQ178:AQ184"/>
    <mergeCell ref="T242:V242"/>
    <mergeCell ref="T243:V243"/>
    <mergeCell ref="AY259:BJ259"/>
    <mergeCell ref="N245:P245"/>
    <mergeCell ref="N246:P246"/>
    <mergeCell ref="AC259:AF259"/>
    <mergeCell ref="AF242:AH242"/>
    <mergeCell ref="AF243:AH243"/>
    <mergeCell ref="AF244:AH244"/>
    <mergeCell ref="AF245:AH245"/>
    <mergeCell ref="AF246:AH246"/>
    <mergeCell ref="AG259:AL259"/>
    <mergeCell ref="AM259:AX259"/>
    <mergeCell ref="Y259:AB259"/>
    <mergeCell ref="U259:X259"/>
    <mergeCell ref="AI242:AK242"/>
    <mergeCell ref="AI243:AK243"/>
    <mergeCell ref="AI244:AK244"/>
    <mergeCell ref="N247:P247"/>
    <mergeCell ref="Q246:S246"/>
    <mergeCell ref="AC242:AE242"/>
    <mergeCell ref="AC243:AE243"/>
    <mergeCell ref="AF247:AH247"/>
    <mergeCell ref="AI246:AK246"/>
    <mergeCell ref="W244:Y244"/>
    <mergeCell ref="W245:Y245"/>
    <mergeCell ref="R259:T259"/>
    <mergeCell ref="N242:P242"/>
    <mergeCell ref="N243:P243"/>
    <mergeCell ref="N244:P244"/>
    <mergeCell ref="AC244:AE244"/>
    <mergeCell ref="AC245:AE245"/>
    <mergeCell ref="Z245:AB245"/>
    <mergeCell ref="CC260:CC261"/>
    <mergeCell ref="CB260:CB261"/>
    <mergeCell ref="BT260:BT261"/>
    <mergeCell ref="Z243:AB243"/>
    <mergeCell ref="Z244:AB244"/>
    <mergeCell ref="W242:Y242"/>
    <mergeCell ref="W243:Y243"/>
    <mergeCell ref="AD260:AD261"/>
    <mergeCell ref="T260:T261"/>
    <mergeCell ref="X260:X261"/>
    <mergeCell ref="AB260:AB261"/>
    <mergeCell ref="V260:V261"/>
    <mergeCell ref="Z247:AB247"/>
    <mergeCell ref="AW260:AW261"/>
    <mergeCell ref="AV260:AV261"/>
    <mergeCell ref="AR260:AR261"/>
    <mergeCell ref="Y260:Y261"/>
    <mergeCell ref="Z260:Z261"/>
    <mergeCell ref="AE260:AE261"/>
    <mergeCell ref="AA260:AA261"/>
    <mergeCell ref="AU260:AU261"/>
    <mergeCell ref="AH260:AH261"/>
    <mergeCell ref="AJ260:AJ261"/>
    <mergeCell ref="AL260:AL261"/>
    <mergeCell ref="AF260:AF261"/>
    <mergeCell ref="AC260:AC261"/>
    <mergeCell ref="AL244:AN244"/>
    <mergeCell ref="AL245:AN245"/>
    <mergeCell ref="AL246:AN246"/>
    <mergeCell ref="AL247:AN247"/>
    <mergeCell ref="AR244:AT244"/>
    <mergeCell ref="T246:V246"/>
    <mergeCell ref="AG260:AG261"/>
    <mergeCell ref="AK260:AK261"/>
    <mergeCell ref="AI260:AI261"/>
    <mergeCell ref="CT260:CT261"/>
    <mergeCell ref="BO259:CT259"/>
    <mergeCell ref="G259:J259"/>
    <mergeCell ref="BF260:BF261"/>
    <mergeCell ref="AQ260:AQ261"/>
    <mergeCell ref="BG260:BG261"/>
    <mergeCell ref="AM260:AM261"/>
    <mergeCell ref="AO260:AO261"/>
    <mergeCell ref="AN260:AN261"/>
    <mergeCell ref="AT260:AT261"/>
    <mergeCell ref="BO260:BO261"/>
    <mergeCell ref="BA260:BA261"/>
    <mergeCell ref="CJ260:CJ261"/>
    <mergeCell ref="BV260:BV261"/>
    <mergeCell ref="BX260:BX261"/>
    <mergeCell ref="BW260:BW261"/>
    <mergeCell ref="CA260:CA261"/>
    <mergeCell ref="BY260:BY261"/>
    <mergeCell ref="BQ260:BQ261"/>
    <mergeCell ref="BU260:BU261"/>
    <mergeCell ref="CH260:CH261"/>
    <mergeCell ref="CI260:CI261"/>
    <mergeCell ref="AR246:AT246"/>
    <mergeCell ref="AC246:AE246"/>
    <mergeCell ref="Z246:AB246"/>
    <mergeCell ref="BJ260:BJ261"/>
    <mergeCell ref="BS260:BS261"/>
    <mergeCell ref="CR260:CR261"/>
    <mergeCell ref="CG260:CG261"/>
    <mergeCell ref="BK260:BK261"/>
    <mergeCell ref="BL260:BL261"/>
    <mergeCell ref="BM260:BM261"/>
    <mergeCell ref="BN260:BN261"/>
    <mergeCell ref="CN260:CN261"/>
    <mergeCell ref="CO260:CO261"/>
    <mergeCell ref="CD260:CD261"/>
    <mergeCell ref="CF260:CF261"/>
    <mergeCell ref="CQ260:CQ261"/>
    <mergeCell ref="AC240:AE240"/>
    <mergeCell ref="AC241:AE241"/>
    <mergeCell ref="G25:H25"/>
    <mergeCell ref="G176:H176"/>
    <mergeCell ref="G257:I257"/>
    <mergeCell ref="CP260:CP261"/>
    <mergeCell ref="BH260:BH261"/>
    <mergeCell ref="BI260:BI261"/>
    <mergeCell ref="BB260:BB261"/>
    <mergeCell ref="BC260:BC261"/>
    <mergeCell ref="W260:W261"/>
    <mergeCell ref="S260:S261"/>
    <mergeCell ref="U260:U261"/>
    <mergeCell ref="N260:O260"/>
    <mergeCell ref="R260:R261"/>
    <mergeCell ref="CK260:CK261"/>
    <mergeCell ref="CL260:CL261"/>
    <mergeCell ref="CM260:CM261"/>
    <mergeCell ref="CE260:CE261"/>
    <mergeCell ref="BZ260:BZ261"/>
    <mergeCell ref="BR260:BR261"/>
    <mergeCell ref="T244:V244"/>
    <mergeCell ref="BE260:BE261"/>
    <mergeCell ref="AP260:AP261"/>
    <mergeCell ref="AX260:AX261"/>
    <mergeCell ref="AI247:AK247"/>
    <mergeCell ref="AC247:AE247"/>
    <mergeCell ref="T247:V247"/>
    <mergeCell ref="W246:Y246"/>
    <mergeCell ref="W247:Y247"/>
    <mergeCell ref="K86:M86"/>
    <mergeCell ref="K87:M87"/>
    <mergeCell ref="N86:P86"/>
    <mergeCell ref="N87:P87"/>
    <mergeCell ref="Q86:S86"/>
    <mergeCell ref="Q87:S87"/>
    <mergeCell ref="T86:V86"/>
    <mergeCell ref="T87:V87"/>
    <mergeCell ref="Q240:S240"/>
    <mergeCell ref="Q241:S241"/>
    <mergeCell ref="T240:V240"/>
    <mergeCell ref="T241:V241"/>
    <mergeCell ref="W240:Y240"/>
    <mergeCell ref="W241:Y241"/>
    <mergeCell ref="Z240:AB240"/>
    <mergeCell ref="Z241:AB241"/>
    <mergeCell ref="Z92:AB92"/>
    <mergeCell ref="T177:V177"/>
    <mergeCell ref="W177:Y177"/>
    <mergeCell ref="Z177:AB177"/>
    <mergeCell ref="BD260:BD261"/>
    <mergeCell ref="AS260:AS261"/>
    <mergeCell ref="AO242:AQ242"/>
    <mergeCell ref="AO243:AQ243"/>
    <mergeCell ref="AI27:AK27"/>
    <mergeCell ref="AL27:AN27"/>
    <mergeCell ref="AO27:AQ27"/>
    <mergeCell ref="AR27:AT27"/>
    <mergeCell ref="AU27:AW27"/>
    <mergeCell ref="AX27:AZ27"/>
    <mergeCell ref="BA27:BC27"/>
    <mergeCell ref="BD27:BF27"/>
    <mergeCell ref="BG27:BI27"/>
    <mergeCell ref="H27:J27"/>
    <mergeCell ref="K27:M27"/>
    <mergeCell ref="N27:P27"/>
    <mergeCell ref="Q27:S27"/>
    <mergeCell ref="T27:V27"/>
    <mergeCell ref="W27:Y27"/>
    <mergeCell ref="Z27:AB27"/>
    <mergeCell ref="AC27:AE27"/>
    <mergeCell ref="AF27:AH27"/>
    <mergeCell ref="DL27:DN27"/>
    <mergeCell ref="DO27:DQ27"/>
    <mergeCell ref="DR27:DT27"/>
    <mergeCell ref="DU27:DW27"/>
    <mergeCell ref="CK27:CM27"/>
    <mergeCell ref="CN27:CP27"/>
    <mergeCell ref="CQ27:CS27"/>
    <mergeCell ref="CT27:CV27"/>
    <mergeCell ref="CW27:CY27"/>
    <mergeCell ref="CZ27:DB27"/>
    <mergeCell ref="DC27:DE27"/>
    <mergeCell ref="DF27:DH27"/>
    <mergeCell ref="DI27:DK27"/>
    <mergeCell ref="BJ27:BL27"/>
    <mergeCell ref="BM27:BO27"/>
    <mergeCell ref="BP27:BR27"/>
    <mergeCell ref="BS27:BU27"/>
    <mergeCell ref="BV27:BX27"/>
    <mergeCell ref="BY27:CA27"/>
    <mergeCell ref="CB27:CD27"/>
    <mergeCell ref="CE27:CG27"/>
    <mergeCell ref="CH27:CJ27"/>
    <mergeCell ref="AL85:AN85"/>
    <mergeCell ref="AL86:AN86"/>
    <mergeCell ref="AL87:AN87"/>
    <mergeCell ref="AL88:AN88"/>
    <mergeCell ref="AL89:AN89"/>
    <mergeCell ref="AL90:AN90"/>
    <mergeCell ref="AL91:AN91"/>
    <mergeCell ref="AL92:AN92"/>
    <mergeCell ref="AQ28:AQ30"/>
    <mergeCell ref="AO83:AQ83"/>
    <mergeCell ref="AO84:AQ84"/>
    <mergeCell ref="AO85:AQ85"/>
    <mergeCell ref="AO86:AQ86"/>
    <mergeCell ref="AO87:AQ87"/>
    <mergeCell ref="AO88:AQ88"/>
    <mergeCell ref="AO89:AQ89"/>
    <mergeCell ref="AO90:AQ90"/>
    <mergeCell ref="AO91:AQ91"/>
    <mergeCell ref="AO92:AQ92"/>
    <mergeCell ref="AN28:AN30"/>
    <mergeCell ref="AL83:AN83"/>
    <mergeCell ref="AL84:AN84"/>
    <mergeCell ref="AR85:AT85"/>
    <mergeCell ref="AR86:AT86"/>
    <mergeCell ref="AR87:AT87"/>
    <mergeCell ref="AR88:AT88"/>
    <mergeCell ref="AR89:AT89"/>
    <mergeCell ref="AR90:AT90"/>
    <mergeCell ref="AR91:AT91"/>
    <mergeCell ref="AR92:AT92"/>
    <mergeCell ref="AW28:AW30"/>
    <mergeCell ref="AU83:AW83"/>
    <mergeCell ref="AU84:AW84"/>
    <mergeCell ref="AU85:AW85"/>
    <mergeCell ref="AU86:AW86"/>
    <mergeCell ref="AU87:AW87"/>
    <mergeCell ref="AU88:AW88"/>
    <mergeCell ref="AU89:AW89"/>
    <mergeCell ref="AU90:AW90"/>
    <mergeCell ref="AU91:AW91"/>
    <mergeCell ref="AU92:AW92"/>
    <mergeCell ref="AT28:AT30"/>
    <mergeCell ref="AR83:AT83"/>
    <mergeCell ref="AR84:AT84"/>
    <mergeCell ref="AX85:AZ85"/>
    <mergeCell ref="AX86:AZ86"/>
    <mergeCell ref="AX87:AZ87"/>
    <mergeCell ref="AX88:AZ88"/>
    <mergeCell ref="AX89:AZ89"/>
    <mergeCell ref="AX90:AZ90"/>
    <mergeCell ref="AX91:AZ91"/>
    <mergeCell ref="AX92:AZ92"/>
    <mergeCell ref="BC28:BC30"/>
    <mergeCell ref="BA83:BC83"/>
    <mergeCell ref="BA84:BC84"/>
    <mergeCell ref="BA85:BC85"/>
    <mergeCell ref="BA86:BC86"/>
    <mergeCell ref="BA87:BC87"/>
    <mergeCell ref="BA88:BC88"/>
    <mergeCell ref="BA89:BC89"/>
    <mergeCell ref="BA90:BC90"/>
    <mergeCell ref="BA91:BC91"/>
    <mergeCell ref="BA92:BC92"/>
    <mergeCell ref="AZ28:AZ30"/>
    <mergeCell ref="AX83:AZ83"/>
    <mergeCell ref="AX84:AZ84"/>
    <mergeCell ref="BD85:BF85"/>
    <mergeCell ref="BD86:BF86"/>
    <mergeCell ref="BD87:BF87"/>
    <mergeCell ref="BD88:BF88"/>
    <mergeCell ref="BD89:BF89"/>
    <mergeCell ref="BD90:BF90"/>
    <mergeCell ref="BD91:BF91"/>
    <mergeCell ref="BD92:BF92"/>
    <mergeCell ref="BI28:BI30"/>
    <mergeCell ref="BG83:BI83"/>
    <mergeCell ref="BG84:BI84"/>
    <mergeCell ref="BG85:BI85"/>
    <mergeCell ref="BG86:BI86"/>
    <mergeCell ref="BG87:BI87"/>
    <mergeCell ref="BG88:BI88"/>
    <mergeCell ref="BG89:BI89"/>
    <mergeCell ref="BG90:BI90"/>
    <mergeCell ref="BG91:BI91"/>
    <mergeCell ref="BG92:BI92"/>
    <mergeCell ref="BF28:BF30"/>
    <mergeCell ref="BD83:BF83"/>
    <mergeCell ref="BD84:BF84"/>
    <mergeCell ref="BJ85:BL85"/>
    <mergeCell ref="BJ86:BL86"/>
    <mergeCell ref="BJ87:BL87"/>
    <mergeCell ref="BJ88:BL88"/>
    <mergeCell ref="BJ89:BL89"/>
    <mergeCell ref="BJ90:BL90"/>
    <mergeCell ref="BJ91:BL91"/>
    <mergeCell ref="BJ92:BL92"/>
    <mergeCell ref="BO28:BO30"/>
    <mergeCell ref="BM83:BO83"/>
    <mergeCell ref="BM84:BO84"/>
    <mergeCell ref="BM85:BO85"/>
    <mergeCell ref="BM86:BO86"/>
    <mergeCell ref="BM87:BO87"/>
    <mergeCell ref="BM88:BO88"/>
    <mergeCell ref="BM89:BO89"/>
    <mergeCell ref="BM90:BO90"/>
    <mergeCell ref="BM91:BO91"/>
    <mergeCell ref="BM92:BO92"/>
    <mergeCell ref="BL28:BL30"/>
    <mergeCell ref="BJ83:BL83"/>
    <mergeCell ref="BJ84:BL84"/>
    <mergeCell ref="BP85:BR85"/>
    <mergeCell ref="BP86:BR86"/>
    <mergeCell ref="BP87:BR87"/>
    <mergeCell ref="BP88:BR88"/>
    <mergeCell ref="BP89:BR89"/>
    <mergeCell ref="BP90:BR90"/>
    <mergeCell ref="BP91:BR91"/>
    <mergeCell ref="BP92:BR92"/>
    <mergeCell ref="BU28:BU30"/>
    <mergeCell ref="BS83:BU83"/>
    <mergeCell ref="BS84:BU84"/>
    <mergeCell ref="BS85:BU85"/>
    <mergeCell ref="BS86:BU86"/>
    <mergeCell ref="BS87:BU87"/>
    <mergeCell ref="BS88:BU88"/>
    <mergeCell ref="BS89:BU89"/>
    <mergeCell ref="BS90:BU90"/>
    <mergeCell ref="BS91:BU91"/>
    <mergeCell ref="BS92:BU92"/>
    <mergeCell ref="BR28:BR30"/>
    <mergeCell ref="BP83:BR83"/>
    <mergeCell ref="BP84:BR84"/>
    <mergeCell ref="CA28:CA30"/>
    <mergeCell ref="BY83:CA83"/>
    <mergeCell ref="BY84:CA84"/>
    <mergeCell ref="BY85:CA85"/>
    <mergeCell ref="BY86:CA86"/>
    <mergeCell ref="BY87:CA87"/>
    <mergeCell ref="BY88:CA88"/>
    <mergeCell ref="BY89:CA89"/>
    <mergeCell ref="BY90:CA90"/>
    <mergeCell ref="BY91:CA91"/>
    <mergeCell ref="BY92:CA92"/>
    <mergeCell ref="BX28:BX30"/>
    <mergeCell ref="BV83:BX83"/>
    <mergeCell ref="BV84:BX84"/>
    <mergeCell ref="BV85:BX85"/>
    <mergeCell ref="BV86:BX86"/>
    <mergeCell ref="BV87:BX87"/>
    <mergeCell ref="BV88:BX88"/>
    <mergeCell ref="BV89:BX89"/>
    <mergeCell ref="BV90:BX90"/>
    <mergeCell ref="CG28:CG30"/>
    <mergeCell ref="CE83:CG83"/>
    <mergeCell ref="CE84:CG84"/>
    <mergeCell ref="CE85:CG85"/>
    <mergeCell ref="CE86:CG86"/>
    <mergeCell ref="CE87:CG87"/>
    <mergeCell ref="CE88:CG88"/>
    <mergeCell ref="CE89:CG89"/>
    <mergeCell ref="CE90:CG90"/>
    <mergeCell ref="CE91:CG91"/>
    <mergeCell ref="CE92:CG92"/>
    <mergeCell ref="CD28:CD30"/>
    <mergeCell ref="CB83:CD83"/>
    <mergeCell ref="CB84:CD84"/>
    <mergeCell ref="CB85:CD85"/>
    <mergeCell ref="CB86:CD86"/>
    <mergeCell ref="CB87:CD87"/>
    <mergeCell ref="CB88:CD88"/>
    <mergeCell ref="CB89:CD89"/>
    <mergeCell ref="CB90:CD90"/>
    <mergeCell ref="CM28:CM30"/>
    <mergeCell ref="CK83:CM83"/>
    <mergeCell ref="CK84:CM84"/>
    <mergeCell ref="CK85:CM85"/>
    <mergeCell ref="CK86:CM86"/>
    <mergeCell ref="CK87:CM87"/>
    <mergeCell ref="CK88:CM88"/>
    <mergeCell ref="CK89:CM89"/>
    <mergeCell ref="CK90:CM90"/>
    <mergeCell ref="CK91:CM91"/>
    <mergeCell ref="CK92:CM92"/>
    <mergeCell ref="CJ28:CJ30"/>
    <mergeCell ref="CH83:CJ83"/>
    <mergeCell ref="CH84:CJ84"/>
    <mergeCell ref="CH85:CJ85"/>
    <mergeCell ref="CH86:CJ86"/>
    <mergeCell ref="CH87:CJ87"/>
    <mergeCell ref="CH88:CJ88"/>
    <mergeCell ref="CH89:CJ89"/>
    <mergeCell ref="CH90:CJ90"/>
    <mergeCell ref="CS28:CS30"/>
    <mergeCell ref="CQ83:CS83"/>
    <mergeCell ref="CQ84:CS84"/>
    <mergeCell ref="CQ85:CS85"/>
    <mergeCell ref="CQ86:CS86"/>
    <mergeCell ref="CQ87:CS87"/>
    <mergeCell ref="CQ88:CS88"/>
    <mergeCell ref="CQ89:CS89"/>
    <mergeCell ref="CQ90:CS90"/>
    <mergeCell ref="CQ91:CS91"/>
    <mergeCell ref="CQ92:CS92"/>
    <mergeCell ref="CP28:CP30"/>
    <mergeCell ref="CN83:CP83"/>
    <mergeCell ref="CN84:CP84"/>
    <mergeCell ref="CN85:CP85"/>
    <mergeCell ref="CN86:CP86"/>
    <mergeCell ref="CN87:CP87"/>
    <mergeCell ref="CN88:CP88"/>
    <mergeCell ref="CN89:CP89"/>
    <mergeCell ref="CN90:CP90"/>
    <mergeCell ref="CY28:CY30"/>
    <mergeCell ref="CW83:CY83"/>
    <mergeCell ref="CW84:CY84"/>
    <mergeCell ref="CW85:CY85"/>
    <mergeCell ref="CW86:CY86"/>
    <mergeCell ref="CW87:CY87"/>
    <mergeCell ref="CW88:CY88"/>
    <mergeCell ref="CW89:CY89"/>
    <mergeCell ref="CW90:CY90"/>
    <mergeCell ref="CW91:CY91"/>
    <mergeCell ref="CW92:CY92"/>
    <mergeCell ref="CV28:CV30"/>
    <mergeCell ref="CT83:CV83"/>
    <mergeCell ref="CT84:CV84"/>
    <mergeCell ref="CT85:CV85"/>
    <mergeCell ref="CT86:CV86"/>
    <mergeCell ref="CT87:CV87"/>
    <mergeCell ref="CT88:CV88"/>
    <mergeCell ref="CT89:CV89"/>
    <mergeCell ref="CT90:CV90"/>
    <mergeCell ref="DE28:DE30"/>
    <mergeCell ref="DC83:DE83"/>
    <mergeCell ref="DC84:DE84"/>
    <mergeCell ref="DC85:DE85"/>
    <mergeCell ref="DC86:DE86"/>
    <mergeCell ref="DC87:DE87"/>
    <mergeCell ref="DC88:DE88"/>
    <mergeCell ref="DC89:DE89"/>
    <mergeCell ref="DC90:DE90"/>
    <mergeCell ref="DC91:DE91"/>
    <mergeCell ref="DC92:DE92"/>
    <mergeCell ref="DB28:DB30"/>
    <mergeCell ref="CZ83:DB83"/>
    <mergeCell ref="CZ84:DB84"/>
    <mergeCell ref="CZ85:DB85"/>
    <mergeCell ref="CZ86:DB86"/>
    <mergeCell ref="CZ87:DB87"/>
    <mergeCell ref="CZ88:DB88"/>
    <mergeCell ref="CZ89:DB89"/>
    <mergeCell ref="CZ90:DB90"/>
    <mergeCell ref="DK28:DK30"/>
    <mergeCell ref="DI83:DK83"/>
    <mergeCell ref="DI84:DK84"/>
    <mergeCell ref="DI85:DK85"/>
    <mergeCell ref="DI86:DK86"/>
    <mergeCell ref="DI87:DK87"/>
    <mergeCell ref="DI88:DK88"/>
    <mergeCell ref="DI89:DK89"/>
    <mergeCell ref="DI90:DK90"/>
    <mergeCell ref="DI91:DK91"/>
    <mergeCell ref="DI92:DK92"/>
    <mergeCell ref="DH28:DH30"/>
    <mergeCell ref="DF83:DH83"/>
    <mergeCell ref="DF84:DH84"/>
    <mergeCell ref="DF85:DH85"/>
    <mergeCell ref="DF86:DH86"/>
    <mergeCell ref="DF87:DH87"/>
    <mergeCell ref="DF88:DH88"/>
    <mergeCell ref="DF89:DH89"/>
    <mergeCell ref="DF90:DH90"/>
    <mergeCell ref="DQ28:DQ30"/>
    <mergeCell ref="DO83:DQ83"/>
    <mergeCell ref="DO84:DQ84"/>
    <mergeCell ref="DO85:DQ85"/>
    <mergeCell ref="DO86:DQ86"/>
    <mergeCell ref="DO87:DQ87"/>
    <mergeCell ref="DO88:DQ88"/>
    <mergeCell ref="DO89:DQ89"/>
    <mergeCell ref="DO90:DQ90"/>
    <mergeCell ref="DO91:DQ91"/>
    <mergeCell ref="DO92:DQ92"/>
    <mergeCell ref="DN28:DN30"/>
    <mergeCell ref="DL83:DN83"/>
    <mergeCell ref="DL84:DN84"/>
    <mergeCell ref="DL85:DN85"/>
    <mergeCell ref="DL86:DN86"/>
    <mergeCell ref="DL87:DN87"/>
    <mergeCell ref="DL88:DN88"/>
    <mergeCell ref="DL89:DN89"/>
    <mergeCell ref="DL90:DN90"/>
    <mergeCell ref="DW28:DW30"/>
    <mergeCell ref="DU83:DW83"/>
    <mergeCell ref="DU84:DW84"/>
    <mergeCell ref="DU85:DW85"/>
    <mergeCell ref="DU86:DW86"/>
    <mergeCell ref="DU87:DW87"/>
    <mergeCell ref="DU88:DW88"/>
    <mergeCell ref="DU89:DW89"/>
    <mergeCell ref="DU90:DW90"/>
    <mergeCell ref="DU91:DW91"/>
    <mergeCell ref="DU92:DW92"/>
    <mergeCell ref="DT28:DT30"/>
    <mergeCell ref="DR83:DT83"/>
    <mergeCell ref="DR84:DT84"/>
    <mergeCell ref="DR85:DT85"/>
    <mergeCell ref="DR86:DT86"/>
    <mergeCell ref="DR87:DT87"/>
    <mergeCell ref="DR88:DT88"/>
    <mergeCell ref="DR89:DT89"/>
    <mergeCell ref="DR90:DT90"/>
    <mergeCell ref="AO239:AQ239"/>
    <mergeCell ref="AO240:AQ240"/>
    <mergeCell ref="AO241:AQ241"/>
    <mergeCell ref="AF240:AH240"/>
    <mergeCell ref="AF241:AH241"/>
    <mergeCell ref="AC237:AE237"/>
    <mergeCell ref="S178:S184"/>
    <mergeCell ref="Q237:S237"/>
    <mergeCell ref="Q238:S238"/>
    <mergeCell ref="Q239:S239"/>
    <mergeCell ref="T237:V237"/>
    <mergeCell ref="T238:V238"/>
    <mergeCell ref="T239:V239"/>
    <mergeCell ref="AI237:AK237"/>
    <mergeCell ref="AI238:AK238"/>
    <mergeCell ref="AI240:AK240"/>
    <mergeCell ref="AI239:AK239"/>
    <mergeCell ref="Y178:Y184"/>
    <mergeCell ref="AB178:AB184"/>
    <mergeCell ref="W238:Y238"/>
    <mergeCell ref="B177:G184"/>
    <mergeCell ref="B185:D248"/>
    <mergeCell ref="E236:E248"/>
    <mergeCell ref="F248:DX248"/>
    <mergeCell ref="Z242:AB242"/>
    <mergeCell ref="T245:V245"/>
    <mergeCell ref="AO244:AQ244"/>
    <mergeCell ref="AO245:AQ245"/>
    <mergeCell ref="AO246:AQ246"/>
    <mergeCell ref="AO247:AQ247"/>
    <mergeCell ref="AL177:AN177"/>
    <mergeCell ref="AN178:AN184"/>
    <mergeCell ref="AL237:AN237"/>
    <mergeCell ref="AL238:AN238"/>
    <mergeCell ref="AL239:AN239"/>
    <mergeCell ref="AL240:AN240"/>
    <mergeCell ref="AL241:AN241"/>
    <mergeCell ref="AL242:AN242"/>
    <mergeCell ref="AL243:AN243"/>
    <mergeCell ref="AR247:AT247"/>
    <mergeCell ref="AU177:AW177"/>
    <mergeCell ref="AW178:AW184"/>
    <mergeCell ref="AU237:AW237"/>
    <mergeCell ref="AU238:AW238"/>
    <mergeCell ref="AU239:AW239"/>
    <mergeCell ref="AU240:AW240"/>
    <mergeCell ref="AU241:AW241"/>
    <mergeCell ref="AO237:AQ237"/>
    <mergeCell ref="AO238:AQ238"/>
    <mergeCell ref="AU242:AW242"/>
    <mergeCell ref="AU243:AW243"/>
    <mergeCell ref="AU244:AW244"/>
    <mergeCell ref="AU245:AW245"/>
    <mergeCell ref="AU246:AW246"/>
    <mergeCell ref="AU247:AW247"/>
    <mergeCell ref="AR177:AT177"/>
    <mergeCell ref="AT178:AT184"/>
    <mergeCell ref="AR237:AT237"/>
    <mergeCell ref="AR238:AT238"/>
    <mergeCell ref="AR239:AT239"/>
    <mergeCell ref="AR240:AT240"/>
    <mergeCell ref="AR241:AT241"/>
    <mergeCell ref="AR242:AT242"/>
    <mergeCell ref="AR243:AT243"/>
    <mergeCell ref="AX244:AZ244"/>
    <mergeCell ref="AX245:AZ245"/>
    <mergeCell ref="AX246:AZ246"/>
    <mergeCell ref="AX247:AZ247"/>
    <mergeCell ref="AR245:AT245"/>
    <mergeCell ref="BA177:BC177"/>
    <mergeCell ref="BC178:BC184"/>
    <mergeCell ref="BA237:BC237"/>
    <mergeCell ref="BA238:BC238"/>
    <mergeCell ref="BA239:BC239"/>
    <mergeCell ref="BA240:BC240"/>
    <mergeCell ref="BA241:BC241"/>
    <mergeCell ref="BA242:BC242"/>
    <mergeCell ref="BA243:BC243"/>
    <mergeCell ref="BA244:BC244"/>
    <mergeCell ref="BA245:BC245"/>
    <mergeCell ref="BA246:BC246"/>
    <mergeCell ref="BA247:BC247"/>
    <mergeCell ref="AX177:AZ177"/>
    <mergeCell ref="AZ178:AZ184"/>
    <mergeCell ref="AX237:AZ237"/>
    <mergeCell ref="AX238:AZ238"/>
    <mergeCell ref="AX239:AZ239"/>
    <mergeCell ref="AX240:AZ240"/>
    <mergeCell ref="AX241:AZ241"/>
    <mergeCell ref="AX242:AZ242"/>
    <mergeCell ref="AX243:AZ243"/>
    <mergeCell ref="BD244:BF244"/>
    <mergeCell ref="BD245:BF245"/>
    <mergeCell ref="BD246:BF246"/>
    <mergeCell ref="BD247:BF247"/>
    <mergeCell ref="BG177:BI177"/>
    <mergeCell ref="BI178:BI184"/>
    <mergeCell ref="BG237:BI237"/>
    <mergeCell ref="BG238:BI238"/>
    <mergeCell ref="BG239:BI239"/>
    <mergeCell ref="BG240:BI240"/>
    <mergeCell ref="BG241:BI241"/>
    <mergeCell ref="BG242:BI242"/>
    <mergeCell ref="BG243:BI243"/>
    <mergeCell ref="BG244:BI244"/>
    <mergeCell ref="BG245:BI245"/>
    <mergeCell ref="BG246:BI246"/>
    <mergeCell ref="BG247:BI247"/>
    <mergeCell ref="BD177:BF177"/>
    <mergeCell ref="BF178:BF184"/>
    <mergeCell ref="BD237:BF237"/>
    <mergeCell ref="BD238:BF238"/>
    <mergeCell ref="BD239:BF239"/>
    <mergeCell ref="BD240:BF240"/>
    <mergeCell ref="BD241:BF241"/>
    <mergeCell ref="BD242:BF242"/>
    <mergeCell ref="BD243:BF243"/>
    <mergeCell ref="BJ244:BL244"/>
    <mergeCell ref="BJ245:BL245"/>
    <mergeCell ref="BJ246:BL246"/>
    <mergeCell ref="BJ247:BL247"/>
    <mergeCell ref="BM177:BO177"/>
    <mergeCell ref="BO178:BO184"/>
    <mergeCell ref="BM237:BO237"/>
    <mergeCell ref="BM238:BO238"/>
    <mergeCell ref="BM239:BO239"/>
    <mergeCell ref="BM240:BO240"/>
    <mergeCell ref="BM241:BO241"/>
    <mergeCell ref="BM242:BO242"/>
    <mergeCell ref="BM243:BO243"/>
    <mergeCell ref="BM244:BO244"/>
    <mergeCell ref="BM245:BO245"/>
    <mergeCell ref="BM246:BO246"/>
    <mergeCell ref="BM247:BO247"/>
    <mergeCell ref="BJ177:BL177"/>
    <mergeCell ref="BL178:BL184"/>
    <mergeCell ref="BJ237:BL237"/>
    <mergeCell ref="BJ238:BL238"/>
    <mergeCell ref="BJ239:BL239"/>
    <mergeCell ref="BJ240:BL240"/>
    <mergeCell ref="BJ241:BL241"/>
    <mergeCell ref="BJ242:BL242"/>
    <mergeCell ref="BJ243:BL243"/>
    <mergeCell ref="BP244:BR244"/>
    <mergeCell ref="BP245:BR245"/>
    <mergeCell ref="BP246:BR246"/>
    <mergeCell ref="BP247:BR247"/>
    <mergeCell ref="BS177:BU177"/>
    <mergeCell ref="BU178:BU184"/>
    <mergeCell ref="BS237:BU237"/>
    <mergeCell ref="BS238:BU238"/>
    <mergeCell ref="BS239:BU239"/>
    <mergeCell ref="BS240:BU240"/>
    <mergeCell ref="BS241:BU241"/>
    <mergeCell ref="BS242:BU242"/>
    <mergeCell ref="BS243:BU243"/>
    <mergeCell ref="BS244:BU244"/>
    <mergeCell ref="BS245:BU245"/>
    <mergeCell ref="BS246:BU246"/>
    <mergeCell ref="BS247:BU247"/>
    <mergeCell ref="BP177:BR177"/>
    <mergeCell ref="BR178:BR184"/>
    <mergeCell ref="BP237:BR237"/>
    <mergeCell ref="BP238:BR238"/>
    <mergeCell ref="BP239:BR239"/>
    <mergeCell ref="BP240:BR240"/>
    <mergeCell ref="BP241:BR241"/>
    <mergeCell ref="BP242:BR242"/>
    <mergeCell ref="BP243:BR243"/>
    <mergeCell ref="BV244:BX244"/>
    <mergeCell ref="BV245:BX245"/>
    <mergeCell ref="BV246:BX246"/>
    <mergeCell ref="BV247:BX247"/>
    <mergeCell ref="BY177:CA177"/>
    <mergeCell ref="CA178:CA184"/>
    <mergeCell ref="BY237:CA237"/>
    <mergeCell ref="BY238:CA238"/>
    <mergeCell ref="BY239:CA239"/>
    <mergeCell ref="BY240:CA240"/>
    <mergeCell ref="BY241:CA241"/>
    <mergeCell ref="BY242:CA242"/>
    <mergeCell ref="BY243:CA243"/>
    <mergeCell ref="BY244:CA244"/>
    <mergeCell ref="BY245:CA245"/>
    <mergeCell ref="BY246:CA246"/>
    <mergeCell ref="BY247:CA247"/>
    <mergeCell ref="BV177:BX177"/>
    <mergeCell ref="BX178:BX184"/>
    <mergeCell ref="BV237:BX237"/>
    <mergeCell ref="BV238:BX238"/>
    <mergeCell ref="BV239:BX239"/>
    <mergeCell ref="BV240:BX240"/>
    <mergeCell ref="BV241:BX241"/>
    <mergeCell ref="BV242:BX242"/>
    <mergeCell ref="BV243:BX243"/>
    <mergeCell ref="CB244:CD244"/>
    <mergeCell ref="CB245:CD245"/>
    <mergeCell ref="CB246:CD246"/>
    <mergeCell ref="CB247:CD247"/>
    <mergeCell ref="CE177:CG177"/>
    <mergeCell ref="CG178:CG184"/>
    <mergeCell ref="CE237:CG237"/>
    <mergeCell ref="CE238:CG238"/>
    <mergeCell ref="CE239:CG239"/>
    <mergeCell ref="CE240:CG240"/>
    <mergeCell ref="CE241:CG241"/>
    <mergeCell ref="CE242:CG242"/>
    <mergeCell ref="CE243:CG243"/>
    <mergeCell ref="CE244:CG244"/>
    <mergeCell ref="CE245:CG245"/>
    <mergeCell ref="CE246:CG246"/>
    <mergeCell ref="CE247:CG247"/>
    <mergeCell ref="CB177:CD177"/>
    <mergeCell ref="CD178:CD184"/>
    <mergeCell ref="CB237:CD237"/>
    <mergeCell ref="CB238:CD238"/>
    <mergeCell ref="CB239:CD239"/>
    <mergeCell ref="CB240:CD240"/>
    <mergeCell ref="CB241:CD241"/>
    <mergeCell ref="CB242:CD242"/>
    <mergeCell ref="CB243:CD243"/>
    <mergeCell ref="CH244:CJ244"/>
    <mergeCell ref="CH245:CJ245"/>
    <mergeCell ref="CH246:CJ246"/>
    <mergeCell ref="CH247:CJ247"/>
    <mergeCell ref="CK177:CM177"/>
    <mergeCell ref="CM178:CM184"/>
    <mergeCell ref="CK237:CM237"/>
    <mergeCell ref="CK238:CM238"/>
    <mergeCell ref="CK239:CM239"/>
    <mergeCell ref="CK240:CM240"/>
    <mergeCell ref="CK241:CM241"/>
    <mergeCell ref="CK242:CM242"/>
    <mergeCell ref="CK243:CM243"/>
    <mergeCell ref="CK244:CM244"/>
    <mergeCell ref="CK245:CM245"/>
    <mergeCell ref="CK246:CM246"/>
    <mergeCell ref="CK247:CM247"/>
    <mergeCell ref="CH177:CJ177"/>
    <mergeCell ref="CJ178:CJ184"/>
    <mergeCell ref="CH237:CJ237"/>
    <mergeCell ref="CH238:CJ238"/>
    <mergeCell ref="CH239:CJ239"/>
    <mergeCell ref="CH240:CJ240"/>
    <mergeCell ref="CH241:CJ241"/>
    <mergeCell ref="CH242:CJ242"/>
    <mergeCell ref="CH243:CJ243"/>
    <mergeCell ref="CN244:CP244"/>
    <mergeCell ref="CN245:CP245"/>
    <mergeCell ref="CN246:CP246"/>
    <mergeCell ref="CN247:CP247"/>
    <mergeCell ref="CQ177:CS177"/>
    <mergeCell ref="CS178:CS184"/>
    <mergeCell ref="CQ237:CS237"/>
    <mergeCell ref="CQ238:CS238"/>
    <mergeCell ref="CQ239:CS239"/>
    <mergeCell ref="CQ240:CS240"/>
    <mergeCell ref="CQ241:CS241"/>
    <mergeCell ref="CQ242:CS242"/>
    <mergeCell ref="CQ243:CS243"/>
    <mergeCell ref="CQ244:CS244"/>
    <mergeCell ref="CQ245:CS245"/>
    <mergeCell ref="CQ246:CS246"/>
    <mergeCell ref="CQ247:CS247"/>
    <mergeCell ref="CN177:CP177"/>
    <mergeCell ref="CP178:CP184"/>
    <mergeCell ref="CN237:CP237"/>
    <mergeCell ref="CN238:CP238"/>
    <mergeCell ref="CN239:CP239"/>
    <mergeCell ref="CN240:CP240"/>
    <mergeCell ref="CN241:CP241"/>
    <mergeCell ref="CN242:CP242"/>
    <mergeCell ref="CN243:CP243"/>
    <mergeCell ref="CT244:CV244"/>
    <mergeCell ref="CT245:CV245"/>
    <mergeCell ref="CT246:CV246"/>
    <mergeCell ref="CT247:CV247"/>
    <mergeCell ref="CW177:CY177"/>
    <mergeCell ref="CY178:CY184"/>
    <mergeCell ref="CW237:CY237"/>
    <mergeCell ref="CW238:CY238"/>
    <mergeCell ref="CW239:CY239"/>
    <mergeCell ref="CW240:CY240"/>
    <mergeCell ref="CW241:CY241"/>
    <mergeCell ref="CW242:CY242"/>
    <mergeCell ref="CW243:CY243"/>
    <mergeCell ref="CW244:CY244"/>
    <mergeCell ref="CW245:CY245"/>
    <mergeCell ref="CW246:CY246"/>
    <mergeCell ref="CW247:CY247"/>
    <mergeCell ref="CT177:CV177"/>
    <mergeCell ref="CV178:CV184"/>
    <mergeCell ref="CT237:CV237"/>
    <mergeCell ref="CT238:CV238"/>
    <mergeCell ref="CT239:CV239"/>
    <mergeCell ref="CT240:CV240"/>
    <mergeCell ref="CT241:CV241"/>
    <mergeCell ref="CT242:CV242"/>
    <mergeCell ref="CT243:CV243"/>
    <mergeCell ref="CZ244:DB244"/>
    <mergeCell ref="CZ245:DB245"/>
    <mergeCell ref="CZ246:DB246"/>
    <mergeCell ref="CZ247:DB247"/>
    <mergeCell ref="DC177:DE177"/>
    <mergeCell ref="DE178:DE184"/>
    <mergeCell ref="DC237:DE237"/>
    <mergeCell ref="DC238:DE238"/>
    <mergeCell ref="DC239:DE239"/>
    <mergeCell ref="DC240:DE240"/>
    <mergeCell ref="DC241:DE241"/>
    <mergeCell ref="DC242:DE242"/>
    <mergeCell ref="DC243:DE243"/>
    <mergeCell ref="DC244:DE244"/>
    <mergeCell ref="DC245:DE245"/>
    <mergeCell ref="DC246:DE246"/>
    <mergeCell ref="DC247:DE247"/>
    <mergeCell ref="CZ177:DB177"/>
    <mergeCell ref="DB178:DB184"/>
    <mergeCell ref="CZ237:DB237"/>
    <mergeCell ref="CZ238:DB238"/>
    <mergeCell ref="CZ239:DB239"/>
    <mergeCell ref="CZ240:DB240"/>
    <mergeCell ref="CZ241:DB241"/>
    <mergeCell ref="CZ242:DB242"/>
    <mergeCell ref="CZ243:DB243"/>
    <mergeCell ref="DF244:DH244"/>
    <mergeCell ref="DF245:DH245"/>
    <mergeCell ref="DF246:DH246"/>
    <mergeCell ref="DF247:DH247"/>
    <mergeCell ref="DI177:DK177"/>
    <mergeCell ref="DK178:DK184"/>
    <mergeCell ref="DI237:DK237"/>
    <mergeCell ref="DI238:DK238"/>
    <mergeCell ref="DI239:DK239"/>
    <mergeCell ref="DI240:DK240"/>
    <mergeCell ref="DI241:DK241"/>
    <mergeCell ref="DI242:DK242"/>
    <mergeCell ref="DI243:DK243"/>
    <mergeCell ref="DI244:DK244"/>
    <mergeCell ref="DI245:DK245"/>
    <mergeCell ref="DI246:DK246"/>
    <mergeCell ref="DI247:DK247"/>
    <mergeCell ref="DF177:DH177"/>
    <mergeCell ref="DH178:DH184"/>
    <mergeCell ref="DF237:DH237"/>
    <mergeCell ref="DF238:DH238"/>
    <mergeCell ref="DF239:DH239"/>
    <mergeCell ref="DF240:DH240"/>
    <mergeCell ref="DF241:DH241"/>
    <mergeCell ref="DF242:DH242"/>
    <mergeCell ref="DF243:DH243"/>
    <mergeCell ref="DL247:DN247"/>
    <mergeCell ref="DO177:DQ177"/>
    <mergeCell ref="DQ178:DQ184"/>
    <mergeCell ref="DO237:DQ237"/>
    <mergeCell ref="DO238:DQ238"/>
    <mergeCell ref="DO239:DQ239"/>
    <mergeCell ref="DO240:DQ240"/>
    <mergeCell ref="DO241:DQ241"/>
    <mergeCell ref="DO242:DQ242"/>
    <mergeCell ref="DO243:DQ243"/>
    <mergeCell ref="DO244:DQ244"/>
    <mergeCell ref="DO245:DQ245"/>
    <mergeCell ref="DO246:DQ246"/>
    <mergeCell ref="DO247:DQ247"/>
    <mergeCell ref="DL177:DN177"/>
    <mergeCell ref="DN178:DN184"/>
    <mergeCell ref="DL237:DN237"/>
    <mergeCell ref="DL238:DN238"/>
    <mergeCell ref="DL239:DN239"/>
    <mergeCell ref="DL240:DN240"/>
    <mergeCell ref="DL241:DN241"/>
    <mergeCell ref="DL242:DN242"/>
    <mergeCell ref="DL243:DN243"/>
    <mergeCell ref="J257:CT258"/>
    <mergeCell ref="CU257:CU312"/>
    <mergeCell ref="G312:CT312"/>
    <mergeCell ref="DR244:DT244"/>
    <mergeCell ref="DR245:DT245"/>
    <mergeCell ref="DR246:DT246"/>
    <mergeCell ref="DR247:DT247"/>
    <mergeCell ref="DU177:DW177"/>
    <mergeCell ref="DW178:DW184"/>
    <mergeCell ref="DU237:DW237"/>
    <mergeCell ref="DU238:DW238"/>
    <mergeCell ref="DU239:DW239"/>
    <mergeCell ref="DU240:DW240"/>
    <mergeCell ref="DU241:DW241"/>
    <mergeCell ref="DU242:DW242"/>
    <mergeCell ref="DU243:DW243"/>
    <mergeCell ref="DU244:DW244"/>
    <mergeCell ref="DU245:DW245"/>
    <mergeCell ref="DU246:DW246"/>
    <mergeCell ref="DU247:DW247"/>
    <mergeCell ref="DR177:DT177"/>
    <mergeCell ref="DT178:DT184"/>
    <mergeCell ref="DR237:DT237"/>
    <mergeCell ref="DR238:DT238"/>
    <mergeCell ref="DR239:DT239"/>
    <mergeCell ref="DR240:DT240"/>
    <mergeCell ref="DR241:DT241"/>
    <mergeCell ref="DR242:DT242"/>
    <mergeCell ref="DR243:DT243"/>
    <mergeCell ref="DL244:DN244"/>
    <mergeCell ref="DL245:DN245"/>
    <mergeCell ref="DL246:DN246"/>
  </mergeCells>
  <dataValidations xWindow="353" yWindow="665" count="18">
    <dataValidation type="list" allowBlank="true" showInputMessage="true" showErrorMessage="true" prompt="Renewability. YES=1; NO=0" sqref="R262:R311">
      <formula1>"1, 0"</formula1>
    </dataValidation>
    <dataValidation type="list" allowBlank="true" showInputMessage="true" showErrorMessage="true" prompt="Recyclable. YES=1; NO=0" sqref="S262:S311">
      <formula1>"1, 0"</formula1>
    </dataValidation>
    <dataValidation type="list" allowBlank="true" showInputMessage="true" showErrorMessage="true" prompt="Solid Waste for Landfill. YES=1; NO=0" sqref="U262:U311">
      <formula1>"1, 0"</formula1>
    </dataValidation>
    <dataValidation type="list" allowBlank="true" showInputMessage="true" showErrorMessage="true" prompt="Solid State. YES=1; NO=0" sqref="V262:V311">
      <formula1>"1, 0"</formula1>
    </dataValidation>
    <dataValidation type="list" allowBlank="true" showInputMessage="true" showErrorMessage="true" prompt="Organic or Water. YES=1; NO=0" sqref="X262:X311">
      <formula1>"1, 0"</formula1>
    </dataValidation>
    <dataValidation type="list" allowBlank="true" showInputMessage="true" showErrorMessage="true" prompt="Hazardous. YES=1; NO=0" sqref="AM262:AM311">
      <formula1>"1, 0"</formula1>
    </dataValidation>
    <dataValidation type="list" allowBlank="true" showInputMessage="true" showErrorMessage="true" prompt="TRI List. Yes=1, NO=0" sqref="AN262:AN311">
      <formula1>"0, 1"</formula1>
    </dataValidation>
    <dataValidation type="list" allowBlank="true" showInputMessage="true" showErrorMessage="true" prompt="TRI PBT List. Yes=1, NO=0" sqref="AO262:AO311">
      <formula1>"0, 1"</formula1>
    </dataValidation>
    <dataValidation type="list" allowBlank="true" showInputMessage="true" showErrorMessage="true" prompt="1&lt;=GK Class&lt;=5" sqref="AT262:AT311">
      <formula1>"1, 2, 3, 4, 5"</formula1>
    </dataValidation>
    <dataValidation type="list" allowBlank="true" showInputMessage="true" showErrorMessage="true" prompt="Hazard rating: 0 - Minimal; 1 - Slight; 2 - Moderate; 3 - Serious; 4 - Severe" sqref="AV262:AW311">
      <formula1>"0, 1, 2, 3, 4"</formula1>
    </dataValidation>
    <dataValidation type="list" allowBlank="true" showInputMessage="true" showErrorMessage="true" prompt="nwg: non-hazardous to water_x000a_WGK 3: severe hazard to waters,_x000a_WGK 2: hazard to waters,_x000a_WGK 1: low hazard to waters." sqref="AX262:AX311">
      <formula1>"nwg, 1, 2, 3"</formula1>
    </dataValidation>
    <dataValidation type="list" allowBlank="true" showInputMessage="true" showErrorMessage="true" error="For other codes leave it in blank." prompt="Just these codes:_x000a_T, Xi, C, Xn, T+_x000a_Other codes leave it in blank " sqref="AP262:AP311">
      <formula1>"T, Xi, C, Xn, T+"</formula1>
    </dataValidation>
    <dataValidation type="list" allowBlank="true" showInputMessage="true" showErrorMessage="true" sqref="I30 DV30 DS30 DP30 DM30 DJ30 DG30 DD30 DA30 CX30 CU30 CR30 CO30 CL30 CI30 CF30 CC30 BZ30 BW30 BT30 BQ30 BN30 BK30 BH30 BE30 BB30 AY30 AV30 AS30 AP30 AM30 AJ30 AG30 AD30 AA30 X30 U30 R30 O30 L30">
      <formula1>"yes,no"</formula1>
    </dataValidation>
    <dataValidation type="list" allowBlank="true" showInputMessage="true" showErrorMessage="true" sqref="I179 AJ179 AG179 AD179 AA179 X179 U179 R179 O179 L179 AM179 AP179 AS179 AV179 AY179 BB179 BE179 BH179 BK179 BN179 BQ179 BT179 BW179 BZ179 CC179 CF179 CI179 CL179 CO179 CR179 CU179 CX179 DA179 DD179 DG179 DJ179 DM179 DP179 DS179 DV179">
      <formula1>"1,0"</formula1>
    </dataValidation>
    <dataValidation type="list" allowBlank="true" showInputMessage="true" showErrorMessage="true" prompt="Just for waste streams" sqref="I182 AJ182 AG182 AD182 AA182 X182 U182 R182 O182 L182 AM182 AP182 AS182 AV182 AY182 BB182 BE182 BH182 BK182 BN182 BQ182 BT182 BW182 BZ182 CC182 CF182 CI182 CL182 CO182 CR182 CU182 CX182 DA182 DD182 DG182 DJ182 DM182 DP182 DS182 DV182">
      <formula1>"1,0"</formula1>
    </dataValidation>
    <dataValidation type="list" allowBlank="true" showInputMessage="true" showErrorMessage="true" prompt="Just for Product streams" sqref="L181 AJ181 AG181 AD181 AA181 X181 U181 R181 O181 I181 AM181 AP181 AS181 AV181 AY181 BB181 BE181 BH181 BK181 BN181 BQ181 BT181 BW181 BZ181 CC181 CF181 CI181 CL181 CO181 CR181 CU181 CX181 DA181 DD181 DG181 DJ181 DM181 DP181 DS181 DV181">
      <formula1>"1, 0"</formula1>
    </dataValidation>
    <dataValidation type="list" allowBlank="true" showInputMessage="true" showErrorMessage="true" prompt="Just for Product streams" sqref="L183 AJ183 AG183 AD183 AA183 X183 U183 R183 O183 I183 AM183 AP183 AS183 AV183 AY183 BB183 BE183 BH183 BK183 BN183 BQ183 BT183 BW183 BZ183 CC183 CF183 CI183 CL183 CO183 CR183 CU183 CX183 DA183 DD183 DG183 DJ183 DM183 DP183 DS183 DV183">
      <formula1>"yes,no"</formula1>
    </dataValidation>
    <dataValidation type="list" allowBlank="true" showInputMessage="true" showErrorMessage="true" prompt="0: Waste_x000a_1: Product_x000a_2: Feedstock_x000a_3: Catalyst_x000a_4: Global reagent/Solvent_x000a_5: Other (drying agent, additive, solvent, washing agent, etc.)" sqref="K262:K311">
      <formula1>"0,1,2,3,4,5"</formula1>
    </dataValidation>
  </dataValidations>
  <pageMargins left="0.7" right="0.7" top="0.75" bottom="0.75" header="0.3" footer="0.3"/>
  <pageSetup orientation="portrait" r:id="rId1"/>
  <drawing r:id="rId2"/>
  <legacy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B3:AB531"/>
  <sheetViews>
    <sheetView tabSelected="true" topLeftCell="C131" zoomScale="70" zoomScaleNormal="70" workbookViewId="0">
      <selection activeCell="E102" activeCellId="1" sqref="E105:F105 E102:F102"/>
    </sheetView>
  </sheetViews>
  <sheetFormatPr defaultColWidth="10.6640625" defaultRowHeight="15" x14ac:dyDescent="0.25"/>
  <cols>
    <col min="1" max="1" width="10.6640625" style="8"/>
    <col min="2" max="2" width="13.88671875" style="8" customWidth="true"/>
    <col min="3" max="3" width="10.6640625" style="8"/>
    <col min="4" max="4" width="77.44140625" style="8" customWidth="true"/>
    <col min="5" max="5" width="31.6015625" style="8" customWidth="true"/>
    <col min="7" max="7" width="45.046875" style="8" customWidth="true"/>
    <col min="8" max="8" width="23.26953125" style="8" customWidth="true"/>
    <col min="9" max="9" width="24.046875" style="8" customWidth="true"/>
    <col min="10" max="10" width="18.7109375" style="8" customWidth="true"/>
    <col min="11" max="11" width="30.15625" style="8" customWidth="true"/>
    <col min="12" max="12" width="31.6015625" style="8" customWidth="true"/>
    <col min="13" max="13" width="18.7109375" style="8" customWidth="true"/>
    <col min="14" max="14" width="19.26953125" style="8" customWidth="true"/>
    <col min="15" max="15" width="17.93359375" style="8" customWidth="true"/>
    <col min="16" max="16" width="18.7109375" style="8" customWidth="true"/>
    <col min="17" max="17" width="19.26953125" style="8" customWidth="true"/>
    <col min="18" max="18" width="17.93359375" style="8" customWidth="true"/>
    <col min="19" max="19" width="18.7109375" style="8" customWidth="true"/>
    <col min="22" max="24" width="33.5546875" style="8" customWidth="true"/>
    <col min="25" max="25" width="15.5546875" style="8" customWidth="true"/>
    <col min="26" max="26" width="15.88671875" style="8" customWidth="true"/>
    <col min="27" max="27" width="11.5546875" style="8" bestFit="true" customWidth="true"/>
    <col min="28" max="16384" width="10.6640625" style="8"/>
    <col min="6" max="6" width="31.6015625" style="8" customWidth="true"/>
    <col min="20" max="20" width="18.7109375" style="8" customWidth="true"/>
    <col min="21" max="21" width="18.7109375" style="8" customWidth="true"/>
  </cols>
  <sheetData>
    <row r="3" ht="45" x14ac:dyDescent="0.25">
      <c r="D3" s="1709" t="s">
        <v>1830</v>
      </c>
      <c r="E3" s="1709"/>
      <c r="F3" s="1709"/>
      <c r="G3" s="1709"/>
      <c r="H3" s="1709"/>
      <c r="I3" s="1709"/>
      <c r="O3" s="131"/>
    </row>
    <row r="4" x14ac:dyDescent="0.25">
      <c r="U4" s="66"/>
      <c r="V4" s="66"/>
      <c r="W4" s="66"/>
      <c r="X4" s="66"/>
      <c r="Y4" s="66"/>
      <c r="Z4" s="66"/>
    </row>
    <row r="5" x14ac:dyDescent="0.25">
      <c r="W5" s="66"/>
      <c r="X5" s="66"/>
      <c r="Y5" s="66"/>
      <c r="Z5" s="66"/>
    </row>
    <row r="6" ht="38.25" customHeight="true" x14ac:dyDescent="0.5">
      <c r="D6" s="160" t="s">
        <v>2218</v>
      </c>
      <c r="W6" s="66"/>
      <c r="X6" s="66"/>
      <c r="Y6" s="66"/>
      <c r="Z6" s="66"/>
    </row>
    <row r="7" ht="38.25" customHeight="true" thickBot="true" x14ac:dyDescent="0.45">
      <c r="D7" s="11"/>
      <c r="W7" s="66"/>
      <c r="X7" s="66"/>
      <c r="Y7" s="66"/>
      <c r="Z7" s="66"/>
    </row>
    <row r="8" ht="38.25" customHeight="true" thickBot="true" x14ac:dyDescent="0.3">
      <c r="B8" s="743" t="s">
        <v>2340</v>
      </c>
      <c r="C8" s="142"/>
      <c r="D8" s="142"/>
      <c r="E8" s="142"/>
      <c r="F8" s="142"/>
      <c r="G8" s="142"/>
      <c r="H8" s="142"/>
      <c r="I8" s="142"/>
      <c r="J8" s="142"/>
      <c r="K8" s="142"/>
      <c r="L8" s="142"/>
      <c r="M8" s="142"/>
      <c r="N8" s="142"/>
      <c r="O8" s="142"/>
      <c r="P8" s="142"/>
      <c r="Q8" s="142"/>
      <c r="R8" s="142"/>
      <c r="S8" s="142"/>
      <c r="T8" s="142"/>
      <c r="U8" s="142"/>
      <c r="V8" s="142"/>
      <c r="W8" s="142"/>
      <c r="X8" s="143"/>
      <c r="Y8" s="144"/>
      <c r="Z8" s="66"/>
    </row>
    <row r="9" ht="24.75" customHeight="true" x14ac:dyDescent="0.4">
      <c r="B9" s="744"/>
      <c r="D9" s="104" t="s">
        <v>86</v>
      </c>
      <c r="E9" s="115">
        <v>1</v>
      </c>
      <c r="F9" s="115">
        <f>E9+1</f>
        <v>2</v>
      </c>
      <c r="G9" s="115">
        <f t="shared" ref="G9:X9" si="0">F9+1</f>
        <v>3</v>
      </c>
      <c r="H9" s="115">
        <f t="shared" si="0"/>
        <v>4</v>
      </c>
      <c r="I9" s="115">
        <f t="shared" si="0"/>
        <v>5</v>
      </c>
      <c r="J9" s="115">
        <f t="shared" si="0"/>
        <v>6</v>
      </c>
      <c r="K9" s="115">
        <f t="shared" si="0"/>
        <v>7</v>
      </c>
      <c r="L9" s="115">
        <f t="shared" si="0"/>
        <v>8</v>
      </c>
      <c r="M9" s="115">
        <f t="shared" si="0"/>
        <v>9</v>
      </c>
      <c r="N9" s="115">
        <f t="shared" si="0"/>
        <v>10</v>
      </c>
      <c r="O9" s="115">
        <f>N9+1</f>
        <v>11</v>
      </c>
      <c r="P9" s="115">
        <f t="shared" si="0"/>
        <v>12</v>
      </c>
      <c r="Q9" s="115">
        <f t="shared" si="0"/>
        <v>13</v>
      </c>
      <c r="R9" s="115">
        <f t="shared" si="0"/>
        <v>14</v>
      </c>
      <c r="S9" s="115">
        <f t="shared" si="0"/>
        <v>15</v>
      </c>
      <c r="T9" s="115">
        <f>S9+1</f>
        <v>16</v>
      </c>
      <c r="U9" s="115">
        <f t="shared" si="0"/>
        <v>17</v>
      </c>
      <c r="V9" s="115">
        <f>U9+1</f>
        <v>18</v>
      </c>
      <c r="W9" s="115">
        <f t="shared" si="0"/>
        <v>19</v>
      </c>
      <c r="X9" s="115">
        <f t="shared" si="0"/>
        <v>20</v>
      </c>
      <c r="Y9" s="146"/>
      <c r="Z9" s="66"/>
    </row>
    <row r="10" ht="41.25" customHeight="true" x14ac:dyDescent="0.25">
      <c r="B10" s="744"/>
      <c r="C10" s="140"/>
      <c r="D10" s="106" t="s">
        <v>1461</v>
      </c>
      <c r="E10" s="1095"/>
      <c r="F10" s="1095"/>
      <c r="G10" s="1095"/>
      <c r="H10" s="1095"/>
      <c r="I10" s="1095"/>
      <c r="J10" s="1095"/>
      <c r="K10" s="1095"/>
      <c r="L10" s="1095"/>
      <c r="M10" s="1095"/>
      <c r="N10" s="1095"/>
      <c r="O10" s="1095"/>
      <c r="P10" s="1095"/>
      <c r="Q10" s="1095"/>
      <c r="R10" s="1095"/>
      <c r="S10" s="1095"/>
      <c r="T10" s="1095"/>
      <c r="U10" s="1095"/>
      <c r="V10" s="1095"/>
      <c r="W10" s="1095"/>
      <c r="X10" s="1095"/>
      <c r="Y10" s="146"/>
      <c r="Z10" s="66"/>
    </row>
    <row r="11" ht="19.5" customHeight="true" x14ac:dyDescent="0.25">
      <c r="B11" s="744"/>
      <c r="C11" s="140"/>
      <c r="D11" s="107" t="s">
        <v>2175</v>
      </c>
      <c r="E11" s="1096"/>
      <c r="F11" s="1096"/>
      <c r="G11" s="1096"/>
      <c r="H11" s="1096"/>
      <c r="I11" s="1096"/>
      <c r="J11" s="1096"/>
      <c r="K11" s="1096"/>
      <c r="L11" s="1096"/>
      <c r="M11" s="1096"/>
      <c r="N11" s="1096"/>
      <c r="O11" s="1096"/>
      <c r="P11" s="1096"/>
      <c r="Q11" s="1096"/>
      <c r="R11" s="1096"/>
      <c r="S11" s="1096"/>
      <c r="T11" s="1096"/>
      <c r="U11" s="1096"/>
      <c r="V11" s="1096"/>
      <c r="W11" s="1096"/>
      <c r="X11" s="1096"/>
      <c r="Y11" s="147"/>
    </row>
    <row r="12" ht="19.5" customHeight="true" x14ac:dyDescent="0.25">
      <c r="B12" s="744"/>
      <c r="C12" s="140"/>
      <c r="D12" s="107" t="s">
        <v>81</v>
      </c>
      <c r="E12" s="1097"/>
      <c r="F12" s="1097"/>
      <c r="G12" s="1097"/>
      <c r="H12" s="1097"/>
      <c r="I12" s="1097"/>
      <c r="J12" s="1097"/>
      <c r="K12" s="1097"/>
      <c r="L12" s="1097"/>
      <c r="M12" s="1097"/>
      <c r="N12" s="1097"/>
      <c r="O12" s="1097"/>
      <c r="P12" s="1097"/>
      <c r="Q12" s="1097"/>
      <c r="R12" s="1097"/>
      <c r="S12" s="1097"/>
      <c r="T12" s="1097"/>
      <c r="U12" s="1097"/>
      <c r="V12" s="1097"/>
      <c r="W12" s="1097"/>
      <c r="X12" s="1097"/>
      <c r="Y12" s="147"/>
    </row>
    <row r="13" ht="17.25" customHeight="true" x14ac:dyDescent="0.25">
      <c r="B13" s="744"/>
      <c r="C13" s="140"/>
      <c r="D13" s="108" t="s">
        <v>1763</v>
      </c>
      <c r="E13" s="1097"/>
      <c r="F13" s="1097"/>
      <c r="G13" s="1097"/>
      <c r="H13" s="1097"/>
      <c r="I13" s="1097"/>
      <c r="J13" s="1097"/>
      <c r="K13" s="1097"/>
      <c r="L13" s="1097"/>
      <c r="M13" s="1097"/>
      <c r="N13" s="1097"/>
      <c r="O13" s="1097"/>
      <c r="P13" s="1097"/>
      <c r="Q13" s="1097"/>
      <c r="R13" s="1097"/>
      <c r="S13" s="1097"/>
      <c r="T13" s="1097"/>
      <c r="U13" s="1097"/>
      <c r="V13" s="1097"/>
      <c r="W13" s="1097"/>
      <c r="X13" s="1097"/>
      <c r="Y13" s="147"/>
    </row>
    <row r="14" ht="17.25" customHeight="true" x14ac:dyDescent="0.25">
      <c r="B14" s="744"/>
      <c r="C14" s="140"/>
      <c r="D14" s="109" t="s">
        <v>1845</v>
      </c>
      <c r="E14" s="1098"/>
      <c r="F14" s="1098"/>
      <c r="G14" s="1098"/>
      <c r="H14" s="1098"/>
      <c r="I14" s="1098"/>
      <c r="J14" s="1098"/>
      <c r="K14" s="1098"/>
      <c r="L14" s="1098"/>
      <c r="M14" s="1098"/>
      <c r="N14" s="1098"/>
      <c r="O14" s="1098"/>
      <c r="P14" s="1098"/>
      <c r="Q14" s="1098"/>
      <c r="R14" s="1098"/>
      <c r="S14" s="1098"/>
      <c r="T14" s="1098"/>
      <c r="U14" s="1098"/>
      <c r="V14" s="1098"/>
      <c r="W14" s="1098"/>
      <c r="X14" s="1098"/>
      <c r="Y14" s="147"/>
    </row>
    <row r="15" ht="29.25" customHeight="true" x14ac:dyDescent="0.25">
      <c r="B15" s="744"/>
      <c r="C15" s="140"/>
      <c r="D15" s="110" t="s">
        <v>1847</v>
      </c>
      <c r="E15" s="1097"/>
      <c r="F15" s="1097"/>
      <c r="G15" s="1097"/>
      <c r="H15" s="1097"/>
      <c r="I15" s="1097"/>
      <c r="J15" s="1097"/>
      <c r="K15" s="1097"/>
      <c r="L15" s="1097"/>
      <c r="M15" s="1097"/>
      <c r="N15" s="1097"/>
      <c r="O15" s="1097"/>
      <c r="P15" s="1097"/>
      <c r="Q15" s="1097"/>
      <c r="R15" s="1097"/>
      <c r="S15" s="1097"/>
      <c r="T15" s="1097"/>
      <c r="U15" s="1097"/>
      <c r="V15" s="1097"/>
      <c r="W15" s="1097"/>
      <c r="X15" s="1097"/>
      <c r="Y15" s="147"/>
    </row>
    <row r="16" ht="19.5" customHeight="true" x14ac:dyDescent="0.25">
      <c r="B16" s="744"/>
      <c r="C16" s="140"/>
      <c r="D16" s="111" t="s">
        <v>1463</v>
      </c>
      <c r="E16" s="1097"/>
      <c r="F16" s="1097"/>
      <c r="G16" s="1097"/>
      <c r="H16" s="1097"/>
      <c r="I16" s="1097"/>
      <c r="J16" s="1097"/>
      <c r="K16" s="1097"/>
      <c r="L16" s="1097"/>
      <c r="M16" s="1097"/>
      <c r="N16" s="1097"/>
      <c r="O16" s="1097"/>
      <c r="P16" s="1097"/>
      <c r="Q16" s="1097"/>
      <c r="R16" s="1097"/>
      <c r="S16" s="1097"/>
      <c r="T16" s="1097"/>
      <c r="U16" s="1097"/>
      <c r="V16" s="1097"/>
      <c r="W16" s="1097"/>
      <c r="X16" s="1097"/>
      <c r="Y16" s="147"/>
    </row>
    <row r="17" ht="19.5" customHeight="true" x14ac:dyDescent="0.25">
      <c r="B17" s="744"/>
      <c r="C17" s="140"/>
      <c r="D17" s="112" t="s">
        <v>1465</v>
      </c>
      <c r="E17" s="1097"/>
      <c r="F17" s="1097"/>
      <c r="G17" s="1097"/>
      <c r="H17" s="1097"/>
      <c r="I17" s="1097"/>
      <c r="J17" s="1097"/>
      <c r="K17" s="1097"/>
      <c r="L17" s="1097"/>
      <c r="M17" s="1097"/>
      <c r="N17" s="1097"/>
      <c r="O17" s="1097"/>
      <c r="P17" s="1097"/>
      <c r="Q17" s="1097"/>
      <c r="R17" s="1097"/>
      <c r="S17" s="1097"/>
      <c r="T17" s="1097"/>
      <c r="U17" s="1097"/>
      <c r="V17" s="1097"/>
      <c r="W17" s="1097"/>
      <c r="X17" s="1097"/>
      <c r="Y17" s="147"/>
    </row>
    <row r="18" ht="19.5" customHeight="true" x14ac:dyDescent="0.25">
      <c r="B18" s="744"/>
      <c r="C18" s="140"/>
      <c r="D18" s="113" t="s">
        <v>1464</v>
      </c>
      <c r="E18" s="1097"/>
      <c r="F18" s="1097"/>
      <c r="G18" s="1097"/>
      <c r="H18" s="1097"/>
      <c r="I18" s="1097"/>
      <c r="J18" s="1097"/>
      <c r="K18" s="1097"/>
      <c r="L18" s="1097"/>
      <c r="M18" s="1097"/>
      <c r="N18" s="1097"/>
      <c r="O18" s="1097"/>
      <c r="P18" s="1097"/>
      <c r="Q18" s="1097"/>
      <c r="R18" s="1097"/>
      <c r="S18" s="1097"/>
      <c r="T18" s="1097"/>
      <c r="U18" s="1097"/>
      <c r="V18" s="1097"/>
      <c r="W18" s="1097"/>
      <c r="X18" s="1097"/>
      <c r="Y18" s="147"/>
    </row>
    <row r="19" ht="18.75" customHeight="true" thickBot="true" x14ac:dyDescent="0.3">
      <c r="B19" s="744"/>
      <c r="C19" s="140"/>
      <c r="D19" s="114" t="s">
        <v>1465</v>
      </c>
      <c r="E19" s="1450" t="str">
        <f t="shared" ref="E19:M19" si="1">IF(E11="","",IF(E17&lt;&gt;"",E17,1.68*E18))</f>
        <v/>
      </c>
      <c r="F19" s="1450" t="str">
        <f t="shared" si="1"/>
        <v/>
      </c>
      <c r="G19" s="1450" t="str">
        <f t="shared" si="1"/>
        <v/>
      </c>
      <c r="H19" s="1450" t="str">
        <f t="shared" si="1"/>
        <v/>
      </c>
      <c r="I19" s="1450" t="str">
        <f t="shared" si="1"/>
        <v/>
      </c>
      <c r="J19" s="1450" t="str">
        <f t="shared" si="1"/>
        <v/>
      </c>
      <c r="K19" s="1450" t="str">
        <f t="shared" si="1"/>
        <v/>
      </c>
      <c r="L19" s="1450" t="str">
        <f t="shared" si="1"/>
        <v/>
      </c>
      <c r="M19" s="1450" t="str">
        <f t="shared" si="1"/>
        <v/>
      </c>
      <c r="N19" s="1450" t="str">
        <f t="shared" ref="N19:X19" si="2">IF(N11="","",IF(N17&lt;&gt;"",N17,1.68*N18))</f>
        <v/>
      </c>
      <c r="O19" s="1450" t="str">
        <f t="shared" si="2"/>
        <v/>
      </c>
      <c r="P19" s="1450" t="str">
        <f t="shared" si="2"/>
        <v/>
      </c>
      <c r="Q19" s="1450" t="str">
        <f t="shared" si="2"/>
        <v/>
      </c>
      <c r="R19" s="1450" t="str">
        <f t="shared" si="2"/>
        <v/>
      </c>
      <c r="S19" s="1450" t="str">
        <f t="shared" si="2"/>
        <v/>
      </c>
      <c r="T19" s="1450" t="str">
        <f t="shared" si="2"/>
        <v/>
      </c>
      <c r="U19" s="1450" t="str">
        <f t="shared" si="2"/>
        <v/>
      </c>
      <c r="V19" s="1450" t="str">
        <f t="shared" si="2"/>
        <v/>
      </c>
      <c r="W19" s="1450" t="str">
        <f t="shared" si="2"/>
        <v/>
      </c>
      <c r="X19" s="1450" t="str">
        <f t="shared" si="2"/>
        <v/>
      </c>
      <c r="Y19" s="147"/>
    </row>
    <row r="20" ht="18" customHeight="true" thickBot="true" x14ac:dyDescent="0.3">
      <c r="B20" s="745"/>
      <c r="C20" s="141"/>
      <c r="D20" s="141"/>
      <c r="E20" s="141"/>
      <c r="F20" s="141"/>
      <c r="G20" s="141"/>
      <c r="H20" s="141"/>
      <c r="I20" s="141"/>
      <c r="J20" s="141"/>
      <c r="K20" s="141"/>
      <c r="L20" s="141"/>
      <c r="M20" s="141"/>
      <c r="N20" s="141"/>
      <c r="O20" s="141"/>
      <c r="P20" s="141"/>
      <c r="Q20" s="141"/>
      <c r="R20" s="141"/>
      <c r="S20" s="141"/>
      <c r="T20" s="141"/>
      <c r="U20" s="141"/>
      <c r="V20" s="141"/>
      <c r="W20" s="141"/>
      <c r="X20" s="141"/>
      <c r="Y20" s="145"/>
    </row>
    <row r="21" ht="42.75" customHeight="true" x14ac:dyDescent="0.25"/>
    <row r="22" ht="42.75" customHeight="true" thickBot="true" x14ac:dyDescent="0.3"/>
    <row r="23" ht="42.75" customHeight="true" thickBot="true" x14ac:dyDescent="0.3">
      <c r="B23" s="668" t="s">
        <v>2339</v>
      </c>
      <c r="C23" s="142"/>
      <c r="D23" s="142"/>
      <c r="E23" s="142"/>
      <c r="F23" s="142"/>
      <c r="G23" s="142"/>
      <c r="H23" s="142"/>
      <c r="I23" s="142"/>
      <c r="J23" s="142"/>
      <c r="K23" s="142"/>
      <c r="L23" s="142"/>
      <c r="M23" s="142"/>
      <c r="N23" s="142"/>
      <c r="O23" s="142"/>
      <c r="P23" s="142"/>
      <c r="Q23" s="142"/>
      <c r="R23" s="142"/>
      <c r="S23" s="142"/>
      <c r="T23" s="142"/>
      <c r="U23" s="142"/>
      <c r="V23" s="142"/>
      <c r="W23" s="142"/>
      <c r="X23" s="142"/>
      <c r="Y23" s="148"/>
    </row>
    <row r="24" ht="24.75" customHeight="true" x14ac:dyDescent="0.4">
      <c r="B24" s="746"/>
      <c r="C24" s="140"/>
      <c r="D24" s="104" t="s">
        <v>85</v>
      </c>
      <c r="E24" s="149">
        <v>1</v>
      </c>
      <c r="F24" s="149">
        <f>E24+1</f>
        <v>2</v>
      </c>
      <c r="G24" s="149">
        <f t="shared" ref="G24:X24" si="3">F24+1</f>
        <v>3</v>
      </c>
      <c r="H24" s="149">
        <f t="shared" si="3"/>
        <v>4</v>
      </c>
      <c r="I24" s="149">
        <f t="shared" si="3"/>
        <v>5</v>
      </c>
      <c r="J24" s="149">
        <f t="shared" si="3"/>
        <v>6</v>
      </c>
      <c r="K24" s="149">
        <f t="shared" si="3"/>
        <v>7</v>
      </c>
      <c r="L24" s="149">
        <f t="shared" si="3"/>
        <v>8</v>
      </c>
      <c r="M24" s="149">
        <f t="shared" si="3"/>
        <v>9</v>
      </c>
      <c r="N24" s="149">
        <f t="shared" si="3"/>
        <v>10</v>
      </c>
      <c r="O24" s="149">
        <f t="shared" si="3"/>
        <v>11</v>
      </c>
      <c r="P24" s="149">
        <f t="shared" si="3"/>
        <v>12</v>
      </c>
      <c r="Q24" s="149">
        <f t="shared" si="3"/>
        <v>13</v>
      </c>
      <c r="R24" s="149">
        <f t="shared" si="3"/>
        <v>14</v>
      </c>
      <c r="S24" s="149">
        <f t="shared" si="3"/>
        <v>15</v>
      </c>
      <c r="T24" s="149">
        <f t="shared" si="3"/>
        <v>16</v>
      </c>
      <c r="U24" s="149">
        <f t="shared" si="3"/>
        <v>17</v>
      </c>
      <c r="V24" s="149">
        <f t="shared" si="3"/>
        <v>18</v>
      </c>
      <c r="W24" s="149">
        <f t="shared" si="3"/>
        <v>19</v>
      </c>
      <c r="X24" s="149">
        <f t="shared" si="3"/>
        <v>20</v>
      </c>
      <c r="Y24" s="147"/>
    </row>
    <row r="25" ht="27" customHeight="true" x14ac:dyDescent="0.25">
      <c r="B25" s="744"/>
      <c r="C25" s="140"/>
      <c r="D25" s="17" t="s">
        <v>1461</v>
      </c>
      <c r="E25" s="1099"/>
      <c r="F25" s="1099"/>
      <c r="G25" s="1099"/>
      <c r="H25" s="1099"/>
      <c r="I25" s="1099"/>
      <c r="J25" s="1099"/>
      <c r="K25" s="1099"/>
      <c r="L25" s="1099"/>
      <c r="M25" s="1099"/>
      <c r="N25" s="1099"/>
      <c r="O25" s="1099"/>
      <c r="P25" s="1099"/>
      <c r="Q25" s="1099"/>
      <c r="R25" s="1099"/>
      <c r="S25" s="1099"/>
      <c r="T25" s="1099"/>
      <c r="U25" s="1099"/>
      <c r="V25" s="1099"/>
      <c r="W25" s="1099"/>
      <c r="X25" s="1099"/>
      <c r="Y25" s="147"/>
    </row>
    <row r="26" ht="18.75" customHeight="true" x14ac:dyDescent="0.25">
      <c r="B26" s="744"/>
      <c r="C26" s="140"/>
      <c r="D26" s="1151" t="s">
        <v>2175</v>
      </c>
      <c r="E26" s="1100" t="s">
        <v>2421</v>
      </c>
      <c r="F26" s="1100" t="s">
        <v>2422</v>
      </c>
      <c r="G26" s="1100" t="s">
        <v>2423</v>
      </c>
      <c r="H26" s="1100" t="s">
        <v>2424</v>
      </c>
      <c r="I26" s="1100" t="s">
        <v>2425</v>
      </c>
      <c r="J26" s="1100" t="s">
        <v>2426</v>
      </c>
      <c r="K26" s="1100" t="s">
        <v>2427</v>
      </c>
      <c r="L26" s="1100" t="s">
        <v>2428</v>
      </c>
      <c r="M26" s="1100" t="s">
        <v>2429</v>
      </c>
      <c r="N26" s="1100" t="s">
        <v>2430</v>
      </c>
      <c r="O26" s="1100" t="s">
        <v>2431</v>
      </c>
      <c r="P26" s="1100" t="s">
        <v>2432</v>
      </c>
      <c r="Q26" s="1100" t="s">
        <v>2433</v>
      </c>
      <c r="R26" s="1100" t="s">
        <v>2434</v>
      </c>
      <c r="S26" s="1100" t="s">
        <v>2435</v>
      </c>
      <c r="T26" s="1100" t="s">
        <v>2436</v>
      </c>
      <c r="U26" s="1100"/>
      <c r="V26" s="1100"/>
      <c r="W26" s="1100"/>
      <c r="X26" s="1100"/>
      <c r="Y26" s="147"/>
    </row>
    <row r="27" x14ac:dyDescent="0.25">
      <c r="B27" s="744"/>
      <c r="C27" s="140"/>
      <c r="D27" s="1159" t="s">
        <v>81</v>
      </c>
      <c r="E27" s="1101"/>
      <c r="F27" s="1101"/>
      <c r="G27" s="1101"/>
      <c r="H27" s="1101"/>
      <c r="I27" s="1101"/>
      <c r="J27" s="1101"/>
      <c r="K27" s="1101"/>
      <c r="L27" s="1101"/>
      <c r="M27" s="1101"/>
      <c r="N27" s="1101"/>
      <c r="O27" s="1101"/>
      <c r="P27" s="1101"/>
      <c r="Q27" s="1101"/>
      <c r="R27" s="1101"/>
      <c r="S27" s="1101"/>
      <c r="T27" s="1101"/>
      <c r="U27" s="1101"/>
      <c r="V27" s="1101"/>
      <c r="W27" s="1101"/>
      <c r="X27" s="1101"/>
      <c r="Y27" s="147"/>
    </row>
    <row r="28" ht="16.5" customHeight="true" x14ac:dyDescent="0.25">
      <c r="B28" s="744"/>
      <c r="C28" s="140"/>
      <c r="D28" s="1152" t="s">
        <v>1763</v>
      </c>
      <c r="E28" s="1101"/>
      <c r="F28" s="1101"/>
      <c r="G28" s="1101"/>
      <c r="H28" s="1101"/>
      <c r="I28" s="1101"/>
      <c r="J28" s="1101"/>
      <c r="K28" s="1101"/>
      <c r="L28" s="1101"/>
      <c r="M28" s="1101"/>
      <c r="N28" s="1101"/>
      <c r="O28" s="1101"/>
      <c r="P28" s="1101"/>
      <c r="Q28" s="1101"/>
      <c r="R28" s="1101"/>
      <c r="S28" s="1101"/>
      <c r="T28" s="1101"/>
      <c r="U28" s="1101"/>
      <c r="V28" s="1101"/>
      <c r="W28" s="1101"/>
      <c r="X28" s="1101"/>
      <c r="Y28" s="147"/>
    </row>
    <row r="29" x14ac:dyDescent="0.25">
      <c r="B29" s="744"/>
      <c r="C29" s="140"/>
      <c r="D29" s="1159" t="s">
        <v>1845</v>
      </c>
      <c r="E29" s="1102"/>
      <c r="F29" s="1102"/>
      <c r="G29" s="1102"/>
      <c r="H29" s="1102"/>
      <c r="I29" s="1102"/>
      <c r="J29" s="1102"/>
      <c r="K29" s="1102"/>
      <c r="L29" s="1102"/>
      <c r="M29" s="1102"/>
      <c r="N29" s="1102"/>
      <c r="O29" s="1102"/>
      <c r="P29" s="1102"/>
      <c r="Q29" s="1102"/>
      <c r="R29" s="1102"/>
      <c r="S29" s="1102"/>
      <c r="T29" s="1102"/>
      <c r="U29" s="1102"/>
      <c r="V29" s="1102"/>
      <c r="W29" s="1102"/>
      <c r="X29" s="1102"/>
      <c r="Y29" s="147"/>
    </row>
    <row r="30" x14ac:dyDescent="0.25">
      <c r="B30" s="744"/>
      <c r="C30" s="140"/>
      <c r="D30" s="1159" t="s">
        <v>1846</v>
      </c>
      <c r="E30" s="1101">
        <v>0.00081069621800000007</v>
      </c>
      <c r="F30" s="1101">
        <v>0.000170071527</v>
      </c>
      <c r="G30" s="1101">
        <v>0.000815217956</v>
      </c>
      <c r="H30" s="1101">
        <v>0.00017060458700000002</v>
      </c>
      <c r="I30" s="1101">
        <v>0.00017095253000000001</v>
      </c>
      <c r="J30" s="1101">
        <v>-0.00027663051499999999</v>
      </c>
      <c r="K30" s="1101">
        <v>-0.026653904400000001</v>
      </c>
      <c r="L30" s="1101">
        <v>0.0042584990399999996</v>
      </c>
      <c r="M30" s="1101">
        <v>-0.000231562913</v>
      </c>
      <c r="N30" s="1101">
        <v>-0.00026674115000000002</v>
      </c>
      <c r="O30" s="1101">
        <v>0.00077422930399999995</v>
      </c>
      <c r="P30" s="1101">
        <v>2.8399132499999999e-05</v>
      </c>
      <c r="Q30" s="1101">
        <v>0.0042671886000000001</v>
      </c>
      <c r="R30" s="1101">
        <v>0.00079993402599999998</v>
      </c>
      <c r="S30" s="1101">
        <v>0.00071174900699999999</v>
      </c>
      <c r="T30" s="1101">
        <v>-0.0030553859799999999</v>
      </c>
      <c r="U30" s="1101"/>
      <c r="V30" s="1101"/>
      <c r="W30" s="1101"/>
      <c r="X30" s="1101"/>
      <c r="Y30" s="147"/>
    </row>
    <row r="31" ht="18" customHeight="true" x14ac:dyDescent="0.25">
      <c r="B31" s="744"/>
      <c r="C31" s="140"/>
      <c r="D31" s="13" t="s">
        <v>1067</v>
      </c>
      <c r="E31" s="1101" t="s">
        <v>2437</v>
      </c>
      <c r="F31" s="1101" t="s">
        <v>2438</v>
      </c>
      <c r="G31" s="1101" t="s">
        <v>2439</v>
      </c>
      <c r="H31" s="1101" t="s">
        <v>2440</v>
      </c>
      <c r="I31" s="1101" t="s">
        <v>2441</v>
      </c>
      <c r="J31" s="1101" t="s">
        <v>2442</v>
      </c>
      <c r="K31" s="1101" t="s">
        <v>2443</v>
      </c>
      <c r="L31" s="1101" t="s">
        <v>2444</v>
      </c>
      <c r="M31" s="1101" t="s">
        <v>2445</v>
      </c>
      <c r="N31" s="1101" t="s">
        <v>2446</v>
      </c>
      <c r="O31" s="1101" t="s">
        <v>2447</v>
      </c>
      <c r="P31" s="1101" t="s">
        <v>2448</v>
      </c>
      <c r="Q31" s="1101" t="s">
        <v>2449</v>
      </c>
      <c r="R31" s="1101" t="s">
        <v>2450</v>
      </c>
      <c r="S31" s="1101" t="s">
        <v>2451</v>
      </c>
      <c r="T31" s="1101" t="s">
        <v>2452</v>
      </c>
      <c r="U31" s="1101"/>
      <c r="V31" s="1101"/>
      <c r="W31" s="1101"/>
      <c r="X31" s="1101"/>
      <c r="Y31" s="147"/>
    </row>
    <row r="32" ht="18" customHeight="true" x14ac:dyDescent="0.25">
      <c r="B32" s="744"/>
      <c r="C32" s="140"/>
      <c r="D32" s="14" t="s">
        <v>1465</v>
      </c>
      <c r="E32" s="1101" t="s">
        <v>2453</v>
      </c>
      <c r="F32" s="1101" t="s">
        <v>2454</v>
      </c>
      <c r="G32" s="1101" t="s">
        <v>2455</v>
      </c>
      <c r="H32" s="1101" t="s">
        <v>2456</v>
      </c>
      <c r="I32" s="1101" t="s">
        <v>2457</v>
      </c>
      <c r="J32" s="1101" t="s">
        <v>2458</v>
      </c>
      <c r="K32" s="1101" t="s">
        <v>2459</v>
      </c>
      <c r="L32" s="1101" t="s">
        <v>2460</v>
      </c>
      <c r="M32" s="1101" t="s">
        <v>2461</v>
      </c>
      <c r="N32" s="1101" t="s">
        <v>2462</v>
      </c>
      <c r="O32" s="1101" t="s">
        <v>2463</v>
      </c>
      <c r="P32" s="1101" t="s">
        <v>2464</v>
      </c>
      <c r="Q32" s="1101" t="s">
        <v>2465</v>
      </c>
      <c r="R32" s="1101" t="s">
        <v>2466</v>
      </c>
      <c r="S32" s="1101" t="s">
        <v>2467</v>
      </c>
      <c r="T32" s="1101" t="s">
        <v>2468</v>
      </c>
      <c r="U32" s="1101"/>
      <c r="V32" s="1101"/>
      <c r="W32" s="1101"/>
      <c r="X32" s="1101"/>
      <c r="Y32" s="147"/>
    </row>
    <row r="33" ht="21" customHeight="true" x14ac:dyDescent="0.25">
      <c r="B33" s="744"/>
      <c r="C33" s="140"/>
      <c r="D33" s="15" t="s">
        <v>1464</v>
      </c>
      <c r="E33" s="1101"/>
      <c r="F33" s="1101"/>
      <c r="G33" s="1101"/>
      <c r="H33" s="1101"/>
      <c r="I33" s="1101"/>
      <c r="J33" s="1101"/>
      <c r="K33" s="1101"/>
      <c r="L33" s="1101"/>
      <c r="M33" s="1101"/>
      <c r="N33" s="1101"/>
      <c r="O33" s="1101"/>
      <c r="P33" s="1101"/>
      <c r="Q33" s="1101"/>
      <c r="R33" s="1101"/>
      <c r="S33" s="1101"/>
      <c r="T33" s="1101"/>
      <c r="U33" s="1101"/>
      <c r="V33" s="1101"/>
      <c r="W33" s="1101"/>
      <c r="X33" s="1101"/>
      <c r="Y33" s="147"/>
    </row>
    <row r="34" ht="18" customHeight="true" thickBot="true" x14ac:dyDescent="0.3">
      <c r="B34" s="744"/>
      <c r="C34" s="140"/>
      <c r="D34" s="16" t="s">
        <v>1465</v>
      </c>
      <c r="E34" s="1451" t="str">
        <f t="shared" ref="E34:M34" si="4">IF(E26="","",IF(E32&lt;&gt;"",E32,1.68*E33))</f>
        <v/>
      </c>
      <c r="F34" s="1451" t="str">
        <f t="shared" si="4"/>
        <v/>
      </c>
      <c r="G34" s="1451" t="str">
        <f t="shared" si="4"/>
        <v/>
      </c>
      <c r="H34" s="1451" t="str">
        <f t="shared" si="4"/>
        <v/>
      </c>
      <c r="I34" s="1451" t="str">
        <f t="shared" si="4"/>
        <v/>
      </c>
      <c r="J34" s="1451" t="str">
        <f t="shared" si="4"/>
        <v/>
      </c>
      <c r="K34" s="1451" t="str">
        <f t="shared" si="4"/>
        <v/>
      </c>
      <c r="L34" s="1451" t="str">
        <f t="shared" si="4"/>
        <v/>
      </c>
      <c r="M34" s="1451" t="str">
        <f t="shared" si="4"/>
        <v/>
      </c>
      <c r="N34" s="1451" t="str">
        <f t="shared" ref="N34:X34" si="5">IF(N26="","",IF(N32&lt;&gt;"",N32,1.68*N33))</f>
        <v/>
      </c>
      <c r="O34" s="1451" t="str">
        <f t="shared" si="5"/>
        <v/>
      </c>
      <c r="P34" s="1451" t="str">
        <f t="shared" si="5"/>
        <v/>
      </c>
      <c r="Q34" s="1451" t="str">
        <f t="shared" si="5"/>
        <v/>
      </c>
      <c r="R34" s="1451" t="str">
        <f t="shared" si="5"/>
        <v/>
      </c>
      <c r="S34" s="1451" t="str">
        <f t="shared" si="5"/>
        <v/>
      </c>
      <c r="T34" s="1451" t="str">
        <f t="shared" si="5"/>
        <v/>
      </c>
      <c r="U34" s="1451" t="str">
        <f t="shared" si="5"/>
        <v/>
      </c>
      <c r="V34" s="1451" t="str">
        <f t="shared" si="5"/>
        <v/>
      </c>
      <c r="W34" s="1451" t="str">
        <f t="shared" si="5"/>
        <v/>
      </c>
      <c r="X34" s="1451" t="str">
        <f t="shared" si="5"/>
        <v/>
      </c>
      <c r="Y34" s="147"/>
    </row>
    <row r="35" ht="18" customHeight="true" thickBot="true" x14ac:dyDescent="0.3">
      <c r="B35" s="745"/>
      <c r="C35" s="141"/>
      <c r="D35" s="151"/>
      <c r="E35" s="151"/>
      <c r="F35" s="151"/>
      <c r="G35" s="151"/>
      <c r="H35" s="151"/>
      <c r="I35" s="151"/>
      <c r="J35" s="151"/>
      <c r="K35" s="151"/>
      <c r="L35" s="151"/>
      <c r="M35" s="151"/>
      <c r="N35" s="151"/>
      <c r="O35" s="141"/>
      <c r="P35" s="141"/>
      <c r="Q35" s="141"/>
      <c r="R35" s="141"/>
      <c r="S35" s="141"/>
      <c r="T35" s="141"/>
      <c r="U35" s="141"/>
      <c r="V35" s="141"/>
      <c r="W35" s="141"/>
      <c r="X35" s="141"/>
      <c r="Y35" s="145"/>
    </row>
    <row r="36" ht="40.5" customHeight="true" x14ac:dyDescent="0.25">
      <c r="D36" s="62"/>
      <c r="E36" s="62"/>
      <c r="F36" s="62"/>
      <c r="G36" s="62"/>
      <c r="H36" s="62"/>
      <c r="I36" s="62"/>
      <c r="J36" s="62"/>
      <c r="K36" s="62"/>
      <c r="L36" s="62"/>
      <c r="M36" s="62"/>
      <c r="N36" s="62"/>
    </row>
    <row r="37" ht="40.5" customHeight="true" thickBot="true" x14ac:dyDescent="0.3">
      <c r="D37" s="62"/>
      <c r="E37" s="62"/>
      <c r="F37" s="62"/>
      <c r="G37" s="62"/>
      <c r="H37" s="62"/>
      <c r="I37" s="62"/>
      <c r="J37" s="62"/>
      <c r="K37" s="62"/>
      <c r="L37" s="62"/>
      <c r="M37" s="62"/>
      <c r="N37" s="62"/>
    </row>
    <row r="38" ht="40.5" customHeight="true" thickBot="true" x14ac:dyDescent="0.3">
      <c r="B38" s="668" t="s">
        <v>2341</v>
      </c>
      <c r="C38" s="142"/>
      <c r="D38" s="142"/>
      <c r="E38" s="142"/>
      <c r="F38" s="142"/>
      <c r="G38" s="142"/>
      <c r="H38" s="142"/>
      <c r="I38" s="142"/>
      <c r="J38" s="142"/>
      <c r="K38" s="142"/>
      <c r="L38" s="142"/>
      <c r="M38" s="142"/>
      <c r="N38" s="142"/>
      <c r="O38" s="142"/>
      <c r="P38" s="142"/>
      <c r="Q38" s="142"/>
      <c r="R38" s="142"/>
      <c r="S38" s="142"/>
      <c r="T38" s="142"/>
      <c r="U38" s="142"/>
      <c r="V38" s="142"/>
      <c r="W38" s="142"/>
      <c r="X38" s="142"/>
      <c r="Y38" s="148"/>
    </row>
    <row r="39" ht="28.5" customHeight="true" x14ac:dyDescent="0.4">
      <c r="B39" s="746"/>
      <c r="C39" s="140"/>
      <c r="D39" s="105" t="s">
        <v>2176</v>
      </c>
      <c r="E39" s="149">
        <v>1</v>
      </c>
      <c r="F39" s="149">
        <f>E39+1</f>
        <v>2</v>
      </c>
      <c r="G39" s="149">
        <f t="shared" ref="G39:X39" si="6">F39+1</f>
        <v>3</v>
      </c>
      <c r="H39" s="149">
        <f t="shared" si="6"/>
        <v>4</v>
      </c>
      <c r="I39" s="149">
        <f t="shared" si="6"/>
        <v>5</v>
      </c>
      <c r="J39" s="149">
        <f t="shared" si="6"/>
        <v>6</v>
      </c>
      <c r="K39" s="149">
        <f t="shared" si="6"/>
        <v>7</v>
      </c>
      <c r="L39" s="149">
        <f t="shared" si="6"/>
        <v>8</v>
      </c>
      <c r="M39" s="149">
        <f t="shared" si="6"/>
        <v>9</v>
      </c>
      <c r="N39" s="149">
        <f t="shared" si="6"/>
        <v>10</v>
      </c>
      <c r="O39" s="149">
        <f t="shared" si="6"/>
        <v>11</v>
      </c>
      <c r="P39" s="149">
        <f t="shared" si="6"/>
        <v>12</v>
      </c>
      <c r="Q39" s="149">
        <f t="shared" si="6"/>
        <v>13</v>
      </c>
      <c r="R39" s="149">
        <f t="shared" si="6"/>
        <v>14</v>
      </c>
      <c r="S39" s="149">
        <f t="shared" si="6"/>
        <v>15</v>
      </c>
      <c r="T39" s="149">
        <f t="shared" si="6"/>
        <v>16</v>
      </c>
      <c r="U39" s="149">
        <f t="shared" si="6"/>
        <v>17</v>
      </c>
      <c r="V39" s="149">
        <f t="shared" si="6"/>
        <v>18</v>
      </c>
      <c r="W39" s="149">
        <f t="shared" si="6"/>
        <v>19</v>
      </c>
      <c r="X39" s="149">
        <f t="shared" si="6"/>
        <v>20</v>
      </c>
      <c r="Y39" s="147"/>
    </row>
    <row r="40" ht="28.5" customHeight="true" x14ac:dyDescent="0.25">
      <c r="B40" s="744"/>
      <c r="C40" s="140"/>
      <c r="D40" s="116" t="s">
        <v>1461</v>
      </c>
      <c r="E40" s="1101"/>
      <c r="F40" s="1101"/>
      <c r="G40" s="1101"/>
      <c r="H40" s="1101"/>
      <c r="I40" s="1101"/>
      <c r="J40" s="1101"/>
      <c r="K40" s="1101"/>
      <c r="L40" s="1101"/>
      <c r="M40" s="1101"/>
      <c r="N40" s="1101"/>
      <c r="O40" s="1101"/>
      <c r="P40" s="1101"/>
      <c r="Q40" s="1101"/>
      <c r="R40" s="1101"/>
      <c r="S40" s="1101"/>
      <c r="T40" s="1101"/>
      <c r="U40" s="1101"/>
      <c r="V40" s="1101"/>
      <c r="W40" s="1101"/>
      <c r="X40" s="1101"/>
      <c r="Y40" s="147"/>
    </row>
    <row r="41" ht="18" customHeight="true" x14ac:dyDescent="0.25">
      <c r="B41" s="744"/>
      <c r="C41" s="140"/>
      <c r="D41" s="107" t="s">
        <v>2175</v>
      </c>
      <c r="E41" s="1103"/>
      <c r="F41" s="1103"/>
      <c r="G41" s="1103"/>
      <c r="H41" s="1103"/>
      <c r="I41" s="1103"/>
      <c r="J41" s="1103"/>
      <c r="K41" s="1103"/>
      <c r="L41" s="1103"/>
      <c r="M41" s="1103"/>
      <c r="N41" s="1103"/>
      <c r="O41" s="1103"/>
      <c r="P41" s="1103"/>
      <c r="Q41" s="1103"/>
      <c r="R41" s="1103"/>
      <c r="S41" s="1103"/>
      <c r="T41" s="1103"/>
      <c r="U41" s="1103"/>
      <c r="V41" s="1103"/>
      <c r="W41" s="1103"/>
      <c r="X41" s="1103"/>
      <c r="Y41" s="147"/>
    </row>
    <row r="42" ht="15.75" customHeight="true" x14ac:dyDescent="0.25">
      <c r="B42" s="744"/>
      <c r="C42" s="140"/>
      <c r="D42" s="109" t="s">
        <v>81</v>
      </c>
      <c r="E42" s="1102"/>
      <c r="F42" s="1102"/>
      <c r="G42" s="1102"/>
      <c r="H42" s="1102"/>
      <c r="I42" s="1102"/>
      <c r="J42" s="1102"/>
      <c r="K42" s="1102"/>
      <c r="L42" s="1102"/>
      <c r="M42" s="1102"/>
      <c r="N42" s="1102"/>
      <c r="O42" s="1102"/>
      <c r="P42" s="1102"/>
      <c r="Q42" s="1102"/>
      <c r="R42" s="1102"/>
      <c r="S42" s="1102"/>
      <c r="T42" s="1102"/>
      <c r="U42" s="1102"/>
      <c r="V42" s="1102"/>
      <c r="W42" s="1102"/>
      <c r="X42" s="1102"/>
      <c r="Y42" s="147"/>
    </row>
    <row r="43" ht="18" customHeight="true" x14ac:dyDescent="0.25">
      <c r="B43" s="744"/>
      <c r="C43" s="140"/>
      <c r="D43" s="108" t="s">
        <v>1763</v>
      </c>
      <c r="E43" s="1101"/>
      <c r="F43" s="1101"/>
      <c r="G43" s="1101"/>
      <c r="H43" s="1101"/>
      <c r="I43" s="1101"/>
      <c r="J43" s="1101"/>
      <c r="K43" s="1101"/>
      <c r="L43" s="1101"/>
      <c r="M43" s="1101"/>
      <c r="N43" s="1101"/>
      <c r="O43" s="1101"/>
      <c r="P43" s="1101"/>
      <c r="Q43" s="1101"/>
      <c r="R43" s="1101"/>
      <c r="S43" s="1101"/>
      <c r="T43" s="1101"/>
      <c r="U43" s="1101"/>
      <c r="V43" s="1101"/>
      <c r="W43" s="1101"/>
      <c r="X43" s="1101"/>
      <c r="Y43" s="147"/>
    </row>
    <row r="44" ht="18" customHeight="true" x14ac:dyDescent="0.25">
      <c r="B44" s="744"/>
      <c r="C44" s="140"/>
      <c r="D44" s="109" t="s">
        <v>2177</v>
      </c>
      <c r="E44" s="1102"/>
      <c r="F44" s="1102"/>
      <c r="G44" s="1102"/>
      <c r="H44" s="1102"/>
      <c r="I44" s="1102"/>
      <c r="J44" s="1102"/>
      <c r="K44" s="1102"/>
      <c r="L44" s="1102"/>
      <c r="M44" s="1102"/>
      <c r="N44" s="1102"/>
      <c r="O44" s="1102"/>
      <c r="P44" s="1102"/>
      <c r="Q44" s="1102"/>
      <c r="R44" s="1102"/>
      <c r="S44" s="1102"/>
      <c r="T44" s="1102"/>
      <c r="U44" s="1102"/>
      <c r="V44" s="1102"/>
      <c r="W44" s="1102"/>
      <c r="X44" s="1102"/>
      <c r="Y44" s="147"/>
    </row>
    <row r="45" ht="22.5" customHeight="true" x14ac:dyDescent="0.25">
      <c r="B45" s="744"/>
      <c r="C45" s="140"/>
      <c r="D45" s="109" t="s">
        <v>2178</v>
      </c>
      <c r="E45" s="1102"/>
      <c r="F45" s="1102"/>
      <c r="G45" s="1102"/>
      <c r="H45" s="1102"/>
      <c r="I45" s="1102"/>
      <c r="J45" s="1102"/>
      <c r="K45" s="1102"/>
      <c r="L45" s="1102"/>
      <c r="M45" s="1102"/>
      <c r="N45" s="1102"/>
      <c r="O45" s="1102"/>
      <c r="P45" s="1102"/>
      <c r="Q45" s="1102"/>
      <c r="R45" s="1102"/>
      <c r="S45" s="1102"/>
      <c r="T45" s="1102"/>
      <c r="U45" s="1102"/>
      <c r="V45" s="1102"/>
      <c r="W45" s="1102"/>
      <c r="X45" s="1102"/>
      <c r="Y45" s="147"/>
    </row>
    <row r="46" ht="22.5" customHeight="true" x14ac:dyDescent="0.25">
      <c r="B46" s="744"/>
      <c r="C46" s="140"/>
      <c r="D46" s="109" t="s">
        <v>1846</v>
      </c>
      <c r="E46" s="1102"/>
      <c r="F46" s="1102"/>
      <c r="G46" s="1102"/>
      <c r="H46" s="1102"/>
      <c r="I46" s="1102"/>
      <c r="J46" s="1102"/>
      <c r="K46" s="1102"/>
      <c r="L46" s="1102"/>
      <c r="M46" s="1102"/>
      <c r="N46" s="1102"/>
      <c r="O46" s="1102"/>
      <c r="P46" s="1102"/>
      <c r="Q46" s="1102"/>
      <c r="R46" s="1102"/>
      <c r="S46" s="1102"/>
      <c r="T46" s="1102"/>
      <c r="U46" s="1102"/>
      <c r="V46" s="1102"/>
      <c r="W46" s="1102"/>
      <c r="X46" s="1102"/>
      <c r="Y46" s="147"/>
    </row>
    <row r="47" ht="22.5" customHeight="true" x14ac:dyDescent="0.25">
      <c r="B47" s="744"/>
      <c r="C47" s="140"/>
      <c r="D47" s="109" t="s">
        <v>1068</v>
      </c>
      <c r="E47" s="1102"/>
      <c r="F47" s="1102"/>
      <c r="G47" s="1102"/>
      <c r="H47" s="1102"/>
      <c r="I47" s="1102"/>
      <c r="J47" s="1102"/>
      <c r="K47" s="1102"/>
      <c r="L47" s="1102"/>
      <c r="M47" s="1102"/>
      <c r="N47" s="1102"/>
      <c r="O47" s="1102"/>
      <c r="P47" s="1102"/>
      <c r="Q47" s="1102"/>
      <c r="R47" s="1102"/>
      <c r="S47" s="1102"/>
      <c r="T47" s="1102"/>
      <c r="U47" s="1102"/>
      <c r="V47" s="1102"/>
      <c r="W47" s="1102"/>
      <c r="X47" s="1102"/>
      <c r="Y47" s="147"/>
    </row>
    <row r="48" ht="18.75" customHeight="true" x14ac:dyDescent="0.25">
      <c r="B48" s="744"/>
      <c r="C48" s="140"/>
      <c r="D48" s="112" t="s">
        <v>1465</v>
      </c>
      <c r="E48" s="1102"/>
      <c r="F48" s="1102"/>
      <c r="G48" s="1102"/>
      <c r="H48" s="1102"/>
      <c r="I48" s="1102"/>
      <c r="J48" s="1102"/>
      <c r="K48" s="1102"/>
      <c r="L48" s="1102"/>
      <c r="M48" s="1102"/>
      <c r="N48" s="1102"/>
      <c r="O48" s="1102"/>
      <c r="P48" s="1102"/>
      <c r="Q48" s="1102"/>
      <c r="R48" s="1102"/>
      <c r="S48" s="1102"/>
      <c r="T48" s="1102"/>
      <c r="U48" s="1102"/>
      <c r="V48" s="1102"/>
      <c r="W48" s="1102"/>
      <c r="X48" s="1102"/>
      <c r="Y48" s="147"/>
    </row>
    <row r="49" ht="18.75" customHeight="true" x14ac:dyDescent="0.25">
      <c r="B49" s="744"/>
      <c r="C49" s="140"/>
      <c r="D49" s="113" t="s">
        <v>1464</v>
      </c>
      <c r="E49" s="1101"/>
      <c r="F49" s="1101"/>
      <c r="G49" s="1101"/>
      <c r="H49" s="1101"/>
      <c r="I49" s="1101"/>
      <c r="J49" s="1101"/>
      <c r="K49" s="1101"/>
      <c r="L49" s="1101"/>
      <c r="M49" s="1101"/>
      <c r="N49" s="1101"/>
      <c r="O49" s="1101"/>
      <c r="P49" s="1101"/>
      <c r="Q49" s="1101"/>
      <c r="R49" s="1101"/>
      <c r="S49" s="1101"/>
      <c r="T49" s="1101"/>
      <c r="U49" s="1101"/>
      <c r="V49" s="1101"/>
      <c r="W49" s="1101"/>
      <c r="X49" s="1101"/>
      <c r="Y49" s="147"/>
    </row>
    <row r="50" ht="21" customHeight="true" thickBot="true" x14ac:dyDescent="0.3">
      <c r="B50" s="744"/>
      <c r="C50" s="140"/>
      <c r="D50" s="114" t="s">
        <v>1465</v>
      </c>
      <c r="E50" s="1451" t="str">
        <f>IF(E41="","",IF(E48&lt;&gt;"",E48,1.68*E49))</f>
        <v/>
      </c>
      <c r="F50" s="1451" t="str">
        <f t="shared" ref="F50:M50" si="7">IF(F41="","",IF(F48&lt;&gt;"",F48,1.68*F49))</f>
        <v/>
      </c>
      <c r="G50" s="1451" t="str">
        <f t="shared" si="7"/>
        <v/>
      </c>
      <c r="H50" s="1451" t="str">
        <f t="shared" si="7"/>
        <v/>
      </c>
      <c r="I50" s="1451" t="str">
        <f t="shared" si="7"/>
        <v/>
      </c>
      <c r="J50" s="1451" t="str">
        <f t="shared" si="7"/>
        <v/>
      </c>
      <c r="K50" s="1451" t="str">
        <f t="shared" si="7"/>
        <v/>
      </c>
      <c r="L50" s="1451" t="str">
        <f t="shared" si="7"/>
        <v/>
      </c>
      <c r="M50" s="1451" t="str">
        <f t="shared" si="7"/>
        <v/>
      </c>
      <c r="N50" s="1451" t="str">
        <f t="shared" ref="N50:X50" si="8">IF(N41="","",IF(N48&lt;&gt;"",N48,1.68*N49))</f>
        <v/>
      </c>
      <c r="O50" s="1451" t="str">
        <f t="shared" si="8"/>
        <v/>
      </c>
      <c r="P50" s="1451" t="str">
        <f t="shared" si="8"/>
        <v/>
      </c>
      <c r="Q50" s="1451" t="str">
        <f t="shared" si="8"/>
        <v/>
      </c>
      <c r="R50" s="1451" t="str">
        <f t="shared" si="8"/>
        <v/>
      </c>
      <c r="S50" s="1451" t="str">
        <f t="shared" si="8"/>
        <v/>
      </c>
      <c r="T50" s="1451" t="str">
        <f t="shared" si="8"/>
        <v/>
      </c>
      <c r="U50" s="1451" t="str">
        <f t="shared" si="8"/>
        <v/>
      </c>
      <c r="V50" s="1451" t="str">
        <f t="shared" si="8"/>
        <v/>
      </c>
      <c r="W50" s="1451" t="str">
        <f t="shared" si="8"/>
        <v/>
      </c>
      <c r="X50" s="1451" t="str">
        <f t="shared" si="8"/>
        <v/>
      </c>
      <c r="Y50" s="150"/>
      <c r="Z50" s="132"/>
      <c r="AA50" s="132"/>
      <c r="AB50" s="747"/>
    </row>
    <row r="51" ht="18.75" customHeight="true" thickBot="true" x14ac:dyDescent="0.3">
      <c r="B51" s="745"/>
      <c r="C51" s="141"/>
      <c r="D51" s="151"/>
      <c r="E51" s="151"/>
      <c r="F51" s="151"/>
      <c r="G51" s="151"/>
      <c r="H51" s="141"/>
      <c r="I51" s="141"/>
      <c r="J51" s="141"/>
      <c r="K51" s="141"/>
      <c r="L51" s="141"/>
      <c r="M51" s="141"/>
      <c r="N51" s="141"/>
      <c r="O51" s="141"/>
      <c r="P51" s="141"/>
      <c r="Q51" s="141"/>
      <c r="R51" s="141"/>
      <c r="S51" s="141"/>
      <c r="T51" s="141"/>
      <c r="U51" s="141"/>
      <c r="V51" s="141"/>
      <c r="W51" s="152"/>
      <c r="X51" s="153"/>
      <c r="Y51" s="154"/>
      <c r="Z51" s="748"/>
      <c r="AA51" s="749"/>
      <c r="AB51" s="750"/>
    </row>
    <row r="52" ht="32.25" customHeight="true" x14ac:dyDescent="0.25">
      <c r="D52" s="62"/>
      <c r="E52" s="62"/>
      <c r="F52" s="62"/>
      <c r="G52" s="62"/>
      <c r="O52"/>
      <c r="W52" s="133"/>
      <c r="X52" s="134"/>
      <c r="Y52" s="132"/>
      <c r="Z52" s="132"/>
      <c r="AA52" s="749"/>
      <c r="AB52" s="747"/>
    </row>
    <row r="53" ht="32.25" customHeight="true" thickBot="true" x14ac:dyDescent="0.3">
      <c r="D53" s="62"/>
      <c r="E53" s="62"/>
      <c r="F53" s="62"/>
      <c r="G53" s="62"/>
      <c r="O53"/>
      <c r="W53" s="132"/>
      <c r="X53" s="134"/>
      <c r="Y53" s="132"/>
      <c r="Z53" s="132"/>
      <c r="AA53" s="749"/>
      <c r="AB53" s="747"/>
    </row>
    <row r="54" ht="32.25" customHeight="true" thickBot="true" x14ac:dyDescent="0.3">
      <c r="B54" s="668" t="s">
        <v>2342</v>
      </c>
      <c r="C54" s="142"/>
      <c r="D54" s="138"/>
      <c r="E54" s="142"/>
      <c r="F54" s="142"/>
      <c r="G54" s="142"/>
      <c r="H54" s="142"/>
      <c r="I54" s="142"/>
      <c r="J54" s="142"/>
      <c r="K54" s="142"/>
      <c r="L54" s="142"/>
      <c r="M54" s="142"/>
      <c r="N54" s="142"/>
      <c r="O54" s="155"/>
      <c r="P54" s="142"/>
      <c r="Q54" s="142"/>
      <c r="R54" s="142"/>
      <c r="S54" s="142"/>
      <c r="T54" s="142"/>
      <c r="U54" s="142"/>
      <c r="V54" s="142"/>
      <c r="W54" s="156"/>
      <c r="X54" s="156"/>
      <c r="Y54" s="157"/>
      <c r="Z54" s="132"/>
      <c r="AA54" s="749"/>
      <c r="AB54" s="747"/>
    </row>
    <row r="55" ht="28.5" customHeight="true" x14ac:dyDescent="0.4">
      <c r="B55" s="746"/>
      <c r="C55" s="140"/>
      <c r="D55" s="104" t="s">
        <v>84</v>
      </c>
      <c r="E55" s="149">
        <v>1</v>
      </c>
      <c r="F55" s="149">
        <f>E55+1</f>
        <v>2</v>
      </c>
      <c r="G55" s="149">
        <f t="shared" ref="G55:X55" si="9">F55+1</f>
        <v>3</v>
      </c>
      <c r="H55" s="149">
        <f t="shared" si="9"/>
        <v>4</v>
      </c>
      <c r="I55" s="149">
        <f t="shared" si="9"/>
        <v>5</v>
      </c>
      <c r="J55" s="149">
        <f t="shared" si="9"/>
        <v>6</v>
      </c>
      <c r="K55" s="149">
        <f t="shared" si="9"/>
        <v>7</v>
      </c>
      <c r="L55" s="149">
        <f t="shared" si="9"/>
        <v>8</v>
      </c>
      <c r="M55" s="149">
        <f t="shared" si="9"/>
        <v>9</v>
      </c>
      <c r="N55" s="149">
        <f t="shared" si="9"/>
        <v>10</v>
      </c>
      <c r="O55" s="149">
        <f t="shared" si="9"/>
        <v>11</v>
      </c>
      <c r="P55" s="149">
        <f t="shared" si="9"/>
        <v>12</v>
      </c>
      <c r="Q55" s="149">
        <f t="shared" si="9"/>
        <v>13</v>
      </c>
      <c r="R55" s="149">
        <f t="shared" si="9"/>
        <v>14</v>
      </c>
      <c r="S55" s="149">
        <f t="shared" si="9"/>
        <v>15</v>
      </c>
      <c r="T55" s="149">
        <f t="shared" si="9"/>
        <v>16</v>
      </c>
      <c r="U55" s="149">
        <f t="shared" si="9"/>
        <v>17</v>
      </c>
      <c r="V55" s="149">
        <f t="shared" si="9"/>
        <v>18</v>
      </c>
      <c r="W55" s="149">
        <f t="shared" si="9"/>
        <v>19</v>
      </c>
      <c r="X55" s="149">
        <f t="shared" si="9"/>
        <v>20</v>
      </c>
      <c r="Y55" s="150"/>
      <c r="Z55" s="132"/>
      <c r="AA55" s="751"/>
      <c r="AB55" s="747"/>
    </row>
    <row r="56" ht="28.5" customHeight="true" x14ac:dyDescent="0.25">
      <c r="B56" s="744"/>
      <c r="C56" s="140"/>
      <c r="D56" s="116" t="s">
        <v>1461</v>
      </c>
      <c r="E56" s="1103" t="s">
        <v>2469</v>
      </c>
      <c r="F56" s="1103" t="s">
        <v>2470</v>
      </c>
      <c r="G56" s="1103" t="s">
        <v>2471</v>
      </c>
      <c r="H56" s="1103" t="s">
        <v>2472</v>
      </c>
      <c r="I56" s="1101" t="s">
        <v>2473</v>
      </c>
      <c r="J56" s="1101" t="s">
        <v>2474</v>
      </c>
      <c r="K56" s="1101" t="s">
        <v>2475</v>
      </c>
      <c r="L56" s="1101" t="s">
        <v>2476</v>
      </c>
      <c r="M56" s="1101" t="s">
        <v>2477</v>
      </c>
      <c r="N56" s="1101" t="s">
        <v>2478</v>
      </c>
      <c r="O56" s="1101" t="s">
        <v>2479</v>
      </c>
      <c r="P56" s="1101" t="s">
        <v>2480</v>
      </c>
      <c r="Q56" s="1101" t="s">
        <v>2481</v>
      </c>
      <c r="R56" s="1101" t="s">
        <v>2482</v>
      </c>
      <c r="S56" s="1101" t="s">
        <v>2483</v>
      </c>
      <c r="T56" s="1101" t="s">
        <v>2484</v>
      </c>
      <c r="U56" s="1101" t="s">
        <v>2485</v>
      </c>
      <c r="V56" s="1101"/>
      <c r="W56" s="1101"/>
      <c r="X56" s="1101"/>
      <c r="Y56" s="150"/>
      <c r="Z56" s="132"/>
      <c r="AA56" s="751"/>
      <c r="AB56" s="747"/>
    </row>
    <row r="57" ht="18.75" customHeight="true" x14ac:dyDescent="0.25">
      <c r="B57" s="744"/>
      <c r="C57" s="140"/>
      <c r="D57" s="107" t="s">
        <v>2175</v>
      </c>
      <c r="E57" s="1102" t="s">
        <v>2486</v>
      </c>
      <c r="F57" s="1102" t="s">
        <v>2487</v>
      </c>
      <c r="G57" s="1102" t="s">
        <v>2488</v>
      </c>
      <c r="H57" s="1103" t="s">
        <v>2489</v>
      </c>
      <c r="I57" s="1103" t="s">
        <v>2490</v>
      </c>
      <c r="J57" s="1573" t="s">
        <v>2491</v>
      </c>
      <c r="K57" s="1103" t="s">
        <v>2492</v>
      </c>
      <c r="L57" s="1103" t="s">
        <v>2493</v>
      </c>
      <c r="M57" s="1103" t="s">
        <v>2494</v>
      </c>
      <c r="N57" s="1103" t="s">
        <v>2495</v>
      </c>
      <c r="O57" s="1103" t="s">
        <v>2496</v>
      </c>
      <c r="P57" s="1103" t="s">
        <v>2497</v>
      </c>
      <c r="Q57" s="1103" t="s">
        <v>2498</v>
      </c>
      <c r="R57" s="1103" t="s">
        <v>2499</v>
      </c>
      <c r="S57" s="1103" t="s">
        <v>2500</v>
      </c>
      <c r="T57" s="1103" t="s">
        <v>2501</v>
      </c>
      <c r="U57" s="1103" t="s">
        <v>2502</v>
      </c>
      <c r="V57" s="1103"/>
      <c r="W57" s="1103"/>
      <c r="X57" s="1103"/>
      <c r="Y57" s="150"/>
      <c r="Z57" s="132"/>
      <c r="AA57" s="752"/>
      <c r="AB57" s="750"/>
    </row>
    <row r="58" ht="18.75" customHeight="true" x14ac:dyDescent="0.25">
      <c r="B58" s="744"/>
      <c r="C58" s="140"/>
      <c r="D58" s="109" t="s">
        <v>81</v>
      </c>
      <c r="E58" s="1101"/>
      <c r="F58" s="1097"/>
      <c r="G58" s="1097"/>
      <c r="H58" s="1097"/>
      <c r="I58" s="1097"/>
      <c r="J58" s="1097"/>
      <c r="K58" s="1097"/>
      <c r="L58" s="1097"/>
      <c r="M58" s="1097"/>
      <c r="N58" s="1097"/>
      <c r="O58" s="1097"/>
      <c r="P58" s="1097"/>
      <c r="Q58" s="1097"/>
      <c r="R58" s="1097"/>
      <c r="S58" s="1097"/>
      <c r="T58" s="1097"/>
      <c r="U58" s="1097"/>
      <c r="V58" s="1097"/>
      <c r="W58" s="1097"/>
      <c r="X58" s="1097"/>
      <c r="Y58" s="150"/>
      <c r="Z58" s="132"/>
      <c r="AA58" s="751"/>
      <c r="AB58" s="747"/>
    </row>
    <row r="59" ht="18.75" customHeight="true" x14ac:dyDescent="0.25">
      <c r="B59" s="744"/>
      <c r="C59" s="140"/>
      <c r="D59" s="108" t="s">
        <v>1763</v>
      </c>
      <c r="E59" s="1102"/>
      <c r="F59" s="1102"/>
      <c r="G59" s="1102"/>
      <c r="H59" s="1102"/>
      <c r="I59" s="1101"/>
      <c r="J59" s="1101"/>
      <c r="K59" s="1101"/>
      <c r="L59" s="1101"/>
      <c r="M59" s="1101"/>
      <c r="N59" s="1101"/>
      <c r="O59" s="1101"/>
      <c r="P59" s="1101"/>
      <c r="Q59" s="1101"/>
      <c r="R59" s="1101"/>
      <c r="S59" s="1101"/>
      <c r="T59" s="1101"/>
      <c r="U59" s="1101"/>
      <c r="V59" s="1101"/>
      <c r="W59" s="1101"/>
      <c r="X59" s="1101"/>
      <c r="Y59" s="150"/>
      <c r="Z59" s="132"/>
      <c r="AA59" s="751"/>
      <c r="AB59" s="753"/>
    </row>
    <row r="60" ht="18.75" customHeight="true" x14ac:dyDescent="0.25">
      <c r="B60" s="744"/>
      <c r="C60" s="140"/>
      <c r="D60" s="109" t="s">
        <v>1845</v>
      </c>
      <c r="E60" s="1102">
        <v>-0.00081070028799999996</v>
      </c>
      <c r="F60" s="1102">
        <v>0.0016002097900000001</v>
      </c>
      <c r="G60" s="1102">
        <v>-0.00017812866099999999</v>
      </c>
      <c r="H60" s="1102">
        <v>6.5292006199999997e-05</v>
      </c>
      <c r="I60" s="1102">
        <v>-0.0042418444600000006</v>
      </c>
      <c r="J60" s="1102">
        <v>-0.00016991721000000001</v>
      </c>
      <c r="K60" s="1102">
        <v>-0.0042649557800000003</v>
      </c>
      <c r="L60" s="1102">
        <v>-0.0031059847400000001</v>
      </c>
      <c r="M60" s="1102">
        <v>-0.0083770077399999993</v>
      </c>
      <c r="N60" s="1102">
        <v>-0.00095595488899999999</v>
      </c>
      <c r="O60" s="1102">
        <v>0.00050528626300000001</v>
      </c>
      <c r="P60" s="1102">
        <v>-0.000231367342</v>
      </c>
      <c r="Q60" s="1102">
        <v>-6.6562916500000005e-07</v>
      </c>
      <c r="R60" s="1102">
        <v>-0.0060004631200000005</v>
      </c>
      <c r="S60" s="1102">
        <v>-0.00079604517499999995</v>
      </c>
      <c r="T60" s="1102">
        <v>-0.00017084445800000001</v>
      </c>
      <c r="U60" s="1102">
        <v>-0.00084812115100000001</v>
      </c>
      <c r="V60" s="1102"/>
      <c r="W60" s="1102"/>
      <c r="X60" s="1102"/>
      <c r="Y60" s="147"/>
    </row>
    <row r="61" ht="18.75" customHeight="true" x14ac:dyDescent="0.25">
      <c r="B61" s="744"/>
      <c r="C61" s="140"/>
      <c r="D61" s="109" t="s">
        <v>1846</v>
      </c>
      <c r="E61" s="1102"/>
      <c r="F61" s="1102"/>
      <c r="G61" s="1102"/>
      <c r="H61" s="1102"/>
      <c r="I61" s="1102"/>
      <c r="J61" s="1102"/>
      <c r="K61" s="1102"/>
      <c r="L61" s="1102"/>
      <c r="M61" s="1102"/>
      <c r="N61" s="1102"/>
      <c r="O61" s="1102"/>
      <c r="P61" s="1102"/>
      <c r="Q61" s="1102"/>
      <c r="R61" s="1102"/>
      <c r="S61" s="1102"/>
      <c r="T61" s="1102"/>
      <c r="U61" s="1102"/>
      <c r="V61" s="1102"/>
      <c r="W61" s="1102"/>
      <c r="X61" s="1102"/>
      <c r="Y61" s="147"/>
    </row>
    <row r="62" ht="18.75" customHeight="true" x14ac:dyDescent="0.25">
      <c r="B62" s="744"/>
      <c r="C62" s="140"/>
      <c r="D62" s="109" t="s">
        <v>1067</v>
      </c>
      <c r="E62" s="1102" t="s">
        <v>2503</v>
      </c>
      <c r="F62" s="1102" t="s">
        <v>2504</v>
      </c>
      <c r="G62" s="1102" t="s">
        <v>2505</v>
      </c>
      <c r="H62" s="1102" t="s">
        <v>2506</v>
      </c>
      <c r="I62" s="1102" t="s">
        <v>2507</v>
      </c>
      <c r="J62" s="1102" t="s">
        <v>2508</v>
      </c>
      <c r="K62" s="1102" t="s">
        <v>2509</v>
      </c>
      <c r="L62" s="1102" t="s">
        <v>2510</v>
      </c>
      <c r="M62" s="1102" t="s">
        <v>2511</v>
      </c>
      <c r="N62" s="1102" t="s">
        <v>2512</v>
      </c>
      <c r="O62" s="1102" t="s">
        <v>2513</v>
      </c>
      <c r="P62" s="1102" t="s">
        <v>2514</v>
      </c>
      <c r="Q62" s="1102" t="s">
        <v>2515</v>
      </c>
      <c r="R62" s="1102" t="s">
        <v>2516</v>
      </c>
      <c r="S62" s="1102" t="s">
        <v>2517</v>
      </c>
      <c r="T62" s="1102" t="s">
        <v>2518</v>
      </c>
      <c r="U62" s="1102" t="s">
        <v>2519</v>
      </c>
      <c r="V62" s="1102"/>
      <c r="W62" s="1102"/>
      <c r="X62" s="1102"/>
      <c r="Y62" s="147"/>
    </row>
    <row r="63" ht="18" customHeight="true" x14ac:dyDescent="0.25">
      <c r="B63" s="744"/>
      <c r="C63" s="140"/>
      <c r="D63" s="112" t="s">
        <v>1465</v>
      </c>
      <c r="E63" s="1101" t="s">
        <v>2520</v>
      </c>
      <c r="F63" s="1101" t="s">
        <v>2521</v>
      </c>
      <c r="G63" s="1101" t="s">
        <v>2522</v>
      </c>
      <c r="H63" s="1101" t="s">
        <v>2523</v>
      </c>
      <c r="I63" s="1102" t="s">
        <v>2524</v>
      </c>
      <c r="J63" s="1102" t="s">
        <v>2525</v>
      </c>
      <c r="K63" s="1102" t="s">
        <v>2526</v>
      </c>
      <c r="L63" s="1102" t="s">
        <v>2527</v>
      </c>
      <c r="M63" s="1102" t="s">
        <v>2528</v>
      </c>
      <c r="N63" s="1102" t="s">
        <v>2529</v>
      </c>
      <c r="O63" s="1102" t="s">
        <v>2530</v>
      </c>
      <c r="P63" s="1102" t="s">
        <v>2531</v>
      </c>
      <c r="Q63" s="1102" t="s">
        <v>2532</v>
      </c>
      <c r="R63" s="1102" t="s">
        <v>2533</v>
      </c>
      <c r="S63" s="1102" t="s">
        <v>2534</v>
      </c>
      <c r="T63" s="1102" t="s">
        <v>2535</v>
      </c>
      <c r="U63" s="1102" t="s">
        <v>2536</v>
      </c>
      <c r="V63" s="1102"/>
      <c r="W63" s="1102"/>
      <c r="X63" s="1102"/>
      <c r="Y63" s="147"/>
    </row>
    <row r="64" ht="18" customHeight="true" x14ac:dyDescent="0.25">
      <c r="B64" s="744"/>
      <c r="C64" s="140"/>
      <c r="D64" s="113" t="s">
        <v>1464</v>
      </c>
      <c r="E64" s="1573"/>
      <c r="F64" s="1573"/>
      <c r="G64" s="1573"/>
      <c r="H64" s="1573"/>
      <c r="I64" s="1101"/>
      <c r="J64" s="1101"/>
      <c r="K64" s="1101"/>
      <c r="L64" s="1101"/>
      <c r="M64" s="1101"/>
      <c r="N64" s="1101"/>
      <c r="O64" s="1101"/>
      <c r="P64" s="1101"/>
      <c r="Q64" s="1101"/>
      <c r="R64" s="1101"/>
      <c r="S64" s="1101"/>
      <c r="T64" s="1101"/>
      <c r="U64" s="1101"/>
      <c r="V64" s="1101"/>
      <c r="W64" s="1101"/>
      <c r="X64" s="1101"/>
      <c r="Y64" s="147"/>
    </row>
    <row r="65" ht="18" customHeight="true" thickBot="true" x14ac:dyDescent="0.3">
      <c r="B65" s="744"/>
      <c r="C65" s="140"/>
      <c r="D65" s="114" t="s">
        <v>1465</v>
      </c>
      <c r="E65" s="1451" t="str">
        <f>IF(E56="","",IF(E62&lt;&gt;"",E62,1.68*E63))</f>
        <v/>
      </c>
      <c r="F65" s="1451" t="str">
        <f>IF(F56="","",IF(F62&lt;&gt;"",F62,1.68*F63))</f>
        <v/>
      </c>
      <c r="G65" s="1451" t="str">
        <f>IF(G56="","",IF(G62&lt;&gt;"",G62,1.68*G63))</f>
        <v/>
      </c>
      <c r="H65" s="1451" t="str">
        <f>IF(H56="","",IF(H62&lt;&gt;"",H62,1.68*H63))</f>
        <v/>
      </c>
      <c r="I65" s="1451" t="str">
        <f>IF(H57="","",IF(I63&lt;&gt;"",I63,1.68*I64))</f>
        <v/>
      </c>
      <c r="J65" s="1451" t="str">
        <f>IF(I57="","",IF(J63&lt;&gt;"",J63,1.68*J64))</f>
        <v/>
      </c>
      <c r="K65" s="1451" t="str">
        <f t="shared" ref="K65:M65" si="10">IF(K57="","",IF(K63&lt;&gt;"",K63,1.68*K64))</f>
        <v/>
      </c>
      <c r="L65" s="1451" t="str">
        <f t="shared" si="10"/>
        <v/>
      </c>
      <c r="M65" s="1451" t="str">
        <f t="shared" si="10"/>
        <v/>
      </c>
      <c r="N65" s="1451" t="str">
        <f t="shared" ref="N65:X65" si="11">IF(N57="","",IF(N63&lt;&gt;"",N63,1.68*N64))</f>
        <v/>
      </c>
      <c r="O65" s="1451" t="str">
        <f t="shared" si="11"/>
        <v/>
      </c>
      <c r="P65" s="1451" t="str">
        <f t="shared" si="11"/>
        <v/>
      </c>
      <c r="Q65" s="1451" t="str">
        <f t="shared" si="11"/>
        <v/>
      </c>
      <c r="R65" s="1451" t="str">
        <f t="shared" si="11"/>
        <v/>
      </c>
      <c r="S65" s="1451" t="str">
        <f t="shared" si="11"/>
        <v/>
      </c>
      <c r="T65" s="1451" t="str">
        <f t="shared" si="11"/>
        <v/>
      </c>
      <c r="U65" s="1451" t="str">
        <f t="shared" si="11"/>
        <v/>
      </c>
      <c r="V65" s="1451" t="str">
        <f t="shared" si="11"/>
        <v/>
      </c>
      <c r="W65" s="1451" t="str">
        <f t="shared" si="11"/>
        <v/>
      </c>
      <c r="X65" s="1451" t="str">
        <f t="shared" si="11"/>
        <v/>
      </c>
      <c r="Y65" s="147"/>
    </row>
    <row r="66" ht="18" customHeight="true" thickBot="true" x14ac:dyDescent="0.3">
      <c r="B66" s="745"/>
      <c r="C66" s="141"/>
      <c r="D66" s="136"/>
      <c r="E66" s="151"/>
      <c r="F66" s="151"/>
      <c r="G66" s="151"/>
      <c r="H66" s="141"/>
      <c r="I66" s="141"/>
      <c r="J66" s="141"/>
      <c r="K66" s="141"/>
      <c r="L66" s="141"/>
      <c r="M66" s="141"/>
      <c r="N66" s="141"/>
      <c r="O66" s="158"/>
      <c r="P66" s="141"/>
      <c r="Q66" s="141"/>
      <c r="R66" s="141"/>
      <c r="S66" s="141"/>
      <c r="T66" s="141"/>
      <c r="U66" s="141"/>
      <c r="V66" s="141"/>
      <c r="W66" s="141"/>
      <c r="X66" s="141"/>
      <c r="Y66" s="145"/>
    </row>
    <row r="67" ht="27.75" customHeight="true" x14ac:dyDescent="0.25">
      <c r="D67" s="62"/>
      <c r="E67" s="62"/>
      <c r="F67" s="62"/>
      <c r="G67" s="62"/>
      <c r="O67"/>
      <c r="W67" s="62"/>
      <c r="X67" s="62"/>
    </row>
    <row r="68" ht="27.75" customHeight="true" thickBot="true" x14ac:dyDescent="0.3">
      <c r="D68" s="62"/>
      <c r="E68" s="62"/>
      <c r="F68" s="62"/>
      <c r="G68" s="62"/>
      <c r="O68"/>
    </row>
    <row r="69" ht="39.75" customHeight="true" thickBot="true" x14ac:dyDescent="0.3">
      <c r="B69" s="668" t="s">
        <v>2343</v>
      </c>
      <c r="C69" s="142"/>
      <c r="D69" s="139"/>
      <c r="E69" s="159"/>
      <c r="F69" s="159"/>
      <c r="G69" s="159"/>
      <c r="H69" s="142"/>
      <c r="I69" s="142"/>
      <c r="J69" s="142"/>
      <c r="K69" s="142"/>
      <c r="L69" s="142"/>
      <c r="M69" s="142"/>
      <c r="N69" s="142"/>
      <c r="O69" s="155"/>
      <c r="P69" s="142"/>
      <c r="Q69" s="142"/>
      <c r="R69" s="142"/>
      <c r="S69" s="142"/>
      <c r="T69" s="142"/>
      <c r="U69" s="142"/>
      <c r="V69" s="142"/>
      <c r="W69" s="142"/>
      <c r="X69" s="142"/>
      <c r="Y69" s="148"/>
    </row>
    <row r="70" ht="31.5" customHeight="true" x14ac:dyDescent="0.4">
      <c r="B70" s="746"/>
      <c r="C70" s="140"/>
      <c r="D70" s="105" t="s">
        <v>83</v>
      </c>
      <c r="E70" s="149">
        <v>1</v>
      </c>
      <c r="F70" s="149">
        <f>E70+1</f>
        <v>2</v>
      </c>
      <c r="G70" s="149">
        <f t="shared" ref="G70:X70" si="12">F70+1</f>
        <v>3</v>
      </c>
      <c r="H70" s="149">
        <f t="shared" si="12"/>
        <v>4</v>
      </c>
      <c r="I70" s="149">
        <f t="shared" si="12"/>
        <v>5</v>
      </c>
      <c r="J70" s="149">
        <f t="shared" si="12"/>
        <v>6</v>
      </c>
      <c r="K70" s="149">
        <f t="shared" si="12"/>
        <v>7</v>
      </c>
      <c r="L70" s="149">
        <f t="shared" si="12"/>
        <v>8</v>
      </c>
      <c r="M70" s="149">
        <f t="shared" si="12"/>
        <v>9</v>
      </c>
      <c r="N70" s="149">
        <f t="shared" si="12"/>
        <v>10</v>
      </c>
      <c r="O70" s="149">
        <f t="shared" si="12"/>
        <v>11</v>
      </c>
      <c r="P70" s="149">
        <f t="shared" si="12"/>
        <v>12</v>
      </c>
      <c r="Q70" s="149">
        <f t="shared" si="12"/>
        <v>13</v>
      </c>
      <c r="R70" s="149">
        <f t="shared" si="12"/>
        <v>14</v>
      </c>
      <c r="S70" s="149">
        <f t="shared" si="12"/>
        <v>15</v>
      </c>
      <c r="T70" s="149">
        <f t="shared" si="12"/>
        <v>16</v>
      </c>
      <c r="U70" s="149">
        <f t="shared" si="12"/>
        <v>17</v>
      </c>
      <c r="V70" s="149">
        <f t="shared" si="12"/>
        <v>18</v>
      </c>
      <c r="W70" s="149">
        <f t="shared" si="12"/>
        <v>19</v>
      </c>
      <c r="X70" s="149">
        <f t="shared" si="12"/>
        <v>20</v>
      </c>
      <c r="Y70" s="147"/>
    </row>
    <row r="71" ht="31.5" customHeight="true" x14ac:dyDescent="0.25">
      <c r="B71" s="744"/>
      <c r="C71" s="140"/>
      <c r="D71" s="12" t="s">
        <v>1461</v>
      </c>
      <c r="E71" s="1104"/>
      <c r="F71" s="1104"/>
      <c r="G71" s="1104"/>
      <c r="H71" s="1104"/>
      <c r="I71" s="1104"/>
      <c r="J71" s="1104"/>
      <c r="K71" s="1104"/>
      <c r="L71" s="1104"/>
      <c r="M71" s="1104"/>
      <c r="N71" s="1104"/>
      <c r="O71" s="1104"/>
      <c r="P71" s="1104"/>
      <c r="Q71" s="1104"/>
      <c r="R71" s="1104"/>
      <c r="S71" s="1104"/>
      <c r="T71" s="1104"/>
      <c r="U71" s="1104"/>
      <c r="V71" s="1104"/>
      <c r="W71" s="1104"/>
      <c r="X71" s="1104"/>
      <c r="Y71" s="147"/>
    </row>
    <row r="72" ht="18" customHeight="true" x14ac:dyDescent="0.25">
      <c r="B72" s="744"/>
      <c r="C72" s="140"/>
      <c r="D72" s="1151" t="s">
        <v>2175</v>
      </c>
      <c r="E72" s="1103"/>
      <c r="F72" s="1103"/>
      <c r="G72" s="1103"/>
      <c r="H72" s="1103"/>
      <c r="I72" s="1103"/>
      <c r="J72" s="1103"/>
      <c r="K72" s="1103"/>
      <c r="L72" s="1103"/>
      <c r="M72" s="1103"/>
      <c r="N72" s="1103"/>
      <c r="O72" s="1103"/>
      <c r="P72" s="1103"/>
      <c r="Q72" s="1103"/>
      <c r="R72" s="1103"/>
      <c r="S72" s="1103"/>
      <c r="T72" s="1103"/>
      <c r="U72" s="1103"/>
      <c r="V72" s="1103"/>
      <c r="W72" s="1103"/>
      <c r="X72" s="1103"/>
      <c r="Y72" s="147"/>
    </row>
    <row r="73" ht="18" customHeight="true" x14ac:dyDescent="0.25">
      <c r="B73" s="744"/>
      <c r="C73" s="140"/>
      <c r="D73" s="1159" t="s">
        <v>81</v>
      </c>
      <c r="E73" s="1102"/>
      <c r="F73" s="1102"/>
      <c r="G73" s="1102"/>
      <c r="H73" s="1102"/>
      <c r="I73" s="1102"/>
      <c r="J73" s="1102"/>
      <c r="K73" s="1102"/>
      <c r="L73" s="1102"/>
      <c r="M73" s="1102"/>
      <c r="N73" s="1102"/>
      <c r="O73" s="1102"/>
      <c r="P73" s="1102"/>
      <c r="Q73" s="1102"/>
      <c r="R73" s="1102"/>
      <c r="S73" s="1102"/>
      <c r="T73" s="1102"/>
      <c r="U73" s="1102"/>
      <c r="V73" s="1102"/>
      <c r="W73" s="1102"/>
      <c r="X73" s="1102"/>
      <c r="Y73" s="147"/>
    </row>
    <row r="74" ht="18" customHeight="true" x14ac:dyDescent="0.25">
      <c r="B74" s="744"/>
      <c r="C74" s="140"/>
      <c r="D74" s="1152" t="s">
        <v>1763</v>
      </c>
      <c r="E74" s="1101"/>
      <c r="F74" s="1101"/>
      <c r="G74" s="1101"/>
      <c r="H74" s="1101"/>
      <c r="I74" s="1101"/>
      <c r="J74" s="1101"/>
      <c r="K74" s="1101"/>
      <c r="L74" s="1101"/>
      <c r="M74" s="1101"/>
      <c r="N74" s="1101"/>
      <c r="O74" s="1101"/>
      <c r="P74" s="1101"/>
      <c r="Q74" s="1101"/>
      <c r="R74" s="1101"/>
      <c r="S74" s="1101"/>
      <c r="T74" s="1101"/>
      <c r="U74" s="1101"/>
      <c r="V74" s="1101"/>
      <c r="W74" s="1101"/>
      <c r="X74" s="1101"/>
      <c r="Y74" s="147"/>
    </row>
    <row r="75" ht="18" customHeight="true" x14ac:dyDescent="0.25">
      <c r="B75" s="744"/>
      <c r="C75" s="140"/>
      <c r="D75" s="1159" t="s">
        <v>1845</v>
      </c>
      <c r="E75" s="1102"/>
      <c r="F75" s="1102"/>
      <c r="G75" s="1102"/>
      <c r="H75" s="1102"/>
      <c r="I75" s="1102"/>
      <c r="J75" s="1102"/>
      <c r="K75" s="1102"/>
      <c r="L75" s="1102"/>
      <c r="M75" s="1102"/>
      <c r="N75" s="1102"/>
      <c r="O75" s="1102"/>
      <c r="P75" s="1102"/>
      <c r="Q75" s="1102"/>
      <c r="R75" s="1102"/>
      <c r="S75" s="1102"/>
      <c r="T75" s="1102"/>
      <c r="U75" s="1102"/>
      <c r="V75" s="1102"/>
      <c r="W75" s="1102"/>
      <c r="X75" s="1102"/>
      <c r="Y75" s="147"/>
    </row>
    <row r="76" ht="18" customHeight="true" x14ac:dyDescent="0.25">
      <c r="B76" s="744"/>
      <c r="C76" s="140"/>
      <c r="D76" s="1159" t="s">
        <v>1846</v>
      </c>
      <c r="E76" s="1102"/>
      <c r="F76" s="1102"/>
      <c r="G76" s="1102"/>
      <c r="H76" s="1102"/>
      <c r="I76" s="1102"/>
      <c r="J76" s="1102"/>
      <c r="K76" s="1102"/>
      <c r="L76" s="1102"/>
      <c r="M76" s="1102"/>
      <c r="N76" s="1102"/>
      <c r="O76" s="1102"/>
      <c r="P76" s="1102"/>
      <c r="Q76" s="1102"/>
      <c r="R76" s="1102"/>
      <c r="S76" s="1102"/>
      <c r="T76" s="1102"/>
      <c r="U76" s="1102"/>
      <c r="V76" s="1102"/>
      <c r="W76" s="1102"/>
      <c r="X76" s="1102"/>
      <c r="Y76" s="147"/>
    </row>
    <row r="77" ht="18" customHeight="true" x14ac:dyDescent="0.25">
      <c r="B77" s="744"/>
      <c r="C77" s="140"/>
      <c r="D77" s="1159" t="s">
        <v>1068</v>
      </c>
      <c r="E77" s="1102"/>
      <c r="F77" s="1102"/>
      <c r="G77" s="1102"/>
      <c r="H77" s="1102"/>
      <c r="I77" s="1102"/>
      <c r="J77" s="1102"/>
      <c r="K77" s="1102"/>
      <c r="L77" s="1102"/>
      <c r="M77" s="1102"/>
      <c r="N77" s="1102"/>
      <c r="O77" s="1102"/>
      <c r="P77" s="1102"/>
      <c r="Q77" s="1102"/>
      <c r="R77" s="1102"/>
      <c r="S77" s="1102"/>
      <c r="T77" s="1102"/>
      <c r="U77" s="1102"/>
      <c r="V77" s="1102"/>
      <c r="W77" s="1102"/>
      <c r="X77" s="1102"/>
      <c r="Y77" s="147"/>
    </row>
    <row r="78" ht="18" customHeight="true" x14ac:dyDescent="0.25">
      <c r="B78" s="744"/>
      <c r="C78" s="140"/>
      <c r="D78" s="14" t="s">
        <v>1465</v>
      </c>
      <c r="E78" s="1102"/>
      <c r="F78" s="1102"/>
      <c r="G78" s="1102"/>
      <c r="H78" s="1102"/>
      <c r="I78" s="1102"/>
      <c r="J78" s="1102"/>
      <c r="K78" s="1102"/>
      <c r="L78" s="1102"/>
      <c r="M78" s="1102"/>
      <c r="N78" s="1102"/>
      <c r="O78" s="1102"/>
      <c r="P78" s="1102"/>
      <c r="Q78" s="1102"/>
      <c r="R78" s="1102"/>
      <c r="S78" s="1102"/>
      <c r="T78" s="1102"/>
      <c r="U78" s="1102"/>
      <c r="V78" s="1102"/>
      <c r="W78" s="1102"/>
      <c r="X78" s="1102"/>
      <c r="Y78" s="147"/>
    </row>
    <row r="79" ht="18" customHeight="true" x14ac:dyDescent="0.25">
      <c r="B79" s="744"/>
      <c r="C79" s="140"/>
      <c r="D79" s="15" t="s">
        <v>1464</v>
      </c>
      <c r="E79" s="1101"/>
      <c r="F79" s="1101"/>
      <c r="G79" s="1101"/>
      <c r="H79" s="1101"/>
      <c r="I79" s="1101"/>
      <c r="J79" s="1101"/>
      <c r="K79" s="1101"/>
      <c r="L79" s="1101"/>
      <c r="M79" s="1101"/>
      <c r="N79" s="1101"/>
      <c r="O79" s="1101"/>
      <c r="P79" s="1101"/>
      <c r="Q79" s="1101"/>
      <c r="R79" s="1101"/>
      <c r="S79" s="1101"/>
      <c r="T79" s="1101"/>
      <c r="U79" s="1101"/>
      <c r="V79" s="1101"/>
      <c r="W79" s="1101"/>
      <c r="X79" s="1101"/>
      <c r="Y79" s="147"/>
    </row>
    <row r="80" ht="18" customHeight="true" thickBot="true" x14ac:dyDescent="0.3">
      <c r="B80" s="744"/>
      <c r="C80" s="140"/>
      <c r="D80" s="16" t="s">
        <v>1465</v>
      </c>
      <c r="E80" s="1451" t="str">
        <f t="shared" ref="E80:M80" si="13">IF(E72="","",IF(E78&lt;&gt;"",E78,1.68*E79))</f>
        <v/>
      </c>
      <c r="F80" s="1451" t="str">
        <f t="shared" si="13"/>
        <v/>
      </c>
      <c r="G80" s="1451" t="str">
        <f t="shared" si="13"/>
        <v/>
      </c>
      <c r="H80" s="1451" t="str">
        <f t="shared" si="13"/>
        <v/>
      </c>
      <c r="I80" s="1451" t="str">
        <f t="shared" si="13"/>
        <v/>
      </c>
      <c r="J80" s="1451" t="str">
        <f t="shared" si="13"/>
        <v/>
      </c>
      <c r="K80" s="1451" t="str">
        <f t="shared" si="13"/>
        <v/>
      </c>
      <c r="L80" s="1451" t="str">
        <f t="shared" si="13"/>
        <v/>
      </c>
      <c r="M80" s="1451" t="str">
        <f t="shared" si="13"/>
        <v/>
      </c>
      <c r="N80" s="1451" t="str">
        <f t="shared" ref="N80:X80" si="14">IF(N72="","",IF(N78&lt;&gt;"",N78,1.68*N79))</f>
        <v/>
      </c>
      <c r="O80" s="1451" t="str">
        <f t="shared" si="14"/>
        <v/>
      </c>
      <c r="P80" s="1451" t="str">
        <f t="shared" si="14"/>
        <v/>
      </c>
      <c r="Q80" s="1451" t="str">
        <f t="shared" si="14"/>
        <v/>
      </c>
      <c r="R80" s="1451" t="str">
        <f t="shared" si="14"/>
        <v/>
      </c>
      <c r="S80" s="1451" t="str">
        <f t="shared" si="14"/>
        <v/>
      </c>
      <c r="T80" s="1451" t="str">
        <f t="shared" si="14"/>
        <v/>
      </c>
      <c r="U80" s="1451" t="str">
        <f t="shared" si="14"/>
        <v/>
      </c>
      <c r="V80" s="1451" t="str">
        <f t="shared" si="14"/>
        <v/>
      </c>
      <c r="W80" s="1451" t="str">
        <f t="shared" si="14"/>
        <v/>
      </c>
      <c r="X80" s="1451" t="str">
        <f t="shared" si="14"/>
        <v/>
      </c>
      <c r="Y80" s="147"/>
    </row>
    <row r="81" ht="18" customHeight="true" thickBot="true" x14ac:dyDescent="0.3">
      <c r="B81" s="745"/>
      <c r="C81" s="141"/>
      <c r="D81" s="136"/>
      <c r="E81" s="151"/>
      <c r="F81" s="151"/>
      <c r="G81" s="151"/>
      <c r="H81" s="141"/>
      <c r="I81" s="141"/>
      <c r="J81" s="141"/>
      <c r="K81" s="141"/>
      <c r="L81" s="141"/>
      <c r="M81" s="141"/>
      <c r="N81" s="141"/>
      <c r="O81" s="141"/>
      <c r="P81" s="141"/>
      <c r="Q81" s="141"/>
      <c r="R81" s="141"/>
      <c r="S81" s="141"/>
      <c r="T81" s="141"/>
      <c r="U81" s="141"/>
      <c r="V81" s="141"/>
      <c r="W81" s="141"/>
      <c r="X81" s="141"/>
      <c r="Y81" s="145"/>
    </row>
    <row r="82" ht="30" customHeight="true" x14ac:dyDescent="0.25">
      <c r="D82" s="62"/>
      <c r="E82" s="62"/>
      <c r="F82" s="62"/>
      <c r="G82" s="62"/>
    </row>
    <row r="83" ht="30" customHeight="true" thickBot="true" x14ac:dyDescent="0.3">
      <c r="D83" s="62"/>
      <c r="E83" s="62"/>
      <c r="F83" s="62"/>
      <c r="G83" s="62"/>
    </row>
    <row r="84" ht="35.25" customHeight="true" thickBot="true" x14ac:dyDescent="0.3">
      <c r="B84" s="668" t="s">
        <v>2344</v>
      </c>
      <c r="C84" s="142"/>
      <c r="D84" s="139"/>
      <c r="E84" s="159"/>
      <c r="F84" s="159"/>
      <c r="G84" s="159"/>
      <c r="H84" s="142"/>
      <c r="I84" s="142"/>
      <c r="J84" s="142"/>
      <c r="K84" s="142"/>
      <c r="L84" s="142"/>
      <c r="M84" s="142"/>
      <c r="N84" s="142"/>
      <c r="O84" s="142"/>
      <c r="P84" s="142"/>
      <c r="Q84" s="142"/>
      <c r="R84" s="142"/>
      <c r="S84" s="142"/>
      <c r="T84" s="142"/>
      <c r="U84" s="142"/>
      <c r="V84" s="142"/>
      <c r="W84" s="142"/>
      <c r="X84" s="142"/>
      <c r="Y84" s="148"/>
    </row>
    <row r="85" ht="30" customHeight="true" x14ac:dyDescent="0.4">
      <c r="B85" s="746"/>
      <c r="C85" s="140"/>
      <c r="D85" s="105" t="s">
        <v>82</v>
      </c>
      <c r="E85" s="149">
        <v>1</v>
      </c>
      <c r="F85" s="149">
        <f>E85+1</f>
        <v>2</v>
      </c>
      <c r="G85" s="149">
        <f t="shared" ref="G85:X85" si="15">F85+1</f>
        <v>3</v>
      </c>
      <c r="H85" s="149">
        <f t="shared" si="15"/>
        <v>4</v>
      </c>
      <c r="I85" s="149">
        <f t="shared" si="15"/>
        <v>5</v>
      </c>
      <c r="J85" s="149">
        <f t="shared" si="15"/>
        <v>6</v>
      </c>
      <c r="K85" s="149">
        <f t="shared" si="15"/>
        <v>7</v>
      </c>
      <c r="L85" s="149">
        <f t="shared" si="15"/>
        <v>8</v>
      </c>
      <c r="M85" s="149">
        <f t="shared" si="15"/>
        <v>9</v>
      </c>
      <c r="N85" s="149">
        <f t="shared" si="15"/>
        <v>10</v>
      </c>
      <c r="O85" s="149">
        <f t="shared" si="15"/>
        <v>11</v>
      </c>
      <c r="P85" s="149">
        <f t="shared" si="15"/>
        <v>12</v>
      </c>
      <c r="Q85" s="149">
        <f t="shared" si="15"/>
        <v>13</v>
      </c>
      <c r="R85" s="149">
        <f t="shared" si="15"/>
        <v>14</v>
      </c>
      <c r="S85" s="149">
        <f t="shared" si="15"/>
        <v>15</v>
      </c>
      <c r="T85" s="149">
        <f t="shared" si="15"/>
        <v>16</v>
      </c>
      <c r="U85" s="149">
        <f t="shared" si="15"/>
        <v>17</v>
      </c>
      <c r="V85" s="149">
        <f t="shared" si="15"/>
        <v>18</v>
      </c>
      <c r="W85" s="149">
        <f t="shared" si="15"/>
        <v>19</v>
      </c>
      <c r="X85" s="149">
        <f t="shared" si="15"/>
        <v>20</v>
      </c>
      <c r="Y85" s="147"/>
    </row>
    <row r="86" ht="30" customHeight="true" x14ac:dyDescent="0.25">
      <c r="B86" s="744"/>
      <c r="C86" s="140"/>
      <c r="D86" s="17" t="s">
        <v>1461</v>
      </c>
      <c r="E86" s="1104"/>
      <c r="F86" s="1104"/>
      <c r="G86" s="1104"/>
      <c r="H86" s="1104"/>
      <c r="I86" s="1104"/>
      <c r="J86" s="1104"/>
      <c r="K86" s="1104"/>
      <c r="L86" s="1104"/>
      <c r="M86" s="1104"/>
      <c r="N86" s="1104"/>
      <c r="O86" s="1104"/>
      <c r="P86" s="1104"/>
      <c r="Q86" s="1104"/>
      <c r="R86" s="1104"/>
      <c r="S86" s="1104"/>
      <c r="T86" s="1104"/>
      <c r="U86" s="1104"/>
      <c r="V86" s="1104"/>
      <c r="W86" s="1104"/>
      <c r="X86" s="1104"/>
      <c r="Y86" s="147"/>
    </row>
    <row r="87" ht="18" customHeight="true" x14ac:dyDescent="0.25">
      <c r="B87" s="744"/>
      <c r="C87" s="140"/>
      <c r="D87" s="1151" t="s">
        <v>2175</v>
      </c>
      <c r="E87" s="1103"/>
      <c r="F87" s="1103"/>
      <c r="G87" s="1103"/>
      <c r="H87" s="1103"/>
      <c r="I87" s="1103"/>
      <c r="J87" s="1103"/>
      <c r="K87" s="1103"/>
      <c r="L87" s="1103"/>
      <c r="M87" s="1103"/>
      <c r="N87" s="1103"/>
      <c r="O87" s="1103"/>
      <c r="P87" s="1103"/>
      <c r="Q87" s="1103"/>
      <c r="R87" s="1103"/>
      <c r="S87" s="1103"/>
      <c r="T87" s="1103"/>
      <c r="U87" s="1103"/>
      <c r="V87" s="1103"/>
      <c r="W87" s="1103"/>
      <c r="X87" s="1103"/>
      <c r="Y87" s="147"/>
    </row>
    <row r="88" ht="18" customHeight="true" x14ac:dyDescent="0.25">
      <c r="B88" s="744"/>
      <c r="C88" s="140"/>
      <c r="D88" s="1151" t="s">
        <v>81</v>
      </c>
      <c r="E88" s="1102"/>
      <c r="F88" s="1102"/>
      <c r="G88" s="1102"/>
      <c r="H88" s="1102"/>
      <c r="I88" s="1102"/>
      <c r="J88" s="1102"/>
      <c r="K88" s="1102"/>
      <c r="L88" s="1102"/>
      <c r="M88" s="1102"/>
      <c r="N88" s="1102"/>
      <c r="O88" s="1102"/>
      <c r="P88" s="1102"/>
      <c r="Q88" s="1102"/>
      <c r="R88" s="1102"/>
      <c r="S88" s="1102"/>
      <c r="T88" s="1102"/>
      <c r="U88" s="1102"/>
      <c r="V88" s="1102"/>
      <c r="W88" s="1102"/>
      <c r="X88" s="1102"/>
      <c r="Y88" s="147"/>
    </row>
    <row r="89" ht="18" customHeight="true" x14ac:dyDescent="0.25">
      <c r="B89" s="744"/>
      <c r="C89" s="140"/>
      <c r="D89" s="1152" t="s">
        <v>1763</v>
      </c>
      <c r="E89" s="1101"/>
      <c r="F89" s="1101"/>
      <c r="G89" s="1101"/>
      <c r="H89" s="1101"/>
      <c r="I89" s="1101"/>
      <c r="J89" s="1101"/>
      <c r="K89" s="1101"/>
      <c r="L89" s="1101"/>
      <c r="M89" s="1101"/>
      <c r="N89" s="1101"/>
      <c r="O89" s="1101"/>
      <c r="P89" s="1101"/>
      <c r="Q89" s="1101"/>
      <c r="R89" s="1101"/>
      <c r="S89" s="1101"/>
      <c r="T89" s="1101"/>
      <c r="U89" s="1101"/>
      <c r="V89" s="1101"/>
      <c r="W89" s="1101"/>
      <c r="X89" s="1101"/>
      <c r="Y89" s="147"/>
    </row>
    <row r="90" ht="18" customHeight="true" x14ac:dyDescent="0.25">
      <c r="B90" s="744"/>
      <c r="C90" s="140"/>
      <c r="D90" s="1159" t="s">
        <v>1845</v>
      </c>
      <c r="E90" s="1102"/>
      <c r="F90" s="1102"/>
      <c r="G90" s="1102"/>
      <c r="H90" s="1102"/>
      <c r="I90" s="1102"/>
      <c r="J90" s="1102"/>
      <c r="K90" s="1102"/>
      <c r="L90" s="1102"/>
      <c r="M90" s="1102"/>
      <c r="N90" s="1102"/>
      <c r="O90" s="1102"/>
      <c r="P90" s="1102"/>
      <c r="Q90" s="1102"/>
      <c r="R90" s="1102"/>
      <c r="S90" s="1102"/>
      <c r="T90" s="1102"/>
      <c r="U90" s="1102"/>
      <c r="V90" s="1102"/>
      <c r="W90" s="1102"/>
      <c r="X90" s="1102"/>
      <c r="Y90" s="147"/>
    </row>
    <row r="91" ht="18" customHeight="true" x14ac:dyDescent="0.25">
      <c r="B91" s="744"/>
      <c r="C91" s="140"/>
      <c r="D91" s="1159" t="s">
        <v>1846</v>
      </c>
      <c r="E91" s="1102"/>
      <c r="F91" s="1102"/>
      <c r="G91" s="1102"/>
      <c r="H91" s="1102"/>
      <c r="I91" s="1102"/>
      <c r="J91" s="1102"/>
      <c r="K91" s="1102"/>
      <c r="L91" s="1102"/>
      <c r="M91" s="1102"/>
      <c r="N91" s="1102"/>
      <c r="O91" s="1102"/>
      <c r="P91" s="1102"/>
      <c r="Q91" s="1102"/>
      <c r="R91" s="1102"/>
      <c r="S91" s="1102"/>
      <c r="T91" s="1102"/>
      <c r="U91" s="1102"/>
      <c r="V91" s="1102"/>
      <c r="W91" s="1102"/>
      <c r="X91" s="1102"/>
      <c r="Y91" s="147"/>
    </row>
    <row r="92" ht="18" customHeight="true" x14ac:dyDescent="0.25">
      <c r="B92" s="744"/>
      <c r="C92" s="140"/>
      <c r="D92" s="1159" t="s">
        <v>1069</v>
      </c>
      <c r="E92" s="1102"/>
      <c r="F92" s="1102"/>
      <c r="G92" s="1102"/>
      <c r="H92" s="1102"/>
      <c r="I92" s="1102"/>
      <c r="J92" s="1102"/>
      <c r="K92" s="1102"/>
      <c r="L92" s="1102"/>
      <c r="M92" s="1102"/>
      <c r="N92" s="1102"/>
      <c r="O92" s="1102"/>
      <c r="P92" s="1102"/>
      <c r="Q92" s="1102"/>
      <c r="R92" s="1102"/>
      <c r="S92" s="1102"/>
      <c r="T92" s="1102"/>
      <c r="U92" s="1102"/>
      <c r="V92" s="1102"/>
      <c r="W92" s="1102"/>
      <c r="X92" s="1102"/>
      <c r="Y92" s="147"/>
    </row>
    <row r="93" ht="18" customHeight="true" x14ac:dyDescent="0.25">
      <c r="B93" s="744"/>
      <c r="C93" s="140"/>
      <c r="D93" s="14" t="s">
        <v>1465</v>
      </c>
      <c r="E93" s="1102"/>
      <c r="F93" s="1102"/>
      <c r="G93" s="1102"/>
      <c r="H93" s="1102"/>
      <c r="I93" s="1102"/>
      <c r="J93" s="1102"/>
      <c r="K93" s="1102"/>
      <c r="L93" s="1102"/>
      <c r="M93" s="1102"/>
      <c r="N93" s="1102"/>
      <c r="O93" s="1102"/>
      <c r="P93" s="1102"/>
      <c r="Q93" s="1102"/>
      <c r="R93" s="1102"/>
      <c r="S93" s="1102"/>
      <c r="T93" s="1102"/>
      <c r="U93" s="1102"/>
      <c r="V93" s="1102"/>
      <c r="W93" s="1102"/>
      <c r="X93" s="1102"/>
      <c r="Y93" s="147"/>
    </row>
    <row r="94" ht="18" customHeight="true" x14ac:dyDescent="0.25">
      <c r="B94" s="744"/>
      <c r="C94" s="140"/>
      <c r="D94" s="15" t="s">
        <v>1464</v>
      </c>
      <c r="E94" s="1101"/>
      <c r="F94" s="1101"/>
      <c r="G94" s="1101"/>
      <c r="H94" s="1101"/>
      <c r="I94" s="1101"/>
      <c r="J94" s="1101"/>
      <c r="K94" s="1101"/>
      <c r="L94" s="1101"/>
      <c r="M94" s="1101"/>
      <c r="N94" s="1101"/>
      <c r="O94" s="1101"/>
      <c r="P94" s="1101"/>
      <c r="Q94" s="1101"/>
      <c r="R94" s="1101"/>
      <c r="S94" s="1101"/>
      <c r="T94" s="1101"/>
      <c r="U94" s="1101"/>
      <c r="V94" s="1101"/>
      <c r="W94" s="1101"/>
      <c r="X94" s="1101"/>
      <c r="Y94" s="147"/>
    </row>
    <row r="95" ht="18" customHeight="true" thickBot="true" x14ac:dyDescent="0.3">
      <c r="B95" s="744"/>
      <c r="C95" s="140"/>
      <c r="D95" s="16" t="s">
        <v>1465</v>
      </c>
      <c r="E95" s="1451" t="str">
        <f t="shared" ref="E95:M95" si="16">IF(E87="","",IF(E93&lt;&gt;"",E93,1.68*E94))</f>
        <v/>
      </c>
      <c r="F95" s="1451" t="str">
        <f t="shared" si="16"/>
        <v/>
      </c>
      <c r="G95" s="1451" t="str">
        <f t="shared" si="16"/>
        <v/>
      </c>
      <c r="H95" s="1451" t="str">
        <f t="shared" si="16"/>
        <v/>
      </c>
      <c r="I95" s="1451" t="str">
        <f t="shared" si="16"/>
        <v/>
      </c>
      <c r="J95" s="1451" t="str">
        <f t="shared" si="16"/>
        <v/>
      </c>
      <c r="K95" s="1451" t="str">
        <f t="shared" si="16"/>
        <v/>
      </c>
      <c r="L95" s="1451" t="str">
        <f t="shared" si="16"/>
        <v/>
      </c>
      <c r="M95" s="1451" t="str">
        <f t="shared" si="16"/>
        <v/>
      </c>
      <c r="N95" s="1451" t="str">
        <f t="shared" ref="N95:X95" si="17">IF(N87="","",IF(N93&lt;&gt;"",N93,1.68*N94))</f>
        <v/>
      </c>
      <c r="O95" s="1451" t="str">
        <f t="shared" si="17"/>
        <v/>
      </c>
      <c r="P95" s="1451" t="str">
        <f t="shared" si="17"/>
        <v/>
      </c>
      <c r="Q95" s="1451" t="str">
        <f t="shared" si="17"/>
        <v/>
      </c>
      <c r="R95" s="1451" t="str">
        <f t="shared" si="17"/>
        <v/>
      </c>
      <c r="S95" s="1451" t="str">
        <f t="shared" si="17"/>
        <v/>
      </c>
      <c r="T95" s="1451" t="str">
        <f t="shared" si="17"/>
        <v/>
      </c>
      <c r="U95" s="1451" t="str">
        <f t="shared" si="17"/>
        <v/>
      </c>
      <c r="V95" s="1451" t="str">
        <f t="shared" si="17"/>
        <v/>
      </c>
      <c r="W95" s="1451" t="str">
        <f t="shared" si="17"/>
        <v/>
      </c>
      <c r="X95" s="1451" t="str">
        <f t="shared" si="17"/>
        <v/>
      </c>
      <c r="Y95" s="147"/>
    </row>
    <row r="96" ht="18" customHeight="true" thickBot="true" x14ac:dyDescent="0.3">
      <c r="B96" s="745"/>
      <c r="C96" s="141"/>
      <c r="D96" s="137"/>
      <c r="E96" s="141"/>
      <c r="F96" s="141"/>
      <c r="G96" s="141"/>
      <c r="H96" s="141"/>
      <c r="I96" s="141"/>
      <c r="J96" s="141"/>
      <c r="K96" s="141"/>
      <c r="L96" s="141"/>
      <c r="M96" s="141"/>
      <c r="N96" s="141"/>
      <c r="O96" s="141"/>
      <c r="P96" s="141"/>
      <c r="Q96" s="141"/>
      <c r="R96" s="141"/>
      <c r="S96" s="141"/>
      <c r="T96" s="141"/>
      <c r="U96" s="141"/>
      <c r="V96" s="141"/>
      <c r="W96" s="141"/>
      <c r="X96" s="141"/>
      <c r="Y96" s="145"/>
    </row>
    <row r="97" ht="36" customHeight="true" x14ac:dyDescent="0.25"/>
    <row r="98" ht="36" customHeight="true" thickBot="true" x14ac:dyDescent="0.3"/>
    <row r="99" ht="36" customHeight="true" thickBot="true" x14ac:dyDescent="0.3">
      <c r="B99" s="668" t="s">
        <v>2345</v>
      </c>
      <c r="C99" s="142"/>
      <c r="D99" s="159"/>
      <c r="E99" s="159"/>
      <c r="F99" s="159"/>
      <c r="G99" s="142"/>
      <c r="H99" s="142"/>
      <c r="I99" s="142"/>
      <c r="J99" s="142"/>
      <c r="K99" s="142"/>
      <c r="L99" s="142"/>
      <c r="M99" s="142"/>
      <c r="N99" s="142"/>
      <c r="O99" s="142"/>
      <c r="P99" s="142"/>
      <c r="Q99" s="142"/>
      <c r="R99" s="142"/>
      <c r="S99" s="142"/>
      <c r="T99" s="142"/>
      <c r="U99" s="142"/>
      <c r="V99" s="142"/>
      <c r="W99" s="142"/>
      <c r="X99" s="142"/>
      <c r="Y99" s="148"/>
    </row>
    <row r="100" ht="34.5" customHeight="true" x14ac:dyDescent="0.4">
      <c r="B100" s="746"/>
      <c r="C100" s="140"/>
      <c r="D100" s="105" t="s">
        <v>1849</v>
      </c>
      <c r="E100" s="149">
        <v>1</v>
      </c>
      <c r="F100" s="149">
        <f>E100+1</f>
        <v>2</v>
      </c>
      <c r="G100" s="149">
        <f t="shared" ref="G100:M100" si="18">F100+1</f>
        <v>3</v>
      </c>
      <c r="H100" s="149">
        <f t="shared" si="18"/>
        <v>4</v>
      </c>
      <c r="I100" s="149">
        <f t="shared" si="18"/>
        <v>5</v>
      </c>
      <c r="J100" s="149">
        <f t="shared" si="18"/>
        <v>6</v>
      </c>
      <c r="K100" s="149">
        <f t="shared" si="18"/>
        <v>7</v>
      </c>
      <c r="L100" s="149">
        <f t="shared" si="18"/>
        <v>8</v>
      </c>
      <c r="M100" s="149">
        <f t="shared" si="18"/>
        <v>9</v>
      </c>
      <c r="N100" s="149">
        <f t="shared" ref="N100:X100" si="19">M100+1</f>
        <v>10</v>
      </c>
      <c r="O100" s="149">
        <f t="shared" si="19"/>
        <v>11</v>
      </c>
      <c r="P100" s="149">
        <f t="shared" si="19"/>
        <v>12</v>
      </c>
      <c r="Q100" s="149">
        <f t="shared" si="19"/>
        <v>13</v>
      </c>
      <c r="R100" s="149">
        <f t="shared" si="19"/>
        <v>14</v>
      </c>
      <c r="S100" s="149">
        <f t="shared" si="19"/>
        <v>15</v>
      </c>
      <c r="T100" s="149">
        <f t="shared" si="19"/>
        <v>16</v>
      </c>
      <c r="U100" s="149">
        <f t="shared" si="19"/>
        <v>17</v>
      </c>
      <c r="V100" s="149">
        <f t="shared" si="19"/>
        <v>18</v>
      </c>
      <c r="W100" s="149">
        <f t="shared" si="19"/>
        <v>19</v>
      </c>
      <c r="X100" s="149">
        <f t="shared" si="19"/>
        <v>20</v>
      </c>
      <c r="Y100" s="147"/>
    </row>
    <row r="101" ht="40.5" customHeight="true" x14ac:dyDescent="0.25">
      <c r="B101" s="744"/>
      <c r="C101" s="140"/>
      <c r="D101" s="106" t="s">
        <v>1461</v>
      </c>
      <c r="E101" s="1105"/>
      <c r="F101" s="1105"/>
      <c r="G101" s="1105"/>
      <c r="H101" s="1105"/>
      <c r="I101" s="1105"/>
      <c r="J101" s="1105"/>
      <c r="K101" s="1105"/>
      <c r="L101" s="1105"/>
      <c r="M101" s="1105"/>
      <c r="N101" s="1105"/>
      <c r="O101" s="1105"/>
      <c r="P101" s="1105"/>
      <c r="Q101" s="1105"/>
      <c r="R101" s="1105"/>
      <c r="S101" s="1105"/>
      <c r="T101" s="1105"/>
      <c r="U101" s="1105"/>
      <c r="V101" s="1105"/>
      <c r="W101" s="1105"/>
      <c r="X101" s="1105"/>
      <c r="Y101" s="147"/>
    </row>
    <row r="102" ht="18" customHeight="true" x14ac:dyDescent="0.25">
      <c r="B102" s="744"/>
      <c r="C102" s="140"/>
      <c r="D102" s="107" t="s">
        <v>2175</v>
      </c>
      <c r="E102" s="1103" t="s">
        <v>2537</v>
      </c>
      <c r="F102" s="1103" t="s">
        <v>2538</v>
      </c>
      <c r="G102" s="1103"/>
      <c r="H102" s="1103"/>
      <c r="I102" s="1103"/>
      <c r="J102" s="1103"/>
      <c r="K102" s="1103"/>
      <c r="L102" s="1103"/>
      <c r="M102" s="1103"/>
      <c r="N102" s="1103"/>
      <c r="O102" s="1103"/>
      <c r="P102" s="1103"/>
      <c r="Q102" s="1103"/>
      <c r="R102" s="1103"/>
      <c r="S102" s="1103"/>
      <c r="T102" s="1103"/>
      <c r="U102" s="1103"/>
      <c r="V102" s="1103"/>
      <c r="W102" s="1103"/>
      <c r="X102" s="1103"/>
      <c r="Y102" s="147"/>
    </row>
    <row r="103" ht="18" customHeight="true" x14ac:dyDescent="0.25">
      <c r="B103" s="744"/>
      <c r="C103" s="140"/>
      <c r="D103" s="109" t="s">
        <v>81</v>
      </c>
      <c r="E103" s="1106"/>
      <c r="F103" s="1106"/>
      <c r="G103" s="1106"/>
      <c r="H103" s="1106"/>
      <c r="I103" s="1106"/>
      <c r="J103" s="1106"/>
      <c r="K103" s="1106"/>
      <c r="L103" s="1106"/>
      <c r="M103" s="1106"/>
      <c r="N103" s="1106"/>
      <c r="O103" s="1106"/>
      <c r="P103" s="1106"/>
      <c r="Q103" s="1106"/>
      <c r="R103" s="1106"/>
      <c r="S103" s="1106"/>
      <c r="T103" s="1106"/>
      <c r="U103" s="1106"/>
      <c r="V103" s="1106"/>
      <c r="W103" s="1106"/>
      <c r="X103" s="1106"/>
      <c r="Y103" s="147"/>
    </row>
    <row r="104" ht="18" customHeight="true" x14ac:dyDescent="0.25">
      <c r="B104" s="744"/>
      <c r="C104" s="140"/>
      <c r="D104" s="108" t="s">
        <v>1763</v>
      </c>
      <c r="E104" s="1101" t="s">
        <v>1762</v>
      </c>
      <c r="F104" s="1101" t="s">
        <v>1762</v>
      </c>
      <c r="G104" s="1101"/>
      <c r="H104" s="1101"/>
      <c r="I104" s="1101"/>
      <c r="J104" s="1101"/>
      <c r="K104" s="1101"/>
      <c r="L104" s="1101"/>
      <c r="M104" s="1101"/>
      <c r="N104" s="1101"/>
      <c r="O104" s="1101"/>
      <c r="P104" s="1101"/>
      <c r="Q104" s="1101"/>
      <c r="R104" s="1101"/>
      <c r="S104" s="1101"/>
      <c r="T104" s="1101"/>
      <c r="U104" s="1101"/>
      <c r="V104" s="1101"/>
      <c r="W104" s="1101"/>
      <c r="X104" s="1101"/>
      <c r="Y104" s="147"/>
    </row>
    <row r="105" ht="18" customHeight="true" x14ac:dyDescent="0.25">
      <c r="B105" s="744"/>
      <c r="C105" s="140"/>
      <c r="D105" s="109" t="s">
        <v>1845</v>
      </c>
      <c r="E105" s="1102">
        <v>0.099999931</v>
      </c>
      <c r="F105" s="1102">
        <v>-0.000226972015</v>
      </c>
      <c r="G105" s="1102"/>
      <c r="H105" s="1102"/>
      <c r="I105" s="1102"/>
      <c r="J105" s="1102"/>
      <c r="K105" s="1102"/>
      <c r="L105" s="1102"/>
      <c r="M105" s="1102"/>
      <c r="N105" s="1102"/>
      <c r="O105" s="1102"/>
      <c r="P105" s="1102"/>
      <c r="Q105" s="1102"/>
      <c r="R105" s="1102"/>
      <c r="S105" s="1102"/>
      <c r="T105" s="1102"/>
      <c r="U105" s="1102"/>
      <c r="V105" s="1102"/>
      <c r="W105" s="1102"/>
      <c r="X105" s="1102"/>
      <c r="Y105" s="147"/>
    </row>
    <row r="106" ht="18" customHeight="true" x14ac:dyDescent="0.25">
      <c r="B106" s="744"/>
      <c r="C106" s="140"/>
      <c r="D106" s="109" t="s">
        <v>1846</v>
      </c>
      <c r="E106" s="1101"/>
      <c r="F106" s="1101"/>
      <c r="G106" s="1101"/>
      <c r="H106" s="1101"/>
      <c r="I106" s="1101"/>
      <c r="J106" s="1101"/>
      <c r="K106" s="1101"/>
      <c r="L106" s="1101"/>
      <c r="M106" s="1101"/>
      <c r="N106" s="1101"/>
      <c r="O106" s="1101"/>
      <c r="P106" s="1101"/>
      <c r="Q106" s="1101"/>
      <c r="R106" s="1101"/>
      <c r="S106" s="1101"/>
      <c r="T106" s="1101"/>
      <c r="U106" s="1101"/>
      <c r="V106" s="1101"/>
      <c r="W106" s="1101"/>
      <c r="X106" s="1101"/>
      <c r="Y106" s="147"/>
    </row>
    <row r="107" ht="18" customHeight="true" x14ac:dyDescent="0.25">
      <c r="B107" s="744"/>
      <c r="C107" s="140"/>
      <c r="D107" s="111" t="s">
        <v>1848</v>
      </c>
      <c r="E107" s="1102">
        <v>2011646.868</v>
      </c>
      <c r="F107" s="1102">
        <v>345265.37638999999</v>
      </c>
      <c r="G107" s="1102"/>
      <c r="H107" s="1102"/>
      <c r="I107" s="1102"/>
      <c r="J107" s="1102"/>
      <c r="K107" s="1102"/>
      <c r="L107" s="1102"/>
      <c r="M107" s="1102"/>
      <c r="N107" s="1102"/>
      <c r="O107" s="1102"/>
      <c r="P107" s="1102"/>
      <c r="Q107" s="1102"/>
      <c r="R107" s="1102"/>
      <c r="S107" s="1102"/>
      <c r="T107" s="1102"/>
      <c r="U107" s="1102"/>
      <c r="V107" s="1102"/>
      <c r="W107" s="1102"/>
      <c r="X107" s="1102"/>
      <c r="Y107" s="147"/>
    </row>
    <row r="108" ht="18" customHeight="true" x14ac:dyDescent="0.25">
      <c r="B108" s="744"/>
      <c r="C108" s="140"/>
      <c r="D108" s="111" t="s">
        <v>1069</v>
      </c>
      <c r="E108" s="1101" t="s">
        <v>2539</v>
      </c>
      <c r="F108" s="1101" t="s">
        <v>2539</v>
      </c>
      <c r="G108" s="1101"/>
      <c r="H108" s="1101"/>
      <c r="I108" s="1101"/>
      <c r="J108" s="1101"/>
      <c r="K108" s="1101"/>
      <c r="L108" s="1101"/>
      <c r="M108" s="1101"/>
      <c r="N108" s="1101"/>
      <c r="O108" s="1101"/>
      <c r="P108" s="1101"/>
      <c r="Q108" s="1101"/>
      <c r="R108" s="1101"/>
      <c r="S108" s="1101"/>
      <c r="T108" s="1101"/>
      <c r="U108" s="1101"/>
      <c r="V108" s="1101"/>
      <c r="W108" s="1101"/>
      <c r="X108" s="1101"/>
      <c r="Y108" s="147"/>
    </row>
    <row r="109" ht="18" customHeight="true" x14ac:dyDescent="0.25">
      <c r="B109" s="744"/>
      <c r="C109" s="140"/>
      <c r="D109" s="112" t="s">
        <v>1465</v>
      </c>
      <c r="E109" s="1101" t="s">
        <v>2540</v>
      </c>
      <c r="F109" s="1101" t="s">
        <v>2540</v>
      </c>
      <c r="G109" s="1101"/>
      <c r="H109" s="1101"/>
      <c r="I109" s="1101"/>
      <c r="J109" s="1101"/>
      <c r="K109" s="1101"/>
      <c r="L109" s="1101"/>
      <c r="M109" s="1101"/>
      <c r="N109" s="1101"/>
      <c r="O109" s="1101"/>
      <c r="P109" s="1101"/>
      <c r="Q109" s="1101"/>
      <c r="R109" s="1101"/>
      <c r="S109" s="1101"/>
      <c r="T109" s="1101"/>
      <c r="U109" s="1101"/>
      <c r="V109" s="1101"/>
      <c r="W109" s="1101"/>
      <c r="X109" s="1101"/>
      <c r="Y109" s="147"/>
    </row>
    <row r="110" ht="18" customHeight="true" x14ac:dyDescent="0.25">
      <c r="B110" s="744"/>
      <c r="C110" s="140"/>
      <c r="D110" s="113" t="s">
        <v>1464</v>
      </c>
      <c r="E110" s="1101"/>
      <c r="F110" s="1101"/>
      <c r="G110" s="1101"/>
      <c r="H110" s="1101"/>
      <c r="I110" s="1101"/>
      <c r="J110" s="1101"/>
      <c r="K110" s="1101"/>
      <c r="L110" s="1101"/>
      <c r="M110" s="1101"/>
      <c r="N110" s="1101"/>
      <c r="O110" s="1101"/>
      <c r="P110" s="1101"/>
      <c r="Q110" s="1101"/>
      <c r="R110" s="1101"/>
      <c r="S110" s="1101"/>
      <c r="T110" s="1101"/>
      <c r="U110" s="1101"/>
      <c r="V110" s="1101"/>
      <c r="W110" s="1101"/>
      <c r="X110" s="1101"/>
      <c r="Y110" s="147"/>
    </row>
    <row r="111" ht="18" customHeight="true" thickBot="true" x14ac:dyDescent="0.3">
      <c r="B111" s="744"/>
      <c r="C111" s="140"/>
      <c r="D111" s="114" t="s">
        <v>1465</v>
      </c>
      <c r="E111" s="1451" t="str">
        <f>IF(E102="","",IF(E109&lt;&gt;"",E109,1.68*E110))</f>
        <v/>
      </c>
      <c r="F111" s="1451" t="str">
        <f t="shared" ref="F111:M111" si="20">IF(F102="","",IF(F109&lt;&gt;"",F109,1.68*F110))</f>
        <v/>
      </c>
      <c r="G111" s="1451" t="str">
        <f t="shared" si="20"/>
        <v/>
      </c>
      <c r="H111" s="1451" t="str">
        <f t="shared" si="20"/>
        <v/>
      </c>
      <c r="I111" s="1451" t="str">
        <f t="shared" si="20"/>
        <v/>
      </c>
      <c r="J111" s="1451" t="str">
        <f t="shared" si="20"/>
        <v/>
      </c>
      <c r="K111" s="1451" t="str">
        <f t="shared" si="20"/>
        <v/>
      </c>
      <c r="L111" s="1451" t="str">
        <f t="shared" si="20"/>
        <v/>
      </c>
      <c r="M111" s="1451" t="str">
        <f t="shared" si="20"/>
        <v/>
      </c>
      <c r="N111" s="1451" t="str">
        <f t="shared" ref="N111:X111" si="21">IF(N102="","",IF(N109&lt;&gt;"",N109,1.68*N110))</f>
        <v/>
      </c>
      <c r="O111" s="1451" t="str">
        <f t="shared" si="21"/>
        <v/>
      </c>
      <c r="P111" s="1451" t="str">
        <f t="shared" si="21"/>
        <v/>
      </c>
      <c r="Q111" s="1451" t="str">
        <f t="shared" si="21"/>
        <v/>
      </c>
      <c r="R111" s="1451" t="str">
        <f t="shared" si="21"/>
        <v/>
      </c>
      <c r="S111" s="1451" t="str">
        <f t="shared" si="21"/>
        <v/>
      </c>
      <c r="T111" s="1451" t="str">
        <f t="shared" si="21"/>
        <v/>
      </c>
      <c r="U111" s="1451" t="str">
        <f t="shared" si="21"/>
        <v/>
      </c>
      <c r="V111" s="1451" t="str">
        <f t="shared" si="21"/>
        <v/>
      </c>
      <c r="W111" s="1451" t="str">
        <f t="shared" si="21"/>
        <v/>
      </c>
      <c r="X111" s="1451" t="str">
        <f t="shared" si="21"/>
        <v/>
      </c>
      <c r="Y111" s="147"/>
    </row>
    <row r="112" ht="18" customHeight="true" thickBot="true" x14ac:dyDescent="0.3">
      <c r="B112" s="745"/>
      <c r="C112" s="141"/>
      <c r="D112" s="141"/>
      <c r="E112" s="141"/>
      <c r="F112" s="141"/>
      <c r="G112" s="141"/>
      <c r="H112" s="141"/>
      <c r="I112" s="141"/>
      <c r="J112" s="141"/>
      <c r="K112" s="141"/>
      <c r="L112" s="141"/>
      <c r="M112" s="141"/>
      <c r="N112" s="141"/>
      <c r="O112" s="141"/>
      <c r="P112" s="141"/>
      <c r="Q112" s="141"/>
      <c r="R112" s="141"/>
      <c r="S112" s="141"/>
      <c r="T112" s="141"/>
      <c r="U112" s="141"/>
      <c r="V112" s="141"/>
      <c r="W112" s="141"/>
      <c r="X112" s="141"/>
      <c r="Y112" s="145"/>
    </row>
    <row r="113" ht="39.75" customHeight="true" x14ac:dyDescent="0.25"/>
    <row r="114" ht="39.75" customHeight="true" thickBot="true" x14ac:dyDescent="0.3"/>
    <row r="115" ht="39.75" customHeight="true" thickBot="true" x14ac:dyDescent="0.3">
      <c r="B115" s="668" t="s">
        <v>2346</v>
      </c>
      <c r="C115" s="142"/>
      <c r="D115" s="159"/>
      <c r="E115" s="159"/>
      <c r="F115" s="159"/>
      <c r="G115" s="159"/>
      <c r="H115" s="159"/>
      <c r="I115" s="159"/>
      <c r="J115" s="159"/>
      <c r="K115" s="159"/>
      <c r="L115" s="159"/>
      <c r="M115" s="159"/>
      <c r="N115" s="159"/>
      <c r="O115" s="159"/>
      <c r="P115" s="159"/>
      <c r="Q115" s="159"/>
      <c r="R115" s="159"/>
      <c r="S115" s="159"/>
      <c r="T115" s="159"/>
      <c r="U115" s="159"/>
      <c r="V115" s="159"/>
      <c r="W115" s="159"/>
      <c r="X115" s="159"/>
      <c r="Y115" s="148"/>
    </row>
    <row r="116" ht="30" customHeight="true" x14ac:dyDescent="0.4">
      <c r="B116" s="746"/>
      <c r="C116" s="140"/>
      <c r="D116" s="117" t="s">
        <v>1467</v>
      </c>
      <c r="E116" s="149">
        <v>1</v>
      </c>
      <c r="F116" s="149">
        <f>E116+1</f>
        <v>2</v>
      </c>
      <c r="G116" s="149">
        <f t="shared" ref="G116:M116" si="22">F116+1</f>
        <v>3</v>
      </c>
      <c r="H116" s="149">
        <f t="shared" si="22"/>
        <v>4</v>
      </c>
      <c r="I116" s="149">
        <f t="shared" si="22"/>
        <v>5</v>
      </c>
      <c r="J116" s="149">
        <f t="shared" si="22"/>
        <v>6</v>
      </c>
      <c r="K116" s="149">
        <f t="shared" si="22"/>
        <v>7</v>
      </c>
      <c r="L116" s="149">
        <f t="shared" si="22"/>
        <v>8</v>
      </c>
      <c r="M116" s="149">
        <f t="shared" si="22"/>
        <v>9</v>
      </c>
      <c r="N116" s="149">
        <f t="shared" ref="N116:X116" si="23">M116+1</f>
        <v>10</v>
      </c>
      <c r="O116" s="149">
        <f t="shared" si="23"/>
        <v>11</v>
      </c>
      <c r="P116" s="149">
        <f t="shared" si="23"/>
        <v>12</v>
      </c>
      <c r="Q116" s="149">
        <f t="shared" si="23"/>
        <v>13</v>
      </c>
      <c r="R116" s="149">
        <f t="shared" si="23"/>
        <v>14</v>
      </c>
      <c r="S116" s="149">
        <f t="shared" si="23"/>
        <v>15</v>
      </c>
      <c r="T116" s="149">
        <f t="shared" si="23"/>
        <v>16</v>
      </c>
      <c r="U116" s="149">
        <f t="shared" si="23"/>
        <v>17</v>
      </c>
      <c r="V116" s="149">
        <f t="shared" si="23"/>
        <v>18</v>
      </c>
      <c r="W116" s="149">
        <f t="shared" si="23"/>
        <v>19</v>
      </c>
      <c r="X116" s="149">
        <f t="shared" si="23"/>
        <v>20</v>
      </c>
      <c r="Y116" s="147"/>
    </row>
    <row r="117" ht="30" customHeight="true" x14ac:dyDescent="0.25">
      <c r="B117" s="744"/>
      <c r="C117" s="140"/>
      <c r="D117" s="116" t="s">
        <v>1461</v>
      </c>
      <c r="E117" s="1105"/>
      <c r="F117" s="1105"/>
      <c r="G117" s="1105"/>
      <c r="H117" s="1105"/>
      <c r="I117" s="1105"/>
      <c r="J117" s="1105"/>
      <c r="K117" s="1105"/>
      <c r="L117" s="1105"/>
      <c r="M117" s="1105"/>
      <c r="N117" s="1105"/>
      <c r="O117" s="1105"/>
      <c r="P117" s="1105"/>
      <c r="Q117" s="1105"/>
      <c r="R117" s="1105"/>
      <c r="S117" s="1105"/>
      <c r="T117" s="1105"/>
      <c r="U117" s="1105"/>
      <c r="V117" s="1105"/>
      <c r="W117" s="1105"/>
      <c r="X117" s="1105"/>
      <c r="Y117" s="147"/>
    </row>
    <row r="118" ht="18.75" customHeight="true" x14ac:dyDescent="0.25">
      <c r="B118" s="744"/>
      <c r="C118" s="140"/>
      <c r="D118" s="107" t="s">
        <v>2175</v>
      </c>
      <c r="E118" s="1103"/>
      <c r="F118" s="1103"/>
      <c r="G118" s="1103"/>
      <c r="H118" s="1103"/>
      <c r="I118" s="1103"/>
      <c r="J118" s="1103"/>
      <c r="K118" s="1103"/>
      <c r="L118" s="1103"/>
      <c r="M118" s="1103"/>
      <c r="N118" s="1103"/>
      <c r="O118" s="1103"/>
      <c r="P118" s="1103"/>
      <c r="Q118" s="1103"/>
      <c r="R118" s="1103"/>
      <c r="S118" s="1103"/>
      <c r="T118" s="1103"/>
      <c r="U118" s="1103"/>
      <c r="V118" s="1103"/>
      <c r="W118" s="1103"/>
      <c r="X118" s="1103"/>
      <c r="Y118" s="147"/>
    </row>
    <row r="119" ht="18.75" customHeight="true" x14ac:dyDescent="0.25">
      <c r="B119" s="744"/>
      <c r="C119" s="140"/>
      <c r="D119" s="109" t="s">
        <v>81</v>
      </c>
      <c r="E119" s="1106"/>
      <c r="F119" s="1106"/>
      <c r="G119" s="1106"/>
      <c r="H119" s="1106"/>
      <c r="I119" s="1106"/>
      <c r="J119" s="1106"/>
      <c r="K119" s="1106"/>
      <c r="L119" s="1106"/>
      <c r="M119" s="1106"/>
      <c r="N119" s="1106"/>
      <c r="O119" s="1106"/>
      <c r="P119" s="1106"/>
      <c r="Q119" s="1106"/>
      <c r="R119" s="1106"/>
      <c r="S119" s="1106"/>
      <c r="T119" s="1106"/>
      <c r="U119" s="1106"/>
      <c r="V119" s="1106"/>
      <c r="W119" s="1106"/>
      <c r="X119" s="1106"/>
      <c r="Y119" s="147"/>
    </row>
    <row r="120" ht="18.75" customHeight="true" x14ac:dyDescent="0.25">
      <c r="B120" s="744"/>
      <c r="C120" s="140"/>
      <c r="D120" s="108" t="s">
        <v>1763</v>
      </c>
      <c r="E120" s="1101"/>
      <c r="F120" s="1101"/>
      <c r="G120" s="1101"/>
      <c r="H120" s="1101"/>
      <c r="I120" s="1101"/>
      <c r="J120" s="1101"/>
      <c r="K120" s="1101"/>
      <c r="L120" s="1101"/>
      <c r="M120" s="1101"/>
      <c r="N120" s="1101"/>
      <c r="O120" s="1101"/>
      <c r="P120" s="1101"/>
      <c r="Q120" s="1101"/>
      <c r="R120" s="1101"/>
      <c r="S120" s="1101"/>
      <c r="T120" s="1101"/>
      <c r="U120" s="1101"/>
      <c r="V120" s="1101"/>
      <c r="W120" s="1101"/>
      <c r="X120" s="1101"/>
      <c r="Y120" s="147"/>
    </row>
    <row r="121" ht="18.75" customHeight="true" x14ac:dyDescent="0.25">
      <c r="B121" s="744"/>
      <c r="C121" s="140"/>
      <c r="D121" s="109" t="s">
        <v>1845</v>
      </c>
      <c r="E121" s="1102"/>
      <c r="F121" s="1102"/>
      <c r="G121" s="1102"/>
      <c r="H121" s="1102"/>
      <c r="I121" s="1102"/>
      <c r="J121" s="1102"/>
      <c r="K121" s="1102"/>
      <c r="L121" s="1102"/>
      <c r="M121" s="1102"/>
      <c r="N121" s="1102"/>
      <c r="O121" s="1102"/>
      <c r="P121" s="1102"/>
      <c r="Q121" s="1102"/>
      <c r="R121" s="1102"/>
      <c r="S121" s="1102"/>
      <c r="T121" s="1102"/>
      <c r="U121" s="1102"/>
      <c r="V121" s="1102"/>
      <c r="W121" s="1102"/>
      <c r="X121" s="1102"/>
      <c r="Y121" s="147"/>
    </row>
    <row r="122" ht="18.75" customHeight="true" x14ac:dyDescent="0.25">
      <c r="B122" s="744"/>
      <c r="C122" s="140"/>
      <c r="D122" s="109" t="s">
        <v>1846</v>
      </c>
      <c r="E122" s="1101"/>
      <c r="F122" s="1101"/>
      <c r="G122" s="1101"/>
      <c r="H122" s="1101"/>
      <c r="I122" s="1101"/>
      <c r="J122" s="1101"/>
      <c r="K122" s="1101"/>
      <c r="L122" s="1101"/>
      <c r="M122" s="1101"/>
      <c r="N122" s="1101"/>
      <c r="O122" s="1101"/>
      <c r="P122" s="1101"/>
      <c r="Q122" s="1101"/>
      <c r="R122" s="1101"/>
      <c r="S122" s="1101"/>
      <c r="T122" s="1101"/>
      <c r="U122" s="1101"/>
      <c r="V122" s="1101"/>
      <c r="W122" s="1101"/>
      <c r="X122" s="1101"/>
      <c r="Y122" s="147"/>
    </row>
    <row r="123" ht="18.75" customHeight="true" x14ac:dyDescent="0.25">
      <c r="B123" s="744"/>
      <c r="C123" s="140"/>
      <c r="D123" s="109" t="s">
        <v>1463</v>
      </c>
      <c r="E123" s="1102"/>
      <c r="F123" s="1102"/>
      <c r="G123" s="1102"/>
      <c r="H123" s="1102"/>
      <c r="I123" s="1102"/>
      <c r="J123" s="1102"/>
      <c r="K123" s="1102"/>
      <c r="L123" s="1102"/>
      <c r="M123" s="1102"/>
      <c r="N123" s="1102"/>
      <c r="O123" s="1102"/>
      <c r="P123" s="1102"/>
      <c r="Q123" s="1102"/>
      <c r="R123" s="1102"/>
      <c r="S123" s="1102"/>
      <c r="T123" s="1102"/>
      <c r="U123" s="1102"/>
      <c r="V123" s="1102"/>
      <c r="W123" s="1102"/>
      <c r="X123" s="1102"/>
      <c r="Y123" s="147"/>
    </row>
    <row r="124" ht="18.75" customHeight="true" x14ac:dyDescent="0.25">
      <c r="B124" s="744"/>
      <c r="C124" s="140"/>
      <c r="D124" s="112" t="s">
        <v>1465</v>
      </c>
      <c r="E124" s="1101"/>
      <c r="F124" s="1101"/>
      <c r="G124" s="1101"/>
      <c r="H124" s="1101"/>
      <c r="I124" s="1101"/>
      <c r="J124" s="1101"/>
      <c r="K124" s="1101"/>
      <c r="L124" s="1101"/>
      <c r="M124" s="1101"/>
      <c r="N124" s="1101"/>
      <c r="O124" s="1101"/>
      <c r="P124" s="1101"/>
      <c r="Q124" s="1101"/>
      <c r="R124" s="1101"/>
      <c r="S124" s="1101"/>
      <c r="T124" s="1101"/>
      <c r="U124" s="1101"/>
      <c r="V124" s="1101"/>
      <c r="W124" s="1101"/>
      <c r="X124" s="1101"/>
      <c r="Y124" s="147"/>
    </row>
    <row r="125" ht="18.75" customHeight="true" x14ac:dyDescent="0.25">
      <c r="B125" s="744"/>
      <c r="C125" s="140"/>
      <c r="D125" s="113" t="s">
        <v>1464</v>
      </c>
      <c r="E125" s="1101"/>
      <c r="F125" s="1101"/>
      <c r="G125" s="1101"/>
      <c r="H125" s="1101"/>
      <c r="I125" s="1101"/>
      <c r="J125" s="1101"/>
      <c r="K125" s="1101"/>
      <c r="L125" s="1101"/>
      <c r="M125" s="1101"/>
      <c r="N125" s="1101"/>
      <c r="O125" s="1101"/>
      <c r="P125" s="1101"/>
      <c r="Q125" s="1101"/>
      <c r="R125" s="1101"/>
      <c r="S125" s="1101"/>
      <c r="T125" s="1101"/>
      <c r="U125" s="1101"/>
      <c r="V125" s="1101"/>
      <c r="W125" s="1101"/>
      <c r="X125" s="1101"/>
      <c r="Y125" s="147"/>
    </row>
    <row r="126" ht="18.75" customHeight="true" thickBot="true" x14ac:dyDescent="0.3">
      <c r="B126" s="744"/>
      <c r="C126" s="140"/>
      <c r="D126" s="114" t="s">
        <v>1465</v>
      </c>
      <c r="E126" s="1451" t="str">
        <f>IF(E118="","",IF(E124&lt;&gt;"",E124,1.68*E125))</f>
        <v/>
      </c>
      <c r="F126" s="1451" t="str">
        <f t="shared" ref="F126:M126" si="24">IF(F118="","",IF(F124&lt;&gt;"",F124,1.68*F125))</f>
        <v/>
      </c>
      <c r="G126" s="1451" t="str">
        <f t="shared" si="24"/>
        <v/>
      </c>
      <c r="H126" s="1451" t="str">
        <f t="shared" si="24"/>
        <v/>
      </c>
      <c r="I126" s="1451" t="str">
        <f t="shared" si="24"/>
        <v/>
      </c>
      <c r="J126" s="1451" t="str">
        <f t="shared" si="24"/>
        <v/>
      </c>
      <c r="K126" s="1451" t="str">
        <f t="shared" si="24"/>
        <v/>
      </c>
      <c r="L126" s="1451" t="str">
        <f t="shared" si="24"/>
        <v/>
      </c>
      <c r="M126" s="1451" t="str">
        <f t="shared" si="24"/>
        <v/>
      </c>
      <c r="N126" s="1451" t="str">
        <f t="shared" ref="N126:X126" si="25">IF(N118="","",IF(N124&lt;&gt;"",N124,1.68*N125))</f>
        <v/>
      </c>
      <c r="O126" s="1451" t="str">
        <f t="shared" si="25"/>
        <v/>
      </c>
      <c r="P126" s="1451" t="str">
        <f t="shared" si="25"/>
        <v/>
      </c>
      <c r="Q126" s="1451" t="str">
        <f t="shared" si="25"/>
        <v/>
      </c>
      <c r="R126" s="1451" t="str">
        <f t="shared" si="25"/>
        <v/>
      </c>
      <c r="S126" s="1451" t="str">
        <f t="shared" si="25"/>
        <v/>
      </c>
      <c r="T126" s="1451" t="str">
        <f t="shared" si="25"/>
        <v/>
      </c>
      <c r="U126" s="1451" t="str">
        <f t="shared" si="25"/>
        <v/>
      </c>
      <c r="V126" s="1451" t="str">
        <f t="shared" si="25"/>
        <v/>
      </c>
      <c r="W126" s="1451" t="str">
        <f t="shared" si="25"/>
        <v/>
      </c>
      <c r="X126" s="1451" t="str">
        <f t="shared" si="25"/>
        <v/>
      </c>
      <c r="Y126" s="147"/>
    </row>
    <row r="127" ht="18" customHeight="true" thickBot="true" x14ac:dyDescent="0.3">
      <c r="B127" s="745"/>
      <c r="C127" s="141"/>
      <c r="D127" s="141"/>
      <c r="E127" s="141"/>
      <c r="F127" s="141"/>
      <c r="G127" s="141"/>
      <c r="H127" s="141"/>
      <c r="I127" s="141"/>
      <c r="J127" s="141"/>
      <c r="K127" s="141"/>
      <c r="L127" s="141"/>
      <c r="M127" s="141"/>
      <c r="N127" s="141"/>
      <c r="O127" s="141"/>
      <c r="P127" s="141"/>
      <c r="Q127" s="141"/>
      <c r="R127" s="141"/>
      <c r="S127" s="141"/>
      <c r="T127" s="141"/>
      <c r="U127" s="141"/>
      <c r="V127" s="141"/>
      <c r="W127" s="141"/>
      <c r="X127" s="141"/>
      <c r="Y127" s="145"/>
    </row>
    <row r="128" ht="15" customHeight="true" x14ac:dyDescent="0.25"/>
    <row r="129" ht="15" customHeight="true" x14ac:dyDescent="0.25"/>
    <row r="130" ht="15" customHeight="true" x14ac:dyDescent="0.25"/>
    <row r="131" ht="18.75" customHeight="true" thickBot="true" x14ac:dyDescent="0.45">
      <c r="D131" s="18" t="s">
        <v>1771</v>
      </c>
      <c r="H131"/>
    </row>
    <row r="132" ht="18" customHeight="true" x14ac:dyDescent="0.25">
      <c r="D132" s="20"/>
      <c r="E132" s="21" t="s">
        <v>1088</v>
      </c>
      <c r="F132" s="22" t="s">
        <v>1089</v>
      </c>
    </row>
    <row r="133" ht="18" customHeight="true" x14ac:dyDescent="0.25">
      <c r="D133" s="2" t="s">
        <v>92</v>
      </c>
      <c r="E133" s="1153">
        <f>SUMIF('II. Equipment &amp; Cost Data'!E14:X14,"&gt;0")+SUMIF('II. Equipment &amp; Cost Data'!E29:X29,"&gt;0")+SUM('II. Equipment &amp; Cost Data'!E45:X45)+SUMIF('II. Equipment &amp; Cost Data'!E60:X60,"&gt;0")+SUMIF('II. Equipment &amp; Cost Data'!E75:X75,"&gt;0")+SUMIF('II. Equipment &amp; Cost Data'!E90:X90,"&gt;0")+SUMIF('II. Equipment &amp; Cost Data'!E105:X105,"&gt;0")+SUMIF('II. Equipment &amp; Cost Data'!E121:X121,"&gt;0")</f>
        <v>0</v>
      </c>
      <c r="F133" s="98"/>
      <c r="H133"/>
    </row>
    <row r="134" ht="18" customHeight="true" x14ac:dyDescent="0.25">
      <c r="D134" s="2" t="s">
        <v>91</v>
      </c>
      <c r="E134" s="1153">
        <f>SUMIF('II. Equipment &amp; Cost Data'!E14:X14,"&lt;0")+SUMIF('II. Equipment &amp; Cost Data'!E29:X29,"&lt;0")+SUM('II. Equipment &amp; Cost Data'!E44:X44)+SUMIF('II. Equipment &amp; Cost Data'!E60:X60,"&lt;0")+SUMIF('II. Equipment &amp; Cost Data'!E75:X75,"&lt;0")+SUMIF('II. Equipment &amp; Cost Data'!E90:X90,"&lt;0")+SUMIF('II. Equipment &amp; Cost Data'!E105:X105,"&lt;0")+SUMIF('II. Equipment &amp; Cost Data'!E121:X121,"&lt;0")</f>
        <v>0</v>
      </c>
      <c r="F134" s="98"/>
      <c r="H134"/>
    </row>
    <row r="135" ht="18" customHeight="true" x14ac:dyDescent="0.25">
      <c r="D135" s="2" t="s">
        <v>90</v>
      </c>
      <c r="E135" s="1153">
        <f>SUMIF('II. Equipment &amp; Cost Data'!E15:X15,"&gt;0")+SUMIF('II. Equipment &amp; Cost Data'!E30:X30,"&gt;0")+SUMIF('II. Equipment &amp; Cost Data'!E46:X46,"&gt;0")+SUMIF('II. Equipment &amp; Cost Data'!E61:X61,"&gt;0")+SUMIF('II. Equipment &amp; Cost Data'!E76:X76,"&gt;0")+SUMIF('II. Equipment &amp; Cost Data'!E91:X91,"&gt;0")+SUMIF('II. Equipment &amp; Cost Data'!E106:X106,"&gt;0")+SUMIF('II. Equipment &amp; Cost Data'!E122:X122,"&gt;0")</f>
        <v>0</v>
      </c>
      <c r="F135" s="98"/>
      <c r="H135"/>
    </row>
    <row r="136" ht="18" customHeight="true" thickBot="true" x14ac:dyDescent="0.3">
      <c r="D136" s="19" t="s">
        <v>89</v>
      </c>
      <c r="E136" s="127"/>
      <c r="F136" s="67">
        <f>SUMIF('II. Equipment &amp; Cost Data'!E15:X15,"&lt;0")+SUMIF('II. Equipment &amp; Cost Data'!E30:X30,"&lt;0")+SUMIF('II. Equipment &amp; Cost Data'!E46:X46,"&lt;0")+SUMIF('II. Equipment &amp; Cost Data'!E61:X61,"&lt;0")+SUMIF('II. Equipment &amp; Cost Data'!E76:X76,"&lt;0")+SUMIF('II. Equipment &amp; Cost Data'!E91:X91,"&lt;0")+SUMIF('II. Equipment &amp; Cost Data'!E106:X106,"&lt;0")+SUMIF('II. Equipment &amp; Cost Data'!E122:X122,"&lt;0")</f>
        <v>0</v>
      </c>
      <c r="H136"/>
    </row>
    <row r="137" ht="14.25" customHeight="true" x14ac:dyDescent="0.25">
      <c r="E137" s="9"/>
      <c r="F137" s="9"/>
      <c r="H137"/>
    </row>
    <row r="138" ht="14.25" customHeight="true" x14ac:dyDescent="0.25">
      <c r="D138" s="62"/>
      <c r="E138" s="62"/>
      <c r="F138" s="62"/>
      <c r="G138" s="62"/>
      <c r="H138" s="62"/>
    </row>
    <row r="139" ht="34.5" customHeight="true" x14ac:dyDescent="0.25">
      <c r="E139" s="135"/>
    </row>
    <row r="140" ht="34.5" customHeight="true" thickBot="true" x14ac:dyDescent="0.3"/>
    <row r="141" ht="34.5" customHeight="true" thickBot="true" x14ac:dyDescent="0.45">
      <c r="B141" s="668" t="s">
        <v>2347</v>
      </c>
      <c r="C141" s="142"/>
      <c r="D141" s="164" t="s">
        <v>1090</v>
      </c>
      <c r="E141" s="142"/>
      <c r="F141" s="142"/>
      <c r="G141" s="142"/>
      <c r="H141" s="148"/>
    </row>
    <row r="142" ht="21.75" customHeight="true" x14ac:dyDescent="0.25">
      <c r="B142" s="746"/>
      <c r="C142" s="140"/>
      <c r="D142" s="20" t="s">
        <v>1786</v>
      </c>
      <c r="E142" s="161" t="s">
        <v>1764</v>
      </c>
      <c r="F142" s="161" t="s">
        <v>1765</v>
      </c>
      <c r="G142" s="162" t="s">
        <v>1766</v>
      </c>
      <c r="H142" s="147"/>
    </row>
    <row r="143" ht="30.75" customHeight="true" x14ac:dyDescent="0.25">
      <c r="B143" s="744"/>
      <c r="C143" s="140"/>
      <c r="D143" s="1151" t="s">
        <v>1070</v>
      </c>
      <c r="E143" s="1107"/>
      <c r="F143" s="1108"/>
      <c r="G143" s="1109"/>
      <c r="H143" s="147"/>
    </row>
    <row r="144" ht="18" customHeight="true" x14ac:dyDescent="0.25">
      <c r="B144" s="744"/>
      <c r="C144" s="140"/>
      <c r="D144" s="2" t="s">
        <v>1084</v>
      </c>
      <c r="E144" s="1437">
        <f>SUMIFS(E14:X14,E13:X13,1,E14:X14,"&gt;0")+SUMIFS(E29:X29,E28:X28,1,E29:X29,"&gt;0")+SUMIFS(E45:X45,E43:X43,1,E45:X45,"&gt;0")+SUMIFS(E60:X60,E59:X59,1,E60:X60,"&gt;0")+  SUMIFS(E75:X75,E74:X74,1,E75:X75,"&gt;0")+SUMIFS(E90:X90,E89:X89,1,E90:X90,"&gt;0")+SUMIFS(E105:X105,E104:X104,1,E105:X105,"&gt;0")+SUMIFS(E121:X121,E120:X120,1,E121:X121,"&gt;0")</f>
        <v>0</v>
      </c>
      <c r="F144" s="1437">
        <f>SUMIFS(E14:X14,E13:X13,2,E14:X14,"&gt;0")+SUMIFS(E29:X29,E28:X28,2,E29:X29,"&gt;0")+SUMIFS(E45:X45,E43:X43,2,E45:X45,"&gt;0")+SUMIFS(E60:X60,E59:X59,2,E60:X60,"&gt;0")+  SUMIFS(E75:X75,E74:X74,2,E75:X75,"&gt;0")+SUMIFS(E90:X90,E89:X89,2,E90:X90,"&gt;0")+SUMIFS(E105:X105,E104:X104,2,E105:X105,"&gt;0")+SUMIFS(E121:X121,E120:X120,2,E121:X121,"&gt;0")</f>
        <v>0</v>
      </c>
      <c r="G144" s="163">
        <f>SUMIFS(E14:X14,E13:X13,3,E14:X14,"&gt;0")+SUMIFS(E29:X29,E28:X28,3,E29:X29,"&gt;0")+SUMIFS(E45:X45,E43:X43,3,E45:X45,"&gt;0")+SUMIFS(E60:X60,E59:X59,3,E60:X60,"&gt;0")+  SUMIFS(E75:X75,E74:X74,3,E75:X75,"&gt;0")+SUMIFS(E90:X90,E89:X89,3,E90:X90,"&gt;0")+SUMIFS(E105:X105,E104:X104,3,E105:X105,"&gt;0")+SUMIFS(E121:X121,E120:X120,3,E121:X121,"&gt;0")</f>
        <v>0</v>
      </c>
      <c r="H144" s="147"/>
    </row>
    <row r="145" ht="19.5" customHeight="true" x14ac:dyDescent="0.25">
      <c r="B145" s="744"/>
      <c r="C145" s="140"/>
      <c r="D145" s="2" t="s">
        <v>1081</v>
      </c>
      <c r="E145" s="1452">
        <f>SUMIFS(E14:X14,E13:X13,1,E14:X14,"&lt;0")+SUMIFS(E29:X29,E28:X28,1,E29:X29,"&lt;0")+SUMIFS(E44:X44,E43:X43,1,E44:X44,"&lt;0")+SUMIFS(E60:X60,E59:X59,1,E60:X60,"&lt;0")+  SUMIFS(E75:X75,E74:X74,1,E75:X75,"&lt;0")+SUMIFS(E90:X90,E89:X89,1,E90:X90,"&lt;0")+SUMIFS(E105:X105,E104:X104,1,E105:X105,"&lt;0")+SUMIFS(E121:X121,E120:X120,1,E121:X121,"&lt;0")</f>
        <v>0</v>
      </c>
      <c r="F145" s="1437">
        <f>SUMIFS(E14:X14,E13:X13,2,E14:X14,"&lt;0")+SUMIFS(E29:X29,E28:X28,2,E29:X29,"&lt;0")+SUMIFS(E44:X44,E43:X43,2,E44:X44,"&lt;0")+SUMIFS(E60:X60,E59:X59,2,E60:X60,"&lt;0")+  SUMIFS(E75:X75,E74:X74,2,E75:X75,"&lt;0")+SUMIFS(E90:X90,E89:X89,2,E90:X90,"&lt;0")+SUMIFS(E105:X105,E104:X104,2,E105:X105,"&lt;0")+SUMIFS(E121:X121,E120:X120,2,E121:X121,"&lt;0")</f>
        <v>0</v>
      </c>
      <c r="G145" s="163">
        <f>SUMIFS(E14:X14,E13:X13,3,E14:X14,"&lt;0")+SUMIFS(E29:X29,E28:X28,3,E29:X29,"&lt;0")+SUMIFS(E44:X44,E43:X43,3,E44:X44,"&lt;0")+SUMIFS(E60:X60,E59:X59,3,E60:X60,"&lt;0")+  SUMIFS(E75:X75,E74:X74,3,E75:X75,"&lt;0")+SUMIFS(E90:X90,E89:X89,3,E90:X90,"&lt;0")+SUMIFS(E105:X105,E104:X104,3,E105:X105,"&lt;0")+SUMIFS(E121:X121,E120:X120,3,E121:X121,"&lt;0")</f>
        <v>0</v>
      </c>
      <c r="H145" s="147"/>
    </row>
    <row r="146" ht="19.5" customHeight="true" thickBot="true" x14ac:dyDescent="0.3">
      <c r="B146" s="744"/>
      <c r="C146" s="140"/>
      <c r="D146" s="19" t="s">
        <v>1086</v>
      </c>
      <c r="E146" s="1439">
        <f>(SUMIFS(E15:X15,E13:X13,1)+SUMIFS(E30:X30,E28:X28,1)+SUMIFS(E46:X46,E43:X43,1)+SUMIFS(E61:X61,E59:X59,1)+  SUMIFS(E76:X76,E74:X74,1)+SUMIFS(E91:X91,E89:X89,1)+SUMIFS(E106:X106,E104:X104,1)+SUMIFS(E122:X122,E120:X120,1))/'III. Utility Data'!I46</f>
        <v>0</v>
      </c>
      <c r="F146" s="1439">
        <f>(SUMIFS(E15:X15,E13:X13,2)+SUMIFS(E30:X30,E28:X28,2)+SUMIFS(E46:X46,E43:X43,2)+SUMIFS(E61:X61,E59:X59,2)+  SUMIFS(E76:X76,E74:X74,2)+SUMIFS(E91:X91,E89:X89,2)+SUMIFS(E106:X106,E104:X104,2)+SUMIFS(E122:X122,E120:X120,2))/'III. Utility Data'!I46</f>
        <v>0</v>
      </c>
      <c r="G146" s="1453">
        <f>(SUMIFS(E15:X15,E13:X13,3)+SUMIFS(E30:X30,E28:X28,3)+SUMIFS(E46:X46,E43:X43,3)+SUMIFS(E61:X61,E59:X59,3)+SUMIFS(E76:X76,E74:X74,3)+SUMIFS(E91:X91,E89:X89,3)+SUMIFS(E106:X106,E104:X104,3)+SUMIFS(E122:X122,E120:X120,3))/'III. Utility Data'!I46</f>
        <v>0</v>
      </c>
      <c r="H146" s="147"/>
    </row>
    <row r="147" ht="19.5" customHeight="true" thickBot="true" x14ac:dyDescent="0.3">
      <c r="B147" s="745"/>
      <c r="C147" s="141"/>
      <c r="D147" s="137"/>
      <c r="E147" s="141"/>
      <c r="F147" s="141"/>
      <c r="G147" s="141"/>
      <c r="H147" s="145"/>
    </row>
    <row r="148" ht="19.5" customHeight="true" x14ac:dyDescent="0.25"/>
    <row r="149" ht="19.5" customHeight="true" x14ac:dyDescent="0.25"/>
    <row r="150" ht="39" customHeight="true" x14ac:dyDescent="0.25"/>
    <row r="151" ht="39" customHeight="true" thickBot="true" x14ac:dyDescent="0.3"/>
    <row r="152" ht="39" customHeight="true" thickBot="true" x14ac:dyDescent="0.45">
      <c r="B152" s="668" t="s">
        <v>2348</v>
      </c>
      <c r="C152" s="142"/>
      <c r="D152" s="167" t="s">
        <v>2220</v>
      </c>
      <c r="E152" s="155"/>
      <c r="F152" s="142"/>
      <c r="G152" s="142"/>
      <c r="H152" s="148"/>
    </row>
    <row r="153" ht="15.6" thickBot="true" x14ac:dyDescent="0.3">
      <c r="B153" s="746"/>
      <c r="C153" s="140"/>
      <c r="D153" s="140"/>
      <c r="E153" s="140"/>
      <c r="F153" s="140"/>
      <c r="G153" s="140"/>
      <c r="H153" s="147"/>
    </row>
    <row r="154" ht="23.25" customHeight="true" x14ac:dyDescent="0.25">
      <c r="B154" s="744"/>
      <c r="C154" s="140"/>
      <c r="D154" s="1826" t="s">
        <v>1556</v>
      </c>
      <c r="E154" s="1827"/>
      <c r="F154" s="1827"/>
      <c r="G154" s="1120">
        <v>1000</v>
      </c>
      <c r="H154" s="147"/>
    </row>
    <row r="155" ht="23.25" customHeight="true" x14ac:dyDescent="0.3">
      <c r="B155" s="744"/>
      <c r="C155" s="140"/>
      <c r="D155" s="1828" t="s">
        <v>1220</v>
      </c>
      <c r="E155" s="1829"/>
      <c r="F155" s="1829"/>
      <c r="G155" s="1114">
        <v>0</v>
      </c>
      <c r="H155" s="147"/>
    </row>
    <row r="156" ht="23.25" customHeight="true" x14ac:dyDescent="0.3">
      <c r="B156" s="744"/>
      <c r="C156" s="140"/>
      <c r="D156" s="1830" t="s">
        <v>1493</v>
      </c>
      <c r="E156" s="1831"/>
      <c r="F156" s="1831"/>
      <c r="G156" s="1114">
        <v>27.79</v>
      </c>
      <c r="H156" s="147"/>
    </row>
    <row r="157" ht="23.25" customHeight="true" x14ac:dyDescent="0.3">
      <c r="B157" s="744"/>
      <c r="C157" s="140"/>
      <c r="D157" s="1830" t="s">
        <v>1241</v>
      </c>
      <c r="E157" s="1831"/>
      <c r="F157" s="1831"/>
      <c r="G157" s="1114">
        <v>0</v>
      </c>
      <c r="H157" s="147"/>
    </row>
    <row r="158" ht="23.25" customHeight="true" x14ac:dyDescent="0.3">
      <c r="B158" s="744"/>
      <c r="C158" s="140"/>
      <c r="D158" s="1798" t="s">
        <v>1249</v>
      </c>
      <c r="E158" s="1799"/>
      <c r="F158" s="1799"/>
      <c r="G158" s="163">
        <v>10</v>
      </c>
      <c r="H158" s="147"/>
    </row>
    <row r="159" ht="23.25" customHeight="true" x14ac:dyDescent="0.25">
      <c r="B159" s="744"/>
      <c r="C159" s="140"/>
      <c r="D159" s="1816" t="s">
        <v>1250</v>
      </c>
      <c r="E159" s="1817"/>
      <c r="F159" s="1817"/>
      <c r="G159" s="1114">
        <v>0.3</v>
      </c>
      <c r="H159" s="147"/>
    </row>
    <row r="160" ht="23.25" customHeight="true" x14ac:dyDescent="0.3">
      <c r="B160" s="744"/>
      <c r="C160" s="140"/>
      <c r="D160" s="1798" t="s">
        <v>1649</v>
      </c>
      <c r="E160" s="1799"/>
      <c r="F160" s="1799"/>
      <c r="G160" s="165" t="s">
        <v>1224</v>
      </c>
      <c r="H160" s="147"/>
    </row>
    <row r="161" ht="23.25" customHeight="true" x14ac:dyDescent="0.3">
      <c r="B161" s="744"/>
      <c r="C161" s="140"/>
      <c r="D161" s="1798" t="s">
        <v>1239</v>
      </c>
      <c r="E161" s="1799"/>
      <c r="F161" s="1799"/>
      <c r="G161" s="163">
        <v>1</v>
      </c>
      <c r="H161" s="147"/>
    </row>
    <row r="162" ht="23.25" customHeight="true" x14ac:dyDescent="0.3">
      <c r="B162" s="744"/>
      <c r="C162" s="140"/>
      <c r="D162" s="1818" t="s">
        <v>1251</v>
      </c>
      <c r="E162" s="1819"/>
      <c r="F162" s="1819"/>
      <c r="G162" s="163">
        <v>1</v>
      </c>
      <c r="H162" s="147"/>
    </row>
    <row r="163" ht="23.25" customHeight="true" x14ac:dyDescent="0.25">
      <c r="B163" s="744"/>
      <c r="C163" s="140"/>
      <c r="D163" s="1820" t="s">
        <v>1243</v>
      </c>
      <c r="E163" s="1821"/>
      <c r="F163" s="1821"/>
      <c r="G163" s="1116">
        <v>0</v>
      </c>
      <c r="H163" s="147"/>
    </row>
    <row r="164" ht="23.25" customHeight="true" x14ac:dyDescent="0.25">
      <c r="B164" s="744"/>
      <c r="C164" s="140"/>
      <c r="D164" s="1822" t="s">
        <v>1246</v>
      </c>
      <c r="E164" s="1823"/>
      <c r="F164" s="1823"/>
      <c r="G164" s="1117">
        <v>0.1</v>
      </c>
      <c r="H164" s="147"/>
    </row>
    <row r="165" ht="23.25" customHeight="true" x14ac:dyDescent="0.25">
      <c r="B165" s="744"/>
      <c r="C165" s="140"/>
      <c r="D165" s="1802" t="s">
        <v>1794</v>
      </c>
      <c r="E165" s="1803"/>
      <c r="F165" s="1803"/>
      <c r="G165" s="1118">
        <v>0</v>
      </c>
      <c r="H165" s="147"/>
    </row>
    <row r="166" ht="23.25" customHeight="true" x14ac:dyDescent="0.25">
      <c r="B166" s="744"/>
      <c r="C166" s="140"/>
      <c r="D166" s="1804" t="s">
        <v>1795</v>
      </c>
      <c r="E166" s="1805"/>
      <c r="F166" s="1805"/>
      <c r="G166" s="1119">
        <v>0.4</v>
      </c>
      <c r="H166" s="147"/>
    </row>
    <row r="167" ht="23.25" customHeight="true" x14ac:dyDescent="0.25">
      <c r="B167" s="744"/>
      <c r="C167" s="140"/>
      <c r="D167" s="1824" t="s">
        <v>1252</v>
      </c>
      <c r="E167" s="1825"/>
      <c r="F167" s="1825"/>
      <c r="G167" s="166" t="s">
        <v>1247</v>
      </c>
      <c r="H167" s="147"/>
    </row>
    <row r="168" ht="23.25" customHeight="true" x14ac:dyDescent="0.25">
      <c r="B168" s="744"/>
      <c r="C168" s="140"/>
      <c r="D168" s="1816" t="s">
        <v>1296</v>
      </c>
      <c r="E168" s="1817"/>
      <c r="F168" s="1817"/>
      <c r="G168" s="1114">
        <v>0.16</v>
      </c>
      <c r="H168" s="147"/>
    </row>
    <row r="169" ht="23.25" customHeight="true" thickBot="true" x14ac:dyDescent="0.3">
      <c r="B169" s="744"/>
      <c r="C169" s="140"/>
      <c r="D169" s="1806" t="s">
        <v>1594</v>
      </c>
      <c r="E169" s="1807"/>
      <c r="F169" s="1807"/>
      <c r="G169" s="1115">
        <v>0.5</v>
      </c>
      <c r="H169" s="147"/>
    </row>
    <row r="170" ht="19.5" customHeight="true" thickBot="true" x14ac:dyDescent="0.3">
      <c r="B170" s="745"/>
      <c r="C170" s="141"/>
      <c r="D170" s="141"/>
      <c r="E170" s="141"/>
      <c r="F170" s="141"/>
      <c r="G170" s="141"/>
      <c r="H170" s="145"/>
    </row>
    <row r="171" ht="35.25" customHeight="true" x14ac:dyDescent="0.25"/>
    <row r="172" ht="35.25" customHeight="true" thickBot="true" x14ac:dyDescent="0.3">
      <c r="G172" s="137"/>
      <c r="H172" s="137"/>
    </row>
    <row r="173" ht="35.25" customHeight="true" x14ac:dyDescent="0.4">
      <c r="B173" s="668" t="s">
        <v>2349</v>
      </c>
      <c r="C173" s="142"/>
      <c r="D173" s="167" t="s">
        <v>2219</v>
      </c>
      <c r="E173" s="142"/>
      <c r="F173" s="142"/>
      <c r="G173" s="140"/>
      <c r="H173" s="148"/>
    </row>
    <row r="174" ht="19.5" customHeight="true" thickBot="true" x14ac:dyDescent="0.3">
      <c r="B174" s="744"/>
      <c r="C174" s="140"/>
      <c r="D174" s="140"/>
      <c r="E174" s="140"/>
      <c r="F174" s="140"/>
      <c r="G174" s="140"/>
      <c r="H174" s="147"/>
    </row>
    <row r="175" ht="19.5" customHeight="true" thickBot="true" x14ac:dyDescent="0.3">
      <c r="B175" s="744"/>
      <c r="C175" s="140"/>
      <c r="D175" s="23" t="s">
        <v>1822</v>
      </c>
      <c r="E175" s="1110">
        <v>1</v>
      </c>
      <c r="F175" s="1454">
        <f>IF(E175&lt;&gt;"",E175,MATCH(MIN(ERPG2_mg_m3),ERPG2_mg_m3,0))</f>
        <v>1</v>
      </c>
      <c r="G175" s="140"/>
      <c r="H175" s="147"/>
    </row>
    <row r="176" ht="19.5" customHeight="true" x14ac:dyDescent="0.25">
      <c r="B176" s="744"/>
      <c r="C176" s="140"/>
      <c r="D176" s="24" t="s">
        <v>1809</v>
      </c>
      <c r="E176" s="1111">
        <v>10000</v>
      </c>
      <c r="F176" s="140"/>
      <c r="G176" s="140"/>
      <c r="H176" s="147"/>
    </row>
    <row r="177" ht="19.5" customHeight="true" x14ac:dyDescent="0.25">
      <c r="B177" s="744"/>
      <c r="C177" s="140"/>
      <c r="D177" s="24" t="s">
        <v>1826</v>
      </c>
      <c r="E177" s="1111" t="s">
        <v>2414</v>
      </c>
      <c r="F177" s="140"/>
      <c r="G177" s="140"/>
      <c r="H177" s="147"/>
    </row>
    <row r="178" ht="19.5" customHeight="true" x14ac:dyDescent="0.25">
      <c r="B178" s="744"/>
      <c r="C178" s="140"/>
      <c r="D178" s="24" t="s">
        <v>2222</v>
      </c>
      <c r="E178" s="1111">
        <v>300</v>
      </c>
      <c r="F178" s="140"/>
      <c r="G178" s="140"/>
      <c r="H178" s="147"/>
    </row>
    <row r="179" ht="19.5" customHeight="true" x14ac:dyDescent="0.25">
      <c r="B179" s="744"/>
      <c r="C179" s="140"/>
      <c r="D179" s="24" t="s">
        <v>1813</v>
      </c>
      <c r="E179" s="1111">
        <v>50.8</v>
      </c>
      <c r="F179" s="140"/>
      <c r="G179" s="140"/>
      <c r="H179" s="147"/>
    </row>
    <row r="180" ht="19.5" customHeight="true" x14ac:dyDescent="0.25">
      <c r="B180" s="744"/>
      <c r="C180" s="140"/>
      <c r="D180" s="24" t="s">
        <v>1807</v>
      </c>
      <c r="E180" s="1112"/>
      <c r="F180" s="140"/>
      <c r="G180" s="140"/>
      <c r="H180" s="147"/>
    </row>
    <row r="181" ht="19.5" customHeight="true" thickBot="true" x14ac:dyDescent="0.3">
      <c r="B181" s="744"/>
      <c r="C181" s="140"/>
      <c r="D181" s="25" t="s">
        <v>1808</v>
      </c>
      <c r="E181" s="1113" t="s">
        <v>206</v>
      </c>
      <c r="F181" s="140"/>
      <c r="G181" s="140"/>
      <c r="H181" s="147"/>
    </row>
    <row r="182" ht="19.5" customHeight="true" thickBot="true" x14ac:dyDescent="0.3">
      <c r="B182" s="745"/>
      <c r="C182" s="141"/>
      <c r="D182" s="141"/>
      <c r="E182" s="141"/>
      <c r="F182" s="141"/>
      <c r="G182" s="141"/>
      <c r="H182" s="145"/>
    </row>
    <row r="183" ht="19.5" customHeight="true" x14ac:dyDescent="0.25"/>
    <row r="184" ht="19.5" customHeight="true" x14ac:dyDescent="0.25"/>
    <row r="185" ht="19.5" customHeight="true" x14ac:dyDescent="0.25"/>
    <row r="186" ht="19.5" customHeight="true" x14ac:dyDescent="0.25"/>
    <row r="187" ht="19.5" customHeight="true" thickBot="true" x14ac:dyDescent="0.3"/>
    <row r="188" ht="34.5" customHeight="true" x14ac:dyDescent="0.4">
      <c r="B188" s="1808" t="s">
        <v>2355</v>
      </c>
      <c r="C188" s="1809"/>
      <c r="D188" s="1809"/>
      <c r="E188" s="1809"/>
      <c r="F188" s="1809"/>
      <c r="G188" s="1809"/>
      <c r="H188" s="1809"/>
      <c r="I188" s="170"/>
      <c r="J188" s="170"/>
      <c r="K188" s="170"/>
      <c r="L188" s="170"/>
      <c r="M188" s="170"/>
      <c r="N188" s="170"/>
      <c r="O188" s="170"/>
      <c r="P188" s="170"/>
      <c r="Q188" s="170"/>
      <c r="R188" s="170"/>
      <c r="S188" s="170"/>
      <c r="T188" s="170"/>
      <c r="U188" s="170"/>
      <c r="V188" s="170"/>
      <c r="W188" s="170"/>
      <c r="X188" s="170"/>
      <c r="Y188" s="171"/>
    </row>
    <row r="189" ht="19.5" customHeight="true" x14ac:dyDescent="0.25">
      <c r="B189" s="754"/>
      <c r="C189" s="172"/>
      <c r="D189" s="172"/>
      <c r="E189" s="172"/>
      <c r="F189" s="172"/>
      <c r="G189" s="172"/>
      <c r="H189" s="172"/>
      <c r="I189" s="172"/>
      <c r="J189" s="172"/>
      <c r="K189" s="172"/>
      <c r="L189" s="172"/>
      <c r="M189" s="172"/>
      <c r="N189" s="172"/>
      <c r="O189" s="172"/>
      <c r="P189" s="172"/>
      <c r="Q189" s="172"/>
      <c r="R189" s="172"/>
      <c r="S189" s="172"/>
      <c r="T189" s="172"/>
      <c r="U189" s="172"/>
      <c r="V189" s="172"/>
      <c r="W189" s="172"/>
      <c r="X189" s="172"/>
      <c r="Y189" s="173"/>
    </row>
    <row r="190" ht="19.5" customHeight="true" x14ac:dyDescent="0.25">
      <c r="B190" s="754"/>
      <c r="C190" s="172"/>
      <c r="D190" s="172"/>
      <c r="E190" s="172"/>
      <c r="F190" s="172"/>
      <c r="G190" s="172"/>
      <c r="H190" s="172"/>
      <c r="I190" s="172"/>
      <c r="J190" s="172"/>
      <c r="K190" s="172"/>
      <c r="L190" s="172"/>
      <c r="M190" s="172"/>
      <c r="N190" s="172"/>
      <c r="O190" s="172"/>
      <c r="P190" s="172"/>
      <c r="Q190" s="172"/>
      <c r="R190" s="172"/>
      <c r="S190" s="172"/>
      <c r="T190" s="172"/>
      <c r="U190" s="172"/>
      <c r="V190" s="172"/>
      <c r="W190" s="172"/>
      <c r="X190" s="172"/>
      <c r="Y190" s="173"/>
    </row>
    <row r="191" ht="23.4" thickBot="true" x14ac:dyDescent="0.45">
      <c r="B191" s="754"/>
      <c r="C191" s="172"/>
      <c r="D191" s="174" t="s">
        <v>2354</v>
      </c>
      <c r="E191" s="172"/>
      <c r="F191" s="172"/>
      <c r="G191" s="172"/>
      <c r="H191" s="172"/>
      <c r="I191" s="175"/>
      <c r="J191" s="175"/>
      <c r="K191" s="172"/>
      <c r="L191" s="172"/>
      <c r="M191" s="172"/>
      <c r="N191" s="172"/>
      <c r="O191" s="172"/>
      <c r="P191" s="172"/>
      <c r="Q191" s="172"/>
      <c r="R191" s="172"/>
      <c r="S191" s="172"/>
      <c r="T191" s="172"/>
      <c r="U191" s="172"/>
      <c r="V191" s="172"/>
      <c r="W191" s="172"/>
      <c r="X191" s="172"/>
      <c r="Y191" s="173"/>
    </row>
    <row r="192" ht="30" x14ac:dyDescent="0.25">
      <c r="B192" s="754"/>
      <c r="C192" s="172"/>
      <c r="D192" s="1800" t="s">
        <v>1070</v>
      </c>
      <c r="E192" s="1801"/>
      <c r="F192" s="1166" t="s">
        <v>1207</v>
      </c>
      <c r="G192" s="176" t="s">
        <v>1206</v>
      </c>
      <c r="H192" s="172"/>
      <c r="I192" s="175"/>
      <c r="J192" s="175"/>
      <c r="K192" s="172"/>
      <c r="L192" s="172"/>
      <c r="M192" s="172"/>
      <c r="N192" s="172"/>
      <c r="O192" s="172"/>
      <c r="P192" s="172"/>
      <c r="Q192" s="172"/>
      <c r="R192" s="172"/>
      <c r="S192" s="172"/>
      <c r="T192" s="172"/>
      <c r="U192" s="172"/>
      <c r="V192" s="172"/>
      <c r="W192" s="172"/>
      <c r="X192" s="172"/>
      <c r="Y192" s="173"/>
    </row>
    <row r="193" x14ac:dyDescent="0.25">
      <c r="B193" s="754"/>
      <c r="C193" s="172"/>
      <c r="D193" s="177" t="s">
        <v>1462</v>
      </c>
      <c r="E193" s="178">
        <f>COUNTIF(E16:X16,"&gt;0")</f>
        <v>0</v>
      </c>
      <c r="F193" s="178">
        <f>SUM(E16:X16)</f>
        <v>0</v>
      </c>
      <c r="G193" s="1455">
        <f>SUM(E19:X19)</f>
        <v>0</v>
      </c>
      <c r="H193" s="172"/>
      <c r="I193" s="175"/>
      <c r="J193" s="175"/>
      <c r="K193" s="172"/>
      <c r="L193" s="172"/>
      <c r="M193" s="172"/>
      <c r="N193" s="172"/>
      <c r="O193" s="172"/>
      <c r="P193" s="172"/>
      <c r="Q193" s="172"/>
      <c r="R193" s="172"/>
      <c r="S193" s="172"/>
      <c r="T193" s="172"/>
      <c r="U193" s="172"/>
      <c r="V193" s="172"/>
      <c r="W193" s="172"/>
      <c r="X193" s="172"/>
      <c r="Y193" s="173"/>
    </row>
    <row r="194" x14ac:dyDescent="0.25">
      <c r="B194" s="754"/>
      <c r="C194" s="172"/>
      <c r="D194" s="177" t="s">
        <v>1208</v>
      </c>
      <c r="E194" s="178">
        <f>COUNTIF(E31:X31,"&gt;0")</f>
        <v>0</v>
      </c>
      <c r="F194" s="178">
        <f>SUM(E31:X31)</f>
        <v>0</v>
      </c>
      <c r="G194" s="1455">
        <f>SUM(E34:X34)</f>
        <v>0</v>
      </c>
      <c r="H194" s="172"/>
      <c r="I194" s="175"/>
      <c r="J194" s="175"/>
      <c r="K194" s="172"/>
      <c r="L194" s="172"/>
      <c r="M194" s="172"/>
      <c r="N194" s="172"/>
      <c r="O194" s="172"/>
      <c r="P194" s="172"/>
      <c r="Q194" s="172"/>
      <c r="R194" s="172"/>
      <c r="S194" s="172"/>
      <c r="T194" s="172"/>
      <c r="U194" s="172"/>
      <c r="V194" s="172"/>
      <c r="W194" s="172"/>
      <c r="X194" s="172"/>
      <c r="Y194" s="173"/>
    </row>
    <row r="195" x14ac:dyDescent="0.25">
      <c r="B195" s="754"/>
      <c r="C195" s="172"/>
      <c r="D195" s="1174" t="s">
        <v>1466</v>
      </c>
      <c r="E195" s="178">
        <f>COUNTIF(E47:X47,"&gt;0")</f>
        <v>0</v>
      </c>
      <c r="F195" s="178">
        <f>SUM(E47:X47)</f>
        <v>0</v>
      </c>
      <c r="G195" s="1455">
        <f>SUM(E50:X50)</f>
        <v>0</v>
      </c>
      <c r="H195" s="172"/>
      <c r="I195" s="172"/>
      <c r="J195" s="172"/>
      <c r="K195" s="172"/>
      <c r="L195" s="172"/>
      <c r="M195" s="172"/>
      <c r="N195" s="172"/>
      <c r="O195" s="172"/>
      <c r="P195" s="172"/>
      <c r="Q195" s="172"/>
      <c r="R195" s="172"/>
      <c r="S195" s="172"/>
      <c r="T195" s="172"/>
      <c r="U195" s="172"/>
      <c r="V195" s="172"/>
      <c r="W195" s="172"/>
      <c r="X195" s="172"/>
      <c r="Y195" s="173"/>
    </row>
    <row r="196" x14ac:dyDescent="0.25">
      <c r="B196" s="754"/>
      <c r="C196" s="172"/>
      <c r="D196" s="1174" t="s">
        <v>1209</v>
      </c>
      <c r="E196" s="178">
        <f>COUNTIF(E62:X62,"&gt;0")</f>
        <v>0</v>
      </c>
      <c r="F196" s="178">
        <f>SUM(E62:X62)</f>
        <v>0</v>
      </c>
      <c r="G196" s="1455">
        <f>SUM(E65:X65)</f>
        <v>0</v>
      </c>
      <c r="H196" s="172"/>
      <c r="I196" s="172"/>
      <c r="J196" s="172"/>
      <c r="K196" s="172"/>
      <c r="L196" s="172"/>
      <c r="M196" s="172"/>
      <c r="N196" s="172"/>
      <c r="O196" s="172"/>
      <c r="P196" s="172"/>
      <c r="Q196" s="172"/>
      <c r="R196" s="172"/>
      <c r="S196" s="172"/>
      <c r="T196" s="172"/>
      <c r="U196" s="172"/>
      <c r="V196" s="172"/>
      <c r="W196" s="172"/>
      <c r="X196" s="172"/>
      <c r="Y196" s="173"/>
    </row>
    <row r="197" x14ac:dyDescent="0.25">
      <c r="B197" s="754"/>
      <c r="C197" s="172"/>
      <c r="D197" s="1174" t="s">
        <v>1210</v>
      </c>
      <c r="E197" s="178">
        <f>COUNTIF(E77:X77,"&gt;0")</f>
        <v>0</v>
      </c>
      <c r="F197" s="178">
        <f>SUM(E77:X77)</f>
        <v>0</v>
      </c>
      <c r="G197" s="1455">
        <f>SUM(E80:X80)</f>
        <v>0</v>
      </c>
      <c r="H197" s="172"/>
      <c r="I197" s="172"/>
      <c r="J197" s="172"/>
      <c r="K197" s="172"/>
      <c r="L197" s="172"/>
      <c r="M197" s="172"/>
      <c r="N197" s="172"/>
      <c r="O197" s="172"/>
      <c r="P197" s="172"/>
      <c r="Q197" s="172"/>
      <c r="R197" s="172"/>
      <c r="S197" s="172"/>
      <c r="T197" s="172"/>
      <c r="U197" s="172"/>
      <c r="V197" s="172"/>
      <c r="W197" s="172"/>
      <c r="X197" s="172"/>
      <c r="Y197" s="173"/>
    </row>
    <row r="198" x14ac:dyDescent="0.25">
      <c r="B198" s="754"/>
      <c r="C198" s="172"/>
      <c r="D198" s="1174" t="s">
        <v>1211</v>
      </c>
      <c r="E198" s="178">
        <f>COUNTIF(E92:X92,"&gt;0")</f>
        <v>0</v>
      </c>
      <c r="F198" s="178">
        <f>SUM(E92:X92)</f>
        <v>0</v>
      </c>
      <c r="G198" s="1455">
        <f>SUM(E95:X95)</f>
        <v>0</v>
      </c>
      <c r="H198" s="172"/>
      <c r="I198" s="172"/>
      <c r="J198" s="172"/>
      <c r="K198" s="172"/>
      <c r="L198" s="172"/>
      <c r="M198" s="172"/>
      <c r="N198" s="172"/>
      <c r="O198" s="172"/>
      <c r="P198" s="172"/>
      <c r="Q198" s="172"/>
      <c r="R198" s="172"/>
      <c r="S198" s="172"/>
      <c r="T198" s="172"/>
      <c r="U198" s="172"/>
      <c r="V198" s="172"/>
      <c r="W198" s="172"/>
      <c r="X198" s="172"/>
      <c r="Y198" s="173"/>
    </row>
    <row r="199" x14ac:dyDescent="0.25">
      <c r="B199" s="754"/>
      <c r="C199" s="172"/>
      <c r="D199" s="1174" t="s">
        <v>1212</v>
      </c>
      <c r="E199" s="178">
        <f>COUNTIF(E108:X108,"&gt;0")</f>
        <v>0</v>
      </c>
      <c r="F199" s="178">
        <f>SUM(E108:X108)</f>
        <v>0</v>
      </c>
      <c r="G199" s="1455">
        <f>SUM(E111:X111)</f>
        <v>0</v>
      </c>
      <c r="H199" s="172"/>
      <c r="I199" s="172"/>
      <c r="J199" s="172"/>
      <c r="K199" s="172"/>
      <c r="L199" s="172"/>
      <c r="M199" s="172"/>
      <c r="N199" s="172"/>
      <c r="O199" s="172"/>
      <c r="P199" s="172"/>
      <c r="Q199" s="172"/>
      <c r="R199" s="172"/>
      <c r="S199" s="172"/>
      <c r="T199" s="172"/>
      <c r="U199" s="172"/>
      <c r="V199" s="172"/>
      <c r="W199" s="172"/>
      <c r="X199" s="172"/>
      <c r="Y199" s="173"/>
    </row>
    <row r="200" x14ac:dyDescent="0.25">
      <c r="B200" s="754"/>
      <c r="C200" s="172"/>
      <c r="D200" s="177" t="s">
        <v>1468</v>
      </c>
      <c r="E200" s="178">
        <f>COUNTIF(E123:X123,"&gt;0")</f>
        <v>0</v>
      </c>
      <c r="F200" s="178">
        <f>SUM(E123:X123)</f>
        <v>0</v>
      </c>
      <c r="G200" s="1455">
        <f>SUM(E126:X126)</f>
        <v>0</v>
      </c>
      <c r="H200" s="172"/>
      <c r="I200" s="172"/>
      <c r="J200" s="172"/>
      <c r="K200" s="172"/>
      <c r="L200" s="172"/>
      <c r="M200" s="172"/>
      <c r="N200" s="172"/>
      <c r="O200" s="172"/>
      <c r="P200" s="172"/>
      <c r="Q200" s="172"/>
      <c r="R200" s="172"/>
      <c r="S200" s="172"/>
      <c r="T200" s="172"/>
      <c r="U200" s="172"/>
      <c r="V200" s="172"/>
      <c r="W200" s="172"/>
      <c r="X200" s="172"/>
      <c r="Y200" s="173"/>
    </row>
    <row r="201" ht="15.6" thickBot="true" x14ac:dyDescent="0.3">
      <c r="B201" s="754"/>
      <c r="C201" s="172"/>
      <c r="D201" s="1212" t="s">
        <v>1213</v>
      </c>
      <c r="E201" s="1213">
        <f>SUM(E193:E200)</f>
        <v>0</v>
      </c>
      <c r="F201" s="1213">
        <f>SUM(F193:F200)</f>
        <v>0</v>
      </c>
      <c r="G201" s="1456">
        <f>SUM(G193:G200)</f>
        <v>0</v>
      </c>
      <c r="H201" s="172"/>
      <c r="I201" s="172"/>
      <c r="J201" s="172"/>
      <c r="K201" s="172"/>
      <c r="L201" s="172"/>
      <c r="M201" s="172"/>
      <c r="N201" s="172"/>
      <c r="O201" s="172"/>
      <c r="P201" s="172"/>
      <c r="Q201" s="172"/>
      <c r="R201" s="172"/>
      <c r="S201" s="172"/>
      <c r="T201" s="172"/>
      <c r="U201" s="172"/>
      <c r="V201" s="172"/>
      <c r="W201" s="172"/>
      <c r="X201" s="172"/>
      <c r="Y201" s="173"/>
    </row>
    <row r="202" x14ac:dyDescent="0.25">
      <c r="B202" s="754"/>
      <c r="C202" s="172"/>
      <c r="D202" s="172"/>
      <c r="E202" s="172"/>
      <c r="F202" s="172"/>
      <c r="G202" s="172"/>
      <c r="H202" s="172"/>
      <c r="I202" s="172"/>
      <c r="J202" s="172"/>
      <c r="K202" s="172"/>
      <c r="L202" s="172"/>
      <c r="M202" s="172"/>
      <c r="N202" s="172"/>
      <c r="O202" s="172"/>
      <c r="P202" s="172"/>
      <c r="Q202" s="172"/>
      <c r="R202" s="172"/>
      <c r="S202" s="172"/>
      <c r="T202" s="172"/>
      <c r="U202" s="172"/>
      <c r="V202" s="172"/>
      <c r="W202" s="172"/>
      <c r="X202" s="172"/>
      <c r="Y202" s="173"/>
    </row>
    <row r="203" x14ac:dyDescent="0.25">
      <c r="B203" s="754"/>
      <c r="C203" s="172"/>
      <c r="D203" s="172"/>
      <c r="E203" s="172"/>
      <c r="F203" s="172"/>
      <c r="G203" s="172"/>
      <c r="H203" s="172"/>
      <c r="I203" s="172"/>
      <c r="J203" s="172"/>
      <c r="K203" s="172"/>
      <c r="L203" s="172"/>
      <c r="M203" s="172"/>
      <c r="N203" s="172"/>
      <c r="O203" s="172"/>
      <c r="P203" s="172"/>
      <c r="Q203" s="172"/>
      <c r="R203" s="172"/>
      <c r="S203" s="172"/>
      <c r="T203" s="172"/>
      <c r="U203" s="172"/>
      <c r="V203" s="172"/>
      <c r="W203" s="172"/>
      <c r="X203" s="172"/>
      <c r="Y203" s="173"/>
    </row>
    <row r="204" x14ac:dyDescent="0.25">
      <c r="B204" s="754"/>
      <c r="C204" s="172"/>
      <c r="D204" s="172"/>
      <c r="E204" s="172"/>
      <c r="F204" s="172"/>
      <c r="G204" s="172"/>
      <c r="H204" s="172"/>
      <c r="I204" s="172"/>
      <c r="J204" s="172"/>
      <c r="K204" s="172"/>
      <c r="L204" s="172"/>
      <c r="M204" s="172"/>
      <c r="N204" s="172"/>
      <c r="O204" s="172"/>
      <c r="P204" s="172"/>
      <c r="Q204" s="172"/>
      <c r="R204" s="172"/>
      <c r="S204" s="172"/>
      <c r="T204" s="172"/>
      <c r="U204" s="172"/>
      <c r="V204" s="172"/>
      <c r="W204" s="172"/>
      <c r="X204" s="172"/>
      <c r="Y204" s="173"/>
    </row>
    <row r="205" x14ac:dyDescent="0.25">
      <c r="B205" s="754"/>
      <c r="C205" s="172"/>
      <c r="D205" s="172"/>
      <c r="E205" s="172"/>
      <c r="F205" s="172"/>
      <c r="G205" s="172"/>
      <c r="H205" s="172"/>
      <c r="I205" s="172"/>
      <c r="J205" s="172"/>
      <c r="K205" s="172"/>
      <c r="L205" s="172"/>
      <c r="M205" s="172"/>
      <c r="N205" s="172"/>
      <c r="O205" s="172"/>
      <c r="P205" s="172"/>
      <c r="Q205" s="172"/>
      <c r="R205" s="172"/>
      <c r="S205" s="172"/>
      <c r="T205" s="172"/>
      <c r="U205" s="172"/>
      <c r="V205" s="172"/>
      <c r="W205" s="172"/>
      <c r="X205" s="172"/>
      <c r="Y205" s="173"/>
    </row>
    <row r="206" x14ac:dyDescent="0.25">
      <c r="B206" s="754"/>
      <c r="C206" s="172"/>
      <c r="D206" s="172"/>
      <c r="E206" s="172"/>
      <c r="F206" s="172"/>
      <c r="G206" s="172"/>
      <c r="H206" s="172"/>
      <c r="I206" s="172"/>
      <c r="J206" s="172"/>
      <c r="K206" s="172"/>
      <c r="L206" s="172"/>
      <c r="M206" s="172"/>
      <c r="N206" s="172"/>
      <c r="O206" s="172"/>
      <c r="P206" s="172"/>
      <c r="Q206" s="172"/>
      <c r="R206" s="172"/>
      <c r="S206" s="172"/>
      <c r="T206" s="172"/>
      <c r="U206" s="172"/>
      <c r="V206" s="172"/>
      <c r="W206" s="172"/>
      <c r="X206" s="172"/>
      <c r="Y206" s="173"/>
    </row>
    <row r="207" ht="23.4" thickBot="true" x14ac:dyDescent="0.45">
      <c r="B207" s="754"/>
      <c r="C207" s="172"/>
      <c r="D207" s="179" t="s">
        <v>2353</v>
      </c>
      <c r="E207" s="172"/>
      <c r="F207" s="172"/>
      <c r="G207" s="172"/>
      <c r="H207" s="172"/>
      <c r="I207" s="172"/>
      <c r="J207" s="172"/>
      <c r="K207" s="172"/>
      <c r="L207" s="172"/>
      <c r="M207" s="172"/>
      <c r="N207" s="172"/>
      <c r="O207" s="172"/>
      <c r="P207" s="172"/>
      <c r="Q207" s="172"/>
      <c r="R207" s="172"/>
      <c r="S207" s="172"/>
      <c r="T207" s="172"/>
      <c r="U207" s="172"/>
      <c r="V207" s="172"/>
      <c r="W207" s="172"/>
      <c r="X207" s="172"/>
      <c r="Y207" s="173"/>
    </row>
    <row r="208" ht="18.75" customHeight="true" x14ac:dyDescent="0.25">
      <c r="B208" s="754"/>
      <c r="C208" s="172"/>
      <c r="D208" s="180"/>
      <c r="E208" s="1166" t="s">
        <v>1520</v>
      </c>
      <c r="F208" s="1166" t="s">
        <v>1309</v>
      </c>
      <c r="G208" s="1166" t="s">
        <v>28</v>
      </c>
      <c r="H208" s="181" t="s">
        <v>1219</v>
      </c>
      <c r="I208" s="181" t="s">
        <v>1601</v>
      </c>
      <c r="J208" s="182" t="s">
        <v>1215</v>
      </c>
      <c r="K208" s="182" t="s">
        <v>1221</v>
      </c>
      <c r="L208" s="1185" t="s">
        <v>1474</v>
      </c>
      <c r="M208" s="183" t="s">
        <v>1475</v>
      </c>
      <c r="N208" s="184" t="s">
        <v>1478</v>
      </c>
      <c r="O208" s="1188"/>
      <c r="P208" s="172"/>
      <c r="Q208" s="172"/>
      <c r="R208" s="172"/>
      <c r="S208" s="172"/>
      <c r="T208" s="172"/>
      <c r="U208" s="172"/>
      <c r="V208" s="172"/>
      <c r="W208" s="172"/>
      <c r="X208" s="172"/>
      <c r="Y208" s="173"/>
    </row>
    <row r="209" ht="18.75" customHeight="true" x14ac:dyDescent="0.25">
      <c r="B209" s="754"/>
      <c r="C209" s="172"/>
      <c r="D209" s="185">
        <v>1</v>
      </c>
      <c r="E209" s="1457" t="str">
        <f>IF('I. Stream &amp; Compound Data'!I28="","",'I. Stream &amp; Compound Data'!I28)</f>
        <v>S2</v>
      </c>
      <c r="F209" s="1295" t="str">
        <f>IF(E209="","",'I. Stream &amp; Compound Data'!I29)</f>
        <v>CaCO3 rec</v>
      </c>
      <c r="G209" s="1295" t="str">
        <f>IF(E209="","",'I. Stream &amp; Compound Data'!I30)</f>
        <v>no</v>
      </c>
      <c r="H209" s="186">
        <f>IF(E209="","",'I. Stream &amp; Compound Data'!H88)</f>
        <v>6778.7792000553327</v>
      </c>
      <c r="I209" s="186">
        <f t="shared" ref="I209:I248" si="26">IF(H209="","",H209*8766)</f>
        <v>59422778.467685044</v>
      </c>
      <c r="J209" s="186">
        <f>IF($E209="","",'I. Stream &amp; Compound Data'!$H92)</f>
        <v>3389.3896000276663</v>
      </c>
      <c r="K209" s="1458">
        <f>IF(J209="","",J209*8766)</f>
        <v>29711389.233842522</v>
      </c>
      <c r="L209" s="186">
        <f>IF($E209="","",'I. Stream &amp; Compound Data'!$H86)</f>
        <v>-8184519.7560000001</v>
      </c>
      <c r="M209" s="187">
        <f>IF($E209="","",'I. Stream &amp; Compound Data'!$H87)</f>
        <v>-17.838678213498213</v>
      </c>
      <c r="N209" s="187">
        <f>IF($E209="","",'I. Stream &amp; Compound Data'!$H90)</f>
        <v>67.728867885492946</v>
      </c>
      <c r="O209" s="172"/>
      <c r="P209" s="172"/>
      <c r="Q209" s="172"/>
      <c r="R209" s="172"/>
      <c r="S209" s="172"/>
      <c r="T209" s="172"/>
      <c r="U209" s="172"/>
      <c r="V209" s="172"/>
      <c r="W209" s="172"/>
      <c r="X209" s="172"/>
      <c r="Y209" s="173"/>
    </row>
    <row r="210" ht="18.75" customHeight="true" x14ac:dyDescent="0.25">
      <c r="B210" s="754"/>
      <c r="C210" s="172"/>
      <c r="D210" s="185">
        <f>D209+1</f>
        <v>2</v>
      </c>
      <c r="E210" s="1457" t="str">
        <f>IF('I. Stream &amp; Compound Data'!L28="","",'I. Stream &amp; Compound Data'!L28)</f>
        <v/>
      </c>
      <c r="F210" s="1295" t="str">
        <f>IF(E210="","",'I. Stream &amp; Compound Data'!L29)</f>
        <v/>
      </c>
      <c r="G210" s="1295" t="str">
        <f>IF(E210="","",'I. Stream &amp; Compound Data'!L30)</f>
        <v/>
      </c>
      <c r="H210" s="186" t="str">
        <f>IF(E210="","",'I. Stream &amp; Compound Data'!K88)</f>
        <v/>
      </c>
      <c r="I210" s="186" t="str">
        <f t="shared" si="26"/>
        <v/>
      </c>
      <c r="J210" s="186" t="str">
        <f>IF($E210="","",'I. Stream &amp; Compound Data'!$K92)</f>
        <v/>
      </c>
      <c r="K210" s="1458" t="str">
        <f>IF(J210="","",J210*8766)</f>
        <v/>
      </c>
      <c r="L210" s="186" t="str">
        <f>IF($E210="","",'I. Stream &amp; Compound Data'!$K86)</f>
        <v/>
      </c>
      <c r="M210" s="187" t="str">
        <f>IF($E210="","",'I. Stream &amp; Compound Data'!$K87)</f>
        <v/>
      </c>
      <c r="N210" s="187" t="str">
        <f>IF($E210="","",'I. Stream &amp; Compound Data'!$K90)</f>
        <v/>
      </c>
      <c r="O210" s="172"/>
      <c r="P210" s="172"/>
      <c r="Q210" s="172"/>
      <c r="R210" s="172"/>
      <c r="S210" s="172"/>
      <c r="T210" s="172"/>
      <c r="U210" s="172"/>
      <c r="V210" s="172"/>
      <c r="W210" s="172"/>
      <c r="X210" s="172"/>
      <c r="Y210" s="173"/>
    </row>
    <row r="211" ht="18.75" customHeight="true" x14ac:dyDescent="0.25">
      <c r="B211" s="754"/>
      <c r="C211" s="172"/>
      <c r="D211" s="185">
        <f t="shared" ref="D211:D248" si="27">D210+1</f>
        <v>3</v>
      </c>
      <c r="E211" s="1457" t="str">
        <f>IF('I. Stream &amp; Compound Data'!O28="","",'I. Stream &amp; Compound Data'!O28)</f>
        <v/>
      </c>
      <c r="F211" s="1295" t="str">
        <f>IF(E211="","",'I. Stream &amp; Compound Data'!O29)</f>
        <v/>
      </c>
      <c r="G211" s="1295" t="str">
        <f>IF(E211="","",'I. Stream &amp; Compound Data'!O30)</f>
        <v/>
      </c>
      <c r="H211" s="186" t="str">
        <f>IF(E211="","",'I. Stream &amp; Compound Data'!N88)</f>
        <v/>
      </c>
      <c r="I211" s="186" t="str">
        <f t="shared" si="26"/>
        <v/>
      </c>
      <c r="J211" s="186" t="str">
        <f>IF($E211="","",'I. Stream &amp; Compound Data'!$N92)</f>
        <v/>
      </c>
      <c r="K211" s="1458" t="str">
        <f>IF(J211="","",J211*8766)</f>
        <v/>
      </c>
      <c r="L211" s="186" t="str">
        <f>IF($E211="","",'I. Stream &amp; Compound Data'!$N86)</f>
        <v/>
      </c>
      <c r="M211" s="187" t="str">
        <f>IF($E211="","",'I. Stream &amp; Compound Data'!$N87)</f>
        <v/>
      </c>
      <c r="N211" s="187" t="str">
        <f>IF($E211="","",'I. Stream &amp; Compound Data'!$N90)</f>
        <v/>
      </c>
      <c r="O211" s="172"/>
      <c r="P211" s="172"/>
      <c r="Q211" s="172"/>
      <c r="R211" s="172"/>
      <c r="S211" s="172"/>
      <c r="T211" s="172"/>
      <c r="U211" s="172"/>
      <c r="V211" s="172"/>
      <c r="W211" s="172"/>
      <c r="X211" s="172"/>
      <c r="Y211" s="173"/>
    </row>
    <row r="212" ht="18.75" customHeight="true" x14ac:dyDescent="0.25">
      <c r="B212" s="754"/>
      <c r="C212" s="172"/>
      <c r="D212" s="185">
        <f t="shared" si="27"/>
        <v>4</v>
      </c>
      <c r="E212" s="1457" t="str">
        <f>IF('I. Stream &amp; Compound Data'!R28="","",'I. Stream &amp; Compound Data'!R28)</f>
        <v/>
      </c>
      <c r="F212" s="1295" t="str">
        <f>IF(E212="","",'I. Stream &amp; Compound Data'!R29)</f>
        <v/>
      </c>
      <c r="G212" s="1295" t="str">
        <f>IF(E212="","",'I. Stream &amp; Compound Data'!R30)</f>
        <v/>
      </c>
      <c r="H212" s="186" t="str">
        <f>IF(E212="","",'I. Stream &amp; Compound Data'!Q88)</f>
        <v/>
      </c>
      <c r="I212" s="186" t="str">
        <f t="shared" si="26"/>
        <v/>
      </c>
      <c r="J212" s="186" t="str">
        <f>IF($E212="","",'I. Stream &amp; Compound Data'!$Q92)</f>
        <v/>
      </c>
      <c r="K212" s="1458" t="str">
        <f>IF(J212="","",J212*8766)</f>
        <v/>
      </c>
      <c r="L212" s="186" t="str">
        <f>IF($E212="","",'I. Stream &amp; Compound Data'!$Q86)</f>
        <v/>
      </c>
      <c r="M212" s="187" t="str">
        <f>IF($E212="","",'I. Stream &amp; Compound Data'!$Q87)</f>
        <v/>
      </c>
      <c r="N212" s="187" t="str">
        <f>IF($E212="","",'I. Stream &amp; Compound Data'!$Q90)</f>
        <v/>
      </c>
      <c r="O212" s="172"/>
      <c r="P212" s="172"/>
      <c r="Q212" s="172"/>
      <c r="R212" s="172"/>
      <c r="S212" s="172"/>
      <c r="T212" s="172"/>
      <c r="U212" s="172"/>
      <c r="V212" s="172"/>
      <c r="W212" s="172"/>
      <c r="X212" s="172"/>
      <c r="Y212" s="173"/>
    </row>
    <row r="213" ht="18.75" customHeight="true" x14ac:dyDescent="0.25">
      <c r="B213" s="754"/>
      <c r="C213" s="172"/>
      <c r="D213" s="185">
        <f t="shared" si="27"/>
        <v>5</v>
      </c>
      <c r="E213" s="1457" t="str">
        <f>IF('I. Stream &amp; Compound Data'!U28="","",'I. Stream &amp; Compound Data'!U28)</f>
        <v/>
      </c>
      <c r="F213" s="1295" t="str">
        <f>IF(E213="","",'I. Stream &amp; Compound Data'!U29)</f>
        <v/>
      </c>
      <c r="G213" s="1295" t="str">
        <f>IF(E213="","",'I. Stream &amp; Compound Data'!U30)</f>
        <v/>
      </c>
      <c r="H213" s="186" t="str">
        <f>IF(E213="","",'I. Stream &amp; Compound Data'!T88)</f>
        <v/>
      </c>
      <c r="I213" s="186" t="str">
        <f t="shared" si="26"/>
        <v/>
      </c>
      <c r="J213" s="186" t="str">
        <f>IF($E213="","",'I. Stream &amp; Compound Data'!$T92)</f>
        <v/>
      </c>
      <c r="K213" s="1458" t="str">
        <f>IF(J213="","",J213*8766)</f>
        <v/>
      </c>
      <c r="L213" s="186" t="str">
        <f>IF($E213="","",'I. Stream &amp; Compound Data'!$T86)</f>
        <v/>
      </c>
      <c r="M213" s="187" t="str">
        <f>IF($E213="","",'I. Stream &amp; Compound Data'!$T87)</f>
        <v/>
      </c>
      <c r="N213" s="187" t="str">
        <f>IF($E213="","",'I. Stream &amp; Compound Data'!$T90)</f>
        <v/>
      </c>
      <c r="O213" s="172"/>
      <c r="P213" s="172"/>
      <c r="Q213" s="172"/>
      <c r="R213" s="172"/>
      <c r="S213" s="172"/>
      <c r="T213" s="172"/>
      <c r="U213" s="172"/>
      <c r="V213" s="172"/>
      <c r="W213" s="172"/>
      <c r="X213" s="172"/>
      <c r="Y213" s="173"/>
    </row>
    <row r="214" ht="18.75" customHeight="true" x14ac:dyDescent="0.25">
      <c r="B214" s="754"/>
      <c r="C214" s="172"/>
      <c r="D214" s="185">
        <f t="shared" si="27"/>
        <v>6</v>
      </c>
      <c r="E214" s="1457" t="str">
        <f>IF('I. Stream &amp; Compound Data'!X28="","",'I. Stream &amp; Compound Data'!X28)</f>
        <v/>
      </c>
      <c r="F214" s="1295" t="str">
        <f>IF(E214="","",'I. Stream &amp; Compound Data'!X29)</f>
        <v/>
      </c>
      <c r="G214" s="1295" t="str">
        <f>IF(E214="","",'I. Stream &amp; Compound Data'!X30)</f>
        <v/>
      </c>
      <c r="H214" s="186" t="str">
        <f>IF(E214="","",'I. Stream &amp; Compound Data'!W88)</f>
        <v/>
      </c>
      <c r="I214" s="186" t="str">
        <f t="shared" si="26"/>
        <v/>
      </c>
      <c r="J214" s="186" t="str">
        <f>IF($E214="","",'I. Stream &amp; Compound Data'!$W92)</f>
        <v/>
      </c>
      <c r="K214" s="1458" t="str">
        <f t="shared" ref="K214:K248" si="28">IF(J214="","",J214*8766)</f>
        <v/>
      </c>
      <c r="L214" s="186" t="str">
        <f>IF($E214="","",'I. Stream &amp; Compound Data'!$W86)</f>
        <v/>
      </c>
      <c r="M214" s="187" t="str">
        <f>IF($E214="","",'I. Stream &amp; Compound Data'!$W87)</f>
        <v/>
      </c>
      <c r="N214" s="187" t="str">
        <f>IF($E214="","",'I. Stream &amp; Compound Data'!$W90)</f>
        <v/>
      </c>
      <c r="O214" s="172"/>
      <c r="P214" s="172"/>
      <c r="Q214" s="172"/>
      <c r="R214" s="172"/>
      <c r="S214" s="172"/>
      <c r="T214" s="172"/>
      <c r="U214" s="172"/>
      <c r="V214" s="172"/>
      <c r="W214" s="172"/>
      <c r="X214" s="172"/>
      <c r="Y214" s="173"/>
    </row>
    <row r="215" ht="18.75" customHeight="true" x14ac:dyDescent="0.25">
      <c r="B215" s="754"/>
      <c r="C215" s="172"/>
      <c r="D215" s="185">
        <f t="shared" si="27"/>
        <v>7</v>
      </c>
      <c r="E215" s="1457" t="str">
        <f>IF('I. Stream &amp; Compound Data'!AA28="","",'I. Stream &amp; Compound Data'!AA28)</f>
        <v/>
      </c>
      <c r="F215" s="1295" t="str">
        <f>IF(E215="","",'I. Stream &amp; Compound Data'!AA29)</f>
        <v/>
      </c>
      <c r="G215" s="1295" t="str">
        <f>IF(E215="","",'I. Stream &amp; Compound Data'!AA30)</f>
        <v/>
      </c>
      <c r="H215" s="186" t="str">
        <f>IF(E215="","",'I. Stream &amp; Compound Data'!Z88)</f>
        <v/>
      </c>
      <c r="I215" s="186" t="str">
        <f t="shared" si="26"/>
        <v/>
      </c>
      <c r="J215" s="186" t="str">
        <f>IF($E215="","",'I. Stream &amp; Compound Data'!$Z92)</f>
        <v/>
      </c>
      <c r="K215" s="1458" t="str">
        <f t="shared" si="28"/>
        <v/>
      </c>
      <c r="L215" s="186" t="str">
        <f>IF($E215="","",'I. Stream &amp; Compound Data'!$Z86)</f>
        <v/>
      </c>
      <c r="M215" s="187" t="str">
        <f>IF($E215="","",'I. Stream &amp; Compound Data'!$Z87)</f>
        <v/>
      </c>
      <c r="N215" s="187" t="str">
        <f>IF($E215="","",'I. Stream &amp; Compound Data'!$Z90)</f>
        <v/>
      </c>
      <c r="O215" s="172"/>
      <c r="P215" s="172"/>
      <c r="Q215" s="172"/>
      <c r="R215" s="172"/>
      <c r="S215" s="172"/>
      <c r="T215" s="172"/>
      <c r="U215" s="172"/>
      <c r="V215" s="172"/>
      <c r="W215" s="172"/>
      <c r="X215" s="172"/>
      <c r="Y215" s="173"/>
    </row>
    <row r="216" ht="18.75" customHeight="true" x14ac:dyDescent="0.25">
      <c r="B216" s="754"/>
      <c r="C216" s="172"/>
      <c r="D216" s="185">
        <f t="shared" si="27"/>
        <v>8</v>
      </c>
      <c r="E216" s="1457" t="str">
        <f>IF('I. Stream &amp; Compound Data'!AD28="","",'I. Stream &amp; Compound Data'!AD28)</f>
        <v/>
      </c>
      <c r="F216" s="1295" t="str">
        <f>IF(E216="","",'I. Stream &amp; Compound Data'!AD29)</f>
        <v/>
      </c>
      <c r="G216" s="1295" t="str">
        <f>IF(E216="","",'I. Stream &amp; Compound Data'!AD30)</f>
        <v/>
      </c>
      <c r="H216" s="186" t="str">
        <f>IF(E216="","",'I. Stream &amp; Compound Data'!AC88)</f>
        <v/>
      </c>
      <c r="I216" s="186" t="str">
        <f t="shared" si="26"/>
        <v/>
      </c>
      <c r="J216" s="186" t="str">
        <f>IF($E216="","",'I. Stream &amp; Compound Data'!$AC92)</f>
        <v/>
      </c>
      <c r="K216" s="1458" t="str">
        <f t="shared" si="28"/>
        <v/>
      </c>
      <c r="L216" s="186" t="str">
        <f>IF($E216="","",'I. Stream &amp; Compound Data'!$AC86)</f>
        <v/>
      </c>
      <c r="M216" s="187" t="str">
        <f>IF($E216="","",'I. Stream &amp; Compound Data'!$AC87)</f>
        <v/>
      </c>
      <c r="N216" s="187" t="str">
        <f>IF($E216="","",'I. Stream &amp; Compound Data'!$AC90)</f>
        <v/>
      </c>
      <c r="O216" s="172"/>
      <c r="P216" s="172"/>
      <c r="Q216" s="172"/>
      <c r="R216" s="172"/>
      <c r="S216" s="172"/>
      <c r="T216" s="172"/>
      <c r="U216" s="172"/>
      <c r="V216" s="172"/>
      <c r="W216" s="172"/>
      <c r="X216" s="172"/>
      <c r="Y216" s="173"/>
    </row>
    <row r="217" ht="18.75" customHeight="true" x14ac:dyDescent="0.25">
      <c r="B217" s="754"/>
      <c r="C217" s="172"/>
      <c r="D217" s="185">
        <f t="shared" si="27"/>
        <v>9</v>
      </c>
      <c r="E217" s="1457" t="str">
        <f>IF('I. Stream &amp; Compound Data'!AG28="","",'I. Stream &amp; Compound Data'!AG28)</f>
        <v/>
      </c>
      <c r="F217" s="1295" t="str">
        <f>IF(E217="","",'I. Stream &amp; Compound Data'!AG29)</f>
        <v/>
      </c>
      <c r="G217" s="1295" t="str">
        <f>IF(E217="","",'I. Stream &amp; Compound Data'!AG30)</f>
        <v/>
      </c>
      <c r="H217" s="186" t="str">
        <f>IF(E217="","",'I. Stream &amp; Compound Data'!AF88)</f>
        <v/>
      </c>
      <c r="I217" s="186" t="str">
        <f t="shared" si="26"/>
        <v/>
      </c>
      <c r="J217" s="186" t="str">
        <f>IF($E217="","",'I. Stream &amp; Compound Data'!$AF92)</f>
        <v/>
      </c>
      <c r="K217" s="1458" t="str">
        <f t="shared" si="28"/>
        <v/>
      </c>
      <c r="L217" s="186" t="str">
        <f>IF($E217="","",'I. Stream &amp; Compound Data'!$AF86)</f>
        <v/>
      </c>
      <c r="M217" s="187" t="str">
        <f>IF($E217="","",'I. Stream &amp; Compound Data'!$AF87)</f>
        <v/>
      </c>
      <c r="N217" s="187" t="str">
        <f>IF($E217="","",'I. Stream &amp; Compound Data'!$AF90)</f>
        <v/>
      </c>
      <c r="O217" s="172"/>
      <c r="P217" s="172"/>
      <c r="Q217" s="172"/>
      <c r="R217" s="172"/>
      <c r="S217" s="172"/>
      <c r="T217" s="172"/>
      <c r="U217" s="172"/>
      <c r="V217" s="172"/>
      <c r="W217" s="172"/>
      <c r="X217" s="172"/>
      <c r="Y217" s="173"/>
    </row>
    <row r="218" ht="18.75" customHeight="true" x14ac:dyDescent="0.25">
      <c r="B218" s="754"/>
      <c r="C218" s="172"/>
      <c r="D218" s="185">
        <f t="shared" si="27"/>
        <v>10</v>
      </c>
      <c r="E218" s="1457" t="str">
        <f>IF('I. Stream &amp; Compound Data'!AJ28="","",'I. Stream &amp; Compound Data'!AJ28)</f>
        <v/>
      </c>
      <c r="F218" s="1295" t="str">
        <f>IF(E218="","",'I. Stream &amp; Compound Data'!AJ29)</f>
        <v/>
      </c>
      <c r="G218" s="1295" t="str">
        <f>IF(E218="","",'I. Stream &amp; Compound Data'!AJ30)</f>
        <v/>
      </c>
      <c r="H218" s="186" t="str">
        <f>IF(E218="","",'I. Stream &amp; Compound Data'!AI88)</f>
        <v/>
      </c>
      <c r="I218" s="186" t="str">
        <f t="shared" si="26"/>
        <v/>
      </c>
      <c r="J218" s="186" t="str">
        <f>IF($E218="","",'I. Stream &amp; Compound Data'!$AI92)</f>
        <v/>
      </c>
      <c r="K218" s="1458" t="str">
        <f t="shared" si="28"/>
        <v/>
      </c>
      <c r="L218" s="186" t="str">
        <f>IF($E218="","",'I. Stream &amp; Compound Data'!$AI86)</f>
        <v/>
      </c>
      <c r="M218" s="187" t="str">
        <f>IF($E218="","",'I. Stream &amp; Compound Data'!$AI87)</f>
        <v/>
      </c>
      <c r="N218" s="187" t="str">
        <f>IF($E218="","",'I. Stream &amp; Compound Data'!$AI90)</f>
        <v/>
      </c>
      <c r="O218" s="172"/>
      <c r="P218" s="172"/>
      <c r="Q218" s="172"/>
      <c r="R218" s="172"/>
      <c r="S218" s="172"/>
      <c r="T218" s="172"/>
      <c r="U218" s="172"/>
      <c r="V218" s="172"/>
      <c r="W218" s="172"/>
      <c r="X218" s="172"/>
      <c r="Y218" s="173"/>
    </row>
    <row r="219" ht="18.75" customHeight="true" x14ac:dyDescent="0.25">
      <c r="B219" s="754"/>
      <c r="C219" s="172"/>
      <c r="D219" s="185">
        <f t="shared" si="27"/>
        <v>11</v>
      </c>
      <c r="E219" s="186" t="str">
        <f>IF('I. Stream &amp; Compound Data'!AM28="","",'I. Stream &amp; Compound Data'!AM38)</f>
        <v/>
      </c>
      <c r="F219" s="186" t="str">
        <f>IF('I. Stream &amp; Compound Data'!AM29="","",'I. Stream &amp; Compound Data'!AM29)</f>
        <v/>
      </c>
      <c r="G219" s="186" t="str">
        <f>IF('I. Stream &amp; Compound Data'!AM30="","",'I. Stream &amp; Compound Data'!AM30)</f>
        <v/>
      </c>
      <c r="H219" s="186" t="str">
        <f>IF(E219="","",'I. Stream &amp; Compound Data'!AL88)</f>
        <v/>
      </c>
      <c r="I219" s="186" t="str">
        <f t="shared" si="26"/>
        <v/>
      </c>
      <c r="J219" s="186" t="str">
        <f>IF($E219="","",'I. Stream &amp; Compound Data'!$AL92)</f>
        <v/>
      </c>
      <c r="K219" s="1458" t="str">
        <f t="shared" si="28"/>
        <v/>
      </c>
      <c r="L219" s="186" t="str">
        <f>IF($E219="","",'I. Stream &amp; Compound Data'!$AL86)</f>
        <v/>
      </c>
      <c r="M219" s="187" t="str">
        <f>IF($E219="","",'I. Stream &amp; Compound Data'!$AL87)</f>
        <v/>
      </c>
      <c r="N219" s="187" t="str">
        <f>IF($E219="","",'I. Stream &amp; Compound Data'!$AL90)</f>
        <v/>
      </c>
      <c r="O219" s="172"/>
      <c r="P219" s="172"/>
      <c r="Q219" s="172"/>
      <c r="R219" s="172"/>
      <c r="S219" s="172"/>
      <c r="T219" s="172"/>
      <c r="U219" s="172"/>
      <c r="V219" s="172"/>
      <c r="W219" s="172"/>
      <c r="X219" s="172"/>
      <c r="Y219" s="173"/>
    </row>
    <row r="220" ht="18.75" customHeight="true" x14ac:dyDescent="0.25">
      <c r="B220" s="754"/>
      <c r="C220" s="172"/>
      <c r="D220" s="185">
        <f t="shared" si="27"/>
        <v>12</v>
      </c>
      <c r="E220" s="186" t="str">
        <f>IF('I. Stream &amp; Compound Data'!AP28="","",'I. Stream &amp; Compound Data'!AP28)</f>
        <v/>
      </c>
      <c r="F220" s="186" t="str">
        <f>IF('I. Stream &amp; Compound Data'!AP29="","",'I. Stream &amp; Compound Data'!AP29)</f>
        <v/>
      </c>
      <c r="G220" s="186" t="str">
        <f>IF('I. Stream &amp; Compound Data'!AP30="","",'I. Stream &amp; Compound Data'!AP30)</f>
        <v/>
      </c>
      <c r="H220" s="186" t="str">
        <f>IF(E220="","",'I. Stream &amp; Compound Data'!AO88)</f>
        <v/>
      </c>
      <c r="I220" s="186" t="str">
        <f t="shared" si="26"/>
        <v/>
      </c>
      <c r="J220" s="186" t="str">
        <f>IF($E220="","",'I. Stream &amp; Compound Data'!$AO92)</f>
        <v/>
      </c>
      <c r="K220" s="1458" t="str">
        <f t="shared" si="28"/>
        <v/>
      </c>
      <c r="L220" s="186" t="str">
        <f>IF($E220="","",'I. Stream &amp; Compound Data'!$AO86)</f>
        <v/>
      </c>
      <c r="M220" s="187" t="str">
        <f>IF($E220="","",'I. Stream &amp; Compound Data'!$AO87)</f>
        <v/>
      </c>
      <c r="N220" s="187" t="str">
        <f>IF($E220="","",'I. Stream &amp; Compound Data'!$AO90)</f>
        <v/>
      </c>
      <c r="O220" s="172"/>
      <c r="P220" s="172"/>
      <c r="Q220" s="172"/>
      <c r="R220" s="172"/>
      <c r="S220" s="172"/>
      <c r="T220" s="172"/>
      <c r="U220" s="172"/>
      <c r="V220" s="172"/>
      <c r="W220" s="172"/>
      <c r="X220" s="172"/>
      <c r="Y220" s="173"/>
    </row>
    <row r="221" ht="18.75" customHeight="true" x14ac:dyDescent="0.25">
      <c r="B221" s="754"/>
      <c r="C221" s="172"/>
      <c r="D221" s="185">
        <f t="shared" si="27"/>
        <v>13</v>
      </c>
      <c r="E221" s="186" t="str">
        <f>IF('I. Stream &amp; Compound Data'!AS28="","",'I. Stream &amp; Compound Data'!AS28)</f>
        <v/>
      </c>
      <c r="F221" s="186" t="str">
        <f>IF('I. Stream &amp; Compound Data'!AS29="","",'I. Stream &amp; Compound Data'!AS29)</f>
        <v/>
      </c>
      <c r="G221" s="186" t="str">
        <f>IF('I. Stream &amp; Compound Data'!AS30="","",'I. Stream &amp; Compound Data'!AS30)</f>
        <v/>
      </c>
      <c r="H221" s="186" t="str">
        <f>IF(E221="","",'I. Stream &amp; Compound Data'!AR88)</f>
        <v/>
      </c>
      <c r="I221" s="186" t="str">
        <f t="shared" si="26"/>
        <v/>
      </c>
      <c r="J221" s="186" t="str">
        <f>IF($E221="","",'I. Stream &amp; Compound Data'!$AR92)</f>
        <v/>
      </c>
      <c r="K221" s="1458" t="str">
        <f t="shared" si="28"/>
        <v/>
      </c>
      <c r="L221" s="186" t="str">
        <f>IF($E221="","",'I. Stream &amp; Compound Data'!$AR86)</f>
        <v/>
      </c>
      <c r="M221" s="187" t="str">
        <f>IF($E221="","",'I. Stream &amp; Compound Data'!$AR87)</f>
        <v/>
      </c>
      <c r="N221" s="187" t="str">
        <f>IF($E221="","",'I. Stream &amp; Compound Data'!$AR90)</f>
        <v/>
      </c>
      <c r="O221" s="172"/>
      <c r="P221" s="172"/>
      <c r="Q221" s="172"/>
      <c r="R221" s="172"/>
      <c r="S221" s="172"/>
      <c r="T221" s="172"/>
      <c r="U221" s="172"/>
      <c r="V221" s="172"/>
      <c r="W221" s="172"/>
      <c r="X221" s="172"/>
      <c r="Y221" s="173"/>
    </row>
    <row r="222" ht="18.75" customHeight="true" x14ac:dyDescent="0.25">
      <c r="B222" s="754"/>
      <c r="C222" s="172"/>
      <c r="D222" s="185">
        <f t="shared" si="27"/>
        <v>14</v>
      </c>
      <c r="E222" s="186" t="str">
        <f>IF('I. Stream &amp; Compound Data'!AV28="","",'I. Stream &amp; Compound Data'!AV28)</f>
        <v/>
      </c>
      <c r="F222" s="186" t="str">
        <f>IF('I. Stream &amp; Compound Data'!AV29="","",'I. Stream &amp; Compound Data'!AV29)</f>
        <v/>
      </c>
      <c r="G222" s="186" t="str">
        <f>IF('I. Stream &amp; Compound Data'!AV30="","",'I. Stream &amp; Compound Data'!AV30)</f>
        <v/>
      </c>
      <c r="H222" s="186" t="str">
        <f>IF(E222="","",'I. Stream &amp; Compound Data'!AU88)</f>
        <v/>
      </c>
      <c r="I222" s="186" t="str">
        <f t="shared" si="26"/>
        <v/>
      </c>
      <c r="J222" s="186" t="str">
        <f>IF($E222="","",'I. Stream &amp; Compound Data'!$AU92)</f>
        <v/>
      </c>
      <c r="K222" s="1458" t="str">
        <f t="shared" si="28"/>
        <v/>
      </c>
      <c r="L222" s="186" t="str">
        <f>IF($E222="","",'I. Stream &amp; Compound Data'!$AU86)</f>
        <v/>
      </c>
      <c r="M222" s="187" t="str">
        <f>IF($E222="","",'I. Stream &amp; Compound Data'!$AU87)</f>
        <v/>
      </c>
      <c r="N222" s="187" t="str">
        <f>IF($E222="","",'I. Stream &amp; Compound Data'!$AU90)</f>
        <v/>
      </c>
      <c r="O222" s="172"/>
      <c r="P222" s="172"/>
      <c r="Q222" s="172"/>
      <c r="R222" s="172"/>
      <c r="S222" s="172"/>
      <c r="T222" s="172"/>
      <c r="U222" s="172"/>
      <c r="V222" s="172"/>
      <c r="W222" s="172"/>
      <c r="X222" s="172"/>
      <c r="Y222" s="173"/>
    </row>
    <row r="223" ht="18.75" customHeight="true" x14ac:dyDescent="0.25">
      <c r="B223" s="754"/>
      <c r="C223" s="172"/>
      <c r="D223" s="185">
        <f t="shared" si="27"/>
        <v>15</v>
      </c>
      <c r="E223" s="186" t="str">
        <f>IF('I. Stream &amp; Compound Data'!AY28="","",'I. Stream &amp; Compound Data'!AY28)</f>
        <v/>
      </c>
      <c r="F223" s="186" t="str">
        <f>IF('I. Stream &amp; Compound Data'!AY29="","",'I. Stream &amp; Compound Data'!AY29)</f>
        <v/>
      </c>
      <c r="G223" s="186" t="str">
        <f>IF('I. Stream &amp; Compound Data'!AY30="","",'I. Stream &amp; Compound Data'!AY30)</f>
        <v/>
      </c>
      <c r="H223" s="186" t="str">
        <f>IF(E223="","",'I. Stream &amp; Compound Data'!AX88)</f>
        <v/>
      </c>
      <c r="I223" s="186" t="str">
        <f t="shared" si="26"/>
        <v/>
      </c>
      <c r="J223" s="186" t="str">
        <f>IF($E223="","",'I. Stream &amp; Compound Data'!$AX92)</f>
        <v/>
      </c>
      <c r="K223" s="1458" t="str">
        <f t="shared" si="28"/>
        <v/>
      </c>
      <c r="L223" s="186" t="str">
        <f>IF($E223="","",'I. Stream &amp; Compound Data'!$AX86)</f>
        <v/>
      </c>
      <c r="M223" s="187" t="str">
        <f>IF($E223="","",'I. Stream &amp; Compound Data'!$AX87)</f>
        <v/>
      </c>
      <c r="N223" s="187" t="str">
        <f>IF($E223="","",'I. Stream &amp; Compound Data'!$AX90)</f>
        <v/>
      </c>
      <c r="O223" s="172"/>
      <c r="P223" s="172"/>
      <c r="Q223" s="172"/>
      <c r="R223" s="172"/>
      <c r="S223" s="172"/>
      <c r="T223" s="172"/>
      <c r="U223" s="172"/>
      <c r="V223" s="172"/>
      <c r="W223" s="172"/>
      <c r="X223" s="172"/>
      <c r="Y223" s="173"/>
    </row>
    <row r="224" ht="18.75" customHeight="true" x14ac:dyDescent="0.25">
      <c r="B224" s="754"/>
      <c r="C224" s="172"/>
      <c r="D224" s="185">
        <f t="shared" si="27"/>
        <v>16</v>
      </c>
      <c r="E224" s="186" t="str">
        <f>IF('I. Stream &amp; Compound Data'!BB28="","",'I. Stream &amp; Compound Data'!BB28)</f>
        <v/>
      </c>
      <c r="F224" s="186" t="str">
        <f>IF('I. Stream &amp; Compound Data'!BB29="","",'I. Stream &amp; Compound Data'!BB29)</f>
        <v/>
      </c>
      <c r="G224" s="186" t="str">
        <f>IF('I. Stream &amp; Compound Data'!BB30="","",'I. Stream &amp; Compound Data'!BB30)</f>
        <v/>
      </c>
      <c r="H224" s="186" t="str">
        <f>IF(E224="","",'I. Stream &amp; Compound Data'!BA88)</f>
        <v/>
      </c>
      <c r="I224" s="186" t="str">
        <f t="shared" si="26"/>
        <v/>
      </c>
      <c r="J224" s="186" t="str">
        <f>IF($E224="","",'I. Stream &amp; Compound Data'!$BA92)</f>
        <v/>
      </c>
      <c r="K224" s="1458" t="str">
        <f t="shared" si="28"/>
        <v/>
      </c>
      <c r="L224" s="186" t="str">
        <f>IF($E224="","",'I. Stream &amp; Compound Data'!$BA86)</f>
        <v/>
      </c>
      <c r="M224" s="187" t="str">
        <f>IF($E224="","",'I. Stream &amp; Compound Data'!$BA87)</f>
        <v/>
      </c>
      <c r="N224" s="187" t="str">
        <f>IF($E224="","",'I. Stream &amp; Compound Data'!$BA90)</f>
        <v/>
      </c>
      <c r="O224" s="172"/>
      <c r="P224" s="172"/>
      <c r="Q224" s="172"/>
      <c r="R224" s="172"/>
      <c r="S224" s="172"/>
      <c r="T224" s="172"/>
      <c r="U224" s="172"/>
      <c r="V224" s="172"/>
      <c r="W224" s="172"/>
      <c r="X224" s="172"/>
      <c r="Y224" s="173"/>
    </row>
    <row r="225" ht="18.75" customHeight="true" x14ac:dyDescent="0.25">
      <c r="B225" s="754"/>
      <c r="C225" s="172"/>
      <c r="D225" s="185">
        <f t="shared" si="27"/>
        <v>17</v>
      </c>
      <c r="E225" s="186" t="str">
        <f>IF('I. Stream &amp; Compound Data'!BE28="","",'I. Stream &amp; Compound Data'!BE28)</f>
        <v/>
      </c>
      <c r="F225" s="186" t="str">
        <f>IF('I. Stream &amp; Compound Data'!BE29="","",'I. Stream &amp; Compound Data'!BE29)</f>
        <v/>
      </c>
      <c r="G225" s="186" t="str">
        <f>IF('I. Stream &amp; Compound Data'!BE30="","",'I. Stream &amp; Compound Data'!BE30)</f>
        <v/>
      </c>
      <c r="H225" s="186" t="str">
        <f>IF(E225="","",'I. Stream &amp; Compound Data'!BD88)</f>
        <v/>
      </c>
      <c r="I225" s="186" t="str">
        <f t="shared" si="26"/>
        <v/>
      </c>
      <c r="J225" s="186" t="str">
        <f>IF($E225="","",'I. Stream &amp; Compound Data'!$BD92)</f>
        <v/>
      </c>
      <c r="K225" s="1458" t="str">
        <f t="shared" si="28"/>
        <v/>
      </c>
      <c r="L225" s="186" t="str">
        <f>IF($E225="","",'I. Stream &amp; Compound Data'!$BD86)</f>
        <v/>
      </c>
      <c r="M225" s="187" t="str">
        <f>IF($E225="","",'I. Stream &amp; Compound Data'!$BD87)</f>
        <v/>
      </c>
      <c r="N225" s="187" t="str">
        <f>IF($E225="","",'I. Stream &amp; Compound Data'!$BD90)</f>
        <v/>
      </c>
      <c r="O225" s="172"/>
      <c r="P225" s="172"/>
      <c r="Q225" s="172"/>
      <c r="R225" s="172"/>
      <c r="S225" s="172"/>
      <c r="T225" s="172"/>
      <c r="U225" s="172"/>
      <c r="V225" s="172"/>
      <c r="W225" s="172"/>
      <c r="X225" s="172"/>
      <c r="Y225" s="173"/>
    </row>
    <row r="226" ht="18.75" customHeight="true" x14ac:dyDescent="0.25">
      <c r="B226" s="754"/>
      <c r="C226" s="172"/>
      <c r="D226" s="185">
        <f t="shared" si="27"/>
        <v>18</v>
      </c>
      <c r="E226" s="186" t="str">
        <f>IF('I. Stream &amp; Compound Data'!BH28="","",'I. Stream &amp; Compound Data'!BH28)</f>
        <v/>
      </c>
      <c r="F226" s="186" t="str">
        <f>IF('I. Stream &amp; Compound Data'!BH29="","",'I. Stream &amp; Compound Data'!BH29)</f>
        <v/>
      </c>
      <c r="G226" s="186" t="str">
        <f>IF('I. Stream &amp; Compound Data'!BH30="","",'I. Stream &amp; Compound Data'!BH30)</f>
        <v/>
      </c>
      <c r="H226" s="186" t="str">
        <f>IF(E226="","",'I. Stream &amp; Compound Data'!BG88)</f>
        <v/>
      </c>
      <c r="I226" s="186" t="str">
        <f t="shared" si="26"/>
        <v/>
      </c>
      <c r="J226" s="186" t="str">
        <f>IF($E226="","",'I. Stream &amp; Compound Data'!$BG92)</f>
        <v/>
      </c>
      <c r="K226" s="1458" t="str">
        <f t="shared" si="28"/>
        <v/>
      </c>
      <c r="L226" s="186" t="str">
        <f>IF($E226="","",'I. Stream &amp; Compound Data'!$BG86)</f>
        <v/>
      </c>
      <c r="M226" s="187" t="str">
        <f>IF($E226="","",'I. Stream &amp; Compound Data'!$BG87)</f>
        <v/>
      </c>
      <c r="N226" s="187" t="str">
        <f>IF($E226="","",'I. Stream &amp; Compound Data'!$BG90)</f>
        <v/>
      </c>
      <c r="O226" s="172"/>
      <c r="P226" s="172"/>
      <c r="Q226" s="172"/>
      <c r="R226" s="172"/>
      <c r="S226" s="172"/>
      <c r="T226" s="172"/>
      <c r="U226" s="172"/>
      <c r="V226" s="172"/>
      <c r="W226" s="172"/>
      <c r="X226" s="172"/>
      <c r="Y226" s="173"/>
    </row>
    <row r="227" ht="18.75" customHeight="true" x14ac:dyDescent="0.25">
      <c r="B227" s="754"/>
      <c r="C227" s="172"/>
      <c r="D227" s="185">
        <f t="shared" si="27"/>
        <v>19</v>
      </c>
      <c r="E227" s="186" t="str">
        <f>IF('I. Stream &amp; Compound Data'!BK28="","",'I. Stream &amp; Compound Data'!BK28)</f>
        <v/>
      </c>
      <c r="F227" s="186" t="str">
        <f>IF('I. Stream &amp; Compound Data'!BK29="","",'I. Stream &amp; Compound Data'!BK29)</f>
        <v/>
      </c>
      <c r="G227" s="186" t="str">
        <f>IF('I. Stream &amp; Compound Data'!BK30="","",'I. Stream &amp; Compound Data'!BK30)</f>
        <v/>
      </c>
      <c r="H227" s="186" t="str">
        <f>IF(E227="","",'I. Stream &amp; Compound Data'!BJ88)</f>
        <v/>
      </c>
      <c r="I227" s="186" t="str">
        <f t="shared" si="26"/>
        <v/>
      </c>
      <c r="J227" s="186" t="str">
        <f>IF($E227="","",'I. Stream &amp; Compound Data'!$BJ92)</f>
        <v/>
      </c>
      <c r="K227" s="1458" t="str">
        <f t="shared" si="28"/>
        <v/>
      </c>
      <c r="L227" s="186" t="str">
        <f>IF($E227="","",'I. Stream &amp; Compound Data'!$BJ86)</f>
        <v/>
      </c>
      <c r="M227" s="187" t="str">
        <f>IF($E227="","",'I. Stream &amp; Compound Data'!$BJ87)</f>
        <v/>
      </c>
      <c r="N227" s="187" t="str">
        <f>IF($E227="","",'I. Stream &amp; Compound Data'!$BJ90)</f>
        <v/>
      </c>
      <c r="O227" s="172"/>
      <c r="P227" s="172"/>
      <c r="Q227" s="172"/>
      <c r="R227" s="172"/>
      <c r="S227" s="172"/>
      <c r="T227" s="172"/>
      <c r="U227" s="172"/>
      <c r="V227" s="172"/>
      <c r="W227" s="172"/>
      <c r="X227" s="172"/>
      <c r="Y227" s="173"/>
    </row>
    <row r="228" ht="18.75" customHeight="true" x14ac:dyDescent="0.25">
      <c r="B228" s="754"/>
      <c r="C228" s="172"/>
      <c r="D228" s="185">
        <f t="shared" si="27"/>
        <v>20</v>
      </c>
      <c r="E228" s="186" t="str">
        <f>IF('I. Stream &amp; Compound Data'!BN28="","",'I. Stream &amp; Compound Data'!BN28)</f>
        <v/>
      </c>
      <c r="F228" s="186" t="str">
        <f>IF('I. Stream &amp; Compound Data'!BN29="","",'I. Stream &amp; Compound Data'!BN29)</f>
        <v/>
      </c>
      <c r="G228" s="186" t="str">
        <f>IF('I. Stream &amp; Compound Data'!BN30="","",'I. Stream &amp; Compound Data'!BN30)</f>
        <v/>
      </c>
      <c r="H228" s="186" t="str">
        <f>IF(E228="","",'I. Stream &amp; Compound Data'!BM88)</f>
        <v/>
      </c>
      <c r="I228" s="186" t="str">
        <f t="shared" si="26"/>
        <v/>
      </c>
      <c r="J228" s="186" t="str">
        <f>IF($E228="","",'I. Stream &amp; Compound Data'!$BM92)</f>
        <v/>
      </c>
      <c r="K228" s="1458" t="str">
        <f t="shared" si="28"/>
        <v/>
      </c>
      <c r="L228" s="186" t="str">
        <f>IF($E228="","",'I. Stream &amp; Compound Data'!$BM86)</f>
        <v/>
      </c>
      <c r="M228" s="187" t="str">
        <f>IF($E228="","",'I. Stream &amp; Compound Data'!$BM87)</f>
        <v/>
      </c>
      <c r="N228" s="187" t="str">
        <f>IF($E228="","",'I. Stream &amp; Compound Data'!$BM90)</f>
        <v/>
      </c>
      <c r="O228" s="172"/>
      <c r="P228" s="172"/>
      <c r="Q228" s="172"/>
      <c r="R228" s="172"/>
      <c r="S228" s="172"/>
      <c r="T228" s="172"/>
      <c r="U228" s="172"/>
      <c r="V228" s="172"/>
      <c r="W228" s="172"/>
      <c r="X228" s="172"/>
      <c r="Y228" s="173"/>
    </row>
    <row r="229" ht="18.75" customHeight="true" x14ac:dyDescent="0.25">
      <c r="B229" s="754"/>
      <c r="C229" s="172"/>
      <c r="D229" s="185">
        <f t="shared" si="27"/>
        <v>21</v>
      </c>
      <c r="E229" s="186" t="str">
        <f>IF('I. Stream &amp; Compound Data'!BQ28="","",'I. Stream &amp; Compound Data'!BQ28)</f>
        <v/>
      </c>
      <c r="F229" s="186" t="str">
        <f>IF('I. Stream &amp; Compound Data'!BQ29="","",'I. Stream &amp; Compound Data'!BQ29)</f>
        <v/>
      </c>
      <c r="G229" s="186" t="str">
        <f>IF('I. Stream &amp; Compound Data'!BQ30="","",'I. Stream &amp; Compound Data'!BQ30)</f>
        <v/>
      </c>
      <c r="H229" s="186" t="str">
        <f>IF(E229="","",'I. Stream &amp; Compound Data'!BP88)</f>
        <v/>
      </c>
      <c r="I229" s="186" t="str">
        <f t="shared" si="26"/>
        <v/>
      </c>
      <c r="J229" s="186" t="str">
        <f>IF($E229="","",'I. Stream &amp; Compound Data'!$BP92)</f>
        <v/>
      </c>
      <c r="K229" s="1458" t="str">
        <f t="shared" si="28"/>
        <v/>
      </c>
      <c r="L229" s="186" t="str">
        <f>IF($E229="","",'I. Stream &amp; Compound Data'!$BP86)</f>
        <v/>
      </c>
      <c r="M229" s="187" t="str">
        <f>IF($E229="","",'I. Stream &amp; Compound Data'!$BP87)</f>
        <v/>
      </c>
      <c r="N229" s="187" t="str">
        <f>IF($E229="","",'I. Stream &amp; Compound Data'!$BP90)</f>
        <v/>
      </c>
      <c r="O229" s="172"/>
      <c r="P229" s="172"/>
      <c r="Q229" s="172"/>
      <c r="R229" s="172"/>
      <c r="S229" s="172"/>
      <c r="T229" s="172"/>
      <c r="U229" s="172"/>
      <c r="V229" s="172"/>
      <c r="W229" s="172"/>
      <c r="X229" s="172"/>
      <c r="Y229" s="173"/>
    </row>
    <row r="230" ht="18.75" customHeight="true" x14ac:dyDescent="0.25">
      <c r="B230" s="754"/>
      <c r="C230" s="172"/>
      <c r="D230" s="185">
        <f t="shared" si="27"/>
        <v>22</v>
      </c>
      <c r="E230" s="186" t="str">
        <f>IF('I. Stream &amp; Compound Data'!BT28="","",'I. Stream &amp; Compound Data'!BT28)</f>
        <v/>
      </c>
      <c r="F230" s="186" t="str">
        <f>IF('I. Stream &amp; Compound Data'!BT29="","",'I. Stream &amp; Compound Data'!BT29)</f>
        <v/>
      </c>
      <c r="G230" s="186" t="str">
        <f>IF('I. Stream &amp; Compound Data'!BT30="","",'I. Stream &amp; Compound Data'!BT30)</f>
        <v/>
      </c>
      <c r="H230" s="186" t="str">
        <f>IF(E230="","",'I. Stream &amp; Compound Data'!BS88)</f>
        <v/>
      </c>
      <c r="I230" s="186" t="str">
        <f t="shared" si="26"/>
        <v/>
      </c>
      <c r="J230" s="186" t="str">
        <f>IF($E230="","",'I. Stream &amp; Compound Data'!$BS92)</f>
        <v/>
      </c>
      <c r="K230" s="1458" t="str">
        <f t="shared" si="28"/>
        <v/>
      </c>
      <c r="L230" s="186" t="str">
        <f>IF($E230="","",'I. Stream &amp; Compound Data'!$BS86)</f>
        <v/>
      </c>
      <c r="M230" s="187" t="str">
        <f>IF($E230="","",'I. Stream &amp; Compound Data'!$BS87)</f>
        <v/>
      </c>
      <c r="N230" s="187" t="str">
        <f>IF($E230="","",'I. Stream &amp; Compound Data'!$BS90)</f>
        <v/>
      </c>
      <c r="O230" s="172"/>
      <c r="P230" s="172"/>
      <c r="Q230" s="172"/>
      <c r="R230" s="172"/>
      <c r="S230" s="172"/>
      <c r="T230" s="172"/>
      <c r="U230" s="172"/>
      <c r="V230" s="172"/>
      <c r="W230" s="172"/>
      <c r="X230" s="172"/>
      <c r="Y230" s="173"/>
    </row>
    <row r="231" ht="18.75" customHeight="true" x14ac:dyDescent="0.25">
      <c r="B231" s="754"/>
      <c r="C231" s="172"/>
      <c r="D231" s="185">
        <f t="shared" si="27"/>
        <v>23</v>
      </c>
      <c r="E231" s="186" t="str">
        <f>IF('I. Stream &amp; Compound Data'!BW28="","",'I. Stream &amp; Compound Data'!BW28)</f>
        <v/>
      </c>
      <c r="F231" s="186" t="str">
        <f>IF('I. Stream &amp; Compound Data'!BW29="","",'I. Stream &amp; Compound Data'!BW29)</f>
        <v/>
      </c>
      <c r="G231" s="186" t="str">
        <f>IF('I. Stream &amp; Compound Data'!BW30="","",'I. Stream &amp; Compound Data'!BW30)</f>
        <v/>
      </c>
      <c r="H231" s="186" t="str">
        <f>IF(E231="","",'I. Stream &amp; Compound Data'!BV88)</f>
        <v/>
      </c>
      <c r="I231" s="186" t="str">
        <f t="shared" si="26"/>
        <v/>
      </c>
      <c r="J231" s="186" t="str">
        <f>IF($E231="","",'I. Stream &amp; Compound Data'!$BV92)</f>
        <v/>
      </c>
      <c r="K231" s="1458" t="str">
        <f t="shared" si="28"/>
        <v/>
      </c>
      <c r="L231" s="186" t="str">
        <f>IF($E231="","",'I. Stream &amp; Compound Data'!$BV86)</f>
        <v/>
      </c>
      <c r="M231" s="187" t="str">
        <f>IF($E231="","",'I. Stream &amp; Compound Data'!$BV87)</f>
        <v/>
      </c>
      <c r="N231" s="187" t="str">
        <f>IF($E231="","",'I. Stream &amp; Compound Data'!$BV90)</f>
        <v/>
      </c>
      <c r="O231" s="172"/>
      <c r="P231" s="172"/>
      <c r="Q231" s="172"/>
      <c r="R231" s="172"/>
      <c r="S231" s="172"/>
      <c r="T231" s="172"/>
      <c r="U231" s="172"/>
      <c r="V231" s="172"/>
      <c r="W231" s="172"/>
      <c r="X231" s="172"/>
      <c r="Y231" s="173"/>
    </row>
    <row r="232" ht="18.75" customHeight="true" x14ac:dyDescent="0.25">
      <c r="B232" s="754"/>
      <c r="C232" s="172"/>
      <c r="D232" s="185">
        <f t="shared" si="27"/>
        <v>24</v>
      </c>
      <c r="E232" s="186" t="str">
        <f>IF('I. Stream &amp; Compound Data'!BZ28="","",'I. Stream &amp; Compound Data'!BZ28)</f>
        <v/>
      </c>
      <c r="F232" s="186" t="str">
        <f>IF('I. Stream &amp; Compound Data'!BZ29="","",'I. Stream &amp; Compound Data'!BZ29)</f>
        <v/>
      </c>
      <c r="G232" s="186" t="str">
        <f>IF('I. Stream &amp; Compound Data'!BZ30="","",'I. Stream &amp; Compound Data'!BZ30)</f>
        <v/>
      </c>
      <c r="H232" s="186" t="str">
        <f>IF(E232="","",'I. Stream &amp; Compound Data'!BY88)</f>
        <v/>
      </c>
      <c r="I232" s="186" t="str">
        <f t="shared" si="26"/>
        <v/>
      </c>
      <c r="J232" s="186" t="str">
        <f>IF($E232="","",'I. Stream &amp; Compound Data'!$BY92)</f>
        <v/>
      </c>
      <c r="K232" s="1458" t="str">
        <f t="shared" si="28"/>
        <v/>
      </c>
      <c r="L232" s="186" t="str">
        <f>IF($E232="","",'I. Stream &amp; Compound Data'!$BY86)</f>
        <v/>
      </c>
      <c r="M232" s="187" t="str">
        <f>IF($E232="","",'I. Stream &amp; Compound Data'!$BY87)</f>
        <v/>
      </c>
      <c r="N232" s="187" t="str">
        <f>IF($E232="","",'I. Stream &amp; Compound Data'!$BY90)</f>
        <v/>
      </c>
      <c r="O232" s="172"/>
      <c r="P232" s="172"/>
      <c r="Q232" s="172"/>
      <c r="R232" s="172"/>
      <c r="S232" s="172"/>
      <c r="T232" s="172"/>
      <c r="U232" s="172"/>
      <c r="V232" s="172"/>
      <c r="W232" s="172"/>
      <c r="X232" s="172"/>
      <c r="Y232" s="173"/>
    </row>
    <row r="233" ht="18.75" customHeight="true" x14ac:dyDescent="0.25">
      <c r="B233" s="754"/>
      <c r="C233" s="172"/>
      <c r="D233" s="185">
        <f t="shared" si="27"/>
        <v>25</v>
      </c>
      <c r="E233" s="186" t="str">
        <f>IF('I. Stream &amp; Compound Data'!CC28="","",'I. Stream &amp; Compound Data'!CC28)</f>
        <v/>
      </c>
      <c r="F233" s="186" t="str">
        <f>IF('I. Stream &amp; Compound Data'!CC29="","",'I. Stream &amp; Compound Data'!CC29)</f>
        <v/>
      </c>
      <c r="G233" s="186" t="str">
        <f>IF('I. Stream &amp; Compound Data'!CC30="","",'I. Stream &amp; Compound Data'!CC30)</f>
        <v/>
      </c>
      <c r="H233" s="186" t="str">
        <f>IF(E233="","",'I. Stream &amp; Compound Data'!CB88)</f>
        <v/>
      </c>
      <c r="I233" s="186" t="str">
        <f t="shared" si="26"/>
        <v/>
      </c>
      <c r="J233" s="186" t="str">
        <f>IF($E233="","",'I. Stream &amp; Compound Data'!$CB92)</f>
        <v/>
      </c>
      <c r="K233" s="1458" t="str">
        <f t="shared" si="28"/>
        <v/>
      </c>
      <c r="L233" s="186" t="str">
        <f>IF($E233="","",'I. Stream &amp; Compound Data'!$CB86)</f>
        <v/>
      </c>
      <c r="M233" s="187" t="str">
        <f>IF($E233="","",'I. Stream &amp; Compound Data'!$CB87)</f>
        <v/>
      </c>
      <c r="N233" s="187" t="str">
        <f>IF($E233="","",'I. Stream &amp; Compound Data'!$CB90)</f>
        <v/>
      </c>
      <c r="O233" s="172"/>
      <c r="P233" s="172"/>
      <c r="Q233" s="172"/>
      <c r="R233" s="172"/>
      <c r="S233" s="172"/>
      <c r="T233" s="172"/>
      <c r="U233" s="172"/>
      <c r="V233" s="172"/>
      <c r="W233" s="172"/>
      <c r="X233" s="172"/>
      <c r="Y233" s="173"/>
    </row>
    <row r="234" ht="18.75" customHeight="true" x14ac:dyDescent="0.25">
      <c r="B234" s="754"/>
      <c r="C234" s="172"/>
      <c r="D234" s="185">
        <f t="shared" si="27"/>
        <v>26</v>
      </c>
      <c r="E234" s="186" t="str">
        <f>IF('I. Stream &amp; Compound Data'!CF28="","",'I. Stream &amp; Compound Data'!CF28)</f>
        <v/>
      </c>
      <c r="F234" s="186" t="str">
        <f>IF('I. Stream &amp; Compound Data'!CF29="","",'I. Stream &amp; Compound Data'!CF29)</f>
        <v/>
      </c>
      <c r="G234" s="186" t="str">
        <f>IF('I. Stream &amp; Compound Data'!CF30="","",'I. Stream &amp; Compound Data'!CF30)</f>
        <v/>
      </c>
      <c r="H234" s="186" t="str">
        <f>IF(E234="","",'I. Stream &amp; Compound Data'!CE88)</f>
        <v/>
      </c>
      <c r="I234" s="186" t="str">
        <f t="shared" si="26"/>
        <v/>
      </c>
      <c r="J234" s="186" t="str">
        <f>IF($E234="","",'I. Stream &amp; Compound Data'!$CE92)</f>
        <v/>
      </c>
      <c r="K234" s="1458" t="str">
        <f t="shared" si="28"/>
        <v/>
      </c>
      <c r="L234" s="186" t="str">
        <f>IF($E234="","",'I. Stream &amp; Compound Data'!$CE86)</f>
        <v/>
      </c>
      <c r="M234" s="187" t="str">
        <f>IF($E234="","",'I. Stream &amp; Compound Data'!$CE87)</f>
        <v/>
      </c>
      <c r="N234" s="187" t="str">
        <f>IF($E234="","",'I. Stream &amp; Compound Data'!$CE90)</f>
        <v/>
      </c>
      <c r="O234" s="172"/>
      <c r="P234" s="172"/>
      <c r="Q234" s="172"/>
      <c r="R234" s="172"/>
      <c r="S234" s="172"/>
      <c r="T234" s="172"/>
      <c r="U234" s="172"/>
      <c r="V234" s="172"/>
      <c r="W234" s="172"/>
      <c r="X234" s="172"/>
      <c r="Y234" s="173"/>
    </row>
    <row r="235" ht="18.75" customHeight="true" x14ac:dyDescent="0.25">
      <c r="B235" s="754"/>
      <c r="C235" s="172"/>
      <c r="D235" s="185">
        <f t="shared" si="27"/>
        <v>27</v>
      </c>
      <c r="E235" s="186" t="str">
        <f>IF('I. Stream &amp; Compound Data'!CI28="","",'I. Stream &amp; Compound Data'!CI28)</f>
        <v/>
      </c>
      <c r="F235" s="186" t="str">
        <f>IF('I. Stream &amp; Compound Data'!CI29="","",'I. Stream &amp; Compound Data'!CI29)</f>
        <v/>
      </c>
      <c r="G235" s="186" t="str">
        <f>IF('I. Stream &amp; Compound Data'!CI30="","",'I. Stream &amp; Compound Data'!CI30)</f>
        <v/>
      </c>
      <c r="H235" s="186" t="str">
        <f>IF(E235="","",'I. Stream &amp; Compound Data'!CH88)</f>
        <v/>
      </c>
      <c r="I235" s="186" t="str">
        <f t="shared" si="26"/>
        <v/>
      </c>
      <c r="J235" s="186" t="str">
        <f>IF($E235="","",'I. Stream &amp; Compound Data'!$CH92)</f>
        <v/>
      </c>
      <c r="K235" s="1458" t="str">
        <f t="shared" si="28"/>
        <v/>
      </c>
      <c r="L235" s="186" t="str">
        <f>IF($E235="","",'I. Stream &amp; Compound Data'!$CH86)</f>
        <v/>
      </c>
      <c r="M235" s="187" t="str">
        <f>IF($E235="","",'I. Stream &amp; Compound Data'!$CH87)</f>
        <v/>
      </c>
      <c r="N235" s="187" t="str">
        <f>IF($E235="","",'I. Stream &amp; Compound Data'!$CH90)</f>
        <v/>
      </c>
      <c r="O235" s="172"/>
      <c r="P235" s="172"/>
      <c r="Q235" s="172"/>
      <c r="R235" s="172"/>
      <c r="S235" s="172"/>
      <c r="T235" s="172"/>
      <c r="U235" s="172"/>
      <c r="V235" s="172"/>
      <c r="W235" s="172"/>
      <c r="X235" s="172"/>
      <c r="Y235" s="173"/>
    </row>
    <row r="236" ht="18.75" customHeight="true" x14ac:dyDescent="0.25">
      <c r="B236" s="754"/>
      <c r="C236" s="172"/>
      <c r="D236" s="185">
        <f t="shared" si="27"/>
        <v>28</v>
      </c>
      <c r="E236" s="186" t="str">
        <f>IF('I. Stream &amp; Compound Data'!CL28="","",'I. Stream &amp; Compound Data'!CL28)</f>
        <v/>
      </c>
      <c r="F236" s="186" t="str">
        <f>IF('I. Stream &amp; Compound Data'!CL29="","",'I. Stream &amp; Compound Data'!CL29)</f>
        <v/>
      </c>
      <c r="G236" s="186" t="str">
        <f>IF('I. Stream &amp; Compound Data'!CL30="","",'I. Stream &amp; Compound Data'!CL30)</f>
        <v/>
      </c>
      <c r="H236" s="186" t="str">
        <f>IF(E236="","",'I. Stream &amp; Compound Data'!CK88)</f>
        <v/>
      </c>
      <c r="I236" s="186" t="str">
        <f t="shared" si="26"/>
        <v/>
      </c>
      <c r="J236" s="186" t="str">
        <f>IF($E236="","",'I. Stream &amp; Compound Data'!$CK92)</f>
        <v/>
      </c>
      <c r="K236" s="1458" t="str">
        <f t="shared" si="28"/>
        <v/>
      </c>
      <c r="L236" s="186" t="str">
        <f>IF($E236="","",'I. Stream &amp; Compound Data'!$CK86)</f>
        <v/>
      </c>
      <c r="M236" s="187" t="str">
        <f>IF($E236="","",'I. Stream &amp; Compound Data'!$CK87)</f>
        <v/>
      </c>
      <c r="N236" s="187" t="str">
        <f>IF($E236="","",'I. Stream &amp; Compound Data'!$CK90)</f>
        <v/>
      </c>
      <c r="O236" s="172"/>
      <c r="P236" s="172"/>
      <c r="Q236" s="172"/>
      <c r="R236" s="172"/>
      <c r="S236" s="172"/>
      <c r="T236" s="172"/>
      <c r="U236" s="172"/>
      <c r="V236" s="172"/>
      <c r="W236" s="172"/>
      <c r="X236" s="172"/>
      <c r="Y236" s="173"/>
    </row>
    <row r="237" ht="18.75" customHeight="true" x14ac:dyDescent="0.25">
      <c r="B237" s="754"/>
      <c r="C237" s="172"/>
      <c r="D237" s="185">
        <f t="shared" si="27"/>
        <v>29</v>
      </c>
      <c r="E237" s="186" t="str">
        <f>IF('I. Stream &amp; Compound Data'!CO28="","",'I. Stream &amp; Compound Data'!CO28)</f>
        <v/>
      </c>
      <c r="F237" s="186" t="str">
        <f>IF('I. Stream &amp; Compound Data'!CO29="","",'I. Stream &amp; Compound Data'!CO29)</f>
        <v/>
      </c>
      <c r="G237" s="186" t="str">
        <f>IF('I. Stream &amp; Compound Data'!CO30="","",'I. Stream &amp; Compound Data'!CO30)</f>
        <v/>
      </c>
      <c r="H237" s="186" t="str">
        <f>IF(E237="","",'I. Stream &amp; Compound Data'!CN88)</f>
        <v/>
      </c>
      <c r="I237" s="186" t="str">
        <f t="shared" si="26"/>
        <v/>
      </c>
      <c r="J237" s="186" t="str">
        <f>IF($E237="","",'I. Stream &amp; Compound Data'!$CN92)</f>
        <v/>
      </c>
      <c r="K237" s="1458" t="str">
        <f t="shared" si="28"/>
        <v/>
      </c>
      <c r="L237" s="186" t="str">
        <f>IF($E237="","",'I. Stream &amp; Compound Data'!$CN86)</f>
        <v/>
      </c>
      <c r="M237" s="187" t="str">
        <f>IF($E237="","",'I. Stream &amp; Compound Data'!$CN87)</f>
        <v/>
      </c>
      <c r="N237" s="187" t="str">
        <f>IF($E237="","",'I. Stream &amp; Compound Data'!$CN90)</f>
        <v/>
      </c>
      <c r="O237" s="172"/>
      <c r="P237" s="172"/>
      <c r="Q237" s="172"/>
      <c r="R237" s="172"/>
      <c r="S237" s="172"/>
      <c r="T237" s="172"/>
      <c r="U237" s="172"/>
      <c r="V237" s="172"/>
      <c r="W237" s="172"/>
      <c r="X237" s="172"/>
      <c r="Y237" s="173"/>
    </row>
    <row r="238" ht="18.75" customHeight="true" x14ac:dyDescent="0.25">
      <c r="B238" s="754"/>
      <c r="C238" s="172"/>
      <c r="D238" s="185">
        <f t="shared" si="27"/>
        <v>30</v>
      </c>
      <c r="E238" s="186" t="str">
        <f>IF('I. Stream &amp; Compound Data'!CR28="","",'I. Stream &amp; Compound Data'!CR28)</f>
        <v/>
      </c>
      <c r="F238" s="186" t="str">
        <f>IF('I. Stream &amp; Compound Data'!CR29="","",'I. Stream &amp; Compound Data'!CR29)</f>
        <v/>
      </c>
      <c r="G238" s="186" t="str">
        <f>IF('I. Stream &amp; Compound Data'!CR30="","",'I. Stream &amp; Compound Data'!CR30)</f>
        <v/>
      </c>
      <c r="H238" s="186" t="str">
        <f>IF(E238="","",'I. Stream &amp; Compound Data'!CQ88)</f>
        <v/>
      </c>
      <c r="I238" s="186" t="str">
        <f t="shared" si="26"/>
        <v/>
      </c>
      <c r="J238" s="186" t="str">
        <f>IF($E238="","",'I. Stream &amp; Compound Data'!$CQ92)</f>
        <v/>
      </c>
      <c r="K238" s="1458" t="str">
        <f t="shared" si="28"/>
        <v/>
      </c>
      <c r="L238" s="186" t="str">
        <f>IF($E238="","",'I. Stream &amp; Compound Data'!$CQ86)</f>
        <v/>
      </c>
      <c r="M238" s="187" t="str">
        <f>IF($E238="","",'I. Stream &amp; Compound Data'!$CQ87)</f>
        <v/>
      </c>
      <c r="N238" s="187" t="str">
        <f>IF($E238="","",'I. Stream &amp; Compound Data'!$CQ90)</f>
        <v/>
      </c>
      <c r="O238" s="172"/>
      <c r="P238" s="172"/>
      <c r="Q238" s="172"/>
      <c r="R238" s="172"/>
      <c r="S238" s="172"/>
      <c r="T238" s="172"/>
      <c r="U238" s="172"/>
      <c r="V238" s="172"/>
      <c r="W238" s="172"/>
      <c r="X238" s="172"/>
      <c r="Y238" s="173"/>
    </row>
    <row r="239" ht="18.75" customHeight="true" x14ac:dyDescent="0.25">
      <c r="B239" s="754"/>
      <c r="C239" s="172"/>
      <c r="D239" s="185">
        <f t="shared" si="27"/>
        <v>31</v>
      </c>
      <c r="E239" s="186" t="str">
        <f>IF('I. Stream &amp; Compound Data'!CU28="","",'I. Stream &amp; Compound Data'!CU28)</f>
        <v/>
      </c>
      <c r="F239" s="186" t="str">
        <f>IF('I. Stream &amp; Compound Data'!CU29="","",'I. Stream &amp; Compound Data'!CU29)</f>
        <v/>
      </c>
      <c r="G239" s="186" t="str">
        <f>IF('I. Stream &amp; Compound Data'!CU30="","",'I. Stream &amp; Compound Data'!CU30)</f>
        <v/>
      </c>
      <c r="H239" s="186" t="str">
        <f>IF(E239="","",'I. Stream &amp; Compound Data'!CT88)</f>
        <v/>
      </c>
      <c r="I239" s="186" t="str">
        <f t="shared" si="26"/>
        <v/>
      </c>
      <c r="J239" s="186" t="str">
        <f>IF($E239="","",'I. Stream &amp; Compound Data'!$CT92)</f>
        <v/>
      </c>
      <c r="K239" s="1458" t="str">
        <f t="shared" si="28"/>
        <v/>
      </c>
      <c r="L239" s="186" t="str">
        <f>IF($E239="","",'I. Stream &amp; Compound Data'!$CT86)</f>
        <v/>
      </c>
      <c r="M239" s="187" t="str">
        <f>IF($E239="","",'I. Stream &amp; Compound Data'!$CT87)</f>
        <v/>
      </c>
      <c r="N239" s="187" t="str">
        <f>IF($E239="","",'I. Stream &amp; Compound Data'!$CT90)</f>
        <v/>
      </c>
      <c r="O239" s="172"/>
      <c r="P239" s="172"/>
      <c r="Q239" s="172"/>
      <c r="R239" s="172"/>
      <c r="S239" s="172"/>
      <c r="T239" s="172"/>
      <c r="U239" s="172"/>
      <c r="V239" s="172"/>
      <c r="W239" s="172"/>
      <c r="X239" s="172"/>
      <c r="Y239" s="173"/>
    </row>
    <row r="240" ht="18.75" customHeight="true" x14ac:dyDescent="0.25">
      <c r="B240" s="754"/>
      <c r="C240" s="172"/>
      <c r="D240" s="185">
        <f t="shared" si="27"/>
        <v>32</v>
      </c>
      <c r="E240" s="186" t="str">
        <f>IF('I. Stream &amp; Compound Data'!CX28="","",'I. Stream &amp; Compound Data'!CX28)</f>
        <v/>
      </c>
      <c r="F240" s="186" t="str">
        <f>IF('I. Stream &amp; Compound Data'!CX29="","",'I. Stream &amp; Compound Data'!CX29)</f>
        <v/>
      </c>
      <c r="G240" s="186" t="str">
        <f>IF('I. Stream &amp; Compound Data'!CX30="","",'I. Stream &amp; Compound Data'!CX30)</f>
        <v/>
      </c>
      <c r="H240" s="186" t="str">
        <f>IF(E240="","",'I. Stream &amp; Compound Data'!CW88)</f>
        <v/>
      </c>
      <c r="I240" s="186" t="str">
        <f t="shared" si="26"/>
        <v/>
      </c>
      <c r="J240" s="186" t="str">
        <f>IF($E240="","",'I. Stream &amp; Compound Data'!$CW92)</f>
        <v/>
      </c>
      <c r="K240" s="1458" t="str">
        <f t="shared" si="28"/>
        <v/>
      </c>
      <c r="L240" s="186" t="str">
        <f>IF($E240="","",'I. Stream &amp; Compound Data'!$CW86)</f>
        <v/>
      </c>
      <c r="M240" s="187" t="str">
        <f>IF($E240="","",'I. Stream &amp; Compound Data'!$CW87)</f>
        <v/>
      </c>
      <c r="N240" s="187" t="str">
        <f>IF($E240="","",'I. Stream &amp; Compound Data'!$CW90)</f>
        <v/>
      </c>
      <c r="O240" s="172"/>
      <c r="P240" s="172"/>
      <c r="Q240" s="172"/>
      <c r="R240" s="172"/>
      <c r="S240" s="172"/>
      <c r="T240" s="172"/>
      <c r="U240" s="172"/>
      <c r="V240" s="172"/>
      <c r="W240" s="172"/>
      <c r="X240" s="172"/>
      <c r="Y240" s="173"/>
    </row>
    <row r="241" ht="18.75" customHeight="true" x14ac:dyDescent="0.25">
      <c r="B241" s="754"/>
      <c r="C241" s="172"/>
      <c r="D241" s="185">
        <f t="shared" si="27"/>
        <v>33</v>
      </c>
      <c r="E241" s="186" t="str">
        <f>IF('I. Stream &amp; Compound Data'!DA28="","",'I. Stream &amp; Compound Data'!DA28)</f>
        <v/>
      </c>
      <c r="F241" s="186" t="str">
        <f>IF('I. Stream &amp; Compound Data'!DA29="","",'I. Stream &amp; Compound Data'!DA29)</f>
        <v/>
      </c>
      <c r="G241" s="186" t="str">
        <f>IF('I. Stream &amp; Compound Data'!DA30="","",'I. Stream &amp; Compound Data'!DA30)</f>
        <v/>
      </c>
      <c r="H241" s="186" t="str">
        <f>IF(E241="","",'I. Stream &amp; Compound Data'!CZ88)</f>
        <v/>
      </c>
      <c r="I241" s="186" t="str">
        <f t="shared" si="26"/>
        <v/>
      </c>
      <c r="J241" s="186" t="str">
        <f>IF($E241="","",'I. Stream &amp; Compound Data'!$CZ92)</f>
        <v/>
      </c>
      <c r="K241" s="1458" t="str">
        <f t="shared" si="28"/>
        <v/>
      </c>
      <c r="L241" s="186" t="str">
        <f>IF($E241="","",'I. Stream &amp; Compound Data'!$CZ86)</f>
        <v/>
      </c>
      <c r="M241" s="187" t="str">
        <f>IF($E241="","",'I. Stream &amp; Compound Data'!$CZ87)</f>
        <v/>
      </c>
      <c r="N241" s="187" t="str">
        <f>IF($E241="","",'I. Stream &amp; Compound Data'!$CZ90)</f>
        <v/>
      </c>
      <c r="O241" s="172"/>
      <c r="P241" s="172"/>
      <c r="Q241" s="172"/>
      <c r="R241" s="172"/>
      <c r="S241" s="172"/>
      <c r="T241" s="172"/>
      <c r="U241" s="172"/>
      <c r="V241" s="172"/>
      <c r="W241" s="172"/>
      <c r="X241" s="172"/>
      <c r="Y241" s="173"/>
    </row>
    <row r="242" ht="18.75" customHeight="true" x14ac:dyDescent="0.25">
      <c r="B242" s="754"/>
      <c r="C242" s="172"/>
      <c r="D242" s="185">
        <f t="shared" si="27"/>
        <v>34</v>
      </c>
      <c r="E242" s="186" t="str">
        <f>IF('I. Stream &amp; Compound Data'!DD28="","",'I. Stream &amp; Compound Data'!DD28)</f>
        <v/>
      </c>
      <c r="F242" s="186" t="str">
        <f>IF('I. Stream &amp; Compound Data'!DD29="","",'I. Stream &amp; Compound Data'!DD29)</f>
        <v/>
      </c>
      <c r="G242" s="186" t="str">
        <f>IF('I. Stream &amp; Compound Data'!DD30="","",'I. Stream &amp; Compound Data'!DD30)</f>
        <v/>
      </c>
      <c r="H242" s="186" t="str">
        <f>IF(E242="","",'I. Stream &amp; Compound Data'!DC88)</f>
        <v/>
      </c>
      <c r="I242" s="186" t="str">
        <f t="shared" si="26"/>
        <v/>
      </c>
      <c r="J242" s="186" t="str">
        <f>IF($E242="","",'I. Stream &amp; Compound Data'!$DC92)</f>
        <v/>
      </c>
      <c r="K242" s="1458" t="str">
        <f t="shared" si="28"/>
        <v/>
      </c>
      <c r="L242" s="186" t="str">
        <f>IF($E242="","",'I. Stream &amp; Compound Data'!$DC86)</f>
        <v/>
      </c>
      <c r="M242" s="187" t="str">
        <f>IF($E242="","",'I. Stream &amp; Compound Data'!$DC87)</f>
        <v/>
      </c>
      <c r="N242" s="187" t="str">
        <f>IF($E242="","",'I. Stream &amp; Compound Data'!$DC90)</f>
        <v/>
      </c>
      <c r="O242" s="172"/>
      <c r="P242" s="172"/>
      <c r="Q242" s="172"/>
      <c r="R242" s="172"/>
      <c r="S242" s="172"/>
      <c r="T242" s="172"/>
      <c r="U242" s="172"/>
      <c r="V242" s="172"/>
      <c r="W242" s="172"/>
      <c r="X242" s="172"/>
      <c r="Y242" s="173"/>
    </row>
    <row r="243" ht="18.75" customHeight="true" x14ac:dyDescent="0.25">
      <c r="B243" s="754"/>
      <c r="C243" s="172"/>
      <c r="D243" s="185">
        <f t="shared" si="27"/>
        <v>35</v>
      </c>
      <c r="E243" s="186" t="str">
        <f>IF('I. Stream &amp; Compound Data'!DG28="","",'I. Stream &amp; Compound Data'!DG28)</f>
        <v/>
      </c>
      <c r="F243" s="186" t="str">
        <f>IF('I. Stream &amp; Compound Data'!DG29="","",'I. Stream &amp; Compound Data'!DG29)</f>
        <v/>
      </c>
      <c r="G243" s="186" t="str">
        <f>IF('I. Stream &amp; Compound Data'!DG30="","",'I. Stream &amp; Compound Data'!DG30)</f>
        <v/>
      </c>
      <c r="H243" s="186" t="str">
        <f>IF(E243="","",'I. Stream &amp; Compound Data'!DF88)</f>
        <v/>
      </c>
      <c r="I243" s="186" t="str">
        <f t="shared" si="26"/>
        <v/>
      </c>
      <c r="J243" s="186" t="str">
        <f>IF($E243="","",'I. Stream &amp; Compound Data'!$DF92)</f>
        <v/>
      </c>
      <c r="K243" s="1458" t="str">
        <f t="shared" si="28"/>
        <v/>
      </c>
      <c r="L243" s="186" t="str">
        <f>IF($E243="","",'I. Stream &amp; Compound Data'!$DF86)</f>
        <v/>
      </c>
      <c r="M243" s="187" t="str">
        <f>IF($E243="","",'I. Stream &amp; Compound Data'!$DF87)</f>
        <v/>
      </c>
      <c r="N243" s="187" t="str">
        <f>IF($E243="","",'I. Stream &amp; Compound Data'!$DF90)</f>
        <v/>
      </c>
      <c r="O243" s="172"/>
      <c r="P243" s="172"/>
      <c r="Q243" s="172"/>
      <c r="R243" s="172"/>
      <c r="S243" s="172"/>
      <c r="T243" s="172"/>
      <c r="U243" s="172"/>
      <c r="V243" s="172"/>
      <c r="W243" s="172"/>
      <c r="X243" s="172"/>
      <c r="Y243" s="173"/>
    </row>
    <row r="244" ht="18.75" customHeight="true" x14ac:dyDescent="0.25">
      <c r="B244" s="754"/>
      <c r="C244" s="172"/>
      <c r="D244" s="185">
        <f t="shared" si="27"/>
        <v>36</v>
      </c>
      <c r="E244" s="186" t="str">
        <f>IF('I. Stream &amp; Compound Data'!DJ28="","",'I. Stream &amp; Compound Data'!DJ28)</f>
        <v/>
      </c>
      <c r="F244" s="186" t="str">
        <f>IF('I. Stream &amp; Compound Data'!DJ29="","",'I. Stream &amp; Compound Data'!DJ29)</f>
        <v/>
      </c>
      <c r="G244" s="186" t="str">
        <f>IF('I. Stream &amp; Compound Data'!DJ30="","",'I. Stream &amp; Compound Data'!DJ30)</f>
        <v/>
      </c>
      <c r="H244" s="186" t="str">
        <f>IF(E244="","",'I. Stream &amp; Compound Data'!DI88)</f>
        <v/>
      </c>
      <c r="I244" s="186" t="str">
        <f t="shared" si="26"/>
        <v/>
      </c>
      <c r="J244" s="186" t="str">
        <f>IF($E244="","",'I. Stream &amp; Compound Data'!$DI92)</f>
        <v/>
      </c>
      <c r="K244" s="1458" t="str">
        <f t="shared" si="28"/>
        <v/>
      </c>
      <c r="L244" s="186" t="str">
        <f>IF($E244="","",'I. Stream &amp; Compound Data'!$DI86)</f>
        <v/>
      </c>
      <c r="M244" s="187" t="str">
        <f>IF($E244="","",'I. Stream &amp; Compound Data'!$DI87)</f>
        <v/>
      </c>
      <c r="N244" s="187" t="str">
        <f>IF($E244="","",'I. Stream &amp; Compound Data'!$DI90)</f>
        <v/>
      </c>
      <c r="O244" s="172"/>
      <c r="P244" s="172"/>
      <c r="Q244" s="172"/>
      <c r="R244" s="172"/>
      <c r="S244" s="172"/>
      <c r="T244" s="172"/>
      <c r="U244" s="172"/>
      <c r="V244" s="172"/>
      <c r="W244" s="172"/>
      <c r="X244" s="172"/>
      <c r="Y244" s="173"/>
    </row>
    <row r="245" ht="18.75" customHeight="true" x14ac:dyDescent="0.25">
      <c r="B245" s="754"/>
      <c r="C245" s="172"/>
      <c r="D245" s="185">
        <f t="shared" si="27"/>
        <v>37</v>
      </c>
      <c r="E245" s="186" t="str">
        <f>IF('I. Stream &amp; Compound Data'!DM28="","",'I. Stream &amp; Compound Data'!DM28)</f>
        <v/>
      </c>
      <c r="F245" s="186" t="str">
        <f>IF('I. Stream &amp; Compound Data'!DM29="","",'I. Stream &amp; Compound Data'!DM29)</f>
        <v/>
      </c>
      <c r="G245" s="186" t="str">
        <f>IF('I. Stream &amp; Compound Data'!DM30="","",'I. Stream &amp; Compound Data'!DM30)</f>
        <v/>
      </c>
      <c r="H245" s="186" t="str">
        <f>IF(E245="","",'I. Stream &amp; Compound Data'!DL88)</f>
        <v/>
      </c>
      <c r="I245" s="186" t="str">
        <f t="shared" si="26"/>
        <v/>
      </c>
      <c r="J245" s="186" t="str">
        <f>IF($E245="","",'I. Stream &amp; Compound Data'!$DL92)</f>
        <v/>
      </c>
      <c r="K245" s="1458" t="str">
        <f t="shared" si="28"/>
        <v/>
      </c>
      <c r="L245" s="186" t="str">
        <f>IF($E245="","",'I. Stream &amp; Compound Data'!$DL86)</f>
        <v/>
      </c>
      <c r="M245" s="187" t="str">
        <f>IF($E245="","",'I. Stream &amp; Compound Data'!$DL87)</f>
        <v/>
      </c>
      <c r="N245" s="187" t="str">
        <f>IF($E245="","",'I. Stream &amp; Compound Data'!$DL90)</f>
        <v/>
      </c>
      <c r="O245" s="172"/>
      <c r="P245" s="172"/>
      <c r="Q245" s="172"/>
      <c r="R245" s="172"/>
      <c r="S245" s="172"/>
      <c r="T245" s="172"/>
      <c r="U245" s="172"/>
      <c r="V245" s="172"/>
      <c r="W245" s="172"/>
      <c r="X245" s="172"/>
      <c r="Y245" s="173"/>
    </row>
    <row r="246" ht="18.75" customHeight="true" x14ac:dyDescent="0.25">
      <c r="B246" s="754"/>
      <c r="C246" s="172"/>
      <c r="D246" s="185">
        <f t="shared" si="27"/>
        <v>38</v>
      </c>
      <c r="E246" s="186" t="str">
        <f>IF('I. Stream &amp; Compound Data'!DP28="","",'I. Stream &amp; Compound Data'!DP28)</f>
        <v/>
      </c>
      <c r="F246" s="186" t="str">
        <f>IF('I. Stream &amp; Compound Data'!DP29="","",'I. Stream &amp; Compound Data'!DP29)</f>
        <v/>
      </c>
      <c r="G246" s="186" t="str">
        <f>IF('I. Stream &amp; Compound Data'!DP30="","",'I. Stream &amp; Compound Data'!DP30)</f>
        <v/>
      </c>
      <c r="H246" s="186" t="str">
        <f>IF(E246="","",'I. Stream &amp; Compound Data'!DO88)</f>
        <v/>
      </c>
      <c r="I246" s="186" t="str">
        <f t="shared" si="26"/>
        <v/>
      </c>
      <c r="J246" s="186" t="str">
        <f>IF($E246="","",'I. Stream &amp; Compound Data'!$DO92)</f>
        <v/>
      </c>
      <c r="K246" s="1458" t="str">
        <f t="shared" si="28"/>
        <v/>
      </c>
      <c r="L246" s="186" t="str">
        <f>IF($E246="","",'I. Stream &amp; Compound Data'!$DO86)</f>
        <v/>
      </c>
      <c r="M246" s="187" t="str">
        <f>IF($E246="","",'I. Stream &amp; Compound Data'!$DO87)</f>
        <v/>
      </c>
      <c r="N246" s="187" t="str">
        <f>IF($E246="","",'I. Stream &amp; Compound Data'!$DO90)</f>
        <v/>
      </c>
      <c r="O246" s="172"/>
      <c r="P246" s="172"/>
      <c r="Q246" s="172"/>
      <c r="R246" s="172"/>
      <c r="S246" s="172"/>
      <c r="T246" s="172"/>
      <c r="U246" s="172"/>
      <c r="V246" s="172"/>
      <c r="W246" s="172"/>
      <c r="X246" s="172"/>
      <c r="Y246" s="173"/>
    </row>
    <row r="247" ht="18.75" customHeight="true" x14ac:dyDescent="0.25">
      <c r="B247" s="754"/>
      <c r="C247" s="172"/>
      <c r="D247" s="185">
        <f t="shared" si="27"/>
        <v>39</v>
      </c>
      <c r="E247" s="186" t="str">
        <f>IF('I. Stream &amp; Compound Data'!DS28="","",'I. Stream &amp; Compound Data'!DS28)</f>
        <v/>
      </c>
      <c r="F247" s="186" t="str">
        <f>IF('I. Stream &amp; Compound Data'!DS29="","",'I. Stream &amp; Compound Data'!DS29)</f>
        <v/>
      </c>
      <c r="G247" s="186" t="str">
        <f>IF('I. Stream &amp; Compound Data'!DS30="","",'I. Stream &amp; Compound Data'!DS30)</f>
        <v/>
      </c>
      <c r="H247" s="186" t="str">
        <f>IF(E247="","",'I. Stream &amp; Compound Data'!DR88)</f>
        <v/>
      </c>
      <c r="I247" s="186" t="str">
        <f t="shared" si="26"/>
        <v/>
      </c>
      <c r="J247" s="186" t="str">
        <f>IF($E247="","",'I. Stream &amp; Compound Data'!$DR92)</f>
        <v/>
      </c>
      <c r="K247" s="1458" t="str">
        <f t="shared" si="28"/>
        <v/>
      </c>
      <c r="L247" s="186" t="str">
        <f>IF($E247="","",'I. Stream &amp; Compound Data'!$DR86)</f>
        <v/>
      </c>
      <c r="M247" s="187" t="str">
        <f>IF($E247="","",'I. Stream &amp; Compound Data'!$DR87)</f>
        <v/>
      </c>
      <c r="N247" s="187" t="str">
        <f>IF($E247="","",'I. Stream &amp; Compound Data'!$DR90)</f>
        <v/>
      </c>
      <c r="O247" s="172"/>
      <c r="P247" s="172"/>
      <c r="Q247" s="172"/>
      <c r="R247" s="172"/>
      <c r="S247" s="172"/>
      <c r="T247" s="172"/>
      <c r="U247" s="172"/>
      <c r="V247" s="172"/>
      <c r="W247" s="172"/>
      <c r="X247" s="172"/>
      <c r="Y247" s="173"/>
    </row>
    <row r="248" ht="18.75" customHeight="true" thickBot="true" x14ac:dyDescent="0.3">
      <c r="B248" s="754"/>
      <c r="C248" s="172"/>
      <c r="D248" s="1459">
        <f t="shared" si="27"/>
        <v>40</v>
      </c>
      <c r="E248" s="1247" t="str">
        <f>IF('I. Stream &amp; Compound Data'!DV28="","",'I. Stream &amp; Compound Data'!DV28)</f>
        <v/>
      </c>
      <c r="F248" s="1247" t="str">
        <f>IF('I. Stream &amp; Compound Data'!DV29="","",'I. Stream &amp; Compound Data'!DV29)</f>
        <v/>
      </c>
      <c r="G248" s="1247" t="str">
        <f>IF('I. Stream &amp; Compound Data'!DV30="","",'I. Stream &amp; Compound Data'!DV30)</f>
        <v/>
      </c>
      <c r="H248" s="1247" t="str">
        <f>IF(E248="","",'I. Stream &amp; Compound Data'!DU88)</f>
        <v/>
      </c>
      <c r="I248" s="1247" t="str">
        <f t="shared" si="26"/>
        <v/>
      </c>
      <c r="J248" s="1247" t="str">
        <f>IF($E248="","",'I. Stream &amp; Compound Data'!$DU92)</f>
        <v/>
      </c>
      <c r="K248" s="1460" t="str">
        <f t="shared" si="28"/>
        <v/>
      </c>
      <c r="L248" s="1247" t="str">
        <f>IF($E248="","",'I. Stream &amp; Compound Data'!$DU86)</f>
        <v/>
      </c>
      <c r="M248" s="1461" t="str">
        <f>IF($E248="","",'I. Stream &amp; Compound Data'!$DU87)</f>
        <v/>
      </c>
      <c r="N248" s="1461" t="str">
        <f>IF($E248="","",'I. Stream &amp; Compound Data'!$DU90)</f>
        <v/>
      </c>
      <c r="O248" s="172"/>
      <c r="P248" s="172"/>
      <c r="Q248" s="172"/>
      <c r="R248" s="172"/>
      <c r="S248" s="172"/>
      <c r="T248" s="172"/>
      <c r="U248" s="172"/>
      <c r="V248" s="172"/>
      <c r="W248" s="172"/>
      <c r="X248" s="172"/>
      <c r="Y248" s="173"/>
    </row>
    <row r="249" ht="15.75" customHeight="true" thickBot="true" x14ac:dyDescent="0.3">
      <c r="B249" s="754"/>
      <c r="C249" s="172"/>
      <c r="D249" s="172"/>
      <c r="E249" s="172"/>
      <c r="F249" s="172"/>
      <c r="G249" s="172" t="s">
        <v>88</v>
      </c>
      <c r="H249" s="1462">
        <f>SUM(H209:H248)</f>
        <v>6778.7792000553327</v>
      </c>
      <c r="I249" s="1462">
        <f>SUM(I209:I248)</f>
        <v>59422778.467685044</v>
      </c>
      <c r="J249" s="1462">
        <f>SUM(J209:J248)</f>
        <v>3389.3896000276663</v>
      </c>
      <c r="K249" s="1463">
        <f>SUM(K209:K248)</f>
        <v>29711389.233842522</v>
      </c>
      <c r="L249" s="172"/>
      <c r="M249" s="172"/>
      <c r="N249" s="172"/>
      <c r="O249" s="172"/>
      <c r="P249" s="172"/>
      <c r="Q249" s="172"/>
      <c r="R249" s="172"/>
      <c r="S249" s="172"/>
      <c r="T249" s="172"/>
      <c r="U249" s="172"/>
      <c r="V249" s="172"/>
      <c r="W249" s="172"/>
      <c r="X249" s="172"/>
      <c r="Y249" s="173"/>
    </row>
    <row r="250" ht="15.75" customHeight="true" x14ac:dyDescent="0.25">
      <c r="B250" s="754"/>
      <c r="C250" s="172"/>
      <c r="D250" s="172"/>
      <c r="E250" s="172"/>
      <c r="F250" s="172"/>
      <c r="G250" s="172"/>
      <c r="H250" s="172"/>
      <c r="I250" s="172"/>
      <c r="J250" s="172"/>
      <c r="K250" s="172"/>
      <c r="L250" s="172"/>
      <c r="M250" s="172"/>
      <c r="N250" s="172"/>
      <c r="O250" s="172"/>
      <c r="P250" s="172"/>
      <c r="Q250" s="172"/>
      <c r="R250" s="172"/>
      <c r="S250" s="172"/>
      <c r="T250" s="172"/>
      <c r="U250" s="172"/>
      <c r="V250" s="172"/>
      <c r="W250" s="172"/>
      <c r="X250" s="172"/>
      <c r="Y250" s="173"/>
    </row>
    <row r="251" ht="15.75" customHeight="true" x14ac:dyDescent="0.25">
      <c r="B251" s="754"/>
      <c r="C251" s="172"/>
      <c r="D251" s="172"/>
      <c r="E251" s="172"/>
      <c r="F251" s="172"/>
      <c r="G251" s="172"/>
      <c r="H251" s="172"/>
      <c r="I251" s="172"/>
      <c r="J251" s="172"/>
      <c r="K251" s="172"/>
      <c r="L251" s="172"/>
      <c r="M251" s="172"/>
      <c r="N251" s="172"/>
      <c r="O251" s="172"/>
      <c r="P251" s="172"/>
      <c r="Q251" s="172"/>
      <c r="R251" s="172"/>
      <c r="S251" s="172"/>
      <c r="T251" s="172"/>
      <c r="U251" s="172"/>
      <c r="V251" s="172"/>
      <c r="W251" s="172"/>
      <c r="X251" s="172"/>
      <c r="Y251" s="173"/>
    </row>
    <row r="252" ht="15.75" customHeight="true" x14ac:dyDescent="0.25">
      <c r="B252" s="754"/>
      <c r="C252" s="172"/>
      <c r="D252" s="172"/>
      <c r="E252" s="172"/>
      <c r="F252" s="172"/>
      <c r="G252" s="172"/>
      <c r="H252" s="172"/>
      <c r="I252" s="172"/>
      <c r="J252" s="172"/>
      <c r="K252" s="172"/>
      <c r="L252" s="172"/>
      <c r="M252" s="172"/>
      <c r="N252" s="172"/>
      <c r="O252" s="172"/>
      <c r="P252" s="172"/>
      <c r="Q252" s="172"/>
      <c r="R252" s="172"/>
      <c r="S252" s="172"/>
      <c r="T252" s="172"/>
      <c r="U252" s="172"/>
      <c r="V252" s="172"/>
      <c r="W252" s="172"/>
      <c r="X252" s="172"/>
      <c r="Y252" s="173"/>
    </row>
    <row r="253" ht="23.4" thickBot="true" x14ac:dyDescent="0.45">
      <c r="B253" s="754"/>
      <c r="C253" s="172"/>
      <c r="D253" s="179" t="s">
        <v>2352</v>
      </c>
      <c r="E253" s="172"/>
      <c r="F253" s="172"/>
      <c r="G253" s="172"/>
      <c r="H253" s="172"/>
      <c r="I253" s="172"/>
      <c r="J253" s="172"/>
      <c r="K253" s="172"/>
      <c r="L253" s="172"/>
      <c r="M253" s="172"/>
      <c r="N253" s="172"/>
      <c r="O253" s="172"/>
      <c r="P253" s="172"/>
      <c r="Q253" s="172"/>
      <c r="R253" s="172"/>
      <c r="S253" s="172"/>
      <c r="T253" s="172"/>
      <c r="U253" s="172"/>
      <c r="V253" s="172"/>
      <c r="W253" s="172"/>
      <c r="X253" s="172"/>
      <c r="Y253" s="173"/>
    </row>
    <row r="254" ht="18" x14ac:dyDescent="0.25">
      <c r="B254" s="754"/>
      <c r="C254" s="172"/>
      <c r="D254" s="180"/>
      <c r="E254" s="1166" t="s">
        <v>1520</v>
      </c>
      <c r="F254" s="1166" t="s">
        <v>81</v>
      </c>
      <c r="G254" s="188" t="s">
        <v>1219</v>
      </c>
      <c r="H254" s="1185" t="s">
        <v>1215</v>
      </c>
      <c r="I254" s="1185" t="s">
        <v>1221</v>
      </c>
      <c r="J254" s="1166" t="s">
        <v>28</v>
      </c>
      <c r="K254" s="189" t="s">
        <v>1303</v>
      </c>
      <c r="L254" s="570"/>
      <c r="M254" s="570"/>
      <c r="N254" s="172"/>
      <c r="O254" s="172"/>
      <c r="P254" s="172"/>
      <c r="Q254" s="172"/>
      <c r="R254" s="172"/>
      <c r="S254" s="172"/>
      <c r="T254" s="172"/>
      <c r="U254" s="172"/>
      <c r="V254" s="172"/>
      <c r="W254" s="172"/>
      <c r="X254" s="172"/>
      <c r="Y254" s="173"/>
    </row>
    <row r="255" ht="18" customHeight="true" x14ac:dyDescent="0.25">
      <c r="B255" s="754"/>
      <c r="C255" s="172"/>
      <c r="D255" s="185">
        <v>1</v>
      </c>
      <c r="E255" s="1295" t="str">
        <f>IF(OR('I. Stream &amp; Compound Data'!I178="",'I. Stream &amp; Compound Data'!I179=0),"",'I. Stream &amp; Compound Data'!I178)</f>
        <v>S1-2</v>
      </c>
      <c r="F255" s="1295" t="str">
        <f>IF(E255="","",'I. Stream &amp; Compound Data'!I180)</f>
        <v>CaO</v>
      </c>
      <c r="G255" s="186">
        <f>IF(E255="","",'I. Stream &amp; Compound Data'!$H242)</f>
        <v>4512.0151204088124</v>
      </c>
      <c r="H255" s="186">
        <f>IF(E255="","",'I. Stream &amp; Compound Data'!H247)</f>
        <v>4512.0151204088124</v>
      </c>
      <c r="I255" s="1458">
        <f t="shared" ref="I255:I294" si="29">IF(E255="","",H255*8766)</f>
        <v>39552324.545503646</v>
      </c>
      <c r="J255" s="1295" t="str">
        <f>IF(E255="","",'I. Stream &amp; Compound Data'!I183)</f>
        <v>yes</v>
      </c>
      <c r="K255" s="1464">
        <f>IF(E255="","",'I. Stream &amp; Compound Data'!I181)</f>
        <v>0</v>
      </c>
      <c r="L255" s="172"/>
      <c r="M255" s="172"/>
      <c r="N255" s="172"/>
      <c r="O255" s="172"/>
      <c r="P255" s="172"/>
      <c r="Q255" s="172"/>
      <c r="R255" s="172"/>
      <c r="S255" s="172"/>
      <c r="T255" s="172"/>
      <c r="U255" s="172"/>
      <c r="V255" s="172"/>
      <c r="W255" s="172"/>
      <c r="X255" s="172"/>
      <c r="Y255" s="173"/>
    </row>
    <row r="256" ht="18" customHeight="true" x14ac:dyDescent="0.25">
      <c r="B256" s="754"/>
      <c r="C256" s="172"/>
      <c r="D256" s="185">
        <f>D255+1</f>
        <v>2</v>
      </c>
      <c r="E256" s="1295" t="str">
        <f>IF(OR('I. Stream &amp; Compound Data'!L178="",'I. Stream &amp; Compound Data'!L179=0),"",'I. Stream &amp; Compound Data'!L178)</f>
        <v/>
      </c>
      <c r="F256" s="1295" t="str">
        <f>IF(E256="","",'I. Stream &amp; Compound Data'!L180)</f>
        <v/>
      </c>
      <c r="G256" s="186" t="str">
        <f>IF(E256="","",'I. Stream &amp; Compound Data'!$K242)</f>
        <v/>
      </c>
      <c r="H256" s="186" t="str">
        <f>IF(E256="","",'I. Stream &amp; Compound Data'!K247)</f>
        <v/>
      </c>
      <c r="I256" s="1458" t="str">
        <f t="shared" si="29"/>
        <v/>
      </c>
      <c r="J256" s="1295" t="str">
        <f>IF(E256="","",'I. Stream &amp; Compound Data'!L183)</f>
        <v/>
      </c>
      <c r="K256" s="1464" t="str">
        <f>IF(E256="","",'I. Stream &amp; Compound Data'!L181)</f>
        <v/>
      </c>
      <c r="L256" s="172"/>
      <c r="M256" s="172"/>
      <c r="N256" s="172"/>
      <c r="O256" s="172"/>
      <c r="P256" s="172"/>
      <c r="Q256" s="172"/>
      <c r="R256" s="172"/>
      <c r="S256" s="172"/>
      <c r="T256" s="172"/>
      <c r="U256" s="172"/>
      <c r="V256" s="172"/>
      <c r="W256" s="172"/>
      <c r="X256" s="172"/>
      <c r="Y256" s="173"/>
    </row>
    <row r="257" ht="18" customHeight="true" x14ac:dyDescent="0.25">
      <c r="B257" s="754"/>
      <c r="C257" s="172"/>
      <c r="D257" s="185">
        <f t="shared" ref="D257:D294" si="30">D256+1</f>
        <v>3</v>
      </c>
      <c r="E257" s="1295" t="str">
        <f>IF(OR('I. Stream &amp; Compound Data'!O178="",'I. Stream &amp; Compound Data'!O179=0),"",'I. Stream &amp; Compound Data'!O178)</f>
        <v/>
      </c>
      <c r="F257" s="1295" t="str">
        <f>IF(E257="","",'I. Stream &amp; Compound Data'!O180)</f>
        <v/>
      </c>
      <c r="G257" s="186" t="str">
        <f>IF(E257="","",'I. Stream &amp; Compound Data'!$N242)</f>
        <v/>
      </c>
      <c r="H257" s="186" t="str">
        <f>IF(E257="","",'I. Stream &amp; Compound Data'!N247)</f>
        <v/>
      </c>
      <c r="I257" s="1458" t="str">
        <f t="shared" si="29"/>
        <v/>
      </c>
      <c r="J257" s="1295" t="str">
        <f>IF(E257="","",'I. Stream &amp; Compound Data'!O183)</f>
        <v/>
      </c>
      <c r="K257" s="187" t="str">
        <f>IF(E257="","",'I. Stream &amp; Compound Data'!O181)</f>
        <v/>
      </c>
      <c r="L257" s="172"/>
      <c r="M257" s="172"/>
      <c r="N257" s="172"/>
      <c r="O257" s="172"/>
      <c r="P257" s="172"/>
      <c r="Q257" s="172"/>
      <c r="R257" s="172"/>
      <c r="S257" s="172"/>
      <c r="T257" s="172"/>
      <c r="U257" s="172"/>
      <c r="V257" s="172"/>
      <c r="W257" s="172"/>
      <c r="X257" s="172"/>
      <c r="Y257" s="173"/>
    </row>
    <row r="258" ht="18" customHeight="true" x14ac:dyDescent="0.25">
      <c r="B258" s="754"/>
      <c r="C258" s="172"/>
      <c r="D258" s="185">
        <f t="shared" si="30"/>
        <v>4</v>
      </c>
      <c r="E258" s="1295" t="str">
        <f>IF(OR('I. Stream &amp; Compound Data'!R178="",'I. Stream &amp; Compound Data'!R179=0),"",'I. Stream &amp; Compound Data'!R178)</f>
        <v/>
      </c>
      <c r="F258" s="1295" t="str">
        <f>IF(E258="","",'I. Stream &amp; Compound Data'!R180)</f>
        <v/>
      </c>
      <c r="G258" s="186" t="str">
        <f>IF(E258="","",'I. Stream &amp; Compound Data'!$Q242)</f>
        <v/>
      </c>
      <c r="H258" s="186" t="str">
        <f>IF(E258="","",'I. Stream &amp; Compound Data'!Q247)</f>
        <v/>
      </c>
      <c r="I258" s="1458" t="str">
        <f t="shared" si="29"/>
        <v/>
      </c>
      <c r="J258" s="1295" t="str">
        <f>IF(E258="","",'I. Stream &amp; Compound Data'!R183)</f>
        <v/>
      </c>
      <c r="K258" s="187" t="str">
        <f>IF(E258="","",'I. Stream &amp; Compound Data'!R181)</f>
        <v/>
      </c>
      <c r="L258" s="172"/>
      <c r="M258" s="172"/>
      <c r="N258" s="172"/>
      <c r="O258" s="172"/>
      <c r="P258" s="172"/>
      <c r="Q258" s="172"/>
      <c r="R258" s="172"/>
      <c r="S258" s="172"/>
      <c r="T258" s="172"/>
      <c r="U258" s="172"/>
      <c r="V258" s="172"/>
      <c r="W258" s="172"/>
      <c r="X258" s="172"/>
      <c r="Y258" s="173"/>
    </row>
    <row r="259" ht="18" customHeight="true" x14ac:dyDescent="0.25">
      <c r="B259" s="754"/>
      <c r="C259" s="172"/>
      <c r="D259" s="185">
        <f t="shared" si="30"/>
        <v>5</v>
      </c>
      <c r="E259" s="1295" t="str">
        <f>IF(OR('I. Stream &amp; Compound Data'!U178="",'I. Stream &amp; Compound Data'!U179=0),"",'I. Stream &amp; Compound Data'!U178)</f>
        <v/>
      </c>
      <c r="F259" s="1295" t="str">
        <f>IF(E259="","",'I. Stream &amp; Compound Data'!U180)</f>
        <v/>
      </c>
      <c r="G259" s="186" t="str">
        <f>IF(E259="","",'I. Stream &amp; Compound Data'!$T242)</f>
        <v/>
      </c>
      <c r="H259" s="186" t="str">
        <f>IF(E259="","",'I. Stream &amp; Compound Data'!T247)</f>
        <v/>
      </c>
      <c r="I259" s="1458" t="str">
        <f t="shared" si="29"/>
        <v/>
      </c>
      <c r="J259" s="1295" t="str">
        <f>IF(E259="","",'I. Stream &amp; Compound Data'!U183)</f>
        <v/>
      </c>
      <c r="K259" s="187" t="str">
        <f>IF(E259="","",'I. Stream &amp; Compound Data'!U181)</f>
        <v/>
      </c>
      <c r="L259" s="172"/>
      <c r="M259" s="172"/>
      <c r="N259" s="172"/>
      <c r="O259" s="172"/>
      <c r="P259" s="172"/>
      <c r="Q259" s="172"/>
      <c r="R259" s="172"/>
      <c r="S259" s="172"/>
      <c r="T259" s="172"/>
      <c r="U259" s="172"/>
      <c r="V259" s="172"/>
      <c r="W259" s="172"/>
      <c r="X259" s="172"/>
      <c r="Y259" s="173"/>
    </row>
    <row r="260" ht="18" customHeight="true" x14ac:dyDescent="0.25">
      <c r="B260" s="754"/>
      <c r="C260" s="172"/>
      <c r="D260" s="185">
        <f t="shared" si="30"/>
        <v>6</v>
      </c>
      <c r="E260" s="186" t="str">
        <f>IF(OR('I. Stream &amp; Compound Data'!X178="",'I. Stream &amp; Compound Data'!X179=0),"",'I. Stream &amp; Compound Data'!X178)</f>
        <v/>
      </c>
      <c r="F260" s="1295" t="str">
        <f>IF(E260="","",'I. Stream &amp; Compound Data'!X180)</f>
        <v/>
      </c>
      <c r="G260" s="186" t="str">
        <f>IF(E260="","",'I. Stream &amp; Compound Data'!$W242)</f>
        <v/>
      </c>
      <c r="H260" s="186" t="str">
        <f>IF(E260="","",'I. Stream &amp; Compound Data'!W247)</f>
        <v/>
      </c>
      <c r="I260" s="1458" t="str">
        <f t="shared" si="29"/>
        <v/>
      </c>
      <c r="J260" s="1295" t="str">
        <f>IF(E260="","",'I. Stream &amp; Compound Data'!X183)</f>
        <v/>
      </c>
      <c r="K260" s="187" t="str">
        <f>IF(E260="","",'I. Stream &amp; Compound Data'!X181)</f>
        <v/>
      </c>
      <c r="L260" s="172"/>
      <c r="M260" s="172"/>
      <c r="N260" s="172"/>
      <c r="O260" s="172"/>
      <c r="P260" s="172"/>
      <c r="Q260" s="172"/>
      <c r="R260" s="172"/>
      <c r="S260" s="172"/>
      <c r="T260" s="172"/>
      <c r="U260" s="172"/>
      <c r="V260" s="172"/>
      <c r="W260" s="172"/>
      <c r="X260" s="172"/>
      <c r="Y260" s="173"/>
    </row>
    <row r="261" ht="18" customHeight="true" x14ac:dyDescent="0.25">
      <c r="B261" s="754"/>
      <c r="C261" s="172"/>
      <c r="D261" s="185">
        <f t="shared" si="30"/>
        <v>7</v>
      </c>
      <c r="E261" s="186" t="str">
        <f>IF(OR('I. Stream &amp; Compound Data'!AA178="",'I. Stream &amp; Compound Data'!AA179=0),"",'I. Stream &amp; Compound Data'!AA178)</f>
        <v/>
      </c>
      <c r="F261" s="1295" t="str">
        <f>IF(E261="","",'I. Stream &amp; Compound Data'!AA180)</f>
        <v/>
      </c>
      <c r="G261" s="186" t="str">
        <f>IF(E261="","",'I. Stream &amp; Compound Data'!$Z242)</f>
        <v/>
      </c>
      <c r="H261" s="186" t="str">
        <f>IF(E261="","",'I. Stream &amp; Compound Data'!Z247)</f>
        <v/>
      </c>
      <c r="I261" s="1458" t="str">
        <f t="shared" si="29"/>
        <v/>
      </c>
      <c r="J261" s="1295" t="str">
        <f>IF(E261="","",'I. Stream &amp; Compound Data'!AA183)</f>
        <v/>
      </c>
      <c r="K261" s="187" t="str">
        <f>IF(E261="","",'I. Stream &amp; Compound Data'!AA181)</f>
        <v/>
      </c>
      <c r="L261" s="172"/>
      <c r="M261" s="172"/>
      <c r="N261" s="172"/>
      <c r="O261" s="172"/>
      <c r="P261" s="172"/>
      <c r="Q261" s="172"/>
      <c r="R261" s="172"/>
      <c r="S261" s="172"/>
      <c r="T261" s="172"/>
      <c r="U261" s="172"/>
      <c r="V261" s="172"/>
      <c r="W261" s="172"/>
      <c r="X261" s="172"/>
      <c r="Y261" s="173"/>
    </row>
    <row r="262" ht="18" customHeight="true" x14ac:dyDescent="0.25">
      <c r="B262" s="754"/>
      <c r="C262" s="172"/>
      <c r="D262" s="185">
        <f t="shared" si="30"/>
        <v>8</v>
      </c>
      <c r="E262" s="186" t="str">
        <f>IF(OR('I. Stream &amp; Compound Data'!AD178="",'I. Stream &amp; Compound Data'!AD179=0),"",'I. Stream &amp; Compound Data'!AD178)</f>
        <v/>
      </c>
      <c r="F262" s="1295" t="str">
        <f>IF(E262="","",'I. Stream &amp; Compound Data'!AD180)</f>
        <v/>
      </c>
      <c r="G262" s="186" t="str">
        <f>IF(E262="","",'I. Stream &amp; Compound Data'!$AC242)</f>
        <v/>
      </c>
      <c r="H262" s="186" t="str">
        <f>IF(E262="","",'I. Stream &amp; Compound Data'!AC247)</f>
        <v/>
      </c>
      <c r="I262" s="1458" t="str">
        <f t="shared" si="29"/>
        <v/>
      </c>
      <c r="J262" s="1295" t="str">
        <f>IF(E262="","",'I. Stream &amp; Compound Data'!AD183)</f>
        <v/>
      </c>
      <c r="K262" s="187" t="str">
        <f>IF(E262="","",'I. Stream &amp; Compound Data'!AD181)</f>
        <v/>
      </c>
      <c r="L262" s="172"/>
      <c r="M262" s="172"/>
      <c r="N262" s="172"/>
      <c r="O262" s="172"/>
      <c r="P262" s="172"/>
      <c r="Q262" s="172"/>
      <c r="R262" s="172"/>
      <c r="S262" s="172"/>
      <c r="T262" s="172"/>
      <c r="U262" s="172"/>
      <c r="V262" s="172"/>
      <c r="W262" s="172"/>
      <c r="X262" s="172"/>
      <c r="Y262" s="173"/>
    </row>
    <row r="263" ht="18" customHeight="true" x14ac:dyDescent="0.25">
      <c r="B263" s="754"/>
      <c r="C263" s="172"/>
      <c r="D263" s="185">
        <f t="shared" si="30"/>
        <v>9</v>
      </c>
      <c r="E263" s="186" t="str">
        <f>IF(OR('I. Stream &amp; Compound Data'!AG178="",'I. Stream &amp; Compound Data'!AG179=0),"",'I. Stream &amp; Compound Data'!AG178)</f>
        <v/>
      </c>
      <c r="F263" s="1295" t="str">
        <f>IF(E263="","",'I. Stream &amp; Compound Data'!AG180)</f>
        <v/>
      </c>
      <c r="G263" s="186" t="str">
        <f>IF(E263="","",'I. Stream &amp; Compound Data'!$AF242)</f>
        <v/>
      </c>
      <c r="H263" s="186" t="str">
        <f>IF(E263="","",'I. Stream &amp; Compound Data'!AF247)</f>
        <v/>
      </c>
      <c r="I263" s="1458" t="str">
        <f t="shared" si="29"/>
        <v/>
      </c>
      <c r="J263" s="1295" t="str">
        <f>IF(E263="","",'I. Stream &amp; Compound Data'!AG183)</f>
        <v/>
      </c>
      <c r="K263" s="187" t="str">
        <f>IF(E263="","",'I. Stream &amp; Compound Data'!AG181)</f>
        <v/>
      </c>
      <c r="L263" s="172"/>
      <c r="M263" s="172"/>
      <c r="N263" s="172"/>
      <c r="O263" s="172"/>
      <c r="P263" s="172"/>
      <c r="Q263" s="172"/>
      <c r="R263" s="172"/>
      <c r="S263" s="172"/>
      <c r="T263" s="172"/>
      <c r="U263" s="172"/>
      <c r="V263" s="172"/>
      <c r="W263" s="172"/>
      <c r="X263" s="172"/>
      <c r="Y263" s="173"/>
    </row>
    <row r="264" ht="18" customHeight="true" x14ac:dyDescent="0.25">
      <c r="B264" s="754"/>
      <c r="C264" s="172"/>
      <c r="D264" s="185">
        <f t="shared" si="30"/>
        <v>10</v>
      </c>
      <c r="E264" s="186" t="str">
        <f>IF(OR('I. Stream &amp; Compound Data'!AJ178="",'I. Stream &amp; Compound Data'!AJ179=0),"",'I. Stream &amp; Compound Data'!AJ178)</f>
        <v/>
      </c>
      <c r="F264" s="1295" t="str">
        <f>IF(E264="","",'I. Stream &amp; Compound Data'!AJ180)</f>
        <v/>
      </c>
      <c r="G264" s="186" t="str">
        <f>IF(E264="","",'I. Stream &amp; Compound Data'!$AI242)</f>
        <v/>
      </c>
      <c r="H264" s="186" t="str">
        <f>IF(E264="","",'I. Stream &amp; Compound Data'!AI247)</f>
        <v/>
      </c>
      <c r="I264" s="1458" t="str">
        <f t="shared" si="29"/>
        <v/>
      </c>
      <c r="J264" s="1295" t="str">
        <f>IF(E264="","",'I. Stream &amp; Compound Data'!AJ183)</f>
        <v/>
      </c>
      <c r="K264" s="187" t="str">
        <f>IF(E264="","",'I. Stream &amp; Compound Data'!AJ181)</f>
        <v/>
      </c>
      <c r="L264" s="172"/>
      <c r="M264" s="172"/>
      <c r="N264" s="172"/>
      <c r="O264" s="172"/>
      <c r="P264" s="172"/>
      <c r="Q264" s="172"/>
      <c r="R264" s="172"/>
      <c r="S264" s="172"/>
      <c r="T264" s="172"/>
      <c r="U264" s="172"/>
      <c r="V264" s="172"/>
      <c r="W264" s="172"/>
      <c r="X264" s="172"/>
      <c r="Y264" s="173"/>
    </row>
    <row r="265" ht="18" customHeight="true" x14ac:dyDescent="0.25">
      <c r="B265" s="754"/>
      <c r="C265" s="172"/>
      <c r="D265" s="185">
        <f t="shared" si="30"/>
        <v>11</v>
      </c>
      <c r="E265" s="186" t="str">
        <f>IF(OR('I. Stream &amp; Compound Data'!AM178="",'I. Stream &amp; Compound Data'!AM179=0),"",'I. Stream &amp; Compound Data'!AM178)</f>
        <v/>
      </c>
      <c r="F265" s="1295" t="str">
        <f>IF(E265="","",'I. Stream &amp; Compound Data'!AM180)</f>
        <v/>
      </c>
      <c r="G265" s="1295" t="str">
        <f>IF($E$265="","",'I. Stream &amp; Compound Data'!$AL242)</f>
        <v/>
      </c>
      <c r="H265" s="1295" t="str">
        <f>IF($E$265="","",'I. Stream &amp; Compound Data'!AL247)</f>
        <v/>
      </c>
      <c r="I265" s="1458" t="str">
        <f t="shared" si="29"/>
        <v/>
      </c>
      <c r="J265" s="1295" t="str">
        <f>IF($E$265="","",'I. Stream &amp; Compound Data'!AM183)</f>
        <v/>
      </c>
      <c r="K265" s="1464" t="str">
        <f>IF($E$265="","",'I. Stream &amp; Compound Data'!AM181)</f>
        <v/>
      </c>
      <c r="L265" s="172"/>
      <c r="M265" s="172"/>
      <c r="N265" s="172"/>
      <c r="O265" s="172"/>
      <c r="P265" s="172"/>
      <c r="Q265" s="172"/>
      <c r="R265" s="172"/>
      <c r="S265" s="172"/>
      <c r="T265" s="172"/>
      <c r="U265" s="172"/>
      <c r="V265" s="172"/>
      <c r="W265" s="172"/>
      <c r="X265" s="172"/>
      <c r="Y265" s="173"/>
    </row>
    <row r="266" ht="18" customHeight="true" x14ac:dyDescent="0.25">
      <c r="B266" s="754"/>
      <c r="C266" s="172"/>
      <c r="D266" s="185">
        <f t="shared" si="30"/>
        <v>12</v>
      </c>
      <c r="E266" s="202" t="str">
        <f>IF(OR('I. Stream &amp; Compound Data'!AP178="",'I. Stream &amp; Compound Data'!AP179=0),"",'I. Stream &amp; Compound Data'!AP178)</f>
        <v/>
      </c>
      <c r="F266" s="1295" t="str">
        <f>IF(E266="","",'I. Stream &amp; Compound Data'!AP180)</f>
        <v/>
      </c>
      <c r="G266" s="1295" t="str">
        <f>IF($E$266="","",'I. Stream &amp; Compound Data'!$AO242)</f>
        <v/>
      </c>
      <c r="H266" s="1295" t="str">
        <f>IF($E$266="","",'I. Stream &amp; Compound Data'!AO247)</f>
        <v/>
      </c>
      <c r="I266" s="1458" t="str">
        <f t="shared" si="29"/>
        <v/>
      </c>
      <c r="J266" s="1295" t="str">
        <f>IF($E$266="","",'I. Stream &amp; Compound Data'!AP183)</f>
        <v/>
      </c>
      <c r="K266" s="1464" t="str">
        <f>IF($E$266="","",'I. Stream &amp; Compound Data'!AP181)</f>
        <v/>
      </c>
      <c r="L266" s="172"/>
      <c r="M266" s="172"/>
      <c r="N266" s="172"/>
      <c r="O266" s="172"/>
      <c r="P266" s="172"/>
      <c r="Q266" s="172"/>
      <c r="R266" s="172"/>
      <c r="S266" s="172"/>
      <c r="T266" s="172"/>
      <c r="U266" s="172"/>
      <c r="V266" s="172"/>
      <c r="W266" s="172"/>
      <c r="X266" s="172"/>
      <c r="Y266" s="173"/>
    </row>
    <row r="267" ht="18" customHeight="true" x14ac:dyDescent="0.25">
      <c r="B267" s="754"/>
      <c r="C267" s="172"/>
      <c r="D267" s="185">
        <f t="shared" si="30"/>
        <v>13</v>
      </c>
      <c r="E267" s="186" t="str">
        <f>IF(OR('I. Stream &amp; Compound Data'!AS178="",'I. Stream &amp; Compound Data'!AS179=0),"",'I. Stream &amp; Compound Data'!AS178)</f>
        <v/>
      </c>
      <c r="F267" s="1295" t="str">
        <f>IF(E267="","",'I. Stream &amp; Compound Data'!AS180)</f>
        <v/>
      </c>
      <c r="G267" s="1295" t="str">
        <f>IF($E$267="","",'I. Stream &amp; Compound Data'!$AR242)</f>
        <v/>
      </c>
      <c r="H267" s="1295" t="str">
        <f>IF($E$267="","",'I. Stream &amp; Compound Data'!AR247)</f>
        <v/>
      </c>
      <c r="I267" s="1458" t="str">
        <f t="shared" si="29"/>
        <v/>
      </c>
      <c r="J267" s="1295" t="str">
        <f>IF($E$267="","",'I. Stream &amp; Compound Data'!AS183)</f>
        <v/>
      </c>
      <c r="K267" s="1464" t="str">
        <f>IF($E$267="","",'I. Stream &amp; Compound Data'!AS181)</f>
        <v/>
      </c>
      <c r="L267" s="172"/>
      <c r="M267" s="172"/>
      <c r="N267" s="172"/>
      <c r="O267" s="172"/>
      <c r="P267" s="172"/>
      <c r="Q267" s="172"/>
      <c r="R267" s="172"/>
      <c r="S267" s="172"/>
      <c r="T267" s="172"/>
      <c r="U267" s="172"/>
      <c r="V267" s="172"/>
      <c r="W267" s="172"/>
      <c r="X267" s="172"/>
      <c r="Y267" s="173"/>
    </row>
    <row r="268" ht="18" customHeight="true" x14ac:dyDescent="0.25">
      <c r="B268" s="754"/>
      <c r="C268" s="172"/>
      <c r="D268" s="185">
        <f t="shared" si="30"/>
        <v>14</v>
      </c>
      <c r="E268" s="186" t="str">
        <f>IF(OR('I. Stream &amp; Compound Data'!AV178="",'I. Stream &amp; Compound Data'!AV179=0),"",'I. Stream &amp; Compound Data'!AV178)</f>
        <v/>
      </c>
      <c r="F268" s="1295" t="str">
        <f>IF(E268="","",'I. Stream &amp; Compound Data'!AV180)</f>
        <v/>
      </c>
      <c r="G268" s="1295" t="str">
        <f>IF($E$268="","",'I. Stream &amp; Compound Data'!$AU242)</f>
        <v/>
      </c>
      <c r="H268" s="1295" t="str">
        <f>IF($E$268="","",'I. Stream &amp; Compound Data'!AU247)</f>
        <v/>
      </c>
      <c r="I268" s="1458" t="str">
        <f t="shared" si="29"/>
        <v/>
      </c>
      <c r="J268" s="1295" t="str">
        <f>IF($E$268="","",'I. Stream &amp; Compound Data'!AV183)</f>
        <v/>
      </c>
      <c r="K268" s="1464" t="str">
        <f>IF($E$268="","",'I. Stream &amp; Compound Data'!AV181)</f>
        <v/>
      </c>
      <c r="L268" s="172"/>
      <c r="M268" s="172"/>
      <c r="N268" s="172"/>
      <c r="O268" s="172"/>
      <c r="P268" s="172"/>
      <c r="Q268" s="172"/>
      <c r="R268" s="172"/>
      <c r="S268" s="172"/>
      <c r="T268" s="172"/>
      <c r="U268" s="172"/>
      <c r="V268" s="172"/>
      <c r="W268" s="172"/>
      <c r="X268" s="172"/>
      <c r="Y268" s="173"/>
    </row>
    <row r="269" ht="18" customHeight="true" x14ac:dyDescent="0.25">
      <c r="B269" s="754"/>
      <c r="C269" s="172"/>
      <c r="D269" s="185">
        <f t="shared" si="30"/>
        <v>15</v>
      </c>
      <c r="E269" s="186" t="str">
        <f>IF(OR('I. Stream &amp; Compound Data'!AY178="",'I. Stream &amp; Compound Data'!AY179=0),"",'I. Stream &amp; Compound Data'!AY178)</f>
        <v/>
      </c>
      <c r="F269" s="1295" t="str">
        <f>IF(E269="","",'I. Stream &amp; Compound Data'!AY180)</f>
        <v/>
      </c>
      <c r="G269" s="1295" t="str">
        <f>IF($E$269="","",'I. Stream &amp; Compound Data'!$AX242)</f>
        <v/>
      </c>
      <c r="H269" s="1295" t="str">
        <f>IF($E$269="","",'I. Stream &amp; Compound Data'!AX247)</f>
        <v/>
      </c>
      <c r="I269" s="1458" t="str">
        <f t="shared" si="29"/>
        <v/>
      </c>
      <c r="J269" s="1295" t="str">
        <f>IF($E$269="","",'I. Stream &amp; Compound Data'!AY183)</f>
        <v/>
      </c>
      <c r="K269" s="1464" t="str">
        <f>IF($E$269="","",'I. Stream &amp; Compound Data'!AY181)</f>
        <v/>
      </c>
      <c r="L269" s="172"/>
      <c r="M269" s="172"/>
      <c r="N269" s="172"/>
      <c r="O269" s="172"/>
      <c r="P269" s="172"/>
      <c r="Q269" s="172"/>
      <c r="R269" s="172"/>
      <c r="S269" s="172"/>
      <c r="T269" s="172"/>
      <c r="U269" s="172"/>
      <c r="V269" s="172"/>
      <c r="W269" s="172"/>
      <c r="X269" s="172"/>
      <c r="Y269" s="173"/>
    </row>
    <row r="270" ht="18" customHeight="true" x14ac:dyDescent="0.25">
      <c r="B270" s="754"/>
      <c r="C270" s="172"/>
      <c r="D270" s="185">
        <f t="shared" si="30"/>
        <v>16</v>
      </c>
      <c r="E270" s="186" t="str">
        <f>IF(OR('I. Stream &amp; Compound Data'!BB178="",'I. Stream &amp; Compound Data'!BB179=0),"",'I. Stream &amp; Compound Data'!BB178)</f>
        <v/>
      </c>
      <c r="F270" s="1295" t="str">
        <f>IF(E270="","",'I. Stream &amp; Compound Data'!BB180)</f>
        <v/>
      </c>
      <c r="G270" s="1295" t="str">
        <f>IF($E$270="","",'I. Stream &amp; Compound Data'!$BA242)</f>
        <v/>
      </c>
      <c r="H270" s="1295" t="str">
        <f>IF($E$270="","",'I. Stream &amp; Compound Data'!BA247)</f>
        <v/>
      </c>
      <c r="I270" s="1458" t="str">
        <f t="shared" si="29"/>
        <v/>
      </c>
      <c r="J270" s="1295" t="str">
        <f>IF($E$270="","",'I. Stream &amp; Compound Data'!BB183)</f>
        <v/>
      </c>
      <c r="K270" s="1464" t="str">
        <f>IF($E$270="","",'I. Stream &amp; Compound Data'!BB181)</f>
        <v/>
      </c>
      <c r="L270" s="172"/>
      <c r="M270" s="172"/>
      <c r="N270" s="172"/>
      <c r="O270" s="172"/>
      <c r="P270" s="172"/>
      <c r="Q270" s="172"/>
      <c r="R270" s="172"/>
      <c r="S270" s="172"/>
      <c r="T270" s="172"/>
      <c r="U270" s="172"/>
      <c r="V270" s="172"/>
      <c r="W270" s="172"/>
      <c r="X270" s="172"/>
      <c r="Y270" s="173"/>
    </row>
    <row r="271" ht="18" customHeight="true" x14ac:dyDescent="0.25">
      <c r="B271" s="754"/>
      <c r="C271" s="172"/>
      <c r="D271" s="185">
        <f t="shared" si="30"/>
        <v>17</v>
      </c>
      <c r="E271" s="186" t="str">
        <f>IF(OR('I. Stream &amp; Compound Data'!BE178="",'I. Stream &amp; Compound Data'!BE179=0),"",'I. Stream &amp; Compound Data'!BE178)</f>
        <v/>
      </c>
      <c r="F271" s="1295" t="str">
        <f>IF(E271="","",'I. Stream &amp; Compound Data'!BE180)</f>
        <v/>
      </c>
      <c r="G271" s="1295" t="str">
        <f>IF($E$271="","",'I. Stream &amp; Compound Data'!$BD242)</f>
        <v/>
      </c>
      <c r="H271" s="1295" t="str">
        <f>IF($E$271="","",'I. Stream &amp; Compound Data'!BD247)</f>
        <v/>
      </c>
      <c r="I271" s="1458" t="str">
        <f t="shared" si="29"/>
        <v/>
      </c>
      <c r="J271" s="1295" t="str">
        <f>IF($E$271="","",'I. Stream &amp; Compound Data'!BE183)</f>
        <v/>
      </c>
      <c r="K271" s="1464" t="str">
        <f>IF($E$271="","",'I. Stream &amp; Compound Data'!BE181)</f>
        <v/>
      </c>
      <c r="L271" s="172"/>
      <c r="M271" s="172"/>
      <c r="N271" s="172"/>
      <c r="O271" s="172"/>
      <c r="P271" s="172"/>
      <c r="Q271" s="172"/>
      <c r="R271" s="172"/>
      <c r="S271" s="172"/>
      <c r="T271" s="172"/>
      <c r="U271" s="172"/>
      <c r="V271" s="172"/>
      <c r="W271" s="172"/>
      <c r="X271" s="172"/>
      <c r="Y271" s="173"/>
    </row>
    <row r="272" ht="18" customHeight="true" x14ac:dyDescent="0.25">
      <c r="B272" s="754"/>
      <c r="C272" s="172"/>
      <c r="D272" s="185">
        <f t="shared" si="30"/>
        <v>18</v>
      </c>
      <c r="E272" s="186" t="str">
        <f>IF(OR('I. Stream &amp; Compound Data'!BH178="",'I. Stream &amp; Compound Data'!BH179=0),"",'I. Stream &amp; Compound Data'!BH178)</f>
        <v/>
      </c>
      <c r="F272" s="1295" t="str">
        <f>IF(E272="","",'I. Stream &amp; Compound Data'!BH180)</f>
        <v/>
      </c>
      <c r="G272" s="1295" t="str">
        <f>IF($E$272="","",'I. Stream &amp; Compound Data'!$BG242)</f>
        <v/>
      </c>
      <c r="H272" s="1295" t="str">
        <f>IF($E$272="","",'I. Stream &amp; Compound Data'!BG247)</f>
        <v/>
      </c>
      <c r="I272" s="1458" t="str">
        <f t="shared" si="29"/>
        <v/>
      </c>
      <c r="J272" s="1295" t="str">
        <f>IF($E$272="","",'I. Stream &amp; Compound Data'!BH183)</f>
        <v/>
      </c>
      <c r="K272" s="1464" t="str">
        <f>IF($E$272="","",'I. Stream &amp; Compound Data'!BH181)</f>
        <v/>
      </c>
      <c r="L272" s="172"/>
      <c r="M272" s="172"/>
      <c r="N272" s="172"/>
      <c r="O272" s="172"/>
      <c r="P272" s="172"/>
      <c r="Q272" s="172"/>
      <c r="R272" s="172"/>
      <c r="S272" s="172"/>
      <c r="T272" s="172"/>
      <c r="U272" s="172"/>
      <c r="V272" s="172"/>
      <c r="W272" s="172"/>
      <c r="X272" s="172"/>
      <c r="Y272" s="173"/>
    </row>
    <row r="273" ht="18" customHeight="true" x14ac:dyDescent="0.25">
      <c r="B273" s="754"/>
      <c r="C273" s="172"/>
      <c r="D273" s="185">
        <f t="shared" si="30"/>
        <v>19</v>
      </c>
      <c r="E273" s="186" t="str">
        <f>IF(OR('I. Stream &amp; Compound Data'!BK178="",'I. Stream &amp; Compound Data'!BK179=0),"",'I. Stream &amp; Compound Data'!BK178)</f>
        <v/>
      </c>
      <c r="F273" s="1295" t="str">
        <f>IF(E273="","",'I. Stream &amp; Compound Data'!BK180)</f>
        <v/>
      </c>
      <c r="G273" s="1295" t="str">
        <f>IF($E$273="","",'I. Stream &amp; Compound Data'!$BJ242)</f>
        <v/>
      </c>
      <c r="H273" s="1295" t="str">
        <f>IF($E$273="","",'I. Stream &amp; Compound Data'!BJ247)</f>
        <v/>
      </c>
      <c r="I273" s="1458" t="str">
        <f t="shared" si="29"/>
        <v/>
      </c>
      <c r="J273" s="1295" t="str">
        <f>IF($E$273="","",'I. Stream &amp; Compound Data'!BK183)</f>
        <v/>
      </c>
      <c r="K273" s="1464" t="str">
        <f>IF($E$273="","",'I. Stream &amp; Compound Data'!BK181)</f>
        <v/>
      </c>
      <c r="L273" s="172"/>
      <c r="M273" s="172"/>
      <c r="N273" s="172"/>
      <c r="O273" s="172"/>
      <c r="P273" s="172"/>
      <c r="Q273" s="172"/>
      <c r="R273" s="172"/>
      <c r="S273" s="172"/>
      <c r="T273" s="172"/>
      <c r="U273" s="172"/>
      <c r="V273" s="172"/>
      <c r="W273" s="172"/>
      <c r="X273" s="172"/>
      <c r="Y273" s="173"/>
    </row>
    <row r="274" ht="18" customHeight="true" x14ac:dyDescent="0.25">
      <c r="B274" s="754"/>
      <c r="C274" s="172"/>
      <c r="D274" s="185">
        <f t="shared" si="30"/>
        <v>20</v>
      </c>
      <c r="E274" s="186" t="str">
        <f>IF(OR('I. Stream &amp; Compound Data'!BN178="",'I. Stream &amp; Compound Data'!BN179=0),"",'I. Stream &amp; Compound Data'!BN178)</f>
        <v/>
      </c>
      <c r="F274" s="1295" t="str">
        <f>IF(E274="","",'I. Stream &amp; Compound Data'!BN180)</f>
        <v/>
      </c>
      <c r="G274" s="1295" t="str">
        <f>IF($E$274="","",'I. Stream &amp; Compound Data'!$BM242)</f>
        <v/>
      </c>
      <c r="H274" s="1295" t="str">
        <f>IF($E$274="","",'I. Stream &amp; Compound Data'!BM247)</f>
        <v/>
      </c>
      <c r="I274" s="1458" t="str">
        <f t="shared" si="29"/>
        <v/>
      </c>
      <c r="J274" s="1295" t="str">
        <f>IF($E$274="","",'I. Stream &amp; Compound Data'!BN183)</f>
        <v/>
      </c>
      <c r="K274" s="1464" t="str">
        <f>IF($E$274="","",'I. Stream &amp; Compound Data'!BN181)</f>
        <v/>
      </c>
      <c r="L274" s="172"/>
      <c r="M274" s="172"/>
      <c r="N274" s="172"/>
      <c r="O274" s="172"/>
      <c r="P274" s="172"/>
      <c r="Q274" s="172"/>
      <c r="R274" s="172"/>
      <c r="S274" s="172"/>
      <c r="T274" s="172"/>
      <c r="U274" s="172"/>
      <c r="V274" s="172"/>
      <c r="W274" s="172"/>
      <c r="X274" s="172"/>
      <c r="Y274" s="173"/>
    </row>
    <row r="275" ht="18" customHeight="true" x14ac:dyDescent="0.25">
      <c r="B275" s="754"/>
      <c r="C275" s="172"/>
      <c r="D275" s="185">
        <f t="shared" si="30"/>
        <v>21</v>
      </c>
      <c r="E275" s="186" t="str">
        <f>IF(OR('I. Stream &amp; Compound Data'!BQ178="",'I. Stream &amp; Compound Data'!BQ179=0),"",'I. Stream &amp; Compound Data'!BQ178)</f>
        <v/>
      </c>
      <c r="F275" s="1295" t="str">
        <f>IF(E275="","",'I. Stream &amp; Compound Data'!BQ180)</f>
        <v/>
      </c>
      <c r="G275" s="1295" t="str">
        <f>IF($E$275="","",'I. Stream &amp; Compound Data'!$BP242)</f>
        <v/>
      </c>
      <c r="H275" s="1295" t="str">
        <f>IF($E$275="","",'I. Stream &amp; Compound Data'!BP247)</f>
        <v/>
      </c>
      <c r="I275" s="1458" t="str">
        <f t="shared" si="29"/>
        <v/>
      </c>
      <c r="J275" s="1295" t="str">
        <f>IF($E$275="","",'I. Stream &amp; Compound Data'!BQ183)</f>
        <v/>
      </c>
      <c r="K275" s="1464" t="str">
        <f>IF($E$275="","",'I. Stream &amp; Compound Data'!BQ181)</f>
        <v/>
      </c>
      <c r="L275" s="172"/>
      <c r="M275" s="172"/>
      <c r="N275" s="172"/>
      <c r="O275" s="172"/>
      <c r="P275" s="172"/>
      <c r="Q275" s="172"/>
      <c r="R275" s="172"/>
      <c r="S275" s="172"/>
      <c r="T275" s="172"/>
      <c r="U275" s="172"/>
      <c r="V275" s="172"/>
      <c r="W275" s="172"/>
      <c r="X275" s="172"/>
      <c r="Y275" s="173"/>
    </row>
    <row r="276" ht="18" customHeight="true" x14ac:dyDescent="0.25">
      <c r="B276" s="754"/>
      <c r="C276" s="172"/>
      <c r="D276" s="185">
        <f t="shared" si="30"/>
        <v>22</v>
      </c>
      <c r="E276" s="186" t="str">
        <f>IF(OR('I. Stream &amp; Compound Data'!BT178="",'I. Stream &amp; Compound Data'!BT179=0),"",'I. Stream &amp; Compound Data'!BT178)</f>
        <v/>
      </c>
      <c r="F276" s="1295" t="str">
        <f>IF(E276="","",'I. Stream &amp; Compound Data'!BT180)</f>
        <v/>
      </c>
      <c r="G276" s="1295" t="str">
        <f>IF($E$276="","",'I. Stream &amp; Compound Data'!$BS242)</f>
        <v/>
      </c>
      <c r="H276" s="1295" t="str">
        <f>IF($E$276="","",'I. Stream &amp; Compound Data'!BS247)</f>
        <v/>
      </c>
      <c r="I276" s="1458" t="str">
        <f t="shared" si="29"/>
        <v/>
      </c>
      <c r="J276" s="1295" t="str">
        <f>IF($E$276="","",'I. Stream &amp; Compound Data'!BT183)</f>
        <v/>
      </c>
      <c r="K276" s="1464" t="str">
        <f>IF($E$276="","",'I. Stream &amp; Compound Data'!BT181)</f>
        <v/>
      </c>
      <c r="L276" s="172"/>
      <c r="M276" s="172"/>
      <c r="N276" s="172"/>
      <c r="O276" s="172"/>
      <c r="P276" s="172"/>
      <c r="Q276" s="172"/>
      <c r="R276" s="172"/>
      <c r="S276" s="172"/>
      <c r="T276" s="172"/>
      <c r="U276" s="172"/>
      <c r="V276" s="172"/>
      <c r="W276" s="172"/>
      <c r="X276" s="172"/>
      <c r="Y276" s="173"/>
    </row>
    <row r="277" ht="18" customHeight="true" x14ac:dyDescent="0.25">
      <c r="B277" s="754"/>
      <c r="C277" s="172"/>
      <c r="D277" s="185">
        <f t="shared" si="30"/>
        <v>23</v>
      </c>
      <c r="E277" s="186" t="str">
        <f>IF(OR('I. Stream &amp; Compound Data'!BW178="",'I. Stream &amp; Compound Data'!BW179=0),"",'I. Stream &amp; Compound Data'!BW178)</f>
        <v/>
      </c>
      <c r="F277" s="1295" t="str">
        <f>IF(E277="","",'I. Stream &amp; Compound Data'!BW180)</f>
        <v/>
      </c>
      <c r="G277" s="1295" t="str">
        <f>IF($E$277="","",'I. Stream &amp; Compound Data'!$BV242)</f>
        <v/>
      </c>
      <c r="H277" s="1295" t="str">
        <f>IF($E$277="","",'I. Stream &amp; Compound Data'!BV247)</f>
        <v/>
      </c>
      <c r="I277" s="1458" t="str">
        <f t="shared" si="29"/>
        <v/>
      </c>
      <c r="J277" s="1295" t="str">
        <f>IF($E$277="","",'I. Stream &amp; Compound Data'!BW183)</f>
        <v/>
      </c>
      <c r="K277" s="1464" t="str">
        <f>IF($E$277="","",'I. Stream &amp; Compound Data'!BW181)</f>
        <v/>
      </c>
      <c r="L277" s="172"/>
      <c r="M277" s="172"/>
      <c r="N277" s="172"/>
      <c r="O277" s="172"/>
      <c r="P277" s="172"/>
      <c r="Q277" s="172"/>
      <c r="R277" s="172"/>
      <c r="S277" s="172"/>
      <c r="T277" s="172"/>
      <c r="U277" s="172"/>
      <c r="V277" s="172"/>
      <c r="W277" s="172"/>
      <c r="X277" s="172"/>
      <c r="Y277" s="173"/>
    </row>
    <row r="278" ht="18" customHeight="true" x14ac:dyDescent="0.25">
      <c r="B278" s="754"/>
      <c r="C278" s="172"/>
      <c r="D278" s="185">
        <f t="shared" si="30"/>
        <v>24</v>
      </c>
      <c r="E278" s="186" t="str">
        <f>IF(OR('I. Stream &amp; Compound Data'!BZ178="",'I. Stream &amp; Compound Data'!BZ179=0),"",'I. Stream &amp; Compound Data'!BZ178)</f>
        <v/>
      </c>
      <c r="F278" s="1295" t="str">
        <f>IF(E278="","",'I. Stream &amp; Compound Data'!BZ180)</f>
        <v/>
      </c>
      <c r="G278" s="1295" t="str">
        <f>IF($E$278="","",'I. Stream &amp; Compound Data'!$BY242)</f>
        <v/>
      </c>
      <c r="H278" s="1295" t="str">
        <f>IF($E$278="","",'I. Stream &amp; Compound Data'!BY247)</f>
        <v/>
      </c>
      <c r="I278" s="1458" t="str">
        <f t="shared" si="29"/>
        <v/>
      </c>
      <c r="J278" s="1295" t="str">
        <f>IF($E$278="","",'I. Stream &amp; Compound Data'!BZ183)</f>
        <v/>
      </c>
      <c r="K278" s="1464" t="str">
        <f>IF($E$278="","",'I. Stream &amp; Compound Data'!BZ181)</f>
        <v/>
      </c>
      <c r="L278" s="172"/>
      <c r="M278" s="172"/>
      <c r="N278" s="172"/>
      <c r="O278" s="172"/>
      <c r="P278" s="172"/>
      <c r="Q278" s="172"/>
      <c r="R278" s="172"/>
      <c r="S278" s="172"/>
      <c r="T278" s="172"/>
      <c r="U278" s="172"/>
      <c r="V278" s="172"/>
      <c r="W278" s="172"/>
      <c r="X278" s="172"/>
      <c r="Y278" s="173"/>
    </row>
    <row r="279" ht="18" customHeight="true" x14ac:dyDescent="0.25">
      <c r="B279" s="754"/>
      <c r="C279" s="172"/>
      <c r="D279" s="185">
        <f t="shared" si="30"/>
        <v>25</v>
      </c>
      <c r="E279" s="186" t="str">
        <f>IF(OR('I. Stream &amp; Compound Data'!CC178="",'I. Stream &amp; Compound Data'!CC179=0),"",'I. Stream &amp; Compound Data'!CC178)</f>
        <v/>
      </c>
      <c r="F279" s="1295" t="str">
        <f>IF(E279="","",'I. Stream &amp; Compound Data'!CC180)</f>
        <v/>
      </c>
      <c r="G279" s="1295" t="str">
        <f>IF($E$279="","",'I. Stream &amp; Compound Data'!$CB242)</f>
        <v/>
      </c>
      <c r="H279" s="1295" t="str">
        <f>IF($E$279="","",'I. Stream &amp; Compound Data'!CB247)</f>
        <v/>
      </c>
      <c r="I279" s="1458" t="str">
        <f t="shared" si="29"/>
        <v/>
      </c>
      <c r="J279" s="1295" t="str">
        <f>IF($E$279="","",'I. Stream &amp; Compound Data'!CC183)</f>
        <v/>
      </c>
      <c r="K279" s="1464" t="str">
        <f>IF($E$279="","",'I. Stream &amp; Compound Data'!CC181)</f>
        <v/>
      </c>
      <c r="L279" s="172"/>
      <c r="M279" s="172"/>
      <c r="N279" s="172"/>
      <c r="O279" s="172"/>
      <c r="P279" s="172"/>
      <c r="Q279" s="172"/>
      <c r="R279" s="172"/>
      <c r="S279" s="172"/>
      <c r="T279" s="172"/>
      <c r="U279" s="172"/>
      <c r="V279" s="172"/>
      <c r="W279" s="172"/>
      <c r="X279" s="172"/>
      <c r="Y279" s="173"/>
    </row>
    <row r="280" ht="18" customHeight="true" x14ac:dyDescent="0.25">
      <c r="B280" s="754"/>
      <c r="C280" s="172"/>
      <c r="D280" s="185">
        <f t="shared" si="30"/>
        <v>26</v>
      </c>
      <c r="E280" s="186" t="str">
        <f>IF(OR('I. Stream &amp; Compound Data'!CF178="",'I. Stream &amp; Compound Data'!CF179=0),"",'I. Stream &amp; Compound Data'!CF178)</f>
        <v/>
      </c>
      <c r="F280" s="1295" t="str">
        <f>IF(E280="","",'I. Stream &amp; Compound Data'!CF180)</f>
        <v/>
      </c>
      <c r="G280" s="1295" t="str">
        <f>IF($E$280="","",'I. Stream &amp; Compound Data'!$CE242)</f>
        <v/>
      </c>
      <c r="H280" s="1295" t="str">
        <f>IF($E$280="","",'I. Stream &amp; Compound Data'!CE247)</f>
        <v/>
      </c>
      <c r="I280" s="1458" t="str">
        <f t="shared" si="29"/>
        <v/>
      </c>
      <c r="J280" s="1295" t="str">
        <f>IF($E$280="","",'I. Stream &amp; Compound Data'!CF183)</f>
        <v/>
      </c>
      <c r="K280" s="1464" t="str">
        <f>IF($E$280="","",'I. Stream &amp; Compound Data'!CF181)</f>
        <v/>
      </c>
      <c r="L280" s="172"/>
      <c r="M280" s="172"/>
      <c r="N280" s="172"/>
      <c r="O280" s="172"/>
      <c r="P280" s="172"/>
      <c r="Q280" s="172"/>
      <c r="R280" s="172"/>
      <c r="S280" s="172"/>
      <c r="T280" s="172"/>
      <c r="U280" s="172"/>
      <c r="V280" s="172"/>
      <c r="W280" s="172"/>
      <c r="X280" s="172"/>
      <c r="Y280" s="173"/>
    </row>
    <row r="281" ht="18" customHeight="true" x14ac:dyDescent="0.25">
      <c r="B281" s="754"/>
      <c r="C281" s="172"/>
      <c r="D281" s="185">
        <f t="shared" si="30"/>
        <v>27</v>
      </c>
      <c r="E281" s="186" t="str">
        <f>IF(OR('I. Stream &amp; Compound Data'!CI178="",'I. Stream &amp; Compound Data'!CI179=0),"",'I. Stream &amp; Compound Data'!CI178)</f>
        <v/>
      </c>
      <c r="F281" s="1295" t="str">
        <f>IF(E281="","",'I. Stream &amp; Compound Data'!CI180)</f>
        <v/>
      </c>
      <c r="G281" s="1295" t="str">
        <f>IF($E$281="","",'I. Stream &amp; Compound Data'!$CH242)</f>
        <v/>
      </c>
      <c r="H281" s="1295" t="str">
        <f>IF($E$281="","",'I. Stream &amp; Compound Data'!CH247)</f>
        <v/>
      </c>
      <c r="I281" s="1458" t="str">
        <f t="shared" si="29"/>
        <v/>
      </c>
      <c r="J281" s="1295" t="str">
        <f>IF($E$281="","",'I. Stream &amp; Compound Data'!CI183)</f>
        <v/>
      </c>
      <c r="K281" s="1464" t="str">
        <f>IF($E$281="","",'I. Stream &amp; Compound Data'!CI181)</f>
        <v/>
      </c>
      <c r="L281" s="172"/>
      <c r="M281" s="172"/>
      <c r="N281" s="172"/>
      <c r="O281" s="172"/>
      <c r="P281" s="172"/>
      <c r="Q281" s="172"/>
      <c r="R281" s="172"/>
      <c r="S281" s="172"/>
      <c r="T281" s="172"/>
      <c r="U281" s="172"/>
      <c r="V281" s="172"/>
      <c r="W281" s="172"/>
      <c r="X281" s="172"/>
      <c r="Y281" s="173"/>
    </row>
    <row r="282" ht="18" customHeight="true" x14ac:dyDescent="0.25">
      <c r="B282" s="754"/>
      <c r="C282" s="172"/>
      <c r="D282" s="185">
        <f t="shared" si="30"/>
        <v>28</v>
      </c>
      <c r="E282" s="186" t="str">
        <f>IF(OR('I. Stream &amp; Compound Data'!CL178="",'I. Stream &amp; Compound Data'!CL179=0),"",'I. Stream &amp; Compound Data'!CL178)</f>
        <v/>
      </c>
      <c r="F282" s="1295" t="str">
        <f>IF(E282="","",'I. Stream &amp; Compound Data'!CL180)</f>
        <v/>
      </c>
      <c r="G282" s="1295" t="str">
        <f>IF($E$282="","",'I. Stream &amp; Compound Data'!$CK242)</f>
        <v/>
      </c>
      <c r="H282" s="1295" t="str">
        <f>IF($E$282="","",'I. Stream &amp; Compound Data'!CK247)</f>
        <v/>
      </c>
      <c r="I282" s="1458" t="str">
        <f t="shared" si="29"/>
        <v/>
      </c>
      <c r="J282" s="1295" t="str">
        <f>IF($E$282="","",'I. Stream &amp; Compound Data'!CL183)</f>
        <v/>
      </c>
      <c r="K282" s="1464" t="str">
        <f>IF($E$282="","",'I. Stream &amp; Compound Data'!CL181)</f>
        <v/>
      </c>
      <c r="L282" s="172"/>
      <c r="M282" s="172"/>
      <c r="N282" s="172"/>
      <c r="O282" s="172"/>
      <c r="P282" s="172"/>
      <c r="Q282" s="172"/>
      <c r="R282" s="172"/>
      <c r="S282" s="172"/>
      <c r="T282" s="172"/>
      <c r="U282" s="172"/>
      <c r="V282" s="172"/>
      <c r="W282" s="172"/>
      <c r="X282" s="172"/>
      <c r="Y282" s="173"/>
    </row>
    <row r="283" ht="18" customHeight="true" x14ac:dyDescent="0.25">
      <c r="B283" s="754"/>
      <c r="C283" s="172"/>
      <c r="D283" s="185">
        <f t="shared" si="30"/>
        <v>29</v>
      </c>
      <c r="E283" s="186" t="str">
        <f>IF(OR('I. Stream &amp; Compound Data'!CO178="",'I. Stream &amp; Compound Data'!CO179=0),"",'I. Stream &amp; Compound Data'!CO178)</f>
        <v/>
      </c>
      <c r="F283" s="1295" t="str">
        <f>IF(E283="","",'I. Stream &amp; Compound Data'!CO180)</f>
        <v/>
      </c>
      <c r="G283" s="1295" t="str">
        <f>IF($E$283="","",'I. Stream &amp; Compound Data'!$CN242)</f>
        <v/>
      </c>
      <c r="H283" s="1295" t="str">
        <f>IF($E$283="","",'I. Stream &amp; Compound Data'!CN247)</f>
        <v/>
      </c>
      <c r="I283" s="1458" t="str">
        <f t="shared" si="29"/>
        <v/>
      </c>
      <c r="J283" s="1295" t="str">
        <f>IF($E$283="","",'I. Stream &amp; Compound Data'!CO183)</f>
        <v/>
      </c>
      <c r="K283" s="1464" t="str">
        <f>IF($E$283="","",'I. Stream &amp; Compound Data'!CO181)</f>
        <v/>
      </c>
      <c r="L283" s="172"/>
      <c r="M283" s="172"/>
      <c r="N283" s="172"/>
      <c r="O283" s="172"/>
      <c r="P283" s="172"/>
      <c r="Q283" s="172"/>
      <c r="R283" s="172"/>
      <c r="S283" s="172"/>
      <c r="T283" s="172"/>
      <c r="U283" s="172"/>
      <c r="V283" s="172"/>
      <c r="W283" s="172"/>
      <c r="X283" s="172"/>
      <c r="Y283" s="173"/>
    </row>
    <row r="284" ht="18" customHeight="true" x14ac:dyDescent="0.25">
      <c r="B284" s="754"/>
      <c r="C284" s="172"/>
      <c r="D284" s="185">
        <f t="shared" si="30"/>
        <v>30</v>
      </c>
      <c r="E284" s="186" t="str">
        <f>IF(OR('I. Stream &amp; Compound Data'!CR178="",'I. Stream &amp; Compound Data'!CR179=0),"",'I. Stream &amp; Compound Data'!CR178)</f>
        <v/>
      </c>
      <c r="F284" s="1295" t="str">
        <f>IF(E284="","",'I. Stream &amp; Compound Data'!CR180)</f>
        <v/>
      </c>
      <c r="G284" s="1295" t="str">
        <f>IF($E$284="","",'I. Stream &amp; Compound Data'!$CQ242)</f>
        <v/>
      </c>
      <c r="H284" s="1295" t="str">
        <f>IF($E$284="","",'I. Stream &amp; Compound Data'!CQ247)</f>
        <v/>
      </c>
      <c r="I284" s="1458" t="str">
        <f t="shared" si="29"/>
        <v/>
      </c>
      <c r="J284" s="1295" t="str">
        <f>IF($E$284="","",'I. Stream &amp; Compound Data'!CR183)</f>
        <v/>
      </c>
      <c r="K284" s="1464" t="str">
        <f>IF($E$284="","",'I. Stream &amp; Compound Data'!CR181)</f>
        <v/>
      </c>
      <c r="L284" s="172"/>
      <c r="M284" s="172"/>
      <c r="N284" s="172"/>
      <c r="O284" s="172"/>
      <c r="P284" s="190"/>
      <c r="Q284" s="190"/>
      <c r="R284" s="172"/>
      <c r="S284" s="172"/>
      <c r="T284" s="172"/>
      <c r="U284" s="172"/>
      <c r="V284" s="172"/>
      <c r="W284" s="172"/>
      <c r="X284" s="172"/>
      <c r="Y284" s="173"/>
    </row>
    <row r="285" ht="18" customHeight="true" x14ac:dyDescent="0.25">
      <c r="B285" s="754"/>
      <c r="C285" s="172"/>
      <c r="D285" s="185">
        <f t="shared" si="30"/>
        <v>31</v>
      </c>
      <c r="E285" s="186" t="str">
        <f>IF(OR('I. Stream &amp; Compound Data'!CU178="",'I. Stream &amp; Compound Data'!CU179=0),"",'I. Stream &amp; Compound Data'!CU178)</f>
        <v/>
      </c>
      <c r="F285" s="1295" t="str">
        <f>IF(E285="","",'I. Stream &amp; Compound Data'!CU180)</f>
        <v/>
      </c>
      <c r="G285" s="1295" t="str">
        <f>IF($E$285="","",'I. Stream &amp; Compound Data'!$CT242)</f>
        <v/>
      </c>
      <c r="H285" s="1295" t="str">
        <f>IF($E$285="","",'I. Stream &amp; Compound Data'!CT247)</f>
        <v/>
      </c>
      <c r="I285" s="1458" t="str">
        <f t="shared" si="29"/>
        <v/>
      </c>
      <c r="J285" s="1295" t="str">
        <f>IF($E$285="","",'I. Stream &amp; Compound Data'!CU183)</f>
        <v/>
      </c>
      <c r="K285" s="1464" t="str">
        <f>IF($E$285="","",'I. Stream &amp; Compound Data'!CU181)</f>
        <v/>
      </c>
      <c r="L285" s="172"/>
      <c r="M285" s="190"/>
      <c r="N285" s="190"/>
      <c r="O285" s="172"/>
      <c r="P285" s="190"/>
      <c r="Q285" s="190"/>
      <c r="R285" s="172"/>
      <c r="S285" s="172"/>
      <c r="T285" s="172"/>
      <c r="U285" s="172"/>
      <c r="V285" s="172"/>
      <c r="W285" s="172"/>
      <c r="X285" s="172"/>
      <c r="Y285" s="173"/>
    </row>
    <row r="286" ht="18" customHeight="true" x14ac:dyDescent="0.25">
      <c r="B286" s="754"/>
      <c r="C286" s="172"/>
      <c r="D286" s="185">
        <f>D285+1</f>
        <v>32</v>
      </c>
      <c r="E286" s="186" t="str">
        <f>IF(OR('I. Stream &amp; Compound Data'!CX178="",'I. Stream &amp; Compound Data'!CX179=0),"",'I. Stream &amp; Compound Data'!CX178)</f>
        <v/>
      </c>
      <c r="F286" s="1295" t="str">
        <f>IF(E286="","",'I. Stream &amp; Compound Data'!CX180)</f>
        <v/>
      </c>
      <c r="G286" s="1295" t="str">
        <f>IF($E$286="","",'I. Stream &amp; Compound Data'!$CW242)</f>
        <v/>
      </c>
      <c r="H286" s="1295" t="str">
        <f>IF($E$286="","",'I. Stream &amp; Compound Data'!CW247)</f>
        <v/>
      </c>
      <c r="I286" s="1458" t="str">
        <f t="shared" si="29"/>
        <v/>
      </c>
      <c r="J286" s="1295" t="str">
        <f>IF($E$286="","",'I. Stream &amp; Compound Data'!CX183)</f>
        <v/>
      </c>
      <c r="K286" s="1464" t="str">
        <f>IF($E$286="","",'I. Stream &amp; Compound Data'!CX181)</f>
        <v/>
      </c>
      <c r="L286" s="172"/>
      <c r="M286" s="172"/>
      <c r="N286" s="172"/>
      <c r="O286" s="172"/>
      <c r="P286" s="190"/>
      <c r="Q286" s="190"/>
      <c r="R286" s="172"/>
      <c r="S286" s="172"/>
      <c r="T286" s="172"/>
      <c r="U286" s="172"/>
      <c r="V286" s="172"/>
      <c r="W286" s="172"/>
      <c r="X286" s="172"/>
      <c r="Y286" s="173"/>
    </row>
    <row r="287" ht="18" customHeight="true" x14ac:dyDescent="0.25">
      <c r="B287" s="754"/>
      <c r="C287" s="172"/>
      <c r="D287" s="185">
        <f t="shared" si="30"/>
        <v>33</v>
      </c>
      <c r="E287" s="186" t="str">
        <f>IF(OR('I. Stream &amp; Compound Data'!DA178="",'I. Stream &amp; Compound Data'!DA179=0),"",'I. Stream &amp; Compound Data'!DA178)</f>
        <v/>
      </c>
      <c r="F287" s="1295" t="str">
        <f>IF(E287="","",'I. Stream &amp; Compound Data'!DA180)</f>
        <v/>
      </c>
      <c r="G287" s="1295" t="str">
        <f>IF($E$287="","",'I. Stream &amp; Compound Data'!$CZ242)</f>
        <v/>
      </c>
      <c r="H287" s="1295" t="str">
        <f>IF($E$287="","",'I. Stream &amp; Compound Data'!CZ247)</f>
        <v/>
      </c>
      <c r="I287" s="1458" t="str">
        <f t="shared" si="29"/>
        <v/>
      </c>
      <c r="J287" s="1295" t="str">
        <f>IF($E$287="","",'I. Stream &amp; Compound Data'!DA183)</f>
        <v/>
      </c>
      <c r="K287" s="1464" t="str">
        <f>IF($E$287="","",'I. Stream &amp; Compound Data'!DA181)</f>
        <v/>
      </c>
      <c r="L287" s="172"/>
      <c r="M287" s="172"/>
      <c r="N287" s="172"/>
      <c r="O287" s="172"/>
      <c r="P287" s="190"/>
      <c r="Q287" s="190"/>
      <c r="R287" s="172"/>
      <c r="S287" s="172"/>
      <c r="T287" s="172"/>
      <c r="U287" s="172"/>
      <c r="V287" s="172"/>
      <c r="W287" s="172"/>
      <c r="X287" s="172"/>
      <c r="Y287" s="173"/>
    </row>
    <row r="288" ht="18" customHeight="true" x14ac:dyDescent="0.25">
      <c r="B288" s="754"/>
      <c r="C288" s="172"/>
      <c r="D288" s="185">
        <f t="shared" si="30"/>
        <v>34</v>
      </c>
      <c r="E288" s="186" t="str">
        <f>IF(OR('I. Stream &amp; Compound Data'!DD178="",'I. Stream &amp; Compound Data'!DD179=0),"",'I. Stream &amp; Compound Data'!DD178)</f>
        <v/>
      </c>
      <c r="F288" s="1295" t="str">
        <f>IF(E288="","",'I. Stream &amp; Compound Data'!DD180)</f>
        <v/>
      </c>
      <c r="G288" s="1295" t="str">
        <f>IF($E$288="","",'I. Stream &amp; Compound Data'!$DC242)</f>
        <v/>
      </c>
      <c r="H288" s="1295" t="str">
        <f>IF($E$288="","",'I. Stream &amp; Compound Data'!DC247)</f>
        <v/>
      </c>
      <c r="I288" s="1458" t="str">
        <f t="shared" si="29"/>
        <v/>
      </c>
      <c r="J288" s="1295" t="str">
        <f>IF($E$288="","",'I. Stream &amp; Compound Data'!DD183)</f>
        <v/>
      </c>
      <c r="K288" s="1464" t="str">
        <f>IF($E$288="","",'I. Stream &amp; Compound Data'!DD181)</f>
        <v/>
      </c>
      <c r="L288" s="172"/>
      <c r="M288" s="172"/>
      <c r="N288" s="172"/>
      <c r="O288" s="172"/>
      <c r="P288" s="190"/>
      <c r="Q288" s="190"/>
      <c r="R288" s="172"/>
      <c r="S288" s="172"/>
      <c r="T288" s="172"/>
      <c r="U288" s="172"/>
      <c r="V288" s="172"/>
      <c r="W288" s="172"/>
      <c r="X288" s="172"/>
      <c r="Y288" s="173"/>
    </row>
    <row r="289" ht="18" customHeight="true" x14ac:dyDescent="0.25">
      <c r="B289" s="754"/>
      <c r="C289" s="172"/>
      <c r="D289" s="185">
        <f t="shared" si="30"/>
        <v>35</v>
      </c>
      <c r="E289" s="186" t="str">
        <f>IF(OR('I. Stream &amp; Compound Data'!DG178="",'I. Stream &amp; Compound Data'!DG179=0),"",'I. Stream &amp; Compound Data'!DG178)</f>
        <v/>
      </c>
      <c r="F289" s="1295" t="str">
        <f>IF(E289="","",'I. Stream &amp; Compound Data'!DG180)</f>
        <v/>
      </c>
      <c r="G289" s="1295" t="str">
        <f>IF($E$289="","",'I. Stream &amp; Compound Data'!$DF242)</f>
        <v/>
      </c>
      <c r="H289" s="1295" t="str">
        <f>IF($E$289="","",'I. Stream &amp; Compound Data'!DF247)</f>
        <v/>
      </c>
      <c r="I289" s="1458" t="str">
        <f t="shared" si="29"/>
        <v/>
      </c>
      <c r="J289" s="1295" t="str">
        <f>IF($E$289="","",'I. Stream &amp; Compound Data'!DG183)</f>
        <v/>
      </c>
      <c r="K289" s="1464" t="str">
        <f>IF($E$289="","",'I. Stream &amp; Compound Data'!DG181)</f>
        <v/>
      </c>
      <c r="L289" s="172"/>
      <c r="M289" s="172"/>
      <c r="N289" s="172"/>
      <c r="O289" s="172"/>
      <c r="P289" s="172"/>
      <c r="Q289" s="172"/>
      <c r="R289" s="172"/>
      <c r="S289" s="172"/>
      <c r="T289" s="172"/>
      <c r="U289" s="172"/>
      <c r="V289" s="172"/>
      <c r="W289" s="172"/>
      <c r="X289" s="172"/>
      <c r="Y289" s="173"/>
    </row>
    <row r="290" ht="18" customHeight="true" x14ac:dyDescent="0.25">
      <c r="B290" s="754"/>
      <c r="C290" s="172"/>
      <c r="D290" s="185">
        <f>D289+1</f>
        <v>36</v>
      </c>
      <c r="E290" s="186" t="str">
        <f>IF(OR('I. Stream &amp; Compound Data'!DJ178="",'I. Stream &amp; Compound Data'!DJ179=0),"",'I. Stream &amp; Compound Data'!DJ178)</f>
        <v/>
      </c>
      <c r="F290" s="1295" t="str">
        <f>IF(E290="","",'I. Stream &amp; Compound Data'!DJ180)</f>
        <v/>
      </c>
      <c r="G290" s="1295" t="str">
        <f>IF($E$290="","",'I. Stream &amp; Compound Data'!$DI242)</f>
        <v/>
      </c>
      <c r="H290" s="1295" t="str">
        <f>IF($E$290="","",'I. Stream &amp; Compound Data'!DI247)</f>
        <v/>
      </c>
      <c r="I290" s="1458" t="str">
        <f t="shared" si="29"/>
        <v/>
      </c>
      <c r="J290" s="1295" t="str">
        <f>IF($E$290="","",'I. Stream &amp; Compound Data'!DJ183)</f>
        <v/>
      </c>
      <c r="K290" s="1464" t="str">
        <f>IF($E$290="","",'I. Stream &amp; Compound Data'!DJ181)</f>
        <v/>
      </c>
      <c r="L290" s="172"/>
      <c r="M290" s="172"/>
      <c r="N290" s="172"/>
      <c r="O290" s="172"/>
      <c r="P290" s="172"/>
      <c r="Q290" s="172"/>
      <c r="R290" s="172"/>
      <c r="S290" s="172"/>
      <c r="T290" s="172"/>
      <c r="U290" s="172"/>
      <c r="V290" s="172"/>
      <c r="W290" s="172"/>
      <c r="X290" s="172"/>
      <c r="Y290" s="173"/>
    </row>
    <row r="291" ht="18" customHeight="true" x14ac:dyDescent="0.25">
      <c r="B291" s="754"/>
      <c r="C291" s="172"/>
      <c r="D291" s="185">
        <f t="shared" si="30"/>
        <v>37</v>
      </c>
      <c r="E291" s="186" t="str">
        <f>IF(OR('I. Stream &amp; Compound Data'!DM178="",'I. Stream &amp; Compound Data'!DM179=0),"",'I. Stream &amp; Compound Data'!DM178)</f>
        <v/>
      </c>
      <c r="F291" s="1295" t="str">
        <f>IF(E291="","",'I. Stream &amp; Compound Data'!DM180)</f>
        <v/>
      </c>
      <c r="G291" s="1295" t="str">
        <f>IF($E$291="","",'I. Stream &amp; Compound Data'!$DL242)</f>
        <v/>
      </c>
      <c r="H291" s="1295" t="str">
        <f>IF($E$291="","",'I. Stream &amp; Compound Data'!DL247)</f>
        <v/>
      </c>
      <c r="I291" s="1458" t="str">
        <f t="shared" si="29"/>
        <v/>
      </c>
      <c r="J291" s="1295" t="str">
        <f>IF($E$291="","",'I. Stream &amp; Compound Data'!DM183)</f>
        <v/>
      </c>
      <c r="K291" s="1464" t="str">
        <f>IF($E$291="","",'I. Stream &amp; Compound Data'!DM181)</f>
        <v/>
      </c>
      <c r="L291" s="172"/>
      <c r="M291" s="172"/>
      <c r="N291" s="172"/>
      <c r="O291" s="172"/>
      <c r="P291" s="190"/>
      <c r="Q291" s="190"/>
      <c r="R291" s="172"/>
      <c r="S291" s="172"/>
      <c r="T291" s="172"/>
      <c r="U291" s="172"/>
      <c r="V291" s="172"/>
      <c r="W291" s="172"/>
      <c r="X291" s="172"/>
      <c r="Y291" s="173"/>
    </row>
    <row r="292" ht="18" customHeight="true" x14ac:dyDescent="0.25">
      <c r="B292" s="754"/>
      <c r="C292" s="172"/>
      <c r="D292" s="185">
        <f t="shared" si="30"/>
        <v>38</v>
      </c>
      <c r="E292" s="186" t="str">
        <f>IF(OR('I. Stream &amp; Compound Data'!DP178="",'I. Stream &amp; Compound Data'!DP179=0),"",'I. Stream &amp; Compound Data'!DP178)</f>
        <v/>
      </c>
      <c r="F292" s="1295" t="str">
        <f>IF(E292="","",'I. Stream &amp; Compound Data'!DP180)</f>
        <v/>
      </c>
      <c r="G292" s="1295" t="str">
        <f>IF($E$292="","",'I. Stream &amp; Compound Data'!$DO242)</f>
        <v/>
      </c>
      <c r="H292" s="1295" t="str">
        <f>IF($E$292="","",'I. Stream &amp; Compound Data'!DO247)</f>
        <v/>
      </c>
      <c r="I292" s="1458" t="str">
        <f t="shared" si="29"/>
        <v/>
      </c>
      <c r="J292" s="1295" t="str">
        <f>IF($E$292="","",'I. Stream &amp; Compound Data'!DP183)</f>
        <v/>
      </c>
      <c r="K292" s="1464" t="str">
        <f>IF($E$292="","",'I. Stream &amp; Compound Data'!DP181)</f>
        <v/>
      </c>
      <c r="L292" s="172"/>
      <c r="M292" s="172"/>
      <c r="N292" s="172"/>
      <c r="O292" s="172"/>
      <c r="P292" s="190"/>
      <c r="Q292" s="190"/>
      <c r="R292" s="172"/>
      <c r="S292" s="172"/>
      <c r="T292" s="172"/>
      <c r="U292" s="172"/>
      <c r="V292" s="172"/>
      <c r="W292" s="172"/>
      <c r="X292" s="172"/>
      <c r="Y292" s="173"/>
    </row>
    <row r="293" ht="18" customHeight="true" x14ac:dyDescent="0.25">
      <c r="B293" s="754"/>
      <c r="C293" s="172"/>
      <c r="D293" s="185">
        <f>D292+1</f>
        <v>39</v>
      </c>
      <c r="E293" s="186" t="str">
        <f>IF(OR('I. Stream &amp; Compound Data'!DS178="",'I. Stream &amp; Compound Data'!DS179=0),"",'I. Stream &amp; Compound Data'!DS178)</f>
        <v/>
      </c>
      <c r="F293" s="1295" t="str">
        <f>IF(E293="","",'I. Stream &amp; Compound Data'!DS180)</f>
        <v/>
      </c>
      <c r="G293" s="1295" t="str">
        <f>IF($E$293="","",'I. Stream &amp; Compound Data'!$DR242)</f>
        <v/>
      </c>
      <c r="H293" s="1295" t="str">
        <f>IF($E$293="","",'I. Stream &amp; Compound Data'!DR247)</f>
        <v/>
      </c>
      <c r="I293" s="1458" t="str">
        <f t="shared" si="29"/>
        <v/>
      </c>
      <c r="J293" s="1295" t="str">
        <f>IF($E$293="","",'I. Stream &amp; Compound Data'!DS183)</f>
        <v/>
      </c>
      <c r="K293" s="1464" t="str">
        <f>IF($E$293="","",'I. Stream &amp; Compound Data'!DS181)</f>
        <v/>
      </c>
      <c r="L293" s="172"/>
      <c r="M293" s="172"/>
      <c r="N293" s="172"/>
      <c r="O293" s="172"/>
      <c r="P293" s="190"/>
      <c r="Q293" s="190"/>
      <c r="R293" s="172"/>
      <c r="S293" s="172"/>
      <c r="T293" s="172"/>
      <c r="U293" s="172"/>
      <c r="V293" s="172"/>
      <c r="W293" s="172"/>
      <c r="X293" s="172"/>
      <c r="Y293" s="173"/>
    </row>
    <row r="294" ht="18" customHeight="true" thickBot="true" x14ac:dyDescent="0.3">
      <c r="B294" s="754"/>
      <c r="C294" s="172"/>
      <c r="D294" s="1459">
        <f t="shared" si="30"/>
        <v>40</v>
      </c>
      <c r="E294" s="1247" t="str">
        <f>IF(OR('I. Stream &amp; Compound Data'!DV178="",'I. Stream &amp; Compound Data'!DV179=0),"",'I. Stream &amp; Compound Data'!DV178)</f>
        <v/>
      </c>
      <c r="F294" s="1301" t="str">
        <f>IF(E294="","",'I. Stream &amp; Compound Data'!DV180)</f>
        <v/>
      </c>
      <c r="G294" s="1301" t="str">
        <f>IF($E$294="","",'I. Stream &amp; Compound Data'!$DU242)</f>
        <v/>
      </c>
      <c r="H294" s="1301" t="str">
        <f>IF($E$294="","",'I. Stream &amp; Compound Data'!DU247)</f>
        <v/>
      </c>
      <c r="I294" s="1460" t="str">
        <f t="shared" si="29"/>
        <v/>
      </c>
      <c r="J294" s="1301" t="str">
        <f>IF($E$294="","",'I. Stream &amp; Compound Data'!DV183)</f>
        <v/>
      </c>
      <c r="K294" s="1465" t="str">
        <f>IF($E$294="","",'I. Stream &amp; Compound Data'!DV181)</f>
        <v/>
      </c>
      <c r="L294" s="172"/>
      <c r="M294" s="172"/>
      <c r="N294" s="172"/>
      <c r="O294" s="172"/>
      <c r="P294" s="190"/>
      <c r="Q294" s="190"/>
      <c r="R294" s="172"/>
      <c r="S294" s="172"/>
      <c r="T294" s="172"/>
      <c r="U294" s="172"/>
      <c r="V294" s="172"/>
      <c r="W294" s="172"/>
      <c r="X294" s="172"/>
      <c r="Y294" s="173"/>
    </row>
    <row r="295" ht="15.6" thickBot="true" x14ac:dyDescent="0.3">
      <c r="B295" s="754"/>
      <c r="C295" s="172"/>
      <c r="D295" s="172"/>
      <c r="E295" s="172"/>
      <c r="F295" s="172" t="s">
        <v>88</v>
      </c>
      <c r="G295" s="1466">
        <f>SUM(G255:G294)</f>
        <v>4512.0151204088124</v>
      </c>
      <c r="H295" s="1466">
        <f>SUM(H255:H294)</f>
        <v>4512.0151204088124</v>
      </c>
      <c r="I295" s="1467">
        <f>SUM(I255:I294)</f>
        <v>39552324.545503646</v>
      </c>
      <c r="J295" s="190"/>
      <c r="K295" s="190"/>
      <c r="L295" s="190"/>
      <c r="M295" s="190"/>
      <c r="N295" s="190"/>
      <c r="O295" s="172"/>
      <c r="P295" s="190"/>
      <c r="Q295" s="190"/>
      <c r="R295" s="172"/>
      <c r="S295" s="172"/>
      <c r="T295" s="172"/>
      <c r="U295" s="172"/>
      <c r="V295" s="172"/>
      <c r="W295" s="172"/>
      <c r="X295" s="172"/>
      <c r="Y295" s="173"/>
    </row>
    <row r="296" x14ac:dyDescent="0.25">
      <c r="B296" s="754"/>
      <c r="C296" s="172"/>
      <c r="D296" s="172"/>
      <c r="E296" s="172"/>
      <c r="F296" s="172"/>
      <c r="G296" s="172"/>
      <c r="H296" s="190"/>
      <c r="I296" s="190"/>
      <c r="J296" s="190"/>
      <c r="K296" s="190"/>
      <c r="L296" s="190"/>
      <c r="M296" s="190"/>
      <c r="N296" s="190"/>
      <c r="O296" s="172"/>
      <c r="P296" s="172"/>
      <c r="Q296" s="172"/>
      <c r="R296" s="172"/>
      <c r="S296" s="172"/>
      <c r="T296" s="172"/>
      <c r="U296" s="172"/>
      <c r="V296" s="172"/>
      <c r="W296" s="172"/>
      <c r="X296" s="172"/>
      <c r="Y296" s="173"/>
    </row>
    <row r="297" x14ac:dyDescent="0.25">
      <c r="B297" s="754"/>
      <c r="C297" s="172"/>
      <c r="D297" s="172"/>
      <c r="E297" s="172"/>
      <c r="F297" s="172"/>
      <c r="G297" s="172"/>
      <c r="H297" s="190"/>
      <c r="I297" s="190"/>
      <c r="J297" s="190"/>
      <c r="K297" s="190"/>
      <c r="L297" s="190"/>
      <c r="M297" s="190"/>
      <c r="N297" s="190"/>
      <c r="O297" s="172"/>
      <c r="P297" s="172"/>
      <c r="Q297" s="172"/>
      <c r="R297" s="172"/>
      <c r="S297" s="172"/>
      <c r="T297" s="172"/>
      <c r="U297" s="172"/>
      <c r="V297" s="172"/>
      <c r="W297" s="172"/>
      <c r="X297" s="172"/>
      <c r="Y297" s="173"/>
    </row>
    <row r="298" x14ac:dyDescent="0.25">
      <c r="B298" s="754"/>
      <c r="C298" s="172"/>
      <c r="D298" s="172"/>
      <c r="E298" s="172"/>
      <c r="F298" s="172"/>
      <c r="G298" s="172"/>
      <c r="H298" s="190"/>
      <c r="I298" s="190"/>
      <c r="J298" s="190"/>
      <c r="K298" s="190"/>
      <c r="L298" s="190"/>
      <c r="M298" s="190"/>
      <c r="N298" s="190"/>
      <c r="O298" s="172"/>
      <c r="P298" s="172"/>
      <c r="Q298" s="172"/>
      <c r="R298" s="172"/>
      <c r="S298" s="172"/>
      <c r="T298" s="172"/>
      <c r="U298" s="172"/>
      <c r="V298" s="172"/>
      <c r="W298" s="172"/>
      <c r="X298" s="172"/>
      <c r="Y298" s="173"/>
    </row>
    <row r="299" x14ac:dyDescent="0.25">
      <c r="B299" s="754"/>
      <c r="C299" s="172"/>
      <c r="D299" s="172"/>
      <c r="E299" s="172"/>
      <c r="F299" s="172"/>
      <c r="G299" s="172"/>
      <c r="H299" s="172"/>
      <c r="I299" s="172"/>
      <c r="J299" s="172"/>
      <c r="K299" s="172"/>
      <c r="L299" s="172"/>
      <c r="M299" s="172"/>
      <c r="N299" s="172"/>
      <c r="O299" s="172"/>
      <c r="P299" s="190"/>
      <c r="Q299" s="190"/>
      <c r="R299" s="190"/>
      <c r="S299" s="172"/>
      <c r="T299" s="172"/>
      <c r="U299" s="172"/>
      <c r="V299" s="172"/>
      <c r="W299" s="172"/>
      <c r="X299" s="172"/>
      <c r="Y299" s="173"/>
    </row>
    <row r="300" x14ac:dyDescent="0.25">
      <c r="B300" s="754"/>
      <c r="C300" s="172"/>
      <c r="D300" s="172"/>
      <c r="E300" s="172"/>
      <c r="F300" s="172"/>
      <c r="G300" s="172"/>
      <c r="H300" s="172"/>
      <c r="I300" s="172"/>
      <c r="J300" s="172"/>
      <c r="K300" s="172"/>
      <c r="L300" s="172"/>
      <c r="M300" s="172"/>
      <c r="N300" s="172"/>
      <c r="O300" s="172"/>
      <c r="P300" s="190"/>
      <c r="Q300" s="190"/>
      <c r="R300" s="190"/>
      <c r="S300" s="172"/>
      <c r="T300" s="172"/>
      <c r="U300" s="172"/>
      <c r="V300" s="172"/>
      <c r="W300" s="172"/>
      <c r="X300" s="172"/>
      <c r="Y300" s="173"/>
    </row>
    <row r="301" x14ac:dyDescent="0.25">
      <c r="B301" s="754"/>
      <c r="C301" s="172"/>
      <c r="D301" s="172"/>
      <c r="E301" s="172"/>
      <c r="F301" s="172"/>
      <c r="G301" s="172"/>
      <c r="H301" s="172"/>
      <c r="I301" s="172"/>
      <c r="J301" s="172"/>
      <c r="K301" s="172"/>
      <c r="L301" s="172"/>
      <c r="M301" s="172"/>
      <c r="N301" s="172"/>
      <c r="O301" s="172"/>
      <c r="P301" s="190"/>
      <c r="Q301" s="190"/>
      <c r="R301" s="190"/>
      <c r="S301" s="172"/>
      <c r="T301" s="172"/>
      <c r="U301" s="172"/>
      <c r="V301" s="172"/>
      <c r="W301" s="172"/>
      <c r="X301" s="172"/>
      <c r="Y301" s="173"/>
    </row>
    <row r="302" ht="23.4" thickBot="true" x14ac:dyDescent="0.45">
      <c r="B302" s="754"/>
      <c r="C302" s="172"/>
      <c r="D302" s="179" t="s">
        <v>2350</v>
      </c>
      <c r="E302" s="172"/>
      <c r="F302" s="172"/>
      <c r="G302" s="172"/>
      <c r="H302" s="172"/>
      <c r="I302" s="172"/>
      <c r="J302" s="172"/>
      <c r="K302" s="172"/>
      <c r="L302" s="172"/>
      <c r="M302" s="172"/>
      <c r="N302" s="172"/>
      <c r="O302" s="172"/>
      <c r="P302" s="190"/>
      <c r="Q302" s="190"/>
      <c r="R302" s="190"/>
      <c r="S302" s="172"/>
      <c r="T302" s="172"/>
      <c r="U302" s="172"/>
      <c r="V302" s="172"/>
      <c r="W302" s="172"/>
      <c r="X302" s="172"/>
      <c r="Y302" s="173"/>
    </row>
    <row r="303" s="886" customFormat="true" ht="37.5" customHeight="true" x14ac:dyDescent="0.25">
      <c r="B303" s="989"/>
      <c r="C303" s="990"/>
      <c r="D303" s="1195"/>
      <c r="E303" s="1196" t="s">
        <v>1520</v>
      </c>
      <c r="F303" s="1196" t="s">
        <v>1481</v>
      </c>
      <c r="G303" s="1196" t="s">
        <v>28</v>
      </c>
      <c r="H303" s="1196" t="s">
        <v>1219</v>
      </c>
      <c r="I303" s="991" t="s">
        <v>1591</v>
      </c>
      <c r="J303" s="991" t="s">
        <v>75</v>
      </c>
      <c r="K303" s="1196" t="s">
        <v>1585</v>
      </c>
      <c r="L303" s="1196" t="s">
        <v>1602</v>
      </c>
      <c r="M303" s="992" t="s">
        <v>1828</v>
      </c>
      <c r="N303" s="992" t="s">
        <v>1829</v>
      </c>
      <c r="O303" s="991" t="s">
        <v>1474</v>
      </c>
      <c r="P303" s="991" t="s">
        <v>1475</v>
      </c>
      <c r="Q303" s="993" t="s">
        <v>1478</v>
      </c>
      <c r="R303" s="994"/>
      <c r="S303" s="990"/>
      <c r="T303" s="990"/>
      <c r="U303" s="990"/>
      <c r="V303" s="990"/>
      <c r="W303" s="990"/>
      <c r="X303" s="990"/>
      <c r="Y303" s="995"/>
    </row>
    <row r="304" ht="15" customHeight="true" x14ac:dyDescent="0.25">
      <c r="B304" s="754"/>
      <c r="C304" s="172"/>
      <c r="D304" s="185">
        <v>1</v>
      </c>
      <c r="E304" s="1295" t="str">
        <f>IF('I. Stream &amp; Compound Data'!$I178="","",'I. Stream &amp; Compound Data'!$I178)</f>
        <v>S1-2</v>
      </c>
      <c r="F304" s="1295">
        <f>IF($E304="","",'I. Stream &amp; Compound Data'!$I179)</f>
        <v>1</v>
      </c>
      <c r="G304" s="1295" t="str">
        <f>IF('I. Stream &amp; Compound Data'!$I183="","",'I. Stream &amp; Compound Data'!$I183)</f>
        <v>yes</v>
      </c>
      <c r="H304" s="186">
        <f>IF($E304="","",'I. Stream &amp; Compound Data'!$H242)</f>
        <v>4512.0151204088124</v>
      </c>
      <c r="I304" s="186">
        <f>IF($E304="","",'I. Stream &amp; Compound Data'!$H243)</f>
        <v>138.60229922465749</v>
      </c>
      <c r="J304" s="186">
        <f>IF($E304="","",'I. Stream &amp; Compound Data'!$H239)</f>
        <v>0</v>
      </c>
      <c r="K304" s="1295" t="str">
        <f>IF(OR($F304=1,$E304=""),"",'I. Stream &amp; Compound Data'!$I182)</f>
        <v/>
      </c>
      <c r="L304" s="1295" t="str">
        <f>IF(OR($F304=1,$E304=""),"",'I. Stream &amp; Compound Data'!$I184)</f>
        <v/>
      </c>
      <c r="M304" s="186">
        <f>IF($E304="","",'I. Stream &amp; Compound Data'!$H237)</f>
        <v>25</v>
      </c>
      <c r="N304" s="186">
        <f>IF($E304="","",'I. Stream &amp; Compound Data'!$H238)</f>
        <v>1</v>
      </c>
      <c r="O304" s="186">
        <f>IF($E304="","",'I. Stream &amp; Compound Data'!$H240)</f>
        <v>-4916954.2417169847</v>
      </c>
      <c r="P304" s="186">
        <f>IF($E304="","",'I. Stream &amp; Compound Data'!$H241)</f>
        <v>-9.7321236926486687</v>
      </c>
      <c r="Q304" s="187">
        <f>IF($E304="","",'I. Stream &amp; Compound Data'!$H245)</f>
        <v>67.729286743544378</v>
      </c>
      <c r="R304" s="190"/>
      <c r="S304" s="172"/>
      <c r="T304" s="172"/>
      <c r="U304" s="172"/>
      <c r="V304" s="172"/>
      <c r="W304" s="172"/>
      <c r="X304" s="172"/>
      <c r="Y304" s="173"/>
    </row>
    <row r="305" x14ac:dyDescent="0.25">
      <c r="B305" s="754"/>
      <c r="C305" s="172"/>
      <c r="D305" s="185">
        <f>D304+1</f>
        <v>2</v>
      </c>
      <c r="E305" s="1295" t="str">
        <f>IF('I. Stream &amp; Compound Data'!$L178="","",'I. Stream &amp; Compound Data'!$L178)</f>
        <v>CO2</v>
      </c>
      <c r="F305" s="1295">
        <f>IF($E305="","",'I. Stream &amp; Compound Data'!$L179)</f>
        <v>0</v>
      </c>
      <c r="G305" s="1295" t="str">
        <f>IF('I. Stream &amp; Compound Data'!$L183="","",'I. Stream &amp; Compound Data'!$L183)</f>
        <v/>
      </c>
      <c r="H305" s="186">
        <f>IF($E305="","",'I. Stream &amp; Compound Data'!$K242)</f>
        <v>2980.7504537999998</v>
      </c>
      <c r="I305" s="186">
        <f>IF($E305="","",'I. Stream &amp; Compound Data'!$K243)</f>
        <v>25059.37624290285</v>
      </c>
      <c r="J305" s="186">
        <f>IF($E305="","",'I. Stream &amp; Compound Data'!$K239)</f>
        <v>0</v>
      </c>
      <c r="K305" s="1295">
        <f>IF(OR($F305=1,$E305=""),"",'I. Stream &amp; Compound Data'!$L182)</f>
        <v>0</v>
      </c>
      <c r="L305" s="1295">
        <f>IF(OR($F305=1,$E305=""),"",'I. Stream &amp; Compound Data'!$L184)</f>
        <v>1</v>
      </c>
      <c r="M305" s="186">
        <f>IF($E305="","",'I. Stream &amp; Compound Data'!$K237)</f>
        <v>25</v>
      </c>
      <c r="N305" s="186">
        <f>IF($E305="","",'I. Stream &amp; Compound Data'!$K238)</f>
        <v>1</v>
      </c>
      <c r="O305" s="186">
        <f>IF($E305="","",'I. Stream &amp; Compound Data'!$K240)</f>
        <v>-399821.58125213848</v>
      </c>
      <c r="P305" s="186">
        <f>IF($E305="","",'I. Stream &amp; Compound Data'!$K241)</f>
        <v>0.19630744634537137</v>
      </c>
      <c r="Q305" s="187">
        <f>IF($E305="","",'I. Stream &amp; Compound Data'!$K245)</f>
        <v>67.729705036412582</v>
      </c>
      <c r="R305" s="190"/>
      <c r="S305" s="172"/>
      <c r="T305" s="172"/>
      <c r="U305" s="172"/>
      <c r="V305" s="172"/>
      <c r="W305" s="172"/>
      <c r="X305" s="172"/>
      <c r="Y305" s="173"/>
    </row>
    <row r="306" x14ac:dyDescent="0.25">
      <c r="B306" s="754"/>
      <c r="C306" s="172"/>
      <c r="D306" s="185">
        <f t="shared" ref="D306:D343" si="31">D305+1</f>
        <v>3</v>
      </c>
      <c r="E306" s="1295" t="str">
        <f>IF('I. Stream &amp; Compound Data'!$O178="","",'I. Stream &amp; Compound Data'!$O178)</f>
        <v/>
      </c>
      <c r="F306" s="1295" t="str">
        <f>IF($E306="","",'I. Stream &amp; Compound Data'!$O179)</f>
        <v/>
      </c>
      <c r="G306" s="1295" t="str">
        <f>IF('I. Stream &amp; Compound Data'!$O183="","",'I. Stream &amp; Compound Data'!$O183)</f>
        <v/>
      </c>
      <c r="H306" s="186" t="str">
        <f>IF($E306="","",'I. Stream &amp; Compound Data'!$N242)</f>
        <v/>
      </c>
      <c r="I306" s="186" t="str">
        <f>IF($E306="","",'I. Stream &amp; Compound Data'!$N243)</f>
        <v/>
      </c>
      <c r="J306" s="186" t="str">
        <f>IF($E306="","",'I. Stream &amp; Compound Data'!$N239)</f>
        <v/>
      </c>
      <c r="K306" s="1295" t="str">
        <f>IF(OR($F306=1,$E306=""),"",'I. Stream &amp; Compound Data'!$O182)</f>
        <v/>
      </c>
      <c r="L306" s="1295" t="str">
        <f>IF(OR($F306=1,$E306=""),"",'I. Stream &amp; Compound Data'!$O184)</f>
        <v/>
      </c>
      <c r="M306" s="186" t="str">
        <f>IF($E306="","",'I. Stream &amp; Compound Data'!$N237)</f>
        <v/>
      </c>
      <c r="N306" s="186" t="str">
        <f>IF($E306="","",'I. Stream &amp; Compound Data'!$N238)</f>
        <v/>
      </c>
      <c r="O306" s="186" t="str">
        <f>IF($E306="","",'I. Stream &amp; Compound Data'!$N240)</f>
        <v/>
      </c>
      <c r="P306" s="186" t="str">
        <f>IF($E306="","",'I. Stream &amp; Compound Data'!$N241)</f>
        <v/>
      </c>
      <c r="Q306" s="187" t="str">
        <f>IF($E306="","",'I. Stream &amp; Compound Data'!$N245)</f>
        <v/>
      </c>
      <c r="R306" s="190"/>
      <c r="S306" s="172"/>
      <c r="T306" s="172"/>
      <c r="U306" s="172"/>
      <c r="V306" s="172"/>
      <c r="W306" s="172"/>
      <c r="X306" s="172"/>
      <c r="Y306" s="173"/>
    </row>
    <row r="307" x14ac:dyDescent="0.25">
      <c r="B307" s="754"/>
      <c r="C307" s="172"/>
      <c r="D307" s="185">
        <f t="shared" si="31"/>
        <v>4</v>
      </c>
      <c r="E307" s="1295" t="str">
        <f>IF('I. Stream &amp; Compound Data'!$R178="","",'I. Stream &amp; Compound Data'!$R178)</f>
        <v/>
      </c>
      <c r="F307" s="1295" t="str">
        <f>IF($E307="","",'I. Stream &amp; Compound Data'!$R179)</f>
        <v/>
      </c>
      <c r="G307" s="1295" t="str">
        <f>IF('I. Stream &amp; Compound Data'!$R183="","",'I. Stream &amp; Compound Data'!$R183)</f>
        <v/>
      </c>
      <c r="H307" s="186" t="str">
        <f>IF($E307="","",'I. Stream &amp; Compound Data'!$Q242)</f>
        <v/>
      </c>
      <c r="I307" s="186" t="str">
        <f>IF($E307="","",'I. Stream &amp; Compound Data'!$Q243)</f>
        <v/>
      </c>
      <c r="J307" s="186" t="str">
        <f>IF($E307="","",'I. Stream &amp; Compound Data'!$Q239)</f>
        <v/>
      </c>
      <c r="K307" s="1295" t="str">
        <f>IF(OR($F307=1,$E307=""),"",'I. Stream &amp; Compound Data'!$R182)</f>
        <v/>
      </c>
      <c r="L307" s="1295" t="str">
        <f>IF(OR($F307=1,$E307=""),"",'I. Stream &amp; Compound Data'!$R184)</f>
        <v/>
      </c>
      <c r="M307" s="186" t="str">
        <f>IF($E307="","",'I. Stream &amp; Compound Data'!$Q237)</f>
        <v/>
      </c>
      <c r="N307" s="186" t="str">
        <f>IF($E307="","",'I. Stream &amp; Compound Data'!$Q238)</f>
        <v/>
      </c>
      <c r="O307" s="186" t="str">
        <f>IF($E307="","",'I. Stream &amp; Compound Data'!$Q240)</f>
        <v/>
      </c>
      <c r="P307" s="186" t="str">
        <f>IF($E307="","",'I. Stream &amp; Compound Data'!$Q241)</f>
        <v/>
      </c>
      <c r="Q307" s="187" t="str">
        <f>IF($E307="","",'I. Stream &amp; Compound Data'!$Q245)</f>
        <v/>
      </c>
      <c r="R307" s="190"/>
      <c r="S307" s="172"/>
      <c r="T307" s="172"/>
      <c r="U307" s="172"/>
      <c r="V307" s="172"/>
      <c r="W307" s="172"/>
      <c r="X307" s="172"/>
      <c r="Y307" s="173"/>
    </row>
    <row r="308" x14ac:dyDescent="0.25">
      <c r="B308" s="754"/>
      <c r="C308" s="172"/>
      <c r="D308" s="185">
        <f t="shared" si="31"/>
        <v>5</v>
      </c>
      <c r="E308" s="1295" t="str">
        <f>IF('I. Stream &amp; Compound Data'!$U178="","",'I. Stream &amp; Compound Data'!$U178)</f>
        <v/>
      </c>
      <c r="F308" s="1295" t="str">
        <f>IF($E308="","",'I. Stream &amp; Compound Data'!$U179)</f>
        <v/>
      </c>
      <c r="G308" s="1295" t="str">
        <f>IF('I. Stream &amp; Compound Data'!$U183="","",'I. Stream &amp; Compound Data'!$U183)</f>
        <v/>
      </c>
      <c r="H308" s="186" t="str">
        <f>IF($E308="","",'I. Stream &amp; Compound Data'!$T242)</f>
        <v/>
      </c>
      <c r="I308" s="186" t="str">
        <f>IF($E308="","",'I. Stream &amp; Compound Data'!$T243)</f>
        <v/>
      </c>
      <c r="J308" s="186" t="str">
        <f>IF($E308="","",'I. Stream &amp; Compound Data'!$T239)</f>
        <v/>
      </c>
      <c r="K308" s="1295" t="str">
        <f>IF(OR($F308=1,$E308=""),"",'I. Stream &amp; Compound Data'!$U182)</f>
        <v/>
      </c>
      <c r="L308" s="1295" t="str">
        <f>IF(OR($F308=1,$E308=""),"",'I. Stream &amp; Compound Data'!$U184)</f>
        <v/>
      </c>
      <c r="M308" s="186" t="str">
        <f>IF($E308="","",'I. Stream &amp; Compound Data'!$T237)</f>
        <v/>
      </c>
      <c r="N308" s="186" t="str">
        <f>IF($E308="","",'I. Stream &amp; Compound Data'!$T238)</f>
        <v/>
      </c>
      <c r="O308" s="186" t="str">
        <f>IF($E308="","",'I. Stream &amp; Compound Data'!$T240)</f>
        <v/>
      </c>
      <c r="P308" s="186" t="str">
        <f>IF($E308="","",'I. Stream &amp; Compound Data'!$T241)</f>
        <v/>
      </c>
      <c r="Q308" s="187" t="str">
        <f>IF($E308="","",'I. Stream &amp; Compound Data'!$T245)</f>
        <v/>
      </c>
      <c r="R308" s="190"/>
      <c r="S308" s="172"/>
      <c r="T308" s="172"/>
      <c r="U308" s="172"/>
      <c r="V308" s="172"/>
      <c r="W308" s="172"/>
      <c r="X308" s="172"/>
      <c r="Y308" s="173"/>
    </row>
    <row r="309" x14ac:dyDescent="0.25">
      <c r="B309" s="754"/>
      <c r="C309" s="172"/>
      <c r="D309" s="185">
        <f t="shared" si="31"/>
        <v>6</v>
      </c>
      <c r="E309" s="1295">
        <f>IF('I. Stream &amp; Compound Data'!$X178="","",'I. Stream &amp; Compound Data'!$X178)</f>
        <v>303</v>
      </c>
      <c r="F309" s="1295">
        <f>IF($E309="","",'I. Stream &amp; Compound Data'!$X179)</f>
        <v>0</v>
      </c>
      <c r="G309" s="1295" t="str">
        <f>IF('I. Stream &amp; Compound Data'!$X183="","",'I. Stream &amp; Compound Data'!$X183)</f>
        <v/>
      </c>
      <c r="H309" s="186">
        <f>IF($E309="","",'I. Stream &amp; Compound Data'!$W242)</f>
        <v>0</v>
      </c>
      <c r="I309" s="186">
        <f>IF($E309="","",'I. Stream &amp; Compound Data'!$W243)</f>
        <v>0</v>
      </c>
      <c r="J309" s="186">
        <f>IF($E309="","",'I. Stream &amp; Compound Data'!$W239)</f>
        <v>0</v>
      </c>
      <c r="K309" s="1295">
        <f>IF(OR($F309=1,$E309=""),"",'I. Stream &amp; Compound Data'!$X182)</f>
        <v>0</v>
      </c>
      <c r="L309" s="1295">
        <f>IF(OR($F309=1,$E309=""),"",'I. Stream &amp; Compound Data'!$X184)</f>
        <v>0</v>
      </c>
      <c r="M309" s="186">
        <f>IF($E309="","",'I. Stream &amp; Compound Data'!$W237)</f>
        <v>0</v>
      </c>
      <c r="N309" s="186">
        <f>IF($E309="","",'I. Stream &amp; Compound Data'!$W238)</f>
        <v>0</v>
      </c>
      <c r="O309" s="186">
        <f>IF($E309="","",'I. Stream &amp; Compound Data'!$W240)</f>
        <v>0</v>
      </c>
      <c r="P309" s="186">
        <f>IF($E309="","",'I. Stream &amp; Compound Data'!$W241)</f>
        <v>0</v>
      </c>
      <c r="Q309" s="187" t="e">
        <f>IF($E309="","",'I. Stream &amp; Compound Data'!$W245)</f>
        <v>#DIV/0!</v>
      </c>
      <c r="R309" s="172"/>
      <c r="S309" s="172"/>
      <c r="T309" s="172"/>
      <c r="U309" s="172"/>
      <c r="V309" s="172"/>
      <c r="W309" s="172"/>
      <c r="X309" s="172"/>
      <c r="Y309" s="173"/>
    </row>
    <row r="310" x14ac:dyDescent="0.25">
      <c r="B310" s="754"/>
      <c r="C310" s="172"/>
      <c r="D310" s="185">
        <f t="shared" si="31"/>
        <v>7</v>
      </c>
      <c r="E310" s="1295" t="str">
        <f>IF('I. Stream &amp; Compound Data'!$AA178="","",'I. Stream &amp; Compound Data'!$AA178)</f>
        <v/>
      </c>
      <c r="F310" s="1295" t="str">
        <f>IF($E310="","",'I. Stream &amp; Compound Data'!$AA179)</f>
        <v/>
      </c>
      <c r="G310" s="1295" t="str">
        <f>IF('I. Stream &amp; Compound Data'!$AA183="","",'I. Stream &amp; Compound Data'!$AA183)</f>
        <v/>
      </c>
      <c r="H310" s="186" t="str">
        <f>IF($E310="","",'I. Stream &amp; Compound Data'!$Z242)</f>
        <v/>
      </c>
      <c r="I310" s="186" t="str">
        <f>IF($E310="","",'I. Stream &amp; Compound Data'!$Z243)</f>
        <v/>
      </c>
      <c r="J310" s="186" t="str">
        <f>IF($E310="","",'I. Stream &amp; Compound Data'!$Z239)</f>
        <v/>
      </c>
      <c r="K310" s="1295" t="str">
        <f>IF(OR($F310=1,$E310=""),"",'I. Stream &amp; Compound Data'!$AA182)</f>
        <v/>
      </c>
      <c r="L310" s="1295" t="str">
        <f>IF(OR($F310=1,$E310=""),"",'I. Stream &amp; Compound Data'!$AA184)</f>
        <v/>
      </c>
      <c r="M310" s="186" t="str">
        <f>IF($E310="","",'I. Stream &amp; Compound Data'!$Z237)</f>
        <v/>
      </c>
      <c r="N310" s="186" t="str">
        <f>IF($E310="","",'I. Stream &amp; Compound Data'!$Z238)</f>
        <v/>
      </c>
      <c r="O310" s="186" t="str">
        <f>IF($E310="","",'I. Stream &amp; Compound Data'!$Z240)</f>
        <v/>
      </c>
      <c r="P310" s="186" t="str">
        <f>IF($E310="","",'I. Stream &amp; Compound Data'!$Z241)</f>
        <v/>
      </c>
      <c r="Q310" s="187" t="str">
        <f>IF($E310="","",'I. Stream &amp; Compound Data'!$Z245)</f>
        <v/>
      </c>
      <c r="R310" s="172"/>
      <c r="S310" s="172"/>
      <c r="T310" s="172"/>
      <c r="U310" s="172"/>
      <c r="V310" s="172"/>
      <c r="W310" s="172"/>
      <c r="X310" s="172"/>
      <c r="Y310" s="173"/>
    </row>
    <row r="311" x14ac:dyDescent="0.25">
      <c r="B311" s="754"/>
      <c r="C311" s="172"/>
      <c r="D311" s="185">
        <f t="shared" si="31"/>
        <v>8</v>
      </c>
      <c r="E311" s="1295" t="str">
        <f>IF('I. Stream &amp; Compound Data'!$AD178="","",'I. Stream &amp; Compound Data'!$AD178)</f>
        <v/>
      </c>
      <c r="F311" s="1295" t="str">
        <f>IF($E311="","",'I. Stream &amp; Compound Data'!$AD179)</f>
        <v/>
      </c>
      <c r="G311" s="1295" t="str">
        <f>IF('I. Stream &amp; Compound Data'!$AD183="","",'I. Stream &amp; Compound Data'!$AD183)</f>
        <v/>
      </c>
      <c r="H311" s="186" t="str">
        <f>IF($E311="","",'I. Stream &amp; Compound Data'!$AC242)</f>
        <v/>
      </c>
      <c r="I311" s="186" t="str">
        <f>IF($E311="","",'I. Stream &amp; Compound Data'!$AC243)</f>
        <v/>
      </c>
      <c r="J311" s="186" t="str">
        <f>IF($E311="","",'I. Stream &amp; Compound Data'!$AC239)</f>
        <v/>
      </c>
      <c r="K311" s="1295" t="str">
        <f>IF(OR($F311=1,$E311=""),"",'I. Stream &amp; Compound Data'!$AD182)</f>
        <v/>
      </c>
      <c r="L311" s="1295" t="str">
        <f>IF(OR($F311=1,$E311=""),"",'I. Stream &amp; Compound Data'!$AD184)</f>
        <v/>
      </c>
      <c r="M311" s="186" t="str">
        <f>IF($E311="","",'I. Stream &amp; Compound Data'!$AC237)</f>
        <v/>
      </c>
      <c r="N311" s="186" t="str">
        <f>IF($E311="","",'I. Stream &amp; Compound Data'!$AC238)</f>
        <v/>
      </c>
      <c r="O311" s="186" t="str">
        <f>IF($E311="","",'I. Stream &amp; Compound Data'!$AC240)</f>
        <v/>
      </c>
      <c r="P311" s="186" t="str">
        <f>IF($E311="","",'I. Stream &amp; Compound Data'!$AC241)</f>
        <v/>
      </c>
      <c r="Q311" s="187" t="str">
        <f>IF($E311="","",'I. Stream &amp; Compound Data'!$AC245)</f>
        <v/>
      </c>
      <c r="R311" s="172"/>
      <c r="S311" s="172"/>
      <c r="T311" s="172"/>
      <c r="U311" s="172"/>
      <c r="V311" s="172"/>
      <c r="W311" s="172"/>
      <c r="X311" s="172"/>
      <c r="Y311" s="173"/>
    </row>
    <row r="312" x14ac:dyDescent="0.25">
      <c r="B312" s="754"/>
      <c r="C312" s="172"/>
      <c r="D312" s="185">
        <f t="shared" si="31"/>
        <v>9</v>
      </c>
      <c r="E312" s="1295" t="str">
        <f>IF('I. Stream &amp; Compound Data'!$AG178="","",'I. Stream &amp; Compound Data'!$AG178)</f>
        <v/>
      </c>
      <c r="F312" s="1295" t="str">
        <f>IF($E312="","",'I. Stream &amp; Compound Data'!$AG179)</f>
        <v/>
      </c>
      <c r="G312" s="1295" t="str">
        <f>IF('I. Stream &amp; Compound Data'!$AG183="","",'I. Stream &amp; Compound Data'!$AG183)</f>
        <v/>
      </c>
      <c r="H312" s="186" t="str">
        <f>IF($E312="","",'I. Stream &amp; Compound Data'!$AF242)</f>
        <v/>
      </c>
      <c r="I312" s="186" t="str">
        <f>IF($E312="","",'I. Stream &amp; Compound Data'!$AF243)</f>
        <v/>
      </c>
      <c r="J312" s="186" t="str">
        <f>IF($E312="","",'I. Stream &amp; Compound Data'!$AF239)</f>
        <v/>
      </c>
      <c r="K312" s="1295" t="str">
        <f>IF(OR($F312=1,$E312=""),"",'I. Stream &amp; Compound Data'!$AG182)</f>
        <v/>
      </c>
      <c r="L312" s="1295" t="str">
        <f>IF(OR($F312=1,$E312=""),"",'I. Stream &amp; Compound Data'!$AG184)</f>
        <v/>
      </c>
      <c r="M312" s="186" t="str">
        <f>IF($E312="","",'I. Stream &amp; Compound Data'!$AF237)</f>
        <v/>
      </c>
      <c r="N312" s="186" t="str">
        <f>IF($E312="","",'I. Stream &amp; Compound Data'!$AF238)</f>
        <v/>
      </c>
      <c r="O312" s="186" t="str">
        <f>IF($E312="","",'I. Stream &amp; Compound Data'!$AF240)</f>
        <v/>
      </c>
      <c r="P312" s="186" t="str">
        <f>IF($E312="","",'I. Stream &amp; Compound Data'!$AF241)</f>
        <v/>
      </c>
      <c r="Q312" s="187" t="str">
        <f>IF($E312="","",'I. Stream &amp; Compound Data'!$AF245)</f>
        <v/>
      </c>
      <c r="R312" s="172"/>
      <c r="S312" s="172"/>
      <c r="T312" s="172"/>
      <c r="U312" s="172"/>
      <c r="V312" s="172"/>
      <c r="W312" s="172"/>
      <c r="X312" s="172"/>
      <c r="Y312" s="173"/>
    </row>
    <row r="313" x14ac:dyDescent="0.25">
      <c r="B313" s="754"/>
      <c r="C313" s="172"/>
      <c r="D313" s="185">
        <f t="shared" si="31"/>
        <v>10</v>
      </c>
      <c r="E313" s="1295" t="str">
        <f>IF('I. Stream &amp; Compound Data'!$AJ178="","",'I. Stream &amp; Compound Data'!$AJ178)</f>
        <v/>
      </c>
      <c r="F313" s="1295" t="str">
        <f>IF($E313="","",'I. Stream &amp; Compound Data'!$AJ179)</f>
        <v/>
      </c>
      <c r="G313" s="1295" t="str">
        <f>IF('I. Stream &amp; Compound Data'!$AJ183="","",'I. Stream &amp; Compound Data'!$AJ183)</f>
        <v/>
      </c>
      <c r="H313" s="186" t="str">
        <f>IF($E313="","",'I. Stream &amp; Compound Data'!$AI242)</f>
        <v/>
      </c>
      <c r="I313" s="186" t="str">
        <f>IF($E313="","",'I. Stream &amp; Compound Data'!$AI243)</f>
        <v/>
      </c>
      <c r="J313" s="186" t="str">
        <f>IF($E313="","",'I. Stream &amp; Compound Data'!$AI239)</f>
        <v/>
      </c>
      <c r="K313" s="1295" t="str">
        <f>IF(OR($F313=1,$E313=""),"",'I. Stream &amp; Compound Data'!$AJ182)</f>
        <v/>
      </c>
      <c r="L313" s="1295" t="str">
        <f>IF(OR($F313=1,$E313=""),"",'I. Stream &amp; Compound Data'!$AJ184)</f>
        <v/>
      </c>
      <c r="M313" s="186" t="str">
        <f>IF($E313="","",'I. Stream &amp; Compound Data'!$AI237)</f>
        <v/>
      </c>
      <c r="N313" s="186" t="str">
        <f>IF($E313="","",'I. Stream &amp; Compound Data'!$AI238)</f>
        <v/>
      </c>
      <c r="O313" s="186" t="str">
        <f>IF($E313="","",'I. Stream &amp; Compound Data'!$AI240)</f>
        <v/>
      </c>
      <c r="P313" s="186" t="str">
        <f>IF($E313="","",'I. Stream &amp; Compound Data'!$AI241)</f>
        <v/>
      </c>
      <c r="Q313" s="187" t="str">
        <f>IF($E313="","",'I. Stream &amp; Compound Data'!$AI245)</f>
        <v/>
      </c>
      <c r="R313" s="172"/>
      <c r="S313" s="172"/>
      <c r="T313" s="172"/>
      <c r="U313" s="172"/>
      <c r="V313" s="172"/>
      <c r="W313" s="172"/>
      <c r="X313" s="172"/>
      <c r="Y313" s="173"/>
    </row>
    <row r="314" x14ac:dyDescent="0.25">
      <c r="B314" s="754"/>
      <c r="C314" s="172"/>
      <c r="D314" s="185">
        <f t="shared" si="31"/>
        <v>11</v>
      </c>
      <c r="E314" s="1295" t="str">
        <f>IF('I. Stream &amp; Compound Data'!$AM178="","",'I. Stream &amp; Compound Data'!$AM178)</f>
        <v/>
      </c>
      <c r="F314" s="1295" t="str">
        <f>IF($E314="","",'I. Stream &amp; Compound Data'!$AM179)</f>
        <v/>
      </c>
      <c r="G314" s="1295" t="str">
        <f>IF('I. Stream &amp; Compound Data'!$AM183="","",'I. Stream &amp; Compound Data'!$AM183)</f>
        <v/>
      </c>
      <c r="H314" s="1295" t="str">
        <f>IF($E314="","",'I. Stream &amp; Compound Data'!$AL242)</f>
        <v/>
      </c>
      <c r="I314" s="1295" t="str">
        <f>IF($E314="","",'I. Stream &amp; Compound Data'!$AL243)</f>
        <v/>
      </c>
      <c r="J314" s="1295" t="str">
        <f>IF($E314="","",'I. Stream &amp; Compound Data'!$AL239)</f>
        <v/>
      </c>
      <c r="K314" s="1295" t="str">
        <f>IF(OR($F314=1,$E314=""),"",'I. Stream &amp; Compound Data'!$AM182)</f>
        <v/>
      </c>
      <c r="L314" s="1295" t="str">
        <f>IF(OR($F314=1,$E314=""),"",'I. Stream &amp; Compound Data'!$AM184)</f>
        <v/>
      </c>
      <c r="M314" s="1295" t="str">
        <f>IF($E314="","",'I. Stream &amp; Compound Data'!$AL237)</f>
        <v/>
      </c>
      <c r="N314" s="1295" t="str">
        <f>IF($E314="","",'I. Stream &amp; Compound Data'!$AL238)</f>
        <v/>
      </c>
      <c r="O314" s="186" t="str">
        <f>IF($E314="","",'I. Stream &amp; Compound Data'!$AL240)</f>
        <v/>
      </c>
      <c r="P314" s="186" t="str">
        <f>IF($E314="","",'I. Stream &amp; Compound Data'!$AL241)</f>
        <v/>
      </c>
      <c r="Q314" s="187" t="str">
        <f>IF($E314="","",'I. Stream &amp; Compound Data'!$AL245)</f>
        <v/>
      </c>
      <c r="R314" s="172"/>
      <c r="S314" s="172"/>
      <c r="T314" s="172"/>
      <c r="U314" s="172"/>
      <c r="V314" s="172"/>
      <c r="W314" s="172"/>
      <c r="X314" s="172"/>
      <c r="Y314" s="173"/>
    </row>
    <row r="315" x14ac:dyDescent="0.25">
      <c r="B315" s="754"/>
      <c r="C315" s="172"/>
      <c r="D315" s="185">
        <f t="shared" si="31"/>
        <v>12</v>
      </c>
      <c r="E315" s="1168" t="str">
        <f>IF('I. Stream &amp; Compound Data'!$AP178="","",'I. Stream &amp; Compound Data'!$AP178)</f>
        <v/>
      </c>
      <c r="F315" s="1168" t="str">
        <f>IF($E315="","",'I. Stream &amp; Compound Data'!$AP179)</f>
        <v/>
      </c>
      <c r="G315" s="1168" t="str">
        <f>IF('I. Stream &amp; Compound Data'!$AP183="","",'I. Stream &amp; Compound Data'!$AP183)</f>
        <v/>
      </c>
      <c r="H315" s="1295" t="str">
        <f>IF($E315="","",'I. Stream &amp; Compound Data'!$AO242)</f>
        <v/>
      </c>
      <c r="I315" s="1295" t="str">
        <f>IF($E315="","",'I. Stream &amp; Compound Data'!$AO243)</f>
        <v/>
      </c>
      <c r="J315" s="1295" t="str">
        <f>IF($E315="","",'I. Stream &amp; Compound Data'!$AO239)</f>
        <v/>
      </c>
      <c r="K315" s="1168" t="str">
        <f>IF(OR($F315=1,$E315=""),"",'I. Stream &amp; Compound Data'!$AP182)</f>
        <v/>
      </c>
      <c r="L315" s="1168" t="str">
        <f>IF(OR($F315=1,$E315=""),"",'I. Stream &amp; Compound Data'!$AP184)</f>
        <v/>
      </c>
      <c r="M315" s="1295" t="str">
        <f>IF($E315="","",'I. Stream &amp; Compound Data'!$AO237)</f>
        <v/>
      </c>
      <c r="N315" s="1295" t="str">
        <f>IF($E315="","",'I. Stream &amp; Compound Data'!$AO238)</f>
        <v/>
      </c>
      <c r="O315" s="186" t="str">
        <f>IF($E315="","",'I. Stream &amp; Compound Data'!$AO240)</f>
        <v/>
      </c>
      <c r="P315" s="186" t="str">
        <f>IF($E315="","",'I. Stream &amp; Compound Data'!$AO241)</f>
        <v/>
      </c>
      <c r="Q315" s="187" t="str">
        <f>IF($E315="","",'I. Stream &amp; Compound Data'!$AO245)</f>
        <v/>
      </c>
      <c r="R315" s="172"/>
      <c r="S315" s="172"/>
      <c r="T315" s="172"/>
      <c r="U315" s="172"/>
      <c r="V315" s="172"/>
      <c r="W315" s="172"/>
      <c r="X315" s="172"/>
      <c r="Y315" s="173"/>
    </row>
    <row r="316" x14ac:dyDescent="0.25">
      <c r="B316" s="754"/>
      <c r="C316" s="172"/>
      <c r="D316" s="185">
        <f t="shared" si="31"/>
        <v>13</v>
      </c>
      <c r="E316" s="1295" t="str">
        <f>IF('I. Stream &amp; Compound Data'!$AS178="","",'I. Stream &amp; Compound Data'!$AS178)</f>
        <v/>
      </c>
      <c r="F316" s="1295" t="str">
        <f>IF($E316="","",'I. Stream &amp; Compound Data'!$AS179)</f>
        <v/>
      </c>
      <c r="G316" s="1295" t="str">
        <f>IF('I. Stream &amp; Compound Data'!$AS183="","",'I. Stream &amp; Compound Data'!$AS183)</f>
        <v/>
      </c>
      <c r="H316" s="1295" t="str">
        <f>IF($E316="","",'I. Stream &amp; Compound Data'!$AR242)</f>
        <v/>
      </c>
      <c r="I316" s="1295" t="str">
        <f>IF($E316="","",'I. Stream &amp; Compound Data'!$AR243)</f>
        <v/>
      </c>
      <c r="J316" s="1295" t="str">
        <f>IF($E316="","",'I. Stream &amp; Compound Data'!$AR239)</f>
        <v/>
      </c>
      <c r="K316" s="1295" t="str">
        <f>IF(OR($F316=1,$E316=""),"",'I. Stream &amp; Compound Data'!$AS182)</f>
        <v/>
      </c>
      <c r="L316" s="1295" t="str">
        <f>IF(OR($F316=1,$E316=""),"",'I. Stream &amp; Compound Data'!$AS184)</f>
        <v/>
      </c>
      <c r="M316" s="1295" t="str">
        <f>IF($E316="","",'I. Stream &amp; Compound Data'!$AR237)</f>
        <v/>
      </c>
      <c r="N316" s="1295" t="str">
        <f>IF($E316="","",'I. Stream &amp; Compound Data'!$AR238)</f>
        <v/>
      </c>
      <c r="O316" s="186" t="str">
        <f>IF($E316="","",'I. Stream &amp; Compound Data'!$AR240)</f>
        <v/>
      </c>
      <c r="P316" s="186" t="str">
        <f>IF($E316="","",'I. Stream &amp; Compound Data'!$AR241)</f>
        <v/>
      </c>
      <c r="Q316" s="187" t="str">
        <f>IF($E316="","",'I. Stream &amp; Compound Data'!$AR245)</f>
        <v/>
      </c>
      <c r="R316" s="172"/>
      <c r="S316" s="172"/>
      <c r="T316" s="172"/>
      <c r="U316" s="172"/>
      <c r="V316" s="172"/>
      <c r="W316" s="172"/>
      <c r="X316" s="172"/>
      <c r="Y316" s="173"/>
    </row>
    <row r="317" x14ac:dyDescent="0.25">
      <c r="B317" s="754"/>
      <c r="C317" s="172"/>
      <c r="D317" s="185">
        <f t="shared" si="31"/>
        <v>14</v>
      </c>
      <c r="E317" s="1295" t="str">
        <f>IF('I. Stream &amp; Compound Data'!$AV178="","",'I. Stream &amp; Compound Data'!$AV178)</f>
        <v/>
      </c>
      <c r="F317" s="1295" t="str">
        <f>IF($E317="","",'I. Stream &amp; Compound Data'!$AV179)</f>
        <v/>
      </c>
      <c r="G317" s="1295" t="str">
        <f>IF('I. Stream &amp; Compound Data'!$AV183="","",'I. Stream &amp; Compound Data'!$AV183)</f>
        <v/>
      </c>
      <c r="H317" s="1295" t="str">
        <f>IF($E317="","",'I. Stream &amp; Compound Data'!$AU242)</f>
        <v/>
      </c>
      <c r="I317" s="1295" t="str">
        <f>IF($E317="","",'I. Stream &amp; Compound Data'!$AU243)</f>
        <v/>
      </c>
      <c r="J317" s="1295" t="str">
        <f>IF($E317="","",'I. Stream &amp; Compound Data'!$AU239)</f>
        <v/>
      </c>
      <c r="K317" s="1295" t="str">
        <f>IF(OR($F317=1,$E317=""),"",'I. Stream &amp; Compound Data'!$AV182)</f>
        <v/>
      </c>
      <c r="L317" s="1295" t="str">
        <f>IF(OR($F317=1,$E317=""),"",'I. Stream &amp; Compound Data'!$AV184)</f>
        <v/>
      </c>
      <c r="M317" s="1295" t="str">
        <f>IF($E317="","",'I. Stream &amp; Compound Data'!$AU237)</f>
        <v/>
      </c>
      <c r="N317" s="1295" t="str">
        <f>IF($E317="","",'I. Stream &amp; Compound Data'!$AU238)</f>
        <v/>
      </c>
      <c r="O317" s="186" t="str">
        <f>IF($E317="","",'I. Stream &amp; Compound Data'!$AU240)</f>
        <v/>
      </c>
      <c r="P317" s="186" t="str">
        <f>IF($E317="","",'I. Stream &amp; Compound Data'!$AU241)</f>
        <v/>
      </c>
      <c r="Q317" s="187" t="str">
        <f>IF($E317="","",'I. Stream &amp; Compound Data'!$AU245)</f>
        <v/>
      </c>
      <c r="R317" s="172"/>
      <c r="S317" s="172"/>
      <c r="T317" s="172"/>
      <c r="U317" s="172"/>
      <c r="V317" s="172"/>
      <c r="W317" s="172"/>
      <c r="X317" s="172"/>
      <c r="Y317" s="173"/>
    </row>
    <row r="318" x14ac:dyDescent="0.25">
      <c r="B318" s="754"/>
      <c r="C318" s="172"/>
      <c r="D318" s="185">
        <f t="shared" si="31"/>
        <v>15</v>
      </c>
      <c r="E318" s="1295" t="str">
        <f>IF('I. Stream &amp; Compound Data'!$AY178="","",'I. Stream &amp; Compound Data'!$AY178)</f>
        <v/>
      </c>
      <c r="F318" s="1295" t="str">
        <f>IF($E318="","",'I. Stream &amp; Compound Data'!$AY179)</f>
        <v/>
      </c>
      <c r="G318" s="1295" t="str">
        <f>IF('I. Stream &amp; Compound Data'!$AY183="","",'I. Stream &amp; Compound Data'!$AY183)</f>
        <v/>
      </c>
      <c r="H318" s="1295" t="str">
        <f>IF($E318="","",'I. Stream &amp; Compound Data'!$AX242)</f>
        <v/>
      </c>
      <c r="I318" s="1295" t="str">
        <f>IF($E318="","",'I. Stream &amp; Compound Data'!$AX243)</f>
        <v/>
      </c>
      <c r="J318" s="1295" t="str">
        <f>IF($E318="","",'I. Stream &amp; Compound Data'!$AX239)</f>
        <v/>
      </c>
      <c r="K318" s="1295" t="str">
        <f>IF(OR($F318=1,$E318=""),"",'I. Stream &amp; Compound Data'!$AY182)</f>
        <v/>
      </c>
      <c r="L318" s="1295" t="str">
        <f>IF(OR($F318=1,$E318=""),"",'I. Stream &amp; Compound Data'!$AY184)</f>
        <v/>
      </c>
      <c r="M318" s="1295" t="str">
        <f>IF($E318="","",'I. Stream &amp; Compound Data'!$AX237)</f>
        <v/>
      </c>
      <c r="N318" s="1295" t="str">
        <f>IF($E318="","",'I. Stream &amp; Compound Data'!$AX238)</f>
        <v/>
      </c>
      <c r="O318" s="186" t="str">
        <f>IF($E318="","",'I. Stream &amp; Compound Data'!$AX240)</f>
        <v/>
      </c>
      <c r="P318" s="186" t="str">
        <f>IF($E318="","",'I. Stream &amp; Compound Data'!$AX241)</f>
        <v/>
      </c>
      <c r="Q318" s="187" t="str">
        <f>IF($E318="","",'I. Stream &amp; Compound Data'!$AX245)</f>
        <v/>
      </c>
      <c r="R318" s="172"/>
      <c r="S318" s="172"/>
      <c r="T318" s="172"/>
      <c r="U318" s="172"/>
      <c r="V318" s="172"/>
      <c r="W318" s="172"/>
      <c r="X318" s="172"/>
      <c r="Y318" s="173"/>
    </row>
    <row r="319" x14ac:dyDescent="0.25">
      <c r="B319" s="754"/>
      <c r="C319" s="172"/>
      <c r="D319" s="185">
        <f t="shared" si="31"/>
        <v>16</v>
      </c>
      <c r="E319" s="1295" t="str">
        <f>IF('I. Stream &amp; Compound Data'!$BB178="","",'I. Stream &amp; Compound Data'!$BB178)</f>
        <v/>
      </c>
      <c r="F319" s="1295" t="str">
        <f>IF($E319="","",'I. Stream &amp; Compound Data'!$BB179)</f>
        <v/>
      </c>
      <c r="G319" s="1295" t="str">
        <f>IF('I. Stream &amp; Compound Data'!$BB183="","",'I. Stream &amp; Compound Data'!$BB183)</f>
        <v/>
      </c>
      <c r="H319" s="1295" t="str">
        <f>IF($E319="","",'I. Stream &amp; Compound Data'!$BA242)</f>
        <v/>
      </c>
      <c r="I319" s="1295" t="str">
        <f>IF($E319="","",'I. Stream &amp; Compound Data'!$BA243)</f>
        <v/>
      </c>
      <c r="J319" s="1295" t="str">
        <f>IF($E319="","",'I. Stream &amp; Compound Data'!$BA239)</f>
        <v/>
      </c>
      <c r="K319" s="1295" t="str">
        <f>IF(OR($F319=1,$E319=""),"",'I. Stream &amp; Compound Data'!$BB182)</f>
        <v/>
      </c>
      <c r="L319" s="1295" t="str">
        <f>IF(OR($F319=1,$E319=""),"",'I. Stream &amp; Compound Data'!$BB184)</f>
        <v/>
      </c>
      <c r="M319" s="1295" t="str">
        <f>IF($E319="","",'I. Stream &amp; Compound Data'!$BA237)</f>
        <v/>
      </c>
      <c r="N319" s="1295" t="str">
        <f>IF($E319="","",'I. Stream &amp; Compound Data'!$BA238)</f>
        <v/>
      </c>
      <c r="O319" s="186" t="str">
        <f>IF($E319="","",'I. Stream &amp; Compound Data'!$BA240)</f>
        <v/>
      </c>
      <c r="P319" s="186" t="str">
        <f>IF($E319="","",'I. Stream &amp; Compound Data'!$BA241)</f>
        <v/>
      </c>
      <c r="Q319" s="187" t="str">
        <f>IF($E319="","",'I. Stream &amp; Compound Data'!$BA245)</f>
        <v/>
      </c>
      <c r="R319" s="172"/>
      <c r="S319" s="172"/>
      <c r="T319" s="172"/>
      <c r="U319" s="172"/>
      <c r="V319" s="172"/>
      <c r="W319" s="172"/>
      <c r="X319" s="172"/>
      <c r="Y319" s="173"/>
    </row>
    <row r="320" x14ac:dyDescent="0.25">
      <c r="B320" s="754"/>
      <c r="C320" s="172"/>
      <c r="D320" s="185">
        <f>D319+1</f>
        <v>17</v>
      </c>
      <c r="E320" s="1295" t="str">
        <f>IF('I. Stream &amp; Compound Data'!$BE178="","",'I. Stream &amp; Compound Data'!$BE178)</f>
        <v/>
      </c>
      <c r="F320" s="1295" t="str">
        <f>IF($E320="","",'I. Stream &amp; Compound Data'!$BE179)</f>
        <v/>
      </c>
      <c r="G320" s="1295" t="str">
        <f>IF('I. Stream &amp; Compound Data'!$BE183="","",'I. Stream &amp; Compound Data'!$BE183)</f>
        <v/>
      </c>
      <c r="H320" s="1295" t="str">
        <f>IF($E320="","",'I. Stream &amp; Compound Data'!$BD242)</f>
        <v/>
      </c>
      <c r="I320" s="1295" t="str">
        <f>IF($E320="","",'I. Stream &amp; Compound Data'!$BD243)</f>
        <v/>
      </c>
      <c r="J320" s="1295" t="str">
        <f>IF($E320="","",'I. Stream &amp; Compound Data'!$BD239)</f>
        <v/>
      </c>
      <c r="K320" s="1295" t="str">
        <f>IF(OR($F320=1,$E320=""),"",'I. Stream &amp; Compound Data'!$BE182)</f>
        <v/>
      </c>
      <c r="L320" s="1295" t="str">
        <f>IF(OR($F320=1,$E320=""),"",'I. Stream &amp; Compound Data'!$BE184)</f>
        <v/>
      </c>
      <c r="M320" s="1295" t="str">
        <f>IF($E320="","",'I. Stream &amp; Compound Data'!$BD237)</f>
        <v/>
      </c>
      <c r="N320" s="1295" t="str">
        <f>IF($E320="","",'I. Stream &amp; Compound Data'!$BD238)</f>
        <v/>
      </c>
      <c r="O320" s="186" t="str">
        <f>IF($E320="","",'I. Stream &amp; Compound Data'!$BD240)</f>
        <v/>
      </c>
      <c r="P320" s="186" t="str">
        <f>IF($E320="","",'I. Stream &amp; Compound Data'!$BD241)</f>
        <v/>
      </c>
      <c r="Q320" s="187" t="str">
        <f>IF($E320="","",'I. Stream &amp; Compound Data'!$BD245)</f>
        <v/>
      </c>
      <c r="R320" s="172"/>
      <c r="S320" s="172"/>
      <c r="T320" s="172"/>
      <c r="U320" s="172"/>
      <c r="V320" s="172"/>
      <c r="W320" s="172"/>
      <c r="X320" s="172"/>
      <c r="Y320" s="173"/>
    </row>
    <row r="321" x14ac:dyDescent="0.25">
      <c r="B321" s="754"/>
      <c r="C321" s="172"/>
      <c r="D321" s="185">
        <f t="shared" si="31"/>
        <v>18</v>
      </c>
      <c r="E321" s="1295" t="str">
        <f>IF('I. Stream &amp; Compound Data'!$BH178="","",'I. Stream &amp; Compound Data'!$BH178)</f>
        <v/>
      </c>
      <c r="F321" s="1295" t="str">
        <f>IF($E321="","",'I. Stream &amp; Compound Data'!$BH179)</f>
        <v/>
      </c>
      <c r="G321" s="1295" t="str">
        <f>IF('I. Stream &amp; Compound Data'!$BH183="","",'I. Stream &amp; Compound Data'!$BH183)</f>
        <v/>
      </c>
      <c r="H321" s="1295" t="str">
        <f>IF($E321="","",'I. Stream &amp; Compound Data'!$BG242)</f>
        <v/>
      </c>
      <c r="I321" s="1295" t="str">
        <f>IF($E321="","",'I. Stream &amp; Compound Data'!$BG243)</f>
        <v/>
      </c>
      <c r="J321" s="1295" t="str">
        <f>IF($E321="","",'I. Stream &amp; Compound Data'!$BG239)</f>
        <v/>
      </c>
      <c r="K321" s="1295" t="str">
        <f>IF(OR($F321=1,$E321=""),"",'I. Stream &amp; Compound Data'!$BH182)</f>
        <v/>
      </c>
      <c r="L321" s="1295" t="str">
        <f>IF(OR($F321=1,$E321=""),"",'I. Stream &amp; Compound Data'!$BH184)</f>
        <v/>
      </c>
      <c r="M321" s="1295" t="str">
        <f>IF($E321="","",'I. Stream &amp; Compound Data'!$BG237)</f>
        <v/>
      </c>
      <c r="N321" s="1295" t="str">
        <f>IF($E321="","",'I. Stream &amp; Compound Data'!$BG238)</f>
        <v/>
      </c>
      <c r="O321" s="186" t="str">
        <f>IF($E321="","",'I. Stream &amp; Compound Data'!$BG240)</f>
        <v/>
      </c>
      <c r="P321" s="186" t="str">
        <f>IF($E321="","",'I. Stream &amp; Compound Data'!$BG241)</f>
        <v/>
      </c>
      <c r="Q321" s="187" t="str">
        <f>IF($E321="","",'I. Stream &amp; Compound Data'!$BG245)</f>
        <v/>
      </c>
      <c r="R321" s="172"/>
      <c r="S321" s="172"/>
      <c r="T321" s="172"/>
      <c r="U321" s="172"/>
      <c r="V321" s="172"/>
      <c r="W321" s="172"/>
      <c r="X321" s="172"/>
      <c r="Y321" s="173"/>
    </row>
    <row r="322" x14ac:dyDescent="0.25">
      <c r="B322" s="754"/>
      <c r="C322" s="172"/>
      <c r="D322" s="185">
        <f t="shared" si="31"/>
        <v>19</v>
      </c>
      <c r="E322" s="1295" t="str">
        <f>IF('I. Stream &amp; Compound Data'!$BK178="","",'I. Stream &amp; Compound Data'!$BK178)</f>
        <v/>
      </c>
      <c r="F322" s="1295" t="str">
        <f>IF($E322="","",'I. Stream &amp; Compound Data'!$BK179)</f>
        <v/>
      </c>
      <c r="G322" s="1295" t="str">
        <f>IF('I. Stream &amp; Compound Data'!$BK183="","",'I. Stream &amp; Compound Data'!$BK183)</f>
        <v/>
      </c>
      <c r="H322" s="1295" t="str">
        <f>IF($E322="","",'I. Stream &amp; Compound Data'!$BJ242)</f>
        <v/>
      </c>
      <c r="I322" s="1295" t="str">
        <f>IF($E322="","",'I. Stream &amp; Compound Data'!$BJ243)</f>
        <v/>
      </c>
      <c r="J322" s="1295" t="str">
        <f>IF($E322="","",'I. Stream &amp; Compound Data'!$BJ239)</f>
        <v/>
      </c>
      <c r="K322" s="1295" t="str">
        <f>IF(OR($F322=1,$E322=""),"",'I. Stream &amp; Compound Data'!$BK182)</f>
        <v/>
      </c>
      <c r="L322" s="1295" t="str">
        <f>IF(OR($F322=1,$E322=""),"",'I. Stream &amp; Compound Data'!$BK184)</f>
        <v/>
      </c>
      <c r="M322" s="1295" t="str">
        <f>IF($E322="","",'I. Stream &amp; Compound Data'!$BJ237)</f>
        <v/>
      </c>
      <c r="N322" s="1295" t="str">
        <f>IF($E322="","",'I. Stream &amp; Compound Data'!$BJ238)</f>
        <v/>
      </c>
      <c r="O322" s="186" t="str">
        <f>IF($E322="","",'I. Stream &amp; Compound Data'!$BJ240)</f>
        <v/>
      </c>
      <c r="P322" s="186" t="str">
        <f>IF($E322="","",'I. Stream &amp; Compound Data'!$BJ241)</f>
        <v/>
      </c>
      <c r="Q322" s="187" t="str">
        <f>IF($E322="","",'I. Stream &amp; Compound Data'!$BJ245)</f>
        <v/>
      </c>
      <c r="R322" s="172"/>
      <c r="S322" s="172"/>
      <c r="T322" s="172"/>
      <c r="U322" s="172"/>
      <c r="V322" s="172"/>
      <c r="W322" s="172"/>
      <c r="X322" s="172"/>
      <c r="Y322" s="173"/>
    </row>
    <row r="323" x14ac:dyDescent="0.25">
      <c r="B323" s="754"/>
      <c r="C323" s="172"/>
      <c r="D323" s="185">
        <f t="shared" si="31"/>
        <v>20</v>
      </c>
      <c r="E323" s="1295" t="str">
        <f>IF('I. Stream &amp; Compound Data'!$BN178="","",'I. Stream &amp; Compound Data'!$BN178)</f>
        <v/>
      </c>
      <c r="F323" s="1295" t="str">
        <f>IF($E323="","",'I. Stream &amp; Compound Data'!$BN179)</f>
        <v/>
      </c>
      <c r="G323" s="1295" t="str">
        <f>IF('I. Stream &amp; Compound Data'!$BN183="","",'I. Stream &amp; Compound Data'!$BN183)</f>
        <v/>
      </c>
      <c r="H323" s="1295" t="str">
        <f>IF($E323="","",'I. Stream &amp; Compound Data'!$BM242)</f>
        <v/>
      </c>
      <c r="I323" s="1295" t="str">
        <f>IF($E323="","",'I. Stream &amp; Compound Data'!$BM243)</f>
        <v/>
      </c>
      <c r="J323" s="1295" t="str">
        <f>IF($E323="","",'I. Stream &amp; Compound Data'!$BM239)</f>
        <v/>
      </c>
      <c r="K323" s="1295" t="str">
        <f>IF(OR($F323=1,$E323=""),"",'I. Stream &amp; Compound Data'!$BN182)</f>
        <v/>
      </c>
      <c r="L323" s="1295" t="str">
        <f>IF(OR($F323=1,$E323=""),"",'I. Stream &amp; Compound Data'!$BN184)</f>
        <v/>
      </c>
      <c r="M323" s="1295" t="str">
        <f>IF($E323="","",'I. Stream &amp; Compound Data'!$BM237)</f>
        <v/>
      </c>
      <c r="N323" s="1295" t="str">
        <f>IF($E323="","",'I. Stream &amp; Compound Data'!$BM238)</f>
        <v/>
      </c>
      <c r="O323" s="186" t="str">
        <f>IF($E323="","",'I. Stream &amp; Compound Data'!$BM240)</f>
        <v/>
      </c>
      <c r="P323" s="186" t="str">
        <f>IF($E323="","",'I. Stream &amp; Compound Data'!$BM241)</f>
        <v/>
      </c>
      <c r="Q323" s="187" t="str">
        <f>IF($E323="","",'I. Stream &amp; Compound Data'!$BM245)</f>
        <v/>
      </c>
      <c r="R323" s="172"/>
      <c r="S323" s="172"/>
      <c r="T323" s="172"/>
      <c r="U323" s="172"/>
      <c r="V323" s="172"/>
      <c r="W323" s="172"/>
      <c r="X323" s="172"/>
      <c r="Y323" s="173"/>
    </row>
    <row r="324" x14ac:dyDescent="0.25">
      <c r="B324" s="754"/>
      <c r="C324" s="172"/>
      <c r="D324" s="185">
        <f t="shared" si="31"/>
        <v>21</v>
      </c>
      <c r="E324" s="1295" t="str">
        <f>IF('I. Stream &amp; Compound Data'!$BQ178="","",'I. Stream &amp; Compound Data'!$BQ178)</f>
        <v/>
      </c>
      <c r="F324" s="1295" t="str">
        <f>IF($E324="","",'I. Stream &amp; Compound Data'!$BQ179)</f>
        <v/>
      </c>
      <c r="G324" s="1295" t="str">
        <f>IF('I. Stream &amp; Compound Data'!$BQ183="","",'I. Stream &amp; Compound Data'!$BQ183)</f>
        <v/>
      </c>
      <c r="H324" s="1295" t="str">
        <f>IF($E324="","",'I. Stream &amp; Compound Data'!$BP242)</f>
        <v/>
      </c>
      <c r="I324" s="1295" t="str">
        <f>IF($E324="","",'I. Stream &amp; Compound Data'!$BP243)</f>
        <v/>
      </c>
      <c r="J324" s="1295" t="str">
        <f>IF($E324="","",'I. Stream &amp; Compound Data'!$BP239)</f>
        <v/>
      </c>
      <c r="K324" s="1295" t="str">
        <f>IF(OR($F324=1,$E324=""),"",'I. Stream &amp; Compound Data'!$BQ182)</f>
        <v/>
      </c>
      <c r="L324" s="1295" t="str">
        <f>IF(OR($F324=1,$E324=""),"",'I. Stream &amp; Compound Data'!$BQ184)</f>
        <v/>
      </c>
      <c r="M324" s="1295" t="str">
        <f>IF($E324="","",'I. Stream &amp; Compound Data'!$BP237)</f>
        <v/>
      </c>
      <c r="N324" s="1295" t="str">
        <f>IF($E324="","",'I. Stream &amp; Compound Data'!$BP238)</f>
        <v/>
      </c>
      <c r="O324" s="186" t="str">
        <f>IF($E324="","",'I. Stream &amp; Compound Data'!$BP240)</f>
        <v/>
      </c>
      <c r="P324" s="186" t="str">
        <f>IF($E324="","",'I. Stream &amp; Compound Data'!$BP241)</f>
        <v/>
      </c>
      <c r="Q324" s="187" t="str">
        <f>IF($E324="","",'I. Stream &amp; Compound Data'!$BP245)</f>
        <v/>
      </c>
      <c r="R324" s="172"/>
      <c r="S324" s="172"/>
      <c r="T324" s="172"/>
      <c r="U324" s="172"/>
      <c r="V324" s="172"/>
      <c r="W324" s="172"/>
      <c r="X324" s="172"/>
      <c r="Y324" s="173"/>
    </row>
    <row r="325" x14ac:dyDescent="0.25">
      <c r="B325" s="754"/>
      <c r="C325" s="172"/>
      <c r="D325" s="185">
        <f t="shared" si="31"/>
        <v>22</v>
      </c>
      <c r="E325" s="1295" t="str">
        <f>IF('I. Stream &amp; Compound Data'!$BT178="","",'I. Stream &amp; Compound Data'!$BT178)</f>
        <v/>
      </c>
      <c r="F325" s="1295" t="str">
        <f>IF($E325="","",'I. Stream &amp; Compound Data'!$BT179)</f>
        <v/>
      </c>
      <c r="G325" s="1295" t="str">
        <f>IF('I. Stream &amp; Compound Data'!$BT183="","",'I. Stream &amp; Compound Data'!$BT183)</f>
        <v/>
      </c>
      <c r="H325" s="1295" t="str">
        <f>IF($E325="","",'I. Stream &amp; Compound Data'!$BS242)</f>
        <v/>
      </c>
      <c r="I325" s="1295" t="str">
        <f>IF($E325="","",'I. Stream &amp; Compound Data'!$BS243)</f>
        <v/>
      </c>
      <c r="J325" s="1295" t="str">
        <f>IF($E325="","",'I. Stream &amp; Compound Data'!$BS239)</f>
        <v/>
      </c>
      <c r="K325" s="1295" t="str">
        <f>IF(OR($F325=1,$E325=""),"",'I. Stream &amp; Compound Data'!$BT182)</f>
        <v/>
      </c>
      <c r="L325" s="1295" t="str">
        <f>IF(OR($F325=1,$E325=""),"",'I. Stream &amp; Compound Data'!$BT184)</f>
        <v/>
      </c>
      <c r="M325" s="1295" t="str">
        <f>IF($E325="","",'I. Stream &amp; Compound Data'!$BS237)</f>
        <v/>
      </c>
      <c r="N325" s="1295" t="str">
        <f>IF($E325="","",'I. Stream &amp; Compound Data'!$BS238)</f>
        <v/>
      </c>
      <c r="O325" s="186" t="str">
        <f>IF($E325="","",'I. Stream &amp; Compound Data'!$BS240)</f>
        <v/>
      </c>
      <c r="P325" s="186" t="str">
        <f>IF($E325="","",'I. Stream &amp; Compound Data'!$BS241)</f>
        <v/>
      </c>
      <c r="Q325" s="187" t="str">
        <f>IF($E325="","",'I. Stream &amp; Compound Data'!$BS245)</f>
        <v/>
      </c>
      <c r="R325" s="172"/>
      <c r="S325" s="172"/>
      <c r="T325" s="172"/>
      <c r="U325" s="172"/>
      <c r="V325" s="172"/>
      <c r="W325" s="172"/>
      <c r="X325" s="172"/>
      <c r="Y325" s="173"/>
    </row>
    <row r="326" x14ac:dyDescent="0.25">
      <c r="B326" s="754"/>
      <c r="C326" s="172"/>
      <c r="D326" s="185">
        <f t="shared" si="31"/>
        <v>23</v>
      </c>
      <c r="E326" s="1295" t="str">
        <f>IF('I. Stream &amp; Compound Data'!$BW178="","",'I. Stream &amp; Compound Data'!$BW178)</f>
        <v/>
      </c>
      <c r="F326" s="1295" t="str">
        <f>IF($E326="","",'I. Stream &amp; Compound Data'!$BW179)</f>
        <v/>
      </c>
      <c r="G326" s="1295" t="str">
        <f>IF('I. Stream &amp; Compound Data'!$BW183="","",'I. Stream &amp; Compound Data'!$BW183)</f>
        <v/>
      </c>
      <c r="H326" s="1295" t="str">
        <f>IF($E326="","",'I. Stream &amp; Compound Data'!$BV242)</f>
        <v/>
      </c>
      <c r="I326" s="1295" t="str">
        <f>IF($E326="","",'I. Stream &amp; Compound Data'!$BV243)</f>
        <v/>
      </c>
      <c r="J326" s="1295" t="str">
        <f>IF($E326="","",'I. Stream &amp; Compound Data'!$BV239)</f>
        <v/>
      </c>
      <c r="K326" s="1295" t="str">
        <f>IF(OR($F326=1,$E326=""),"",'I. Stream &amp; Compound Data'!$BW182)</f>
        <v/>
      </c>
      <c r="L326" s="1295" t="str">
        <f>IF(OR($F326=1,$E326=""),"",'I. Stream &amp; Compound Data'!$BW184)</f>
        <v/>
      </c>
      <c r="M326" s="1295" t="str">
        <f>IF($E326="","",'I. Stream &amp; Compound Data'!$BV237)</f>
        <v/>
      </c>
      <c r="N326" s="1295" t="str">
        <f>IF($E326="","",'I. Stream &amp; Compound Data'!$BV238)</f>
        <v/>
      </c>
      <c r="O326" s="186" t="str">
        <f>IF($E326="","",'I. Stream &amp; Compound Data'!$BV240)</f>
        <v/>
      </c>
      <c r="P326" s="186" t="str">
        <f>IF($E326="","",'I. Stream &amp; Compound Data'!$BV241)</f>
        <v/>
      </c>
      <c r="Q326" s="187" t="str">
        <f>IF($E326="","",'I. Stream &amp; Compound Data'!$BV245)</f>
        <v/>
      </c>
      <c r="R326" s="172"/>
      <c r="S326" s="172"/>
      <c r="T326" s="172"/>
      <c r="U326" s="172"/>
      <c r="V326" s="172"/>
      <c r="W326" s="172"/>
      <c r="X326" s="172"/>
      <c r="Y326" s="173"/>
    </row>
    <row r="327" x14ac:dyDescent="0.25">
      <c r="B327" s="754"/>
      <c r="C327" s="172"/>
      <c r="D327" s="185">
        <f t="shared" si="31"/>
        <v>24</v>
      </c>
      <c r="E327" s="1295" t="str">
        <f>IF('I. Stream &amp; Compound Data'!$BZ178="","",'I. Stream &amp; Compound Data'!$BZ178)</f>
        <v/>
      </c>
      <c r="F327" s="1295" t="str">
        <f>IF($E327="","",'I. Stream &amp; Compound Data'!$BZ179)</f>
        <v/>
      </c>
      <c r="G327" s="1295" t="str">
        <f>IF('I. Stream &amp; Compound Data'!$BZ183="","",'I. Stream &amp; Compound Data'!$BZ183)</f>
        <v/>
      </c>
      <c r="H327" s="1295" t="str">
        <f>IF($E327="","",'I. Stream &amp; Compound Data'!$BY242)</f>
        <v/>
      </c>
      <c r="I327" s="1295" t="str">
        <f>IF($E327="","",'I. Stream &amp; Compound Data'!$BY243)</f>
        <v/>
      </c>
      <c r="J327" s="1295" t="str">
        <f>IF($E327="","",'I. Stream &amp; Compound Data'!$BY239)</f>
        <v/>
      </c>
      <c r="K327" s="1295" t="str">
        <f>IF(OR($F327=1,$E327=""),"",'I. Stream &amp; Compound Data'!$BZ182)</f>
        <v/>
      </c>
      <c r="L327" s="1295" t="str">
        <f>IF(OR($F327=1,$E327=""),"",'I. Stream &amp; Compound Data'!$BZ184)</f>
        <v/>
      </c>
      <c r="M327" s="1295" t="str">
        <f>IF($E327="","",'I. Stream &amp; Compound Data'!$BY237)</f>
        <v/>
      </c>
      <c r="N327" s="1295" t="str">
        <f>IF($E327="","",'I. Stream &amp; Compound Data'!$BY238)</f>
        <v/>
      </c>
      <c r="O327" s="186" t="str">
        <f>IF($E327="","",'I. Stream &amp; Compound Data'!$BY240)</f>
        <v/>
      </c>
      <c r="P327" s="186" t="str">
        <f>IF($E327="","",'I. Stream &amp; Compound Data'!$BY241)</f>
        <v/>
      </c>
      <c r="Q327" s="187" t="str">
        <f>IF($E327="","",'I. Stream &amp; Compound Data'!$BY245)</f>
        <v/>
      </c>
      <c r="R327" s="172"/>
      <c r="S327" s="172"/>
      <c r="T327" s="172"/>
      <c r="U327" s="172"/>
      <c r="V327" s="172"/>
      <c r="W327" s="172"/>
      <c r="X327" s="172"/>
      <c r="Y327" s="173"/>
    </row>
    <row r="328" x14ac:dyDescent="0.25">
      <c r="B328" s="754"/>
      <c r="C328" s="172"/>
      <c r="D328" s="185">
        <f t="shared" si="31"/>
        <v>25</v>
      </c>
      <c r="E328" s="1295" t="str">
        <f>IF('I. Stream &amp; Compound Data'!$CC178="","",'I. Stream &amp; Compound Data'!$CC178)</f>
        <v/>
      </c>
      <c r="F328" s="1295" t="str">
        <f>IF($E328="","",'I. Stream &amp; Compound Data'!$CC179)</f>
        <v/>
      </c>
      <c r="G328" s="1295" t="str">
        <f>IF('I. Stream &amp; Compound Data'!$CC183="","",'I. Stream &amp; Compound Data'!$CC183)</f>
        <v/>
      </c>
      <c r="H328" s="1295" t="str">
        <f>IF($E328="","",'I. Stream &amp; Compound Data'!$CB242)</f>
        <v/>
      </c>
      <c r="I328" s="1295" t="str">
        <f>IF($E328="","",'I. Stream &amp; Compound Data'!$CB243)</f>
        <v/>
      </c>
      <c r="J328" s="1295" t="str">
        <f>IF($E328="","",'I. Stream &amp; Compound Data'!$CB239)</f>
        <v/>
      </c>
      <c r="K328" s="1295" t="str">
        <f>IF(OR($F328=1,$E328=""),"",'I. Stream &amp; Compound Data'!$CC182)</f>
        <v/>
      </c>
      <c r="L328" s="1295" t="str">
        <f>IF(OR($F328=1,$E328=""),"",'I. Stream &amp; Compound Data'!$CC184)</f>
        <v/>
      </c>
      <c r="M328" s="1295" t="str">
        <f>IF($E328="","",'I. Stream &amp; Compound Data'!$CB237)</f>
        <v/>
      </c>
      <c r="N328" s="1295" t="str">
        <f>IF($E328="","",'I. Stream &amp; Compound Data'!$CB238)</f>
        <v/>
      </c>
      <c r="O328" s="186" t="str">
        <f>IF($E328="","",'I. Stream &amp; Compound Data'!$CB240)</f>
        <v/>
      </c>
      <c r="P328" s="186" t="str">
        <f>IF($E328="","",'I. Stream &amp; Compound Data'!$CB241)</f>
        <v/>
      </c>
      <c r="Q328" s="187" t="str">
        <f>IF($E328="","",'I. Stream &amp; Compound Data'!$CB245)</f>
        <v/>
      </c>
      <c r="R328" s="172"/>
      <c r="S328" s="172"/>
      <c r="T328" s="172"/>
      <c r="U328" s="172"/>
      <c r="V328" s="172"/>
      <c r="W328" s="172"/>
      <c r="X328" s="172"/>
      <c r="Y328" s="173"/>
    </row>
    <row r="329" x14ac:dyDescent="0.25">
      <c r="B329" s="754"/>
      <c r="C329" s="172"/>
      <c r="D329" s="185">
        <f t="shared" si="31"/>
        <v>26</v>
      </c>
      <c r="E329" s="1295" t="str">
        <f>IF('I. Stream &amp; Compound Data'!$CF178="","",'I. Stream &amp; Compound Data'!$CF178)</f>
        <v/>
      </c>
      <c r="F329" s="1295" t="str">
        <f>IF($E329="","",'I. Stream &amp; Compound Data'!$CF179)</f>
        <v/>
      </c>
      <c r="G329" s="1295" t="str">
        <f>IF('I. Stream &amp; Compound Data'!$CF183="","",'I. Stream &amp; Compound Data'!$CF183)</f>
        <v/>
      </c>
      <c r="H329" s="1295" t="str">
        <f>IF($E329="","",'I. Stream &amp; Compound Data'!$CE242)</f>
        <v/>
      </c>
      <c r="I329" s="1295" t="str">
        <f>IF($E329="","",'I. Stream &amp; Compound Data'!$CE243)</f>
        <v/>
      </c>
      <c r="J329" s="1295" t="str">
        <f>IF($E329="","",'I. Stream &amp; Compound Data'!$CE239)</f>
        <v/>
      </c>
      <c r="K329" s="1295" t="str">
        <f>IF(OR($F329=1,$E329=""),"",'I. Stream &amp; Compound Data'!$CF182)</f>
        <v/>
      </c>
      <c r="L329" s="1295" t="str">
        <f>IF(OR($F329=1,$E329=""),"",'I. Stream &amp; Compound Data'!$CF184)</f>
        <v/>
      </c>
      <c r="M329" s="1295" t="str">
        <f>IF($E329="","",'I. Stream &amp; Compound Data'!$CE237)</f>
        <v/>
      </c>
      <c r="N329" s="1295" t="str">
        <f>IF($E329="","",'I. Stream &amp; Compound Data'!$CE238)</f>
        <v/>
      </c>
      <c r="O329" s="186" t="str">
        <f>IF($E329="","",'I. Stream &amp; Compound Data'!$CE240)</f>
        <v/>
      </c>
      <c r="P329" s="186" t="str">
        <f>IF($E329="","",'I. Stream &amp; Compound Data'!$CE241)</f>
        <v/>
      </c>
      <c r="Q329" s="187" t="str">
        <f>IF($E329="","",'I. Stream &amp; Compound Data'!$CE245)</f>
        <v/>
      </c>
      <c r="R329" s="172"/>
      <c r="S329" s="172"/>
      <c r="T329" s="172"/>
      <c r="U329" s="172"/>
      <c r="V329" s="172"/>
      <c r="W329" s="172"/>
      <c r="X329" s="172"/>
      <c r="Y329" s="173"/>
    </row>
    <row r="330" x14ac:dyDescent="0.25">
      <c r="B330" s="754"/>
      <c r="C330" s="172"/>
      <c r="D330" s="185">
        <f>D329+1</f>
        <v>27</v>
      </c>
      <c r="E330" s="1295" t="str">
        <f>IF('I. Stream &amp; Compound Data'!$CI178="","",'I. Stream &amp; Compound Data'!$CI178)</f>
        <v/>
      </c>
      <c r="F330" s="1295" t="str">
        <f>IF($E330="","",'I. Stream &amp; Compound Data'!$CI179)</f>
        <v/>
      </c>
      <c r="G330" s="1295" t="str">
        <f>IF('I. Stream &amp; Compound Data'!$CI183="","",'I. Stream &amp; Compound Data'!$CI183)</f>
        <v/>
      </c>
      <c r="H330" s="1295" t="str">
        <f>IF($E330="","",'I. Stream &amp; Compound Data'!$CH242)</f>
        <v/>
      </c>
      <c r="I330" s="1295" t="str">
        <f>IF($E330="","",'I. Stream &amp; Compound Data'!$CH243)</f>
        <v/>
      </c>
      <c r="J330" s="1295" t="str">
        <f>IF($E330="","",'I. Stream &amp; Compound Data'!$CH239)</f>
        <v/>
      </c>
      <c r="K330" s="1295" t="str">
        <f>IF(OR($F330=1,$E330=""),"",'I. Stream &amp; Compound Data'!$CI182)</f>
        <v/>
      </c>
      <c r="L330" s="1295" t="str">
        <f>IF(OR($F330=1,$E330=""),"",'I. Stream &amp; Compound Data'!$CI184)</f>
        <v/>
      </c>
      <c r="M330" s="1295" t="str">
        <f>IF($E330="","",'I. Stream &amp; Compound Data'!$CH237)</f>
        <v/>
      </c>
      <c r="N330" s="1295" t="str">
        <f>IF($E330="","",'I. Stream &amp; Compound Data'!$CH238)</f>
        <v/>
      </c>
      <c r="O330" s="186" t="str">
        <f>IF($E330="","",'I. Stream &amp; Compound Data'!$CH240)</f>
        <v/>
      </c>
      <c r="P330" s="186" t="str">
        <f>IF($E330="","",'I. Stream &amp; Compound Data'!$CH241)</f>
        <v/>
      </c>
      <c r="Q330" s="187" t="str">
        <f>IF($E330="","",'I. Stream &amp; Compound Data'!$CH245)</f>
        <v/>
      </c>
      <c r="R330" s="172"/>
      <c r="S330" s="172"/>
      <c r="T330" s="172"/>
      <c r="U330" s="172"/>
      <c r="V330" s="172"/>
      <c r="W330" s="172"/>
      <c r="X330" s="172"/>
      <c r="Y330" s="173"/>
    </row>
    <row r="331" x14ac:dyDescent="0.25">
      <c r="B331" s="754"/>
      <c r="C331" s="172"/>
      <c r="D331" s="185">
        <f t="shared" si="31"/>
        <v>28</v>
      </c>
      <c r="E331" s="1295" t="str">
        <f>IF('I. Stream &amp; Compound Data'!$CL178="","",'I. Stream &amp; Compound Data'!$CL178)</f>
        <v/>
      </c>
      <c r="F331" s="1295" t="str">
        <f>IF($E331="","",'I. Stream &amp; Compound Data'!$CL179)</f>
        <v/>
      </c>
      <c r="G331" s="1295" t="str">
        <f>IF('I. Stream &amp; Compound Data'!$CL183="","",'I. Stream &amp; Compound Data'!$CL183)</f>
        <v/>
      </c>
      <c r="H331" s="1295" t="str">
        <f>IF($E331="","",'I. Stream &amp; Compound Data'!$CK242)</f>
        <v/>
      </c>
      <c r="I331" s="1295" t="str">
        <f>IF($E331="","",'I. Stream &amp; Compound Data'!$CK243)</f>
        <v/>
      </c>
      <c r="J331" s="1295" t="str">
        <f>IF($E331="","",'I. Stream &amp; Compound Data'!$CK239)</f>
        <v/>
      </c>
      <c r="K331" s="1295" t="str">
        <f>IF(OR($F331=1,$E331=""),"",'I. Stream &amp; Compound Data'!$CL182)</f>
        <v/>
      </c>
      <c r="L331" s="1295" t="str">
        <f>IF(OR($F331=1,$E331=""),"",'I. Stream &amp; Compound Data'!$CL184)</f>
        <v/>
      </c>
      <c r="M331" s="1295" t="str">
        <f>IF($E331="","",'I. Stream &amp; Compound Data'!$CK237)</f>
        <v/>
      </c>
      <c r="N331" s="1295" t="str">
        <f>IF($E331="","",'I. Stream &amp; Compound Data'!$CK238)</f>
        <v/>
      </c>
      <c r="O331" s="186" t="str">
        <f>IF($E331="","",'I. Stream &amp; Compound Data'!$CK240)</f>
        <v/>
      </c>
      <c r="P331" s="186" t="str">
        <f>IF($E331="","",'I. Stream &amp; Compound Data'!$CK241)</f>
        <v/>
      </c>
      <c r="Q331" s="187" t="str">
        <f>IF($E331="","",'I. Stream &amp; Compound Data'!$CK245)</f>
        <v/>
      </c>
      <c r="R331" s="172"/>
      <c r="S331" s="172"/>
      <c r="T331" s="172"/>
      <c r="U331" s="172"/>
      <c r="V331" s="172"/>
      <c r="W331" s="172"/>
      <c r="X331" s="172"/>
      <c r="Y331" s="173"/>
    </row>
    <row r="332" x14ac:dyDescent="0.25">
      <c r="B332" s="754"/>
      <c r="C332" s="172"/>
      <c r="D332" s="185">
        <f t="shared" si="31"/>
        <v>29</v>
      </c>
      <c r="E332" s="1295" t="str">
        <f>IF('I. Stream &amp; Compound Data'!$CO178="","",'I. Stream &amp; Compound Data'!$CO178)</f>
        <v/>
      </c>
      <c r="F332" s="1295" t="str">
        <f>IF($E332="","",'I. Stream &amp; Compound Data'!$CO179)</f>
        <v/>
      </c>
      <c r="G332" s="1295" t="str">
        <f>IF('I. Stream &amp; Compound Data'!$CO183="","",'I. Stream &amp; Compound Data'!$CO183)</f>
        <v/>
      </c>
      <c r="H332" s="1295" t="str">
        <f>IF($E332="","",'I. Stream &amp; Compound Data'!$CN242)</f>
        <v/>
      </c>
      <c r="I332" s="1295" t="str">
        <f>IF($E332="","",'I. Stream &amp; Compound Data'!$CN243)</f>
        <v/>
      </c>
      <c r="J332" s="1295" t="str">
        <f>IF($E332="","",'I. Stream &amp; Compound Data'!$CN239)</f>
        <v/>
      </c>
      <c r="K332" s="1295" t="str">
        <f>IF(OR($F332=1,$E332=""),"",'I. Stream &amp; Compound Data'!$CO182)</f>
        <v/>
      </c>
      <c r="L332" s="1295" t="str">
        <f>IF(OR($F332=1,$E332=""),"",'I. Stream &amp; Compound Data'!$CO184)</f>
        <v/>
      </c>
      <c r="M332" s="1295" t="str">
        <f>IF($E332="","",'I. Stream &amp; Compound Data'!$CN237)</f>
        <v/>
      </c>
      <c r="N332" s="1295" t="str">
        <f>IF($E332="","",'I. Stream &amp; Compound Data'!$CN238)</f>
        <v/>
      </c>
      <c r="O332" s="186" t="str">
        <f>IF($E332="","",'I. Stream &amp; Compound Data'!$CN240)</f>
        <v/>
      </c>
      <c r="P332" s="186" t="str">
        <f>IF($E332="","",'I. Stream &amp; Compound Data'!$CN241)</f>
        <v/>
      </c>
      <c r="Q332" s="187" t="str">
        <f>IF($E332="","",'I. Stream &amp; Compound Data'!$CN245)</f>
        <v/>
      </c>
      <c r="R332" s="172"/>
      <c r="S332" s="172"/>
      <c r="T332" s="172"/>
      <c r="U332" s="172"/>
      <c r="V332" s="172"/>
      <c r="W332" s="172"/>
      <c r="X332" s="172"/>
      <c r="Y332" s="173"/>
    </row>
    <row r="333" x14ac:dyDescent="0.25">
      <c r="B333" s="754"/>
      <c r="C333" s="172"/>
      <c r="D333" s="185">
        <f t="shared" si="31"/>
        <v>30</v>
      </c>
      <c r="E333" s="1295" t="str">
        <f>IF('I. Stream &amp; Compound Data'!$CR178="","",'I. Stream &amp; Compound Data'!$CR178)</f>
        <v/>
      </c>
      <c r="F333" s="1295" t="str">
        <f>IF($E333="","",'I. Stream &amp; Compound Data'!$CR179)</f>
        <v/>
      </c>
      <c r="G333" s="1295" t="str">
        <f>IF('I. Stream &amp; Compound Data'!$CR183="","",'I. Stream &amp; Compound Data'!$CR183)</f>
        <v/>
      </c>
      <c r="H333" s="1295" t="str">
        <f>IF($E333="","",'I. Stream &amp; Compound Data'!$CQ242)</f>
        <v/>
      </c>
      <c r="I333" s="1295" t="str">
        <f>IF($E333="","",'I. Stream &amp; Compound Data'!$CQ243)</f>
        <v/>
      </c>
      <c r="J333" s="1295" t="str">
        <f>IF($E333="","",'I. Stream &amp; Compound Data'!$CQ239)</f>
        <v/>
      </c>
      <c r="K333" s="1295" t="str">
        <f>IF(OR($F333=1,$E333=""),"",'I. Stream &amp; Compound Data'!$CR182)</f>
        <v/>
      </c>
      <c r="L333" s="1295" t="str">
        <f>IF(OR($F333=1,$E333=""),"",'I. Stream &amp; Compound Data'!$CR184)</f>
        <v/>
      </c>
      <c r="M333" s="1295" t="str">
        <f>IF($E333="","",'I. Stream &amp; Compound Data'!$CQ237)</f>
        <v/>
      </c>
      <c r="N333" s="1295" t="str">
        <f>IF($E333="","",'I. Stream &amp; Compound Data'!$CQ238)</f>
        <v/>
      </c>
      <c r="O333" s="186" t="str">
        <f>IF($E333="","",'I. Stream &amp; Compound Data'!$CQ240)</f>
        <v/>
      </c>
      <c r="P333" s="186" t="str">
        <f>IF($E333="","",'I. Stream &amp; Compound Data'!$CQ241)</f>
        <v/>
      </c>
      <c r="Q333" s="187" t="str">
        <f>IF($E333="","",'I. Stream &amp; Compound Data'!$CQ245)</f>
        <v/>
      </c>
      <c r="R333" s="172"/>
      <c r="S333" s="172"/>
      <c r="T333" s="172"/>
      <c r="U333" s="172"/>
      <c r="V333" s="172"/>
      <c r="W333" s="172"/>
      <c r="X333" s="172"/>
      <c r="Y333" s="173"/>
    </row>
    <row r="334" x14ac:dyDescent="0.25">
      <c r="B334" s="754"/>
      <c r="C334" s="172"/>
      <c r="D334" s="185">
        <f t="shared" si="31"/>
        <v>31</v>
      </c>
      <c r="E334" s="1295" t="str">
        <f>IF('I. Stream &amp; Compound Data'!$CU178="","",'I. Stream &amp; Compound Data'!$CU178)</f>
        <v/>
      </c>
      <c r="F334" s="1295" t="str">
        <f>IF($E334="","",'I. Stream &amp; Compound Data'!$CU179)</f>
        <v/>
      </c>
      <c r="G334" s="1295" t="str">
        <f>IF('I. Stream &amp; Compound Data'!$CU183="","",'I. Stream &amp; Compound Data'!$CU183)</f>
        <v/>
      </c>
      <c r="H334" s="1295" t="str">
        <f>IF($E334="","",'I. Stream &amp; Compound Data'!$CT242)</f>
        <v/>
      </c>
      <c r="I334" s="1295" t="str">
        <f>IF($E334="","",'I. Stream &amp; Compound Data'!$CT243)</f>
        <v/>
      </c>
      <c r="J334" s="1295" t="str">
        <f>IF($E334="","",'I. Stream &amp; Compound Data'!$CT239)</f>
        <v/>
      </c>
      <c r="K334" s="1295" t="str">
        <f>IF(OR($F334=1,$E334=""),"",'I. Stream &amp; Compound Data'!$CU182)</f>
        <v/>
      </c>
      <c r="L334" s="1295" t="str">
        <f>IF(OR($F334=1,$E334=""),"",'I. Stream &amp; Compound Data'!$CU184)</f>
        <v/>
      </c>
      <c r="M334" s="1295" t="str">
        <f>IF($E334="","",'I. Stream &amp; Compound Data'!$CT237)</f>
        <v/>
      </c>
      <c r="N334" s="1295" t="str">
        <f>IF($E334="","",'I. Stream &amp; Compound Data'!$CT238)</f>
        <v/>
      </c>
      <c r="O334" s="186" t="str">
        <f>IF($E334="","",'I. Stream &amp; Compound Data'!$CT240)</f>
        <v/>
      </c>
      <c r="P334" s="186" t="str">
        <f>IF($E334="","",'I. Stream &amp; Compound Data'!$CT241)</f>
        <v/>
      </c>
      <c r="Q334" s="187" t="str">
        <f>IF($E334="","",'I. Stream &amp; Compound Data'!$CT245)</f>
        <v/>
      </c>
      <c r="R334" s="172"/>
      <c r="S334" s="172"/>
      <c r="T334" s="172"/>
      <c r="U334" s="172"/>
      <c r="V334" s="172"/>
      <c r="W334" s="172"/>
      <c r="X334" s="172"/>
      <c r="Y334" s="173"/>
    </row>
    <row r="335" x14ac:dyDescent="0.25">
      <c r="B335" s="754"/>
      <c r="C335" s="172"/>
      <c r="D335" s="185">
        <f>D334+1</f>
        <v>32</v>
      </c>
      <c r="E335" s="1295" t="str">
        <f>IF('I. Stream &amp; Compound Data'!$CX178="","",'I. Stream &amp; Compound Data'!$CX178)</f>
        <v/>
      </c>
      <c r="F335" s="1295" t="str">
        <f>IF($E335="","",'I. Stream &amp; Compound Data'!$CX179)</f>
        <v/>
      </c>
      <c r="G335" s="1295" t="str">
        <f>IF('I. Stream &amp; Compound Data'!$CX183="","",'I. Stream &amp; Compound Data'!$CX183)</f>
        <v/>
      </c>
      <c r="H335" s="1295" t="str">
        <f>IF($E335="","",'I. Stream &amp; Compound Data'!$CW242)</f>
        <v/>
      </c>
      <c r="I335" s="1295" t="str">
        <f>IF($E335="","",'I. Stream &amp; Compound Data'!$CW243)</f>
        <v/>
      </c>
      <c r="J335" s="1295" t="str">
        <f>IF($E335="","",'I. Stream &amp; Compound Data'!$CW239)</f>
        <v/>
      </c>
      <c r="K335" s="1295" t="str">
        <f>IF(OR($F335=1,$E335=""),"",'I. Stream &amp; Compound Data'!$CX182)</f>
        <v/>
      </c>
      <c r="L335" s="1295" t="str">
        <f>IF(OR($F335=1,$E335=""),"",'I. Stream &amp; Compound Data'!$CX184)</f>
        <v/>
      </c>
      <c r="M335" s="1295" t="str">
        <f>IF($E335="","",'I. Stream &amp; Compound Data'!$CW237)</f>
        <v/>
      </c>
      <c r="N335" s="1295" t="str">
        <f>IF($E335="","",'I. Stream &amp; Compound Data'!$CW238)</f>
        <v/>
      </c>
      <c r="O335" s="186" t="str">
        <f>IF($E335="","",'I. Stream &amp; Compound Data'!$CW240)</f>
        <v/>
      </c>
      <c r="P335" s="186" t="str">
        <f>IF($E335="","",'I. Stream &amp; Compound Data'!$CW241)</f>
        <v/>
      </c>
      <c r="Q335" s="187" t="str">
        <f>IF($E335="","",'I. Stream &amp; Compound Data'!$CW245)</f>
        <v/>
      </c>
      <c r="R335" s="172"/>
      <c r="S335" s="172"/>
      <c r="T335" s="172"/>
      <c r="U335" s="172"/>
      <c r="V335" s="172"/>
      <c r="W335" s="172"/>
      <c r="X335" s="172"/>
      <c r="Y335" s="173"/>
    </row>
    <row r="336" x14ac:dyDescent="0.25">
      <c r="B336" s="754"/>
      <c r="C336" s="172"/>
      <c r="D336" s="185">
        <f t="shared" si="31"/>
        <v>33</v>
      </c>
      <c r="E336" s="1295" t="str">
        <f>IF('I. Stream &amp; Compound Data'!$DA178="","",'I. Stream &amp; Compound Data'!$DA178)</f>
        <v/>
      </c>
      <c r="F336" s="1295" t="str">
        <f>IF($E336="","",'I. Stream &amp; Compound Data'!$DA179)</f>
        <v/>
      </c>
      <c r="G336" s="1295" t="str">
        <f>IF('I. Stream &amp; Compound Data'!$DA183="","",'I. Stream &amp; Compound Data'!$DA183)</f>
        <v/>
      </c>
      <c r="H336" s="1295" t="str">
        <f>IF($E336="","",'I. Stream &amp; Compound Data'!$CZ242)</f>
        <v/>
      </c>
      <c r="I336" s="1295" t="str">
        <f>IF($E336="","",'I. Stream &amp; Compound Data'!$CZ243)</f>
        <v/>
      </c>
      <c r="J336" s="1295" t="str">
        <f>IF($E336="","",'I. Stream &amp; Compound Data'!$CZ239)</f>
        <v/>
      </c>
      <c r="K336" s="1295" t="str">
        <f>IF(OR($F336=1,$E336=""),"",'I. Stream &amp; Compound Data'!$DA182)</f>
        <v/>
      </c>
      <c r="L336" s="1295" t="str">
        <f>IF(OR($F336=1,$E336=""),"",'I. Stream &amp; Compound Data'!$DA184)</f>
        <v/>
      </c>
      <c r="M336" s="1295" t="str">
        <f>IF($E336="","",'I. Stream &amp; Compound Data'!$CZ237)</f>
        <v/>
      </c>
      <c r="N336" s="1295" t="str">
        <f>IF($E336="","",'I. Stream &amp; Compound Data'!$CZ238)</f>
        <v/>
      </c>
      <c r="O336" s="186" t="str">
        <f>IF($E336="","",'I. Stream &amp; Compound Data'!$CZ240)</f>
        <v/>
      </c>
      <c r="P336" s="186" t="str">
        <f>IF($E336="","",'I. Stream &amp; Compound Data'!$CZ241)</f>
        <v/>
      </c>
      <c r="Q336" s="187" t="str">
        <f>IF($E336="","",'I. Stream &amp; Compound Data'!$CZ245)</f>
        <v/>
      </c>
      <c r="R336" s="172"/>
      <c r="S336" s="172"/>
      <c r="T336" s="172"/>
      <c r="U336" s="172"/>
      <c r="V336" s="172"/>
      <c r="W336" s="172"/>
      <c r="X336" s="172"/>
      <c r="Y336" s="173"/>
    </row>
    <row r="337" x14ac:dyDescent="0.25">
      <c r="B337" s="754"/>
      <c r="C337" s="172"/>
      <c r="D337" s="185">
        <f t="shared" si="31"/>
        <v>34</v>
      </c>
      <c r="E337" s="1295" t="str">
        <f>IF('I. Stream &amp; Compound Data'!$DD178="","",'I. Stream &amp; Compound Data'!$DD178)</f>
        <v/>
      </c>
      <c r="F337" s="1295" t="str">
        <f>IF($E337="","",'I. Stream &amp; Compound Data'!$DD179)</f>
        <v/>
      </c>
      <c r="G337" s="1295" t="str">
        <f>IF('I. Stream &amp; Compound Data'!$DD183="","",'I. Stream &amp; Compound Data'!$DD183)</f>
        <v/>
      </c>
      <c r="H337" s="1295" t="str">
        <f>IF($E337="","",'I. Stream &amp; Compound Data'!$DC242)</f>
        <v/>
      </c>
      <c r="I337" s="1295" t="str">
        <f>IF($E337="","",'I. Stream &amp; Compound Data'!$DC243)</f>
        <v/>
      </c>
      <c r="J337" s="1295" t="str">
        <f>IF($E337="","",'I. Stream &amp; Compound Data'!$DC239)</f>
        <v/>
      </c>
      <c r="K337" s="1295" t="str">
        <f>IF(OR($F337=1,$E337=""),"",'I. Stream &amp; Compound Data'!$DD182)</f>
        <v/>
      </c>
      <c r="L337" s="1295" t="str">
        <f>IF(OR($F337=1,$E337=""),"",'I. Stream &amp; Compound Data'!$DD184)</f>
        <v/>
      </c>
      <c r="M337" s="1295" t="str">
        <f>IF($E337="","",'I. Stream &amp; Compound Data'!$DC237)</f>
        <v/>
      </c>
      <c r="N337" s="1295" t="str">
        <f>IF($E337="","",'I. Stream &amp; Compound Data'!$DC238)</f>
        <v/>
      </c>
      <c r="O337" s="186" t="str">
        <f>IF($E337="","",'I. Stream &amp; Compound Data'!$DC240)</f>
        <v/>
      </c>
      <c r="P337" s="186" t="str">
        <f>IF($E337="","",'I. Stream &amp; Compound Data'!$DC241)</f>
        <v/>
      </c>
      <c r="Q337" s="187" t="str">
        <f>IF($E337="","",'I. Stream &amp; Compound Data'!$DC245)</f>
        <v/>
      </c>
      <c r="R337" s="172"/>
      <c r="S337" s="172"/>
      <c r="T337" s="172"/>
      <c r="U337" s="172"/>
      <c r="V337" s="172"/>
      <c r="W337" s="172"/>
      <c r="X337" s="172"/>
      <c r="Y337" s="173"/>
    </row>
    <row r="338" x14ac:dyDescent="0.25">
      <c r="B338" s="754"/>
      <c r="C338" s="172"/>
      <c r="D338" s="185">
        <f t="shared" si="31"/>
        <v>35</v>
      </c>
      <c r="E338" s="1295" t="str">
        <f>IF('I. Stream &amp; Compound Data'!$DG178="","",'I. Stream &amp; Compound Data'!$DG178)</f>
        <v/>
      </c>
      <c r="F338" s="1295" t="str">
        <f>IF($E338="","",'I. Stream &amp; Compound Data'!$DG179)</f>
        <v/>
      </c>
      <c r="G338" s="1295" t="str">
        <f>IF('I. Stream &amp; Compound Data'!$DG183="","",'I. Stream &amp; Compound Data'!$DG183)</f>
        <v/>
      </c>
      <c r="H338" s="1295" t="str">
        <f>IF($E338="","",'I. Stream &amp; Compound Data'!$DF242)</f>
        <v/>
      </c>
      <c r="I338" s="1295" t="str">
        <f>IF($E338="","",'I. Stream &amp; Compound Data'!$DF243)</f>
        <v/>
      </c>
      <c r="J338" s="1295" t="str">
        <f>IF($E338="","",'I. Stream &amp; Compound Data'!$DF239)</f>
        <v/>
      </c>
      <c r="K338" s="1295" t="str">
        <f>IF(OR($F338=1,$E338=""),"",'I. Stream &amp; Compound Data'!$DG182)</f>
        <v/>
      </c>
      <c r="L338" s="1295" t="str">
        <f>IF(OR($F338=1,$E338=""),"",'I. Stream &amp; Compound Data'!$DG184)</f>
        <v/>
      </c>
      <c r="M338" s="1295" t="str">
        <f>IF($E338="","",'I. Stream &amp; Compound Data'!$DF237)</f>
        <v/>
      </c>
      <c r="N338" s="1295" t="str">
        <f>IF($E338="","",'I. Stream &amp; Compound Data'!$DF238)</f>
        <v/>
      </c>
      <c r="O338" s="186" t="str">
        <f>IF($E338="","",'I. Stream &amp; Compound Data'!$DF240)</f>
        <v/>
      </c>
      <c r="P338" s="186" t="str">
        <f>IF($E338="","",'I. Stream &amp; Compound Data'!$DF241)</f>
        <v/>
      </c>
      <c r="Q338" s="187" t="str">
        <f>IF($E338="","",'I. Stream &amp; Compound Data'!$DF245)</f>
        <v/>
      </c>
      <c r="R338" s="172"/>
      <c r="S338" s="172"/>
      <c r="T338" s="172"/>
      <c r="U338" s="172"/>
      <c r="V338" s="172"/>
      <c r="W338" s="172"/>
      <c r="X338" s="172"/>
      <c r="Y338" s="173"/>
    </row>
    <row r="339" x14ac:dyDescent="0.25">
      <c r="B339" s="754"/>
      <c r="C339" s="172"/>
      <c r="D339" s="185">
        <f t="shared" si="31"/>
        <v>36</v>
      </c>
      <c r="E339" s="1295" t="str">
        <f>IF('I. Stream &amp; Compound Data'!$DJ178="","",'I. Stream &amp; Compound Data'!$DJ178)</f>
        <v/>
      </c>
      <c r="F339" s="1295" t="str">
        <f>IF($E339="","",'I. Stream &amp; Compound Data'!$DJ179)</f>
        <v/>
      </c>
      <c r="G339" s="1295" t="str">
        <f>IF('I. Stream &amp; Compound Data'!$DJ183="","",'I. Stream &amp; Compound Data'!$DJ183)</f>
        <v/>
      </c>
      <c r="H339" s="1295" t="str">
        <f>IF($E339="","",'I. Stream &amp; Compound Data'!$DI242)</f>
        <v/>
      </c>
      <c r="I339" s="1295" t="str">
        <f>IF($E339="","",'I. Stream &amp; Compound Data'!$DI243)</f>
        <v/>
      </c>
      <c r="J339" s="1295" t="str">
        <f>IF($E339="","",'I. Stream &amp; Compound Data'!$DI239)</f>
        <v/>
      </c>
      <c r="K339" s="1295" t="str">
        <f>IF(OR($F339=1,$E339=""),"",'I. Stream &amp; Compound Data'!$DJ182)</f>
        <v/>
      </c>
      <c r="L339" s="1295" t="str">
        <f>IF(OR($F339=1,$E339=""),"",'I. Stream &amp; Compound Data'!$DJ184)</f>
        <v/>
      </c>
      <c r="M339" s="1295" t="str">
        <f>IF($E339="","",'I. Stream &amp; Compound Data'!$DI237)</f>
        <v/>
      </c>
      <c r="N339" s="1295" t="str">
        <f>IF($E339="","",'I. Stream &amp; Compound Data'!$DI238)</f>
        <v/>
      </c>
      <c r="O339" s="186" t="str">
        <f>IF($E339="","",'I. Stream &amp; Compound Data'!$DI240)</f>
        <v/>
      </c>
      <c r="P339" s="186" t="str">
        <f>IF($E339="","",'I. Stream &amp; Compound Data'!$DI241)</f>
        <v/>
      </c>
      <c r="Q339" s="187" t="str">
        <f>IF($E339="","",'I. Stream &amp; Compound Data'!$DI245)</f>
        <v/>
      </c>
      <c r="R339" s="172"/>
      <c r="S339" s="172"/>
      <c r="T339" s="172"/>
      <c r="U339" s="172"/>
      <c r="V339" s="172"/>
      <c r="W339" s="172"/>
      <c r="X339" s="172"/>
      <c r="Y339" s="173"/>
    </row>
    <row r="340" x14ac:dyDescent="0.25">
      <c r="B340" s="754"/>
      <c r="C340" s="172"/>
      <c r="D340" s="185">
        <f>D339+1</f>
        <v>37</v>
      </c>
      <c r="E340" s="1295" t="str">
        <f>IF('I. Stream &amp; Compound Data'!$DM178="","",'I. Stream &amp; Compound Data'!$DM178)</f>
        <v/>
      </c>
      <c r="F340" s="1295" t="str">
        <f>IF($E340="","",'I. Stream &amp; Compound Data'!$DM179)</f>
        <v/>
      </c>
      <c r="G340" s="1295" t="str">
        <f>IF('I. Stream &amp; Compound Data'!$DM183="","",'I. Stream &amp; Compound Data'!$DM183)</f>
        <v/>
      </c>
      <c r="H340" s="1295" t="str">
        <f>IF($E340="","",'I. Stream &amp; Compound Data'!$DL242)</f>
        <v/>
      </c>
      <c r="I340" s="1295" t="str">
        <f>IF($E340="","",'I. Stream &amp; Compound Data'!$DL243)</f>
        <v/>
      </c>
      <c r="J340" s="1295" t="str">
        <f>IF($E340="","",'I. Stream &amp; Compound Data'!$DL239)</f>
        <v/>
      </c>
      <c r="K340" s="1295" t="str">
        <f>IF(OR($F340=1,$E340=""),"",'I. Stream &amp; Compound Data'!$DM182)</f>
        <v/>
      </c>
      <c r="L340" s="1295" t="str">
        <f>IF(OR($F340=1,$E340=""),"",'I. Stream &amp; Compound Data'!$DM184)</f>
        <v/>
      </c>
      <c r="M340" s="1295" t="str">
        <f>IF($E340="","",'I. Stream &amp; Compound Data'!$DL237)</f>
        <v/>
      </c>
      <c r="N340" s="1295" t="str">
        <f>IF($E340="","",'I. Stream &amp; Compound Data'!$DL238)</f>
        <v/>
      </c>
      <c r="O340" s="186" t="str">
        <f>IF($E340="","",'I. Stream &amp; Compound Data'!$DL240)</f>
        <v/>
      </c>
      <c r="P340" s="186" t="str">
        <f>IF($E340="","",'I. Stream &amp; Compound Data'!$DL241)</f>
        <v/>
      </c>
      <c r="Q340" s="187" t="str">
        <f>IF($E340="","",'I. Stream &amp; Compound Data'!$DL245)</f>
        <v/>
      </c>
      <c r="R340" s="172"/>
      <c r="S340" s="172"/>
      <c r="T340" s="172"/>
      <c r="U340" s="172"/>
      <c r="V340" s="172"/>
      <c r="W340" s="172"/>
      <c r="X340" s="172"/>
      <c r="Y340" s="173"/>
    </row>
    <row r="341" x14ac:dyDescent="0.25">
      <c r="B341" s="754"/>
      <c r="C341" s="172"/>
      <c r="D341" s="185">
        <f t="shared" si="31"/>
        <v>38</v>
      </c>
      <c r="E341" s="1295" t="str">
        <f>IF('I. Stream &amp; Compound Data'!$DP178="","",'I. Stream &amp; Compound Data'!$DP178)</f>
        <v/>
      </c>
      <c r="F341" s="1295" t="str">
        <f>IF($E341="","",'I. Stream &amp; Compound Data'!$DP179)</f>
        <v/>
      </c>
      <c r="G341" s="1295" t="str">
        <f>IF('I. Stream &amp; Compound Data'!$DP183="","",'I. Stream &amp; Compound Data'!$DP183)</f>
        <v/>
      </c>
      <c r="H341" s="1295" t="str">
        <f>IF($E341="","",'I. Stream &amp; Compound Data'!$DO242)</f>
        <v/>
      </c>
      <c r="I341" s="1295" t="str">
        <f>IF($E341="","",'I. Stream &amp; Compound Data'!$DO243)</f>
        <v/>
      </c>
      <c r="J341" s="1295" t="str">
        <f>IF($E341="","",'I. Stream &amp; Compound Data'!$DO239)</f>
        <v/>
      </c>
      <c r="K341" s="1295" t="str">
        <f>IF(OR($F341=1,$E341=""),"",'I. Stream &amp; Compound Data'!$DP182)</f>
        <v/>
      </c>
      <c r="L341" s="1295" t="str">
        <f>IF(OR($F341=1,$E341=""),"",'I. Stream &amp; Compound Data'!$DP184)</f>
        <v/>
      </c>
      <c r="M341" s="1295" t="str">
        <f>IF($E341="","",'I. Stream &amp; Compound Data'!$DO237)</f>
        <v/>
      </c>
      <c r="N341" s="1295" t="str">
        <f>IF($E341="","",'I. Stream &amp; Compound Data'!$DO238)</f>
        <v/>
      </c>
      <c r="O341" s="186" t="str">
        <f>IF($E341="","",'I. Stream &amp; Compound Data'!$DO240)</f>
        <v/>
      </c>
      <c r="P341" s="186" t="str">
        <f>IF($E341="","",'I. Stream &amp; Compound Data'!$DO241)</f>
        <v/>
      </c>
      <c r="Q341" s="187" t="str">
        <f>IF($E341="","",'I. Stream &amp; Compound Data'!$DO245)</f>
        <v/>
      </c>
      <c r="R341" s="172"/>
      <c r="S341" s="172"/>
      <c r="T341" s="172"/>
      <c r="U341" s="172"/>
      <c r="V341" s="172"/>
      <c r="W341" s="172"/>
      <c r="X341" s="172"/>
      <c r="Y341" s="173"/>
    </row>
    <row r="342" x14ac:dyDescent="0.25">
      <c r="B342" s="754"/>
      <c r="C342" s="172"/>
      <c r="D342" s="185">
        <f t="shared" si="31"/>
        <v>39</v>
      </c>
      <c r="E342" s="1295" t="str">
        <f>IF('I. Stream &amp; Compound Data'!$DS178="","",'I. Stream &amp; Compound Data'!$DS178)</f>
        <v/>
      </c>
      <c r="F342" s="1295" t="str">
        <f>IF($E342="","",'I. Stream &amp; Compound Data'!$DS179)</f>
        <v/>
      </c>
      <c r="G342" s="1295" t="str">
        <f>IF('I. Stream &amp; Compound Data'!$DS183="","",'I. Stream &amp; Compound Data'!$DS183)</f>
        <v/>
      </c>
      <c r="H342" s="1295" t="str">
        <f>IF($E342="","",'I. Stream &amp; Compound Data'!$DR242)</f>
        <v/>
      </c>
      <c r="I342" s="1295" t="str">
        <f>IF($E342="","",'I. Stream &amp; Compound Data'!$DR243)</f>
        <v/>
      </c>
      <c r="J342" s="1295" t="str">
        <f>IF($E342="","",'I. Stream &amp; Compound Data'!$DR239)</f>
        <v/>
      </c>
      <c r="K342" s="1295" t="str">
        <f>IF(OR($F342=1,$E342=""),"",'I. Stream &amp; Compound Data'!$DS182)</f>
        <v/>
      </c>
      <c r="L342" s="1295" t="str">
        <f>IF(OR($F342=1,$E342=""),"",'I. Stream &amp; Compound Data'!$DS184)</f>
        <v/>
      </c>
      <c r="M342" s="1295" t="str">
        <f>IF($E342="","",'I. Stream &amp; Compound Data'!$DR237)</f>
        <v/>
      </c>
      <c r="N342" s="1295" t="str">
        <f>IF($E342="","",'I. Stream &amp; Compound Data'!$DR238)</f>
        <v/>
      </c>
      <c r="O342" s="186" t="str">
        <f>IF($E342="","",'I. Stream &amp; Compound Data'!$DR240)</f>
        <v/>
      </c>
      <c r="P342" s="186" t="str">
        <f>IF($E342="","",'I. Stream &amp; Compound Data'!$DR241)</f>
        <v/>
      </c>
      <c r="Q342" s="187" t="str">
        <f>IF($E342="","",'I. Stream &amp; Compound Data'!$DR245)</f>
        <v/>
      </c>
      <c r="R342" s="172"/>
      <c r="S342" s="172"/>
      <c r="T342" s="172"/>
      <c r="U342" s="172"/>
      <c r="V342" s="172"/>
      <c r="W342" s="172"/>
      <c r="X342" s="172"/>
      <c r="Y342" s="173"/>
    </row>
    <row r="343" ht="15.6" thickBot="true" x14ac:dyDescent="0.3">
      <c r="B343" s="754"/>
      <c r="C343" s="172"/>
      <c r="D343" s="1459">
        <f t="shared" si="31"/>
        <v>40</v>
      </c>
      <c r="E343" s="1301" t="str">
        <f>IF('I. Stream &amp; Compound Data'!$DV178="","",'I. Stream &amp; Compound Data'!$DV178)</f>
        <v/>
      </c>
      <c r="F343" s="1301" t="str">
        <f>IF($E343="","",'I. Stream &amp; Compound Data'!$DV179)</f>
        <v/>
      </c>
      <c r="G343" s="1301" t="str">
        <f>IF('I. Stream &amp; Compound Data'!$DV183="","",'I. Stream &amp; Compound Data'!$DV183)</f>
        <v/>
      </c>
      <c r="H343" s="1301" t="str">
        <f>IF($E343="","",'I. Stream &amp; Compound Data'!$DU242)</f>
        <v/>
      </c>
      <c r="I343" s="1301" t="str">
        <f>IF($E343="","",'I. Stream &amp; Compound Data'!$DU243)</f>
        <v/>
      </c>
      <c r="J343" s="1301" t="str">
        <f>IF($E343="","",'I. Stream &amp; Compound Data'!$DU239)</f>
        <v/>
      </c>
      <c r="K343" s="1301" t="str">
        <f>IF(OR($F343=1,$E343=""),"",'I. Stream &amp; Compound Data'!$DV182)</f>
        <v/>
      </c>
      <c r="L343" s="1301" t="str">
        <f>IF(OR($F343=1,$E343=""),"",'I. Stream &amp; Compound Data'!$DV184)</f>
        <v/>
      </c>
      <c r="M343" s="1301" t="str">
        <f>IF($E343="","",'I. Stream &amp; Compound Data'!$DU237)</f>
        <v/>
      </c>
      <c r="N343" s="1301" t="str">
        <f>IF($E343="","",'I. Stream &amp; Compound Data'!$DU238)</f>
        <v/>
      </c>
      <c r="O343" s="1247" t="str">
        <f>IF($E343="","",'I. Stream &amp; Compound Data'!$DU240)</f>
        <v/>
      </c>
      <c r="P343" s="1247" t="str">
        <f>IF($E343="","",'I. Stream &amp; Compound Data'!$DU241)</f>
        <v/>
      </c>
      <c r="Q343" s="1461" t="str">
        <f>IF($E343="","",'I. Stream &amp; Compound Data'!$DU245)</f>
        <v/>
      </c>
      <c r="R343" s="172"/>
      <c r="S343" s="172"/>
      <c r="T343" s="172"/>
      <c r="U343" s="172"/>
      <c r="V343" s="172"/>
      <c r="W343" s="172"/>
      <c r="X343" s="172"/>
      <c r="Y343" s="173"/>
    </row>
    <row r="344" x14ac:dyDescent="0.25">
      <c r="B344" s="754"/>
      <c r="C344" s="172"/>
      <c r="D344" s="172"/>
      <c r="E344" s="172"/>
      <c r="F344" s="172"/>
      <c r="G344" s="172"/>
      <c r="H344" s="172"/>
      <c r="I344" s="172"/>
      <c r="J344" s="172"/>
      <c r="K344" s="172"/>
      <c r="L344" s="172"/>
      <c r="M344" s="172"/>
      <c r="N344" s="172"/>
      <c r="O344" s="172"/>
      <c r="P344" s="172"/>
      <c r="Q344" s="172"/>
      <c r="R344" s="172"/>
      <c r="S344" s="172"/>
      <c r="T344" s="172"/>
      <c r="U344" s="172"/>
      <c r="V344" s="172"/>
      <c r="W344" s="172"/>
      <c r="X344" s="172"/>
      <c r="Y344" s="173"/>
    </row>
    <row r="345" x14ac:dyDescent="0.25">
      <c r="B345" s="754"/>
      <c r="C345" s="172"/>
      <c r="D345" s="172"/>
      <c r="E345" s="172"/>
      <c r="F345" s="172"/>
      <c r="G345" s="172"/>
      <c r="H345" s="172"/>
      <c r="I345" s="172"/>
      <c r="J345" s="172"/>
      <c r="K345" s="172"/>
      <c r="L345" s="172"/>
      <c r="M345" s="172"/>
      <c r="N345" s="172"/>
      <c r="O345" s="172"/>
      <c r="P345" s="172"/>
      <c r="Q345" s="172"/>
      <c r="R345" s="172"/>
      <c r="S345" s="172"/>
      <c r="T345" s="172"/>
      <c r="U345" s="172"/>
      <c r="V345" s="172"/>
      <c r="W345" s="172"/>
      <c r="X345" s="172"/>
      <c r="Y345" s="173"/>
    </row>
    <row r="346" x14ac:dyDescent="0.25">
      <c r="B346" s="754"/>
      <c r="C346" s="172"/>
      <c r="D346" s="172"/>
      <c r="E346" s="172"/>
      <c r="F346" s="172"/>
      <c r="G346" s="172"/>
      <c r="H346" s="172"/>
      <c r="I346" s="172"/>
      <c r="J346" s="172"/>
      <c r="K346" s="172"/>
      <c r="L346" s="172"/>
      <c r="M346" s="172"/>
      <c r="N346" s="172"/>
      <c r="O346" s="172"/>
      <c r="P346" s="172"/>
      <c r="Q346" s="172"/>
      <c r="R346" s="172"/>
      <c r="S346" s="172"/>
      <c r="T346" s="172"/>
      <c r="U346" s="172"/>
      <c r="V346" s="172"/>
      <c r="W346" s="172"/>
      <c r="X346" s="172"/>
      <c r="Y346" s="173"/>
    </row>
    <row r="347" x14ac:dyDescent="0.25">
      <c r="B347" s="754"/>
      <c r="C347" s="172"/>
      <c r="D347" s="172"/>
      <c r="E347" s="172"/>
      <c r="F347" s="172"/>
      <c r="G347" s="172"/>
      <c r="H347" s="172"/>
      <c r="I347" s="172"/>
      <c r="J347" s="172"/>
      <c r="K347" s="172"/>
      <c r="L347" s="172"/>
      <c r="M347" s="172"/>
      <c r="N347" s="172"/>
      <c r="O347" s="172"/>
      <c r="P347" s="172"/>
      <c r="Q347" s="172"/>
      <c r="R347" s="172"/>
      <c r="S347" s="172"/>
      <c r="T347" s="172"/>
      <c r="U347" s="172"/>
      <c r="V347" s="172"/>
      <c r="W347" s="172"/>
      <c r="X347" s="172"/>
      <c r="Y347" s="173"/>
    </row>
    <row r="348" x14ac:dyDescent="0.25">
      <c r="B348" s="754"/>
      <c r="C348" s="172"/>
      <c r="D348" s="172"/>
      <c r="E348" s="172"/>
      <c r="F348" s="172"/>
      <c r="G348" s="172"/>
      <c r="H348" s="172"/>
      <c r="I348" s="172"/>
      <c r="J348" s="172"/>
      <c r="K348" s="172"/>
      <c r="L348" s="172"/>
      <c r="M348" s="172"/>
      <c r="N348" s="172"/>
      <c r="O348" s="172"/>
      <c r="P348" s="172"/>
      <c r="Q348" s="172"/>
      <c r="R348" s="172"/>
      <c r="S348" s="172"/>
      <c r="T348" s="172"/>
      <c r="U348" s="172"/>
      <c r="V348" s="172"/>
      <c r="W348" s="172"/>
      <c r="X348" s="172"/>
      <c r="Y348" s="173"/>
    </row>
    <row r="349" x14ac:dyDescent="0.25">
      <c r="B349" s="754"/>
      <c r="C349" s="172"/>
      <c r="D349" s="172"/>
      <c r="E349" s="172"/>
      <c r="F349" s="172"/>
      <c r="G349" s="172"/>
      <c r="H349" s="172"/>
      <c r="I349" s="172"/>
      <c r="J349" s="172"/>
      <c r="K349" s="172"/>
      <c r="L349" s="172"/>
      <c r="M349" s="172"/>
      <c r="N349" s="172"/>
      <c r="O349" s="172"/>
      <c r="P349" s="172"/>
      <c r="Q349" s="172"/>
      <c r="R349" s="172"/>
      <c r="S349" s="172"/>
      <c r="T349" s="172"/>
      <c r="U349" s="172"/>
      <c r="V349" s="172"/>
      <c r="W349" s="172"/>
      <c r="X349" s="172"/>
      <c r="Y349" s="173"/>
    </row>
    <row r="350" x14ac:dyDescent="0.25">
      <c r="B350" s="754"/>
      <c r="C350" s="172"/>
      <c r="D350" s="172"/>
      <c r="E350" s="172"/>
      <c r="F350" s="172"/>
      <c r="G350" s="172"/>
      <c r="H350" s="172"/>
      <c r="I350" s="172"/>
      <c r="J350" s="172"/>
      <c r="K350" s="172"/>
      <c r="L350" s="172"/>
      <c r="M350" s="172"/>
      <c r="N350" s="172"/>
      <c r="O350" s="172"/>
      <c r="P350" s="172"/>
      <c r="Q350" s="172"/>
      <c r="R350" s="172"/>
      <c r="S350" s="172"/>
      <c r="T350" s="172"/>
      <c r="U350" s="172"/>
      <c r="V350" s="172"/>
      <c r="W350" s="172"/>
      <c r="X350" s="172"/>
      <c r="Y350" s="173"/>
    </row>
    <row r="351" ht="22.8" x14ac:dyDescent="0.4">
      <c r="B351" s="754"/>
      <c r="C351" s="172"/>
      <c r="D351" s="192" t="s">
        <v>2351</v>
      </c>
      <c r="E351" s="172"/>
      <c r="F351" s="193"/>
      <c r="G351" s="172"/>
      <c r="H351" s="172"/>
      <c r="I351" s="172"/>
      <c r="J351" s="172"/>
      <c r="K351" s="172"/>
      <c r="L351" s="172"/>
      <c r="M351" s="172"/>
      <c r="N351" s="172"/>
      <c r="O351" s="190"/>
      <c r="P351" s="172"/>
      <c r="Q351" s="172"/>
      <c r="R351" s="172"/>
      <c r="S351" s="172"/>
      <c r="T351" s="172"/>
      <c r="U351" s="172"/>
      <c r="V351" s="172"/>
      <c r="W351" s="172"/>
      <c r="X351" s="172"/>
      <c r="Y351" s="173"/>
    </row>
    <row r="352" x14ac:dyDescent="0.25">
      <c r="B352" s="754"/>
      <c r="C352" s="172"/>
      <c r="D352" s="186" t="s">
        <v>1520</v>
      </c>
      <c r="E352" s="186" t="str">
        <f>'I. Stream &amp; Compound Data'!G106</f>
        <v>S1-2</v>
      </c>
      <c r="F352" s="193"/>
      <c r="G352" s="172"/>
      <c r="H352" s="172"/>
      <c r="I352" s="172"/>
      <c r="J352" s="172"/>
      <c r="K352" s="172"/>
      <c r="L352" s="172"/>
      <c r="M352" s="172"/>
      <c r="N352" s="172"/>
      <c r="O352" s="172"/>
      <c r="P352" s="172"/>
      <c r="Q352" s="172"/>
      <c r="R352" s="172"/>
      <c r="S352" s="172"/>
      <c r="T352" s="172"/>
      <c r="U352" s="172"/>
      <c r="V352" s="172"/>
      <c r="W352" s="172"/>
      <c r="X352" s="172"/>
      <c r="Y352" s="173"/>
    </row>
    <row r="353" x14ac:dyDescent="0.25">
      <c r="B353" s="754"/>
      <c r="C353" s="172"/>
      <c r="D353" s="186" t="s">
        <v>1514</v>
      </c>
      <c r="E353" s="186">
        <f>'I. Stream &amp; Compound Data'!G105</f>
        <v>3</v>
      </c>
      <c r="F353" s="193"/>
      <c r="G353" s="172"/>
      <c r="H353" s="172"/>
      <c r="I353" s="172"/>
      <c r="J353" s="172"/>
      <c r="K353" s="172"/>
      <c r="L353" s="172"/>
      <c r="M353" s="172"/>
      <c r="N353" s="172"/>
      <c r="O353" s="172"/>
      <c r="P353" s="172"/>
      <c r="Q353" s="172"/>
      <c r="R353" s="172"/>
      <c r="S353" s="172"/>
      <c r="T353" s="172"/>
      <c r="U353" s="172"/>
      <c r="V353" s="172"/>
      <c r="W353" s="172"/>
      <c r="X353" s="172"/>
      <c r="Y353" s="173"/>
    </row>
    <row r="354" x14ac:dyDescent="0.25">
      <c r="B354" s="754"/>
      <c r="C354" s="172"/>
      <c r="D354" s="186" t="s">
        <v>2322</v>
      </c>
      <c r="E354" s="186">
        <f>MATCH(E352,'I. Stream &amp; Compound Data'!H178:DV178,0)</f>
        <v>2</v>
      </c>
      <c r="F354" s="193"/>
      <c r="G354" s="172"/>
      <c r="H354" s="172"/>
      <c r="I354" s="172"/>
      <c r="J354" s="172"/>
      <c r="K354" s="172"/>
      <c r="L354" s="172"/>
      <c r="M354" s="172"/>
      <c r="N354" s="172"/>
      <c r="O354" s="172"/>
      <c r="P354" s="172"/>
      <c r="Q354" s="172"/>
      <c r="R354" s="172"/>
      <c r="S354" s="172"/>
      <c r="T354" s="172"/>
      <c r="U354" s="172"/>
      <c r="V354" s="172"/>
      <c r="W354" s="172"/>
      <c r="X354" s="172"/>
      <c r="Y354" s="173"/>
    </row>
    <row r="355" ht="16.2" thickBot="true" x14ac:dyDescent="0.3">
      <c r="B355" s="754"/>
      <c r="C355" s="172"/>
      <c r="D355" s="194" t="s">
        <v>2235</v>
      </c>
      <c r="E355" s="1249">
        <f>VLOOKUP(E353,D358:F407,3)</f>
        <v>2888.3362910273868</v>
      </c>
      <c r="F355" s="195"/>
      <c r="G355" s="172"/>
      <c r="H355" s="172"/>
      <c r="I355" s="172"/>
      <c r="J355" s="172"/>
      <c r="K355" s="172"/>
      <c r="L355" s="172"/>
      <c r="M355" s="172"/>
      <c r="N355" s="172"/>
      <c r="O355" s="172"/>
      <c r="P355" s="172"/>
      <c r="Q355" s="172"/>
      <c r="R355" s="172"/>
      <c r="S355" s="172"/>
      <c r="T355" s="172"/>
      <c r="U355" s="172"/>
      <c r="V355" s="172"/>
      <c r="W355" s="172"/>
      <c r="X355" s="172"/>
      <c r="Y355" s="173"/>
    </row>
    <row r="356" ht="15" customHeight="true" x14ac:dyDescent="0.25">
      <c r="B356" s="754"/>
      <c r="C356" s="172"/>
      <c r="D356" s="1810" t="s">
        <v>1469</v>
      </c>
      <c r="E356" s="1812" t="s">
        <v>2160</v>
      </c>
      <c r="F356" s="1814" t="s">
        <v>1476</v>
      </c>
      <c r="G356" s="172"/>
      <c r="H356" s="172"/>
      <c r="I356" s="172"/>
      <c r="J356" s="172"/>
      <c r="K356" s="172"/>
      <c r="L356" s="172"/>
      <c r="M356" s="172"/>
      <c r="N356" s="172"/>
      <c r="O356" s="190"/>
      <c r="P356" s="172"/>
      <c r="Q356" s="172"/>
      <c r="R356" s="172"/>
      <c r="S356" s="172"/>
      <c r="T356" s="172"/>
      <c r="U356" s="172"/>
      <c r="V356" s="172"/>
      <c r="W356" s="172"/>
      <c r="X356" s="172"/>
      <c r="Y356" s="173"/>
    </row>
    <row r="357" ht="15" customHeight="true" x14ac:dyDescent="0.25">
      <c r="B357" s="754"/>
      <c r="C357" s="172"/>
      <c r="D357" s="1811"/>
      <c r="E357" s="1813"/>
      <c r="F357" s="1815"/>
      <c r="G357" s="172"/>
      <c r="H357" s="172"/>
      <c r="I357" s="172"/>
      <c r="J357" s="172"/>
      <c r="K357" s="172"/>
      <c r="L357" s="172"/>
      <c r="M357" s="172"/>
      <c r="N357" s="172"/>
      <c r="O357" s="190"/>
      <c r="P357" s="172"/>
      <c r="Q357" s="172"/>
      <c r="R357" s="172"/>
      <c r="S357" s="172"/>
      <c r="T357" s="172"/>
      <c r="U357" s="172"/>
      <c r="V357" s="172"/>
      <c r="W357" s="172"/>
      <c r="X357" s="172"/>
      <c r="Y357" s="173"/>
    </row>
    <row r="358" x14ac:dyDescent="0.25">
      <c r="B358" s="754"/>
      <c r="C358" s="172"/>
      <c r="D358" s="185">
        <v>1</v>
      </c>
      <c r="E358" s="1468" t="str">
        <f>'I. Stream &amp; Compound Data'!G262</f>
        <v>Carbon Dioxide</v>
      </c>
      <c r="F358" s="1393">
        <f>IF(E358="","",INDEX('I. Stream &amp; Compound Data'!H186:DV186,,$E$354-1))</f>
        <v>0</v>
      </c>
      <c r="G358" s="172"/>
      <c r="H358" s="172"/>
      <c r="I358" s="172"/>
      <c r="J358" s="172"/>
      <c r="K358" s="172"/>
      <c r="L358" s="172"/>
      <c r="M358" s="172"/>
      <c r="N358" s="172"/>
      <c r="O358" s="190"/>
      <c r="P358" s="172"/>
      <c r="Q358" s="172"/>
      <c r="R358" s="172"/>
      <c r="S358" s="172"/>
      <c r="T358" s="172"/>
      <c r="U358" s="172"/>
      <c r="V358" s="172"/>
      <c r="W358" s="172"/>
      <c r="X358" s="172"/>
      <c r="Y358" s="173"/>
    </row>
    <row r="359" x14ac:dyDescent="0.25">
      <c r="B359" s="754"/>
      <c r="C359" s="172"/>
      <c r="D359" s="185">
        <f>D358+1</f>
        <v>2</v>
      </c>
      <c r="E359" s="1468" t="str">
        <f>'I. Stream &amp; Compound Data'!G263</f>
        <v>Water</v>
      </c>
      <c r="F359" s="1393">
        <f>IF(E359="","",INDEX('I. Stream &amp; Compound Data'!H187:DV187,,$E$354-1))</f>
        <v>0</v>
      </c>
      <c r="G359" s="172"/>
      <c r="H359" s="172"/>
      <c r="I359" s="172"/>
      <c r="J359" s="172"/>
      <c r="K359" s="172"/>
      <c r="L359" s="172"/>
      <c r="M359" s="172"/>
      <c r="N359" s="172"/>
      <c r="O359" s="190"/>
      <c r="P359" s="172"/>
      <c r="Q359" s="172"/>
      <c r="R359" s="172"/>
      <c r="S359" s="172"/>
      <c r="T359" s="172"/>
      <c r="U359" s="172"/>
      <c r="V359" s="172"/>
      <c r="W359" s="172"/>
      <c r="X359" s="172"/>
      <c r="Y359" s="173"/>
    </row>
    <row r="360" x14ac:dyDescent="0.25">
      <c r="B360" s="754"/>
      <c r="C360" s="172"/>
      <c r="D360" s="185">
        <f t="shared" ref="D360:D407" si="32">D359+1</f>
        <v>3</v>
      </c>
      <c r="E360" s="1468" t="str">
        <f>'I. Stream &amp; Compound Data'!G264</f>
        <v>Calcium Oxide</v>
      </c>
      <c r="F360" s="1393">
        <f>IF(E360="","",INDEX('I. Stream &amp; Compound Data'!H188:DV188,,$E$354-1))</f>
        <v>2888.3362910273868</v>
      </c>
      <c r="G360" s="172"/>
      <c r="H360" s="172"/>
      <c r="I360" s="172"/>
      <c r="J360" s="172"/>
      <c r="K360" s="172"/>
      <c r="L360" s="172"/>
      <c r="M360" s="172"/>
      <c r="N360" s="172"/>
      <c r="O360" s="190"/>
      <c r="P360" s="172"/>
      <c r="Q360" s="172"/>
      <c r="R360" s="172"/>
      <c r="S360" s="172"/>
      <c r="T360" s="172"/>
      <c r="U360" s="172"/>
      <c r="V360" s="172"/>
      <c r="W360" s="172"/>
      <c r="X360" s="172"/>
      <c r="Y360" s="173"/>
    </row>
    <row r="361" x14ac:dyDescent="0.25">
      <c r="B361" s="754"/>
      <c r="C361" s="172"/>
      <c r="D361" s="185">
        <f t="shared" si="32"/>
        <v>4</v>
      </c>
      <c r="E361" s="1468" t="str">
        <f>'I. Stream &amp; Compound Data'!G265</f>
        <v>Calcium Carbonate</v>
      </c>
      <c r="F361" s="1393">
        <f>IF(E361="","",INDEX('I. Stream &amp; Compound Data'!H189:DV189,,$E$354-1))</f>
        <v>1623.6788293814257</v>
      </c>
      <c r="G361" s="172"/>
      <c r="H361" s="172"/>
      <c r="I361" s="172"/>
      <c r="J361" s="172"/>
      <c r="K361" s="172"/>
      <c r="L361" s="172"/>
      <c r="M361" s="172"/>
      <c r="N361" s="172"/>
      <c r="O361" s="190"/>
      <c r="P361" s="172"/>
      <c r="Q361" s="172"/>
      <c r="R361" s="172"/>
      <c r="S361" s="172"/>
      <c r="T361" s="172"/>
      <c r="U361" s="172"/>
      <c r="V361" s="172"/>
      <c r="W361" s="172"/>
      <c r="X361" s="172"/>
      <c r="Y361" s="173"/>
    </row>
    <row r="362" x14ac:dyDescent="0.25">
      <c r="B362" s="754"/>
      <c r="C362" s="172"/>
      <c r="D362" s="185">
        <f t="shared" si="32"/>
        <v>5</v>
      </c>
      <c r="E362" s="1468" t="str">
        <f>'I. Stream &amp; Compound Data'!G266</f>
        <v/>
      </c>
      <c r="F362" s="1393" t="str">
        <f>IF(E362="","",INDEX('I. Stream &amp; Compound Data'!H190:DV190,,$E$354-1))</f>
        <v/>
      </c>
      <c r="G362" s="172"/>
      <c r="H362" s="172"/>
      <c r="I362" s="172"/>
      <c r="J362" s="172"/>
      <c r="K362" s="172"/>
      <c r="L362" s="172"/>
      <c r="M362" s="172"/>
      <c r="N362" s="172"/>
      <c r="O362" s="190"/>
      <c r="P362" s="172"/>
      <c r="Q362" s="172"/>
      <c r="R362" s="172"/>
      <c r="S362" s="172"/>
      <c r="T362" s="172"/>
      <c r="U362" s="172"/>
      <c r="V362" s="172"/>
      <c r="W362" s="172"/>
      <c r="X362" s="172"/>
      <c r="Y362" s="173"/>
    </row>
    <row r="363" x14ac:dyDescent="0.25">
      <c r="B363" s="754"/>
      <c r="C363" s="172"/>
      <c r="D363" s="185">
        <f t="shared" si="32"/>
        <v>6</v>
      </c>
      <c r="E363" s="1468" t="str">
        <f>'I. Stream &amp; Compound Data'!G267</f>
        <v/>
      </c>
      <c r="F363" s="1393" t="str">
        <f>IF(E363="","",INDEX('I. Stream &amp; Compound Data'!H191:DV191,,$E$354-1))</f>
        <v/>
      </c>
      <c r="G363" s="172"/>
      <c r="H363" s="172"/>
      <c r="I363" s="172"/>
      <c r="J363" s="172"/>
      <c r="K363" s="172"/>
      <c r="L363" s="172"/>
      <c r="M363" s="172"/>
      <c r="N363" s="172"/>
      <c r="O363" s="190"/>
      <c r="P363" s="172"/>
      <c r="Q363" s="172"/>
      <c r="R363" s="172"/>
      <c r="S363" s="172"/>
      <c r="T363" s="172"/>
      <c r="U363" s="172"/>
      <c r="V363" s="172"/>
      <c r="W363" s="172"/>
      <c r="X363" s="172"/>
      <c r="Y363" s="173"/>
    </row>
    <row r="364" x14ac:dyDescent="0.25">
      <c r="B364" s="754"/>
      <c r="C364" s="172"/>
      <c r="D364" s="185">
        <f t="shared" si="32"/>
        <v>7</v>
      </c>
      <c r="E364" s="1468" t="str">
        <f>'I. Stream &amp; Compound Data'!G268</f>
        <v/>
      </c>
      <c r="F364" s="1393" t="str">
        <f>IF(E364="","",INDEX('I. Stream &amp; Compound Data'!H192:DV192,,$E$354-1))</f>
        <v/>
      </c>
      <c r="G364" s="172"/>
      <c r="H364" s="172"/>
      <c r="I364" s="172"/>
      <c r="J364" s="172"/>
      <c r="K364" s="172"/>
      <c r="L364" s="172"/>
      <c r="M364" s="172"/>
      <c r="N364" s="172"/>
      <c r="O364" s="190"/>
      <c r="P364" s="172"/>
      <c r="Q364" s="172"/>
      <c r="R364" s="172"/>
      <c r="S364" s="172"/>
      <c r="T364" s="172"/>
      <c r="U364" s="172"/>
      <c r="V364" s="172"/>
      <c r="W364" s="172"/>
      <c r="X364" s="172"/>
      <c r="Y364" s="173"/>
    </row>
    <row r="365" x14ac:dyDescent="0.25">
      <c r="B365" s="754"/>
      <c r="C365" s="172"/>
      <c r="D365" s="185">
        <f t="shared" si="32"/>
        <v>8</v>
      </c>
      <c r="E365" s="1468" t="str">
        <f>'I. Stream &amp; Compound Data'!G269</f>
        <v/>
      </c>
      <c r="F365" s="1393" t="str">
        <f>IF(E365="","",INDEX('I. Stream &amp; Compound Data'!H193:DV193,,$E$354-1))</f>
        <v/>
      </c>
      <c r="G365" s="172"/>
      <c r="H365" s="172"/>
      <c r="I365" s="172"/>
      <c r="J365" s="172"/>
      <c r="K365" s="172"/>
      <c r="L365" s="172"/>
      <c r="M365" s="172"/>
      <c r="N365" s="172"/>
      <c r="O365" s="172"/>
      <c r="P365" s="172"/>
      <c r="Q365" s="172"/>
      <c r="R365" s="172"/>
      <c r="S365" s="172"/>
      <c r="T365" s="172"/>
      <c r="U365" s="172"/>
      <c r="V365" s="172"/>
      <c r="W365" s="172"/>
      <c r="X365" s="172"/>
      <c r="Y365" s="173"/>
    </row>
    <row r="366" x14ac:dyDescent="0.25">
      <c r="B366" s="754"/>
      <c r="C366" s="172"/>
      <c r="D366" s="185">
        <f t="shared" si="32"/>
        <v>9</v>
      </c>
      <c r="E366" s="1468" t="str">
        <f>'I. Stream &amp; Compound Data'!G270</f>
        <v/>
      </c>
      <c r="F366" s="1393" t="str">
        <f>IF(E366="","",INDEX('I. Stream &amp; Compound Data'!H194:DV194,,$E$354-1))</f>
        <v/>
      </c>
      <c r="G366" s="172"/>
      <c r="H366" s="172"/>
      <c r="I366" s="172"/>
      <c r="J366" s="172"/>
      <c r="K366" s="172"/>
      <c r="L366" s="172"/>
      <c r="M366" s="172"/>
      <c r="N366" s="172"/>
      <c r="O366" s="190"/>
      <c r="P366" s="172"/>
      <c r="Q366" s="172"/>
      <c r="R366" s="172"/>
      <c r="S366" s="172"/>
      <c r="T366" s="172"/>
      <c r="U366" s="172"/>
      <c r="V366" s="172"/>
      <c r="W366" s="172"/>
      <c r="X366" s="172"/>
      <c r="Y366" s="173"/>
    </row>
    <row r="367" x14ac:dyDescent="0.25">
      <c r="B367" s="754"/>
      <c r="C367" s="172"/>
      <c r="D367" s="185">
        <f t="shared" si="32"/>
        <v>10</v>
      </c>
      <c r="E367" s="1468" t="str">
        <f>'I. Stream &amp; Compound Data'!G271</f>
        <v/>
      </c>
      <c r="F367" s="1393" t="str">
        <f>IF(E367="","",INDEX('I. Stream &amp; Compound Data'!H195:DV195,,$E$354-1))</f>
        <v/>
      </c>
      <c r="G367" s="172"/>
      <c r="H367" s="172"/>
      <c r="I367" s="172"/>
      <c r="J367" s="172"/>
      <c r="K367" s="172"/>
      <c r="L367" s="172"/>
      <c r="M367" s="172"/>
      <c r="N367" s="172"/>
      <c r="O367" s="190"/>
      <c r="P367" s="172"/>
      <c r="Q367" s="172"/>
      <c r="R367" s="172"/>
      <c r="S367" s="172"/>
      <c r="T367" s="172"/>
      <c r="U367" s="172"/>
      <c r="V367" s="172"/>
      <c r="W367" s="172"/>
      <c r="X367" s="172"/>
      <c r="Y367" s="173"/>
    </row>
    <row r="368" x14ac:dyDescent="0.25">
      <c r="B368" s="754"/>
      <c r="C368" s="172"/>
      <c r="D368" s="185">
        <f t="shared" si="32"/>
        <v>11</v>
      </c>
      <c r="E368" s="1468" t="str">
        <f>'I. Stream &amp; Compound Data'!G272</f>
        <v/>
      </c>
      <c r="F368" s="1393" t="str">
        <f>IF(E368="","",INDEX('I. Stream &amp; Compound Data'!H196:DV196,,$E$354-1))</f>
        <v/>
      </c>
      <c r="G368" s="172"/>
      <c r="H368" s="172"/>
      <c r="I368" s="172"/>
      <c r="J368" s="172"/>
      <c r="K368" s="172"/>
      <c r="L368" s="172"/>
      <c r="M368" s="172"/>
      <c r="N368" s="172"/>
      <c r="O368" s="190"/>
      <c r="P368" s="172"/>
      <c r="Q368" s="172"/>
      <c r="R368" s="172"/>
      <c r="S368" s="172"/>
      <c r="T368" s="172"/>
      <c r="U368" s="172"/>
      <c r="V368" s="172"/>
      <c r="W368" s="172"/>
      <c r="X368" s="172"/>
      <c r="Y368" s="173"/>
    </row>
    <row r="369" x14ac:dyDescent="0.25">
      <c r="B369" s="754"/>
      <c r="C369" s="172"/>
      <c r="D369" s="185">
        <f t="shared" si="32"/>
        <v>12</v>
      </c>
      <c r="E369" s="1468" t="str">
        <f>'I. Stream &amp; Compound Data'!G273</f>
        <v/>
      </c>
      <c r="F369" s="1393" t="str">
        <f>IF(E369="","",INDEX('I. Stream &amp; Compound Data'!H197:DV197,,$E$354-1))</f>
        <v/>
      </c>
      <c r="G369" s="172"/>
      <c r="H369" s="172"/>
      <c r="I369" s="172"/>
      <c r="J369" s="172"/>
      <c r="K369" s="172"/>
      <c r="L369" s="172"/>
      <c r="M369" s="172"/>
      <c r="N369" s="172"/>
      <c r="O369" s="190"/>
      <c r="P369" s="172"/>
      <c r="Q369" s="172"/>
      <c r="R369" s="172"/>
      <c r="S369" s="172"/>
      <c r="T369" s="172"/>
      <c r="U369" s="172"/>
      <c r="V369" s="172"/>
      <c r="W369" s="172"/>
      <c r="X369" s="172"/>
      <c r="Y369" s="173"/>
    </row>
    <row r="370" x14ac:dyDescent="0.25">
      <c r="B370" s="754"/>
      <c r="C370" s="172"/>
      <c r="D370" s="185">
        <f t="shared" si="32"/>
        <v>13</v>
      </c>
      <c r="E370" s="1468" t="str">
        <f>'I. Stream &amp; Compound Data'!G274</f>
        <v/>
      </c>
      <c r="F370" s="1393" t="str">
        <f>IF(E370="","",INDEX('I. Stream &amp; Compound Data'!H198:DV198,,$E$354-1))</f>
        <v/>
      </c>
      <c r="G370" s="172"/>
      <c r="H370" s="172"/>
      <c r="I370" s="172"/>
      <c r="J370" s="172"/>
      <c r="K370" s="172"/>
      <c r="L370" s="172"/>
      <c r="M370" s="172"/>
      <c r="N370" s="172"/>
      <c r="O370" s="190"/>
      <c r="P370" s="172"/>
      <c r="Q370" s="172"/>
      <c r="R370" s="172"/>
      <c r="S370" s="172"/>
      <c r="T370" s="172"/>
      <c r="U370" s="172"/>
      <c r="V370" s="172"/>
      <c r="W370" s="172"/>
      <c r="X370" s="172"/>
      <c r="Y370" s="173"/>
    </row>
    <row r="371" x14ac:dyDescent="0.25">
      <c r="B371" s="754"/>
      <c r="C371" s="172"/>
      <c r="D371" s="185">
        <f t="shared" si="32"/>
        <v>14</v>
      </c>
      <c r="E371" s="1468" t="str">
        <f>'I. Stream &amp; Compound Data'!G275</f>
        <v/>
      </c>
      <c r="F371" s="1393" t="str">
        <f>IF(E371="","",INDEX('I. Stream &amp; Compound Data'!H199:DV199,,$E$354-1))</f>
        <v/>
      </c>
      <c r="G371" s="172"/>
      <c r="H371" s="172"/>
      <c r="I371" s="172"/>
      <c r="J371" s="172"/>
      <c r="K371" s="172"/>
      <c r="L371" s="172"/>
      <c r="M371" s="172"/>
      <c r="N371" s="172"/>
      <c r="O371" s="190"/>
      <c r="P371" s="172"/>
      <c r="Q371" s="172"/>
      <c r="R371" s="172"/>
      <c r="S371" s="172"/>
      <c r="T371" s="172"/>
      <c r="U371" s="172"/>
      <c r="V371" s="172"/>
      <c r="W371" s="172"/>
      <c r="X371" s="172"/>
      <c r="Y371" s="173"/>
    </row>
    <row r="372" x14ac:dyDescent="0.25">
      <c r="B372" s="754"/>
      <c r="C372" s="172"/>
      <c r="D372" s="185">
        <f t="shared" si="32"/>
        <v>15</v>
      </c>
      <c r="E372" s="1468" t="str">
        <f>'I. Stream &amp; Compound Data'!G276</f>
        <v/>
      </c>
      <c r="F372" s="1393" t="str">
        <f>IF(E372="","",INDEX('I. Stream &amp; Compound Data'!H200:DV200,,$E$354-1))</f>
        <v/>
      </c>
      <c r="G372" s="172"/>
      <c r="H372" s="172"/>
      <c r="I372" s="172"/>
      <c r="J372" s="172"/>
      <c r="K372" s="172"/>
      <c r="L372" s="172"/>
      <c r="M372" s="172"/>
      <c r="N372" s="172"/>
      <c r="O372" s="190"/>
      <c r="P372" s="172"/>
      <c r="Q372" s="172"/>
      <c r="R372" s="172"/>
      <c r="S372" s="172"/>
      <c r="T372" s="172"/>
      <c r="U372" s="172"/>
      <c r="V372" s="172"/>
      <c r="W372" s="172"/>
      <c r="X372" s="172"/>
      <c r="Y372" s="173"/>
    </row>
    <row r="373" x14ac:dyDescent="0.25">
      <c r="B373" s="754"/>
      <c r="C373" s="172"/>
      <c r="D373" s="185">
        <f t="shared" si="32"/>
        <v>16</v>
      </c>
      <c r="E373" s="1468" t="str">
        <f>'I. Stream &amp; Compound Data'!G277</f>
        <v/>
      </c>
      <c r="F373" s="1393" t="str">
        <f>IF(E373="","",INDEX('I. Stream &amp; Compound Data'!H201:DV201,,$E$354-1))</f>
        <v/>
      </c>
      <c r="G373" s="172"/>
      <c r="H373" s="172"/>
      <c r="I373" s="172"/>
      <c r="J373" s="172"/>
      <c r="K373" s="172"/>
      <c r="L373" s="172"/>
      <c r="M373" s="172"/>
      <c r="N373" s="172"/>
      <c r="O373" s="190"/>
      <c r="P373" s="172"/>
      <c r="Q373" s="172"/>
      <c r="R373" s="172"/>
      <c r="S373" s="172"/>
      <c r="T373" s="172"/>
      <c r="U373" s="172"/>
      <c r="V373" s="172"/>
      <c r="W373" s="172"/>
      <c r="X373" s="172"/>
      <c r="Y373" s="173"/>
    </row>
    <row r="374" x14ac:dyDescent="0.25">
      <c r="B374" s="754"/>
      <c r="C374" s="172"/>
      <c r="D374" s="185">
        <f t="shared" si="32"/>
        <v>17</v>
      </c>
      <c r="E374" s="1468" t="str">
        <f>'I. Stream &amp; Compound Data'!G278</f>
        <v/>
      </c>
      <c r="F374" s="1393" t="str">
        <f>IF(E374="","",INDEX('I. Stream &amp; Compound Data'!H202:DV202,,$E$354-1))</f>
        <v/>
      </c>
      <c r="G374" s="172"/>
      <c r="H374" s="172"/>
      <c r="I374" s="172"/>
      <c r="J374" s="172"/>
      <c r="K374" s="172"/>
      <c r="L374" s="172"/>
      <c r="M374" s="172"/>
      <c r="N374" s="172"/>
      <c r="O374" s="190"/>
      <c r="P374" s="172"/>
      <c r="Q374" s="172"/>
      <c r="R374" s="172"/>
      <c r="S374" s="172"/>
      <c r="T374" s="172"/>
      <c r="U374" s="172"/>
      <c r="V374" s="172"/>
      <c r="W374" s="172"/>
      <c r="X374" s="172"/>
      <c r="Y374" s="173"/>
    </row>
    <row r="375" x14ac:dyDescent="0.25">
      <c r="B375" s="754"/>
      <c r="C375" s="172"/>
      <c r="D375" s="185">
        <f t="shared" si="32"/>
        <v>18</v>
      </c>
      <c r="E375" s="1468" t="str">
        <f>'I. Stream &amp; Compound Data'!G279</f>
        <v/>
      </c>
      <c r="F375" s="1393" t="str">
        <f>IF(E375="","",INDEX('I. Stream &amp; Compound Data'!H203:DV203,,$E$354-1))</f>
        <v/>
      </c>
      <c r="G375" s="172"/>
      <c r="H375" s="172"/>
      <c r="I375" s="172"/>
      <c r="J375" s="172"/>
      <c r="K375" s="172"/>
      <c r="L375" s="172"/>
      <c r="M375" s="172"/>
      <c r="N375" s="172"/>
      <c r="O375" s="190"/>
      <c r="P375" s="172"/>
      <c r="Q375" s="172"/>
      <c r="R375" s="172"/>
      <c r="S375" s="172"/>
      <c r="T375" s="172"/>
      <c r="U375" s="172"/>
      <c r="V375" s="172"/>
      <c r="W375" s="172"/>
      <c r="X375" s="172"/>
      <c r="Y375" s="173"/>
    </row>
    <row r="376" x14ac:dyDescent="0.25">
      <c r="B376" s="754"/>
      <c r="C376" s="172"/>
      <c r="D376" s="185">
        <f t="shared" si="32"/>
        <v>19</v>
      </c>
      <c r="E376" s="1468" t="str">
        <f>'I. Stream &amp; Compound Data'!G280</f>
        <v/>
      </c>
      <c r="F376" s="1393" t="str">
        <f>IF(E376="","",INDEX('I. Stream &amp; Compound Data'!H204:DV204,,$E$354-1))</f>
        <v/>
      </c>
      <c r="G376" s="172"/>
      <c r="H376" s="172"/>
      <c r="I376" s="172"/>
      <c r="J376" s="172"/>
      <c r="K376" s="172"/>
      <c r="L376" s="172"/>
      <c r="M376" s="172"/>
      <c r="N376" s="172"/>
      <c r="O376" s="190"/>
      <c r="P376" s="172"/>
      <c r="Q376" s="172"/>
      <c r="R376" s="172"/>
      <c r="S376" s="172"/>
      <c r="T376" s="172"/>
      <c r="U376" s="172"/>
      <c r="V376" s="172"/>
      <c r="W376" s="172"/>
      <c r="X376" s="172"/>
      <c r="Y376" s="173"/>
    </row>
    <row r="377" x14ac:dyDescent="0.25">
      <c r="B377" s="754"/>
      <c r="C377" s="172"/>
      <c r="D377" s="185">
        <f t="shared" si="32"/>
        <v>20</v>
      </c>
      <c r="E377" s="1468" t="str">
        <f>'I. Stream &amp; Compound Data'!G281</f>
        <v/>
      </c>
      <c r="F377" s="1393" t="str">
        <f>IF(E377="","",INDEX('I. Stream &amp; Compound Data'!H205:DV205,,$E$354-1))</f>
        <v/>
      </c>
      <c r="G377" s="172"/>
      <c r="H377" s="172"/>
      <c r="I377" s="172"/>
      <c r="J377" s="172"/>
      <c r="K377" s="172"/>
      <c r="L377" s="172"/>
      <c r="M377" s="172"/>
      <c r="N377" s="172"/>
      <c r="O377" s="190"/>
      <c r="P377" s="172"/>
      <c r="Q377" s="172"/>
      <c r="R377" s="172"/>
      <c r="S377" s="172"/>
      <c r="T377" s="172"/>
      <c r="U377" s="172"/>
      <c r="V377" s="172"/>
      <c r="W377" s="172"/>
      <c r="X377" s="172"/>
      <c r="Y377" s="173"/>
    </row>
    <row r="378" x14ac:dyDescent="0.25">
      <c r="B378" s="754"/>
      <c r="C378" s="172"/>
      <c r="D378" s="185">
        <f t="shared" si="32"/>
        <v>21</v>
      </c>
      <c r="E378" s="1468" t="str">
        <f>'I. Stream &amp; Compound Data'!G282</f>
        <v/>
      </c>
      <c r="F378" s="1393" t="str">
        <f>IF(E378="","",INDEX('I. Stream &amp; Compound Data'!H206:DV206,,$E$354-1))</f>
        <v/>
      </c>
      <c r="G378" s="172"/>
      <c r="H378" s="172"/>
      <c r="I378" s="172"/>
      <c r="J378" s="172"/>
      <c r="K378" s="172"/>
      <c r="L378" s="172"/>
      <c r="M378" s="172"/>
      <c r="N378" s="172"/>
      <c r="O378" s="190"/>
      <c r="P378" s="172"/>
      <c r="Q378" s="172"/>
      <c r="R378" s="172"/>
      <c r="S378" s="172"/>
      <c r="T378" s="172"/>
      <c r="U378" s="172"/>
      <c r="V378" s="172"/>
      <c r="W378" s="172"/>
      <c r="X378" s="172"/>
      <c r="Y378" s="173"/>
    </row>
    <row r="379" x14ac:dyDescent="0.25">
      <c r="B379" s="754"/>
      <c r="C379" s="172"/>
      <c r="D379" s="185">
        <f t="shared" si="32"/>
        <v>22</v>
      </c>
      <c r="E379" s="1468" t="str">
        <f>'I. Stream &amp; Compound Data'!G283</f>
        <v/>
      </c>
      <c r="F379" s="1393" t="str">
        <f>IF(E379="","",INDEX('I. Stream &amp; Compound Data'!H207:DV207,,$E$354-1))</f>
        <v/>
      </c>
      <c r="G379" s="172"/>
      <c r="H379" s="172"/>
      <c r="I379" s="172"/>
      <c r="J379" s="172"/>
      <c r="K379" s="172"/>
      <c r="L379" s="172"/>
      <c r="M379" s="172"/>
      <c r="N379" s="172"/>
      <c r="O379" s="190"/>
      <c r="P379" s="172"/>
      <c r="Q379" s="172"/>
      <c r="R379" s="172"/>
      <c r="S379" s="172"/>
      <c r="T379" s="172"/>
      <c r="U379" s="172"/>
      <c r="V379" s="172"/>
      <c r="W379" s="172"/>
      <c r="X379" s="172"/>
      <c r="Y379" s="173"/>
    </row>
    <row r="380" x14ac:dyDescent="0.25">
      <c r="B380" s="754"/>
      <c r="C380" s="172"/>
      <c r="D380" s="185">
        <f t="shared" si="32"/>
        <v>23</v>
      </c>
      <c r="E380" s="1468" t="str">
        <f>'I. Stream &amp; Compound Data'!G284</f>
        <v/>
      </c>
      <c r="F380" s="1393" t="str">
        <f>IF(E380="","",INDEX('I. Stream &amp; Compound Data'!H208:DV208,,$E$354-1))</f>
        <v/>
      </c>
      <c r="G380" s="172"/>
      <c r="H380" s="172"/>
      <c r="I380" s="172"/>
      <c r="J380" s="172"/>
      <c r="K380" s="172"/>
      <c r="L380" s="172"/>
      <c r="M380" s="172"/>
      <c r="N380" s="172"/>
      <c r="O380" s="190"/>
      <c r="P380" s="172"/>
      <c r="Q380" s="172"/>
      <c r="R380" s="172"/>
      <c r="S380" s="172"/>
      <c r="T380" s="172"/>
      <c r="U380" s="172"/>
      <c r="V380" s="172"/>
      <c r="W380" s="172"/>
      <c r="X380" s="172"/>
      <c r="Y380" s="173"/>
    </row>
    <row r="381" x14ac:dyDescent="0.25">
      <c r="B381" s="754"/>
      <c r="C381" s="172"/>
      <c r="D381" s="185">
        <f t="shared" si="32"/>
        <v>24</v>
      </c>
      <c r="E381" s="1468" t="str">
        <f>'I. Stream &amp; Compound Data'!G285</f>
        <v/>
      </c>
      <c r="F381" s="1393" t="str">
        <f>IF(E381="","",INDEX('I. Stream &amp; Compound Data'!H209:DV209,,$E$354-1))</f>
        <v/>
      </c>
      <c r="G381" s="172"/>
      <c r="H381" s="172"/>
      <c r="I381" s="172"/>
      <c r="J381" s="172"/>
      <c r="K381" s="172"/>
      <c r="L381" s="172"/>
      <c r="M381" s="172"/>
      <c r="N381" s="172"/>
      <c r="O381" s="172"/>
      <c r="P381" s="172"/>
      <c r="Q381" s="172"/>
      <c r="R381" s="172"/>
      <c r="S381" s="172"/>
      <c r="T381" s="172"/>
      <c r="U381" s="172"/>
      <c r="V381" s="172"/>
      <c r="W381" s="172"/>
      <c r="X381" s="172"/>
      <c r="Y381" s="173"/>
    </row>
    <row r="382" x14ac:dyDescent="0.25">
      <c r="B382" s="754"/>
      <c r="C382" s="172"/>
      <c r="D382" s="185">
        <f t="shared" si="32"/>
        <v>25</v>
      </c>
      <c r="E382" s="1468" t="str">
        <f>'I. Stream &amp; Compound Data'!G286</f>
        <v/>
      </c>
      <c r="F382" s="1393" t="str">
        <f>IF(E382="","",INDEX('I. Stream &amp; Compound Data'!H210:DV210,,$E$354-1))</f>
        <v/>
      </c>
      <c r="G382" s="172"/>
      <c r="H382" s="172"/>
      <c r="I382" s="172"/>
      <c r="J382" s="172"/>
      <c r="K382" s="172"/>
      <c r="L382" s="172"/>
      <c r="M382" s="172"/>
      <c r="N382" s="172"/>
      <c r="O382" s="172"/>
      <c r="P382" s="172"/>
      <c r="Q382" s="172"/>
      <c r="R382" s="172"/>
      <c r="S382" s="172"/>
      <c r="T382" s="172"/>
      <c r="U382" s="172"/>
      <c r="V382" s="172"/>
      <c r="W382" s="172"/>
      <c r="X382" s="172"/>
      <c r="Y382" s="173"/>
    </row>
    <row r="383" x14ac:dyDescent="0.25">
      <c r="B383" s="754"/>
      <c r="C383" s="172"/>
      <c r="D383" s="185">
        <f t="shared" si="32"/>
        <v>26</v>
      </c>
      <c r="E383" s="1468" t="str">
        <f>'I. Stream &amp; Compound Data'!G287</f>
        <v/>
      </c>
      <c r="F383" s="1393" t="str">
        <f>IF(E383="","",INDEX('I. Stream &amp; Compound Data'!H211:DV211,,$E$354-1))</f>
        <v/>
      </c>
      <c r="G383" s="172"/>
      <c r="H383" s="172"/>
      <c r="I383" s="172"/>
      <c r="J383" s="172"/>
      <c r="K383" s="172"/>
      <c r="L383" s="172"/>
      <c r="M383" s="172"/>
      <c r="N383" s="172"/>
      <c r="O383" s="172"/>
      <c r="P383" s="172"/>
      <c r="Q383" s="172"/>
      <c r="R383" s="172"/>
      <c r="S383" s="172"/>
      <c r="T383" s="172"/>
      <c r="U383" s="172"/>
      <c r="V383" s="172"/>
      <c r="W383" s="172"/>
      <c r="X383" s="172"/>
      <c r="Y383" s="173"/>
    </row>
    <row r="384" x14ac:dyDescent="0.25">
      <c r="B384" s="754"/>
      <c r="C384" s="172"/>
      <c r="D384" s="185">
        <f t="shared" si="32"/>
        <v>27</v>
      </c>
      <c r="E384" s="1468" t="str">
        <f>'I. Stream &amp; Compound Data'!G288</f>
        <v/>
      </c>
      <c r="F384" s="1393" t="str">
        <f>IF(E384="","",INDEX('I. Stream &amp; Compound Data'!H212:DV212,,$E$354-1))</f>
        <v/>
      </c>
      <c r="G384" s="172"/>
      <c r="H384" s="172"/>
      <c r="I384" s="172"/>
      <c r="J384" s="172"/>
      <c r="K384" s="172"/>
      <c r="L384" s="172"/>
      <c r="M384" s="172"/>
      <c r="N384" s="172"/>
      <c r="O384" s="172"/>
      <c r="P384" s="172"/>
      <c r="Q384" s="172"/>
      <c r="R384" s="172"/>
      <c r="S384" s="172"/>
      <c r="T384" s="172"/>
      <c r="U384" s="172"/>
      <c r="V384" s="172"/>
      <c r="W384" s="172"/>
      <c r="X384" s="172"/>
      <c r="Y384" s="173"/>
    </row>
    <row r="385" x14ac:dyDescent="0.25">
      <c r="B385" s="754"/>
      <c r="C385" s="172"/>
      <c r="D385" s="185">
        <f t="shared" si="32"/>
        <v>28</v>
      </c>
      <c r="E385" s="1468" t="str">
        <f>'I. Stream &amp; Compound Data'!G289</f>
        <v/>
      </c>
      <c r="F385" s="1393" t="str">
        <f>IF(E385="","",INDEX('I. Stream &amp; Compound Data'!H213:DV213,,$E$354-1))</f>
        <v/>
      </c>
      <c r="G385" s="172"/>
      <c r="H385" s="172"/>
      <c r="I385" s="172"/>
      <c r="J385" s="172"/>
      <c r="K385" s="172"/>
      <c r="L385" s="172"/>
      <c r="M385" s="172"/>
      <c r="N385" s="172"/>
      <c r="O385" s="172"/>
      <c r="P385" s="172"/>
      <c r="Q385" s="172"/>
      <c r="R385" s="172"/>
      <c r="S385" s="172"/>
      <c r="T385" s="172"/>
      <c r="U385" s="172"/>
      <c r="V385" s="172"/>
      <c r="W385" s="172"/>
      <c r="X385" s="172"/>
      <c r="Y385" s="173"/>
    </row>
    <row r="386" x14ac:dyDescent="0.25">
      <c r="B386" s="754"/>
      <c r="C386" s="172"/>
      <c r="D386" s="185">
        <f t="shared" si="32"/>
        <v>29</v>
      </c>
      <c r="E386" s="1468" t="str">
        <f>'I. Stream &amp; Compound Data'!G290</f>
        <v/>
      </c>
      <c r="F386" s="1393" t="str">
        <f>IF(E386="","",INDEX('I. Stream &amp; Compound Data'!H214:DV214,,$E$354-1))</f>
        <v/>
      </c>
      <c r="G386" s="172"/>
      <c r="H386" s="172"/>
      <c r="I386" s="172"/>
      <c r="J386" s="172"/>
      <c r="K386" s="172"/>
      <c r="L386" s="172"/>
      <c r="M386" s="172"/>
      <c r="N386" s="172"/>
      <c r="O386" s="172"/>
      <c r="P386" s="172"/>
      <c r="Q386" s="172"/>
      <c r="R386" s="172"/>
      <c r="S386" s="172"/>
      <c r="T386" s="172"/>
      <c r="U386" s="172"/>
      <c r="V386" s="172"/>
      <c r="W386" s="172"/>
      <c r="X386" s="172"/>
      <c r="Y386" s="173"/>
    </row>
    <row r="387" x14ac:dyDescent="0.25">
      <c r="B387" s="754"/>
      <c r="C387" s="172"/>
      <c r="D387" s="185">
        <f t="shared" si="32"/>
        <v>30</v>
      </c>
      <c r="E387" s="1468" t="str">
        <f>'I. Stream &amp; Compound Data'!G291</f>
        <v/>
      </c>
      <c r="F387" s="1393" t="str">
        <f>IF(E387="","",INDEX('I. Stream &amp; Compound Data'!H215:DV215,,$E$354-1))</f>
        <v/>
      </c>
      <c r="G387" s="172"/>
      <c r="H387" s="172"/>
      <c r="I387" s="172"/>
      <c r="J387" s="172"/>
      <c r="K387" s="172"/>
      <c r="L387" s="172"/>
      <c r="M387" s="172"/>
      <c r="N387" s="172"/>
      <c r="O387" s="172"/>
      <c r="P387" s="172"/>
      <c r="Q387" s="172"/>
      <c r="R387" s="172"/>
      <c r="S387" s="172"/>
      <c r="T387" s="172"/>
      <c r="U387" s="172"/>
      <c r="V387" s="172"/>
      <c r="W387" s="172"/>
      <c r="X387" s="172"/>
      <c r="Y387" s="173"/>
    </row>
    <row r="388" x14ac:dyDescent="0.25">
      <c r="B388" s="754"/>
      <c r="C388" s="172"/>
      <c r="D388" s="185">
        <f t="shared" si="32"/>
        <v>31</v>
      </c>
      <c r="E388" s="1468" t="str">
        <f>'I. Stream &amp; Compound Data'!G292</f>
        <v/>
      </c>
      <c r="F388" s="1393" t="str">
        <f>IF(E388="","",INDEX('I. Stream &amp; Compound Data'!H216:DV216,,$E$354-1))</f>
        <v/>
      </c>
      <c r="G388" s="172"/>
      <c r="H388" s="172"/>
      <c r="I388" s="172"/>
      <c r="J388" s="172"/>
      <c r="K388" s="172"/>
      <c r="L388" s="172"/>
      <c r="M388" s="172"/>
      <c r="N388" s="172"/>
      <c r="O388" s="172"/>
      <c r="P388" s="172"/>
      <c r="Q388" s="172"/>
      <c r="R388" s="172"/>
      <c r="S388" s="172"/>
      <c r="T388" s="172"/>
      <c r="U388" s="172"/>
      <c r="V388" s="172"/>
      <c r="W388" s="172"/>
      <c r="X388" s="172"/>
      <c r="Y388" s="173"/>
    </row>
    <row r="389" x14ac:dyDescent="0.25">
      <c r="B389" s="754"/>
      <c r="C389" s="172"/>
      <c r="D389" s="185">
        <f t="shared" si="32"/>
        <v>32</v>
      </c>
      <c r="E389" s="1468" t="str">
        <f>'I. Stream &amp; Compound Data'!G293</f>
        <v/>
      </c>
      <c r="F389" s="1393" t="str">
        <f>IF(E389="","",INDEX('I. Stream &amp; Compound Data'!H217:DV217,,$E$354-1))</f>
        <v/>
      </c>
      <c r="G389" s="172"/>
      <c r="H389" s="172"/>
      <c r="I389" s="172"/>
      <c r="J389" s="172"/>
      <c r="K389" s="172"/>
      <c r="L389" s="172"/>
      <c r="M389" s="172"/>
      <c r="N389" s="172"/>
      <c r="O389" s="172"/>
      <c r="P389" s="172"/>
      <c r="Q389" s="172"/>
      <c r="R389" s="172"/>
      <c r="S389" s="172"/>
      <c r="T389" s="172"/>
      <c r="U389" s="172"/>
      <c r="V389" s="172"/>
      <c r="W389" s="172"/>
      <c r="X389" s="172"/>
      <c r="Y389" s="173"/>
    </row>
    <row r="390" x14ac:dyDescent="0.25">
      <c r="B390" s="754"/>
      <c r="C390" s="172"/>
      <c r="D390" s="185">
        <f t="shared" si="32"/>
        <v>33</v>
      </c>
      <c r="E390" s="1468" t="str">
        <f>'I. Stream &amp; Compound Data'!G294</f>
        <v/>
      </c>
      <c r="F390" s="1393" t="str">
        <f>IF(E390="","",INDEX('I. Stream &amp; Compound Data'!H218:DV218,,$E$354-1))</f>
        <v/>
      </c>
      <c r="G390" s="172"/>
      <c r="H390" s="172"/>
      <c r="I390" s="172"/>
      <c r="J390" s="172"/>
      <c r="K390" s="172"/>
      <c r="L390" s="172"/>
      <c r="M390" s="172"/>
      <c r="N390" s="172"/>
      <c r="O390" s="172"/>
      <c r="P390" s="172"/>
      <c r="Q390" s="172"/>
      <c r="R390" s="172"/>
      <c r="S390" s="172"/>
      <c r="T390" s="172"/>
      <c r="U390" s="172"/>
      <c r="V390" s="172"/>
      <c r="W390" s="172"/>
      <c r="X390" s="172"/>
      <c r="Y390" s="173"/>
    </row>
    <row r="391" x14ac:dyDescent="0.25">
      <c r="B391" s="754"/>
      <c r="C391" s="172"/>
      <c r="D391" s="185">
        <f t="shared" si="32"/>
        <v>34</v>
      </c>
      <c r="E391" s="1468" t="str">
        <f>'I. Stream &amp; Compound Data'!G295</f>
        <v/>
      </c>
      <c r="F391" s="1393" t="str">
        <f>IF(E391="","",INDEX('I. Stream &amp; Compound Data'!H219:DV219,,$E$354-1))</f>
        <v/>
      </c>
      <c r="G391" s="172"/>
      <c r="H391" s="172"/>
      <c r="I391" s="172"/>
      <c r="J391" s="172"/>
      <c r="K391" s="172"/>
      <c r="L391" s="172"/>
      <c r="M391" s="172"/>
      <c r="N391" s="172"/>
      <c r="O391" s="172"/>
      <c r="P391" s="172"/>
      <c r="Q391" s="172"/>
      <c r="R391" s="172"/>
      <c r="S391" s="172"/>
      <c r="T391" s="172"/>
      <c r="U391" s="172"/>
      <c r="V391" s="172"/>
      <c r="W391" s="172"/>
      <c r="X391" s="172"/>
      <c r="Y391" s="173"/>
    </row>
    <row r="392" x14ac:dyDescent="0.25">
      <c r="B392" s="754"/>
      <c r="C392" s="172"/>
      <c r="D392" s="185">
        <f t="shared" si="32"/>
        <v>35</v>
      </c>
      <c r="E392" s="1468" t="str">
        <f>'I. Stream &amp; Compound Data'!G296</f>
        <v/>
      </c>
      <c r="F392" s="1393" t="str">
        <f>IF(E392="","",INDEX('I. Stream &amp; Compound Data'!H220:DV220,,$E$354-1))</f>
        <v/>
      </c>
      <c r="G392" s="172"/>
      <c r="H392" s="172"/>
      <c r="I392" s="172"/>
      <c r="J392" s="172"/>
      <c r="K392" s="172"/>
      <c r="L392" s="172"/>
      <c r="M392" s="172"/>
      <c r="N392" s="172"/>
      <c r="O392" s="172"/>
      <c r="P392" s="172"/>
      <c r="Q392" s="172"/>
      <c r="R392" s="172"/>
      <c r="S392" s="172"/>
      <c r="T392" s="172"/>
      <c r="U392" s="172"/>
      <c r="V392" s="172"/>
      <c r="W392" s="172"/>
      <c r="X392" s="172"/>
      <c r="Y392" s="173"/>
    </row>
    <row r="393" x14ac:dyDescent="0.25">
      <c r="B393" s="754"/>
      <c r="C393" s="172"/>
      <c r="D393" s="185">
        <f t="shared" si="32"/>
        <v>36</v>
      </c>
      <c r="E393" s="1468" t="str">
        <f>'I. Stream &amp; Compound Data'!G297</f>
        <v/>
      </c>
      <c r="F393" s="1393" t="str">
        <f>IF(E393="","",INDEX('I. Stream &amp; Compound Data'!H221:DV221,,$E$354-1))</f>
        <v/>
      </c>
      <c r="G393" s="172"/>
      <c r="H393" s="172"/>
      <c r="I393" s="172"/>
      <c r="J393" s="172"/>
      <c r="K393" s="172"/>
      <c r="L393" s="172"/>
      <c r="M393" s="172"/>
      <c r="N393" s="172"/>
      <c r="O393" s="172"/>
      <c r="P393" s="172"/>
      <c r="Q393" s="172"/>
      <c r="R393" s="172"/>
      <c r="S393" s="172"/>
      <c r="T393" s="172"/>
      <c r="U393" s="172"/>
      <c r="V393" s="172"/>
      <c r="W393" s="172"/>
      <c r="X393" s="172"/>
      <c r="Y393" s="173"/>
    </row>
    <row r="394" x14ac:dyDescent="0.25">
      <c r="B394" s="754"/>
      <c r="C394" s="172"/>
      <c r="D394" s="185">
        <f t="shared" si="32"/>
        <v>37</v>
      </c>
      <c r="E394" s="1468" t="str">
        <f>'I. Stream &amp; Compound Data'!G298</f>
        <v/>
      </c>
      <c r="F394" s="1393" t="str">
        <f>IF(E394="","",INDEX('I. Stream &amp; Compound Data'!H222:DV222,,$E$354-1))</f>
        <v/>
      </c>
      <c r="G394" s="172"/>
      <c r="H394" s="172"/>
      <c r="I394" s="172"/>
      <c r="J394" s="172"/>
      <c r="K394" s="172"/>
      <c r="L394" s="172"/>
      <c r="M394" s="172"/>
      <c r="N394" s="172"/>
      <c r="O394" s="172"/>
      <c r="P394" s="172"/>
      <c r="Q394" s="172"/>
      <c r="R394" s="172"/>
      <c r="S394" s="172"/>
      <c r="T394" s="172"/>
      <c r="U394" s="172"/>
      <c r="V394" s="172"/>
      <c r="W394" s="172"/>
      <c r="X394" s="172"/>
      <c r="Y394" s="173"/>
    </row>
    <row r="395" x14ac:dyDescent="0.25">
      <c r="B395" s="754"/>
      <c r="C395" s="172"/>
      <c r="D395" s="185">
        <f t="shared" si="32"/>
        <v>38</v>
      </c>
      <c r="E395" s="1468" t="str">
        <f>'I. Stream &amp; Compound Data'!G299</f>
        <v/>
      </c>
      <c r="F395" s="1393" t="str">
        <f>IF(E395="","",INDEX('I. Stream &amp; Compound Data'!H223:DV223,,$E$354-1))</f>
        <v/>
      </c>
      <c r="G395" s="172"/>
      <c r="H395" s="172"/>
      <c r="I395" s="172"/>
      <c r="J395" s="172"/>
      <c r="K395" s="172"/>
      <c r="L395" s="172"/>
      <c r="M395" s="172"/>
      <c r="N395" s="172"/>
      <c r="O395" s="172"/>
      <c r="P395" s="172"/>
      <c r="Q395" s="172"/>
      <c r="R395" s="172"/>
      <c r="S395" s="172"/>
      <c r="T395" s="172"/>
      <c r="U395" s="172"/>
      <c r="V395" s="172"/>
      <c r="W395" s="172"/>
      <c r="X395" s="172"/>
      <c r="Y395" s="173"/>
    </row>
    <row r="396" x14ac:dyDescent="0.25">
      <c r="B396" s="754"/>
      <c r="C396" s="172"/>
      <c r="D396" s="185">
        <f t="shared" si="32"/>
        <v>39</v>
      </c>
      <c r="E396" s="1468" t="str">
        <f>'I. Stream &amp; Compound Data'!G300</f>
        <v/>
      </c>
      <c r="F396" s="1393" t="str">
        <f>IF(E396="","",INDEX('I. Stream &amp; Compound Data'!H224:DV224,,$E$354-1))</f>
        <v/>
      </c>
      <c r="G396" s="172"/>
      <c r="H396" s="172"/>
      <c r="I396" s="172"/>
      <c r="J396" s="172"/>
      <c r="K396" s="172"/>
      <c r="L396" s="172"/>
      <c r="M396" s="172"/>
      <c r="N396" s="172"/>
      <c r="O396" s="172"/>
      <c r="P396" s="172"/>
      <c r="Q396" s="172"/>
      <c r="R396" s="172"/>
      <c r="S396" s="172"/>
      <c r="T396" s="172"/>
      <c r="U396" s="172"/>
      <c r="V396" s="172"/>
      <c r="W396" s="172"/>
      <c r="X396" s="172"/>
      <c r="Y396" s="173"/>
    </row>
    <row r="397" x14ac:dyDescent="0.25">
      <c r="B397" s="754"/>
      <c r="C397" s="172"/>
      <c r="D397" s="185">
        <f t="shared" si="32"/>
        <v>40</v>
      </c>
      <c r="E397" s="1468" t="str">
        <f>'I. Stream &amp; Compound Data'!G301</f>
        <v/>
      </c>
      <c r="F397" s="1393" t="str">
        <f>IF(E397="","",INDEX('I. Stream &amp; Compound Data'!H225:DV225,,$E$354-1))</f>
        <v/>
      </c>
      <c r="G397" s="172"/>
      <c r="H397" s="172"/>
      <c r="I397" s="172"/>
      <c r="J397" s="172"/>
      <c r="K397" s="172"/>
      <c r="L397" s="172"/>
      <c r="M397" s="172"/>
      <c r="N397" s="172"/>
      <c r="O397" s="172"/>
      <c r="P397" s="172"/>
      <c r="Q397" s="172"/>
      <c r="R397" s="172"/>
      <c r="S397" s="172"/>
      <c r="T397" s="172"/>
      <c r="U397" s="172"/>
      <c r="V397" s="172"/>
      <c r="W397" s="172"/>
      <c r="X397" s="172"/>
      <c r="Y397" s="173"/>
    </row>
    <row r="398" x14ac:dyDescent="0.25">
      <c r="B398" s="754"/>
      <c r="C398" s="172"/>
      <c r="D398" s="185">
        <f t="shared" si="32"/>
        <v>41</v>
      </c>
      <c r="E398" s="1468" t="str">
        <f>'I. Stream &amp; Compound Data'!G302</f>
        <v/>
      </c>
      <c r="F398" s="1393" t="str">
        <f>IF(E398="","",INDEX('I. Stream &amp; Compound Data'!H226:DV226,,$E$354-1))</f>
        <v/>
      </c>
      <c r="G398" s="172"/>
      <c r="H398" s="172"/>
      <c r="I398" s="172"/>
      <c r="J398" s="172"/>
      <c r="K398" s="172"/>
      <c r="L398" s="172"/>
      <c r="M398" s="172"/>
      <c r="N398" s="172"/>
      <c r="O398" s="172"/>
      <c r="P398" s="172"/>
      <c r="Q398" s="172"/>
      <c r="R398" s="172"/>
      <c r="S398" s="172"/>
      <c r="T398" s="172"/>
      <c r="U398" s="172"/>
      <c r="V398" s="172"/>
      <c r="W398" s="172"/>
      <c r="X398" s="172"/>
      <c r="Y398" s="173"/>
    </row>
    <row r="399" x14ac:dyDescent="0.25">
      <c r="B399" s="754"/>
      <c r="C399" s="172"/>
      <c r="D399" s="185">
        <f t="shared" si="32"/>
        <v>42</v>
      </c>
      <c r="E399" s="1468" t="str">
        <f>'I. Stream &amp; Compound Data'!G303</f>
        <v/>
      </c>
      <c r="F399" s="1393" t="str">
        <f>IF(E399="","",INDEX('I. Stream &amp; Compound Data'!H227:DV227,,$E$354-1))</f>
        <v/>
      </c>
      <c r="G399" s="172"/>
      <c r="H399" s="172"/>
      <c r="I399" s="172"/>
      <c r="J399" s="172"/>
      <c r="K399" s="172"/>
      <c r="L399" s="172"/>
      <c r="M399" s="172"/>
      <c r="N399" s="172"/>
      <c r="O399" s="172"/>
      <c r="P399" s="172"/>
      <c r="Q399" s="172"/>
      <c r="R399" s="172"/>
      <c r="S399" s="172"/>
      <c r="T399" s="172"/>
      <c r="U399" s="172"/>
      <c r="V399" s="172"/>
      <c r="W399" s="172"/>
      <c r="X399" s="172"/>
      <c r="Y399" s="173"/>
    </row>
    <row r="400" x14ac:dyDescent="0.25">
      <c r="B400" s="754"/>
      <c r="C400" s="172"/>
      <c r="D400" s="185">
        <f t="shared" si="32"/>
        <v>43</v>
      </c>
      <c r="E400" s="1468" t="str">
        <f>'I. Stream &amp; Compound Data'!G304</f>
        <v/>
      </c>
      <c r="F400" s="1393" t="str">
        <f>IF(E400="","",INDEX('I. Stream &amp; Compound Data'!H228:DV228,,$E$354-1))</f>
        <v/>
      </c>
      <c r="G400" s="172"/>
      <c r="H400" s="172"/>
      <c r="I400" s="172"/>
      <c r="J400" s="172"/>
      <c r="K400" s="172"/>
      <c r="L400" s="172"/>
      <c r="M400" s="172"/>
      <c r="N400" s="172"/>
      <c r="O400" s="172"/>
      <c r="P400" s="172"/>
      <c r="Q400" s="172"/>
      <c r="R400" s="172"/>
      <c r="S400" s="172"/>
      <c r="T400" s="172"/>
      <c r="U400" s="172"/>
      <c r="V400" s="172"/>
      <c r="W400" s="172"/>
      <c r="X400" s="172"/>
      <c r="Y400" s="173"/>
    </row>
    <row r="401" x14ac:dyDescent="0.25">
      <c r="B401" s="754"/>
      <c r="C401" s="172"/>
      <c r="D401" s="185">
        <f t="shared" si="32"/>
        <v>44</v>
      </c>
      <c r="E401" s="1468" t="str">
        <f>'I. Stream &amp; Compound Data'!G305</f>
        <v/>
      </c>
      <c r="F401" s="1393" t="str">
        <f>IF(E401="","",INDEX('I. Stream &amp; Compound Data'!H229:DV229,,$E$354-1))</f>
        <v/>
      </c>
      <c r="G401" s="172"/>
      <c r="H401" s="172"/>
      <c r="I401" s="172"/>
      <c r="J401" s="172"/>
      <c r="K401" s="172"/>
      <c r="L401" s="172"/>
      <c r="M401" s="172"/>
      <c r="N401" s="172"/>
      <c r="O401" s="172"/>
      <c r="P401" s="172"/>
      <c r="Q401" s="172"/>
      <c r="R401" s="172"/>
      <c r="S401" s="172"/>
      <c r="T401" s="172"/>
      <c r="U401" s="172"/>
      <c r="V401" s="172"/>
      <c r="W401" s="172"/>
      <c r="X401" s="172"/>
      <c r="Y401" s="173"/>
    </row>
    <row r="402" x14ac:dyDescent="0.25">
      <c r="B402" s="754"/>
      <c r="C402" s="172"/>
      <c r="D402" s="185">
        <f t="shared" si="32"/>
        <v>45</v>
      </c>
      <c r="E402" s="1468" t="str">
        <f>'I. Stream &amp; Compound Data'!G306</f>
        <v/>
      </c>
      <c r="F402" s="1393" t="str">
        <f>IF(E402="","",INDEX('I. Stream &amp; Compound Data'!H230:DV230,,$E$354-1))</f>
        <v/>
      </c>
      <c r="G402" s="172"/>
      <c r="H402" s="172"/>
      <c r="I402" s="172"/>
      <c r="J402" s="172"/>
      <c r="K402" s="172"/>
      <c r="L402" s="172"/>
      <c r="M402" s="172"/>
      <c r="N402" s="172"/>
      <c r="O402" s="172"/>
      <c r="P402" s="172"/>
      <c r="Q402" s="172"/>
      <c r="R402" s="172"/>
      <c r="S402" s="172"/>
      <c r="T402" s="172"/>
      <c r="U402" s="172"/>
      <c r="V402" s="172"/>
      <c r="W402" s="172"/>
      <c r="X402" s="172"/>
      <c r="Y402" s="173"/>
    </row>
    <row r="403" x14ac:dyDescent="0.25">
      <c r="B403" s="754"/>
      <c r="C403" s="172"/>
      <c r="D403" s="185">
        <f t="shared" si="32"/>
        <v>46</v>
      </c>
      <c r="E403" s="1468" t="str">
        <f>'I. Stream &amp; Compound Data'!G307</f>
        <v/>
      </c>
      <c r="F403" s="1393" t="str">
        <f>IF(E403="","",INDEX('I. Stream &amp; Compound Data'!H231:DV231,,$E$354-1))</f>
        <v/>
      </c>
      <c r="G403" s="172"/>
      <c r="H403" s="172"/>
      <c r="I403" s="172"/>
      <c r="J403" s="172"/>
      <c r="K403" s="172"/>
      <c r="L403" s="172"/>
      <c r="M403" s="172"/>
      <c r="N403" s="172"/>
      <c r="O403" s="172"/>
      <c r="P403" s="172"/>
      <c r="Q403" s="172"/>
      <c r="R403" s="172"/>
      <c r="S403" s="172"/>
      <c r="T403" s="172"/>
      <c r="U403" s="172"/>
      <c r="V403" s="172"/>
      <c r="W403" s="172"/>
      <c r="X403" s="172"/>
      <c r="Y403" s="173"/>
    </row>
    <row r="404" x14ac:dyDescent="0.25">
      <c r="B404" s="754"/>
      <c r="C404" s="172"/>
      <c r="D404" s="185">
        <f t="shared" si="32"/>
        <v>47</v>
      </c>
      <c r="E404" s="1468" t="str">
        <f>'I. Stream &amp; Compound Data'!G308</f>
        <v/>
      </c>
      <c r="F404" s="1393" t="str">
        <f>IF(E404="","",INDEX('I. Stream &amp; Compound Data'!H232:DV232,,$E$354-1))</f>
        <v/>
      </c>
      <c r="G404" s="172"/>
      <c r="H404" s="172"/>
      <c r="I404" s="172"/>
      <c r="J404" s="172"/>
      <c r="K404" s="172"/>
      <c r="L404" s="172"/>
      <c r="M404" s="172"/>
      <c r="N404" s="172"/>
      <c r="O404" s="172"/>
      <c r="P404" s="172"/>
      <c r="Q404" s="172"/>
      <c r="R404" s="172"/>
      <c r="S404" s="172"/>
      <c r="T404" s="172"/>
      <c r="U404" s="172"/>
      <c r="V404" s="172"/>
      <c r="W404" s="172"/>
      <c r="X404" s="172"/>
      <c r="Y404" s="173"/>
    </row>
    <row r="405" x14ac:dyDescent="0.25">
      <c r="B405" s="754"/>
      <c r="C405" s="172"/>
      <c r="D405" s="185">
        <f t="shared" si="32"/>
        <v>48</v>
      </c>
      <c r="E405" s="1468" t="str">
        <f>'I. Stream &amp; Compound Data'!G309</f>
        <v/>
      </c>
      <c r="F405" s="1393" t="str">
        <f>IF(E405="","",INDEX('I. Stream &amp; Compound Data'!H233:DV233,,$E$354-1))</f>
        <v/>
      </c>
      <c r="G405" s="172"/>
      <c r="H405" s="172"/>
      <c r="I405" s="172"/>
      <c r="J405" s="172"/>
      <c r="K405" s="172"/>
      <c r="L405" s="172"/>
      <c r="M405" s="172"/>
      <c r="N405" s="172"/>
      <c r="O405" s="172"/>
      <c r="P405" s="172"/>
      <c r="Q405" s="172"/>
      <c r="R405" s="172"/>
      <c r="S405" s="172"/>
      <c r="T405" s="172"/>
      <c r="U405" s="172"/>
      <c r="V405" s="172"/>
      <c r="W405" s="172"/>
      <c r="X405" s="172"/>
      <c r="Y405" s="173"/>
    </row>
    <row r="406" x14ac:dyDescent="0.25">
      <c r="B406" s="754"/>
      <c r="C406" s="172"/>
      <c r="D406" s="185">
        <f t="shared" si="32"/>
        <v>49</v>
      </c>
      <c r="E406" s="1468" t="str">
        <f>'I. Stream &amp; Compound Data'!G310</f>
        <v/>
      </c>
      <c r="F406" s="1393" t="str">
        <f>IF(E406="","",INDEX('I. Stream &amp; Compound Data'!H234:DV234,,$E$354-1))</f>
        <v/>
      </c>
      <c r="G406" s="172"/>
      <c r="H406" s="172"/>
      <c r="I406" s="172"/>
      <c r="J406" s="172"/>
      <c r="K406" s="172"/>
      <c r="L406" s="172"/>
      <c r="M406" s="172"/>
      <c r="N406" s="172"/>
      <c r="O406" s="172"/>
      <c r="P406" s="172"/>
      <c r="Q406" s="172"/>
      <c r="R406" s="172"/>
      <c r="S406" s="172"/>
      <c r="T406" s="172"/>
      <c r="U406" s="172"/>
      <c r="V406" s="172"/>
      <c r="W406" s="172"/>
      <c r="X406" s="172"/>
      <c r="Y406" s="173"/>
    </row>
    <row r="407" ht="15.6" thickBot="true" x14ac:dyDescent="0.3">
      <c r="B407" s="754"/>
      <c r="C407" s="172"/>
      <c r="D407" s="1459">
        <f t="shared" si="32"/>
        <v>50</v>
      </c>
      <c r="E407" s="1469" t="str">
        <f>'I. Stream &amp; Compound Data'!G311</f>
        <v/>
      </c>
      <c r="F407" s="1398" t="str">
        <f>IF(E407="","",INDEX('I. Stream &amp; Compound Data'!H235:DV235,,$E$354-1))</f>
        <v/>
      </c>
      <c r="G407" s="172"/>
      <c r="H407" s="172"/>
      <c r="I407" s="172"/>
      <c r="J407" s="172"/>
      <c r="K407" s="172"/>
      <c r="L407" s="172"/>
      <c r="M407" s="172"/>
      <c r="N407" s="172"/>
      <c r="O407" s="172"/>
      <c r="P407" s="172"/>
      <c r="Q407" s="172"/>
      <c r="R407" s="172"/>
      <c r="S407" s="172"/>
      <c r="T407" s="172"/>
      <c r="U407" s="172"/>
      <c r="V407" s="172"/>
      <c r="W407" s="172"/>
      <c r="X407" s="172"/>
      <c r="Y407" s="173"/>
    </row>
    <row r="408" ht="15.6" thickBot="true" x14ac:dyDescent="0.3">
      <c r="B408" s="755"/>
      <c r="C408" s="756"/>
      <c r="D408" s="756"/>
      <c r="E408" s="756"/>
      <c r="F408" s="756"/>
      <c r="G408" s="756"/>
      <c r="H408" s="756"/>
      <c r="I408" s="756"/>
      <c r="J408" s="756"/>
      <c r="K408" s="756"/>
      <c r="L408" s="756"/>
      <c r="M408" s="756"/>
      <c r="N408" s="756"/>
      <c r="O408" s="756"/>
      <c r="P408" s="756"/>
      <c r="Q408" s="756"/>
      <c r="R408" s="756"/>
      <c r="S408" s="756"/>
      <c r="T408" s="756"/>
      <c r="U408" s="756"/>
      <c r="V408" s="756"/>
      <c r="W408" s="756"/>
      <c r="X408" s="756"/>
      <c r="Y408" s="757"/>
    </row>
    <row r="507" x14ac:dyDescent="0.25">
      <c r="O507"/>
    </row>
    <row r="508" x14ac:dyDescent="0.25">
      <c r="O508"/>
    </row>
    <row r="509" x14ac:dyDescent="0.25">
      <c r="O509"/>
    </row>
    <row r="510" x14ac:dyDescent="0.25">
      <c r="O510"/>
    </row>
    <row r="511" x14ac:dyDescent="0.25">
      <c r="O511"/>
    </row>
    <row r="514" x14ac:dyDescent="0.25">
      <c r="O514"/>
    </row>
    <row r="515" x14ac:dyDescent="0.25">
      <c r="O515"/>
    </row>
    <row r="516" x14ac:dyDescent="0.25">
      <c r="O516"/>
    </row>
    <row r="517" x14ac:dyDescent="0.25">
      <c r="O517"/>
    </row>
    <row r="518" x14ac:dyDescent="0.25">
      <c r="O518"/>
    </row>
    <row r="522" x14ac:dyDescent="0.25">
      <c r="O522"/>
    </row>
    <row r="523" x14ac:dyDescent="0.25">
      <c r="O523"/>
    </row>
    <row r="524" x14ac:dyDescent="0.25">
      <c r="O524"/>
    </row>
    <row r="525" x14ac:dyDescent="0.25">
      <c r="O525"/>
    </row>
    <row r="526" x14ac:dyDescent="0.25">
      <c r="O526"/>
    </row>
    <row r="527" x14ac:dyDescent="0.25">
      <c r="O527"/>
    </row>
    <row r="528" x14ac:dyDescent="0.25">
      <c r="O528"/>
    </row>
    <row r="529" x14ac:dyDescent="0.25">
      <c r="O529"/>
    </row>
    <row r="530" x14ac:dyDescent="0.25">
      <c r="O530"/>
    </row>
    <row r="531" x14ac:dyDescent="0.25">
      <c r="O531"/>
    </row>
  </sheetData>
  <sheetProtection sheet="true" objects="true" scenarios="true"/>
  <protectedRanges>
    <protectedRange sqref="E176" name="Range1_1_1"/>
    <protectedRange sqref="E178" name="Range1_1_1_1"/>
    <protectedRange sqref="E179" name="Range1_2_1"/>
    <protectedRange sqref="E180:E181" name="Range1_3_1"/>
  </protectedRanges>
  <scenarios current="0" show="0">
    <scenario name="gdgfgf" locked="true" count="1" user="ctsuser" comment="Created by ctsuser on 12/3/2012">
      <inputCells r="E13" val="1, 2, 3"/>
    </scenario>
  </scenarios>
  <dataConsolidate/>
  <mergeCells count="22">
    <mergeCell ref="D356:D357"/>
    <mergeCell ref="E356:E357"/>
    <mergeCell ref="F356:F357"/>
    <mergeCell ref="D3:I3"/>
    <mergeCell ref="D159:F159"/>
    <mergeCell ref="D160:F160"/>
    <mergeCell ref="D168:F168"/>
    <mergeCell ref="D161:F161"/>
    <mergeCell ref="D162:F162"/>
    <mergeCell ref="D163:F163"/>
    <mergeCell ref="D164:F164"/>
    <mergeCell ref="D167:F167"/>
    <mergeCell ref="D154:F154"/>
    <mergeCell ref="D155:F155"/>
    <mergeCell ref="D156:F156"/>
    <mergeCell ref="D157:F157"/>
    <mergeCell ref="D158:F158"/>
    <mergeCell ref="D192:E192"/>
    <mergeCell ref="D165:F165"/>
    <mergeCell ref="D166:F166"/>
    <mergeCell ref="D169:F169"/>
    <mergeCell ref="B188:H188"/>
  </mergeCells>
  <dataValidations count="3">
    <dataValidation type="list" allowBlank="true" showInputMessage="true" showErrorMessage="true" sqref="G89:X89 G104:X104 H43:X43 I28:X28 F74:X74 I13:X13 E120:X120 G58:H58 I59:X59">
      <formula1>"1,2,3, ""N/A"""</formula1>
    </dataValidation>
    <dataValidation type="list" allowBlank="true" showInputMessage="true" showErrorMessage="true" promptTitle="Subprocess Equipment" prompt="1: Equipment for Waste Treatment_x000a_2: Equipment for Solvent Recovery_x000a_3: Equipment for Recycling" sqref="E104:F104 E89:F89 E58:F58 E74 E43:G43 F13:H13 E28:H28">
      <formula1>"1,2,3, ""N/A"""</formula1>
    </dataValidation>
    <dataValidation type="list" allowBlank="true" showInputMessage="true" showErrorMessage="true" promptTitle="Subprocess Equipment" prompt="1: Equipment for Waste Treatment_x000a_2: Equipment for Solvent Recovery_x000a_3: Equipment for Recycling" sqref="E13">
      <formula1>"1,2,3, ""N/A"","</formula1>
    </dataValidation>
  </dataValidations>
  <pageMargins left="0.7" right="0.7" top="0.75" bottom="0.75" header="0.3" footer="0.3"/>
  <pageSetup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1"/>
  <dimension ref="A3:Q140"/>
  <sheetViews>
    <sheetView zoomScale="70" zoomScaleNormal="70" workbookViewId="0">
      <selection activeCell="C56" sqref="C56"/>
    </sheetView>
  </sheetViews>
  <sheetFormatPr defaultColWidth="9.109375" defaultRowHeight="13.2" x14ac:dyDescent="0.25"/>
  <cols>
    <col min="2" max="3" width="12.5546875" customWidth="true"/>
    <col min="5" max="5" width="37.88671875" customWidth="true"/>
    <col min="6" max="6" width="19.5546875" customWidth="true"/>
    <col min="7" max="7" width="22.44140625" customWidth="true"/>
    <col min="8" max="8" width="23.6640625" customWidth="true"/>
    <col min="9" max="9" width="31.88671875" customWidth="true"/>
    <col min="10" max="10" width="33.5546875" customWidth="true"/>
    <col min="11" max="12" width="22.88671875" customWidth="true"/>
    <col min="13" max="13" width="22.6640625" customWidth="true"/>
    <col min="14" max="14" width="20.109375" customWidth="true"/>
  </cols>
  <sheetData>
    <row r="3" ht="45" x14ac:dyDescent="0.25">
      <c r="D3" s="1709" t="s">
        <v>1830</v>
      </c>
      <c r="E3" s="1709"/>
      <c r="F3" s="1709"/>
      <c r="G3" s="1709"/>
      <c r="H3" s="1709"/>
      <c r="I3" s="1709"/>
      <c r="J3" s="1709"/>
    </row>
    <row r="4" ht="21.75" customHeight="true" x14ac:dyDescent="0.25"/>
    <row r="5" ht="21.75" customHeight="true" x14ac:dyDescent="0.25">
      <c r="E5" s="8"/>
      <c r="J5" s="8"/>
      <c r="K5" s="8"/>
      <c r="L5" s="8"/>
      <c r="M5" s="8"/>
    </row>
    <row r="6" ht="27.75" customHeight="true" x14ac:dyDescent="0.5">
      <c r="E6" s="43" t="s">
        <v>2215</v>
      </c>
      <c r="F6" s="1834" t="s">
        <v>2217</v>
      </c>
      <c r="G6" s="1834"/>
      <c r="H6" s="1834"/>
      <c r="I6" s="725"/>
      <c r="L6" s="8"/>
      <c r="M6" s="8"/>
    </row>
    <row r="7" ht="27.75" customHeight="true" thickBot="true" x14ac:dyDescent="0.55000000000000004">
      <c r="E7" s="43"/>
      <c r="F7" s="1167"/>
      <c r="G7" s="1167"/>
      <c r="H7" s="1167"/>
      <c r="I7" s="725"/>
      <c r="L7" s="8"/>
      <c r="M7" s="8"/>
    </row>
    <row r="8" ht="38.4" thickBot="true" x14ac:dyDescent="0.45">
      <c r="A8" s="726"/>
      <c r="B8" s="1848" t="s">
        <v>2356</v>
      </c>
      <c r="C8" s="1849"/>
      <c r="D8" s="155"/>
      <c r="E8" s="167"/>
      <c r="F8" s="155"/>
      <c r="G8" s="155"/>
      <c r="H8" s="155"/>
      <c r="I8" s="155"/>
      <c r="J8" s="142"/>
      <c r="K8" s="142"/>
      <c r="L8" s="142"/>
      <c r="M8" s="142"/>
      <c r="N8" s="155"/>
      <c r="O8" s="727"/>
    </row>
    <row r="9" s="728" customFormat="true" ht="64.5" customHeight="true" x14ac:dyDescent="0.25">
      <c r="B9" s="729"/>
      <c r="C9" s="730"/>
      <c r="D9" s="730"/>
      <c r="E9" s="1852" t="s">
        <v>1214</v>
      </c>
      <c r="F9" s="1853"/>
      <c r="G9" s="39" t="s">
        <v>1218</v>
      </c>
      <c r="H9" s="39" t="s">
        <v>1216</v>
      </c>
      <c r="I9" s="40" t="s">
        <v>1850</v>
      </c>
      <c r="J9" s="169" t="s">
        <v>1851</v>
      </c>
      <c r="K9" s="169" t="s">
        <v>1608</v>
      </c>
      <c r="L9" s="196" t="s">
        <v>1215</v>
      </c>
      <c r="M9" s="196" t="s">
        <v>1221</v>
      </c>
      <c r="N9" s="41" t="s">
        <v>2179</v>
      </c>
      <c r="O9" s="731"/>
    </row>
    <row r="10" ht="18" customHeight="true" x14ac:dyDescent="0.25">
      <c r="B10" s="656"/>
      <c r="C10" s="557"/>
      <c r="D10" s="557"/>
      <c r="E10" s="1837" t="s">
        <v>1609</v>
      </c>
      <c r="F10" s="1838"/>
      <c r="G10" s="1121">
        <v>2.9589999999999998E-2</v>
      </c>
      <c r="H10" s="1121">
        <v>14.83</v>
      </c>
      <c r="I10" s="1122"/>
      <c r="J10" s="168">
        <f>J44+I10</f>
        <v>0</v>
      </c>
      <c r="K10" s="1437">
        <f>J10*8766</f>
        <v>0</v>
      </c>
      <c r="L10" s="1437">
        <f>G10*J10</f>
        <v>0</v>
      </c>
      <c r="M10" s="1438">
        <f t="shared" ref="M10:M24" si="0">L10*8766</f>
        <v>0</v>
      </c>
      <c r="N10" s="1114"/>
      <c r="O10" s="563"/>
    </row>
    <row r="11" ht="34.5" customHeight="true" x14ac:dyDescent="0.25">
      <c r="B11" s="656"/>
      <c r="C11" s="557"/>
      <c r="D11" s="557"/>
      <c r="E11" s="1837" t="s">
        <v>1610</v>
      </c>
      <c r="F11" s="1838"/>
      <c r="G11" s="1121">
        <v>1.85E-4</v>
      </c>
      <c r="H11" s="1121">
        <v>4.43</v>
      </c>
      <c r="I11" s="1122"/>
      <c r="J11" s="168">
        <f>J45+I11</f>
        <v>0</v>
      </c>
      <c r="K11" s="1437">
        <f t="shared" ref="K11:K24" si="1">J11*8766</f>
        <v>0</v>
      </c>
      <c r="L11" s="1437">
        <f t="shared" ref="L11:L24" si="2">G11*J11</f>
        <v>0</v>
      </c>
      <c r="M11" s="1438">
        <f t="shared" si="0"/>
        <v>0</v>
      </c>
      <c r="N11" s="1125" t="s">
        <v>1158</v>
      </c>
      <c r="O11" s="563"/>
    </row>
    <row r="12" ht="30" customHeight="true" x14ac:dyDescent="0.25">
      <c r="B12" s="656"/>
      <c r="C12" s="557"/>
      <c r="D12" s="557"/>
      <c r="E12" s="1837" t="s">
        <v>1611</v>
      </c>
      <c r="F12" s="1838"/>
      <c r="G12" s="1121">
        <v>6.7000000000000002E-5</v>
      </c>
      <c r="H12" s="1108"/>
      <c r="I12" s="1122"/>
      <c r="J12" s="1437">
        <f>I12</f>
        <v>0</v>
      </c>
      <c r="K12" s="1437">
        <f t="shared" si="1"/>
        <v>0</v>
      </c>
      <c r="L12" s="1437">
        <f t="shared" si="2"/>
        <v>0</v>
      </c>
      <c r="M12" s="1438">
        <f t="shared" si="0"/>
        <v>0</v>
      </c>
      <c r="N12" s="1125" t="s">
        <v>1158</v>
      </c>
      <c r="O12" s="563"/>
    </row>
    <row r="13" ht="18" customHeight="true" x14ac:dyDescent="0.25">
      <c r="B13" s="656"/>
      <c r="C13" s="557"/>
      <c r="D13" s="557"/>
      <c r="E13" s="1837" t="s">
        <v>1612</v>
      </c>
      <c r="F13" s="1838"/>
      <c r="G13" s="1121">
        <v>2.4499999999999999E-3</v>
      </c>
      <c r="H13" s="1108"/>
      <c r="I13" s="1122"/>
      <c r="J13" s="1437">
        <f>I13</f>
        <v>0</v>
      </c>
      <c r="K13" s="1437">
        <f t="shared" si="1"/>
        <v>0</v>
      </c>
      <c r="L13" s="1437">
        <f t="shared" si="2"/>
        <v>0</v>
      </c>
      <c r="M13" s="1438">
        <f t="shared" si="0"/>
        <v>0</v>
      </c>
      <c r="N13" s="1125" t="s">
        <v>1158</v>
      </c>
      <c r="O13" s="563"/>
    </row>
    <row r="14" ht="18" customHeight="true" x14ac:dyDescent="0.25">
      <c r="B14" s="656"/>
      <c r="C14" s="557"/>
      <c r="D14" s="557"/>
      <c r="E14" s="1837" t="s">
        <v>1613</v>
      </c>
      <c r="F14" s="1838"/>
      <c r="G14" s="1121">
        <v>2.5999999999999998E-4</v>
      </c>
      <c r="H14" s="1108"/>
      <c r="I14" s="1122"/>
      <c r="J14" s="1437">
        <f>I14</f>
        <v>0</v>
      </c>
      <c r="K14" s="1437">
        <f>J14*8766</f>
        <v>0</v>
      </c>
      <c r="L14" s="1437">
        <f t="shared" si="2"/>
        <v>0</v>
      </c>
      <c r="M14" s="1438">
        <f t="shared" si="0"/>
        <v>0</v>
      </c>
      <c r="N14" s="1125" t="s">
        <v>1158</v>
      </c>
      <c r="O14" s="563"/>
    </row>
    <row r="15" ht="18" customHeight="true" x14ac:dyDescent="0.25">
      <c r="B15" s="656"/>
      <c r="C15" s="557"/>
      <c r="D15" s="557"/>
      <c r="E15" s="1837" t="s">
        <v>1614</v>
      </c>
      <c r="F15" s="1838"/>
      <c r="G15" s="1121">
        <v>1E-3</v>
      </c>
      <c r="H15" s="1108"/>
      <c r="I15" s="1122"/>
      <c r="J15" s="1437">
        <f>I15</f>
        <v>0</v>
      </c>
      <c r="K15" s="1437">
        <f t="shared" si="1"/>
        <v>0</v>
      </c>
      <c r="L15" s="1437">
        <f t="shared" si="2"/>
        <v>0</v>
      </c>
      <c r="M15" s="1438">
        <f t="shared" si="0"/>
        <v>0</v>
      </c>
      <c r="N15" s="1125" t="s">
        <v>1158</v>
      </c>
      <c r="O15" s="563"/>
    </row>
    <row r="16" ht="18" customHeight="true" x14ac:dyDescent="0.25">
      <c r="B16" s="656"/>
      <c r="C16" s="557"/>
      <c r="D16" s="557"/>
      <c r="E16" s="1854" t="s">
        <v>1217</v>
      </c>
      <c r="F16" s="1855"/>
      <c r="G16" s="1121">
        <v>0.06</v>
      </c>
      <c r="H16" s="1108">
        <v>16.8</v>
      </c>
      <c r="I16" s="1122"/>
      <c r="J16" s="1437">
        <f>J46+I16</f>
        <v>0</v>
      </c>
      <c r="K16" s="1437">
        <f t="shared" si="1"/>
        <v>0</v>
      </c>
      <c r="L16" s="1437">
        <f>G16*J16</f>
        <v>0</v>
      </c>
      <c r="M16" s="1438">
        <f t="shared" si="0"/>
        <v>0</v>
      </c>
      <c r="N16" s="1114"/>
      <c r="O16" s="563"/>
    </row>
    <row r="17" ht="18" customHeight="true" x14ac:dyDescent="0.25">
      <c r="B17" s="656"/>
      <c r="C17" s="557"/>
      <c r="D17" s="557"/>
      <c r="E17" s="1837" t="s">
        <v>1615</v>
      </c>
      <c r="F17" s="1838"/>
      <c r="G17" s="1121">
        <v>3.5999999999999997E-2</v>
      </c>
      <c r="H17" s="1108"/>
      <c r="I17" s="1122"/>
      <c r="J17" s="1437">
        <f>'Solid Estimation'!Q55-J19+I17</f>
        <v>0</v>
      </c>
      <c r="K17" s="1437">
        <f t="shared" si="1"/>
        <v>0</v>
      </c>
      <c r="L17" s="1437">
        <f t="shared" si="2"/>
        <v>0</v>
      </c>
      <c r="M17" s="1438">
        <f t="shared" si="0"/>
        <v>0</v>
      </c>
      <c r="N17" s="1114"/>
      <c r="O17" s="563"/>
    </row>
    <row r="18" ht="18" customHeight="true" x14ac:dyDescent="0.25">
      <c r="B18" s="656"/>
      <c r="C18" s="557"/>
      <c r="D18" s="557"/>
      <c r="E18" s="1837" t="s">
        <v>1616</v>
      </c>
      <c r="F18" s="1838"/>
      <c r="G18" s="1121">
        <v>3.5999999999999997E-2</v>
      </c>
      <c r="H18" s="1108"/>
      <c r="I18" s="1122"/>
      <c r="J18" s="1437">
        <f>'Solid Estimation'!G184-J20+I18</f>
        <v>0</v>
      </c>
      <c r="K18" s="1437">
        <f t="shared" si="1"/>
        <v>0</v>
      </c>
      <c r="L18" s="1437">
        <f t="shared" si="2"/>
        <v>0</v>
      </c>
      <c r="M18" s="1438">
        <f t="shared" si="0"/>
        <v>0</v>
      </c>
      <c r="N18" s="1114"/>
      <c r="O18" s="563"/>
    </row>
    <row r="19" ht="18" customHeight="true" x14ac:dyDescent="0.25">
      <c r="B19" s="656"/>
      <c r="C19" s="557"/>
      <c r="D19" s="557"/>
      <c r="E19" s="1837" t="s">
        <v>1617</v>
      </c>
      <c r="F19" s="1838"/>
      <c r="G19" s="1121">
        <v>1.1000000000000001</v>
      </c>
      <c r="H19" s="1108"/>
      <c r="I19" s="1122"/>
      <c r="J19" s="1437">
        <f>'Solid Estimation'!P113+I19</f>
        <v>0</v>
      </c>
      <c r="K19" s="1437">
        <f t="shared" si="1"/>
        <v>0</v>
      </c>
      <c r="L19" s="1437">
        <f t="shared" si="2"/>
        <v>0</v>
      </c>
      <c r="M19" s="1438">
        <f t="shared" si="0"/>
        <v>0</v>
      </c>
      <c r="N19" s="1114"/>
      <c r="O19" s="563"/>
    </row>
    <row r="20" ht="18" customHeight="true" x14ac:dyDescent="0.25">
      <c r="B20" s="656"/>
      <c r="C20" s="557"/>
      <c r="D20" s="557"/>
      <c r="E20" s="1837" t="s">
        <v>1618</v>
      </c>
      <c r="F20" s="1838"/>
      <c r="G20" s="1121">
        <v>1.1000000000000001</v>
      </c>
      <c r="H20" s="1108"/>
      <c r="I20" s="1122"/>
      <c r="J20" s="1437">
        <f>'Solid Estimation'!G185+I20</f>
        <v>0</v>
      </c>
      <c r="K20" s="1437">
        <f t="shared" si="1"/>
        <v>0</v>
      </c>
      <c r="L20" s="1437">
        <f t="shared" si="2"/>
        <v>0</v>
      </c>
      <c r="M20" s="1438">
        <f t="shared" si="0"/>
        <v>0</v>
      </c>
      <c r="N20" s="1114"/>
      <c r="O20" s="563"/>
    </row>
    <row r="21" ht="18" customHeight="true" x14ac:dyDescent="0.25">
      <c r="B21" s="656"/>
      <c r="C21" s="557"/>
      <c r="D21" s="557"/>
      <c r="E21" s="1841" t="s">
        <v>1619</v>
      </c>
      <c r="F21" s="1842"/>
      <c r="G21" s="1121">
        <v>4.1E-5</v>
      </c>
      <c r="H21" s="1108"/>
      <c r="I21" s="1122"/>
      <c r="J21" s="168">
        <f>I21+'Solid Estimation'!$G$184/3</f>
        <v>0</v>
      </c>
      <c r="K21" s="1437">
        <f t="shared" si="1"/>
        <v>0</v>
      </c>
      <c r="L21" s="1437">
        <f>G21*J21</f>
        <v>0</v>
      </c>
      <c r="M21" s="1438">
        <f t="shared" si="0"/>
        <v>0</v>
      </c>
      <c r="N21" s="1114"/>
      <c r="O21" s="563"/>
    </row>
    <row r="22" ht="18" customHeight="true" x14ac:dyDescent="0.25">
      <c r="B22" s="656"/>
      <c r="C22" s="557"/>
      <c r="D22" s="557"/>
      <c r="E22" s="1841" t="s">
        <v>1620</v>
      </c>
      <c r="F22" s="1842"/>
      <c r="G22" s="1121">
        <v>4.2999999999999995E-5</v>
      </c>
      <c r="H22" s="1108"/>
      <c r="I22" s="1122"/>
      <c r="J22" s="168">
        <f>I22+'Solid Estimation'!$G$184/3</f>
        <v>0</v>
      </c>
      <c r="K22" s="1437">
        <f t="shared" si="1"/>
        <v>0</v>
      </c>
      <c r="L22" s="1437">
        <f t="shared" si="2"/>
        <v>0</v>
      </c>
      <c r="M22" s="1438">
        <f t="shared" si="0"/>
        <v>0</v>
      </c>
      <c r="N22" s="1114"/>
      <c r="O22" s="563"/>
    </row>
    <row r="23" ht="18" customHeight="true" x14ac:dyDescent="0.25">
      <c r="B23" s="656"/>
      <c r="C23" s="557"/>
      <c r="D23" s="557"/>
      <c r="E23" s="1841" t="s">
        <v>1621</v>
      </c>
      <c r="F23" s="1842"/>
      <c r="G23" s="1121">
        <v>5.5999999999999999E-5</v>
      </c>
      <c r="H23" s="1108"/>
      <c r="I23" s="1122"/>
      <c r="J23" s="168">
        <f>I23+'Solid Estimation'!$G$184/3</f>
        <v>0</v>
      </c>
      <c r="K23" s="1437">
        <f t="shared" si="1"/>
        <v>0</v>
      </c>
      <c r="L23" s="1437">
        <f t="shared" si="2"/>
        <v>0</v>
      </c>
      <c r="M23" s="1438">
        <f t="shared" si="0"/>
        <v>0</v>
      </c>
      <c r="N23" s="1114"/>
      <c r="O23" s="563"/>
    </row>
    <row r="24" ht="18" customHeight="true" x14ac:dyDescent="0.25">
      <c r="B24" s="656"/>
      <c r="C24" s="557"/>
      <c r="D24" s="557"/>
      <c r="E24" s="1839" t="s">
        <v>1622</v>
      </c>
      <c r="F24" s="1840"/>
      <c r="G24" s="1121">
        <v>5.6000000000000001E-2</v>
      </c>
      <c r="H24" s="1121"/>
      <c r="I24" s="1122"/>
      <c r="J24" s="168">
        <f>'Solid Estimation'!G187+I24</f>
        <v>0</v>
      </c>
      <c r="K24" s="1437">
        <f t="shared" si="1"/>
        <v>0</v>
      </c>
      <c r="L24" s="1437">
        <f t="shared" si="2"/>
        <v>0</v>
      </c>
      <c r="M24" s="1438">
        <f t="shared" si="0"/>
        <v>0</v>
      </c>
      <c r="N24" s="1114"/>
      <c r="O24" s="563"/>
    </row>
    <row r="25" ht="18" customHeight="true" thickBot="true" x14ac:dyDescent="0.3">
      <c r="B25" s="656"/>
      <c r="C25" s="557"/>
      <c r="D25" s="557"/>
      <c r="E25" s="1856" t="s">
        <v>2387</v>
      </c>
      <c r="F25" s="1857"/>
      <c r="G25" s="1123"/>
      <c r="H25" s="1123">
        <v>1.72</v>
      </c>
      <c r="I25" s="1124"/>
      <c r="J25" s="1439">
        <f>I25</f>
        <v>0</v>
      </c>
      <c r="K25" s="1439">
        <f>J25*8766</f>
        <v>0</v>
      </c>
      <c r="L25" s="1439">
        <f>G25*J25</f>
        <v>0</v>
      </c>
      <c r="M25" s="1440">
        <f>L25*8766</f>
        <v>0</v>
      </c>
      <c r="N25" s="1126"/>
      <c r="O25" s="563"/>
    </row>
    <row r="26" ht="13.8" thickBot="true" x14ac:dyDescent="0.3">
      <c r="B26" s="659"/>
      <c r="C26" s="158"/>
      <c r="D26" s="158"/>
      <c r="E26" s="158"/>
      <c r="F26" s="158"/>
      <c r="G26" s="158"/>
      <c r="H26" s="158"/>
      <c r="I26" s="158"/>
      <c r="J26" s="158"/>
      <c r="K26" s="158"/>
      <c r="L26" s="158"/>
      <c r="M26" s="158"/>
      <c r="N26" s="158"/>
      <c r="O26" s="662"/>
    </row>
    <row r="30" ht="13.8" thickBot="true" x14ac:dyDescent="0.3"/>
    <row r="31" ht="33" customHeight="true" thickBot="true" x14ac:dyDescent="0.45">
      <c r="B31" s="668" t="s">
        <v>2357</v>
      </c>
      <c r="C31" s="155"/>
      <c r="D31" s="155"/>
      <c r="E31" s="1835" t="s">
        <v>1856</v>
      </c>
      <c r="F31" s="1835"/>
      <c r="G31" s="155"/>
      <c r="H31" s="155"/>
      <c r="I31" s="727"/>
    </row>
    <row r="32" ht="13.8" thickBot="true" x14ac:dyDescent="0.3">
      <c r="B32" s="732"/>
      <c r="C32" s="557"/>
      <c r="D32" s="557"/>
      <c r="E32" s="557"/>
      <c r="F32" s="557"/>
      <c r="G32" s="557"/>
      <c r="H32" s="557"/>
      <c r="I32" s="563"/>
    </row>
    <row r="33" ht="30.75" customHeight="true" x14ac:dyDescent="0.25">
      <c r="B33" s="656"/>
      <c r="C33" s="557"/>
      <c r="D33" s="557"/>
      <c r="E33" s="197"/>
      <c r="F33" s="198" t="s">
        <v>1857</v>
      </c>
      <c r="G33" s="198" t="s">
        <v>1858</v>
      </c>
      <c r="H33" s="199" t="s">
        <v>1859</v>
      </c>
      <c r="I33" s="563"/>
    </row>
    <row r="34" ht="30.6" thickBot="true" x14ac:dyDescent="0.3">
      <c r="B34" s="656"/>
      <c r="C34" s="557"/>
      <c r="D34" s="557"/>
      <c r="E34" s="42" t="s">
        <v>1103</v>
      </c>
      <c r="F34" s="1127">
        <v>1</v>
      </c>
      <c r="G34" s="1127">
        <v>1</v>
      </c>
      <c r="H34" s="1128">
        <v>1</v>
      </c>
      <c r="I34" s="563"/>
    </row>
    <row r="35" ht="15.6" thickBot="true" x14ac:dyDescent="0.3">
      <c r="B35" s="659"/>
      <c r="C35" s="158"/>
      <c r="D35" s="158"/>
      <c r="E35" s="733"/>
      <c r="F35" s="734"/>
      <c r="G35" s="734"/>
      <c r="H35" s="734"/>
      <c r="I35" s="662"/>
    </row>
    <row r="36" ht="15" x14ac:dyDescent="0.25">
      <c r="E36" s="66"/>
      <c r="F36" s="735"/>
      <c r="G36" s="735"/>
      <c r="H36" s="735"/>
    </row>
    <row r="37" ht="22.5" customHeight="true" x14ac:dyDescent="0.25">
      <c r="E37" s="66"/>
      <c r="F37" s="735"/>
      <c r="G37" s="735"/>
      <c r="H37" s="735"/>
    </row>
    <row r="38" ht="22.5" customHeight="true" x14ac:dyDescent="0.25">
      <c r="E38" s="66"/>
      <c r="F38" s="735"/>
      <c r="G38" s="735"/>
      <c r="H38" s="735"/>
    </row>
    <row r="39" ht="22.5" customHeight="true" x14ac:dyDescent="0.25">
      <c r="E39" s="66"/>
      <c r="F39" s="735"/>
      <c r="G39" s="735"/>
      <c r="H39" s="735"/>
    </row>
    <row r="40" ht="22.5" customHeight="true" thickBot="true" x14ac:dyDescent="0.3">
      <c r="E40" s="66"/>
      <c r="F40" s="735"/>
      <c r="G40" s="735"/>
      <c r="H40" s="735"/>
    </row>
    <row r="41" ht="24.6" x14ac:dyDescent="0.4">
      <c r="B41" s="1808" t="s">
        <v>2358</v>
      </c>
      <c r="C41" s="1809"/>
      <c r="D41" s="1809"/>
      <c r="E41" s="1809"/>
      <c r="F41" s="1809"/>
      <c r="G41" s="1809"/>
      <c r="H41" s="1809"/>
      <c r="I41" s="1809"/>
      <c r="J41" s="200"/>
      <c r="K41" s="586"/>
      <c r="L41" s="586"/>
      <c r="M41" s="586"/>
      <c r="N41" s="586"/>
      <c r="O41" s="607"/>
    </row>
    <row r="42" ht="24.6" x14ac:dyDescent="0.4">
      <c r="B42" s="225"/>
      <c r="C42" s="226"/>
      <c r="D42" s="226"/>
      <c r="E42" s="226"/>
      <c r="F42" s="226"/>
      <c r="G42" s="226"/>
      <c r="H42" s="226"/>
      <c r="I42" s="226"/>
      <c r="J42" s="226"/>
      <c r="K42" s="190"/>
      <c r="L42" s="190"/>
      <c r="M42" s="190"/>
      <c r="N42" s="190"/>
      <c r="O42" s="608"/>
    </row>
    <row r="43" ht="24.75" customHeight="true" x14ac:dyDescent="0.25">
      <c r="B43" s="587"/>
      <c r="C43" s="190"/>
      <c r="D43" s="190"/>
      <c r="E43" s="1843" t="s">
        <v>1632</v>
      </c>
      <c r="F43" s="1843"/>
      <c r="G43" s="1844" t="s">
        <v>1484</v>
      </c>
      <c r="H43" s="1845"/>
      <c r="I43" s="201" t="s">
        <v>1785</v>
      </c>
      <c r="J43" s="202" t="s">
        <v>1639</v>
      </c>
      <c r="K43" s="190"/>
      <c r="L43" s="190"/>
      <c r="M43" s="190"/>
      <c r="N43" s="190"/>
      <c r="O43" s="608"/>
    </row>
    <row r="44" ht="32.25" customHeight="true" x14ac:dyDescent="0.25">
      <c r="B44" s="587"/>
      <c r="C44" s="190"/>
      <c r="D44" s="190"/>
      <c r="E44" s="186" t="s">
        <v>1482</v>
      </c>
      <c r="F44" s="186">
        <f>'II. Equipment &amp; Cost Data'!E133</f>
        <v>0</v>
      </c>
      <c r="G44" s="203" t="s">
        <v>1778</v>
      </c>
      <c r="H44" s="204"/>
      <c r="I44" s="202">
        <f>IF(G44="High pressure steam",F65,IF(G44="Medium pressure steam",G65,H65))</f>
        <v>1.9971399999999999</v>
      </c>
      <c r="J44" s="1295">
        <f>F44/I44+I10</f>
        <v>0</v>
      </c>
      <c r="K44" s="190"/>
      <c r="L44" s="190"/>
      <c r="M44" s="190"/>
      <c r="N44" s="190"/>
      <c r="O44" s="608"/>
    </row>
    <row r="45" ht="36" customHeight="true" x14ac:dyDescent="0.25">
      <c r="B45" s="587"/>
      <c r="C45" s="190"/>
      <c r="D45" s="190"/>
      <c r="E45" s="1175" t="s">
        <v>1483</v>
      </c>
      <c r="F45" s="186">
        <f>'II. Equipment &amp; Cost Data'!E134</f>
        <v>0</v>
      </c>
      <c r="G45" s="1846" t="s">
        <v>1494</v>
      </c>
      <c r="H45" s="1847"/>
      <c r="I45" s="1441">
        <f>F82</f>
        <v>4.1946499999999998E-2</v>
      </c>
      <c r="J45" s="1295">
        <f>ABS(F45/I45)+I11</f>
        <v>0</v>
      </c>
      <c r="K45" s="190"/>
      <c r="L45" s="190"/>
      <c r="M45" s="190"/>
      <c r="N45" s="190"/>
      <c r="O45" s="608"/>
    </row>
    <row r="46" ht="19.5" customHeight="true" x14ac:dyDescent="0.25">
      <c r="B46" s="587"/>
      <c r="C46" s="190"/>
      <c r="D46" s="190"/>
      <c r="E46" s="202" t="s">
        <v>1080</v>
      </c>
      <c r="F46" s="202">
        <f>'II. Equipment &amp; Cost Data'!E135</f>
        <v>0</v>
      </c>
      <c r="G46" s="1850" t="s">
        <v>1485</v>
      </c>
      <c r="H46" s="1851"/>
      <c r="I46" s="202">
        <f>F97</f>
        <v>3.6</v>
      </c>
      <c r="J46" s="1295">
        <f>F46/I46+I16</f>
        <v>0</v>
      </c>
      <c r="K46" s="190"/>
      <c r="L46" s="190"/>
      <c r="M46" s="190"/>
      <c r="N46" s="190"/>
      <c r="O46" s="608"/>
    </row>
    <row r="47" ht="15" x14ac:dyDescent="0.25">
      <c r="B47" s="587"/>
      <c r="C47" s="190"/>
      <c r="D47" s="190"/>
      <c r="E47" s="175"/>
      <c r="F47" s="736"/>
      <c r="G47" s="736"/>
      <c r="H47" s="736"/>
      <c r="I47" s="190"/>
      <c r="J47" s="190"/>
      <c r="K47" s="190"/>
      <c r="L47" s="190"/>
      <c r="M47" s="190"/>
      <c r="N47" s="190"/>
      <c r="O47" s="608"/>
    </row>
    <row r="48" ht="15" x14ac:dyDescent="0.25">
      <c r="B48" s="587"/>
      <c r="C48" s="190"/>
      <c r="D48" s="190"/>
      <c r="E48" s="175"/>
      <c r="F48" s="736"/>
      <c r="G48" s="736"/>
      <c r="H48" s="736"/>
      <c r="I48" s="190"/>
      <c r="J48" s="190"/>
      <c r="K48" s="190"/>
      <c r="L48" s="190"/>
      <c r="M48" s="190"/>
      <c r="N48" s="190"/>
      <c r="O48" s="608"/>
    </row>
    <row r="49" ht="15" x14ac:dyDescent="0.25">
      <c r="B49" s="587"/>
      <c r="C49" s="190"/>
      <c r="D49" s="190"/>
      <c r="E49" s="175"/>
      <c r="F49" s="736"/>
      <c r="G49" s="736"/>
      <c r="H49" s="736"/>
      <c r="I49" s="190"/>
      <c r="J49" s="190"/>
      <c r="K49" s="190"/>
      <c r="L49" s="190"/>
      <c r="M49" s="190"/>
      <c r="N49" s="190"/>
      <c r="O49" s="608"/>
    </row>
    <row r="50" x14ac:dyDescent="0.25">
      <c r="B50" s="587"/>
      <c r="C50" s="190"/>
      <c r="D50" s="190"/>
      <c r="E50" s="190"/>
      <c r="F50" s="190"/>
      <c r="G50" s="190"/>
      <c r="H50" s="190"/>
      <c r="I50" s="190"/>
      <c r="J50" s="190"/>
      <c r="K50" s="190"/>
      <c r="L50" s="190"/>
      <c r="M50" s="190"/>
      <c r="N50" s="190"/>
      <c r="O50" s="608"/>
    </row>
    <row r="51" ht="21" x14ac:dyDescent="0.4">
      <c r="B51" s="587"/>
      <c r="C51" s="190"/>
      <c r="D51" s="190"/>
      <c r="E51" s="1832" t="s">
        <v>1854</v>
      </c>
      <c r="F51" s="1832"/>
      <c r="G51" s="190"/>
      <c r="H51" s="190"/>
      <c r="I51" s="190"/>
      <c r="J51" s="190"/>
      <c r="K51" s="190"/>
      <c r="L51" s="190"/>
      <c r="M51" s="190"/>
      <c r="N51" s="190"/>
      <c r="O51" s="608"/>
    </row>
    <row r="52" x14ac:dyDescent="0.25">
      <c r="B52" s="587"/>
      <c r="C52" s="190"/>
      <c r="D52" s="190"/>
      <c r="E52" s="190"/>
      <c r="F52" s="190"/>
      <c r="G52" s="190"/>
      <c r="H52" s="190"/>
      <c r="I52" s="190"/>
      <c r="J52" s="190"/>
      <c r="K52" s="190"/>
      <c r="L52" s="190"/>
      <c r="M52" s="190"/>
      <c r="N52" s="190"/>
      <c r="O52" s="608"/>
    </row>
    <row r="53" ht="17.4" x14ac:dyDescent="0.25">
      <c r="B53" s="587"/>
      <c r="C53" s="190"/>
      <c r="D53" s="190"/>
      <c r="E53" s="1836" t="s">
        <v>1774</v>
      </c>
      <c r="F53" s="1836"/>
      <c r="G53" s="1836"/>
      <c r="H53" s="1836"/>
      <c r="I53" s="190"/>
      <c r="J53" s="190"/>
      <c r="K53" s="190"/>
      <c r="L53" s="190"/>
      <c r="M53" s="190"/>
      <c r="N53" s="190"/>
      <c r="O53" s="608"/>
    </row>
    <row r="54" ht="15" x14ac:dyDescent="0.25">
      <c r="B54" s="587"/>
      <c r="C54" s="190"/>
      <c r="D54" s="190"/>
      <c r="E54" s="178" t="s">
        <v>1772</v>
      </c>
      <c r="F54" s="205">
        <v>1.7</v>
      </c>
      <c r="G54" s="190"/>
      <c r="H54" s="190"/>
      <c r="I54" s="190"/>
      <c r="J54" s="190"/>
      <c r="K54" s="190"/>
      <c r="L54" s="190"/>
      <c r="M54" s="190"/>
      <c r="N54" s="190"/>
      <c r="O54" s="608"/>
    </row>
    <row r="55" ht="15" x14ac:dyDescent="0.25">
      <c r="B55" s="587"/>
      <c r="C55" s="190"/>
      <c r="D55" s="190"/>
      <c r="E55" s="178" t="s">
        <v>1472</v>
      </c>
      <c r="F55" s="205">
        <v>115</v>
      </c>
      <c r="G55" s="190"/>
      <c r="H55" s="190"/>
      <c r="I55" s="190"/>
      <c r="J55" s="190"/>
      <c r="K55" s="190"/>
      <c r="L55" s="190"/>
      <c r="M55" s="190"/>
      <c r="N55" s="190"/>
      <c r="O55" s="608"/>
    </row>
    <row r="56" ht="18.6" x14ac:dyDescent="0.25">
      <c r="B56" s="587"/>
      <c r="C56" s="190"/>
      <c r="D56" s="190"/>
      <c r="E56" s="178" t="s">
        <v>1776</v>
      </c>
      <c r="F56" s="205">
        <v>483</v>
      </c>
      <c r="G56" s="190"/>
      <c r="H56" s="190"/>
      <c r="I56" s="190"/>
      <c r="J56" s="190"/>
      <c r="K56" s="190"/>
      <c r="L56" s="190"/>
      <c r="M56" s="190"/>
      <c r="N56" s="190"/>
      <c r="O56" s="608"/>
    </row>
    <row r="57" ht="15" x14ac:dyDescent="0.25">
      <c r="B57" s="587"/>
      <c r="C57" s="190"/>
      <c r="D57" s="190"/>
      <c r="E57" s="178" t="s">
        <v>1773</v>
      </c>
      <c r="F57" s="205">
        <v>0.9</v>
      </c>
      <c r="G57" s="190"/>
      <c r="H57" s="190"/>
      <c r="I57" s="190"/>
      <c r="J57" s="190"/>
      <c r="K57" s="190"/>
      <c r="L57" s="190"/>
      <c r="M57" s="190"/>
      <c r="N57" s="190"/>
      <c r="O57" s="608"/>
    </row>
    <row r="58" ht="21" customHeight="true" x14ac:dyDescent="0.25">
      <c r="B58" s="587"/>
      <c r="C58" s="190"/>
      <c r="D58" s="190"/>
      <c r="E58" s="206" t="s">
        <v>1072</v>
      </c>
      <c r="F58" s="186">
        <v>38.299999999999997</v>
      </c>
      <c r="G58" s="190"/>
      <c r="H58" s="190"/>
      <c r="I58" s="190"/>
      <c r="J58" s="190"/>
      <c r="K58" s="190"/>
      <c r="L58" s="190"/>
      <c r="M58" s="190"/>
      <c r="N58" s="190"/>
      <c r="O58" s="608"/>
    </row>
    <row r="59" ht="32.4" x14ac:dyDescent="0.25">
      <c r="B59" s="587"/>
      <c r="C59" s="190"/>
      <c r="D59" s="190"/>
      <c r="E59" s="1214" t="s">
        <v>1852</v>
      </c>
      <c r="F59" s="207">
        <v>1710000</v>
      </c>
      <c r="G59" s="190"/>
      <c r="H59" s="190"/>
      <c r="I59" s="190"/>
      <c r="J59" s="190"/>
      <c r="K59" s="190"/>
      <c r="L59" s="190"/>
      <c r="M59" s="190"/>
      <c r="N59" s="190"/>
      <c r="O59" s="608"/>
    </row>
    <row r="60" ht="24.75" customHeight="true" x14ac:dyDescent="0.25">
      <c r="B60" s="587"/>
      <c r="C60" s="190"/>
      <c r="D60" s="190"/>
      <c r="E60" s="737"/>
      <c r="F60" s="738"/>
      <c r="G60" s="190"/>
      <c r="H60" s="190"/>
      <c r="I60" s="190"/>
      <c r="J60" s="190"/>
      <c r="K60" s="190"/>
      <c r="L60" s="190"/>
      <c r="M60" s="190"/>
      <c r="N60" s="190"/>
      <c r="O60" s="608"/>
    </row>
    <row r="61" ht="27.6" x14ac:dyDescent="0.25">
      <c r="B61" s="587"/>
      <c r="C61" s="190"/>
      <c r="D61" s="190"/>
      <c r="E61" s="190"/>
      <c r="F61" s="208" t="s">
        <v>1777</v>
      </c>
      <c r="G61" s="208" t="s">
        <v>1778</v>
      </c>
      <c r="H61" s="209" t="s">
        <v>1779</v>
      </c>
      <c r="I61" s="190"/>
      <c r="J61" s="190"/>
      <c r="K61" s="190"/>
      <c r="L61" s="190"/>
      <c r="M61" s="190"/>
      <c r="N61" s="190"/>
      <c r="O61" s="608"/>
    </row>
    <row r="62" ht="15" x14ac:dyDescent="0.25">
      <c r="B62" s="587"/>
      <c r="C62" s="190"/>
      <c r="D62" s="190"/>
      <c r="E62" s="178" t="s">
        <v>1772</v>
      </c>
      <c r="F62" s="205">
        <v>42</v>
      </c>
      <c r="G62" s="186">
        <v>11</v>
      </c>
      <c r="H62" s="205">
        <v>6</v>
      </c>
      <c r="I62" s="190"/>
      <c r="J62" s="190"/>
      <c r="K62" s="190"/>
      <c r="L62" s="190"/>
      <c r="M62" s="190"/>
      <c r="N62" s="190"/>
      <c r="O62" s="608"/>
    </row>
    <row r="63" ht="15" x14ac:dyDescent="0.25">
      <c r="B63" s="587"/>
      <c r="C63" s="190"/>
      <c r="D63" s="190"/>
      <c r="E63" s="178" t="s">
        <v>1472</v>
      </c>
      <c r="F63" s="205">
        <v>254</v>
      </c>
      <c r="G63" s="186">
        <v>184</v>
      </c>
      <c r="H63" s="205">
        <v>160</v>
      </c>
      <c r="I63" s="190"/>
      <c r="J63" s="190"/>
      <c r="K63" s="190"/>
      <c r="L63" s="190"/>
      <c r="M63" s="190"/>
      <c r="N63" s="190"/>
      <c r="O63" s="608"/>
    </row>
    <row r="64" ht="18.6" x14ac:dyDescent="0.25">
      <c r="B64" s="587"/>
      <c r="C64" s="190"/>
      <c r="D64" s="190"/>
      <c r="E64" s="178" t="s">
        <v>1775</v>
      </c>
      <c r="F64" s="205">
        <v>2797.6</v>
      </c>
      <c r="G64" s="205">
        <v>2779.1</v>
      </c>
      <c r="H64" s="205">
        <v>2757.1</v>
      </c>
      <c r="I64" s="190"/>
      <c r="J64" s="190"/>
      <c r="K64" s="190"/>
      <c r="L64" s="190"/>
      <c r="M64" s="190"/>
      <c r="N64" s="190"/>
      <c r="O64" s="608"/>
    </row>
    <row r="65" ht="18.6" x14ac:dyDescent="0.25">
      <c r="B65" s="587"/>
      <c r="C65" s="190"/>
      <c r="D65" s="190"/>
      <c r="E65" s="178" t="s">
        <v>1784</v>
      </c>
      <c r="F65" s="205">
        <v>1.6943999999999999</v>
      </c>
      <c r="G65" s="205">
        <v>1.9971399999999999</v>
      </c>
      <c r="H65" s="205">
        <v>2.0806</v>
      </c>
      <c r="I65" s="190"/>
      <c r="J65" s="190"/>
      <c r="K65" s="190"/>
      <c r="L65" s="190"/>
      <c r="M65" s="190"/>
      <c r="N65" s="190"/>
      <c r="O65" s="608"/>
    </row>
    <row r="66" ht="29.25" customHeight="true" x14ac:dyDescent="0.25">
      <c r="B66" s="587"/>
      <c r="C66" s="190"/>
      <c r="D66" s="190"/>
      <c r="E66" s="206" t="s">
        <v>1071</v>
      </c>
      <c r="F66" s="1442">
        <f>(F64-$F$56)/$F$57/1000</f>
        <v>2.5717777777777777</v>
      </c>
      <c r="G66" s="1442">
        <f>(G64-$F$56)/$F$57/1000</f>
        <v>2.5512222222222221</v>
      </c>
      <c r="H66" s="1442">
        <f>(H64-$F$56)/$F$57/1000</f>
        <v>2.5267777777777778</v>
      </c>
      <c r="I66" s="190"/>
      <c r="J66" s="190"/>
      <c r="K66" s="190"/>
      <c r="L66" s="190"/>
      <c r="M66" s="190"/>
      <c r="N66" s="190"/>
      <c r="O66" s="608"/>
    </row>
    <row r="67" ht="30.75" customHeight="true" x14ac:dyDescent="0.25">
      <c r="B67" s="587"/>
      <c r="C67" s="190"/>
      <c r="D67" s="190"/>
      <c r="E67" s="206" t="s">
        <v>1103</v>
      </c>
      <c r="F67" s="1443">
        <f>F34</f>
        <v>1</v>
      </c>
      <c r="G67" s="1443">
        <f>F34</f>
        <v>1</v>
      </c>
      <c r="H67" s="1443">
        <f>F34</f>
        <v>1</v>
      </c>
      <c r="I67" s="190"/>
      <c r="J67" s="190"/>
      <c r="K67" s="190"/>
      <c r="L67" s="190"/>
      <c r="M67" s="190"/>
      <c r="N67" s="190"/>
      <c r="O67" s="608"/>
    </row>
    <row r="68" ht="16.5" customHeight="true" x14ac:dyDescent="0.25">
      <c r="B68" s="587"/>
      <c r="C68" s="190"/>
      <c r="D68" s="190"/>
      <c r="E68" s="206" t="s">
        <v>1149</v>
      </c>
      <c r="F68" s="1444">
        <f>9.5/18</f>
        <v>0.52777777777777779</v>
      </c>
      <c r="G68" s="1444">
        <f>9.5/18</f>
        <v>0.52777777777777779</v>
      </c>
      <c r="H68" s="1444">
        <f>9.5/18</f>
        <v>0.52777777777777779</v>
      </c>
      <c r="I68" s="739"/>
      <c r="J68" s="740"/>
      <c r="K68" s="190"/>
      <c r="L68" s="190"/>
      <c r="M68" s="190"/>
      <c r="N68" s="190"/>
      <c r="O68" s="608"/>
    </row>
    <row r="69" ht="16.5" customHeight="true" x14ac:dyDescent="0.25">
      <c r="B69" s="587"/>
      <c r="C69" s="190"/>
      <c r="D69" s="190"/>
      <c r="E69" s="206" t="s">
        <v>1153</v>
      </c>
      <c r="F69" s="1445">
        <f>F64/1000</f>
        <v>2.7976000000000001</v>
      </c>
      <c r="G69" s="1445">
        <f>G64/1000</f>
        <v>2.7791000000000001</v>
      </c>
      <c r="H69" s="1445">
        <f>H64/1000</f>
        <v>2.7570999999999999</v>
      </c>
      <c r="I69" s="739"/>
      <c r="J69" s="740"/>
      <c r="K69" s="190"/>
      <c r="L69" s="190"/>
      <c r="M69" s="190"/>
      <c r="N69" s="190"/>
      <c r="O69" s="608"/>
    </row>
    <row r="70" ht="16.5" customHeight="true" x14ac:dyDescent="0.25">
      <c r="B70" s="587"/>
      <c r="C70" s="190"/>
      <c r="D70" s="190"/>
      <c r="E70" s="206" t="s">
        <v>1152</v>
      </c>
      <c r="F70" s="210">
        <f>6.04532/1000</f>
        <v>6.0453199999999999E-3</v>
      </c>
      <c r="G70" s="210">
        <v>6.167514420940959E-3</v>
      </c>
      <c r="H70" s="210">
        <f>6.74814/1000</f>
        <v>6.7481400000000006E-3</v>
      </c>
      <c r="I70" s="348"/>
      <c r="J70" s="190"/>
      <c r="K70" s="190"/>
      <c r="L70" s="190"/>
      <c r="M70" s="190"/>
      <c r="N70" s="190"/>
      <c r="O70" s="608"/>
    </row>
    <row r="71" ht="15" x14ac:dyDescent="0.25">
      <c r="B71" s="587"/>
      <c r="C71" s="190"/>
      <c r="D71" s="190"/>
      <c r="E71" s="206" t="s">
        <v>1150</v>
      </c>
      <c r="F71" s="1444">
        <f>F69-('I. Stream &amp; Compound Data'!$F$20+273.15)*F70</f>
        <v>0.99518784200000021</v>
      </c>
      <c r="G71" s="1444">
        <f>G69-('I. Stream &amp; Compound Data'!$F$20+273.15)*G70</f>
        <v>0.94025557539645344</v>
      </c>
      <c r="H71" s="1444">
        <f>H69-('I. Stream &amp; Compound Data'!$F$20+273.15)*H70</f>
        <v>0.74514205899999997</v>
      </c>
      <c r="I71" s="739"/>
      <c r="J71" s="740"/>
      <c r="K71" s="190"/>
      <c r="L71" s="190"/>
      <c r="M71" s="190"/>
      <c r="N71" s="190"/>
      <c r="O71" s="608"/>
    </row>
    <row r="72" x14ac:dyDescent="0.25">
      <c r="B72" s="587"/>
      <c r="C72" s="190"/>
      <c r="D72" s="190"/>
      <c r="E72" s="190"/>
      <c r="F72" s="190"/>
      <c r="G72" s="190"/>
      <c r="H72" s="739"/>
      <c r="I72" s="739"/>
      <c r="J72" s="740"/>
      <c r="K72" s="190"/>
      <c r="L72" s="190"/>
      <c r="M72" s="190"/>
      <c r="N72" s="190"/>
      <c r="O72" s="608"/>
    </row>
    <row r="73" ht="13.5" customHeight="true" x14ac:dyDescent="0.25">
      <c r="B73" s="587"/>
      <c r="C73" s="190"/>
      <c r="D73" s="190"/>
      <c r="E73" s="190"/>
      <c r="F73" s="190"/>
      <c r="G73" s="190"/>
      <c r="H73" s="740"/>
      <c r="I73" s="190"/>
      <c r="J73" s="190"/>
      <c r="K73" s="190"/>
      <c r="L73" s="190"/>
      <c r="M73" s="190"/>
      <c r="N73" s="190"/>
      <c r="O73" s="608"/>
    </row>
    <row r="74" x14ac:dyDescent="0.25">
      <c r="B74" s="587"/>
      <c r="C74" s="190"/>
      <c r="D74" s="190"/>
      <c r="E74" s="190"/>
      <c r="F74" s="190"/>
      <c r="G74" s="190"/>
      <c r="H74" s="190"/>
      <c r="I74" s="190"/>
      <c r="J74" s="190"/>
      <c r="K74" s="190"/>
      <c r="L74" s="190"/>
      <c r="M74" s="190"/>
      <c r="N74" s="190"/>
      <c r="O74" s="608"/>
    </row>
    <row r="75" ht="21" x14ac:dyDescent="0.4">
      <c r="B75" s="587"/>
      <c r="C75" s="190"/>
      <c r="D75" s="190"/>
      <c r="E75" s="1832" t="s">
        <v>1853</v>
      </c>
      <c r="F75" s="1832"/>
      <c r="G75" s="190"/>
      <c r="H75" s="190"/>
      <c r="I75" s="190"/>
      <c r="J75" s="190"/>
      <c r="K75" s="190"/>
      <c r="L75" s="190"/>
      <c r="M75" s="190"/>
      <c r="N75" s="190"/>
      <c r="O75" s="608"/>
    </row>
    <row r="76" x14ac:dyDescent="0.25">
      <c r="B76" s="587"/>
      <c r="C76" s="190"/>
      <c r="D76" s="190"/>
      <c r="E76" s="190"/>
      <c r="F76" s="190"/>
      <c r="G76" s="190"/>
      <c r="H76" s="190"/>
      <c r="I76" s="190"/>
      <c r="J76" s="190"/>
      <c r="K76" s="190"/>
      <c r="L76" s="190"/>
      <c r="M76" s="190"/>
      <c r="N76" s="190"/>
      <c r="O76" s="608"/>
    </row>
    <row r="77" ht="17.4" x14ac:dyDescent="0.25">
      <c r="B77" s="587"/>
      <c r="C77" s="190"/>
      <c r="D77" s="190"/>
      <c r="E77" s="1833" t="s">
        <v>1076</v>
      </c>
      <c r="F77" s="1833"/>
      <c r="G77" s="1833"/>
      <c r="H77" s="1833"/>
      <c r="I77" s="1833"/>
      <c r="J77" s="1833"/>
      <c r="K77" s="1169"/>
      <c r="L77" s="1169"/>
      <c r="M77" s="1169"/>
      <c r="N77" s="1169"/>
      <c r="O77" s="741"/>
      <c r="P77" s="742"/>
      <c r="Q77" s="742"/>
    </row>
    <row r="78" ht="17.4" x14ac:dyDescent="0.25">
      <c r="B78" s="587"/>
      <c r="C78" s="190"/>
      <c r="D78" s="190"/>
      <c r="E78" s="1833" t="s">
        <v>1648</v>
      </c>
      <c r="F78" s="1833"/>
      <c r="G78" s="1833"/>
      <c r="H78" s="1833"/>
      <c r="I78" s="1833"/>
      <c r="J78" s="1833"/>
      <c r="K78" s="1169"/>
      <c r="L78" s="1169"/>
      <c r="M78" s="1169"/>
      <c r="N78" s="1169"/>
      <c r="O78" s="741"/>
      <c r="P78" s="742"/>
      <c r="Q78" s="742"/>
    </row>
    <row r="79" ht="13.8" thickBot="true" x14ac:dyDescent="0.3">
      <c r="B79" s="587"/>
      <c r="C79" s="190"/>
      <c r="D79" s="190"/>
      <c r="E79" s="190"/>
      <c r="F79" s="190"/>
      <c r="G79" s="190"/>
      <c r="H79" s="190"/>
      <c r="I79" s="190"/>
      <c r="J79" s="190"/>
      <c r="K79" s="190"/>
      <c r="L79" s="190"/>
      <c r="M79" s="190"/>
      <c r="N79" s="190"/>
      <c r="O79" s="608"/>
    </row>
    <row r="80" ht="37.5" customHeight="true" x14ac:dyDescent="0.25">
      <c r="B80" s="587"/>
      <c r="C80" s="190"/>
      <c r="D80" s="190"/>
      <c r="E80" s="211" t="s">
        <v>1634</v>
      </c>
      <c r="F80" s="212">
        <v>5</v>
      </c>
      <c r="G80" s="190"/>
      <c r="H80" s="190"/>
      <c r="I80" s="190"/>
      <c r="J80" s="190"/>
      <c r="K80" s="190"/>
      <c r="L80" s="190"/>
      <c r="M80" s="190"/>
      <c r="N80" s="190"/>
      <c r="O80" s="608"/>
    </row>
    <row r="81" ht="37.5" customHeight="true" x14ac:dyDescent="0.25">
      <c r="B81" s="587"/>
      <c r="C81" s="190"/>
      <c r="D81" s="190"/>
      <c r="E81" s="1211" t="s">
        <v>1635</v>
      </c>
      <c r="F81" s="187">
        <v>15</v>
      </c>
      <c r="G81" s="190"/>
      <c r="H81" s="190"/>
      <c r="I81" s="190"/>
      <c r="J81" s="190"/>
      <c r="K81" s="190"/>
      <c r="L81" s="190"/>
      <c r="M81" s="190"/>
      <c r="N81" s="190"/>
      <c r="O81" s="608"/>
    </row>
    <row r="82" ht="37.5" customHeight="true" x14ac:dyDescent="0.25">
      <c r="B82" s="587"/>
      <c r="C82" s="190"/>
      <c r="D82" s="190"/>
      <c r="E82" s="1211" t="s">
        <v>1780</v>
      </c>
      <c r="F82" s="1446">
        <f>(61.9385-19.992)/1000</f>
        <v>4.1946499999999998E-2</v>
      </c>
      <c r="G82" s="190"/>
      <c r="H82" s="190"/>
      <c r="I82" s="190"/>
      <c r="J82" s="190"/>
      <c r="K82" s="190"/>
      <c r="L82" s="190"/>
      <c r="M82" s="190"/>
      <c r="N82" s="190"/>
      <c r="O82" s="608"/>
    </row>
    <row r="83" ht="37.5" customHeight="true" x14ac:dyDescent="0.25">
      <c r="B83" s="587"/>
      <c r="C83" s="190"/>
      <c r="D83" s="190"/>
      <c r="E83" s="213" t="s">
        <v>1077</v>
      </c>
      <c r="F83" s="187">
        <v>71.42</v>
      </c>
      <c r="G83" s="190"/>
      <c r="H83" s="190"/>
      <c r="I83" s="190"/>
      <c r="J83" s="190"/>
      <c r="K83" s="190"/>
      <c r="L83" s="190"/>
      <c r="M83" s="190"/>
      <c r="N83" s="190"/>
      <c r="O83" s="608"/>
    </row>
    <row r="84" ht="37.5" customHeight="true" x14ac:dyDescent="0.25">
      <c r="B84" s="587"/>
      <c r="C84" s="190"/>
      <c r="D84" s="190"/>
      <c r="E84" s="213" t="s">
        <v>1103</v>
      </c>
      <c r="F84" s="1447">
        <f>G34</f>
        <v>1</v>
      </c>
      <c r="G84" s="190"/>
      <c r="H84" s="190"/>
      <c r="I84" s="190"/>
      <c r="J84" s="190"/>
      <c r="K84" s="190"/>
      <c r="L84" s="190"/>
      <c r="M84" s="190"/>
      <c r="N84" s="190"/>
      <c r="O84" s="608"/>
    </row>
    <row r="85" ht="37.5" customHeight="true" x14ac:dyDescent="0.25">
      <c r="B85" s="587"/>
      <c r="C85" s="190"/>
      <c r="D85" s="190"/>
      <c r="E85" s="213" t="s">
        <v>1643</v>
      </c>
      <c r="F85" s="187">
        <v>5.0500000000000002E-4</v>
      </c>
      <c r="G85" s="190"/>
      <c r="H85" s="190"/>
      <c r="I85" s="190"/>
      <c r="J85" s="190"/>
      <c r="K85" s="190"/>
      <c r="L85" s="190"/>
      <c r="M85" s="190"/>
      <c r="N85" s="190"/>
      <c r="O85" s="608"/>
    </row>
    <row r="86" ht="37.5" customHeight="true" x14ac:dyDescent="0.25">
      <c r="B86" s="587"/>
      <c r="C86" s="190"/>
      <c r="D86" s="190"/>
      <c r="E86" s="213" t="s">
        <v>1644</v>
      </c>
      <c r="F86" s="187">
        <v>-8.3811999999999998E-2</v>
      </c>
      <c r="G86" s="190"/>
      <c r="H86" s="190"/>
      <c r="I86" s="190"/>
      <c r="J86" s="190"/>
      <c r="K86" s="190"/>
      <c r="L86" s="190"/>
      <c r="M86" s="190"/>
      <c r="N86" s="190"/>
      <c r="O86" s="608"/>
    </row>
    <row r="87" ht="37.5" customHeight="true" x14ac:dyDescent="0.25">
      <c r="B87" s="587"/>
      <c r="C87" s="190"/>
      <c r="D87" s="190"/>
      <c r="E87" s="213" t="s">
        <v>1645</v>
      </c>
      <c r="F87" s="187">
        <v>-2.9399999999999999E-4</v>
      </c>
      <c r="G87" s="190"/>
      <c r="H87" s="190"/>
      <c r="I87" s="190"/>
      <c r="J87" s="190"/>
      <c r="K87" s="190"/>
      <c r="L87" s="190"/>
      <c r="M87" s="190"/>
      <c r="N87" s="190"/>
      <c r="O87" s="608"/>
    </row>
    <row r="88" ht="37.5" customHeight="true" x14ac:dyDescent="0.25">
      <c r="B88" s="587"/>
      <c r="C88" s="190"/>
      <c r="D88" s="190"/>
      <c r="E88" s="213" t="s">
        <v>1646</v>
      </c>
      <c r="F88" s="187">
        <f>F86-('I. Stream &amp; Compound Data'!$F$20+273.15)*F87</f>
        <v>3.8440999999999892E-3</v>
      </c>
      <c r="G88" s="190"/>
      <c r="H88" s="190"/>
      <c r="I88" s="190"/>
      <c r="J88" s="190"/>
      <c r="K88" s="190"/>
      <c r="L88" s="190"/>
      <c r="M88" s="190"/>
      <c r="N88" s="190"/>
      <c r="O88" s="608"/>
    </row>
    <row r="89" ht="37.5" customHeight="true" thickBot="true" x14ac:dyDescent="0.3">
      <c r="B89" s="587"/>
      <c r="C89" s="190"/>
      <c r="D89" s="190"/>
      <c r="E89" s="214" t="s">
        <v>1452</v>
      </c>
      <c r="F89" s="215">
        <v>69000</v>
      </c>
      <c r="G89" s="190"/>
      <c r="H89" s="190"/>
      <c r="I89" s="190"/>
      <c r="J89" s="190"/>
      <c r="K89" s="190"/>
      <c r="L89" s="190"/>
      <c r="M89" s="190"/>
      <c r="N89" s="190"/>
      <c r="O89" s="608"/>
    </row>
    <row r="90" x14ac:dyDescent="0.25">
      <c r="B90" s="587"/>
      <c r="C90" s="190"/>
      <c r="D90" s="190"/>
      <c r="E90" s="190"/>
      <c r="F90" s="190"/>
      <c r="G90" s="190"/>
      <c r="H90" s="190"/>
      <c r="I90" s="190"/>
      <c r="J90" s="190"/>
      <c r="K90" s="190"/>
      <c r="L90" s="190"/>
      <c r="M90" s="190"/>
      <c r="N90" s="190"/>
      <c r="O90" s="608"/>
    </row>
    <row r="91" x14ac:dyDescent="0.25">
      <c r="B91" s="587"/>
      <c r="C91" s="190"/>
      <c r="D91" s="190"/>
      <c r="E91" s="190"/>
      <c r="F91" s="190"/>
      <c r="G91" s="190"/>
      <c r="H91" s="190"/>
      <c r="I91" s="190"/>
      <c r="J91" s="190"/>
      <c r="K91" s="190"/>
      <c r="L91" s="190"/>
      <c r="M91" s="190"/>
      <c r="N91" s="190"/>
      <c r="O91" s="608"/>
    </row>
    <row r="92" x14ac:dyDescent="0.25">
      <c r="B92" s="587"/>
      <c r="C92" s="190"/>
      <c r="D92" s="190"/>
      <c r="E92" s="190"/>
      <c r="F92" s="190"/>
      <c r="G92" s="190"/>
      <c r="H92" s="190"/>
      <c r="I92" s="190"/>
      <c r="J92" s="190"/>
      <c r="K92" s="190"/>
      <c r="L92" s="190"/>
      <c r="M92" s="190"/>
      <c r="N92" s="190"/>
      <c r="O92" s="608"/>
    </row>
    <row r="93" ht="21" x14ac:dyDescent="0.4">
      <c r="B93" s="587"/>
      <c r="C93" s="190"/>
      <c r="D93" s="190"/>
      <c r="E93" s="1832" t="s">
        <v>1855</v>
      </c>
      <c r="F93" s="1832"/>
      <c r="G93" s="190"/>
      <c r="H93" s="190"/>
      <c r="I93" s="190"/>
      <c r="J93" s="190"/>
      <c r="K93" s="190"/>
      <c r="L93" s="190"/>
      <c r="M93" s="190"/>
      <c r="N93" s="190"/>
      <c r="O93" s="608"/>
    </row>
    <row r="94" ht="17.25" customHeight="true" thickBot="true" x14ac:dyDescent="0.3">
      <c r="B94" s="587"/>
      <c r="C94" s="190"/>
      <c r="D94" s="190"/>
      <c r="E94" s="190"/>
      <c r="F94" s="190"/>
      <c r="G94" s="190"/>
      <c r="H94" s="190"/>
      <c r="I94" s="190"/>
      <c r="J94" s="190"/>
      <c r="K94" s="190"/>
      <c r="L94" s="190"/>
      <c r="M94" s="190"/>
      <c r="N94" s="190"/>
      <c r="O94" s="608"/>
    </row>
    <row r="95" ht="42" customHeight="true" x14ac:dyDescent="0.25">
      <c r="B95" s="587"/>
      <c r="C95" s="190"/>
      <c r="D95" s="190"/>
      <c r="E95" s="216" t="s">
        <v>1103</v>
      </c>
      <c r="F95" s="1448">
        <f>H34</f>
        <v>1</v>
      </c>
      <c r="G95" s="190"/>
      <c r="H95" s="190"/>
      <c r="I95" s="190"/>
      <c r="J95" s="190"/>
      <c r="K95" s="190"/>
      <c r="L95" s="190"/>
      <c r="M95" s="190"/>
      <c r="N95" s="190"/>
      <c r="O95" s="608"/>
    </row>
    <row r="96" ht="42" customHeight="true" x14ac:dyDescent="0.25">
      <c r="B96" s="587"/>
      <c r="C96" s="190"/>
      <c r="D96" s="190"/>
      <c r="E96" s="217" t="s">
        <v>1099</v>
      </c>
      <c r="F96" s="187">
        <v>10.3</v>
      </c>
      <c r="G96" s="190"/>
      <c r="H96" s="190"/>
      <c r="I96" s="190"/>
      <c r="J96" s="190"/>
      <c r="K96" s="190"/>
      <c r="L96" s="190"/>
      <c r="M96" s="190"/>
      <c r="N96" s="190"/>
      <c r="O96" s="608"/>
    </row>
    <row r="97" ht="42" customHeight="true" x14ac:dyDescent="0.25">
      <c r="B97" s="587"/>
      <c r="C97" s="190"/>
      <c r="D97" s="190"/>
      <c r="E97" s="217" t="s">
        <v>1781</v>
      </c>
      <c r="F97" s="187">
        <v>3.6</v>
      </c>
      <c r="G97" s="190"/>
      <c r="H97" s="190"/>
      <c r="I97" s="190"/>
      <c r="J97" s="190"/>
      <c r="K97" s="190"/>
      <c r="L97" s="190"/>
      <c r="M97" s="190"/>
      <c r="N97" s="190"/>
      <c r="O97" s="608"/>
    </row>
    <row r="98" ht="42" customHeight="true" x14ac:dyDescent="0.25">
      <c r="B98" s="587"/>
      <c r="C98" s="190"/>
      <c r="D98" s="190"/>
      <c r="E98" s="217" t="s">
        <v>1146</v>
      </c>
      <c r="F98" s="187">
        <v>3.6</v>
      </c>
      <c r="G98" s="190"/>
      <c r="H98" s="190"/>
      <c r="I98" s="190"/>
      <c r="J98" s="190"/>
      <c r="K98" s="190"/>
      <c r="L98" s="190"/>
      <c r="M98" s="190"/>
      <c r="N98" s="190"/>
      <c r="O98" s="608"/>
    </row>
    <row r="99" ht="42" customHeight="true" thickBot="true" x14ac:dyDescent="0.3">
      <c r="B99" s="587"/>
      <c r="C99" s="190"/>
      <c r="D99" s="190"/>
      <c r="E99" s="218" t="s">
        <v>1447</v>
      </c>
      <c r="F99" s="215">
        <f>160000*3.6</f>
        <v>576000</v>
      </c>
      <c r="G99" s="190"/>
      <c r="H99" s="190"/>
      <c r="I99" s="190"/>
      <c r="J99" s="190"/>
      <c r="K99" s="190"/>
      <c r="L99" s="190"/>
      <c r="M99" s="190"/>
      <c r="N99" s="190"/>
      <c r="O99" s="608"/>
    </row>
    <row r="100" x14ac:dyDescent="0.25">
      <c r="B100" s="587"/>
      <c r="C100" s="190"/>
      <c r="D100" s="190"/>
      <c r="E100" s="190"/>
      <c r="F100" s="190"/>
      <c r="G100" s="190"/>
      <c r="H100" s="190"/>
      <c r="I100" s="190"/>
      <c r="J100" s="190"/>
      <c r="K100" s="190"/>
      <c r="L100" s="190"/>
      <c r="M100" s="190"/>
      <c r="N100" s="190"/>
      <c r="O100" s="608"/>
    </row>
    <row r="101" x14ac:dyDescent="0.25">
      <c r="B101" s="587"/>
      <c r="C101" s="190"/>
      <c r="D101" s="190"/>
      <c r="E101" s="190"/>
      <c r="F101" s="190"/>
      <c r="G101" s="190"/>
      <c r="H101" s="190"/>
      <c r="I101" s="190"/>
      <c r="J101" s="190"/>
      <c r="K101" s="190"/>
      <c r="L101" s="190"/>
      <c r="M101" s="190"/>
      <c r="N101" s="190"/>
      <c r="O101" s="608"/>
    </row>
    <row r="102" x14ac:dyDescent="0.25">
      <c r="B102" s="587"/>
      <c r="C102" s="190"/>
      <c r="D102" s="190"/>
      <c r="E102" s="190"/>
      <c r="F102" s="190"/>
      <c r="G102" s="190"/>
      <c r="H102" s="190"/>
      <c r="I102" s="190"/>
      <c r="J102" s="190"/>
      <c r="K102" s="190"/>
      <c r="L102" s="190"/>
      <c r="M102" s="190"/>
      <c r="N102" s="190"/>
      <c r="O102" s="608"/>
    </row>
    <row r="103" x14ac:dyDescent="0.25">
      <c r="B103" s="587"/>
      <c r="C103" s="190"/>
      <c r="D103" s="190"/>
      <c r="E103" s="190"/>
      <c r="F103" s="190"/>
      <c r="G103" s="190"/>
      <c r="H103" s="190"/>
      <c r="I103" s="190"/>
      <c r="J103" s="190"/>
      <c r="K103" s="190"/>
      <c r="L103" s="190"/>
      <c r="M103" s="190"/>
      <c r="N103" s="190"/>
      <c r="O103" s="608"/>
    </row>
    <row r="104" x14ac:dyDescent="0.25">
      <c r="B104" s="587"/>
      <c r="C104" s="190"/>
      <c r="D104" s="190"/>
      <c r="E104" s="190"/>
      <c r="F104" s="190"/>
      <c r="G104" s="190"/>
      <c r="H104" s="190"/>
      <c r="I104" s="190"/>
      <c r="J104" s="190"/>
      <c r="K104" s="190"/>
      <c r="L104" s="190"/>
      <c r="M104" s="190"/>
      <c r="N104" s="190"/>
      <c r="O104" s="608"/>
    </row>
    <row r="105" x14ac:dyDescent="0.25">
      <c r="B105" s="587"/>
      <c r="C105" s="190"/>
      <c r="D105" s="190"/>
      <c r="E105" s="190"/>
      <c r="F105" s="190"/>
      <c r="G105" s="190"/>
      <c r="H105" s="190"/>
      <c r="I105" s="190"/>
      <c r="J105" s="190"/>
      <c r="K105" s="190"/>
      <c r="L105" s="190"/>
      <c r="M105" s="190"/>
      <c r="N105" s="190"/>
      <c r="O105" s="608"/>
    </row>
    <row r="106" ht="21" x14ac:dyDescent="0.4">
      <c r="B106" s="587"/>
      <c r="C106" s="190"/>
      <c r="D106" s="190"/>
      <c r="E106" s="1832" t="s">
        <v>1633</v>
      </c>
      <c r="F106" s="1832"/>
      <c r="G106" s="190"/>
      <c r="H106" s="190"/>
      <c r="I106" s="190"/>
      <c r="J106" s="190"/>
      <c r="K106" s="190"/>
      <c r="L106" s="190"/>
      <c r="M106" s="190"/>
      <c r="N106" s="190"/>
      <c r="O106" s="608"/>
    </row>
    <row r="107" ht="13.8" thickBot="true" x14ac:dyDescent="0.3">
      <c r="B107" s="587"/>
      <c r="C107" s="190"/>
      <c r="D107" s="190"/>
      <c r="E107" s="190"/>
      <c r="F107" s="190"/>
      <c r="G107" s="190"/>
      <c r="H107" s="190"/>
      <c r="I107" s="190"/>
      <c r="J107" s="190"/>
      <c r="K107" s="190"/>
      <c r="L107" s="190"/>
      <c r="M107" s="190"/>
      <c r="N107" s="190"/>
      <c r="O107" s="608"/>
    </row>
    <row r="108" ht="30" x14ac:dyDescent="0.25">
      <c r="B108" s="587"/>
      <c r="C108" s="190"/>
      <c r="D108" s="190"/>
      <c r="E108" s="219" t="s">
        <v>1071</v>
      </c>
      <c r="F108" s="1449">
        <f>IF(G44="High pressure steam",F66,IF(G44="Medium pressure steam",G66,H66))</f>
        <v>2.5512222222222221</v>
      </c>
      <c r="G108" s="190"/>
      <c r="H108" s="190"/>
      <c r="I108" s="190"/>
      <c r="J108" s="190"/>
      <c r="K108" s="190"/>
      <c r="L108" s="190"/>
      <c r="M108" s="190"/>
      <c r="N108" s="190"/>
      <c r="O108" s="608"/>
    </row>
    <row r="109" ht="30.6" thickBot="true" x14ac:dyDescent="0.3">
      <c r="B109" s="587"/>
      <c r="C109" s="190"/>
      <c r="D109" s="190"/>
      <c r="E109" s="220" t="s">
        <v>1073</v>
      </c>
      <c r="F109" s="1348">
        <f>F108*J44</f>
        <v>0</v>
      </c>
      <c r="G109" s="190"/>
      <c r="H109" s="190"/>
      <c r="I109" s="190"/>
      <c r="J109" s="190"/>
      <c r="K109" s="190"/>
      <c r="L109" s="190"/>
      <c r="M109" s="190"/>
      <c r="N109" s="190"/>
      <c r="O109" s="608"/>
    </row>
    <row r="110" ht="30" x14ac:dyDescent="0.25">
      <c r="B110" s="587"/>
      <c r="C110" s="190"/>
      <c r="D110" s="190"/>
      <c r="E110" s="219" t="s">
        <v>1103</v>
      </c>
      <c r="F110" s="1351">
        <f>IF(G44="High pressure steam",F67,IF(G44="Medium pressure steam",G67,H67))</f>
        <v>1</v>
      </c>
      <c r="G110" s="190"/>
      <c r="H110" s="190"/>
      <c r="I110" s="190"/>
      <c r="J110" s="190"/>
      <c r="K110" s="190"/>
      <c r="L110" s="190"/>
      <c r="M110" s="190"/>
      <c r="N110" s="190"/>
      <c r="O110" s="608"/>
    </row>
    <row r="111" ht="30.6" thickBot="true" x14ac:dyDescent="0.3">
      <c r="B111" s="587"/>
      <c r="C111" s="190"/>
      <c r="D111" s="190"/>
      <c r="E111" s="221" t="s">
        <v>1094</v>
      </c>
      <c r="F111" s="1349">
        <f>F110*F109/100</f>
        <v>0</v>
      </c>
      <c r="G111" s="190"/>
      <c r="H111" s="190"/>
      <c r="I111" s="190"/>
      <c r="J111" s="190"/>
      <c r="K111" s="190"/>
      <c r="L111" s="190"/>
      <c r="M111" s="190"/>
      <c r="N111" s="190"/>
      <c r="O111" s="608"/>
    </row>
    <row r="112" ht="30.6" thickBot="true" x14ac:dyDescent="0.3">
      <c r="B112" s="587"/>
      <c r="C112" s="190"/>
      <c r="D112" s="190"/>
      <c r="E112" s="221" t="s">
        <v>1095</v>
      </c>
      <c r="F112" s="1349">
        <f>F109-F111</f>
        <v>0</v>
      </c>
      <c r="G112" s="190"/>
      <c r="H112" s="190"/>
      <c r="I112" s="190"/>
      <c r="J112" s="190"/>
      <c r="K112" s="190"/>
      <c r="L112" s="190"/>
      <c r="M112" s="190"/>
      <c r="N112" s="190"/>
      <c r="O112" s="608"/>
    </row>
    <row r="113" ht="24.75" customHeight="true" x14ac:dyDescent="0.25">
      <c r="B113" s="587"/>
      <c r="C113" s="190"/>
      <c r="D113" s="190"/>
      <c r="E113" s="219" t="s">
        <v>1072</v>
      </c>
      <c r="F113" s="1350">
        <f>'III. Utility Data'!F58</f>
        <v>38.299999999999997</v>
      </c>
      <c r="G113" s="190"/>
      <c r="H113" s="190"/>
      <c r="I113" s="190"/>
      <c r="J113" s="190"/>
      <c r="K113" s="190"/>
      <c r="L113" s="190"/>
      <c r="M113" s="190"/>
      <c r="N113" s="190"/>
      <c r="O113" s="608"/>
    </row>
    <row r="114" ht="24.75" customHeight="true" thickBot="true" x14ac:dyDescent="0.3">
      <c r="B114" s="587"/>
      <c r="C114" s="190"/>
      <c r="D114" s="190"/>
      <c r="E114" s="221" t="s">
        <v>1074</v>
      </c>
      <c r="F114" s="1349">
        <f>F112/F113</f>
        <v>0</v>
      </c>
      <c r="G114" s="190"/>
      <c r="H114" s="190"/>
      <c r="I114" s="190"/>
      <c r="J114" s="190"/>
      <c r="K114" s="190"/>
      <c r="L114" s="190"/>
      <c r="M114" s="190"/>
      <c r="N114" s="190"/>
      <c r="O114" s="608"/>
    </row>
    <row r="115" x14ac:dyDescent="0.25">
      <c r="B115" s="587"/>
      <c r="C115" s="190"/>
      <c r="D115" s="190"/>
      <c r="E115" s="190"/>
      <c r="F115" s="190"/>
      <c r="G115" s="190"/>
      <c r="H115" s="190"/>
      <c r="I115" s="190"/>
      <c r="J115" s="190"/>
      <c r="K115" s="190"/>
      <c r="L115" s="190"/>
      <c r="M115" s="190"/>
      <c r="N115" s="190"/>
      <c r="O115" s="608"/>
    </row>
    <row r="116" x14ac:dyDescent="0.25">
      <c r="B116" s="587"/>
      <c r="C116" s="190"/>
      <c r="D116" s="190"/>
      <c r="E116" s="190"/>
      <c r="F116" s="190"/>
      <c r="G116" s="190"/>
      <c r="H116" s="190"/>
      <c r="I116" s="190"/>
      <c r="J116" s="190"/>
      <c r="K116" s="190"/>
      <c r="L116" s="190"/>
      <c r="M116" s="190"/>
      <c r="N116" s="190"/>
      <c r="O116" s="608"/>
    </row>
    <row r="117" x14ac:dyDescent="0.25">
      <c r="B117" s="587"/>
      <c r="C117" s="190"/>
      <c r="D117" s="190"/>
      <c r="E117" s="190"/>
      <c r="F117" s="190"/>
      <c r="G117" s="190"/>
      <c r="H117" s="190"/>
      <c r="I117" s="190"/>
      <c r="J117" s="190"/>
      <c r="K117" s="190"/>
      <c r="L117" s="190"/>
      <c r="M117" s="190"/>
      <c r="N117" s="190"/>
      <c r="O117" s="608"/>
    </row>
    <row r="118" ht="21" x14ac:dyDescent="0.4">
      <c r="B118" s="587"/>
      <c r="C118" s="190"/>
      <c r="D118" s="190"/>
      <c r="E118" s="1832" t="s">
        <v>1782</v>
      </c>
      <c r="F118" s="1832"/>
      <c r="G118" s="190"/>
      <c r="H118" s="190"/>
      <c r="I118" s="190"/>
      <c r="J118" s="190"/>
      <c r="K118" s="190"/>
      <c r="L118" s="190"/>
      <c r="M118" s="190"/>
      <c r="N118" s="190"/>
      <c r="O118" s="608"/>
    </row>
    <row r="119" ht="13.8" thickBot="true" x14ac:dyDescent="0.3">
      <c r="B119" s="587"/>
      <c r="C119" s="190"/>
      <c r="D119" s="190"/>
      <c r="E119" s="190"/>
      <c r="F119" s="190"/>
      <c r="G119" s="190"/>
      <c r="H119" s="190"/>
      <c r="I119" s="190"/>
      <c r="J119" s="190"/>
      <c r="K119" s="190"/>
      <c r="L119" s="190"/>
      <c r="M119" s="190"/>
      <c r="N119" s="190"/>
      <c r="O119" s="608"/>
    </row>
    <row r="120" ht="30" x14ac:dyDescent="0.25">
      <c r="B120" s="587"/>
      <c r="C120" s="190"/>
      <c r="D120" s="190"/>
      <c r="E120" s="219" t="s">
        <v>1077</v>
      </c>
      <c r="F120" s="1350">
        <f>F83</f>
        <v>71.42</v>
      </c>
      <c r="G120" s="190"/>
      <c r="H120" s="190"/>
      <c r="I120" s="190"/>
      <c r="J120" s="190"/>
      <c r="K120" s="190"/>
      <c r="L120" s="190"/>
      <c r="M120" s="190"/>
      <c r="N120" s="190"/>
      <c r="O120" s="608"/>
    </row>
    <row r="121" ht="19.5" customHeight="true" thickBot="true" x14ac:dyDescent="0.3">
      <c r="B121" s="587"/>
      <c r="C121" s="190"/>
      <c r="D121" s="190"/>
      <c r="E121" s="222" t="s">
        <v>1078</v>
      </c>
      <c r="F121" s="1348">
        <f>ABS(F45/1000*F120)</f>
        <v>0</v>
      </c>
      <c r="G121" s="190"/>
      <c r="H121" s="190"/>
      <c r="I121" s="190"/>
      <c r="J121" s="190"/>
      <c r="K121" s="190"/>
      <c r="L121" s="190"/>
      <c r="M121" s="190"/>
      <c r="N121" s="190"/>
      <c r="O121" s="608"/>
    </row>
    <row r="122" ht="30" x14ac:dyDescent="0.25">
      <c r="B122" s="587"/>
      <c r="C122" s="190"/>
      <c r="D122" s="190"/>
      <c r="E122" s="219" t="s">
        <v>1103</v>
      </c>
      <c r="F122" s="1351">
        <f>F84</f>
        <v>1</v>
      </c>
      <c r="G122" s="190"/>
      <c r="H122" s="190"/>
      <c r="I122" s="190"/>
      <c r="J122" s="190"/>
      <c r="K122" s="190"/>
      <c r="L122" s="190"/>
      <c r="M122" s="190"/>
      <c r="N122" s="190"/>
      <c r="O122" s="608"/>
    </row>
    <row r="123" ht="30" x14ac:dyDescent="0.25">
      <c r="B123" s="587"/>
      <c r="C123" s="190"/>
      <c r="D123" s="190"/>
      <c r="E123" s="222" t="s">
        <v>1096</v>
      </c>
      <c r="F123" s="1348">
        <f>F122*F121/100</f>
        <v>0</v>
      </c>
      <c r="G123" s="190"/>
      <c r="H123" s="190"/>
      <c r="I123" s="190"/>
      <c r="J123" s="190"/>
      <c r="K123" s="190"/>
      <c r="L123" s="190"/>
      <c r="M123" s="190"/>
      <c r="N123" s="190"/>
      <c r="O123" s="608"/>
    </row>
    <row r="124" ht="30.6" thickBot="true" x14ac:dyDescent="0.3">
      <c r="B124" s="587"/>
      <c r="C124" s="190"/>
      <c r="D124" s="190"/>
      <c r="E124" s="221" t="s">
        <v>1098</v>
      </c>
      <c r="F124" s="1349">
        <f>F125/3</f>
        <v>3.4333333333333336</v>
      </c>
      <c r="G124" s="190"/>
      <c r="H124" s="190"/>
      <c r="I124" s="190"/>
      <c r="J124" s="190"/>
      <c r="K124" s="190"/>
      <c r="L124" s="190"/>
      <c r="M124" s="190"/>
      <c r="N124" s="190"/>
      <c r="O124" s="608"/>
    </row>
    <row r="125" ht="30.6" thickBot="true" x14ac:dyDescent="0.3">
      <c r="B125" s="587"/>
      <c r="C125" s="190"/>
      <c r="D125" s="190"/>
      <c r="E125" s="221" t="s">
        <v>1099</v>
      </c>
      <c r="F125" s="1349">
        <f>F96</f>
        <v>10.3</v>
      </c>
      <c r="G125" s="190"/>
      <c r="H125" s="190"/>
      <c r="I125" s="190"/>
      <c r="J125" s="190"/>
      <c r="K125" s="190"/>
      <c r="L125" s="190"/>
      <c r="M125" s="190"/>
      <c r="N125" s="190"/>
      <c r="O125" s="608"/>
    </row>
    <row r="126" ht="30.6" thickBot="true" x14ac:dyDescent="0.3">
      <c r="B126" s="587"/>
      <c r="C126" s="190"/>
      <c r="D126" s="190"/>
      <c r="E126" s="222" t="s">
        <v>1097</v>
      </c>
      <c r="F126" s="1348">
        <f>F121-F123</f>
        <v>0</v>
      </c>
      <c r="G126" s="190"/>
      <c r="H126" s="190"/>
      <c r="I126" s="190"/>
      <c r="J126" s="190"/>
      <c r="K126" s="190"/>
      <c r="L126" s="190"/>
      <c r="M126" s="190"/>
      <c r="N126" s="190"/>
      <c r="O126" s="608"/>
    </row>
    <row r="127" ht="30.6" thickBot="true" x14ac:dyDescent="0.3">
      <c r="B127" s="587"/>
      <c r="C127" s="190"/>
      <c r="D127" s="190"/>
      <c r="E127" s="223" t="s">
        <v>1075</v>
      </c>
      <c r="F127" s="1352">
        <f>F121*F122/100*F124+F121*(100-F122)/100*F125</f>
        <v>0</v>
      </c>
      <c r="G127" s="190"/>
      <c r="H127" s="190"/>
      <c r="I127" s="190"/>
      <c r="J127" s="190"/>
      <c r="K127" s="190"/>
      <c r="L127" s="190"/>
      <c r="M127" s="190"/>
      <c r="N127" s="190"/>
      <c r="O127" s="608"/>
    </row>
    <row r="128" x14ac:dyDescent="0.25">
      <c r="B128" s="587"/>
      <c r="C128" s="190"/>
      <c r="D128" s="190"/>
      <c r="E128" s="190"/>
      <c r="F128" s="190"/>
      <c r="G128" s="190"/>
      <c r="H128" s="190"/>
      <c r="I128" s="190"/>
      <c r="J128" s="190"/>
      <c r="K128" s="190"/>
      <c r="L128" s="190"/>
      <c r="M128" s="190"/>
      <c r="N128" s="190"/>
      <c r="O128" s="608"/>
    </row>
    <row r="129" x14ac:dyDescent="0.25">
      <c r="B129" s="587"/>
      <c r="C129" s="190"/>
      <c r="D129" s="190"/>
      <c r="E129" s="190"/>
      <c r="F129" s="190"/>
      <c r="G129" s="190"/>
      <c r="H129" s="190"/>
      <c r="I129" s="190"/>
      <c r="J129" s="190"/>
      <c r="K129" s="190"/>
      <c r="L129" s="190"/>
      <c r="M129" s="190"/>
      <c r="N129" s="190"/>
      <c r="O129" s="608"/>
    </row>
    <row r="130" x14ac:dyDescent="0.25">
      <c r="B130" s="587"/>
      <c r="C130" s="190"/>
      <c r="D130" s="190"/>
      <c r="E130" s="190"/>
      <c r="F130" s="190"/>
      <c r="G130" s="190"/>
      <c r="H130" s="190"/>
      <c r="I130" s="190"/>
      <c r="J130" s="190"/>
      <c r="K130" s="190"/>
      <c r="L130" s="190"/>
      <c r="M130" s="190"/>
      <c r="N130" s="190"/>
      <c r="O130" s="608"/>
    </row>
    <row r="131" ht="21" x14ac:dyDescent="0.4">
      <c r="B131" s="587"/>
      <c r="C131" s="190"/>
      <c r="D131" s="190"/>
      <c r="E131" s="1832" t="s">
        <v>1783</v>
      </c>
      <c r="F131" s="1832"/>
      <c r="G131" s="190"/>
      <c r="H131" s="190"/>
      <c r="I131" s="190"/>
      <c r="J131" s="190"/>
      <c r="K131" s="190"/>
      <c r="L131" s="190"/>
      <c r="M131" s="190"/>
      <c r="N131" s="190"/>
      <c r="O131" s="608"/>
    </row>
    <row r="132" ht="13.8" thickBot="true" x14ac:dyDescent="0.3">
      <c r="B132" s="587"/>
      <c r="C132" s="190"/>
      <c r="D132" s="190"/>
      <c r="E132" s="190"/>
      <c r="F132" s="190"/>
      <c r="G132" s="190"/>
      <c r="H132" s="190"/>
      <c r="I132" s="190"/>
      <c r="J132" s="190"/>
      <c r="K132" s="190"/>
      <c r="L132" s="190"/>
      <c r="M132" s="190"/>
      <c r="N132" s="190"/>
      <c r="O132" s="608"/>
    </row>
    <row r="133" ht="15.6" thickBot="true" x14ac:dyDescent="0.3">
      <c r="B133" s="587"/>
      <c r="C133" s="190"/>
      <c r="D133" s="190"/>
      <c r="E133" s="224" t="s">
        <v>1078</v>
      </c>
      <c r="F133" s="1352">
        <f>J46</f>
        <v>0</v>
      </c>
      <c r="G133" s="190"/>
      <c r="H133" s="190"/>
      <c r="I133" s="190"/>
      <c r="J133" s="190"/>
      <c r="K133" s="190"/>
      <c r="L133" s="190"/>
      <c r="M133" s="190"/>
      <c r="N133" s="190"/>
      <c r="O133" s="608"/>
    </row>
    <row r="134" ht="30" x14ac:dyDescent="0.25">
      <c r="B134" s="587"/>
      <c r="C134" s="190"/>
      <c r="D134" s="190"/>
      <c r="E134" s="219" t="s">
        <v>1103</v>
      </c>
      <c r="F134" s="1351">
        <f>F95</f>
        <v>1</v>
      </c>
      <c r="G134" s="190"/>
      <c r="H134" s="190"/>
      <c r="I134" s="190"/>
      <c r="J134" s="190"/>
      <c r="K134" s="190"/>
      <c r="L134" s="190"/>
      <c r="M134" s="190"/>
      <c r="N134" s="190"/>
      <c r="O134" s="608"/>
    </row>
    <row r="135" ht="30" x14ac:dyDescent="0.25">
      <c r="B135" s="587"/>
      <c r="C135" s="190"/>
      <c r="D135" s="190"/>
      <c r="E135" s="222" t="s">
        <v>1096</v>
      </c>
      <c r="F135" s="1348">
        <f>F134*F133/100</f>
        <v>0</v>
      </c>
      <c r="G135" s="190"/>
      <c r="H135" s="190"/>
      <c r="I135" s="190"/>
      <c r="J135" s="190"/>
      <c r="K135" s="190"/>
      <c r="L135" s="190"/>
      <c r="M135" s="190"/>
      <c r="N135" s="190"/>
      <c r="O135" s="608"/>
    </row>
    <row r="136" ht="30.6" thickBot="true" x14ac:dyDescent="0.3">
      <c r="B136" s="587"/>
      <c r="C136" s="190"/>
      <c r="D136" s="190"/>
      <c r="E136" s="221" t="s">
        <v>1098</v>
      </c>
      <c r="F136" s="1349">
        <f>F96/3</f>
        <v>3.4333333333333336</v>
      </c>
      <c r="G136" s="190"/>
      <c r="H136" s="190"/>
      <c r="I136" s="190"/>
      <c r="J136" s="190"/>
      <c r="K136" s="190"/>
      <c r="L136" s="190"/>
      <c r="M136" s="190"/>
      <c r="N136" s="190"/>
      <c r="O136" s="608"/>
    </row>
    <row r="137" ht="30" x14ac:dyDescent="0.25">
      <c r="B137" s="587"/>
      <c r="C137" s="190"/>
      <c r="D137" s="190"/>
      <c r="E137" s="222" t="s">
        <v>1097</v>
      </c>
      <c r="F137" s="1348">
        <f>F133-F135</f>
        <v>0</v>
      </c>
      <c r="G137" s="190"/>
      <c r="H137" s="190"/>
      <c r="I137" s="190"/>
      <c r="J137" s="190"/>
      <c r="K137" s="190"/>
      <c r="L137" s="190"/>
      <c r="M137" s="190"/>
      <c r="N137" s="190"/>
      <c r="O137" s="608"/>
    </row>
    <row r="138" ht="30.6" thickBot="true" x14ac:dyDescent="0.3">
      <c r="B138" s="587"/>
      <c r="C138" s="190"/>
      <c r="D138" s="190"/>
      <c r="E138" s="221" t="s">
        <v>1099</v>
      </c>
      <c r="F138" s="1349">
        <f>'III. Utility Data'!F96</f>
        <v>10.3</v>
      </c>
      <c r="G138" s="190"/>
      <c r="H138" s="190"/>
      <c r="I138" s="190"/>
      <c r="J138" s="190"/>
      <c r="K138" s="190"/>
      <c r="L138" s="190"/>
      <c r="M138" s="190"/>
      <c r="N138" s="190"/>
      <c r="O138" s="608"/>
    </row>
    <row r="139" ht="30.6" thickBot="true" x14ac:dyDescent="0.3">
      <c r="B139" s="587"/>
      <c r="C139" s="190"/>
      <c r="D139" s="190"/>
      <c r="E139" s="223" t="s">
        <v>1075</v>
      </c>
      <c r="F139" s="1352">
        <f>F133*F134/100*F136+F133*(100-F134)/100*F138</f>
        <v>0</v>
      </c>
      <c r="G139" s="190"/>
      <c r="H139" s="190"/>
      <c r="I139" s="190"/>
      <c r="J139" s="190"/>
      <c r="K139" s="190"/>
      <c r="L139" s="190"/>
      <c r="M139" s="190"/>
      <c r="N139" s="190"/>
      <c r="O139" s="608"/>
    </row>
    <row r="140" ht="13.8" thickBot="true" x14ac:dyDescent="0.3">
      <c r="B140" s="589"/>
      <c r="C140" s="590"/>
      <c r="D140" s="590"/>
      <c r="E140" s="590"/>
      <c r="F140" s="590"/>
      <c r="G140" s="590"/>
      <c r="H140" s="590"/>
      <c r="I140" s="590"/>
      <c r="J140" s="590"/>
      <c r="K140" s="590"/>
      <c r="L140" s="590"/>
      <c r="M140" s="590"/>
      <c r="N140" s="590"/>
      <c r="O140" s="609"/>
    </row>
  </sheetData>
  <sheetProtection sheet="true" objects="true" scenarios="true"/>
  <mergeCells count="35">
    <mergeCell ref="B8:C8"/>
    <mergeCell ref="G46:H46"/>
    <mergeCell ref="E17:F17"/>
    <mergeCell ref="E9:F9"/>
    <mergeCell ref="E10:F10"/>
    <mergeCell ref="E11:F11"/>
    <mergeCell ref="E16:F16"/>
    <mergeCell ref="E12:F12"/>
    <mergeCell ref="E13:F13"/>
    <mergeCell ref="E14:F14"/>
    <mergeCell ref="E15:F15"/>
    <mergeCell ref="B41:I41"/>
    <mergeCell ref="E25:F25"/>
    <mergeCell ref="D3:J3"/>
    <mergeCell ref="F6:H6"/>
    <mergeCell ref="E31:F31"/>
    <mergeCell ref="E51:F51"/>
    <mergeCell ref="E75:F75"/>
    <mergeCell ref="E53:H53"/>
    <mergeCell ref="E18:F18"/>
    <mergeCell ref="E19:F19"/>
    <mergeCell ref="E20:F20"/>
    <mergeCell ref="E24:F24"/>
    <mergeCell ref="E23:F23"/>
    <mergeCell ref="E21:F21"/>
    <mergeCell ref="E22:F22"/>
    <mergeCell ref="E43:F43"/>
    <mergeCell ref="G43:H43"/>
    <mergeCell ref="G45:H45"/>
    <mergeCell ref="E106:F106"/>
    <mergeCell ref="E118:F118"/>
    <mergeCell ref="E131:F131"/>
    <mergeCell ref="E93:F93"/>
    <mergeCell ref="E77:J77"/>
    <mergeCell ref="E78:J78"/>
  </mergeCells>
  <dataValidations count="2">
    <dataValidation type="list" allowBlank="true" showInputMessage="true" showErrorMessage="true" sqref="G44">
      <formula1>$F$61:$H$61</formula1>
    </dataValidation>
    <dataValidation type="list" allowBlank="true" showInputMessage="true" showErrorMessage="true" sqref="N11:N15">
      <formula1>"yes,no"</formula1>
    </dataValidation>
  </dataValidations>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2:AV438"/>
  <sheetViews>
    <sheetView zoomScale="70" zoomScaleNormal="70" workbookViewId="0">
      <selection activeCell="E18" sqref="E18:G18"/>
    </sheetView>
  </sheetViews>
  <sheetFormatPr defaultColWidth="9.109375" defaultRowHeight="15.6" x14ac:dyDescent="0.3"/>
  <cols>
    <col min="1" max="1" width="9.109375" style="62"/>
    <col min="2" max="2" width="12" style="62" customWidth="true"/>
    <col min="3" max="3" width="9.109375" style="62"/>
    <col min="4" max="4" width="8.88671875" style="118" customWidth="true"/>
    <col min="5" max="5" width="15.33203125" style="671" customWidth="true"/>
    <col min="6" max="6" width="14.5546875" style="672" customWidth="true"/>
    <col min="7" max="7" width="15.44140625" style="62" customWidth="true"/>
    <col min="8" max="8" width="24" style="673" customWidth="true"/>
    <col min="9" max="9" width="62" style="674" customWidth="true"/>
    <col min="10" max="10" width="75.109375" style="62" customWidth="true"/>
    <col min="11" max="11" width="41.44140625" style="673" customWidth="true"/>
    <col min="12" max="12" width="40.44140625" style="70" customWidth="true"/>
    <col min="13" max="13" width="29" style="539" customWidth="true"/>
    <col min="14" max="14" width="20.44140625" style="62" customWidth="true"/>
    <col min="15" max="15" width="24.88671875" style="62" customWidth="true"/>
    <col min="16" max="16" width="24.88671875" style="76" customWidth="true"/>
    <col min="17" max="17" width="24.88671875" style="74" customWidth="true"/>
    <col min="18" max="18" width="21.5546875" style="675" customWidth="true"/>
    <col min="19" max="19" width="20.44140625" style="675" customWidth="true"/>
    <col min="20" max="20" width="20.44140625" style="672" customWidth="true"/>
    <col min="21" max="21" width="14.88671875" style="62" customWidth="true"/>
    <col min="22" max="22" width="13" style="62" customWidth="true"/>
    <col min="23" max="23" width="9.109375" style="62"/>
    <col min="24" max="24" width="7.109375" style="62" customWidth="true"/>
    <col min="25" max="25" width="10.5546875" style="62" customWidth="true"/>
    <col min="26" max="26" width="12.5546875" style="62" customWidth="true"/>
    <col min="27" max="16384" width="9.109375" style="62"/>
  </cols>
  <sheetData>
    <row r="2" ht="16.2" thickBot="true" x14ac:dyDescent="0.35">
      <c r="T2" s="676"/>
      <c r="U2" s="136"/>
      <c r="V2" s="136"/>
      <c r="W2" s="136"/>
      <c r="X2" s="136"/>
      <c r="Y2" s="136"/>
      <c r="Z2" s="136"/>
      <c r="AA2" s="136"/>
      <c r="AB2" s="136"/>
      <c r="AC2" s="136"/>
      <c r="AD2" s="136"/>
      <c r="AE2" s="136"/>
      <c r="AF2" s="136"/>
      <c r="AG2" s="136"/>
      <c r="AH2" s="136"/>
      <c r="AI2" s="136"/>
      <c r="AJ2" s="136"/>
      <c r="AK2" s="136"/>
      <c r="AL2" s="136"/>
      <c r="AM2" s="136"/>
      <c r="AN2" s="136"/>
      <c r="AO2" s="136"/>
      <c r="AP2" s="136"/>
      <c r="AQ2" s="136"/>
      <c r="AR2" s="136"/>
      <c r="AS2" s="136"/>
      <c r="AT2" s="136"/>
      <c r="AU2" s="136"/>
      <c r="AV2" s="136"/>
    </row>
    <row r="3" ht="38.4" thickBot="true" x14ac:dyDescent="0.35">
      <c r="B3" s="668" t="s">
        <v>2359</v>
      </c>
      <c r="C3" s="159"/>
      <c r="D3" s="677"/>
      <c r="E3" s="433"/>
      <c r="F3" s="678"/>
      <c r="G3" s="159"/>
      <c r="H3" s="679"/>
      <c r="I3" s="680"/>
      <c r="J3" s="433"/>
      <c r="K3" s="679"/>
      <c r="L3" s="434"/>
      <c r="M3" s="681"/>
      <c r="N3" s="1868"/>
      <c r="O3" s="1868"/>
      <c r="P3" s="437"/>
      <c r="Q3" s="435"/>
      <c r="R3" s="435"/>
      <c r="S3" s="1180"/>
      <c r="T3" s="682"/>
      <c r="U3" s="683"/>
      <c r="V3" s="683"/>
      <c r="W3" s="684"/>
      <c r="X3" s="684"/>
      <c r="Y3" s="684"/>
      <c r="Z3" s="683"/>
      <c r="AA3" s="683"/>
      <c r="AB3" s="683"/>
      <c r="AC3" s="683"/>
      <c r="AD3" s="683"/>
      <c r="AE3" s="683"/>
      <c r="AF3" s="683"/>
      <c r="AG3" s="683"/>
      <c r="AH3" s="683"/>
      <c r="AI3" s="683"/>
      <c r="AJ3" s="683"/>
      <c r="AK3" s="683"/>
      <c r="AL3" s="683"/>
      <c r="AM3" s="683"/>
      <c r="AN3" s="683"/>
      <c r="AO3" s="683"/>
      <c r="AP3" s="683"/>
      <c r="AQ3" s="683"/>
      <c r="AR3" s="683"/>
      <c r="AS3" s="683"/>
      <c r="AT3" s="683"/>
      <c r="AU3" s="683"/>
      <c r="AV3" s="685"/>
    </row>
    <row r="4" ht="28.8" thickBot="true" x14ac:dyDescent="0.55000000000000004">
      <c r="B4" s="686"/>
      <c r="C4" s="683"/>
      <c r="D4" s="687"/>
      <c r="E4" s="557"/>
      <c r="F4" s="688"/>
      <c r="G4" s="557"/>
      <c r="H4" s="653"/>
      <c r="I4" s="689"/>
      <c r="J4" s="557"/>
      <c r="K4" s="690"/>
      <c r="L4" s="423"/>
      <c r="M4" s="691"/>
      <c r="N4" s="1899" t="s">
        <v>27</v>
      </c>
      <c r="O4" s="1900"/>
      <c r="P4" s="1900"/>
      <c r="Q4" s="1901"/>
      <c r="R4" s="669"/>
      <c r="S4" s="669"/>
      <c r="T4" s="682"/>
      <c r="U4" s="1858" t="s">
        <v>2361</v>
      </c>
      <c r="V4" s="1858"/>
      <c r="W4" s="1858"/>
      <c r="X4" s="1858"/>
      <c r="Y4" s="1858"/>
      <c r="Z4" s="1858"/>
      <c r="AA4" s="1858"/>
      <c r="AB4" s="1858"/>
      <c r="AC4" s="1858"/>
      <c r="AD4" s="1858"/>
      <c r="AE4" s="1858"/>
      <c r="AF4" s="1858"/>
      <c r="AG4" s="1858"/>
      <c r="AH4" s="1858"/>
      <c r="AI4" s="1858"/>
      <c r="AJ4" s="683"/>
      <c r="AK4" s="683"/>
      <c r="AL4" s="683"/>
      <c r="AM4" s="683"/>
      <c r="AN4" s="683"/>
      <c r="AO4" s="683"/>
      <c r="AP4" s="683"/>
      <c r="AQ4" s="683"/>
      <c r="AR4" s="683"/>
      <c r="AS4" s="683"/>
      <c r="AT4" s="683"/>
      <c r="AU4" s="683"/>
      <c r="AV4" s="685"/>
    </row>
    <row r="5" s="692" customFormat="true" ht="86.25" customHeight="true" thickBot="true" x14ac:dyDescent="0.45">
      <c r="B5" s="693"/>
      <c r="C5" s="694"/>
      <c r="D5" s="1874" t="s">
        <v>24</v>
      </c>
      <c r="E5" s="1875"/>
      <c r="F5" s="1875"/>
      <c r="G5" s="1876"/>
      <c r="H5" s="1191" t="s">
        <v>44</v>
      </c>
      <c r="I5" s="228" t="s">
        <v>42</v>
      </c>
      <c r="J5" s="229" t="s">
        <v>39</v>
      </c>
      <c r="K5" s="1191" t="s">
        <v>29</v>
      </c>
      <c r="L5" s="1191" t="s">
        <v>30</v>
      </c>
      <c r="M5" s="1191" t="s">
        <v>31</v>
      </c>
      <c r="N5" s="124" t="s">
        <v>73</v>
      </c>
      <c r="O5" s="125" t="s">
        <v>2260</v>
      </c>
      <c r="P5" s="124" t="s">
        <v>74</v>
      </c>
      <c r="Q5" s="125" t="s">
        <v>2261</v>
      </c>
      <c r="R5" s="124" t="s">
        <v>97</v>
      </c>
      <c r="S5" s="694"/>
      <c r="T5" s="695"/>
      <c r="U5" s="694"/>
      <c r="V5" s="669"/>
      <c r="W5" s="694"/>
      <c r="X5" s="694"/>
      <c r="Y5" s="694"/>
      <c r="Z5" s="694"/>
      <c r="AA5" s="694"/>
      <c r="AB5" s="694"/>
      <c r="AC5" s="694"/>
      <c r="AD5" s="694"/>
      <c r="AE5" s="694"/>
      <c r="AF5" s="694"/>
      <c r="AG5" s="694"/>
      <c r="AH5" s="694"/>
      <c r="AI5" s="694"/>
      <c r="AJ5" s="694"/>
      <c r="AK5" s="694"/>
      <c r="AL5" s="694"/>
      <c r="AM5" s="694"/>
      <c r="AN5" s="694"/>
      <c r="AO5" s="694"/>
      <c r="AP5" s="694"/>
      <c r="AQ5" s="694"/>
      <c r="AR5" s="694"/>
      <c r="AS5" s="694"/>
      <c r="AT5" s="694"/>
      <c r="AU5" s="694"/>
      <c r="AV5" s="696"/>
    </row>
    <row r="6" ht="80.25" customHeight="true" thickBot="true" x14ac:dyDescent="0.35">
      <c r="B6" s="697"/>
      <c r="C6" s="683"/>
      <c r="D6" s="230">
        <v>1</v>
      </c>
      <c r="E6" s="1869" t="s">
        <v>9</v>
      </c>
      <c r="F6" s="1869"/>
      <c r="G6" s="1870"/>
      <c r="H6" s="231" t="s">
        <v>2262</v>
      </c>
      <c r="I6" s="232" t="s">
        <v>2244</v>
      </c>
      <c r="J6" s="233"/>
      <c r="K6" s="234">
        <f>IFERROR(ROUND(H66,3),"miss. data")</f>
        <v>0.76</v>
      </c>
      <c r="L6" s="235" t="s">
        <v>1562</v>
      </c>
      <c r="M6" s="236" t="s">
        <v>68</v>
      </c>
      <c r="N6" s="234">
        <v>1</v>
      </c>
      <c r="O6" s="1129">
        <f>N6</f>
        <v>1</v>
      </c>
      <c r="P6" s="234">
        <v>0</v>
      </c>
      <c r="Q6" s="1130">
        <f>P6</f>
        <v>0</v>
      </c>
      <c r="R6" s="1215">
        <f>IFERROR(IF(ROUND((K6- IF(Q6&lt;&gt;"",Q6,P6))/(IF(O6&lt;&gt;"",O6,N6)- IF(Q6&lt;&gt;"",Q6,P6))*100,2)&lt;0,0,IF(ROUND((K6- IF(Q6&lt;&gt;"",Q6,P6))/(IF(O6&lt;&gt;"",O6,N6)- IF(Q6&lt;&gt;"",Q6,P6))*100,2)&gt;100,100,ROUND((K6- IF(Q6&lt;&gt;"",Q6,P6))/(IF(O6&lt;&gt;"",O6,N6)- IF(Q6&lt;&gt;"",Q6,P6))*100,2))),"")</f>
        <v>76</v>
      </c>
      <c r="S6" s="669"/>
      <c r="T6" s="698"/>
      <c r="U6" s="669"/>
      <c r="V6" s="669"/>
      <c r="W6" s="669"/>
      <c r="X6" s="669"/>
      <c r="Y6" s="669"/>
      <c r="Z6" s="669"/>
      <c r="AA6" s="683"/>
      <c r="AB6" s="683"/>
      <c r="AC6" s="683"/>
      <c r="AD6" s="683"/>
      <c r="AE6" s="683"/>
      <c r="AF6" s="683"/>
      <c r="AG6" s="683"/>
      <c r="AH6" s="683"/>
      <c r="AI6" s="683"/>
      <c r="AJ6" s="683"/>
      <c r="AK6" s="683"/>
      <c r="AL6" s="683"/>
      <c r="AM6" s="683"/>
      <c r="AN6" s="683"/>
      <c r="AO6" s="683"/>
      <c r="AP6" s="683"/>
      <c r="AQ6" s="683"/>
      <c r="AR6" s="683"/>
      <c r="AS6" s="683"/>
      <c r="AT6" s="683"/>
      <c r="AU6" s="683"/>
      <c r="AV6" s="685"/>
    </row>
    <row r="7" ht="75.75" customHeight="true" thickBot="true" x14ac:dyDescent="0.35">
      <c r="B7" s="697"/>
      <c r="C7" s="683"/>
      <c r="D7" s="1216">
        <f t="shared" ref="D7:D31" si="0">D6+1</f>
        <v>2</v>
      </c>
      <c r="E7" s="1859" t="s">
        <v>45</v>
      </c>
      <c r="F7" s="1859"/>
      <c r="G7" s="1859"/>
      <c r="H7" s="237" t="s">
        <v>2263</v>
      </c>
      <c r="I7" s="238" t="s">
        <v>2245</v>
      </c>
      <c r="J7" s="239"/>
      <c r="K7" s="80">
        <f>IFERROR(ROUND(H78,3),"miss. data")</f>
        <v>0.56000000000000005</v>
      </c>
      <c r="L7" s="1177" t="s">
        <v>40</v>
      </c>
      <c r="M7" s="1206" t="s">
        <v>69</v>
      </c>
      <c r="N7" s="80">
        <v>1</v>
      </c>
      <c r="O7" s="1129">
        <f t="shared" ref="O7:O31" si="1">N7</f>
        <v>1</v>
      </c>
      <c r="P7" s="80">
        <v>0</v>
      </c>
      <c r="Q7" s="1130">
        <f t="shared" ref="Q7:Q31" si="2">P7</f>
        <v>0</v>
      </c>
      <c r="R7" s="1217">
        <f t="shared" ref="R7:R31" si="3">IFERROR(IF(ROUND((K7- IF(Q7&lt;&gt;"",Q7,P7))/(IF(O7&lt;&gt;"",O7,N7)- IF(Q7&lt;&gt;"",Q7,P7))*100,2)&lt;0,0,IF(ROUND((K7- IF(Q7&lt;&gt;"",Q7,P7))/(IF(O7&lt;&gt;"",O7,N7)- IF(Q7&lt;&gt;"",Q7,P7))*100,2)&gt;100,100,ROUND((K7- IF(Q7&lt;&gt;"",Q7,P7))/(IF(O7&lt;&gt;"",O7,N7)- IF(Q7&lt;&gt;"",Q7,P7))*100,2))),"")</f>
        <v>56</v>
      </c>
      <c r="S7" s="669"/>
      <c r="T7" s="698"/>
      <c r="U7" s="669"/>
      <c r="V7" s="669"/>
      <c r="W7" s="669"/>
      <c r="X7" s="669"/>
      <c r="Y7" s="669"/>
      <c r="Z7" s="669"/>
      <c r="AA7" s="683"/>
      <c r="AB7" s="683"/>
      <c r="AC7" s="683"/>
      <c r="AD7" s="683"/>
      <c r="AE7" s="683"/>
      <c r="AF7" s="683"/>
      <c r="AG7" s="683"/>
      <c r="AH7" s="683"/>
      <c r="AI7" s="683"/>
      <c r="AJ7" s="683"/>
      <c r="AK7" s="683"/>
      <c r="AL7" s="683"/>
      <c r="AM7" s="683"/>
      <c r="AN7" s="683"/>
      <c r="AO7" s="683"/>
      <c r="AP7" s="683"/>
      <c r="AQ7" s="683"/>
      <c r="AR7" s="683"/>
      <c r="AS7" s="683"/>
      <c r="AT7" s="683"/>
      <c r="AU7" s="683"/>
      <c r="AV7" s="685"/>
    </row>
    <row r="8" ht="101.25" customHeight="true" thickBot="true" x14ac:dyDescent="0.35">
      <c r="B8" s="697"/>
      <c r="C8" s="683"/>
      <c r="D8" s="1216">
        <f t="shared" si="0"/>
        <v>3</v>
      </c>
      <c r="E8" s="1859" t="s">
        <v>66</v>
      </c>
      <c r="F8" s="1859"/>
      <c r="G8" s="1859"/>
      <c r="H8" s="240" t="s">
        <v>1651</v>
      </c>
      <c r="I8" s="238" t="s">
        <v>2246</v>
      </c>
      <c r="J8" s="239"/>
      <c r="K8" s="80">
        <f>IFERROR(ROUND(H80,3),"miss. data")</f>
        <v>0.42599999999999999</v>
      </c>
      <c r="L8" s="1177" t="s">
        <v>40</v>
      </c>
      <c r="M8" s="1206" t="s">
        <v>69</v>
      </c>
      <c r="N8" s="80">
        <v>1</v>
      </c>
      <c r="O8" s="1129">
        <f t="shared" si="1"/>
        <v>1</v>
      </c>
      <c r="P8" s="80">
        <v>0</v>
      </c>
      <c r="Q8" s="1130">
        <f t="shared" si="2"/>
        <v>0</v>
      </c>
      <c r="R8" s="1217">
        <f t="shared" si="3"/>
        <v>42.6</v>
      </c>
      <c r="S8" s="669"/>
      <c r="T8" s="698"/>
      <c r="U8" s="669"/>
      <c r="V8" s="669"/>
      <c r="W8" s="669"/>
      <c r="X8" s="669"/>
      <c r="Y8" s="669"/>
      <c r="Z8" s="669"/>
      <c r="AA8" s="683"/>
      <c r="AB8" s="683"/>
      <c r="AC8" s="683"/>
      <c r="AD8" s="683"/>
      <c r="AE8" s="683"/>
      <c r="AF8" s="683"/>
      <c r="AG8" s="683"/>
      <c r="AH8" s="683"/>
      <c r="AI8" s="683"/>
      <c r="AJ8" s="683"/>
      <c r="AK8" s="683"/>
      <c r="AL8" s="683"/>
      <c r="AM8" s="683"/>
      <c r="AN8" s="683"/>
      <c r="AO8" s="683"/>
      <c r="AP8" s="683"/>
      <c r="AQ8" s="683"/>
      <c r="AR8" s="683"/>
      <c r="AS8" s="683"/>
      <c r="AT8" s="683"/>
      <c r="AU8" s="683"/>
      <c r="AV8" s="685"/>
    </row>
    <row r="9" ht="126" customHeight="true" thickBot="true" x14ac:dyDescent="0.35">
      <c r="B9" s="697"/>
      <c r="C9" s="683"/>
      <c r="D9" s="1216">
        <f t="shared" si="0"/>
        <v>4</v>
      </c>
      <c r="E9" s="1859" t="s">
        <v>65</v>
      </c>
      <c r="F9" s="1859"/>
      <c r="G9" s="1859"/>
      <c r="H9" s="240" t="s">
        <v>1652</v>
      </c>
      <c r="I9" s="238" t="s">
        <v>2247</v>
      </c>
      <c r="J9" s="239"/>
      <c r="K9" s="80">
        <f>IFERROR(ROUND(1+H153/H154,3),"miss. data")</f>
        <v>1</v>
      </c>
      <c r="L9" s="241" t="s">
        <v>1562</v>
      </c>
      <c r="M9" s="1206" t="s">
        <v>68</v>
      </c>
      <c r="N9" s="80">
        <v>1</v>
      </c>
      <c r="O9" s="1129">
        <f t="shared" si="1"/>
        <v>1</v>
      </c>
      <c r="P9" s="80">
        <v>41</v>
      </c>
      <c r="Q9" s="1130">
        <f t="shared" si="2"/>
        <v>41</v>
      </c>
      <c r="R9" s="1217">
        <f t="shared" si="3"/>
        <v>100</v>
      </c>
      <c r="S9" s="669"/>
      <c r="T9" s="698"/>
      <c r="U9" s="669"/>
      <c r="V9" s="669"/>
      <c r="W9" s="669"/>
      <c r="X9" s="669"/>
      <c r="Y9" s="669"/>
      <c r="Z9" s="669"/>
      <c r="AA9" s="683"/>
      <c r="AB9" s="683"/>
      <c r="AC9" s="683"/>
      <c r="AD9" s="683"/>
      <c r="AE9" s="683"/>
      <c r="AF9" s="683"/>
      <c r="AG9" s="683"/>
      <c r="AH9" s="683"/>
      <c r="AI9" s="683"/>
      <c r="AJ9" s="683"/>
      <c r="AK9" s="683"/>
      <c r="AL9" s="683"/>
      <c r="AM9" s="683"/>
      <c r="AN9" s="683"/>
      <c r="AO9" s="683"/>
      <c r="AP9" s="683"/>
      <c r="AQ9" s="683"/>
      <c r="AR9" s="683"/>
      <c r="AS9" s="683"/>
      <c r="AT9" s="683"/>
      <c r="AU9" s="683"/>
      <c r="AV9" s="685"/>
    </row>
    <row r="10" ht="57.75" customHeight="true" thickBot="true" x14ac:dyDescent="0.35">
      <c r="B10" s="697"/>
      <c r="C10" s="683"/>
      <c r="D10" s="1216">
        <f t="shared" si="0"/>
        <v>5</v>
      </c>
      <c r="E10" s="1859" t="s">
        <v>64</v>
      </c>
      <c r="F10" s="1859"/>
      <c r="G10" s="1859"/>
      <c r="H10" s="240" t="s">
        <v>1653</v>
      </c>
      <c r="I10" s="238" t="s">
        <v>2248</v>
      </c>
      <c r="J10" s="242"/>
      <c r="K10" s="80">
        <f>IFERROR(ROUND(H160/H161,3),"miss. data")</f>
        <v>0.42599999999999999</v>
      </c>
      <c r="L10" s="1177" t="s">
        <v>1563</v>
      </c>
      <c r="M10" s="1206" t="s">
        <v>68</v>
      </c>
      <c r="N10" s="80">
        <v>1</v>
      </c>
      <c r="O10" s="1129">
        <f t="shared" si="1"/>
        <v>1</v>
      </c>
      <c r="P10" s="80">
        <v>0</v>
      </c>
      <c r="Q10" s="1130">
        <f t="shared" si="2"/>
        <v>0</v>
      </c>
      <c r="R10" s="1217">
        <f t="shared" si="3"/>
        <v>42.6</v>
      </c>
      <c r="S10" s="669"/>
      <c r="T10" s="698"/>
      <c r="U10" s="669"/>
      <c r="V10" s="669"/>
      <c r="W10" s="669"/>
      <c r="X10" s="669"/>
      <c r="Y10" s="669"/>
      <c r="Z10" s="669"/>
      <c r="AA10" s="683"/>
      <c r="AB10" s="683"/>
      <c r="AC10" s="683"/>
      <c r="AD10" s="683"/>
      <c r="AE10" s="683"/>
      <c r="AF10" s="683"/>
      <c r="AG10" s="683"/>
      <c r="AH10" s="683"/>
      <c r="AI10" s="683"/>
      <c r="AJ10" s="683"/>
      <c r="AK10" s="683"/>
      <c r="AL10" s="683"/>
      <c r="AM10" s="683"/>
      <c r="AN10" s="683"/>
      <c r="AO10" s="683"/>
      <c r="AP10" s="683"/>
      <c r="AQ10" s="683"/>
      <c r="AR10" s="683"/>
      <c r="AS10" s="683"/>
      <c r="AT10" s="683"/>
      <c r="AU10" s="683"/>
      <c r="AV10" s="685"/>
    </row>
    <row r="11" ht="47.25" customHeight="true" thickBot="true" x14ac:dyDescent="0.35">
      <c r="B11" s="697"/>
      <c r="C11" s="683"/>
      <c r="D11" s="1216">
        <f>D10+1</f>
        <v>6</v>
      </c>
      <c r="E11" s="1859" t="s">
        <v>63</v>
      </c>
      <c r="F11" s="1859"/>
      <c r="G11" s="1859"/>
      <c r="H11" s="240" t="s">
        <v>2264</v>
      </c>
      <c r="I11" s="243" t="s">
        <v>14</v>
      </c>
      <c r="J11" s="168"/>
      <c r="K11" s="80">
        <f>IFERROR(H167,"miss. data")</f>
        <v>6778.7792000553327</v>
      </c>
      <c r="L11" s="1177" t="s">
        <v>1564</v>
      </c>
      <c r="M11" s="1206" t="s">
        <v>36</v>
      </c>
      <c r="N11" s="80">
        <f>H59</f>
        <v>4512.0151204088124</v>
      </c>
      <c r="O11" s="1129">
        <f t="shared" si="1"/>
        <v>4512.0151204088124</v>
      </c>
      <c r="P11" s="80">
        <f>40*N11</f>
        <v>180480.60481635248</v>
      </c>
      <c r="Q11" s="1130">
        <f t="shared" si="2"/>
        <v>180480.60481635248</v>
      </c>
      <c r="R11" s="1217">
        <f t="shared" si="3"/>
        <v>98.71</v>
      </c>
      <c r="S11" s="669"/>
      <c r="T11" s="698"/>
      <c r="U11" s="669"/>
      <c r="V11" s="669"/>
      <c r="W11" s="669"/>
      <c r="X11" s="669"/>
      <c r="Y11" s="669"/>
      <c r="Z11" s="669"/>
      <c r="AA11" s="683"/>
      <c r="AB11" s="683"/>
      <c r="AC11" s="683"/>
      <c r="AD11" s="683"/>
      <c r="AE11" s="683"/>
      <c r="AF11" s="683"/>
      <c r="AG11" s="683"/>
      <c r="AH11" s="683"/>
      <c r="AI11" s="683"/>
      <c r="AJ11" s="683"/>
      <c r="AK11" s="683"/>
      <c r="AL11" s="683"/>
      <c r="AM11" s="683"/>
      <c r="AN11" s="683"/>
      <c r="AO11" s="683"/>
      <c r="AP11" s="683"/>
      <c r="AQ11" s="683"/>
      <c r="AR11" s="683"/>
      <c r="AS11" s="683"/>
      <c r="AT11" s="683"/>
      <c r="AU11" s="683"/>
      <c r="AV11" s="685"/>
    </row>
    <row r="12" ht="72.75" customHeight="true" thickBot="true" x14ac:dyDescent="0.35">
      <c r="B12" s="697"/>
      <c r="C12" s="683"/>
      <c r="D12" s="1216">
        <f>D11+1</f>
        <v>7</v>
      </c>
      <c r="E12" s="1859" t="s">
        <v>62</v>
      </c>
      <c r="F12" s="1859"/>
      <c r="G12" s="1859"/>
      <c r="H12" s="240" t="s">
        <v>2211</v>
      </c>
      <c r="I12" s="238" t="s">
        <v>2249</v>
      </c>
      <c r="J12" s="168"/>
      <c r="K12" s="80">
        <f>IFERROR(ROUND(H167/H59,3),"miss. data")</f>
        <v>1.502</v>
      </c>
      <c r="L12" s="1177" t="s">
        <v>1565</v>
      </c>
      <c r="M12" s="1206" t="s">
        <v>71</v>
      </c>
      <c r="N12" s="80">
        <v>1</v>
      </c>
      <c r="O12" s="1129">
        <f t="shared" si="1"/>
        <v>1</v>
      </c>
      <c r="P12" s="80">
        <v>40</v>
      </c>
      <c r="Q12" s="1130">
        <f t="shared" si="2"/>
        <v>40</v>
      </c>
      <c r="R12" s="1217">
        <f t="shared" si="3"/>
        <v>98.71</v>
      </c>
      <c r="S12" s="669"/>
      <c r="T12" s="698"/>
      <c r="U12" s="669"/>
      <c r="V12" s="669"/>
      <c r="W12" s="669"/>
      <c r="X12" s="669"/>
      <c r="Y12" s="669"/>
      <c r="Z12" s="669"/>
      <c r="AA12" s="683"/>
      <c r="AB12" s="683"/>
      <c r="AC12" s="683"/>
      <c r="AD12" s="683"/>
      <c r="AE12" s="683"/>
      <c r="AF12" s="683"/>
      <c r="AG12" s="683"/>
      <c r="AH12" s="683"/>
      <c r="AI12" s="683"/>
      <c r="AJ12" s="683"/>
      <c r="AK12" s="683"/>
      <c r="AL12" s="683"/>
      <c r="AM12" s="683"/>
      <c r="AN12" s="683"/>
      <c r="AO12" s="683"/>
      <c r="AP12" s="683"/>
      <c r="AQ12" s="683"/>
      <c r="AR12" s="683"/>
      <c r="AS12" s="683"/>
      <c r="AT12" s="683"/>
      <c r="AU12" s="683"/>
      <c r="AV12" s="685"/>
    </row>
    <row r="13" ht="70.5" customHeight="true" thickBot="true" x14ac:dyDescent="0.35">
      <c r="B13" s="697"/>
      <c r="C13" s="683"/>
      <c r="D13" s="1216">
        <f>D12+1</f>
        <v>8</v>
      </c>
      <c r="E13" s="1859" t="s">
        <v>61</v>
      </c>
      <c r="F13" s="1859"/>
      <c r="G13" s="1859"/>
      <c r="H13" s="240" t="s">
        <v>2265</v>
      </c>
      <c r="I13" s="243" t="s">
        <v>2212</v>
      </c>
      <c r="J13" s="239"/>
      <c r="K13" s="80">
        <f>IFERROR(ROUND(H167/H169,3),"miss. data")</f>
        <v>1.502</v>
      </c>
      <c r="L13" s="1177" t="s">
        <v>1565</v>
      </c>
      <c r="M13" s="1206" t="s">
        <v>43</v>
      </c>
      <c r="N13" s="80">
        <v>0</v>
      </c>
      <c r="O13" s="1129">
        <f t="shared" si="1"/>
        <v>0</v>
      </c>
      <c r="P13" s="80">
        <v>52</v>
      </c>
      <c r="Q13" s="1130">
        <f t="shared" si="2"/>
        <v>52</v>
      </c>
      <c r="R13" s="1217">
        <f t="shared" si="3"/>
        <v>97.11</v>
      </c>
      <c r="S13" s="669"/>
      <c r="T13" s="698"/>
      <c r="U13" s="669"/>
      <c r="V13" s="669"/>
      <c r="W13" s="669"/>
      <c r="X13" s="669"/>
      <c r="Y13" s="669"/>
      <c r="Z13" s="669"/>
      <c r="AA13" s="683"/>
      <c r="AB13" s="683"/>
      <c r="AC13" s="683"/>
      <c r="AD13" s="683"/>
      <c r="AE13" s="683"/>
      <c r="AF13" s="683"/>
      <c r="AG13" s="683"/>
      <c r="AH13" s="683"/>
      <c r="AI13" s="683"/>
      <c r="AJ13" s="683"/>
      <c r="AK13" s="683"/>
      <c r="AL13" s="683"/>
      <c r="AM13" s="683"/>
      <c r="AN13" s="683"/>
      <c r="AO13" s="683"/>
      <c r="AP13" s="683"/>
      <c r="AQ13" s="683"/>
      <c r="AR13" s="683"/>
      <c r="AS13" s="683"/>
      <c r="AT13" s="683"/>
      <c r="AU13" s="683"/>
      <c r="AV13" s="685"/>
    </row>
    <row r="14" ht="61.5" customHeight="true" thickBot="true" x14ac:dyDescent="0.35">
      <c r="B14" s="697"/>
      <c r="C14" s="683"/>
      <c r="D14" s="1216">
        <f t="shared" si="0"/>
        <v>9</v>
      </c>
      <c r="E14" s="1859" t="s">
        <v>60</v>
      </c>
      <c r="F14" s="1859"/>
      <c r="G14" s="1859"/>
      <c r="H14" s="240" t="s">
        <v>1654</v>
      </c>
      <c r="I14" s="243" t="s">
        <v>1541</v>
      </c>
      <c r="J14" s="242"/>
      <c r="K14" s="80">
        <f>IFERROR(ROUND(H59/H167,3),"miss. data")</f>
        <v>0.66600000000000004</v>
      </c>
      <c r="L14" s="1177" t="s">
        <v>1565</v>
      </c>
      <c r="M14" s="1206" t="s">
        <v>68</v>
      </c>
      <c r="N14" s="80">
        <v>1</v>
      </c>
      <c r="O14" s="1129">
        <f t="shared" si="1"/>
        <v>1</v>
      </c>
      <c r="P14" s="80">
        <v>0</v>
      </c>
      <c r="Q14" s="1130">
        <f t="shared" si="2"/>
        <v>0</v>
      </c>
      <c r="R14" s="1217">
        <f t="shared" si="3"/>
        <v>66.599999999999994</v>
      </c>
      <c r="S14" s="669"/>
      <c r="T14" s="698"/>
      <c r="U14" s="669"/>
      <c r="V14" s="669"/>
      <c r="W14" s="669"/>
      <c r="X14" s="669"/>
      <c r="Y14" s="669"/>
      <c r="Z14" s="669"/>
      <c r="AA14" s="683"/>
      <c r="AB14" s="683"/>
      <c r="AC14" s="683"/>
      <c r="AD14" s="683"/>
      <c r="AE14" s="683"/>
      <c r="AF14" s="683"/>
      <c r="AG14" s="683"/>
      <c r="AH14" s="683"/>
      <c r="AI14" s="683"/>
      <c r="AJ14" s="683"/>
      <c r="AK14" s="683"/>
      <c r="AL14" s="683"/>
      <c r="AM14" s="683"/>
      <c r="AN14" s="683"/>
      <c r="AO14" s="683"/>
      <c r="AP14" s="683"/>
      <c r="AQ14" s="683"/>
      <c r="AR14" s="683"/>
      <c r="AS14" s="683"/>
      <c r="AT14" s="683"/>
      <c r="AU14" s="683"/>
      <c r="AV14" s="685"/>
    </row>
    <row r="15" ht="60" customHeight="true" thickBot="true" x14ac:dyDescent="0.35">
      <c r="B15" s="697"/>
      <c r="C15" s="683"/>
      <c r="D15" s="1216">
        <f t="shared" si="0"/>
        <v>10</v>
      </c>
      <c r="E15" s="1859" t="s">
        <v>55</v>
      </c>
      <c r="F15" s="1859"/>
      <c r="G15" s="1859"/>
      <c r="H15" s="240" t="s">
        <v>2266</v>
      </c>
      <c r="I15" s="238" t="s">
        <v>2250</v>
      </c>
      <c r="J15" s="239"/>
      <c r="K15" s="80">
        <f>IFERROR(ROUND(H178/H176,3),"miss. data")</f>
        <v>0.502</v>
      </c>
      <c r="L15" s="1177" t="s">
        <v>1566</v>
      </c>
      <c r="M15" s="1206" t="s">
        <v>68</v>
      </c>
      <c r="N15" s="80">
        <v>0</v>
      </c>
      <c r="O15" s="1129">
        <f t="shared" si="1"/>
        <v>0</v>
      </c>
      <c r="P15" s="80">
        <v>39</v>
      </c>
      <c r="Q15" s="1130">
        <f t="shared" si="2"/>
        <v>39</v>
      </c>
      <c r="R15" s="1217">
        <f t="shared" si="3"/>
        <v>98.71</v>
      </c>
      <c r="S15" s="669"/>
      <c r="T15" s="698"/>
      <c r="U15" s="669"/>
      <c r="V15" s="669"/>
      <c r="W15" s="669"/>
      <c r="X15" s="669"/>
      <c r="Y15" s="669"/>
      <c r="Z15" s="669"/>
      <c r="AA15" s="683"/>
      <c r="AB15" s="683"/>
      <c r="AC15" s="683"/>
      <c r="AD15" s="683"/>
      <c r="AE15" s="683"/>
      <c r="AF15" s="683"/>
      <c r="AG15" s="683"/>
      <c r="AH15" s="683"/>
      <c r="AI15" s="683"/>
      <c r="AJ15" s="683"/>
      <c r="AK15" s="683"/>
      <c r="AL15" s="683"/>
      <c r="AM15" s="683"/>
      <c r="AN15" s="683"/>
      <c r="AO15" s="683"/>
      <c r="AP15" s="683"/>
      <c r="AQ15" s="683"/>
      <c r="AR15" s="683"/>
      <c r="AS15" s="683"/>
      <c r="AT15" s="683"/>
      <c r="AU15" s="683"/>
      <c r="AV15" s="685"/>
    </row>
    <row r="16" ht="65.25" customHeight="true" thickBot="true" x14ac:dyDescent="0.35">
      <c r="B16" s="697"/>
      <c r="C16" s="683"/>
      <c r="D16" s="1216">
        <f t="shared" si="0"/>
        <v>11</v>
      </c>
      <c r="E16" s="1859" t="s">
        <v>54</v>
      </c>
      <c r="F16" s="1859"/>
      <c r="G16" s="1859"/>
      <c r="H16" s="240" t="s">
        <v>1655</v>
      </c>
      <c r="I16" s="243" t="s">
        <v>1542</v>
      </c>
      <c r="J16" s="242"/>
      <c r="K16" s="80">
        <f>IFERROR(ROUND((H175-H176)/H176,3),"miss. data")</f>
        <v>0.502</v>
      </c>
      <c r="L16" s="1177" t="s">
        <v>1528</v>
      </c>
      <c r="M16" s="1206" t="s">
        <v>68</v>
      </c>
      <c r="N16" s="80">
        <v>0</v>
      </c>
      <c r="O16" s="1129">
        <f t="shared" si="1"/>
        <v>0</v>
      </c>
      <c r="P16" s="80">
        <v>100</v>
      </c>
      <c r="Q16" s="1130">
        <f t="shared" si="2"/>
        <v>100</v>
      </c>
      <c r="R16" s="1217">
        <f t="shared" si="3"/>
        <v>99.5</v>
      </c>
      <c r="S16" s="669"/>
      <c r="T16" s="698"/>
      <c r="U16" s="669"/>
      <c r="V16" s="669"/>
      <c r="W16" s="669"/>
      <c r="X16" s="669"/>
      <c r="Y16" s="669"/>
      <c r="Z16" s="669"/>
      <c r="AA16" s="683"/>
      <c r="AB16" s="683"/>
      <c r="AC16" s="683"/>
      <c r="AD16" s="683"/>
      <c r="AE16" s="683"/>
      <c r="AF16" s="683"/>
      <c r="AG16" s="683"/>
      <c r="AH16" s="683"/>
      <c r="AI16" s="683"/>
      <c r="AJ16" s="683"/>
      <c r="AK16" s="683"/>
      <c r="AL16" s="683"/>
      <c r="AM16" s="683"/>
      <c r="AN16" s="683"/>
      <c r="AO16" s="683"/>
      <c r="AP16" s="683"/>
      <c r="AQ16" s="683"/>
      <c r="AR16" s="683"/>
      <c r="AS16" s="683"/>
      <c r="AT16" s="683"/>
      <c r="AU16" s="683"/>
      <c r="AV16" s="685"/>
    </row>
    <row r="17" ht="66.75" customHeight="true" thickBot="true" x14ac:dyDescent="0.35">
      <c r="B17" s="697"/>
      <c r="C17" s="683"/>
      <c r="D17" s="1216">
        <f t="shared" si="0"/>
        <v>12</v>
      </c>
      <c r="E17" s="1859" t="s">
        <v>53</v>
      </c>
      <c r="F17" s="1859"/>
      <c r="G17" s="1859"/>
      <c r="H17" s="240" t="s">
        <v>2267</v>
      </c>
      <c r="I17" s="238" t="s">
        <v>2251</v>
      </c>
      <c r="J17" s="239"/>
      <c r="K17" s="80">
        <f>IFERROR(ROUND(H190/H189,3),"miss. data")</f>
        <v>0.78500000000000003</v>
      </c>
      <c r="L17" s="1177" t="s">
        <v>1567</v>
      </c>
      <c r="M17" s="1206" t="s">
        <v>69</v>
      </c>
      <c r="N17" s="80">
        <v>0</v>
      </c>
      <c r="O17" s="1129">
        <f t="shared" si="1"/>
        <v>0</v>
      </c>
      <c r="P17" s="80">
        <v>100</v>
      </c>
      <c r="Q17" s="1130">
        <f t="shared" si="2"/>
        <v>100</v>
      </c>
      <c r="R17" s="1217">
        <f t="shared" si="3"/>
        <v>99.22</v>
      </c>
      <c r="S17" s="669"/>
      <c r="T17" s="698"/>
      <c r="U17" s="669"/>
      <c r="V17" s="669"/>
      <c r="W17" s="669"/>
      <c r="X17" s="669"/>
      <c r="Y17" s="669"/>
      <c r="Z17" s="669"/>
      <c r="AA17" s="683"/>
      <c r="AB17" s="683"/>
      <c r="AC17" s="683"/>
      <c r="AD17" s="683"/>
      <c r="AE17" s="683"/>
      <c r="AF17" s="683"/>
      <c r="AG17" s="683"/>
      <c r="AH17" s="683"/>
      <c r="AI17" s="683"/>
      <c r="AJ17" s="683"/>
      <c r="AK17" s="683"/>
      <c r="AL17" s="683"/>
      <c r="AM17" s="683"/>
      <c r="AN17" s="683"/>
      <c r="AO17" s="683"/>
      <c r="AP17" s="683"/>
      <c r="AQ17" s="683"/>
      <c r="AR17" s="683"/>
      <c r="AS17" s="683"/>
      <c r="AT17" s="683"/>
      <c r="AU17" s="683"/>
      <c r="AV17" s="685"/>
    </row>
    <row r="18" ht="129" customHeight="true" thickBot="true" x14ac:dyDescent="0.35">
      <c r="B18" s="697"/>
      <c r="C18" s="683"/>
      <c r="D18" s="1216">
        <f t="shared" si="0"/>
        <v>13</v>
      </c>
      <c r="E18" s="1859" t="s">
        <v>51</v>
      </c>
      <c r="F18" s="1859"/>
      <c r="G18" s="1859"/>
      <c r="H18" s="240" t="s">
        <v>1656</v>
      </c>
      <c r="I18" s="238" t="s">
        <v>2252</v>
      </c>
      <c r="J18" s="242"/>
      <c r="K18" s="1218">
        <f>IFERROR(ROUND(H197/H196,3),"miss. data")</f>
        <v>0</v>
      </c>
      <c r="L18" s="241" t="s">
        <v>1535</v>
      </c>
      <c r="M18" s="1206" t="s">
        <v>68</v>
      </c>
      <c r="N18" s="80">
        <v>0</v>
      </c>
      <c r="O18" s="1129">
        <f t="shared" si="1"/>
        <v>0</v>
      </c>
      <c r="P18" s="80">
        <v>40</v>
      </c>
      <c r="Q18" s="1130">
        <f t="shared" si="2"/>
        <v>40</v>
      </c>
      <c r="R18" s="1217">
        <f t="shared" si="3"/>
        <v>100</v>
      </c>
      <c r="S18" s="669"/>
      <c r="T18" s="682"/>
      <c r="U18" s="683"/>
      <c r="V18" s="683"/>
      <c r="W18" s="683"/>
      <c r="X18" s="683"/>
      <c r="Y18" s="683"/>
      <c r="Z18" s="683"/>
      <c r="AA18" s="683"/>
      <c r="AB18" s="683"/>
      <c r="AC18" s="683"/>
      <c r="AD18" s="683"/>
      <c r="AE18" s="683"/>
      <c r="AF18" s="683"/>
      <c r="AG18" s="683"/>
      <c r="AH18" s="683"/>
      <c r="AI18" s="683"/>
      <c r="AJ18" s="683"/>
      <c r="AK18" s="683"/>
      <c r="AL18" s="683"/>
      <c r="AM18" s="683"/>
      <c r="AN18" s="683"/>
      <c r="AO18" s="683"/>
      <c r="AP18" s="683"/>
      <c r="AQ18" s="683"/>
      <c r="AR18" s="683"/>
      <c r="AS18" s="683"/>
      <c r="AT18" s="683"/>
      <c r="AU18" s="683"/>
      <c r="AV18" s="685"/>
    </row>
    <row r="19" ht="90.75" customHeight="true" thickBot="true" x14ac:dyDescent="0.35">
      <c r="B19" s="697"/>
      <c r="C19" s="683"/>
      <c r="D19" s="1216">
        <f t="shared" si="0"/>
        <v>14</v>
      </c>
      <c r="E19" s="1859" t="s">
        <v>52</v>
      </c>
      <c r="F19" s="1859"/>
      <c r="G19" s="1859"/>
      <c r="H19" s="240" t="s">
        <v>1657</v>
      </c>
      <c r="I19" s="243" t="s">
        <v>1543</v>
      </c>
      <c r="J19" s="239"/>
      <c r="K19" s="80">
        <f>IFERROR(ROUND(H256/H257,3),"miss. data")</f>
        <v>0</v>
      </c>
      <c r="L19" s="241" t="s">
        <v>1568</v>
      </c>
      <c r="M19" s="1206" t="s">
        <v>72</v>
      </c>
      <c r="N19" s="80">
        <v>1</v>
      </c>
      <c r="O19" s="1129">
        <f t="shared" si="1"/>
        <v>1</v>
      </c>
      <c r="P19" s="80">
        <v>0</v>
      </c>
      <c r="Q19" s="1130">
        <f t="shared" si="2"/>
        <v>0</v>
      </c>
      <c r="R19" s="1217">
        <f t="shared" si="3"/>
        <v>0</v>
      </c>
      <c r="S19" s="669"/>
      <c r="T19" s="682"/>
      <c r="U19" s="683"/>
      <c r="V19" s="683"/>
      <c r="W19" s="683"/>
      <c r="X19" s="683"/>
      <c r="Y19" s="683"/>
      <c r="Z19" s="683"/>
      <c r="AA19" s="683"/>
      <c r="AB19" s="683"/>
      <c r="AC19" s="683"/>
      <c r="AD19" s="683"/>
      <c r="AE19" s="683"/>
      <c r="AF19" s="683"/>
      <c r="AG19" s="683"/>
      <c r="AH19" s="683"/>
      <c r="AI19" s="683"/>
      <c r="AJ19" s="683"/>
      <c r="AK19" s="683"/>
      <c r="AL19" s="683"/>
      <c r="AM19" s="683"/>
      <c r="AN19" s="683"/>
      <c r="AO19" s="683"/>
      <c r="AP19" s="683"/>
      <c r="AQ19" s="683"/>
      <c r="AR19" s="683"/>
      <c r="AS19" s="683"/>
      <c r="AT19" s="683"/>
      <c r="AU19" s="683"/>
      <c r="AV19" s="685"/>
    </row>
    <row r="20" ht="122.25" customHeight="true" thickBot="true" x14ac:dyDescent="0.35">
      <c r="B20" s="697"/>
      <c r="C20" s="683"/>
      <c r="D20" s="1216">
        <f>D19+1</f>
        <v>15</v>
      </c>
      <c r="E20" s="1859" t="s">
        <v>56</v>
      </c>
      <c r="F20" s="1859"/>
      <c r="G20" s="1859"/>
      <c r="H20" s="240" t="s">
        <v>1658</v>
      </c>
      <c r="I20" s="243" t="s">
        <v>1544</v>
      </c>
      <c r="J20" s="239"/>
      <c r="K20" s="80" t="str">
        <f>IFERROR(ROUND(H311/H309,3),"miss. data")</f>
        <v>miss. data</v>
      </c>
      <c r="L20" s="241" t="s">
        <v>1569</v>
      </c>
      <c r="M20" s="1206" t="s">
        <v>68</v>
      </c>
      <c r="N20" s="80">
        <v>1</v>
      </c>
      <c r="O20" s="1129">
        <f t="shared" si="1"/>
        <v>1</v>
      </c>
      <c r="P20" s="80">
        <v>0</v>
      </c>
      <c r="Q20" s="1130">
        <f t="shared" si="2"/>
        <v>0</v>
      </c>
      <c r="R20" s="1217" t="str">
        <f t="shared" si="3"/>
        <v/>
      </c>
      <c r="S20" s="669"/>
      <c r="T20" s="682"/>
      <c r="U20" s="698"/>
      <c r="V20" s="698"/>
      <c r="W20" s="698"/>
      <c r="X20" s="683"/>
      <c r="Y20" s="699"/>
      <c r="Z20" s="682"/>
      <c r="AA20" s="683"/>
      <c r="AB20" s="683"/>
      <c r="AC20" s="683"/>
      <c r="AD20" s="683"/>
      <c r="AE20" s="683"/>
      <c r="AF20" s="683"/>
      <c r="AG20" s="683"/>
      <c r="AH20" s="683"/>
      <c r="AI20" s="683"/>
      <c r="AJ20" s="683"/>
      <c r="AK20" s="683"/>
      <c r="AL20" s="683"/>
      <c r="AM20" s="683"/>
      <c r="AN20" s="683"/>
      <c r="AO20" s="683"/>
      <c r="AP20" s="683"/>
      <c r="AQ20" s="683"/>
      <c r="AR20" s="683"/>
      <c r="AS20" s="683"/>
      <c r="AT20" s="683"/>
      <c r="AU20" s="683"/>
      <c r="AV20" s="685"/>
    </row>
    <row r="21" ht="105" customHeight="true" thickBot="true" x14ac:dyDescent="0.35">
      <c r="B21" s="697"/>
      <c r="C21" s="683"/>
      <c r="D21" s="1216">
        <f t="shared" si="0"/>
        <v>16</v>
      </c>
      <c r="E21" s="1859" t="s">
        <v>57</v>
      </c>
      <c r="F21" s="1859"/>
      <c r="G21" s="1859"/>
      <c r="H21" s="240" t="s">
        <v>2268</v>
      </c>
      <c r="I21" s="238" t="s">
        <v>2253</v>
      </c>
      <c r="J21" s="239"/>
      <c r="K21" s="80">
        <f>IFERROR(ROUND(H309/H312,3),"miss. data")</f>
        <v>0</v>
      </c>
      <c r="L21" s="241" t="s">
        <v>1570</v>
      </c>
      <c r="M21" s="1206" t="s">
        <v>68</v>
      </c>
      <c r="N21" s="80">
        <v>0</v>
      </c>
      <c r="O21" s="1129">
        <f t="shared" si="1"/>
        <v>0</v>
      </c>
      <c r="P21" s="80">
        <v>62</v>
      </c>
      <c r="Q21" s="1130">
        <f t="shared" si="2"/>
        <v>62</v>
      </c>
      <c r="R21" s="1217">
        <f t="shared" si="3"/>
        <v>100</v>
      </c>
      <c r="S21" s="669"/>
      <c r="T21" s="682"/>
      <c r="U21" s="682"/>
      <c r="V21" s="682"/>
      <c r="W21" s="682"/>
      <c r="X21" s="683"/>
      <c r="Y21" s="699"/>
      <c r="Z21" s="682"/>
      <c r="AA21" s="683"/>
      <c r="AB21" s="683"/>
      <c r="AC21" s="683"/>
      <c r="AD21" s="683"/>
      <c r="AE21" s="683"/>
      <c r="AF21" s="683"/>
      <c r="AG21" s="683"/>
      <c r="AH21" s="683"/>
      <c r="AI21" s="683"/>
      <c r="AJ21" s="683"/>
      <c r="AK21" s="683"/>
      <c r="AL21" s="683"/>
      <c r="AM21" s="683"/>
      <c r="AN21" s="683"/>
      <c r="AO21" s="683"/>
      <c r="AP21" s="683"/>
      <c r="AQ21" s="683"/>
      <c r="AR21" s="683"/>
      <c r="AS21" s="683"/>
      <c r="AT21" s="683"/>
      <c r="AU21" s="683"/>
      <c r="AV21" s="685"/>
    </row>
    <row r="22" ht="51" customHeight="true" thickBot="true" x14ac:dyDescent="0.35">
      <c r="B22" s="697"/>
      <c r="C22" s="683"/>
      <c r="D22" s="1216">
        <f>D21+1</f>
        <v>17</v>
      </c>
      <c r="E22" s="1859" t="s">
        <v>58</v>
      </c>
      <c r="F22" s="1859"/>
      <c r="G22" s="1859"/>
      <c r="H22" s="240" t="s">
        <v>2269</v>
      </c>
      <c r="I22" s="243" t="s">
        <v>2254</v>
      </c>
      <c r="J22" s="239"/>
      <c r="K22" s="80">
        <f>IFERROR(ROUND(1/((H175-H176)/H176),3),"miss. data")</f>
        <v>1.9910000000000001</v>
      </c>
      <c r="L22" s="1177" t="s">
        <v>1565</v>
      </c>
      <c r="M22" s="1206" t="s">
        <v>68</v>
      </c>
      <c r="N22" s="80">
        <v>0</v>
      </c>
      <c r="O22" s="1129">
        <f t="shared" si="1"/>
        <v>0</v>
      </c>
      <c r="P22" s="80">
        <v>40</v>
      </c>
      <c r="Q22" s="1130">
        <f t="shared" si="2"/>
        <v>40</v>
      </c>
      <c r="R22" s="1217">
        <f t="shared" si="3"/>
        <v>95.02</v>
      </c>
      <c r="S22" s="669"/>
      <c r="T22" s="682"/>
      <c r="U22" s="682"/>
      <c r="V22" s="682"/>
      <c r="W22" s="682"/>
      <c r="X22" s="683"/>
      <c r="Y22" s="699"/>
      <c r="Z22" s="682"/>
      <c r="AA22" s="683"/>
      <c r="AB22" s="683"/>
      <c r="AC22" s="683"/>
      <c r="AD22" s="683"/>
      <c r="AE22" s="683"/>
      <c r="AF22" s="683"/>
      <c r="AG22" s="683"/>
      <c r="AH22" s="683"/>
      <c r="AI22" s="683"/>
      <c r="AJ22" s="683"/>
      <c r="AK22" s="683"/>
      <c r="AL22" s="683"/>
      <c r="AM22" s="683"/>
      <c r="AN22" s="683"/>
      <c r="AO22" s="683"/>
      <c r="AP22" s="683"/>
      <c r="AQ22" s="683"/>
      <c r="AR22" s="683"/>
      <c r="AS22" s="683"/>
      <c r="AT22" s="683"/>
      <c r="AU22" s="683"/>
      <c r="AV22" s="685"/>
    </row>
    <row r="23" ht="47.25" customHeight="true" thickBot="true" x14ac:dyDescent="0.35">
      <c r="B23" s="697"/>
      <c r="C23" s="683"/>
      <c r="D23" s="1216">
        <f t="shared" si="0"/>
        <v>18</v>
      </c>
      <c r="E23" s="1859" t="s">
        <v>59</v>
      </c>
      <c r="F23" s="1859"/>
      <c r="G23" s="1859"/>
      <c r="H23" s="240" t="s">
        <v>2270</v>
      </c>
      <c r="I23" s="238" t="s">
        <v>2255</v>
      </c>
      <c r="J23" s="239"/>
      <c r="K23" s="80">
        <f>IFERROR(ROUND(H366/H365,3),"miss. data")</f>
        <v>0</v>
      </c>
      <c r="L23" s="1177" t="s">
        <v>1571</v>
      </c>
      <c r="M23" s="1206" t="s">
        <v>68</v>
      </c>
      <c r="N23" s="80">
        <v>1</v>
      </c>
      <c r="O23" s="1129">
        <f t="shared" si="1"/>
        <v>1</v>
      </c>
      <c r="P23" s="80">
        <v>0</v>
      </c>
      <c r="Q23" s="1130">
        <f t="shared" si="2"/>
        <v>0</v>
      </c>
      <c r="R23" s="1217">
        <f t="shared" si="3"/>
        <v>0</v>
      </c>
      <c r="S23" s="669"/>
      <c r="T23" s="682"/>
      <c r="U23" s="682"/>
      <c r="V23" s="682"/>
      <c r="W23" s="682"/>
      <c r="X23" s="683"/>
      <c r="Y23" s="683"/>
      <c r="Z23" s="683"/>
      <c r="AA23" s="683"/>
      <c r="AB23" s="683"/>
      <c r="AC23" s="683"/>
      <c r="AD23" s="683"/>
      <c r="AE23" s="683"/>
      <c r="AF23" s="683"/>
      <c r="AG23" s="683"/>
      <c r="AH23" s="683"/>
      <c r="AI23" s="683"/>
      <c r="AJ23" s="683"/>
      <c r="AK23" s="683"/>
      <c r="AL23" s="683"/>
      <c r="AM23" s="683"/>
      <c r="AN23" s="683"/>
      <c r="AO23" s="683"/>
      <c r="AP23" s="683"/>
      <c r="AQ23" s="683"/>
      <c r="AR23" s="683"/>
      <c r="AS23" s="683"/>
      <c r="AT23" s="683"/>
      <c r="AU23" s="683"/>
      <c r="AV23" s="685"/>
    </row>
    <row r="24" ht="75.75" customHeight="true" thickBot="true" x14ac:dyDescent="0.35">
      <c r="B24" s="697"/>
      <c r="C24" s="683"/>
      <c r="D24" s="1216">
        <f t="shared" si="0"/>
        <v>19</v>
      </c>
      <c r="E24" s="1859" t="s">
        <v>1623</v>
      </c>
      <c r="F24" s="1859"/>
      <c r="G24" s="1859"/>
      <c r="H24" s="240" t="s">
        <v>2271</v>
      </c>
      <c r="I24" s="238" t="s">
        <v>2256</v>
      </c>
      <c r="J24" s="239"/>
      <c r="K24" s="86">
        <f>IFERROR(ROUND(H365/(H365-H366),3),"miss. data")</f>
        <v>1</v>
      </c>
      <c r="L24" s="1177" t="s">
        <v>1571</v>
      </c>
      <c r="M24" s="1206" t="s">
        <v>68</v>
      </c>
      <c r="N24" s="80">
        <v>10</v>
      </c>
      <c r="O24" s="1129">
        <f t="shared" si="1"/>
        <v>10</v>
      </c>
      <c r="P24" s="80">
        <v>0</v>
      </c>
      <c r="Q24" s="1130">
        <f t="shared" si="2"/>
        <v>0</v>
      </c>
      <c r="R24" s="1217">
        <f t="shared" si="3"/>
        <v>10</v>
      </c>
      <c r="S24" s="669"/>
      <c r="T24" s="682"/>
      <c r="U24" s="682"/>
      <c r="V24" s="682"/>
      <c r="W24" s="682"/>
      <c r="X24" s="683"/>
      <c r="Y24" s="683"/>
      <c r="Z24" s="683"/>
      <c r="AA24" s="683"/>
      <c r="AB24" s="683"/>
      <c r="AC24" s="683"/>
      <c r="AD24" s="683"/>
      <c r="AE24" s="683"/>
      <c r="AF24" s="683"/>
      <c r="AG24" s="683"/>
      <c r="AH24" s="683"/>
      <c r="AI24" s="683"/>
      <c r="AJ24" s="683"/>
      <c r="AK24" s="683"/>
      <c r="AL24" s="683"/>
      <c r="AM24" s="683"/>
      <c r="AN24" s="683"/>
      <c r="AO24" s="683"/>
      <c r="AP24" s="683"/>
      <c r="AQ24" s="683"/>
      <c r="AR24" s="683"/>
      <c r="AS24" s="683"/>
      <c r="AT24" s="683"/>
      <c r="AU24" s="683"/>
      <c r="AV24" s="685"/>
    </row>
    <row r="25" ht="77.25" customHeight="true" thickBot="true" x14ac:dyDescent="0.35">
      <c r="B25" s="697"/>
      <c r="C25" s="683"/>
      <c r="D25" s="1216">
        <f t="shared" si="0"/>
        <v>20</v>
      </c>
      <c r="E25" s="1879" t="s">
        <v>1551</v>
      </c>
      <c r="F25" s="1879"/>
      <c r="G25" s="1879"/>
      <c r="H25" s="240" t="s">
        <v>2272</v>
      </c>
      <c r="I25" s="243" t="s">
        <v>15</v>
      </c>
      <c r="J25" s="168"/>
      <c r="K25" s="80">
        <f>IFERROR(ROUND(H373/H372,3),"miss. data")</f>
        <v>0</v>
      </c>
      <c r="L25" s="1177" t="s">
        <v>2238</v>
      </c>
      <c r="M25" s="1206" t="s">
        <v>68</v>
      </c>
      <c r="N25" s="80">
        <v>1</v>
      </c>
      <c r="O25" s="1129">
        <f t="shared" si="1"/>
        <v>1</v>
      </c>
      <c r="P25" s="80">
        <v>0</v>
      </c>
      <c r="Q25" s="1130">
        <f t="shared" si="2"/>
        <v>0</v>
      </c>
      <c r="R25" s="1217">
        <f t="shared" si="3"/>
        <v>0</v>
      </c>
      <c r="S25" s="669"/>
      <c r="T25" s="682"/>
      <c r="U25" s="683"/>
      <c r="V25" s="683"/>
      <c r="W25" s="683"/>
      <c r="X25" s="683"/>
      <c r="Y25" s="683"/>
      <c r="Z25" s="683"/>
      <c r="AA25" s="683"/>
      <c r="AB25" s="683"/>
      <c r="AC25" s="683"/>
      <c r="AD25" s="683"/>
      <c r="AE25" s="683"/>
      <c r="AF25" s="683"/>
      <c r="AG25" s="683"/>
      <c r="AH25" s="683"/>
      <c r="AI25" s="683"/>
      <c r="AJ25" s="683"/>
      <c r="AK25" s="683"/>
      <c r="AL25" s="683"/>
      <c r="AM25" s="683"/>
      <c r="AN25" s="683"/>
      <c r="AO25" s="683"/>
      <c r="AP25" s="683"/>
      <c r="AQ25" s="683"/>
      <c r="AR25" s="683"/>
      <c r="AS25" s="683"/>
      <c r="AT25" s="683"/>
      <c r="AU25" s="683"/>
      <c r="AV25" s="685"/>
    </row>
    <row r="26" ht="95.25" customHeight="true" thickBot="true" x14ac:dyDescent="0.35">
      <c r="B26" s="697"/>
      <c r="C26" s="683"/>
      <c r="D26" s="1216">
        <f t="shared" si="0"/>
        <v>21</v>
      </c>
      <c r="E26" s="1859" t="s">
        <v>46</v>
      </c>
      <c r="F26" s="1859"/>
      <c r="G26" s="1859"/>
      <c r="H26" s="240" t="s">
        <v>2273</v>
      </c>
      <c r="I26" s="243" t="s">
        <v>2239</v>
      </c>
      <c r="J26" s="244"/>
      <c r="K26" s="80">
        <f>IFERROR(ROUND(H373/H176,3),"miss. data")</f>
        <v>0</v>
      </c>
      <c r="L26" s="1177" t="s">
        <v>2240</v>
      </c>
      <c r="M26" s="1206" t="s">
        <v>68</v>
      </c>
      <c r="N26" s="80">
        <v>1</v>
      </c>
      <c r="O26" s="1129">
        <f t="shared" si="1"/>
        <v>1</v>
      </c>
      <c r="P26" s="80">
        <v>0</v>
      </c>
      <c r="Q26" s="1130">
        <f t="shared" si="2"/>
        <v>0</v>
      </c>
      <c r="R26" s="1217">
        <f t="shared" si="3"/>
        <v>0</v>
      </c>
      <c r="S26" s="669"/>
      <c r="T26" s="682"/>
      <c r="U26" s="683"/>
      <c r="V26" s="683"/>
      <c r="W26" s="683"/>
      <c r="X26" s="683"/>
      <c r="Y26" s="683"/>
      <c r="Z26" s="683"/>
      <c r="AA26" s="683"/>
      <c r="AB26" s="683"/>
      <c r="AC26" s="683"/>
      <c r="AD26" s="683"/>
      <c r="AE26" s="683"/>
      <c r="AF26" s="683"/>
      <c r="AG26" s="683"/>
      <c r="AH26" s="683"/>
      <c r="AI26" s="683"/>
      <c r="AJ26" s="683"/>
      <c r="AK26" s="683"/>
      <c r="AL26" s="683"/>
      <c r="AM26" s="683"/>
      <c r="AN26" s="683"/>
      <c r="AO26" s="683"/>
      <c r="AP26" s="683"/>
      <c r="AQ26" s="683"/>
      <c r="AR26" s="683"/>
      <c r="AS26" s="683"/>
      <c r="AT26" s="683"/>
      <c r="AU26" s="683"/>
      <c r="AV26" s="685"/>
    </row>
    <row r="27" ht="69.75" customHeight="true" thickBot="true" x14ac:dyDescent="0.35">
      <c r="B27" s="697"/>
      <c r="C27" s="683"/>
      <c r="D27" s="1216">
        <f t="shared" si="0"/>
        <v>22</v>
      </c>
      <c r="E27" s="1859" t="s">
        <v>47</v>
      </c>
      <c r="F27" s="1859"/>
      <c r="G27" s="1859"/>
      <c r="H27" s="240" t="s">
        <v>2274</v>
      </c>
      <c r="I27" s="243" t="s">
        <v>10</v>
      </c>
      <c r="J27" s="244"/>
      <c r="K27" s="80">
        <f>IFERROR(H380/H379,"miss. data")</f>
        <v>0</v>
      </c>
      <c r="L27" s="1177" t="s">
        <v>2241</v>
      </c>
      <c r="M27" s="1206" t="s">
        <v>68</v>
      </c>
      <c r="N27" s="80">
        <v>1</v>
      </c>
      <c r="O27" s="1129">
        <f t="shared" si="1"/>
        <v>1</v>
      </c>
      <c r="P27" s="80">
        <v>0</v>
      </c>
      <c r="Q27" s="1130">
        <f t="shared" si="2"/>
        <v>0</v>
      </c>
      <c r="R27" s="1217">
        <f t="shared" si="3"/>
        <v>0</v>
      </c>
      <c r="S27" s="669"/>
      <c r="T27" s="682"/>
      <c r="U27" s="683"/>
      <c r="V27" s="683"/>
      <c r="W27" s="683"/>
      <c r="X27" s="683"/>
      <c r="Y27" s="683"/>
      <c r="Z27" s="683"/>
      <c r="AA27" s="683"/>
      <c r="AB27" s="683"/>
      <c r="AC27" s="683"/>
      <c r="AD27" s="683"/>
      <c r="AE27" s="683"/>
      <c r="AF27" s="683"/>
      <c r="AG27" s="683"/>
      <c r="AH27" s="683"/>
      <c r="AI27" s="683"/>
      <c r="AJ27" s="683"/>
      <c r="AK27" s="683"/>
      <c r="AL27" s="683"/>
      <c r="AM27" s="683"/>
      <c r="AN27" s="683"/>
      <c r="AO27" s="683"/>
      <c r="AP27" s="683"/>
      <c r="AQ27" s="683"/>
      <c r="AR27" s="683"/>
      <c r="AS27" s="683"/>
      <c r="AT27" s="683"/>
      <c r="AU27" s="683"/>
      <c r="AV27" s="685"/>
    </row>
    <row r="28" ht="99.75" customHeight="true" thickBot="true" x14ac:dyDescent="0.35">
      <c r="B28" s="697"/>
      <c r="C28" s="683"/>
      <c r="D28" s="1216">
        <f>D27+1</f>
        <v>23</v>
      </c>
      <c r="E28" s="1859" t="s">
        <v>48</v>
      </c>
      <c r="F28" s="1859"/>
      <c r="G28" s="1859"/>
      <c r="H28" s="240" t="s">
        <v>2275</v>
      </c>
      <c r="I28" s="243" t="s">
        <v>12</v>
      </c>
      <c r="J28" s="244"/>
      <c r="K28" s="80">
        <f>IFERROR(1/H387*(H386-H389),"miss. data")</f>
        <v>0</v>
      </c>
      <c r="L28" s="1177" t="s">
        <v>1557</v>
      </c>
      <c r="M28" s="1206" t="s">
        <v>1572</v>
      </c>
      <c r="N28" s="80">
        <v>0</v>
      </c>
      <c r="O28" s="1129">
        <f t="shared" si="1"/>
        <v>0</v>
      </c>
      <c r="P28" s="80">
        <f>H386/1000</f>
        <v>0</v>
      </c>
      <c r="Q28" s="1130">
        <f t="shared" si="2"/>
        <v>0</v>
      </c>
      <c r="R28" s="1217" t="str">
        <f t="shared" si="3"/>
        <v/>
      </c>
      <c r="S28" s="669"/>
      <c r="T28" s="682"/>
      <c r="U28" s="683"/>
      <c r="V28" s="683"/>
      <c r="W28" s="683"/>
      <c r="X28" s="683"/>
      <c r="Y28" s="683"/>
      <c r="Z28" s="683"/>
      <c r="AA28" s="683"/>
      <c r="AB28" s="683"/>
      <c r="AC28" s="683"/>
      <c r="AD28" s="683"/>
      <c r="AE28" s="683"/>
      <c r="AF28" s="683"/>
      <c r="AG28" s="683"/>
      <c r="AH28" s="683"/>
      <c r="AI28" s="683"/>
      <c r="AJ28" s="683"/>
      <c r="AK28" s="683"/>
      <c r="AL28" s="683"/>
      <c r="AM28" s="683"/>
      <c r="AN28" s="683"/>
      <c r="AO28" s="683"/>
      <c r="AP28" s="683"/>
      <c r="AQ28" s="683"/>
      <c r="AR28" s="683"/>
      <c r="AS28" s="683"/>
      <c r="AT28" s="683"/>
      <c r="AU28" s="683"/>
      <c r="AV28" s="685"/>
    </row>
    <row r="29" ht="86.25" customHeight="true" thickBot="true" x14ac:dyDescent="0.35">
      <c r="B29" s="697"/>
      <c r="C29" s="683"/>
      <c r="D29" s="1216">
        <f t="shared" si="0"/>
        <v>24</v>
      </c>
      <c r="E29" s="1859" t="s">
        <v>67</v>
      </c>
      <c r="F29" s="1859"/>
      <c r="G29" s="1859"/>
      <c r="H29" s="240" t="s">
        <v>1659</v>
      </c>
      <c r="I29" s="243" t="s">
        <v>2242</v>
      </c>
      <c r="J29" s="244"/>
      <c r="K29" s="80">
        <f>IFERROR((1/H387*(H386-H389))/H176,"miss. data")</f>
        <v>0</v>
      </c>
      <c r="L29" s="1177" t="s">
        <v>2243</v>
      </c>
      <c r="M29" s="1206" t="s">
        <v>1573</v>
      </c>
      <c r="N29" s="80">
        <v>0</v>
      </c>
      <c r="O29" s="1129">
        <f t="shared" si="1"/>
        <v>0</v>
      </c>
      <c r="P29" s="80">
        <v>2.95</v>
      </c>
      <c r="Q29" s="1130">
        <f t="shared" si="2"/>
        <v>2.95</v>
      </c>
      <c r="R29" s="1217">
        <f t="shared" si="3"/>
        <v>100</v>
      </c>
      <c r="S29" s="669"/>
      <c r="T29" s="682"/>
      <c r="U29" s="682"/>
      <c r="V29" s="682"/>
      <c r="W29" s="682"/>
      <c r="X29" s="683"/>
      <c r="Y29" s="683"/>
      <c r="Z29" s="683"/>
      <c r="AA29" s="683"/>
      <c r="AB29" s="683"/>
      <c r="AC29" s="683"/>
      <c r="AD29" s="683"/>
      <c r="AE29" s="683"/>
      <c r="AF29" s="683"/>
      <c r="AG29" s="683"/>
      <c r="AH29" s="683"/>
      <c r="AI29" s="683"/>
      <c r="AJ29" s="683"/>
      <c r="AK29" s="683"/>
      <c r="AL29" s="683"/>
      <c r="AM29" s="683"/>
      <c r="AN29" s="683"/>
      <c r="AO29" s="683"/>
      <c r="AP29" s="683"/>
      <c r="AQ29" s="683"/>
      <c r="AR29" s="683"/>
      <c r="AS29" s="683"/>
      <c r="AT29" s="683"/>
      <c r="AU29" s="683"/>
      <c r="AV29" s="685"/>
    </row>
    <row r="30" ht="59.25" customHeight="true" thickBot="true" x14ac:dyDescent="0.35">
      <c r="B30" s="697"/>
      <c r="C30" s="683"/>
      <c r="D30" s="1216">
        <f t="shared" si="0"/>
        <v>25</v>
      </c>
      <c r="E30" s="1859" t="s">
        <v>50</v>
      </c>
      <c r="F30" s="1859"/>
      <c r="G30" s="1859"/>
      <c r="H30" s="240" t="s">
        <v>1660</v>
      </c>
      <c r="I30" s="238" t="s">
        <v>2257</v>
      </c>
      <c r="J30" s="239"/>
      <c r="K30" s="80">
        <f>IFERROR((1/H387*(H386-H389))/H169,"miss. data")</f>
        <v>0</v>
      </c>
      <c r="L30" s="1177" t="s">
        <v>1560</v>
      </c>
      <c r="M30" s="1206" t="s">
        <v>1574</v>
      </c>
      <c r="N30" s="80">
        <v>0</v>
      </c>
      <c r="O30" s="1129">
        <f t="shared" si="1"/>
        <v>0</v>
      </c>
      <c r="P30" s="80">
        <v>1.55</v>
      </c>
      <c r="Q30" s="1130">
        <f t="shared" si="2"/>
        <v>1.55</v>
      </c>
      <c r="R30" s="1217">
        <f t="shared" si="3"/>
        <v>100</v>
      </c>
      <c r="S30" s="669"/>
      <c r="T30" s="682"/>
      <c r="U30" s="682"/>
      <c r="V30" s="682"/>
      <c r="W30" s="682"/>
      <c r="X30" s="683"/>
      <c r="Y30" s="683"/>
      <c r="Z30" s="683"/>
      <c r="AA30" s="683"/>
      <c r="AB30" s="683"/>
      <c r="AC30" s="683"/>
      <c r="AD30" s="683"/>
      <c r="AE30" s="683"/>
      <c r="AF30" s="683"/>
      <c r="AG30" s="683"/>
      <c r="AH30" s="683"/>
      <c r="AI30" s="683"/>
      <c r="AJ30" s="683"/>
      <c r="AK30" s="683"/>
      <c r="AL30" s="683"/>
      <c r="AM30" s="683"/>
      <c r="AN30" s="683"/>
      <c r="AO30" s="683"/>
      <c r="AP30" s="683"/>
      <c r="AQ30" s="683"/>
      <c r="AR30" s="683"/>
      <c r="AS30" s="683"/>
      <c r="AT30" s="683"/>
      <c r="AU30" s="683"/>
      <c r="AV30" s="685"/>
    </row>
    <row r="31" ht="102" customHeight="true" thickBot="true" x14ac:dyDescent="0.35">
      <c r="B31" s="697"/>
      <c r="C31" s="683"/>
      <c r="D31" s="1219">
        <f t="shared" si="0"/>
        <v>26</v>
      </c>
      <c r="E31" s="1873" t="s">
        <v>49</v>
      </c>
      <c r="F31" s="1873"/>
      <c r="G31" s="1873"/>
      <c r="H31" s="245" t="s">
        <v>2276</v>
      </c>
      <c r="I31" s="246" t="s">
        <v>13</v>
      </c>
      <c r="J31" s="247"/>
      <c r="K31" s="87" t="str">
        <f>IFERROR(H390/(1/H387*(H386-H389)),"miss. data")</f>
        <v>miss. data</v>
      </c>
      <c r="L31" s="248" t="s">
        <v>1561</v>
      </c>
      <c r="M31" s="249" t="s">
        <v>2401</v>
      </c>
      <c r="N31" s="87">
        <v>0</v>
      </c>
      <c r="O31" s="1129">
        <f t="shared" si="1"/>
        <v>0</v>
      </c>
      <c r="P31" s="87">
        <v>1</v>
      </c>
      <c r="Q31" s="1130">
        <f t="shared" si="2"/>
        <v>1</v>
      </c>
      <c r="R31" s="1220" t="str">
        <f t="shared" si="3"/>
        <v/>
      </c>
      <c r="S31" s="669"/>
      <c r="T31" s="682"/>
      <c r="U31" s="682"/>
      <c r="V31" s="682"/>
      <c r="W31" s="682"/>
      <c r="X31" s="683"/>
      <c r="Y31" s="683"/>
      <c r="Z31" s="683"/>
      <c r="AA31" s="683"/>
      <c r="AB31" s="683"/>
      <c r="AC31" s="683"/>
      <c r="AD31" s="683"/>
      <c r="AE31" s="683"/>
      <c r="AF31" s="683"/>
      <c r="AG31" s="683"/>
      <c r="AH31" s="683"/>
      <c r="AI31" s="683"/>
      <c r="AJ31" s="683"/>
      <c r="AK31" s="683"/>
      <c r="AL31" s="683"/>
      <c r="AM31" s="683"/>
      <c r="AN31" s="683"/>
      <c r="AO31" s="683"/>
      <c r="AP31" s="683"/>
      <c r="AQ31" s="683"/>
      <c r="AR31" s="683"/>
      <c r="AS31" s="683"/>
      <c r="AT31" s="683"/>
      <c r="AU31" s="683"/>
      <c r="AV31" s="685"/>
    </row>
    <row r="32" ht="29.25" customHeight="true" thickBot="true" x14ac:dyDescent="0.35">
      <c r="B32" s="700"/>
      <c r="C32" s="151"/>
      <c r="D32" s="250"/>
      <c r="E32" s="251"/>
      <c r="F32" s="251"/>
      <c r="G32" s="251"/>
      <c r="H32" s="252"/>
      <c r="I32" s="253"/>
      <c r="J32" s="254"/>
      <c r="K32" s="255"/>
      <c r="L32" s="256"/>
      <c r="M32" s="257"/>
      <c r="N32" s="255"/>
      <c r="O32" s="151"/>
      <c r="P32" s="255"/>
      <c r="Q32" s="701"/>
      <c r="R32" s="227"/>
      <c r="S32" s="667"/>
      <c r="T32" s="702"/>
      <c r="U32" s="702"/>
      <c r="V32" s="702"/>
      <c r="W32" s="702"/>
      <c r="X32" s="151"/>
      <c r="Y32" s="151"/>
      <c r="Z32" s="151"/>
      <c r="AA32" s="151"/>
      <c r="AB32" s="151"/>
      <c r="AC32" s="151"/>
      <c r="AD32" s="151"/>
      <c r="AE32" s="151"/>
      <c r="AF32" s="151"/>
      <c r="AG32" s="151"/>
      <c r="AH32" s="151"/>
      <c r="AI32" s="151"/>
      <c r="AJ32" s="151"/>
      <c r="AK32" s="151"/>
      <c r="AL32" s="151"/>
      <c r="AM32" s="151"/>
      <c r="AN32" s="151"/>
      <c r="AO32" s="151"/>
      <c r="AP32" s="151"/>
      <c r="AQ32" s="151"/>
      <c r="AR32" s="151"/>
      <c r="AS32" s="151"/>
      <c r="AT32" s="151"/>
      <c r="AU32" s="151"/>
      <c r="AV32" s="703"/>
    </row>
    <row r="33" ht="29.25" customHeight="true" x14ac:dyDescent="0.3">
      <c r="E33" s="119"/>
      <c r="F33" s="119"/>
      <c r="G33" s="119"/>
      <c r="H33" s="258"/>
      <c r="I33" s="120"/>
      <c r="J33" s="45"/>
      <c r="K33" s="121"/>
      <c r="L33" s="122"/>
      <c r="M33" s="91"/>
      <c r="N33" s="121"/>
      <c r="P33" s="121"/>
      <c r="R33" s="93"/>
      <c r="U33" s="672"/>
      <c r="V33" s="672"/>
      <c r="W33" s="672"/>
    </row>
    <row r="34" ht="21.75" customHeight="true" thickBot="true" x14ac:dyDescent="0.35">
      <c r="E34" s="119"/>
      <c r="F34" s="119"/>
      <c r="G34" s="119"/>
      <c r="H34" s="258"/>
      <c r="I34" s="120"/>
      <c r="J34" s="45"/>
      <c r="K34" s="121"/>
      <c r="L34" s="122"/>
      <c r="M34" s="91"/>
      <c r="N34" s="121"/>
      <c r="P34" s="121"/>
      <c r="R34" s="93"/>
      <c r="U34" s="672"/>
      <c r="V34" s="672"/>
      <c r="W34" s="672"/>
    </row>
    <row r="35" ht="34.5" customHeight="true" thickBot="true" x14ac:dyDescent="0.45">
      <c r="A35" s="704"/>
      <c r="B35" s="1882" t="s">
        <v>2360</v>
      </c>
      <c r="C35" s="1882"/>
      <c r="D35" s="1882"/>
      <c r="E35" s="1882"/>
      <c r="F35" s="1882"/>
      <c r="G35" s="1882"/>
      <c r="H35" s="1882"/>
      <c r="I35" s="1883"/>
      <c r="J35" s="705"/>
      <c r="K35" s="200"/>
      <c r="L35" s="200"/>
      <c r="M35" s="200"/>
      <c r="N35" s="200"/>
      <c r="O35" s="200"/>
      <c r="P35" s="200"/>
      <c r="Q35" s="200"/>
      <c r="R35" s="259"/>
      <c r="S35" s="706"/>
      <c r="T35" s="707"/>
      <c r="U35" s="707"/>
      <c r="V35" s="707"/>
      <c r="W35" s="707"/>
      <c r="X35" s="595"/>
      <c r="Y35" s="595"/>
      <c r="Z35" s="595"/>
      <c r="AA35" s="595"/>
      <c r="AB35" s="595"/>
      <c r="AC35" s="595"/>
      <c r="AD35" s="595"/>
      <c r="AE35" s="595"/>
      <c r="AF35" s="595"/>
      <c r="AG35" s="595"/>
      <c r="AH35" s="595"/>
      <c r="AI35" s="595"/>
      <c r="AJ35" s="595"/>
      <c r="AK35" s="595"/>
      <c r="AL35" s="595"/>
      <c r="AM35" s="595"/>
      <c r="AN35" s="595"/>
      <c r="AO35" s="595"/>
      <c r="AP35" s="595"/>
      <c r="AQ35" s="595"/>
      <c r="AR35" s="595"/>
      <c r="AS35" s="595"/>
      <c r="AT35" s="595"/>
      <c r="AU35" s="595"/>
      <c r="AV35" s="596"/>
    </row>
    <row r="36" ht="27.75" customHeight="true" thickBot="true" x14ac:dyDescent="0.45">
      <c r="A36" s="704"/>
      <c r="B36" s="570"/>
      <c r="C36" s="570"/>
      <c r="D36" s="708"/>
      <c r="E36" s="829"/>
      <c r="F36" s="1927" t="s">
        <v>1471</v>
      </c>
      <c r="G36" s="1927"/>
      <c r="H36" s="292"/>
      <c r="I36" s="626"/>
      <c r="J36" s="570"/>
      <c r="K36" s="292"/>
      <c r="L36" s="362"/>
      <c r="M36" s="335"/>
      <c r="N36" s="570"/>
      <c r="O36" s="570"/>
      <c r="P36" s="298"/>
      <c r="Q36" s="297"/>
      <c r="R36" s="611"/>
      <c r="S36" s="611"/>
      <c r="T36" s="709"/>
      <c r="U36" s="709"/>
      <c r="V36" s="709"/>
      <c r="W36" s="709"/>
      <c r="X36" s="570"/>
      <c r="Y36" s="570"/>
      <c r="Z36" s="570"/>
      <c r="AA36" s="570"/>
      <c r="AB36" s="570"/>
      <c r="AC36" s="570"/>
      <c r="AD36" s="570"/>
      <c r="AE36" s="570"/>
      <c r="AF36" s="570"/>
      <c r="AG36" s="570"/>
      <c r="AH36" s="570"/>
      <c r="AI36" s="570"/>
      <c r="AJ36" s="570"/>
      <c r="AK36" s="570"/>
      <c r="AL36" s="570"/>
      <c r="AM36" s="570"/>
      <c r="AN36" s="570"/>
      <c r="AO36" s="570"/>
      <c r="AP36" s="570"/>
      <c r="AQ36" s="570"/>
      <c r="AR36" s="570"/>
      <c r="AS36" s="570"/>
      <c r="AT36" s="570"/>
      <c r="AU36" s="570"/>
      <c r="AV36" s="588"/>
    </row>
    <row r="37" ht="18.75" customHeight="true" x14ac:dyDescent="0.25">
      <c r="A37" s="704"/>
      <c r="B37" s="570"/>
      <c r="C37" s="570"/>
      <c r="D37" s="710"/>
      <c r="E37" s="195"/>
      <c r="F37" s="1880"/>
      <c r="G37" s="1881"/>
      <c r="H37" s="260">
        <v>1</v>
      </c>
      <c r="I37" s="261">
        <f>H37+1</f>
        <v>2</v>
      </c>
      <c r="J37" s="261">
        <f t="shared" ref="J37:AR37" si="4">I37+1</f>
        <v>3</v>
      </c>
      <c r="K37" s="261">
        <f t="shared" si="4"/>
        <v>4</v>
      </c>
      <c r="L37" s="261">
        <f t="shared" si="4"/>
        <v>5</v>
      </c>
      <c r="M37" s="261">
        <f t="shared" si="4"/>
        <v>6</v>
      </c>
      <c r="N37" s="261">
        <f t="shared" si="4"/>
        <v>7</v>
      </c>
      <c r="O37" s="261">
        <f t="shared" si="4"/>
        <v>8</v>
      </c>
      <c r="P37" s="261">
        <f t="shared" si="4"/>
        <v>9</v>
      </c>
      <c r="Q37" s="261">
        <f t="shared" si="4"/>
        <v>10</v>
      </c>
      <c r="R37" s="261">
        <f t="shared" si="4"/>
        <v>11</v>
      </c>
      <c r="S37" s="261">
        <f t="shared" si="4"/>
        <v>12</v>
      </c>
      <c r="T37" s="261">
        <f t="shared" si="4"/>
        <v>13</v>
      </c>
      <c r="U37" s="261">
        <f t="shared" si="4"/>
        <v>14</v>
      </c>
      <c r="V37" s="261">
        <f t="shared" si="4"/>
        <v>15</v>
      </c>
      <c r="W37" s="261">
        <f t="shared" si="4"/>
        <v>16</v>
      </c>
      <c r="X37" s="261">
        <f t="shared" si="4"/>
        <v>17</v>
      </c>
      <c r="Y37" s="261">
        <f t="shared" si="4"/>
        <v>18</v>
      </c>
      <c r="Z37" s="261">
        <f t="shared" si="4"/>
        <v>19</v>
      </c>
      <c r="AA37" s="261">
        <f t="shared" si="4"/>
        <v>20</v>
      </c>
      <c r="AB37" s="261">
        <f t="shared" si="4"/>
        <v>21</v>
      </c>
      <c r="AC37" s="261">
        <f t="shared" si="4"/>
        <v>22</v>
      </c>
      <c r="AD37" s="261">
        <f>AC37+1</f>
        <v>23</v>
      </c>
      <c r="AE37" s="261">
        <f t="shared" si="4"/>
        <v>24</v>
      </c>
      <c r="AF37" s="261">
        <f t="shared" si="4"/>
        <v>25</v>
      </c>
      <c r="AG37" s="261">
        <f t="shared" si="4"/>
        <v>26</v>
      </c>
      <c r="AH37" s="261">
        <f t="shared" si="4"/>
        <v>27</v>
      </c>
      <c r="AI37" s="261">
        <f t="shared" si="4"/>
        <v>28</v>
      </c>
      <c r="AJ37" s="261">
        <f t="shared" si="4"/>
        <v>29</v>
      </c>
      <c r="AK37" s="261">
        <f t="shared" si="4"/>
        <v>30</v>
      </c>
      <c r="AL37" s="261">
        <f t="shared" si="4"/>
        <v>31</v>
      </c>
      <c r="AM37" s="261">
        <f t="shared" si="4"/>
        <v>32</v>
      </c>
      <c r="AN37" s="261">
        <f>AM37+1</f>
        <v>33</v>
      </c>
      <c r="AO37" s="261">
        <f t="shared" si="4"/>
        <v>34</v>
      </c>
      <c r="AP37" s="261">
        <f t="shared" si="4"/>
        <v>35</v>
      </c>
      <c r="AQ37" s="261">
        <f>AP37+1</f>
        <v>36</v>
      </c>
      <c r="AR37" s="261">
        <f t="shared" si="4"/>
        <v>37</v>
      </c>
      <c r="AS37" s="261">
        <f>AR37+1</f>
        <v>38</v>
      </c>
      <c r="AT37" s="261">
        <f>AS37+1</f>
        <v>39</v>
      </c>
      <c r="AU37" s="1221">
        <f>AT37+1</f>
        <v>40</v>
      </c>
      <c r="AV37" s="588"/>
    </row>
    <row r="38" ht="18.75" customHeight="true" x14ac:dyDescent="0.25">
      <c r="A38" s="704"/>
      <c r="B38" s="570"/>
      <c r="C38" s="570"/>
      <c r="D38" s="710"/>
      <c r="E38" s="195"/>
      <c r="F38" s="1871" t="s">
        <v>76</v>
      </c>
      <c r="G38" s="1872"/>
      <c r="H38" s="1197" t="str">
        <f t="array" ref="H38:AU38">TRANSPOSE(IN_stream_number)</f>
        <v>S2</v>
      </c>
      <c r="I38" s="1197" t="str">
        <v/>
      </c>
      <c r="J38" s="1197" t="str">
        <v/>
      </c>
      <c r="K38" s="1197" t="str">
        <v/>
      </c>
      <c r="L38" s="1197" t="str">
        <v/>
      </c>
      <c r="M38" s="1197" t="str">
        <v/>
      </c>
      <c r="N38" s="1197" t="str">
        <v/>
      </c>
      <c r="O38" s="1197" t="str">
        <v/>
      </c>
      <c r="P38" s="1197" t="str">
        <v/>
      </c>
      <c r="Q38" s="1197" t="str">
        <v/>
      </c>
      <c r="R38" s="1168" t="str">
        <v/>
      </c>
      <c r="S38" s="1168" t="str">
        <v/>
      </c>
      <c r="T38" s="1222" t="str">
        <v/>
      </c>
      <c r="U38" s="1222" t="str">
        <v/>
      </c>
      <c r="V38" s="1222" t="str">
        <v/>
      </c>
      <c r="W38" s="1222" t="str">
        <v/>
      </c>
      <c r="X38" s="202" t="str">
        <v/>
      </c>
      <c r="Y38" s="202" t="str">
        <v/>
      </c>
      <c r="Z38" s="202" t="str">
        <v/>
      </c>
      <c r="AA38" s="202" t="str">
        <v/>
      </c>
      <c r="AB38" s="202" t="str">
        <v/>
      </c>
      <c r="AC38" s="202" t="str">
        <v/>
      </c>
      <c r="AD38" s="202" t="str">
        <v/>
      </c>
      <c r="AE38" s="202" t="str">
        <v/>
      </c>
      <c r="AF38" s="202" t="str">
        <v/>
      </c>
      <c r="AG38" s="202" t="str">
        <v/>
      </c>
      <c r="AH38" s="202" t="str">
        <v/>
      </c>
      <c r="AI38" s="202" t="str">
        <v/>
      </c>
      <c r="AJ38" s="202" t="str">
        <v/>
      </c>
      <c r="AK38" s="202" t="str">
        <v/>
      </c>
      <c r="AL38" s="202" t="str">
        <v/>
      </c>
      <c r="AM38" s="202" t="str">
        <v/>
      </c>
      <c r="AN38" s="202" t="str">
        <v/>
      </c>
      <c r="AO38" s="202" t="str">
        <v/>
      </c>
      <c r="AP38" s="202" t="str">
        <v/>
      </c>
      <c r="AQ38" s="202" t="str">
        <v/>
      </c>
      <c r="AR38" s="202" t="str">
        <v/>
      </c>
      <c r="AS38" s="202" t="str">
        <v/>
      </c>
      <c r="AT38" s="202" t="str">
        <v/>
      </c>
      <c r="AU38" s="262" t="str">
        <v/>
      </c>
      <c r="AV38" s="588"/>
    </row>
    <row r="39" ht="18.75" customHeight="true" x14ac:dyDescent="0.25">
      <c r="A39" s="704"/>
      <c r="B39" s="570"/>
      <c r="C39" s="570"/>
      <c r="D39" s="710"/>
      <c r="E39" s="195"/>
      <c r="F39" s="1871" t="s">
        <v>28</v>
      </c>
      <c r="G39" s="1872"/>
      <c r="H39" s="1197" t="str">
        <f t="array" ref="H39:AU39">TRANSPOSE(IN_renewab)</f>
        <v>no</v>
      </c>
      <c r="I39" s="1197" t="str">
        <v/>
      </c>
      <c r="J39" s="1197" t="str">
        <v/>
      </c>
      <c r="K39" s="1197" t="str">
        <v/>
      </c>
      <c r="L39" s="1197" t="str">
        <v/>
      </c>
      <c r="M39" s="1197" t="str">
        <v/>
      </c>
      <c r="N39" s="1197" t="str">
        <v/>
      </c>
      <c r="O39" s="1197" t="str">
        <v/>
      </c>
      <c r="P39" s="1197" t="str">
        <v/>
      </c>
      <c r="Q39" s="1197" t="str">
        <v/>
      </c>
      <c r="R39" s="1168" t="str">
        <v/>
      </c>
      <c r="S39" s="1168" t="str">
        <v/>
      </c>
      <c r="T39" s="1222" t="str">
        <v/>
      </c>
      <c r="U39" s="1222" t="str">
        <v/>
      </c>
      <c r="V39" s="1222" t="str">
        <v/>
      </c>
      <c r="W39" s="1222" t="str">
        <v/>
      </c>
      <c r="X39" s="202" t="str">
        <v/>
      </c>
      <c r="Y39" s="202" t="str">
        <v/>
      </c>
      <c r="Z39" s="202" t="str">
        <v/>
      </c>
      <c r="AA39" s="202" t="str">
        <v/>
      </c>
      <c r="AB39" s="202" t="str">
        <v/>
      </c>
      <c r="AC39" s="202" t="str">
        <v/>
      </c>
      <c r="AD39" s="202" t="str">
        <v/>
      </c>
      <c r="AE39" s="202" t="str">
        <v/>
      </c>
      <c r="AF39" s="202" t="str">
        <v/>
      </c>
      <c r="AG39" s="202" t="str">
        <v/>
      </c>
      <c r="AH39" s="202" t="str">
        <v/>
      </c>
      <c r="AI39" s="202" t="str">
        <v/>
      </c>
      <c r="AJ39" s="202" t="str">
        <v/>
      </c>
      <c r="AK39" s="202" t="str">
        <v/>
      </c>
      <c r="AL39" s="202" t="str">
        <v/>
      </c>
      <c r="AM39" s="202" t="str">
        <v/>
      </c>
      <c r="AN39" s="202" t="str">
        <v/>
      </c>
      <c r="AO39" s="202" t="str">
        <v/>
      </c>
      <c r="AP39" s="202" t="str">
        <v/>
      </c>
      <c r="AQ39" s="202" t="str">
        <v/>
      </c>
      <c r="AR39" s="202" t="str">
        <v/>
      </c>
      <c r="AS39" s="202" t="str">
        <v/>
      </c>
      <c r="AT39" s="202" t="str">
        <v/>
      </c>
      <c r="AU39" s="262" t="str">
        <v/>
      </c>
      <c r="AV39" s="588"/>
    </row>
    <row r="40" ht="18.75" customHeight="true" thickBot="true" x14ac:dyDescent="0.3">
      <c r="A40" s="704"/>
      <c r="B40" s="570"/>
      <c r="C40" s="570"/>
      <c r="D40" s="710"/>
      <c r="E40" s="195"/>
      <c r="F40" s="1877" t="s">
        <v>1476</v>
      </c>
      <c r="G40" s="1878"/>
      <c r="H40" s="1223">
        <f t="array" ref="H40:AU40">TRANSPOSE(IN_flow_rates__kg_h)</f>
        <v>6778.7792000553327</v>
      </c>
      <c r="I40" s="1223" t="str">
        <v/>
      </c>
      <c r="J40" s="1223" t="str">
        <v/>
      </c>
      <c r="K40" s="1224" t="str">
        <v/>
      </c>
      <c r="L40" s="1223" t="str">
        <v/>
      </c>
      <c r="M40" s="1223" t="str">
        <v/>
      </c>
      <c r="N40" s="1223" t="str">
        <v/>
      </c>
      <c r="O40" s="1223" t="str">
        <v/>
      </c>
      <c r="P40" s="1223" t="str">
        <v/>
      </c>
      <c r="Q40" s="1223" t="str">
        <v/>
      </c>
      <c r="R40" s="1225" t="str">
        <v/>
      </c>
      <c r="S40" s="1225" t="str">
        <v/>
      </c>
      <c r="T40" s="1226" t="str">
        <v/>
      </c>
      <c r="U40" s="1226" t="str">
        <v/>
      </c>
      <c r="V40" s="1226" t="str">
        <v/>
      </c>
      <c r="W40" s="1226" t="str">
        <v/>
      </c>
      <c r="X40" s="263" t="str">
        <v/>
      </c>
      <c r="Y40" s="263" t="str">
        <v/>
      </c>
      <c r="Z40" s="263" t="str">
        <v/>
      </c>
      <c r="AA40" s="263" t="str">
        <v/>
      </c>
      <c r="AB40" s="263" t="str">
        <v/>
      </c>
      <c r="AC40" s="263" t="str">
        <v/>
      </c>
      <c r="AD40" s="263" t="str">
        <v/>
      </c>
      <c r="AE40" s="263" t="str">
        <v/>
      </c>
      <c r="AF40" s="263" t="str">
        <v/>
      </c>
      <c r="AG40" s="263" t="str">
        <v/>
      </c>
      <c r="AH40" s="263" t="str">
        <v/>
      </c>
      <c r="AI40" s="263" t="str">
        <v/>
      </c>
      <c r="AJ40" s="263" t="str">
        <v/>
      </c>
      <c r="AK40" s="263" t="str">
        <v/>
      </c>
      <c r="AL40" s="263" t="str">
        <v/>
      </c>
      <c r="AM40" s="263" t="str">
        <v/>
      </c>
      <c r="AN40" s="263" t="str">
        <v/>
      </c>
      <c r="AO40" s="263" t="str">
        <v/>
      </c>
      <c r="AP40" s="263" t="str">
        <v/>
      </c>
      <c r="AQ40" s="263" t="str">
        <v/>
      </c>
      <c r="AR40" s="263" t="str">
        <v/>
      </c>
      <c r="AS40" s="263" t="str">
        <v/>
      </c>
      <c r="AT40" s="263" t="str">
        <v/>
      </c>
      <c r="AU40" s="1227" t="str">
        <v/>
      </c>
      <c r="AV40" s="588"/>
    </row>
    <row r="41" x14ac:dyDescent="0.3">
      <c r="A41" s="704"/>
      <c r="B41" s="570"/>
      <c r="C41" s="570"/>
      <c r="D41" s="710"/>
      <c r="E41" s="195"/>
      <c r="F41" s="709"/>
      <c r="G41" s="570"/>
      <c r="H41" s="292"/>
      <c r="I41" s="626"/>
      <c r="J41" s="570"/>
      <c r="K41" s="292"/>
      <c r="L41" s="362"/>
      <c r="M41" s="335"/>
      <c r="N41" s="570"/>
      <c r="O41" s="570"/>
      <c r="P41" s="298"/>
      <c r="Q41" s="297"/>
      <c r="R41" s="611"/>
      <c r="S41" s="611"/>
      <c r="T41" s="709"/>
      <c r="U41" s="709"/>
      <c r="V41" s="709"/>
      <c r="W41" s="709"/>
      <c r="X41" s="570"/>
      <c r="Y41" s="570"/>
      <c r="Z41" s="570"/>
      <c r="AA41" s="570"/>
      <c r="AB41" s="570"/>
      <c r="AC41" s="570"/>
      <c r="AD41" s="570"/>
      <c r="AE41" s="570"/>
      <c r="AF41" s="570"/>
      <c r="AG41" s="570"/>
      <c r="AH41" s="570"/>
      <c r="AI41" s="570"/>
      <c r="AJ41" s="570"/>
      <c r="AK41" s="570"/>
      <c r="AL41" s="570"/>
      <c r="AM41" s="570"/>
      <c r="AN41" s="570"/>
      <c r="AO41" s="570"/>
      <c r="AP41" s="570"/>
      <c r="AQ41" s="570"/>
      <c r="AR41" s="570"/>
      <c r="AS41" s="570"/>
      <c r="AT41" s="570"/>
      <c r="AU41" s="570"/>
      <c r="AV41" s="588"/>
    </row>
    <row r="42" x14ac:dyDescent="0.3">
      <c r="A42" s="704"/>
      <c r="B42" s="570"/>
      <c r="C42" s="570"/>
      <c r="D42" s="710"/>
      <c r="E42" s="195"/>
      <c r="F42" s="709"/>
      <c r="G42" s="570"/>
      <c r="H42" s="292"/>
      <c r="I42" s="626"/>
      <c r="J42" s="570"/>
      <c r="K42" s="292"/>
      <c r="L42" s="362"/>
      <c r="M42" s="335"/>
      <c r="N42" s="570"/>
      <c r="O42" s="570"/>
      <c r="P42" s="298"/>
      <c r="Q42" s="297"/>
      <c r="R42" s="611"/>
      <c r="S42" s="611"/>
      <c r="T42" s="709"/>
      <c r="U42" s="709"/>
      <c r="V42" s="709"/>
      <c r="W42" s="709"/>
      <c r="X42" s="570"/>
      <c r="Y42" s="570"/>
      <c r="Z42" s="570"/>
      <c r="AA42" s="570"/>
      <c r="AB42" s="570"/>
      <c r="AC42" s="570"/>
      <c r="AD42" s="570"/>
      <c r="AE42" s="570"/>
      <c r="AF42" s="570"/>
      <c r="AG42" s="570"/>
      <c r="AH42" s="570"/>
      <c r="AI42" s="570"/>
      <c r="AJ42" s="570"/>
      <c r="AK42" s="570"/>
      <c r="AL42" s="570"/>
      <c r="AM42" s="570"/>
      <c r="AN42" s="570"/>
      <c r="AO42" s="570"/>
      <c r="AP42" s="570"/>
      <c r="AQ42" s="570"/>
      <c r="AR42" s="570"/>
      <c r="AS42" s="570"/>
      <c r="AT42" s="570"/>
      <c r="AU42" s="570"/>
      <c r="AV42" s="588"/>
    </row>
    <row r="43" x14ac:dyDescent="0.3">
      <c r="A43" s="704"/>
      <c r="B43" s="570"/>
      <c r="C43" s="570"/>
      <c r="D43" s="710"/>
      <c r="E43" s="195"/>
      <c r="F43" s="709"/>
      <c r="G43" s="570"/>
      <c r="H43" s="292"/>
      <c r="I43" s="626"/>
      <c r="J43" s="570"/>
      <c r="K43" s="292"/>
      <c r="L43" s="362"/>
      <c r="M43" s="335"/>
      <c r="N43" s="570"/>
      <c r="O43" s="570"/>
      <c r="P43" s="298"/>
      <c r="Q43" s="297"/>
      <c r="R43" s="611"/>
      <c r="S43" s="611"/>
      <c r="T43" s="709"/>
      <c r="U43" s="709"/>
      <c r="V43" s="709"/>
      <c r="W43" s="709"/>
      <c r="X43" s="570"/>
      <c r="Y43" s="570"/>
      <c r="Z43" s="570"/>
      <c r="AA43" s="570"/>
      <c r="AB43" s="570"/>
      <c r="AC43" s="570"/>
      <c r="AD43" s="570"/>
      <c r="AE43" s="570"/>
      <c r="AF43" s="570"/>
      <c r="AG43" s="570"/>
      <c r="AH43" s="570"/>
      <c r="AI43" s="570"/>
      <c r="AJ43" s="570"/>
      <c r="AK43" s="570"/>
      <c r="AL43" s="570"/>
      <c r="AM43" s="570"/>
      <c r="AN43" s="570"/>
      <c r="AO43" s="570"/>
      <c r="AP43" s="570"/>
      <c r="AQ43" s="570"/>
      <c r="AR43" s="570"/>
      <c r="AS43" s="570"/>
      <c r="AT43" s="570"/>
      <c r="AU43" s="570"/>
      <c r="AV43" s="588"/>
    </row>
    <row r="44" ht="23.4" thickBot="true" x14ac:dyDescent="0.45">
      <c r="A44" s="704"/>
      <c r="B44" s="570"/>
      <c r="C44" s="570"/>
      <c r="D44" s="710"/>
      <c r="E44" s="195"/>
      <c r="F44" s="1928" t="s">
        <v>1480</v>
      </c>
      <c r="G44" s="1928"/>
      <c r="H44" s="292"/>
      <c r="I44" s="626"/>
      <c r="J44" s="570"/>
      <c r="K44" s="292"/>
      <c r="L44" s="362"/>
      <c r="M44" s="335"/>
      <c r="N44" s="570"/>
      <c r="O44" s="570"/>
      <c r="P44" s="298"/>
      <c r="Q44" s="297"/>
      <c r="R44" s="611"/>
      <c r="S44" s="611"/>
      <c r="T44" s="709"/>
      <c r="U44" s="709"/>
      <c r="V44" s="709"/>
      <c r="W44" s="709"/>
      <c r="X44" s="570"/>
      <c r="Y44" s="570"/>
      <c r="Z44" s="570"/>
      <c r="AA44" s="570"/>
      <c r="AB44" s="570"/>
      <c r="AC44" s="570"/>
      <c r="AD44" s="570"/>
      <c r="AE44" s="570"/>
      <c r="AF44" s="570"/>
      <c r="AG44" s="570"/>
      <c r="AH44" s="570"/>
      <c r="AI44" s="570"/>
      <c r="AJ44" s="570"/>
      <c r="AK44" s="570"/>
      <c r="AL44" s="570"/>
      <c r="AM44" s="570"/>
      <c r="AN44" s="570"/>
      <c r="AO44" s="570"/>
      <c r="AP44" s="570"/>
      <c r="AQ44" s="570"/>
      <c r="AR44" s="570"/>
      <c r="AS44" s="570"/>
      <c r="AT44" s="570"/>
      <c r="AU44" s="570"/>
      <c r="AV44" s="588"/>
    </row>
    <row r="45" ht="21" customHeight="true" x14ac:dyDescent="0.25">
      <c r="A45" s="704"/>
      <c r="B45" s="570"/>
      <c r="C45" s="570"/>
      <c r="D45" s="710"/>
      <c r="E45" s="195"/>
      <c r="F45" s="1880"/>
      <c r="G45" s="1881"/>
      <c r="H45" s="264">
        <v>1</v>
      </c>
      <c r="I45" s="1228">
        <f>H45+1</f>
        <v>2</v>
      </c>
      <c r="J45" s="1228">
        <f t="shared" ref="J45:AU45" si="5">I45+1</f>
        <v>3</v>
      </c>
      <c r="K45" s="1228">
        <f t="shared" si="5"/>
        <v>4</v>
      </c>
      <c r="L45" s="1228">
        <f t="shared" si="5"/>
        <v>5</v>
      </c>
      <c r="M45" s="1228">
        <f t="shared" si="5"/>
        <v>6</v>
      </c>
      <c r="N45" s="1228">
        <f t="shared" si="5"/>
        <v>7</v>
      </c>
      <c r="O45" s="1228">
        <f t="shared" si="5"/>
        <v>8</v>
      </c>
      <c r="P45" s="1228">
        <f t="shared" si="5"/>
        <v>9</v>
      </c>
      <c r="Q45" s="1228">
        <f t="shared" si="5"/>
        <v>10</v>
      </c>
      <c r="R45" s="1228">
        <f t="shared" si="5"/>
        <v>11</v>
      </c>
      <c r="S45" s="1228">
        <f t="shared" si="5"/>
        <v>12</v>
      </c>
      <c r="T45" s="1228">
        <f t="shared" si="5"/>
        <v>13</v>
      </c>
      <c r="U45" s="1228">
        <f t="shared" si="5"/>
        <v>14</v>
      </c>
      <c r="V45" s="1228">
        <f t="shared" si="5"/>
        <v>15</v>
      </c>
      <c r="W45" s="1228">
        <f t="shared" si="5"/>
        <v>16</v>
      </c>
      <c r="X45" s="1228">
        <f t="shared" si="5"/>
        <v>17</v>
      </c>
      <c r="Y45" s="1228">
        <f t="shared" si="5"/>
        <v>18</v>
      </c>
      <c r="Z45" s="1228">
        <f t="shared" si="5"/>
        <v>19</v>
      </c>
      <c r="AA45" s="1228">
        <f t="shared" si="5"/>
        <v>20</v>
      </c>
      <c r="AB45" s="1228">
        <f t="shared" si="5"/>
        <v>21</v>
      </c>
      <c r="AC45" s="1228">
        <f t="shared" si="5"/>
        <v>22</v>
      </c>
      <c r="AD45" s="1228">
        <f t="shared" si="5"/>
        <v>23</v>
      </c>
      <c r="AE45" s="1228">
        <f t="shared" si="5"/>
        <v>24</v>
      </c>
      <c r="AF45" s="1228">
        <f t="shared" si="5"/>
        <v>25</v>
      </c>
      <c r="AG45" s="1228">
        <f t="shared" si="5"/>
        <v>26</v>
      </c>
      <c r="AH45" s="1228">
        <f t="shared" si="5"/>
        <v>27</v>
      </c>
      <c r="AI45" s="1228">
        <f t="shared" si="5"/>
        <v>28</v>
      </c>
      <c r="AJ45" s="1228">
        <f t="shared" si="5"/>
        <v>29</v>
      </c>
      <c r="AK45" s="1228">
        <f t="shared" si="5"/>
        <v>30</v>
      </c>
      <c r="AL45" s="1228">
        <f t="shared" si="5"/>
        <v>31</v>
      </c>
      <c r="AM45" s="1228">
        <f t="shared" si="5"/>
        <v>32</v>
      </c>
      <c r="AN45" s="1228">
        <f t="shared" si="5"/>
        <v>33</v>
      </c>
      <c r="AO45" s="1228">
        <f t="shared" si="5"/>
        <v>34</v>
      </c>
      <c r="AP45" s="1228">
        <f t="shared" si="5"/>
        <v>35</v>
      </c>
      <c r="AQ45" s="1228">
        <f t="shared" si="5"/>
        <v>36</v>
      </c>
      <c r="AR45" s="1228">
        <f t="shared" si="5"/>
        <v>37</v>
      </c>
      <c r="AS45" s="1228">
        <f t="shared" si="5"/>
        <v>38</v>
      </c>
      <c r="AT45" s="1228">
        <f t="shared" si="5"/>
        <v>39</v>
      </c>
      <c r="AU45" s="1229">
        <f t="shared" si="5"/>
        <v>40</v>
      </c>
      <c r="AV45" s="588"/>
    </row>
    <row r="46" ht="21" customHeight="true" x14ac:dyDescent="0.25">
      <c r="A46" s="704"/>
      <c r="B46" s="570"/>
      <c r="C46" s="570"/>
      <c r="D46" s="710"/>
      <c r="E46" s="195"/>
      <c r="F46" s="1871" t="s">
        <v>76</v>
      </c>
      <c r="G46" s="1872"/>
      <c r="H46" s="1197" t="str">
        <f t="array" ref="H46:AU46">TRANSPOSE(OUT_stream_Num)</f>
        <v>S1-2</v>
      </c>
      <c r="I46" s="1197" t="str">
        <v>CO2</v>
      </c>
      <c r="J46" s="1197" t="str">
        <v/>
      </c>
      <c r="K46" s="1197" t="str">
        <v/>
      </c>
      <c r="L46" s="1197" t="str">
        <v/>
      </c>
      <c r="M46" s="1197">
        <v>303</v>
      </c>
      <c r="N46" s="1197" t="str">
        <v/>
      </c>
      <c r="O46" s="1197" t="str">
        <v/>
      </c>
      <c r="P46" s="1197" t="str">
        <v/>
      </c>
      <c r="Q46" s="1197" t="str">
        <v/>
      </c>
      <c r="R46" s="1198" t="str">
        <v/>
      </c>
      <c r="S46" s="1198" t="str">
        <v/>
      </c>
      <c r="T46" s="1198" t="str">
        <v/>
      </c>
      <c r="U46" s="1198" t="str">
        <v/>
      </c>
      <c r="V46" s="1198" t="str">
        <v/>
      </c>
      <c r="W46" s="1198" t="str">
        <v/>
      </c>
      <c r="X46" s="1198" t="str">
        <v/>
      </c>
      <c r="Y46" s="1198" t="str">
        <v/>
      </c>
      <c r="Z46" s="1198" t="str">
        <v/>
      </c>
      <c r="AA46" s="1198" t="str">
        <v/>
      </c>
      <c r="AB46" s="1198" t="str">
        <v/>
      </c>
      <c r="AC46" s="1198" t="str">
        <v/>
      </c>
      <c r="AD46" s="1198" t="str">
        <v/>
      </c>
      <c r="AE46" s="1198" t="str">
        <v/>
      </c>
      <c r="AF46" s="1198" t="str">
        <v/>
      </c>
      <c r="AG46" s="1198" t="str">
        <v/>
      </c>
      <c r="AH46" s="1198" t="str">
        <v/>
      </c>
      <c r="AI46" s="1198" t="str">
        <v/>
      </c>
      <c r="AJ46" s="1198" t="str">
        <v/>
      </c>
      <c r="AK46" s="1198" t="str">
        <v/>
      </c>
      <c r="AL46" s="1198" t="str">
        <v/>
      </c>
      <c r="AM46" s="1198" t="str">
        <v/>
      </c>
      <c r="AN46" s="1198" t="str">
        <v/>
      </c>
      <c r="AO46" s="1198" t="str">
        <v/>
      </c>
      <c r="AP46" s="1198" t="str">
        <v/>
      </c>
      <c r="AQ46" s="1198" t="str">
        <v/>
      </c>
      <c r="AR46" s="1198" t="str">
        <v/>
      </c>
      <c r="AS46" s="1198" t="str">
        <v/>
      </c>
      <c r="AT46" s="1198" t="str">
        <v/>
      </c>
      <c r="AU46" s="1230" t="str">
        <v/>
      </c>
      <c r="AV46" s="588"/>
    </row>
    <row r="47" ht="21" customHeight="true" x14ac:dyDescent="0.25">
      <c r="A47" s="704"/>
      <c r="B47" s="570"/>
      <c r="C47" s="570"/>
      <c r="D47" s="710"/>
      <c r="E47" s="195"/>
      <c r="F47" s="1871" t="s">
        <v>1481</v>
      </c>
      <c r="G47" s="1872"/>
      <c r="H47" s="1197">
        <f t="array" ref="H47:AU47">TRANSPOSE(OUT_Product_1__waste_0)</f>
        <v>1</v>
      </c>
      <c r="I47" s="1197">
        <v>0</v>
      </c>
      <c r="J47" s="1197" t="str">
        <v/>
      </c>
      <c r="K47" s="1197" t="str">
        <v/>
      </c>
      <c r="L47" s="1197" t="str">
        <v/>
      </c>
      <c r="M47" s="1197">
        <v>0</v>
      </c>
      <c r="N47" s="1197" t="str">
        <v/>
      </c>
      <c r="O47" s="1197" t="str">
        <v/>
      </c>
      <c r="P47" s="1197" t="str">
        <v/>
      </c>
      <c r="Q47" s="1197" t="str">
        <v/>
      </c>
      <c r="R47" s="1198" t="str">
        <v/>
      </c>
      <c r="S47" s="1198" t="str">
        <v/>
      </c>
      <c r="T47" s="1198" t="str">
        <v/>
      </c>
      <c r="U47" s="1198" t="str">
        <v/>
      </c>
      <c r="V47" s="1198" t="str">
        <v/>
      </c>
      <c r="W47" s="1198" t="str">
        <v/>
      </c>
      <c r="X47" s="1198" t="str">
        <v/>
      </c>
      <c r="Y47" s="1198" t="str">
        <v/>
      </c>
      <c r="Z47" s="1198" t="str">
        <v/>
      </c>
      <c r="AA47" s="1198" t="str">
        <v/>
      </c>
      <c r="AB47" s="1198" t="str">
        <v/>
      </c>
      <c r="AC47" s="1198" t="str">
        <v/>
      </c>
      <c r="AD47" s="1198" t="str">
        <v/>
      </c>
      <c r="AE47" s="1198" t="str">
        <v/>
      </c>
      <c r="AF47" s="1198" t="str">
        <v/>
      </c>
      <c r="AG47" s="1198" t="str">
        <v/>
      </c>
      <c r="AH47" s="1198" t="str">
        <v/>
      </c>
      <c r="AI47" s="1198" t="str">
        <v/>
      </c>
      <c r="AJ47" s="1198" t="str">
        <v/>
      </c>
      <c r="AK47" s="1198" t="str">
        <v/>
      </c>
      <c r="AL47" s="1198" t="str">
        <v/>
      </c>
      <c r="AM47" s="1198" t="str">
        <v/>
      </c>
      <c r="AN47" s="1198" t="str">
        <v/>
      </c>
      <c r="AO47" s="1198" t="str">
        <v/>
      </c>
      <c r="AP47" s="1198" t="str">
        <v/>
      </c>
      <c r="AQ47" s="1198" t="str">
        <v/>
      </c>
      <c r="AR47" s="1198" t="str">
        <v/>
      </c>
      <c r="AS47" s="1198" t="str">
        <v/>
      </c>
      <c r="AT47" s="1198" t="str">
        <v/>
      </c>
      <c r="AU47" s="1230" t="str">
        <v/>
      </c>
      <c r="AV47" s="588"/>
    </row>
    <row r="48" ht="21" customHeight="true" x14ac:dyDescent="0.25">
      <c r="A48" s="704"/>
      <c r="B48" s="570"/>
      <c r="C48" s="570"/>
      <c r="D48" s="710"/>
      <c r="E48" s="195"/>
      <c r="F48" s="1871" t="s">
        <v>28</v>
      </c>
      <c r="G48" s="1872"/>
      <c r="H48" s="1197" t="str">
        <f t="array" ref="H48:AU48">TRANSPOSE(OUT_renewability)</f>
        <v>yes</v>
      </c>
      <c r="I48" s="1197" t="str">
        <v/>
      </c>
      <c r="J48" s="1197" t="str">
        <v/>
      </c>
      <c r="K48" s="1197" t="str">
        <v/>
      </c>
      <c r="L48" s="1197" t="str">
        <v/>
      </c>
      <c r="M48" s="1197" t="str">
        <v/>
      </c>
      <c r="N48" s="1197" t="str">
        <v/>
      </c>
      <c r="O48" s="1197" t="str">
        <v/>
      </c>
      <c r="P48" s="1197" t="str">
        <v/>
      </c>
      <c r="Q48" s="1197" t="str">
        <v/>
      </c>
      <c r="R48" s="1198" t="str">
        <v/>
      </c>
      <c r="S48" s="1198" t="str">
        <v/>
      </c>
      <c r="T48" s="1198" t="str">
        <v/>
      </c>
      <c r="U48" s="1198" t="str">
        <v/>
      </c>
      <c r="V48" s="1198" t="str">
        <v/>
      </c>
      <c r="W48" s="1198" t="str">
        <v/>
      </c>
      <c r="X48" s="1198" t="str">
        <v/>
      </c>
      <c r="Y48" s="1198" t="str">
        <v/>
      </c>
      <c r="Z48" s="1198" t="str">
        <v/>
      </c>
      <c r="AA48" s="1198" t="str">
        <v/>
      </c>
      <c r="AB48" s="1198" t="str">
        <v/>
      </c>
      <c r="AC48" s="1198" t="str">
        <v/>
      </c>
      <c r="AD48" s="1198" t="str">
        <v/>
      </c>
      <c r="AE48" s="1198" t="str">
        <v/>
      </c>
      <c r="AF48" s="1198" t="str">
        <v/>
      </c>
      <c r="AG48" s="1198" t="str">
        <v/>
      </c>
      <c r="AH48" s="1198" t="str">
        <v/>
      </c>
      <c r="AI48" s="1198" t="str">
        <v/>
      </c>
      <c r="AJ48" s="1198" t="str">
        <v/>
      </c>
      <c r="AK48" s="1198" t="str">
        <v/>
      </c>
      <c r="AL48" s="1198" t="str">
        <v/>
      </c>
      <c r="AM48" s="1198" t="str">
        <v/>
      </c>
      <c r="AN48" s="1198" t="str">
        <v/>
      </c>
      <c r="AO48" s="1198" t="str">
        <v/>
      </c>
      <c r="AP48" s="1198" t="str">
        <v/>
      </c>
      <c r="AQ48" s="1198" t="str">
        <v/>
      </c>
      <c r="AR48" s="1198" t="str">
        <v/>
      </c>
      <c r="AS48" s="1198" t="str">
        <v/>
      </c>
      <c r="AT48" s="1198" t="str">
        <v/>
      </c>
      <c r="AU48" s="1230" t="str">
        <v/>
      </c>
      <c r="AV48" s="588"/>
    </row>
    <row r="49" ht="21" customHeight="true" thickBot="true" x14ac:dyDescent="0.3">
      <c r="A49" s="704"/>
      <c r="B49" s="570"/>
      <c r="C49" s="570"/>
      <c r="D49" s="710"/>
      <c r="E49" s="195"/>
      <c r="F49" s="1877" t="s">
        <v>1476</v>
      </c>
      <c r="G49" s="1878"/>
      <c r="H49" s="1223">
        <f t="array" ref="H49:AU49">TRANSPOSE(OUT_Current_flow_rate)</f>
        <v>4512.0151204088124</v>
      </c>
      <c r="I49" s="1224">
        <v>2980.7504537999998</v>
      </c>
      <c r="J49" s="1223" t="str">
        <v/>
      </c>
      <c r="K49" s="1223" t="str">
        <v/>
      </c>
      <c r="L49" s="1231" t="str">
        <v/>
      </c>
      <c r="M49" s="1231">
        <v>0</v>
      </c>
      <c r="N49" s="1231" t="str">
        <v/>
      </c>
      <c r="O49" s="1231" t="str">
        <v/>
      </c>
      <c r="P49" s="1231" t="str">
        <v/>
      </c>
      <c r="Q49" s="1231" t="str">
        <v/>
      </c>
      <c r="R49" s="1232" t="str">
        <v/>
      </c>
      <c r="S49" s="1232" t="str">
        <v/>
      </c>
      <c r="T49" s="1232" t="str">
        <v/>
      </c>
      <c r="U49" s="1232" t="str">
        <v/>
      </c>
      <c r="V49" s="1232" t="str">
        <v/>
      </c>
      <c r="W49" s="1232" t="str">
        <v/>
      </c>
      <c r="X49" s="1232" t="str">
        <v/>
      </c>
      <c r="Y49" s="1232" t="str">
        <v/>
      </c>
      <c r="Z49" s="1232" t="str">
        <v/>
      </c>
      <c r="AA49" s="1232" t="str">
        <v/>
      </c>
      <c r="AB49" s="1232" t="str">
        <v/>
      </c>
      <c r="AC49" s="1232" t="str">
        <v/>
      </c>
      <c r="AD49" s="1232" t="str">
        <v/>
      </c>
      <c r="AE49" s="1232" t="str">
        <v/>
      </c>
      <c r="AF49" s="1232" t="str">
        <v/>
      </c>
      <c r="AG49" s="1232" t="str">
        <v/>
      </c>
      <c r="AH49" s="1232" t="str">
        <v/>
      </c>
      <c r="AI49" s="1232" t="str">
        <v/>
      </c>
      <c r="AJ49" s="1232" t="str">
        <v/>
      </c>
      <c r="AK49" s="1232" t="str">
        <v/>
      </c>
      <c r="AL49" s="1232" t="str">
        <v/>
      </c>
      <c r="AM49" s="1232" t="str">
        <v/>
      </c>
      <c r="AN49" s="1232" t="str">
        <v/>
      </c>
      <c r="AO49" s="1232" t="str">
        <v/>
      </c>
      <c r="AP49" s="1232" t="str">
        <v/>
      </c>
      <c r="AQ49" s="1232" t="str">
        <v/>
      </c>
      <c r="AR49" s="1232" t="str">
        <v/>
      </c>
      <c r="AS49" s="1232" t="str">
        <v/>
      </c>
      <c r="AT49" s="1232" t="str">
        <v/>
      </c>
      <c r="AU49" s="1233" t="str">
        <v/>
      </c>
      <c r="AV49" s="588"/>
    </row>
    <row r="50" x14ac:dyDescent="0.3">
      <c r="A50" s="704"/>
      <c r="B50" s="570"/>
      <c r="C50" s="570"/>
      <c r="D50" s="710"/>
      <c r="E50" s="195"/>
      <c r="F50" s="195"/>
      <c r="G50" s="195"/>
      <c r="H50" s="362"/>
      <c r="I50" s="317"/>
      <c r="J50" s="195"/>
      <c r="K50" s="195"/>
      <c r="L50" s="195"/>
      <c r="M50" s="195"/>
      <c r="N50" s="195"/>
      <c r="O50" s="195"/>
      <c r="P50" s="298"/>
      <c r="Q50" s="297"/>
      <c r="R50" s="611"/>
      <c r="S50" s="611"/>
      <c r="T50" s="709"/>
      <c r="U50" s="709"/>
      <c r="V50" s="709"/>
      <c r="W50" s="709"/>
      <c r="X50" s="570"/>
      <c r="Y50" s="570"/>
      <c r="Z50" s="570"/>
      <c r="AA50" s="570"/>
      <c r="AB50" s="570"/>
      <c r="AC50" s="570"/>
      <c r="AD50" s="570"/>
      <c r="AE50" s="570"/>
      <c r="AF50" s="570"/>
      <c r="AG50" s="570"/>
      <c r="AH50" s="570"/>
      <c r="AI50" s="570"/>
      <c r="AJ50" s="570"/>
      <c r="AK50" s="570"/>
      <c r="AL50" s="570"/>
      <c r="AM50" s="570"/>
      <c r="AN50" s="570"/>
      <c r="AO50" s="570"/>
      <c r="AP50" s="570"/>
      <c r="AQ50" s="570"/>
      <c r="AR50" s="570"/>
      <c r="AS50" s="570"/>
      <c r="AT50" s="570"/>
      <c r="AU50" s="570"/>
      <c r="AV50" s="588"/>
    </row>
    <row r="51" x14ac:dyDescent="0.25">
      <c r="A51" s="704"/>
      <c r="B51" s="570"/>
      <c r="C51" s="570"/>
      <c r="D51" s="710"/>
      <c r="E51" s="195"/>
      <c r="F51" s="195"/>
      <c r="G51" s="195"/>
      <c r="H51" s="362"/>
      <c r="I51" s="317"/>
      <c r="J51" s="195"/>
      <c r="K51" s="195"/>
      <c r="L51" s="195"/>
      <c r="M51" s="195"/>
      <c r="N51" s="195"/>
      <c r="O51" s="570"/>
      <c r="P51" s="298"/>
      <c r="Q51" s="570"/>
      <c r="R51" s="570"/>
      <c r="S51" s="570"/>
      <c r="T51" s="570"/>
      <c r="U51" s="570"/>
      <c r="V51" s="570"/>
      <c r="W51" s="570"/>
      <c r="X51" s="570"/>
      <c r="Y51" s="570"/>
      <c r="Z51" s="570"/>
      <c r="AA51" s="570"/>
      <c r="AB51" s="570"/>
      <c r="AC51" s="570"/>
      <c r="AD51" s="570"/>
      <c r="AE51" s="570"/>
      <c r="AF51" s="570"/>
      <c r="AG51" s="570"/>
      <c r="AH51" s="570"/>
      <c r="AI51" s="570"/>
      <c r="AJ51" s="570"/>
      <c r="AK51" s="570"/>
      <c r="AL51" s="570"/>
      <c r="AM51" s="570"/>
      <c r="AN51" s="570"/>
      <c r="AO51" s="570"/>
      <c r="AP51" s="570"/>
      <c r="AQ51" s="570"/>
      <c r="AR51" s="570"/>
      <c r="AS51" s="570"/>
      <c r="AT51" s="570"/>
      <c r="AU51" s="570"/>
      <c r="AV51" s="588"/>
    </row>
    <row r="52" x14ac:dyDescent="0.25">
      <c r="A52" s="704"/>
      <c r="B52" s="570"/>
      <c r="C52" s="570"/>
      <c r="D52" s="710"/>
      <c r="E52" s="195"/>
      <c r="F52" s="195"/>
      <c r="G52" s="195"/>
      <c r="H52" s="362"/>
      <c r="I52" s="317"/>
      <c r="J52" s="195"/>
      <c r="K52" s="195"/>
      <c r="L52" s="195"/>
      <c r="M52" s="195"/>
      <c r="N52" s="195"/>
      <c r="O52" s="570"/>
      <c r="P52" s="298"/>
      <c r="Q52" s="570"/>
      <c r="R52" s="570"/>
      <c r="S52" s="570"/>
      <c r="T52" s="570"/>
      <c r="U52" s="570"/>
      <c r="V52" s="570"/>
      <c r="W52" s="570"/>
      <c r="X52" s="570"/>
      <c r="Y52" s="570"/>
      <c r="Z52" s="570"/>
      <c r="AA52" s="570"/>
      <c r="AB52" s="570"/>
      <c r="AC52" s="570"/>
      <c r="AD52" s="570"/>
      <c r="AE52" s="570"/>
      <c r="AF52" s="570"/>
      <c r="AG52" s="570"/>
      <c r="AH52" s="570"/>
      <c r="AI52" s="570"/>
      <c r="AJ52" s="570"/>
      <c r="AK52" s="570"/>
      <c r="AL52" s="570"/>
      <c r="AM52" s="570"/>
      <c r="AN52" s="570"/>
      <c r="AO52" s="570"/>
      <c r="AP52" s="570"/>
      <c r="AQ52" s="570"/>
      <c r="AR52" s="570"/>
      <c r="AS52" s="570"/>
      <c r="AT52" s="570"/>
      <c r="AU52" s="570"/>
      <c r="AV52" s="588"/>
    </row>
    <row r="53" x14ac:dyDescent="0.3">
      <c r="A53" s="704"/>
      <c r="B53" s="570"/>
      <c r="C53" s="570"/>
      <c r="D53" s="710"/>
      <c r="E53" s="829"/>
      <c r="F53" s="709"/>
      <c r="G53" s="570"/>
      <c r="H53" s="292"/>
      <c r="I53" s="317"/>
      <c r="J53" s="195"/>
      <c r="K53" s="195"/>
      <c r="L53" s="195"/>
      <c r="M53" s="195"/>
      <c r="N53" s="195"/>
      <c r="O53" s="570"/>
      <c r="P53" s="298"/>
      <c r="Q53" s="570"/>
      <c r="R53" s="570"/>
      <c r="S53" s="570"/>
      <c r="T53" s="570"/>
      <c r="U53" s="570"/>
      <c r="V53" s="570"/>
      <c r="W53" s="570"/>
      <c r="X53" s="570"/>
      <c r="Y53" s="570"/>
      <c r="Z53" s="570"/>
      <c r="AA53" s="570"/>
      <c r="AB53" s="570"/>
      <c r="AC53" s="570"/>
      <c r="AD53" s="570"/>
      <c r="AE53" s="570"/>
      <c r="AF53" s="570"/>
      <c r="AG53" s="570"/>
      <c r="AH53" s="570"/>
      <c r="AI53" s="570"/>
      <c r="AJ53" s="570"/>
      <c r="AK53" s="570"/>
      <c r="AL53" s="570"/>
      <c r="AM53" s="570"/>
      <c r="AN53" s="570"/>
      <c r="AO53" s="570"/>
      <c r="AP53" s="570"/>
      <c r="AQ53" s="570"/>
      <c r="AR53" s="570"/>
      <c r="AS53" s="570"/>
      <c r="AT53" s="570"/>
      <c r="AU53" s="570"/>
      <c r="AV53" s="588"/>
    </row>
    <row r="54" ht="18.6" thickBot="true" x14ac:dyDescent="0.3">
      <c r="A54" s="704"/>
      <c r="B54" s="570"/>
      <c r="C54" s="570"/>
      <c r="D54" s="710"/>
      <c r="E54" s="1929" t="s">
        <v>1500</v>
      </c>
      <c r="F54" s="1929"/>
      <c r="G54" s="190"/>
      <c r="H54" s="711"/>
      <c r="I54" s="317"/>
      <c r="J54" s="195"/>
      <c r="K54" s="195"/>
      <c r="L54" s="195"/>
      <c r="M54" s="195"/>
      <c r="N54" s="195"/>
      <c r="O54" s="570"/>
      <c r="P54" s="298"/>
      <c r="Q54" s="570"/>
      <c r="R54" s="570"/>
      <c r="S54" s="570"/>
      <c r="T54" s="570"/>
      <c r="U54" s="570"/>
      <c r="V54" s="570"/>
      <c r="W54" s="570"/>
      <c r="X54" s="570"/>
      <c r="Y54" s="570"/>
      <c r="Z54" s="570"/>
      <c r="AA54" s="570"/>
      <c r="AB54" s="570"/>
      <c r="AC54" s="570"/>
      <c r="AD54" s="570"/>
      <c r="AE54" s="570"/>
      <c r="AF54" s="570"/>
      <c r="AG54" s="570"/>
      <c r="AH54" s="570"/>
      <c r="AI54" s="570"/>
      <c r="AJ54" s="570"/>
      <c r="AK54" s="570"/>
      <c r="AL54" s="570"/>
      <c r="AM54" s="570"/>
      <c r="AN54" s="570"/>
      <c r="AO54" s="570"/>
      <c r="AP54" s="570"/>
      <c r="AQ54" s="570"/>
      <c r="AR54" s="570"/>
      <c r="AS54" s="570"/>
      <c r="AT54" s="570"/>
      <c r="AU54" s="570"/>
      <c r="AV54" s="588"/>
    </row>
    <row r="55" x14ac:dyDescent="0.3">
      <c r="A55" s="704"/>
      <c r="B55" s="570"/>
      <c r="C55" s="570"/>
      <c r="D55" s="710"/>
      <c r="E55" s="1884" t="s">
        <v>1498</v>
      </c>
      <c r="F55" s="1885"/>
      <c r="G55" s="1885"/>
      <c r="H55" s="1234">
        <f>'I. Stream &amp; Compound Data'!G104</f>
        <v>1</v>
      </c>
      <c r="I55" s="317"/>
      <c r="J55" s="195"/>
      <c r="K55" s="195"/>
      <c r="L55" s="195"/>
      <c r="M55" s="195"/>
      <c r="N55" s="195"/>
      <c r="O55" s="570"/>
      <c r="P55" s="298"/>
      <c r="Q55" s="570"/>
      <c r="R55" s="570"/>
      <c r="S55" s="570"/>
      <c r="T55" s="570"/>
      <c r="U55" s="570"/>
      <c r="V55" s="570"/>
      <c r="W55" s="570"/>
      <c r="X55" s="570"/>
      <c r="Y55" s="570"/>
      <c r="Z55" s="570"/>
      <c r="AA55" s="570"/>
      <c r="AB55" s="570"/>
      <c r="AC55" s="570"/>
      <c r="AD55" s="570"/>
      <c r="AE55" s="570"/>
      <c r="AF55" s="570"/>
      <c r="AG55" s="570"/>
      <c r="AH55" s="570"/>
      <c r="AI55" s="570"/>
      <c r="AJ55" s="570"/>
      <c r="AK55" s="570"/>
      <c r="AL55" s="570"/>
      <c r="AM55" s="570"/>
      <c r="AN55" s="570"/>
      <c r="AO55" s="570"/>
      <c r="AP55" s="570"/>
      <c r="AQ55" s="570"/>
      <c r="AR55" s="570"/>
      <c r="AS55" s="570"/>
      <c r="AT55" s="570"/>
      <c r="AU55" s="570"/>
      <c r="AV55" s="588"/>
    </row>
    <row r="56" x14ac:dyDescent="0.25">
      <c r="A56" s="704"/>
      <c r="B56" s="570"/>
      <c r="C56" s="570"/>
      <c r="D56" s="710"/>
      <c r="E56" s="1886" t="s">
        <v>1514</v>
      </c>
      <c r="F56" s="1887"/>
      <c r="G56" s="1887"/>
      <c r="H56" s="1235">
        <f>HLOOKUP(H55,'I. Stream &amp; Compound Data'!H107:AA108,2,FALSE)</f>
        <v>3</v>
      </c>
      <c r="I56" s="317"/>
      <c r="J56" s="195"/>
      <c r="K56" s="195"/>
      <c r="L56" s="195"/>
      <c r="M56" s="195"/>
      <c r="N56" s="195"/>
      <c r="O56" s="570"/>
      <c r="P56" s="298"/>
      <c r="Q56" s="570"/>
      <c r="R56" s="570"/>
      <c r="S56" s="570"/>
      <c r="T56" s="570"/>
      <c r="U56" s="570"/>
      <c r="V56" s="570"/>
      <c r="W56" s="570"/>
      <c r="X56" s="570"/>
      <c r="Y56" s="570"/>
      <c r="Z56" s="570"/>
      <c r="AA56" s="570"/>
      <c r="AB56" s="570"/>
      <c r="AC56" s="570"/>
      <c r="AD56" s="570"/>
      <c r="AE56" s="570"/>
      <c r="AF56" s="570"/>
      <c r="AG56" s="570"/>
      <c r="AH56" s="570"/>
      <c r="AI56" s="570"/>
      <c r="AJ56" s="570"/>
      <c r="AK56" s="570"/>
      <c r="AL56" s="570"/>
      <c r="AM56" s="570"/>
      <c r="AN56" s="570"/>
      <c r="AO56" s="570"/>
      <c r="AP56" s="570"/>
      <c r="AQ56" s="570"/>
      <c r="AR56" s="570"/>
      <c r="AS56" s="570"/>
      <c r="AT56" s="570"/>
      <c r="AU56" s="570"/>
      <c r="AV56" s="588"/>
    </row>
    <row r="57" ht="20.25" customHeight="true" x14ac:dyDescent="0.25">
      <c r="A57" s="704"/>
      <c r="B57" s="570"/>
      <c r="C57" s="570"/>
      <c r="D57" s="710"/>
      <c r="E57" s="1886" t="s">
        <v>1515</v>
      </c>
      <c r="F57" s="1887"/>
      <c r="G57" s="1887"/>
      <c r="H57" s="1236" t="str">
        <f>VLOOKUP(H56,'I. Stream &amp; Compound Data'!F111:G160,2)</f>
        <v>Calcium Oxide</v>
      </c>
      <c r="I57" s="317"/>
      <c r="J57" s="195"/>
      <c r="K57" s="195"/>
      <c r="L57" s="195"/>
      <c r="M57" s="195"/>
      <c r="N57" s="195"/>
      <c r="O57" s="570"/>
      <c r="P57" s="298"/>
      <c r="Q57" s="570"/>
      <c r="R57" s="570"/>
      <c r="S57" s="570"/>
      <c r="T57" s="570"/>
      <c r="U57" s="570"/>
      <c r="V57" s="570"/>
      <c r="W57" s="570"/>
      <c r="X57" s="570"/>
      <c r="Y57" s="570"/>
      <c r="Z57" s="570"/>
      <c r="AA57" s="570"/>
      <c r="AB57" s="570"/>
      <c r="AC57" s="570"/>
      <c r="AD57" s="570"/>
      <c r="AE57" s="570"/>
      <c r="AF57" s="570"/>
      <c r="AG57" s="570"/>
      <c r="AH57" s="570"/>
      <c r="AI57" s="570"/>
      <c r="AJ57" s="570"/>
      <c r="AK57" s="570"/>
      <c r="AL57" s="570"/>
      <c r="AM57" s="570"/>
      <c r="AN57" s="570"/>
      <c r="AO57" s="570"/>
      <c r="AP57" s="570"/>
      <c r="AQ57" s="570"/>
      <c r="AR57" s="570"/>
      <c r="AS57" s="570"/>
      <c r="AT57" s="570"/>
      <c r="AU57" s="570"/>
      <c r="AV57" s="588"/>
    </row>
    <row r="58" ht="20.25" customHeight="true" x14ac:dyDescent="0.25">
      <c r="A58" s="704"/>
      <c r="B58" s="570"/>
      <c r="C58" s="570"/>
      <c r="D58" s="710"/>
      <c r="E58" s="1864" t="s">
        <v>2235</v>
      </c>
      <c r="F58" s="1865"/>
      <c r="G58" s="1865"/>
      <c r="H58" s="1235">
        <f>'II. Equipment &amp; Cost Data'!E355</f>
        <v>2888.3362910273868</v>
      </c>
      <c r="I58" s="317"/>
      <c r="J58" s="195"/>
      <c r="K58" s="195"/>
      <c r="L58" s="195"/>
      <c r="M58" s="195"/>
      <c r="N58" s="195"/>
      <c r="O58" s="570"/>
      <c r="P58" s="298"/>
      <c r="Q58" s="570"/>
      <c r="R58" s="570"/>
      <c r="S58" s="570"/>
      <c r="T58" s="570"/>
      <c r="U58" s="570"/>
      <c r="V58" s="570"/>
      <c r="W58" s="570"/>
      <c r="X58" s="570"/>
      <c r="Y58" s="570"/>
      <c r="Z58" s="570"/>
      <c r="AA58" s="570"/>
      <c r="AB58" s="570"/>
      <c r="AC58" s="570"/>
      <c r="AD58" s="570"/>
      <c r="AE58" s="570"/>
      <c r="AF58" s="570"/>
      <c r="AG58" s="570"/>
      <c r="AH58" s="570"/>
      <c r="AI58" s="570"/>
      <c r="AJ58" s="570"/>
      <c r="AK58" s="570"/>
      <c r="AL58" s="570"/>
      <c r="AM58" s="570"/>
      <c r="AN58" s="570"/>
      <c r="AO58" s="570"/>
      <c r="AP58" s="570"/>
      <c r="AQ58" s="570"/>
      <c r="AR58" s="570"/>
      <c r="AS58" s="570"/>
      <c r="AT58" s="570"/>
      <c r="AU58" s="570"/>
      <c r="AV58" s="588"/>
    </row>
    <row r="59" ht="20.25" customHeight="true" x14ac:dyDescent="0.25">
      <c r="A59" s="704"/>
      <c r="B59" s="570"/>
      <c r="C59" s="570"/>
      <c r="D59" s="710"/>
      <c r="E59" s="1864" t="s">
        <v>2233</v>
      </c>
      <c r="F59" s="1865"/>
      <c r="G59" s="1865"/>
      <c r="H59" s="1235">
        <f>HLOOKUP('I. Stream &amp; Compound Data'!G106,H46:AU49,4,FALSE)</f>
        <v>4512.0151204088124</v>
      </c>
      <c r="I59" s="317"/>
      <c r="J59" s="195"/>
      <c r="K59" s="195"/>
      <c r="L59" s="195"/>
      <c r="M59" s="195"/>
      <c r="N59" s="195"/>
      <c r="O59" s="570"/>
      <c r="P59" s="298"/>
      <c r="Q59" s="570"/>
      <c r="R59" s="570"/>
      <c r="S59" s="570"/>
      <c r="T59" s="570"/>
      <c r="U59" s="570"/>
      <c r="V59" s="570"/>
      <c r="W59" s="570"/>
      <c r="X59" s="570"/>
      <c r="Y59" s="570"/>
      <c r="Z59" s="570"/>
      <c r="AA59" s="570"/>
      <c r="AB59" s="570"/>
      <c r="AC59" s="570"/>
      <c r="AD59" s="570"/>
      <c r="AE59" s="570"/>
      <c r="AF59" s="570"/>
      <c r="AG59" s="570"/>
      <c r="AH59" s="570"/>
      <c r="AI59" s="570"/>
      <c r="AJ59" s="570"/>
      <c r="AK59" s="570"/>
      <c r="AL59" s="570"/>
      <c r="AM59" s="570"/>
      <c r="AN59" s="570"/>
      <c r="AO59" s="570"/>
      <c r="AP59" s="570"/>
      <c r="AQ59" s="570"/>
      <c r="AR59" s="570"/>
      <c r="AS59" s="570"/>
      <c r="AT59" s="570"/>
      <c r="AU59" s="570"/>
      <c r="AV59" s="588"/>
    </row>
    <row r="60" ht="36.75" customHeight="true" x14ac:dyDescent="0.25">
      <c r="A60" s="704"/>
      <c r="B60" s="570"/>
      <c r="C60" s="570"/>
      <c r="D60" s="710"/>
      <c r="E60" s="1888" t="s">
        <v>1516</v>
      </c>
      <c r="F60" s="1889"/>
      <c r="G60" s="1889"/>
      <c r="H60" s="1235">
        <f>VLOOKUP(H56,'I. Stream &amp; Compound Data'!F111:AA160,2+'I. Stream &amp; Compound Data'!G104,FALSE)</f>
        <v>1</v>
      </c>
      <c r="I60" s="317"/>
      <c r="J60" s="195"/>
      <c r="K60" s="195"/>
      <c r="L60" s="195"/>
      <c r="M60" s="195"/>
      <c r="N60" s="195"/>
      <c r="O60" s="570"/>
      <c r="P60" s="298"/>
      <c r="Q60" s="570"/>
      <c r="R60" s="570"/>
      <c r="S60" s="570"/>
      <c r="T60" s="570"/>
      <c r="U60" s="570"/>
      <c r="V60" s="570"/>
      <c r="W60" s="570"/>
      <c r="X60" s="570"/>
      <c r="Y60" s="570"/>
      <c r="Z60" s="570"/>
      <c r="AA60" s="570"/>
      <c r="AB60" s="570"/>
      <c r="AC60" s="570"/>
      <c r="AD60" s="570"/>
      <c r="AE60" s="570"/>
      <c r="AF60" s="570"/>
      <c r="AG60" s="570"/>
      <c r="AH60" s="570"/>
      <c r="AI60" s="570"/>
      <c r="AJ60" s="570"/>
      <c r="AK60" s="570"/>
      <c r="AL60" s="570"/>
      <c r="AM60" s="570"/>
      <c r="AN60" s="570"/>
      <c r="AO60" s="570"/>
      <c r="AP60" s="570"/>
      <c r="AQ60" s="570"/>
      <c r="AR60" s="570"/>
      <c r="AS60" s="570"/>
      <c r="AT60" s="570"/>
      <c r="AU60" s="570"/>
      <c r="AV60" s="588"/>
    </row>
    <row r="61" ht="20.25" customHeight="true" x14ac:dyDescent="0.25">
      <c r="A61" s="704"/>
      <c r="B61" s="570"/>
      <c r="C61" s="570"/>
      <c r="D61" s="710"/>
      <c r="E61" s="1886" t="s">
        <v>1517</v>
      </c>
      <c r="F61" s="1887"/>
      <c r="G61" s="1887"/>
      <c r="H61" s="1235">
        <f>VLOOKUP(H56,'I. Stream &amp; Compound Data'!F262:Q311,5)</f>
        <v>56.076999999999998</v>
      </c>
      <c r="I61" s="317"/>
      <c r="J61" s="195"/>
      <c r="K61" s="195"/>
      <c r="L61" s="195"/>
      <c r="M61" s="195"/>
      <c r="N61" s="195"/>
      <c r="O61" s="570"/>
      <c r="P61" s="298"/>
      <c r="Q61" s="570"/>
      <c r="R61" s="570"/>
      <c r="S61" s="570"/>
      <c r="T61" s="570"/>
      <c r="U61" s="570"/>
      <c r="V61" s="570"/>
      <c r="W61" s="570"/>
      <c r="X61" s="570"/>
      <c r="Y61" s="570"/>
      <c r="Z61" s="570"/>
      <c r="AA61" s="570"/>
      <c r="AB61" s="570"/>
      <c r="AC61" s="570"/>
      <c r="AD61" s="570"/>
      <c r="AE61" s="570"/>
      <c r="AF61" s="570"/>
      <c r="AG61" s="570"/>
      <c r="AH61" s="570"/>
      <c r="AI61" s="570"/>
      <c r="AJ61" s="570"/>
      <c r="AK61" s="570"/>
      <c r="AL61" s="570"/>
      <c r="AM61" s="570"/>
      <c r="AN61" s="570"/>
      <c r="AO61" s="570"/>
      <c r="AP61" s="570"/>
      <c r="AQ61" s="570"/>
      <c r="AR61" s="570"/>
      <c r="AS61" s="570"/>
      <c r="AT61" s="570"/>
      <c r="AU61" s="570"/>
      <c r="AV61" s="588"/>
    </row>
    <row r="62" ht="20.25" customHeight="true" x14ac:dyDescent="0.25">
      <c r="A62" s="704"/>
      <c r="B62" s="570"/>
      <c r="C62" s="570"/>
      <c r="D62" s="710"/>
      <c r="E62" s="1888" t="s">
        <v>1506</v>
      </c>
      <c r="F62" s="1889"/>
      <c r="G62" s="1889"/>
      <c r="H62" s="1235">
        <f>HLOOKUP('IV. Material Efficiency'!H55,'I. Stream &amp; Compound Data'!H107:AA109,3,FALSE)</f>
        <v>4</v>
      </c>
      <c r="I62" s="317"/>
      <c r="J62" s="195"/>
      <c r="K62" s="195"/>
      <c r="L62" s="195"/>
      <c r="M62" s="195"/>
      <c r="N62" s="195"/>
      <c r="O62" s="570"/>
      <c r="P62" s="298"/>
      <c r="Q62" s="570"/>
      <c r="R62" s="570"/>
      <c r="S62" s="570"/>
      <c r="T62" s="570"/>
      <c r="U62" s="570"/>
      <c r="V62" s="570"/>
      <c r="W62" s="570"/>
      <c r="X62" s="570"/>
      <c r="Y62" s="570"/>
      <c r="Z62" s="570"/>
      <c r="AA62" s="570"/>
      <c r="AB62" s="570"/>
      <c r="AC62" s="570"/>
      <c r="AD62" s="570"/>
      <c r="AE62" s="570"/>
      <c r="AF62" s="570"/>
      <c r="AG62" s="570"/>
      <c r="AH62" s="570"/>
      <c r="AI62" s="570"/>
      <c r="AJ62" s="570"/>
      <c r="AK62" s="570"/>
      <c r="AL62" s="570"/>
      <c r="AM62" s="570"/>
      <c r="AN62" s="570"/>
      <c r="AO62" s="570"/>
      <c r="AP62" s="570"/>
      <c r="AQ62" s="570"/>
      <c r="AR62" s="570"/>
      <c r="AS62" s="570"/>
      <c r="AT62" s="570"/>
      <c r="AU62" s="570"/>
      <c r="AV62" s="588"/>
    </row>
    <row r="63" ht="20.25" customHeight="true" x14ac:dyDescent="0.25">
      <c r="A63" s="704"/>
      <c r="B63" s="570"/>
      <c r="C63" s="570"/>
      <c r="D63" s="710"/>
      <c r="E63" s="1888" t="s">
        <v>1507</v>
      </c>
      <c r="F63" s="1889"/>
      <c r="G63" s="1889"/>
      <c r="H63" s="1235">
        <f>VLOOKUP(H62,'I. Stream &amp; Compound Data'!F111:AA160,2+'I. Stream &amp; Compound Data'!G104,FALSE)</f>
        <v>-1</v>
      </c>
      <c r="I63" s="317"/>
      <c r="J63" s="195"/>
      <c r="K63" s="195"/>
      <c r="L63" s="195"/>
      <c r="M63" s="195"/>
      <c r="N63" s="195"/>
      <c r="O63" s="570"/>
      <c r="P63" s="298"/>
      <c r="Q63" s="570"/>
      <c r="R63" s="570"/>
      <c r="S63" s="570"/>
      <c r="T63" s="570"/>
      <c r="U63" s="570"/>
      <c r="V63" s="570"/>
      <c r="W63" s="570"/>
      <c r="X63" s="570"/>
      <c r="Y63" s="570"/>
      <c r="Z63" s="570"/>
      <c r="AA63" s="570"/>
      <c r="AB63" s="570"/>
      <c r="AC63" s="570"/>
      <c r="AD63" s="570"/>
      <c r="AE63" s="570"/>
      <c r="AF63" s="570"/>
      <c r="AG63" s="570"/>
      <c r="AH63" s="570"/>
      <c r="AI63" s="570"/>
      <c r="AJ63" s="570"/>
      <c r="AK63" s="570"/>
      <c r="AL63" s="570"/>
      <c r="AM63" s="570"/>
      <c r="AN63" s="570"/>
      <c r="AO63" s="570"/>
      <c r="AP63" s="570"/>
      <c r="AQ63" s="570"/>
      <c r="AR63" s="570"/>
      <c r="AS63" s="570"/>
      <c r="AT63" s="570"/>
      <c r="AU63" s="570"/>
      <c r="AV63" s="588"/>
    </row>
    <row r="64" ht="20.25" customHeight="true" x14ac:dyDescent="0.25">
      <c r="A64" s="704"/>
      <c r="B64" s="570"/>
      <c r="C64" s="570"/>
      <c r="D64" s="710"/>
      <c r="E64" s="1886" t="s">
        <v>1508</v>
      </c>
      <c r="F64" s="1887"/>
      <c r="G64" s="1887"/>
      <c r="H64" s="1235">
        <f>VLOOKUP(H62,'I. Stream &amp; Compound Data'!F262:Q311,5)</f>
        <v>100.087</v>
      </c>
      <c r="I64" s="317"/>
      <c r="J64" s="195"/>
      <c r="K64" s="195"/>
      <c r="L64" s="195"/>
      <c r="M64" s="195"/>
      <c r="N64" s="195"/>
      <c r="O64" s="570"/>
      <c r="P64" s="298"/>
      <c r="Q64" s="570"/>
      <c r="R64" s="570"/>
      <c r="S64" s="570"/>
      <c r="T64" s="570"/>
      <c r="U64" s="570"/>
      <c r="V64" s="570"/>
      <c r="W64" s="570"/>
      <c r="X64" s="570"/>
      <c r="Y64" s="570"/>
      <c r="Z64" s="570"/>
      <c r="AA64" s="570"/>
      <c r="AB64" s="570"/>
      <c r="AC64" s="570"/>
      <c r="AD64" s="570"/>
      <c r="AE64" s="570"/>
      <c r="AF64" s="570"/>
      <c r="AG64" s="570"/>
      <c r="AH64" s="570"/>
      <c r="AI64" s="570"/>
      <c r="AJ64" s="570"/>
      <c r="AK64" s="570"/>
      <c r="AL64" s="570"/>
      <c r="AM64" s="570"/>
      <c r="AN64" s="570"/>
      <c r="AO64" s="570"/>
      <c r="AP64" s="570"/>
      <c r="AQ64" s="570"/>
      <c r="AR64" s="570"/>
      <c r="AS64" s="570"/>
      <c r="AT64" s="570"/>
      <c r="AU64" s="570"/>
      <c r="AV64" s="588"/>
    </row>
    <row r="65" ht="20.25" customHeight="true" x14ac:dyDescent="0.25">
      <c r="A65" s="704"/>
      <c r="B65" s="570"/>
      <c r="C65" s="570"/>
      <c r="D65" s="710"/>
      <c r="E65" s="1864" t="s">
        <v>2227</v>
      </c>
      <c r="F65" s="1865"/>
      <c r="G65" s="1865"/>
      <c r="H65" s="1235">
        <f>VLOOKUP(H62,'I. Stream &amp; Compound Data'!F262:Q311,7)</f>
        <v>6778.7792000553327</v>
      </c>
      <c r="I65" s="317"/>
      <c r="J65" s="195"/>
      <c r="K65" s="195"/>
      <c r="L65" s="195"/>
      <c r="M65" s="195"/>
      <c r="N65" s="195"/>
      <c r="O65" s="570"/>
      <c r="P65" s="298"/>
      <c r="Q65" s="570"/>
      <c r="R65" s="570"/>
      <c r="S65" s="570"/>
      <c r="T65" s="570"/>
      <c r="U65" s="570"/>
      <c r="V65" s="570"/>
      <c r="W65" s="570"/>
      <c r="X65" s="570"/>
      <c r="Y65" s="570"/>
      <c r="Z65" s="570"/>
      <c r="AA65" s="570"/>
      <c r="AB65" s="570"/>
      <c r="AC65" s="570"/>
      <c r="AD65" s="570"/>
      <c r="AE65" s="570"/>
      <c r="AF65" s="570"/>
      <c r="AG65" s="570"/>
      <c r="AH65" s="570"/>
      <c r="AI65" s="570"/>
      <c r="AJ65" s="570"/>
      <c r="AK65" s="570"/>
      <c r="AL65" s="570"/>
      <c r="AM65" s="570"/>
      <c r="AN65" s="570"/>
      <c r="AO65" s="570"/>
      <c r="AP65" s="570"/>
      <c r="AQ65" s="570"/>
      <c r="AR65" s="570"/>
      <c r="AS65" s="570"/>
      <c r="AT65" s="570"/>
      <c r="AU65" s="570"/>
      <c r="AV65" s="588"/>
    </row>
    <row r="66" ht="20.25" customHeight="true" thickBot="true" x14ac:dyDescent="0.3">
      <c r="A66" s="704"/>
      <c r="B66" s="570"/>
      <c r="C66" s="570"/>
      <c r="D66" s="710"/>
      <c r="E66" s="1862" t="s">
        <v>2258</v>
      </c>
      <c r="F66" s="1863"/>
      <c r="G66" s="1863"/>
      <c r="H66" s="1237">
        <f>H58/(H65/H64*H60/ABS(H63)*H61)</f>
        <v>0.76048240262459377</v>
      </c>
      <c r="I66" s="317"/>
      <c r="J66" s="195"/>
      <c r="K66" s="195"/>
      <c r="L66" s="195"/>
      <c r="M66" s="195"/>
      <c r="N66" s="195"/>
      <c r="O66" s="570"/>
      <c r="P66" s="298"/>
      <c r="Q66" s="570"/>
      <c r="R66" s="570"/>
      <c r="S66" s="570"/>
      <c r="T66" s="570"/>
      <c r="U66" s="570"/>
      <c r="V66" s="570"/>
      <c r="W66" s="570"/>
      <c r="X66" s="570"/>
      <c r="Y66" s="570"/>
      <c r="Z66" s="570"/>
      <c r="AA66" s="570"/>
      <c r="AB66" s="570"/>
      <c r="AC66" s="570"/>
      <c r="AD66" s="570"/>
      <c r="AE66" s="570"/>
      <c r="AF66" s="570"/>
      <c r="AG66" s="570"/>
      <c r="AH66" s="570"/>
      <c r="AI66" s="570"/>
      <c r="AJ66" s="570"/>
      <c r="AK66" s="570"/>
      <c r="AL66" s="570"/>
      <c r="AM66" s="570"/>
      <c r="AN66" s="570"/>
      <c r="AO66" s="570"/>
      <c r="AP66" s="570"/>
      <c r="AQ66" s="570"/>
      <c r="AR66" s="570"/>
      <c r="AS66" s="570"/>
      <c r="AT66" s="570"/>
      <c r="AU66" s="570"/>
      <c r="AV66" s="588"/>
    </row>
    <row r="67" ht="15" customHeight="true" x14ac:dyDescent="0.25">
      <c r="A67" s="704"/>
      <c r="B67" s="570"/>
      <c r="C67" s="570"/>
      <c r="D67" s="710"/>
      <c r="E67" s="195"/>
      <c r="F67" s="195"/>
      <c r="G67" s="195"/>
      <c r="H67" s="362"/>
      <c r="I67" s="317"/>
      <c r="J67" s="195"/>
      <c r="K67" s="195"/>
      <c r="L67" s="195"/>
      <c r="M67" s="195"/>
      <c r="N67" s="195"/>
      <c r="O67" s="570"/>
      <c r="P67" s="298"/>
      <c r="Q67" s="570"/>
      <c r="R67" s="570"/>
      <c r="S67" s="570"/>
      <c r="T67" s="570"/>
      <c r="U67" s="570"/>
      <c r="V67" s="570"/>
      <c r="W67" s="570"/>
      <c r="X67" s="570"/>
      <c r="Y67" s="570"/>
      <c r="Z67" s="570"/>
      <c r="AA67" s="570"/>
      <c r="AB67" s="570"/>
      <c r="AC67" s="570"/>
      <c r="AD67" s="570"/>
      <c r="AE67" s="570"/>
      <c r="AF67" s="570"/>
      <c r="AG67" s="570"/>
      <c r="AH67" s="570"/>
      <c r="AI67" s="570"/>
      <c r="AJ67" s="570"/>
      <c r="AK67" s="570"/>
      <c r="AL67" s="570"/>
      <c r="AM67" s="570"/>
      <c r="AN67" s="570"/>
      <c r="AO67" s="570"/>
      <c r="AP67" s="570"/>
      <c r="AQ67" s="570"/>
      <c r="AR67" s="570"/>
      <c r="AS67" s="570"/>
      <c r="AT67" s="570"/>
      <c r="AU67" s="570"/>
      <c r="AV67" s="588"/>
    </row>
    <row r="68" ht="15" customHeight="true" x14ac:dyDescent="0.25">
      <c r="A68" s="704"/>
      <c r="B68" s="570"/>
      <c r="C68" s="570"/>
      <c r="D68" s="710"/>
      <c r="E68" s="195"/>
      <c r="F68" s="195"/>
      <c r="G68" s="195"/>
      <c r="H68" s="362"/>
      <c r="I68" s="317"/>
      <c r="J68" s="195"/>
      <c r="K68" s="195"/>
      <c r="L68" s="195"/>
      <c r="M68" s="195"/>
      <c r="N68" s="195"/>
      <c r="O68" s="570"/>
      <c r="P68" s="298"/>
      <c r="Q68" s="570"/>
      <c r="R68" s="570"/>
      <c r="S68" s="570"/>
      <c r="T68" s="570"/>
      <c r="U68" s="570"/>
      <c r="V68" s="570"/>
      <c r="W68" s="570"/>
      <c r="X68" s="570"/>
      <c r="Y68" s="570"/>
      <c r="Z68" s="570"/>
      <c r="AA68" s="570"/>
      <c r="AB68" s="570"/>
      <c r="AC68" s="570"/>
      <c r="AD68" s="570"/>
      <c r="AE68" s="570"/>
      <c r="AF68" s="570"/>
      <c r="AG68" s="570"/>
      <c r="AH68" s="570"/>
      <c r="AI68" s="570"/>
      <c r="AJ68" s="570"/>
      <c r="AK68" s="570"/>
      <c r="AL68" s="570"/>
      <c r="AM68" s="570"/>
      <c r="AN68" s="570"/>
      <c r="AO68" s="570"/>
      <c r="AP68" s="570"/>
      <c r="AQ68" s="570"/>
      <c r="AR68" s="570"/>
      <c r="AS68" s="570"/>
      <c r="AT68" s="570"/>
      <c r="AU68" s="570"/>
      <c r="AV68" s="588"/>
    </row>
    <row r="69" ht="15" customHeight="true" x14ac:dyDescent="0.25">
      <c r="A69" s="704"/>
      <c r="B69" s="570"/>
      <c r="C69" s="570"/>
      <c r="D69" s="710"/>
      <c r="E69" s="195"/>
      <c r="F69" s="195"/>
      <c r="G69" s="195"/>
      <c r="H69" s="362"/>
      <c r="I69" s="317"/>
      <c r="J69" s="195"/>
      <c r="K69" s="195"/>
      <c r="L69" s="195"/>
      <c r="M69" s="195"/>
      <c r="N69" s="195"/>
      <c r="O69" s="570"/>
      <c r="P69" s="298"/>
      <c r="Q69" s="570"/>
      <c r="R69" s="570"/>
      <c r="S69" s="570"/>
      <c r="T69" s="570"/>
      <c r="U69" s="570"/>
      <c r="V69" s="570"/>
      <c r="W69" s="570"/>
      <c r="X69" s="570"/>
      <c r="Y69" s="570"/>
      <c r="Z69" s="570"/>
      <c r="AA69" s="570"/>
      <c r="AB69" s="570"/>
      <c r="AC69" s="570"/>
      <c r="AD69" s="570"/>
      <c r="AE69" s="570"/>
      <c r="AF69" s="570"/>
      <c r="AG69" s="570"/>
      <c r="AH69" s="570"/>
      <c r="AI69" s="570"/>
      <c r="AJ69" s="570"/>
      <c r="AK69" s="570"/>
      <c r="AL69" s="570"/>
      <c r="AM69" s="570"/>
      <c r="AN69" s="570"/>
      <c r="AO69" s="570"/>
      <c r="AP69" s="570"/>
      <c r="AQ69" s="570"/>
      <c r="AR69" s="570"/>
      <c r="AS69" s="570"/>
      <c r="AT69" s="570"/>
      <c r="AU69" s="570"/>
      <c r="AV69" s="588"/>
    </row>
    <row r="70" ht="15" customHeight="true" thickBot="true" x14ac:dyDescent="0.3">
      <c r="A70" s="704"/>
      <c r="B70" s="570"/>
      <c r="C70" s="570"/>
      <c r="D70" s="710"/>
      <c r="E70" s="1930" t="s">
        <v>1501</v>
      </c>
      <c r="F70" s="1930"/>
      <c r="G70" s="195"/>
      <c r="H70" s="362"/>
      <c r="I70" s="317"/>
      <c r="J70" s="195"/>
      <c r="K70" s="195"/>
      <c r="L70" s="195"/>
      <c r="M70" s="195"/>
      <c r="N70" s="195"/>
      <c r="O70" s="570"/>
      <c r="P70" s="298"/>
      <c r="Q70" s="570"/>
      <c r="R70" s="570"/>
      <c r="S70" s="570"/>
      <c r="T70" s="570"/>
      <c r="U70" s="570"/>
      <c r="V70" s="570"/>
      <c r="W70" s="570"/>
      <c r="X70" s="570"/>
      <c r="Y70" s="570"/>
      <c r="Z70" s="570"/>
      <c r="AA70" s="570"/>
      <c r="AB70" s="570"/>
      <c r="AC70" s="570"/>
      <c r="AD70" s="570"/>
      <c r="AE70" s="570"/>
      <c r="AF70" s="570"/>
      <c r="AG70" s="570"/>
      <c r="AH70" s="570"/>
      <c r="AI70" s="570"/>
      <c r="AJ70" s="570"/>
      <c r="AK70" s="570"/>
      <c r="AL70" s="570"/>
      <c r="AM70" s="570"/>
      <c r="AN70" s="570"/>
      <c r="AO70" s="570"/>
      <c r="AP70" s="570"/>
      <c r="AQ70" s="570"/>
      <c r="AR70" s="570"/>
      <c r="AS70" s="570"/>
      <c r="AT70" s="570"/>
      <c r="AU70" s="570"/>
      <c r="AV70" s="588"/>
    </row>
    <row r="71" ht="23.25" customHeight="true" x14ac:dyDescent="0.3">
      <c r="A71" s="704"/>
      <c r="B71" s="570"/>
      <c r="C71" s="570"/>
      <c r="D71" s="710"/>
      <c r="E71" s="1884" t="s">
        <v>1498</v>
      </c>
      <c r="F71" s="1885"/>
      <c r="G71" s="1885"/>
      <c r="H71" s="1238">
        <f>H55</f>
        <v>1</v>
      </c>
      <c r="I71" s="317"/>
      <c r="J71" s="195"/>
      <c r="K71" s="195"/>
      <c r="L71" s="195"/>
      <c r="M71" s="195"/>
      <c r="N71" s="195"/>
      <c r="O71" s="570"/>
      <c r="P71" s="298"/>
      <c r="Q71" s="570"/>
      <c r="R71" s="570"/>
      <c r="S71" s="570"/>
      <c r="T71" s="570"/>
      <c r="U71" s="570"/>
      <c r="V71" s="570"/>
      <c r="W71" s="570"/>
      <c r="X71" s="570"/>
      <c r="Y71" s="570"/>
      <c r="Z71" s="570"/>
      <c r="AA71" s="570"/>
      <c r="AB71" s="570"/>
      <c r="AC71" s="570"/>
      <c r="AD71" s="570"/>
      <c r="AE71" s="570"/>
      <c r="AF71" s="570"/>
      <c r="AG71" s="570"/>
      <c r="AH71" s="570"/>
      <c r="AI71" s="570"/>
      <c r="AJ71" s="570"/>
      <c r="AK71" s="570"/>
      <c r="AL71" s="570"/>
      <c r="AM71" s="570"/>
      <c r="AN71" s="570"/>
      <c r="AO71" s="570"/>
      <c r="AP71" s="570"/>
      <c r="AQ71" s="570"/>
      <c r="AR71" s="570"/>
      <c r="AS71" s="570"/>
      <c r="AT71" s="570"/>
      <c r="AU71" s="570"/>
      <c r="AV71" s="588"/>
    </row>
    <row r="72" ht="23.25" customHeight="true" x14ac:dyDescent="0.25">
      <c r="A72" s="704"/>
      <c r="B72" s="570"/>
      <c r="C72" s="570"/>
      <c r="D72" s="710"/>
      <c r="E72" s="1886" t="s">
        <v>1514</v>
      </c>
      <c r="F72" s="1887"/>
      <c r="G72" s="1887"/>
      <c r="H72" s="1235">
        <f>H56</f>
        <v>3</v>
      </c>
      <c r="I72" s="317"/>
      <c r="J72" s="195"/>
      <c r="K72" s="195"/>
      <c r="L72" s="195"/>
      <c r="M72" s="195"/>
      <c r="N72" s="195"/>
      <c r="O72" s="570"/>
      <c r="P72" s="298"/>
      <c r="Q72" s="570"/>
      <c r="R72" s="570"/>
      <c r="S72" s="570"/>
      <c r="T72" s="570"/>
      <c r="U72" s="570"/>
      <c r="V72" s="570"/>
      <c r="W72" s="570"/>
      <c r="X72" s="570"/>
      <c r="Y72" s="570"/>
      <c r="Z72" s="570"/>
      <c r="AA72" s="570"/>
      <c r="AB72" s="570"/>
      <c r="AC72" s="570"/>
      <c r="AD72" s="570"/>
      <c r="AE72" s="570"/>
      <c r="AF72" s="570"/>
      <c r="AG72" s="570"/>
      <c r="AH72" s="570"/>
      <c r="AI72" s="570"/>
      <c r="AJ72" s="570"/>
      <c r="AK72" s="570"/>
      <c r="AL72" s="570"/>
      <c r="AM72" s="570"/>
      <c r="AN72" s="570"/>
      <c r="AO72" s="570"/>
      <c r="AP72" s="570"/>
      <c r="AQ72" s="570"/>
      <c r="AR72" s="570"/>
      <c r="AS72" s="570"/>
      <c r="AT72" s="570"/>
      <c r="AU72" s="570"/>
      <c r="AV72" s="588"/>
    </row>
    <row r="73" ht="23.25" customHeight="true" x14ac:dyDescent="0.3">
      <c r="A73" s="704"/>
      <c r="B73" s="570"/>
      <c r="C73" s="570"/>
      <c r="D73" s="710"/>
      <c r="E73" s="1886" t="s">
        <v>1515</v>
      </c>
      <c r="F73" s="1887"/>
      <c r="G73" s="1887"/>
      <c r="H73" s="1236" t="str">
        <f>H57</f>
        <v>Calcium Oxide</v>
      </c>
      <c r="I73" s="317"/>
      <c r="J73" s="195"/>
      <c r="K73" s="195"/>
      <c r="L73" s="195"/>
      <c r="M73" s="195"/>
      <c r="N73" s="195"/>
      <c r="O73" s="195"/>
      <c r="P73" s="298"/>
      <c r="Q73" s="297"/>
      <c r="R73" s="611"/>
      <c r="S73" s="611"/>
      <c r="T73" s="709"/>
      <c r="U73" s="570"/>
      <c r="V73" s="570"/>
      <c r="W73" s="570"/>
      <c r="X73" s="570"/>
      <c r="Y73" s="570"/>
      <c r="Z73" s="570"/>
      <c r="AA73" s="570"/>
      <c r="AB73" s="570"/>
      <c r="AC73" s="570"/>
      <c r="AD73" s="570"/>
      <c r="AE73" s="570"/>
      <c r="AF73" s="570"/>
      <c r="AG73" s="570"/>
      <c r="AH73" s="570"/>
      <c r="AI73" s="570"/>
      <c r="AJ73" s="570"/>
      <c r="AK73" s="570"/>
      <c r="AL73" s="570"/>
      <c r="AM73" s="570"/>
      <c r="AN73" s="570"/>
      <c r="AO73" s="570"/>
      <c r="AP73" s="570"/>
      <c r="AQ73" s="570"/>
      <c r="AR73" s="570"/>
      <c r="AS73" s="570"/>
      <c r="AT73" s="570"/>
      <c r="AU73" s="570"/>
      <c r="AV73" s="588"/>
    </row>
    <row r="74" ht="23.25" customHeight="true" x14ac:dyDescent="0.3">
      <c r="A74" s="704"/>
      <c r="B74" s="570"/>
      <c r="C74" s="570"/>
      <c r="D74" s="710"/>
      <c r="E74" s="1888" t="s">
        <v>1516</v>
      </c>
      <c r="F74" s="1889"/>
      <c r="G74" s="1889"/>
      <c r="H74" s="1236">
        <f>H60</f>
        <v>1</v>
      </c>
      <c r="I74" s="317"/>
      <c r="J74" s="195"/>
      <c r="K74" s="195"/>
      <c r="L74" s="195"/>
      <c r="M74" s="195"/>
      <c r="N74" s="195"/>
      <c r="O74" s="195"/>
      <c r="P74" s="298"/>
      <c r="Q74" s="297"/>
      <c r="R74" s="611"/>
      <c r="S74" s="611"/>
      <c r="T74" s="709"/>
      <c r="U74" s="570"/>
      <c r="V74" s="570"/>
      <c r="W74" s="570"/>
      <c r="X74" s="570"/>
      <c r="Y74" s="570"/>
      <c r="Z74" s="570"/>
      <c r="AA74" s="570"/>
      <c r="AB74" s="570"/>
      <c r="AC74" s="570"/>
      <c r="AD74" s="570"/>
      <c r="AE74" s="570"/>
      <c r="AF74" s="570"/>
      <c r="AG74" s="570"/>
      <c r="AH74" s="570"/>
      <c r="AI74" s="570"/>
      <c r="AJ74" s="570"/>
      <c r="AK74" s="570"/>
      <c r="AL74" s="570"/>
      <c r="AM74" s="570"/>
      <c r="AN74" s="570"/>
      <c r="AO74" s="570"/>
      <c r="AP74" s="570"/>
      <c r="AQ74" s="570"/>
      <c r="AR74" s="570"/>
      <c r="AS74" s="570"/>
      <c r="AT74" s="570"/>
      <c r="AU74" s="570"/>
      <c r="AV74" s="588"/>
    </row>
    <row r="75" ht="23.25" customHeight="true" x14ac:dyDescent="0.3">
      <c r="A75" s="704"/>
      <c r="B75" s="570"/>
      <c r="C75" s="570"/>
      <c r="D75" s="710"/>
      <c r="E75" s="1886" t="s">
        <v>1517</v>
      </c>
      <c r="F75" s="1887"/>
      <c r="G75" s="1887"/>
      <c r="H75" s="1235">
        <f>H61</f>
        <v>56.076999999999998</v>
      </c>
      <c r="I75" s="626"/>
      <c r="J75" s="570"/>
      <c r="K75" s="292"/>
      <c r="L75" s="362"/>
      <c r="M75" s="335"/>
      <c r="N75" s="195"/>
      <c r="O75" s="195"/>
      <c r="P75" s="298"/>
      <c r="Q75" s="297"/>
      <c r="R75" s="611"/>
      <c r="S75" s="611"/>
      <c r="T75" s="709"/>
      <c r="U75" s="570"/>
      <c r="V75" s="570"/>
      <c r="W75" s="570"/>
      <c r="X75" s="570"/>
      <c r="Y75" s="570"/>
      <c r="Z75" s="570"/>
      <c r="AA75" s="570"/>
      <c r="AB75" s="570"/>
      <c r="AC75" s="570"/>
      <c r="AD75" s="570"/>
      <c r="AE75" s="570"/>
      <c r="AF75" s="570"/>
      <c r="AG75" s="570"/>
      <c r="AH75" s="570"/>
      <c r="AI75" s="570"/>
      <c r="AJ75" s="570"/>
      <c r="AK75" s="570"/>
      <c r="AL75" s="570"/>
      <c r="AM75" s="570"/>
      <c r="AN75" s="570"/>
      <c r="AO75" s="570"/>
      <c r="AP75" s="570"/>
      <c r="AQ75" s="570"/>
      <c r="AR75" s="570"/>
      <c r="AS75" s="570"/>
      <c r="AT75" s="570"/>
      <c r="AU75" s="570"/>
      <c r="AV75" s="588"/>
    </row>
    <row r="76" ht="23.25" customHeight="true" x14ac:dyDescent="0.3">
      <c r="A76" s="704"/>
      <c r="B76" s="570"/>
      <c r="C76" s="570"/>
      <c r="D76" s="710"/>
      <c r="E76" s="1864" t="s">
        <v>1504</v>
      </c>
      <c r="F76" s="1865"/>
      <c r="G76" s="1865"/>
      <c r="H76" s="1235">
        <f>H75*H74</f>
        <v>56.076999999999998</v>
      </c>
      <c r="I76" s="626"/>
      <c r="J76" s="570"/>
      <c r="K76" s="292"/>
      <c r="L76" s="362"/>
      <c r="M76" s="335"/>
      <c r="N76" s="195"/>
      <c r="O76" s="195"/>
      <c r="P76" s="298"/>
      <c r="Q76" s="297"/>
      <c r="R76" s="611"/>
      <c r="S76" s="611"/>
      <c r="T76" s="709"/>
      <c r="U76" s="570"/>
      <c r="V76" s="570"/>
      <c r="W76" s="570"/>
      <c r="X76" s="570"/>
      <c r="Y76" s="570"/>
      <c r="Z76" s="570"/>
      <c r="AA76" s="570"/>
      <c r="AB76" s="570"/>
      <c r="AC76" s="570"/>
      <c r="AD76" s="570"/>
      <c r="AE76" s="570"/>
      <c r="AF76" s="570"/>
      <c r="AG76" s="570"/>
      <c r="AH76" s="570"/>
      <c r="AI76" s="570"/>
      <c r="AJ76" s="570"/>
      <c r="AK76" s="570"/>
      <c r="AL76" s="570"/>
      <c r="AM76" s="570"/>
      <c r="AN76" s="570"/>
      <c r="AO76" s="570"/>
      <c r="AP76" s="570"/>
      <c r="AQ76" s="570"/>
      <c r="AR76" s="570"/>
      <c r="AS76" s="570"/>
      <c r="AT76" s="570"/>
      <c r="AU76" s="570"/>
      <c r="AV76" s="588"/>
    </row>
    <row r="77" ht="23.25" customHeight="true" x14ac:dyDescent="0.3">
      <c r="A77" s="704"/>
      <c r="B77" s="570"/>
      <c r="C77" s="570"/>
      <c r="D77" s="710"/>
      <c r="E77" s="1864" t="s">
        <v>1505</v>
      </c>
      <c r="F77" s="1865"/>
      <c r="G77" s="1865"/>
      <c r="H77" s="1235">
        <f>ABS(O136)</f>
        <v>100.087</v>
      </c>
      <c r="I77" s="626"/>
      <c r="J77" s="570"/>
      <c r="K77" s="292"/>
      <c r="L77" s="362"/>
      <c r="M77" s="335"/>
      <c r="N77" s="195"/>
      <c r="O77" s="195"/>
      <c r="P77" s="298"/>
      <c r="Q77" s="297"/>
      <c r="R77" s="611"/>
      <c r="S77" s="611"/>
      <c r="T77" s="709"/>
      <c r="U77" s="570"/>
      <c r="V77" s="570"/>
      <c r="W77" s="570"/>
      <c r="X77" s="570"/>
      <c r="Y77" s="570"/>
      <c r="Z77" s="570"/>
      <c r="AA77" s="570"/>
      <c r="AB77" s="570"/>
      <c r="AC77" s="570"/>
      <c r="AD77" s="570"/>
      <c r="AE77" s="570"/>
      <c r="AF77" s="570"/>
      <c r="AG77" s="570"/>
      <c r="AH77" s="570"/>
      <c r="AI77" s="570"/>
      <c r="AJ77" s="570"/>
      <c r="AK77" s="570"/>
      <c r="AL77" s="570"/>
      <c r="AM77" s="570"/>
      <c r="AN77" s="570"/>
      <c r="AO77" s="570"/>
      <c r="AP77" s="570"/>
      <c r="AQ77" s="570"/>
      <c r="AR77" s="570"/>
      <c r="AS77" s="570"/>
      <c r="AT77" s="570"/>
      <c r="AU77" s="570"/>
      <c r="AV77" s="588"/>
    </row>
    <row r="78" ht="23.25" customHeight="true" thickBot="true" x14ac:dyDescent="0.35">
      <c r="A78" s="704"/>
      <c r="B78" s="570"/>
      <c r="C78" s="570"/>
      <c r="D78" s="710"/>
      <c r="E78" s="1862" t="s">
        <v>1501</v>
      </c>
      <c r="F78" s="1863"/>
      <c r="G78" s="1863"/>
      <c r="H78" s="1237">
        <f>H76/H77</f>
        <v>0.56028255417786521</v>
      </c>
      <c r="I78" s="626"/>
      <c r="J78" s="570"/>
      <c r="K78" s="292"/>
      <c r="L78" s="362"/>
      <c r="M78" s="335"/>
      <c r="N78" s="195"/>
      <c r="O78" s="195"/>
      <c r="P78" s="298"/>
      <c r="Q78" s="297"/>
      <c r="R78" s="611"/>
      <c r="S78" s="611"/>
      <c r="T78" s="709"/>
      <c r="U78" s="570"/>
      <c r="V78" s="570"/>
      <c r="W78" s="570"/>
      <c r="X78" s="570"/>
      <c r="Y78" s="570"/>
      <c r="Z78" s="570"/>
      <c r="AA78" s="570"/>
      <c r="AB78" s="570"/>
      <c r="AC78" s="570"/>
      <c r="AD78" s="570"/>
      <c r="AE78" s="570"/>
      <c r="AF78" s="570"/>
      <c r="AG78" s="570"/>
      <c r="AH78" s="570"/>
      <c r="AI78" s="570"/>
      <c r="AJ78" s="570"/>
      <c r="AK78" s="570"/>
      <c r="AL78" s="570"/>
      <c r="AM78" s="570"/>
      <c r="AN78" s="570"/>
      <c r="AO78" s="570"/>
      <c r="AP78" s="570"/>
      <c r="AQ78" s="570"/>
      <c r="AR78" s="570"/>
      <c r="AS78" s="570"/>
      <c r="AT78" s="570"/>
      <c r="AU78" s="570"/>
      <c r="AV78" s="588"/>
    </row>
    <row r="79" ht="23.25" customHeight="true" thickBot="true" x14ac:dyDescent="0.35">
      <c r="A79" s="704"/>
      <c r="B79" s="570"/>
      <c r="C79" s="570"/>
      <c r="D79" s="710"/>
      <c r="E79" s="1173"/>
      <c r="F79" s="1173"/>
      <c r="G79" s="1173"/>
      <c r="H79" s="281"/>
      <c r="I79" s="626"/>
      <c r="J79" s="570"/>
      <c r="K79" s="292"/>
      <c r="L79" s="362"/>
      <c r="M79" s="335"/>
      <c r="N79" s="195"/>
      <c r="O79" s="195"/>
      <c r="P79" s="298"/>
      <c r="Q79" s="297"/>
      <c r="R79" s="611"/>
      <c r="S79" s="611"/>
      <c r="T79" s="709"/>
      <c r="U79" s="570"/>
      <c r="V79" s="570"/>
      <c r="W79" s="570"/>
      <c r="X79" s="570"/>
      <c r="Y79" s="570"/>
      <c r="Z79" s="570"/>
      <c r="AA79" s="570"/>
      <c r="AB79" s="570"/>
      <c r="AC79" s="570"/>
      <c r="AD79" s="570"/>
      <c r="AE79" s="570"/>
      <c r="AF79" s="570"/>
      <c r="AG79" s="570"/>
      <c r="AH79" s="570"/>
      <c r="AI79" s="570"/>
      <c r="AJ79" s="570"/>
      <c r="AK79" s="570"/>
      <c r="AL79" s="570"/>
      <c r="AM79" s="570"/>
      <c r="AN79" s="570"/>
      <c r="AO79" s="570"/>
      <c r="AP79" s="570"/>
      <c r="AQ79" s="570"/>
      <c r="AR79" s="570"/>
      <c r="AS79" s="570"/>
      <c r="AT79" s="570"/>
      <c r="AU79" s="570"/>
      <c r="AV79" s="588"/>
    </row>
    <row r="80" ht="23.25" customHeight="true" thickBot="true" x14ac:dyDescent="0.35">
      <c r="A80" s="704"/>
      <c r="B80" s="570"/>
      <c r="C80" s="570"/>
      <c r="D80" s="710"/>
      <c r="E80" s="1893" t="s">
        <v>2259</v>
      </c>
      <c r="F80" s="1894"/>
      <c r="G80" s="1894"/>
      <c r="H80" s="1239">
        <f>(H58/(H65/H64*H60/ABS(H63)*H61))*(H76/H77)</f>
        <v>0.42608502294982709</v>
      </c>
      <c r="I80" s="626"/>
      <c r="J80" s="570"/>
      <c r="K80" s="292"/>
      <c r="L80" s="362"/>
      <c r="M80" s="335"/>
      <c r="N80" s="195"/>
      <c r="O80" s="195"/>
      <c r="P80" s="298"/>
      <c r="Q80" s="297"/>
      <c r="R80" s="611"/>
      <c r="S80" s="611"/>
      <c r="T80" s="709"/>
      <c r="U80" s="570"/>
      <c r="V80" s="570"/>
      <c r="W80" s="570"/>
      <c r="X80" s="570"/>
      <c r="Y80" s="570"/>
      <c r="Z80" s="570"/>
      <c r="AA80" s="570"/>
      <c r="AB80" s="570"/>
      <c r="AC80" s="570"/>
      <c r="AD80" s="570"/>
      <c r="AE80" s="570"/>
      <c r="AF80" s="570"/>
      <c r="AG80" s="570"/>
      <c r="AH80" s="570"/>
      <c r="AI80" s="570"/>
      <c r="AJ80" s="570"/>
      <c r="AK80" s="570"/>
      <c r="AL80" s="570"/>
      <c r="AM80" s="570"/>
      <c r="AN80" s="570"/>
      <c r="AO80" s="570"/>
      <c r="AP80" s="570"/>
      <c r="AQ80" s="570"/>
      <c r="AR80" s="570"/>
      <c r="AS80" s="570"/>
      <c r="AT80" s="570"/>
      <c r="AU80" s="570"/>
      <c r="AV80" s="588"/>
    </row>
    <row r="81" ht="21" customHeight="true" thickBot="true" x14ac:dyDescent="0.35">
      <c r="A81" s="704"/>
      <c r="B81" s="570"/>
      <c r="C81" s="570"/>
      <c r="D81" s="710"/>
      <c r="E81" s="195"/>
      <c r="F81" s="195"/>
      <c r="G81" s="195"/>
      <c r="H81" s="362"/>
      <c r="I81" s="626"/>
      <c r="J81" s="570"/>
      <c r="K81" s="292"/>
      <c r="L81" s="362"/>
      <c r="M81" s="335"/>
      <c r="N81" s="195"/>
      <c r="O81" s="195"/>
      <c r="P81" s="298"/>
      <c r="Q81" s="297"/>
      <c r="R81" s="611"/>
      <c r="S81" s="611"/>
      <c r="T81" s="709"/>
      <c r="U81" s="570"/>
      <c r="V81" s="570"/>
      <c r="W81" s="570"/>
      <c r="X81" s="570"/>
      <c r="Y81" s="570"/>
      <c r="Z81" s="570"/>
      <c r="AA81" s="570"/>
      <c r="AB81" s="570"/>
      <c r="AC81" s="570"/>
      <c r="AD81" s="570"/>
      <c r="AE81" s="570"/>
      <c r="AF81" s="570"/>
      <c r="AG81" s="570"/>
      <c r="AH81" s="570"/>
      <c r="AI81" s="570"/>
      <c r="AJ81" s="570"/>
      <c r="AK81" s="570"/>
      <c r="AL81" s="570"/>
      <c r="AM81" s="570"/>
      <c r="AN81" s="570"/>
      <c r="AO81" s="570"/>
      <c r="AP81" s="570"/>
      <c r="AQ81" s="570"/>
      <c r="AR81" s="570"/>
      <c r="AS81" s="570"/>
      <c r="AT81" s="570"/>
      <c r="AU81" s="570"/>
      <c r="AV81" s="588"/>
    </row>
    <row r="82" ht="15" customHeight="true" x14ac:dyDescent="0.3">
      <c r="A82" s="704"/>
      <c r="B82" s="570"/>
      <c r="C82" s="570"/>
      <c r="D82" s="710"/>
      <c r="E82" s="195"/>
      <c r="F82" s="195"/>
      <c r="G82" s="195"/>
      <c r="H82" s="362"/>
      <c r="I82" s="180" t="s">
        <v>1491</v>
      </c>
      <c r="J82" s="212">
        <f>H71</f>
        <v>1</v>
      </c>
      <c r="K82" s="292"/>
      <c r="L82" s="195"/>
      <c r="M82" s="195"/>
      <c r="N82" s="195"/>
      <c r="O82" s="195"/>
      <c r="P82" s="298"/>
      <c r="Q82" s="297"/>
      <c r="R82" s="611"/>
      <c r="S82" s="611"/>
      <c r="T82" s="709"/>
      <c r="U82" s="570"/>
      <c r="V82" s="570"/>
      <c r="W82" s="570"/>
      <c r="X82" s="570"/>
      <c r="Y82" s="570"/>
      <c r="Z82" s="570"/>
      <c r="AA82" s="570"/>
      <c r="AB82" s="570"/>
      <c r="AC82" s="570"/>
      <c r="AD82" s="570"/>
      <c r="AE82" s="570"/>
      <c r="AF82" s="570"/>
      <c r="AG82" s="570"/>
      <c r="AH82" s="570"/>
      <c r="AI82" s="570"/>
      <c r="AJ82" s="570"/>
      <c r="AK82" s="570"/>
      <c r="AL82" s="570"/>
      <c r="AM82" s="570"/>
      <c r="AN82" s="570"/>
      <c r="AO82" s="570"/>
      <c r="AP82" s="570"/>
      <c r="AQ82" s="570"/>
      <c r="AR82" s="570"/>
      <c r="AS82" s="570"/>
      <c r="AT82" s="570"/>
      <c r="AU82" s="570"/>
      <c r="AV82" s="588"/>
    </row>
    <row r="83" ht="15" customHeight="true" x14ac:dyDescent="0.3">
      <c r="A83" s="704"/>
      <c r="B83" s="570"/>
      <c r="C83" s="570"/>
      <c r="D83" s="710"/>
      <c r="E83" s="570"/>
      <c r="F83" s="570"/>
      <c r="G83" s="570"/>
      <c r="H83" s="362"/>
      <c r="I83" s="185" t="s">
        <v>1518</v>
      </c>
      <c r="J83" s="187">
        <f>H72</f>
        <v>3</v>
      </c>
      <c r="K83" s="292"/>
      <c r="L83" s="195"/>
      <c r="M83" s="195"/>
      <c r="N83" s="195"/>
      <c r="O83" s="195"/>
      <c r="P83" s="298"/>
      <c r="Q83" s="297"/>
      <c r="R83" s="611"/>
      <c r="S83" s="611"/>
      <c r="T83" s="709"/>
      <c r="U83" s="570"/>
      <c r="V83" s="570"/>
      <c r="W83" s="570"/>
      <c r="X83" s="570"/>
      <c r="Y83" s="570"/>
      <c r="Z83" s="570"/>
      <c r="AA83" s="570"/>
      <c r="AB83" s="570"/>
      <c r="AC83" s="570"/>
      <c r="AD83" s="570"/>
      <c r="AE83" s="570"/>
      <c r="AF83" s="570"/>
      <c r="AG83" s="570"/>
      <c r="AH83" s="570"/>
      <c r="AI83" s="570"/>
      <c r="AJ83" s="570"/>
      <c r="AK83" s="570"/>
      <c r="AL83" s="570"/>
      <c r="AM83" s="570"/>
      <c r="AN83" s="570"/>
      <c r="AO83" s="570"/>
      <c r="AP83" s="570"/>
      <c r="AQ83" s="570"/>
      <c r="AR83" s="570"/>
      <c r="AS83" s="570"/>
      <c r="AT83" s="570"/>
      <c r="AU83" s="570"/>
      <c r="AV83" s="588"/>
    </row>
    <row r="84" ht="15" customHeight="true" thickBot="true" x14ac:dyDescent="0.35">
      <c r="A84" s="704"/>
      <c r="B84" s="570"/>
      <c r="C84" s="570"/>
      <c r="D84" s="710"/>
      <c r="E84" s="570"/>
      <c r="F84" s="570"/>
      <c r="G84" s="570"/>
      <c r="H84" s="362"/>
      <c r="I84" s="265" t="s">
        <v>1499</v>
      </c>
      <c r="J84" s="1240">
        <f>H62</f>
        <v>4</v>
      </c>
      <c r="K84" s="292"/>
      <c r="L84" s="195"/>
      <c r="M84" s="195"/>
      <c r="N84" s="195"/>
      <c r="O84" s="195"/>
      <c r="P84" s="298"/>
      <c r="Q84" s="297"/>
      <c r="R84" s="611"/>
      <c r="S84" s="611"/>
      <c r="T84" s="709"/>
      <c r="U84" s="570"/>
      <c r="V84" s="570"/>
      <c r="W84" s="570"/>
      <c r="X84" s="570"/>
      <c r="Y84" s="570"/>
      <c r="Z84" s="570"/>
      <c r="AA84" s="570"/>
      <c r="AB84" s="570"/>
      <c r="AC84" s="570"/>
      <c r="AD84" s="570"/>
      <c r="AE84" s="570"/>
      <c r="AF84" s="570"/>
      <c r="AG84" s="570"/>
      <c r="AH84" s="570"/>
      <c r="AI84" s="570"/>
      <c r="AJ84" s="570"/>
      <c r="AK84" s="570"/>
      <c r="AL84" s="570"/>
      <c r="AM84" s="570"/>
      <c r="AN84" s="570"/>
      <c r="AO84" s="570"/>
      <c r="AP84" s="570"/>
      <c r="AQ84" s="570"/>
      <c r="AR84" s="570"/>
      <c r="AS84" s="570"/>
      <c r="AT84" s="570"/>
      <c r="AU84" s="570"/>
      <c r="AV84" s="588"/>
    </row>
    <row r="85" ht="32.25" customHeight="true" x14ac:dyDescent="0.25">
      <c r="A85" s="704"/>
      <c r="B85" s="570"/>
      <c r="C85" s="570"/>
      <c r="D85" s="710"/>
      <c r="E85" s="195"/>
      <c r="F85" s="195"/>
      <c r="G85" s="195"/>
      <c r="H85" s="362"/>
      <c r="I85" s="266" t="s">
        <v>1469</v>
      </c>
      <c r="J85" s="191" t="s">
        <v>1470</v>
      </c>
      <c r="K85" s="267" t="s">
        <v>1502</v>
      </c>
      <c r="L85" s="268" t="s">
        <v>2318</v>
      </c>
      <c r="M85" s="261" t="s">
        <v>1509</v>
      </c>
      <c r="N85" s="1199" t="s">
        <v>2228</v>
      </c>
      <c r="O85" s="261" t="s">
        <v>1503</v>
      </c>
      <c r="P85" s="261" t="s">
        <v>1510</v>
      </c>
      <c r="Q85" s="269" t="s">
        <v>1530</v>
      </c>
      <c r="R85" s="611"/>
      <c r="S85" s="611"/>
      <c r="T85" s="709"/>
      <c r="U85" s="570"/>
      <c r="V85" s="570"/>
      <c r="W85" s="570"/>
      <c r="X85" s="570"/>
      <c r="Y85" s="570"/>
      <c r="Z85" s="570"/>
      <c r="AA85" s="570"/>
      <c r="AB85" s="570"/>
      <c r="AC85" s="570"/>
      <c r="AD85" s="570"/>
      <c r="AE85" s="570"/>
      <c r="AF85" s="570"/>
      <c r="AG85" s="570"/>
      <c r="AH85" s="570"/>
      <c r="AI85" s="570"/>
      <c r="AJ85" s="570"/>
      <c r="AK85" s="570"/>
      <c r="AL85" s="570"/>
      <c r="AM85" s="570"/>
      <c r="AN85" s="570"/>
      <c r="AO85" s="570"/>
      <c r="AP85" s="570"/>
      <c r="AQ85" s="570"/>
      <c r="AR85" s="570"/>
      <c r="AS85" s="570"/>
      <c r="AT85" s="570"/>
      <c r="AU85" s="570"/>
      <c r="AV85" s="588"/>
    </row>
    <row r="86" x14ac:dyDescent="0.25">
      <c r="A86" s="704"/>
      <c r="B86" s="570"/>
      <c r="C86" s="570"/>
      <c r="D86" s="710"/>
      <c r="E86" s="195"/>
      <c r="F86" s="195"/>
      <c r="G86" s="195"/>
      <c r="H86" s="362"/>
      <c r="I86" s="1241">
        <v>1</v>
      </c>
      <c r="J86" s="186" t="str">
        <f>'I. Stream &amp; Compound Data'!G111</f>
        <v>Carbon Dioxide</v>
      </c>
      <c r="K86" s="1242">
        <f>'I. Stream &amp; Compound Data'!J262</f>
        <v>44.009500000000003</v>
      </c>
      <c r="L86" s="186">
        <f>IF(J86="","",VLOOKUP(I86,'I. Stream &amp; Compound Data'!$F$111:$AA$160,2+'I. Stream &amp; Compound Data'!$G$104,FALSE))</f>
        <v>1</v>
      </c>
      <c r="M86" s="1243">
        <f>IF(J86="","",IF(L86&lt;0,$H$65/($H$64*ABS($H$63))*ABS(O86),0))</f>
        <v>0</v>
      </c>
      <c r="N86" s="1171">
        <f>IF(J86="","",IF(L86&lt;0,'I. Stream &amp; Compound Data'!L262,0))</f>
        <v>0</v>
      </c>
      <c r="O86" s="1171">
        <f>IF(J86="","",IF(L86&lt;0,K86*L86,0))</f>
        <v>0</v>
      </c>
      <c r="P86" s="1244">
        <f>IF(J86="","",N86-M86)</f>
        <v>0</v>
      </c>
      <c r="Q86" s="1245">
        <f>IF(J86="","",IF(AND(L86&gt;0,I86&lt;&gt;$J$83),K86*L86,0))</f>
        <v>44.009500000000003</v>
      </c>
      <c r="R86" s="611"/>
      <c r="S86" s="611"/>
      <c r="T86" s="709"/>
      <c r="U86" s="570"/>
      <c r="V86" s="570"/>
      <c r="W86" s="570"/>
      <c r="X86" s="570"/>
      <c r="Y86" s="570"/>
      <c r="Z86" s="570"/>
      <c r="AA86" s="570"/>
      <c r="AB86" s="570"/>
      <c r="AC86" s="570"/>
      <c r="AD86" s="570"/>
      <c r="AE86" s="570"/>
      <c r="AF86" s="570"/>
      <c r="AG86" s="570"/>
      <c r="AH86" s="570"/>
      <c r="AI86" s="570"/>
      <c r="AJ86" s="570"/>
      <c r="AK86" s="570"/>
      <c r="AL86" s="570"/>
      <c r="AM86" s="570"/>
      <c r="AN86" s="570"/>
      <c r="AO86" s="570"/>
      <c r="AP86" s="570"/>
      <c r="AQ86" s="570"/>
      <c r="AR86" s="570"/>
      <c r="AS86" s="570"/>
      <c r="AT86" s="570"/>
      <c r="AU86" s="570"/>
      <c r="AV86" s="588"/>
    </row>
    <row r="87" x14ac:dyDescent="0.25">
      <c r="A87" s="704"/>
      <c r="B87" s="570"/>
      <c r="C87" s="570"/>
      <c r="D87" s="710"/>
      <c r="E87" s="195"/>
      <c r="F87" s="195"/>
      <c r="G87" s="195"/>
      <c r="H87" s="362"/>
      <c r="I87" s="1241">
        <f>I86+1</f>
        <v>2</v>
      </c>
      <c r="J87" s="186" t="str">
        <f>'I. Stream &amp; Compound Data'!G112</f>
        <v>Water</v>
      </c>
      <c r="K87" s="1242">
        <f>'I. Stream &amp; Compound Data'!J263</f>
        <v>18.0153</v>
      </c>
      <c r="L87" s="186">
        <f>IF(J87="","",VLOOKUP(I87,'I. Stream &amp; Compound Data'!$F$111:$AA$160,2+'I. Stream &amp; Compound Data'!$G$104,FALSE))</f>
        <v>0</v>
      </c>
      <c r="M87" s="1243">
        <f t="shared" ref="M87:M99" si="6">IF(J87="","",IF(L87&lt;0,$H$65/($H$64*ABS($H$63))*ABS(O87),0))</f>
        <v>0</v>
      </c>
      <c r="N87" s="1171">
        <f>IF(J87="","",IF(L87&lt;0,'I. Stream &amp; Compound Data'!L263,0))</f>
        <v>0</v>
      </c>
      <c r="O87" s="1171">
        <f t="shared" ref="O87:O99" si="7">IF(J87="","",IF(L87&lt;0,K87*L87,0))</f>
        <v>0</v>
      </c>
      <c r="P87" s="1244">
        <f t="shared" ref="P87:P99" si="8">IF(J87="","",N87-M87)</f>
        <v>0</v>
      </c>
      <c r="Q87" s="1245">
        <f t="shared" ref="Q87:Q99" si="9">IF(J87="","",IF(AND(L87&gt;0,I87&lt;&gt;$J$83),K87*L87,0))</f>
        <v>0</v>
      </c>
      <c r="R87" s="611"/>
      <c r="S87" s="611"/>
      <c r="T87" s="709"/>
      <c r="U87" s="570"/>
      <c r="V87" s="570"/>
      <c r="W87" s="570"/>
      <c r="X87" s="570"/>
      <c r="Y87" s="570"/>
      <c r="Z87" s="570"/>
      <c r="AA87" s="570"/>
      <c r="AB87" s="570"/>
      <c r="AC87" s="570"/>
      <c r="AD87" s="570"/>
      <c r="AE87" s="570"/>
      <c r="AF87" s="570"/>
      <c r="AG87" s="570"/>
      <c r="AH87" s="570"/>
      <c r="AI87" s="570"/>
      <c r="AJ87" s="570"/>
      <c r="AK87" s="570"/>
      <c r="AL87" s="570"/>
      <c r="AM87" s="570"/>
      <c r="AN87" s="570"/>
      <c r="AO87" s="570"/>
      <c r="AP87" s="570"/>
      <c r="AQ87" s="570"/>
      <c r="AR87" s="570"/>
      <c r="AS87" s="570"/>
      <c r="AT87" s="570"/>
      <c r="AU87" s="570"/>
      <c r="AV87" s="588"/>
    </row>
    <row r="88" x14ac:dyDescent="0.3">
      <c r="A88" s="704"/>
      <c r="B88" s="570"/>
      <c r="C88" s="570"/>
      <c r="D88" s="708"/>
      <c r="E88" s="829"/>
      <c r="F88" s="709"/>
      <c r="G88" s="570"/>
      <c r="H88" s="292"/>
      <c r="I88" s="1241">
        <f t="shared" ref="I88:I135" si="10">I87+1</f>
        <v>3</v>
      </c>
      <c r="J88" s="186" t="str">
        <f>'I. Stream &amp; Compound Data'!G113</f>
        <v>Calcium Oxide</v>
      </c>
      <c r="K88" s="1242">
        <f>'I. Stream &amp; Compound Data'!J264</f>
        <v>56.076999999999998</v>
      </c>
      <c r="L88" s="186">
        <f>IF(J88="","",VLOOKUP(I88,'I. Stream &amp; Compound Data'!$F$111:$AA$160,2+'I. Stream &amp; Compound Data'!$G$104,FALSE))</f>
        <v>1</v>
      </c>
      <c r="M88" s="1243">
        <f t="shared" si="6"/>
        <v>0</v>
      </c>
      <c r="N88" s="1171">
        <f>IF(J88="","",IF(L88&lt;0,'I. Stream &amp; Compound Data'!L264,0))</f>
        <v>0</v>
      </c>
      <c r="O88" s="1171">
        <f t="shared" si="7"/>
        <v>0</v>
      </c>
      <c r="P88" s="1244">
        <f t="shared" si="8"/>
        <v>0</v>
      </c>
      <c r="Q88" s="1245">
        <f t="shared" si="9"/>
        <v>0</v>
      </c>
      <c r="R88" s="611"/>
      <c r="S88" s="611"/>
      <c r="T88" s="709"/>
      <c r="U88" s="570"/>
      <c r="V88" s="570"/>
      <c r="W88" s="570"/>
      <c r="X88" s="570"/>
      <c r="Y88" s="570"/>
      <c r="Z88" s="570"/>
      <c r="AA88" s="570"/>
      <c r="AB88" s="570"/>
      <c r="AC88" s="570"/>
      <c r="AD88" s="570"/>
      <c r="AE88" s="570"/>
      <c r="AF88" s="570"/>
      <c r="AG88" s="570"/>
      <c r="AH88" s="570"/>
      <c r="AI88" s="570"/>
      <c r="AJ88" s="570"/>
      <c r="AK88" s="570"/>
      <c r="AL88" s="570"/>
      <c r="AM88" s="570"/>
      <c r="AN88" s="570"/>
      <c r="AO88" s="570"/>
      <c r="AP88" s="570"/>
      <c r="AQ88" s="570"/>
      <c r="AR88" s="570"/>
      <c r="AS88" s="570"/>
      <c r="AT88" s="570"/>
      <c r="AU88" s="570"/>
      <c r="AV88" s="588"/>
    </row>
    <row r="89" x14ac:dyDescent="0.3">
      <c r="A89" s="704"/>
      <c r="B89" s="570"/>
      <c r="C89" s="570"/>
      <c r="D89" s="708"/>
      <c r="E89" s="829"/>
      <c r="F89" s="709"/>
      <c r="G89" s="570"/>
      <c r="H89" s="292"/>
      <c r="I89" s="1241">
        <f t="shared" si="10"/>
        <v>4</v>
      </c>
      <c r="J89" s="186" t="str">
        <f>'I. Stream &amp; Compound Data'!G114</f>
        <v>Calcium Carbonate</v>
      </c>
      <c r="K89" s="1242">
        <f>'I. Stream &amp; Compound Data'!J265</f>
        <v>100.087</v>
      </c>
      <c r="L89" s="186">
        <f>IF(J89="","",VLOOKUP(I89,'I. Stream &amp; Compound Data'!$F$111:$AA$160,2+'I. Stream &amp; Compound Data'!$G$104,FALSE))</f>
        <v>-1</v>
      </c>
      <c r="M89" s="1243">
        <f t="shared" si="6"/>
        <v>6778.7792000553327</v>
      </c>
      <c r="N89" s="1171">
        <f>IF(J89="","",IF(L89&lt;0,'I. Stream &amp; Compound Data'!L265,0))</f>
        <v>6778.7792000553327</v>
      </c>
      <c r="O89" s="1171">
        <f t="shared" si="7"/>
        <v>-100.087</v>
      </c>
      <c r="P89" s="1244">
        <f t="shared" si="8"/>
        <v>0</v>
      </c>
      <c r="Q89" s="1245">
        <f t="shared" si="9"/>
        <v>0</v>
      </c>
      <c r="R89" s="611"/>
      <c r="S89" s="611"/>
      <c r="T89" s="709"/>
      <c r="U89" s="570"/>
      <c r="V89" s="570"/>
      <c r="W89" s="570"/>
      <c r="X89" s="570"/>
      <c r="Y89" s="570"/>
      <c r="Z89" s="570"/>
      <c r="AA89" s="570"/>
      <c r="AB89" s="570"/>
      <c r="AC89" s="570"/>
      <c r="AD89" s="570"/>
      <c r="AE89" s="570"/>
      <c r="AF89" s="570"/>
      <c r="AG89" s="570"/>
      <c r="AH89" s="570"/>
      <c r="AI89" s="570"/>
      <c r="AJ89" s="570"/>
      <c r="AK89" s="570"/>
      <c r="AL89" s="570"/>
      <c r="AM89" s="570"/>
      <c r="AN89" s="570"/>
      <c r="AO89" s="570"/>
      <c r="AP89" s="570"/>
      <c r="AQ89" s="570"/>
      <c r="AR89" s="570"/>
      <c r="AS89" s="570"/>
      <c r="AT89" s="570"/>
      <c r="AU89" s="570"/>
      <c r="AV89" s="588"/>
    </row>
    <row r="90" x14ac:dyDescent="0.3">
      <c r="A90" s="704"/>
      <c r="B90" s="570"/>
      <c r="C90" s="570"/>
      <c r="D90" s="708"/>
      <c r="E90" s="829"/>
      <c r="F90" s="709"/>
      <c r="G90" s="570"/>
      <c r="H90" s="292"/>
      <c r="I90" s="1241">
        <f t="shared" si="10"/>
        <v>5</v>
      </c>
      <c r="J90" s="186" t="str">
        <f>'I. Stream &amp; Compound Data'!G115</f>
        <v/>
      </c>
      <c r="K90" s="1242" t="str">
        <f>'I. Stream &amp; Compound Data'!J266</f>
        <v/>
      </c>
      <c r="L90" s="186" t="str">
        <f>IF(J90="","",VLOOKUP(I90,'I. Stream &amp; Compound Data'!$F$111:$AA$160,2+'I. Stream &amp; Compound Data'!$G$104,FALSE))</f>
        <v/>
      </c>
      <c r="M90" s="1243" t="str">
        <f t="shared" si="6"/>
        <v/>
      </c>
      <c r="N90" s="1171" t="str">
        <f>IF(J90="","",IF(L90&lt;0,'I. Stream &amp; Compound Data'!L266,0))</f>
        <v/>
      </c>
      <c r="O90" s="1171" t="str">
        <f t="shared" si="7"/>
        <v/>
      </c>
      <c r="P90" s="1244" t="str">
        <f t="shared" si="8"/>
        <v/>
      </c>
      <c r="Q90" s="1245" t="str">
        <f t="shared" si="9"/>
        <v/>
      </c>
      <c r="R90" s="611"/>
      <c r="S90" s="611"/>
      <c r="T90" s="709"/>
      <c r="U90" s="570"/>
      <c r="V90" s="570"/>
      <c r="W90" s="570"/>
      <c r="X90" s="570"/>
      <c r="Y90" s="570"/>
      <c r="Z90" s="570"/>
      <c r="AA90" s="570"/>
      <c r="AB90" s="570"/>
      <c r="AC90" s="570"/>
      <c r="AD90" s="570"/>
      <c r="AE90" s="570"/>
      <c r="AF90" s="570"/>
      <c r="AG90" s="570"/>
      <c r="AH90" s="570"/>
      <c r="AI90" s="570"/>
      <c r="AJ90" s="570"/>
      <c r="AK90" s="570"/>
      <c r="AL90" s="570"/>
      <c r="AM90" s="570"/>
      <c r="AN90" s="570"/>
      <c r="AO90" s="570"/>
      <c r="AP90" s="570"/>
      <c r="AQ90" s="570"/>
      <c r="AR90" s="570"/>
      <c r="AS90" s="570"/>
      <c r="AT90" s="570"/>
      <c r="AU90" s="570"/>
      <c r="AV90" s="588"/>
    </row>
    <row r="91" x14ac:dyDescent="0.3">
      <c r="A91" s="704"/>
      <c r="B91" s="570"/>
      <c r="C91" s="570"/>
      <c r="D91" s="708"/>
      <c r="E91" s="829"/>
      <c r="F91" s="709"/>
      <c r="G91" s="570"/>
      <c r="H91" s="292"/>
      <c r="I91" s="1241">
        <f t="shared" si="10"/>
        <v>6</v>
      </c>
      <c r="J91" s="186" t="str">
        <f>'I. Stream &amp; Compound Data'!G116</f>
        <v/>
      </c>
      <c r="K91" s="1242" t="str">
        <f>'I. Stream &amp; Compound Data'!J267</f>
        <v/>
      </c>
      <c r="L91" s="186" t="str">
        <f>IF(J91="","",VLOOKUP(I91,'I. Stream &amp; Compound Data'!$F$111:$AA$160,2+'I. Stream &amp; Compound Data'!$G$104,FALSE))</f>
        <v/>
      </c>
      <c r="M91" s="1243" t="str">
        <f t="shared" si="6"/>
        <v/>
      </c>
      <c r="N91" s="1171" t="str">
        <f>IF(J91="","",IF(L91&lt;0,'I. Stream &amp; Compound Data'!L267,0))</f>
        <v/>
      </c>
      <c r="O91" s="1171" t="str">
        <f t="shared" si="7"/>
        <v/>
      </c>
      <c r="P91" s="1244" t="str">
        <f t="shared" si="8"/>
        <v/>
      </c>
      <c r="Q91" s="1245" t="str">
        <f t="shared" si="9"/>
        <v/>
      </c>
      <c r="R91" s="611"/>
      <c r="S91" s="611"/>
      <c r="T91" s="709"/>
      <c r="U91" s="570"/>
      <c r="V91" s="570"/>
      <c r="W91" s="570"/>
      <c r="X91" s="570"/>
      <c r="Y91" s="570"/>
      <c r="Z91" s="570"/>
      <c r="AA91" s="570"/>
      <c r="AB91" s="570"/>
      <c r="AC91" s="570"/>
      <c r="AD91" s="570"/>
      <c r="AE91" s="570"/>
      <c r="AF91" s="570"/>
      <c r="AG91" s="570"/>
      <c r="AH91" s="570"/>
      <c r="AI91" s="570"/>
      <c r="AJ91" s="570"/>
      <c r="AK91" s="570"/>
      <c r="AL91" s="570"/>
      <c r="AM91" s="570"/>
      <c r="AN91" s="570"/>
      <c r="AO91" s="570"/>
      <c r="AP91" s="570"/>
      <c r="AQ91" s="570"/>
      <c r="AR91" s="570"/>
      <c r="AS91" s="570"/>
      <c r="AT91" s="570"/>
      <c r="AU91" s="570"/>
      <c r="AV91" s="588"/>
    </row>
    <row r="92" x14ac:dyDescent="0.3">
      <c r="A92" s="704"/>
      <c r="B92" s="570"/>
      <c r="C92" s="570"/>
      <c r="D92" s="708"/>
      <c r="E92" s="829"/>
      <c r="F92" s="709"/>
      <c r="G92" s="570"/>
      <c r="H92" s="292"/>
      <c r="I92" s="1241">
        <f t="shared" si="10"/>
        <v>7</v>
      </c>
      <c r="J92" s="186" t="str">
        <f>'I. Stream &amp; Compound Data'!G117</f>
        <v/>
      </c>
      <c r="K92" s="1242" t="str">
        <f>'I. Stream &amp; Compound Data'!J268</f>
        <v/>
      </c>
      <c r="L92" s="186" t="str">
        <f>IF(J92="","",VLOOKUP(I92,'I. Stream &amp; Compound Data'!$F$111:$AA$160,2+'I. Stream &amp; Compound Data'!$G$104,FALSE))</f>
        <v/>
      </c>
      <c r="M92" s="1243" t="str">
        <f t="shared" si="6"/>
        <v/>
      </c>
      <c r="N92" s="1171" t="str">
        <f>IF(J92="","",IF(L92&lt;0,'I. Stream &amp; Compound Data'!L268,0))</f>
        <v/>
      </c>
      <c r="O92" s="1171" t="str">
        <f t="shared" si="7"/>
        <v/>
      </c>
      <c r="P92" s="1244" t="str">
        <f t="shared" si="8"/>
        <v/>
      </c>
      <c r="Q92" s="1245" t="str">
        <f t="shared" si="9"/>
        <v/>
      </c>
      <c r="R92" s="611"/>
      <c r="S92" s="611"/>
      <c r="T92" s="709"/>
      <c r="U92" s="570"/>
      <c r="V92" s="570"/>
      <c r="W92" s="570"/>
      <c r="X92" s="570"/>
      <c r="Y92" s="570"/>
      <c r="Z92" s="570"/>
      <c r="AA92" s="570"/>
      <c r="AB92" s="570"/>
      <c r="AC92" s="570"/>
      <c r="AD92" s="570"/>
      <c r="AE92" s="570"/>
      <c r="AF92" s="570"/>
      <c r="AG92" s="570"/>
      <c r="AH92" s="570"/>
      <c r="AI92" s="570"/>
      <c r="AJ92" s="570"/>
      <c r="AK92" s="570"/>
      <c r="AL92" s="570"/>
      <c r="AM92" s="570"/>
      <c r="AN92" s="570"/>
      <c r="AO92" s="570"/>
      <c r="AP92" s="570"/>
      <c r="AQ92" s="570"/>
      <c r="AR92" s="570"/>
      <c r="AS92" s="570"/>
      <c r="AT92" s="570"/>
      <c r="AU92" s="570"/>
      <c r="AV92" s="588"/>
    </row>
    <row r="93" x14ac:dyDescent="0.3">
      <c r="A93" s="704"/>
      <c r="B93" s="570"/>
      <c r="C93" s="570"/>
      <c r="D93" s="708"/>
      <c r="E93" s="829"/>
      <c r="F93" s="709"/>
      <c r="G93" s="570"/>
      <c r="H93" s="292"/>
      <c r="I93" s="1241">
        <f t="shared" si="10"/>
        <v>8</v>
      </c>
      <c r="J93" s="186" t="str">
        <f>'I. Stream &amp; Compound Data'!G118</f>
        <v/>
      </c>
      <c r="K93" s="1242" t="str">
        <f>'I. Stream &amp; Compound Data'!J269</f>
        <v/>
      </c>
      <c r="L93" s="186" t="str">
        <f>IF(J93="","",VLOOKUP(I93,'I. Stream &amp; Compound Data'!$F$111:$AA$160,2+'I. Stream &amp; Compound Data'!$G$104,FALSE))</f>
        <v/>
      </c>
      <c r="M93" s="1243" t="str">
        <f t="shared" si="6"/>
        <v/>
      </c>
      <c r="N93" s="1171" t="str">
        <f>IF(J93="","",IF(L93&lt;0,'I. Stream &amp; Compound Data'!L269,0))</f>
        <v/>
      </c>
      <c r="O93" s="1171" t="str">
        <f t="shared" si="7"/>
        <v/>
      </c>
      <c r="P93" s="1244" t="str">
        <f t="shared" si="8"/>
        <v/>
      </c>
      <c r="Q93" s="1245" t="str">
        <f t="shared" si="9"/>
        <v/>
      </c>
      <c r="R93" s="611"/>
      <c r="S93" s="611"/>
      <c r="T93" s="709"/>
      <c r="U93" s="570"/>
      <c r="V93" s="570"/>
      <c r="W93" s="570"/>
      <c r="X93" s="570"/>
      <c r="Y93" s="570"/>
      <c r="Z93" s="570"/>
      <c r="AA93" s="570"/>
      <c r="AB93" s="570"/>
      <c r="AC93" s="570"/>
      <c r="AD93" s="570"/>
      <c r="AE93" s="570"/>
      <c r="AF93" s="570"/>
      <c r="AG93" s="570"/>
      <c r="AH93" s="570"/>
      <c r="AI93" s="570"/>
      <c r="AJ93" s="570"/>
      <c r="AK93" s="570"/>
      <c r="AL93" s="570"/>
      <c r="AM93" s="570"/>
      <c r="AN93" s="570"/>
      <c r="AO93" s="570"/>
      <c r="AP93" s="570"/>
      <c r="AQ93" s="570"/>
      <c r="AR93" s="570"/>
      <c r="AS93" s="570"/>
      <c r="AT93" s="570"/>
      <c r="AU93" s="570"/>
      <c r="AV93" s="588"/>
    </row>
    <row r="94" x14ac:dyDescent="0.3">
      <c r="A94" s="704"/>
      <c r="B94" s="570"/>
      <c r="C94" s="570"/>
      <c r="D94" s="708"/>
      <c r="E94" s="829"/>
      <c r="F94" s="709"/>
      <c r="G94" s="570"/>
      <c r="H94" s="292"/>
      <c r="I94" s="1241">
        <f t="shared" si="10"/>
        <v>9</v>
      </c>
      <c r="J94" s="186" t="str">
        <f>'I. Stream &amp; Compound Data'!G119</f>
        <v/>
      </c>
      <c r="K94" s="1242" t="str">
        <f>'I. Stream &amp; Compound Data'!J270</f>
        <v/>
      </c>
      <c r="L94" s="186" t="str">
        <f>IF(J94="","",VLOOKUP(I94,'I. Stream &amp; Compound Data'!$F$111:$AA$160,2+'I. Stream &amp; Compound Data'!$G$104,FALSE))</f>
        <v/>
      </c>
      <c r="M94" s="1243" t="str">
        <f t="shared" si="6"/>
        <v/>
      </c>
      <c r="N94" s="1171" t="str">
        <f>IF(J94="","",IF(L94&lt;0,'I. Stream &amp; Compound Data'!L270,0))</f>
        <v/>
      </c>
      <c r="O94" s="1171" t="str">
        <f t="shared" si="7"/>
        <v/>
      </c>
      <c r="P94" s="1244" t="str">
        <f t="shared" si="8"/>
        <v/>
      </c>
      <c r="Q94" s="1245" t="str">
        <f t="shared" si="9"/>
        <v/>
      </c>
      <c r="R94" s="611"/>
      <c r="S94" s="611"/>
      <c r="T94" s="709"/>
      <c r="U94" s="570"/>
      <c r="V94" s="570"/>
      <c r="W94" s="570"/>
      <c r="X94" s="570"/>
      <c r="Y94" s="570"/>
      <c r="Z94" s="570"/>
      <c r="AA94" s="570"/>
      <c r="AB94" s="570"/>
      <c r="AC94" s="570"/>
      <c r="AD94" s="570"/>
      <c r="AE94" s="570"/>
      <c r="AF94" s="570"/>
      <c r="AG94" s="570"/>
      <c r="AH94" s="570"/>
      <c r="AI94" s="570"/>
      <c r="AJ94" s="570"/>
      <c r="AK94" s="570"/>
      <c r="AL94" s="570"/>
      <c r="AM94" s="570"/>
      <c r="AN94" s="570"/>
      <c r="AO94" s="570"/>
      <c r="AP94" s="570"/>
      <c r="AQ94" s="570"/>
      <c r="AR94" s="570"/>
      <c r="AS94" s="570"/>
      <c r="AT94" s="570"/>
      <c r="AU94" s="570"/>
      <c r="AV94" s="588"/>
    </row>
    <row r="95" x14ac:dyDescent="0.3">
      <c r="A95" s="704"/>
      <c r="B95" s="570"/>
      <c r="C95" s="570"/>
      <c r="D95" s="708"/>
      <c r="E95" s="829"/>
      <c r="F95" s="709"/>
      <c r="G95" s="570"/>
      <c r="H95" s="292"/>
      <c r="I95" s="1241">
        <f t="shared" si="10"/>
        <v>10</v>
      </c>
      <c r="J95" s="186" t="str">
        <f>'I. Stream &amp; Compound Data'!G120</f>
        <v/>
      </c>
      <c r="K95" s="1242" t="str">
        <f>'I. Stream &amp; Compound Data'!J271</f>
        <v/>
      </c>
      <c r="L95" s="186" t="str">
        <f>IF(J95="","",VLOOKUP(I95,'I. Stream &amp; Compound Data'!$F$111:$AA$160,2+'I. Stream &amp; Compound Data'!$G$104,FALSE))</f>
        <v/>
      </c>
      <c r="M95" s="1243" t="str">
        <f t="shared" si="6"/>
        <v/>
      </c>
      <c r="N95" s="1171" t="str">
        <f>IF(J95="","",IF(L95&lt;0,'I. Stream &amp; Compound Data'!L271,0))</f>
        <v/>
      </c>
      <c r="O95" s="1171" t="str">
        <f t="shared" si="7"/>
        <v/>
      </c>
      <c r="P95" s="1244" t="str">
        <f t="shared" si="8"/>
        <v/>
      </c>
      <c r="Q95" s="1245" t="str">
        <f t="shared" si="9"/>
        <v/>
      </c>
      <c r="R95" s="611"/>
      <c r="S95" s="611"/>
      <c r="T95" s="709"/>
      <c r="U95" s="570"/>
      <c r="V95" s="570"/>
      <c r="W95" s="570"/>
      <c r="X95" s="570"/>
      <c r="Y95" s="570"/>
      <c r="Z95" s="570"/>
      <c r="AA95" s="570"/>
      <c r="AB95" s="570"/>
      <c r="AC95" s="570"/>
      <c r="AD95" s="570"/>
      <c r="AE95" s="570"/>
      <c r="AF95" s="570"/>
      <c r="AG95" s="570"/>
      <c r="AH95" s="570"/>
      <c r="AI95" s="570"/>
      <c r="AJ95" s="570"/>
      <c r="AK95" s="570"/>
      <c r="AL95" s="570"/>
      <c r="AM95" s="570"/>
      <c r="AN95" s="570"/>
      <c r="AO95" s="570"/>
      <c r="AP95" s="570"/>
      <c r="AQ95" s="570"/>
      <c r="AR95" s="570"/>
      <c r="AS95" s="570"/>
      <c r="AT95" s="570"/>
      <c r="AU95" s="570"/>
      <c r="AV95" s="588"/>
    </row>
    <row r="96" x14ac:dyDescent="0.3">
      <c r="A96" s="704"/>
      <c r="B96" s="570"/>
      <c r="C96" s="570"/>
      <c r="D96" s="708"/>
      <c r="E96" s="829"/>
      <c r="F96" s="709"/>
      <c r="G96" s="570"/>
      <c r="H96" s="292"/>
      <c r="I96" s="1241">
        <f t="shared" si="10"/>
        <v>11</v>
      </c>
      <c r="J96" s="186" t="str">
        <f>'I. Stream &amp; Compound Data'!G121</f>
        <v/>
      </c>
      <c r="K96" s="1242" t="str">
        <f>'I. Stream &amp; Compound Data'!J272</f>
        <v/>
      </c>
      <c r="L96" s="186" t="str">
        <f>IF(J96="","",VLOOKUP(I96,'I. Stream &amp; Compound Data'!$F$111:$AA$160,2+'I. Stream &amp; Compound Data'!$G$104,FALSE))</f>
        <v/>
      </c>
      <c r="M96" s="1243" t="str">
        <f t="shared" si="6"/>
        <v/>
      </c>
      <c r="N96" s="1171" t="str">
        <f>IF(J96="","",IF(L96&lt;0,'I. Stream &amp; Compound Data'!L272,0))</f>
        <v/>
      </c>
      <c r="O96" s="1171" t="str">
        <f t="shared" si="7"/>
        <v/>
      </c>
      <c r="P96" s="1244" t="str">
        <f t="shared" si="8"/>
        <v/>
      </c>
      <c r="Q96" s="1245" t="str">
        <f t="shared" si="9"/>
        <v/>
      </c>
      <c r="R96" s="611"/>
      <c r="S96" s="611"/>
      <c r="T96" s="709"/>
      <c r="U96" s="570"/>
      <c r="V96" s="570"/>
      <c r="W96" s="570"/>
      <c r="X96" s="570"/>
      <c r="Y96" s="570"/>
      <c r="Z96" s="570"/>
      <c r="AA96" s="570"/>
      <c r="AB96" s="570"/>
      <c r="AC96" s="570"/>
      <c r="AD96" s="570"/>
      <c r="AE96" s="570"/>
      <c r="AF96" s="570"/>
      <c r="AG96" s="570"/>
      <c r="AH96" s="570"/>
      <c r="AI96" s="570"/>
      <c r="AJ96" s="570"/>
      <c r="AK96" s="570"/>
      <c r="AL96" s="570"/>
      <c r="AM96" s="570"/>
      <c r="AN96" s="570"/>
      <c r="AO96" s="570"/>
      <c r="AP96" s="570"/>
      <c r="AQ96" s="570"/>
      <c r="AR96" s="570"/>
      <c r="AS96" s="570"/>
      <c r="AT96" s="570"/>
      <c r="AU96" s="570"/>
      <c r="AV96" s="588"/>
    </row>
    <row r="97" x14ac:dyDescent="0.3">
      <c r="A97" s="704"/>
      <c r="B97" s="570"/>
      <c r="C97" s="570"/>
      <c r="D97" s="708"/>
      <c r="E97" s="829"/>
      <c r="F97" s="709"/>
      <c r="G97" s="570"/>
      <c r="H97" s="292"/>
      <c r="I97" s="1241">
        <f t="shared" si="10"/>
        <v>12</v>
      </c>
      <c r="J97" s="186" t="str">
        <f>'I. Stream &amp; Compound Data'!G122</f>
        <v/>
      </c>
      <c r="K97" s="1242" t="str">
        <f>'I. Stream &amp; Compound Data'!J273</f>
        <v/>
      </c>
      <c r="L97" s="186" t="str">
        <f>IF(J97="","",VLOOKUP(I97,'I. Stream &amp; Compound Data'!$F$111:$AA$160,2+'I. Stream &amp; Compound Data'!$G$104,FALSE))</f>
        <v/>
      </c>
      <c r="M97" s="1243" t="str">
        <f t="shared" si="6"/>
        <v/>
      </c>
      <c r="N97" s="1171" t="str">
        <f>IF(J97="","",IF(L97&lt;0,'I. Stream &amp; Compound Data'!L273,0))</f>
        <v/>
      </c>
      <c r="O97" s="1171" t="str">
        <f t="shared" si="7"/>
        <v/>
      </c>
      <c r="P97" s="1244" t="str">
        <f t="shared" si="8"/>
        <v/>
      </c>
      <c r="Q97" s="1245" t="str">
        <f t="shared" si="9"/>
        <v/>
      </c>
      <c r="R97" s="611"/>
      <c r="S97" s="611"/>
      <c r="T97" s="709"/>
      <c r="U97" s="570"/>
      <c r="V97" s="570"/>
      <c r="W97" s="570"/>
      <c r="X97" s="570"/>
      <c r="Y97" s="570"/>
      <c r="Z97" s="570"/>
      <c r="AA97" s="570"/>
      <c r="AB97" s="570"/>
      <c r="AC97" s="570"/>
      <c r="AD97" s="570"/>
      <c r="AE97" s="570"/>
      <c r="AF97" s="570"/>
      <c r="AG97" s="570"/>
      <c r="AH97" s="570"/>
      <c r="AI97" s="570"/>
      <c r="AJ97" s="570"/>
      <c r="AK97" s="570"/>
      <c r="AL97" s="570"/>
      <c r="AM97" s="570"/>
      <c r="AN97" s="570"/>
      <c r="AO97" s="570"/>
      <c r="AP97" s="570"/>
      <c r="AQ97" s="570"/>
      <c r="AR97" s="570"/>
      <c r="AS97" s="570"/>
      <c r="AT97" s="570"/>
      <c r="AU97" s="570"/>
      <c r="AV97" s="588"/>
    </row>
    <row r="98" x14ac:dyDescent="0.3">
      <c r="A98" s="704"/>
      <c r="B98" s="570"/>
      <c r="C98" s="570"/>
      <c r="D98" s="708"/>
      <c r="E98" s="829"/>
      <c r="F98" s="709"/>
      <c r="G98" s="570"/>
      <c r="H98" s="292"/>
      <c r="I98" s="1241">
        <f t="shared" si="10"/>
        <v>13</v>
      </c>
      <c r="J98" s="186" t="str">
        <f>'I. Stream &amp; Compound Data'!G123</f>
        <v/>
      </c>
      <c r="K98" s="1242" t="str">
        <f>'I. Stream &amp; Compound Data'!J274</f>
        <v/>
      </c>
      <c r="L98" s="186" t="str">
        <f>IF(J98="","",VLOOKUP(I98,'I. Stream &amp; Compound Data'!$F$111:$AA$160,2+'I. Stream &amp; Compound Data'!$G$104,FALSE))</f>
        <v/>
      </c>
      <c r="M98" s="1243" t="str">
        <f t="shared" si="6"/>
        <v/>
      </c>
      <c r="N98" s="1171" t="str">
        <f>IF(J98="","",IF(L98&lt;0,'I. Stream &amp; Compound Data'!L274,0))</f>
        <v/>
      </c>
      <c r="O98" s="1171" t="str">
        <f t="shared" si="7"/>
        <v/>
      </c>
      <c r="P98" s="1244" t="str">
        <f t="shared" si="8"/>
        <v/>
      </c>
      <c r="Q98" s="1245" t="str">
        <f t="shared" si="9"/>
        <v/>
      </c>
      <c r="R98" s="611"/>
      <c r="S98" s="611"/>
      <c r="T98" s="709"/>
      <c r="U98" s="570"/>
      <c r="V98" s="570"/>
      <c r="W98" s="570"/>
      <c r="X98" s="570"/>
      <c r="Y98" s="570"/>
      <c r="Z98" s="570"/>
      <c r="AA98" s="570"/>
      <c r="AB98" s="570"/>
      <c r="AC98" s="570"/>
      <c r="AD98" s="570"/>
      <c r="AE98" s="570"/>
      <c r="AF98" s="570"/>
      <c r="AG98" s="570"/>
      <c r="AH98" s="570"/>
      <c r="AI98" s="570"/>
      <c r="AJ98" s="570"/>
      <c r="AK98" s="570"/>
      <c r="AL98" s="570"/>
      <c r="AM98" s="570"/>
      <c r="AN98" s="570"/>
      <c r="AO98" s="570"/>
      <c r="AP98" s="570"/>
      <c r="AQ98" s="570"/>
      <c r="AR98" s="570"/>
      <c r="AS98" s="570"/>
      <c r="AT98" s="570"/>
      <c r="AU98" s="570"/>
      <c r="AV98" s="588"/>
    </row>
    <row r="99" x14ac:dyDescent="0.3">
      <c r="A99" s="704"/>
      <c r="B99" s="570"/>
      <c r="C99" s="570"/>
      <c r="D99" s="708"/>
      <c r="E99" s="829"/>
      <c r="F99" s="709"/>
      <c r="G99" s="570"/>
      <c r="H99" s="292"/>
      <c r="I99" s="1241">
        <f t="shared" si="10"/>
        <v>14</v>
      </c>
      <c r="J99" s="186" t="str">
        <f>'I. Stream &amp; Compound Data'!G124</f>
        <v/>
      </c>
      <c r="K99" s="1242" t="str">
        <f>'I. Stream &amp; Compound Data'!J275</f>
        <v/>
      </c>
      <c r="L99" s="186" t="str">
        <f>IF(J99="","",VLOOKUP(I99,'I. Stream &amp; Compound Data'!$F$111:$AA$160,2+'I. Stream &amp; Compound Data'!$G$104,FALSE))</f>
        <v/>
      </c>
      <c r="M99" s="1243" t="str">
        <f t="shared" si="6"/>
        <v/>
      </c>
      <c r="N99" s="1171" t="str">
        <f>IF(J99="","",IF(L99&lt;0,'I. Stream &amp; Compound Data'!L275,0))</f>
        <v/>
      </c>
      <c r="O99" s="1171" t="str">
        <f t="shared" si="7"/>
        <v/>
      </c>
      <c r="P99" s="1244" t="str">
        <f t="shared" si="8"/>
        <v/>
      </c>
      <c r="Q99" s="1245" t="str">
        <f t="shared" si="9"/>
        <v/>
      </c>
      <c r="R99" s="611"/>
      <c r="S99" s="611"/>
      <c r="T99" s="709"/>
      <c r="U99" s="570"/>
      <c r="V99" s="570"/>
      <c r="W99" s="570"/>
      <c r="X99" s="570"/>
      <c r="Y99" s="570"/>
      <c r="Z99" s="570"/>
      <c r="AA99" s="570"/>
      <c r="AB99" s="570"/>
      <c r="AC99" s="570"/>
      <c r="AD99" s="570"/>
      <c r="AE99" s="570"/>
      <c r="AF99" s="570"/>
      <c r="AG99" s="570"/>
      <c r="AH99" s="570"/>
      <c r="AI99" s="570"/>
      <c r="AJ99" s="570"/>
      <c r="AK99" s="570"/>
      <c r="AL99" s="570"/>
      <c r="AM99" s="570"/>
      <c r="AN99" s="570"/>
      <c r="AO99" s="570"/>
      <c r="AP99" s="570"/>
      <c r="AQ99" s="570"/>
      <c r="AR99" s="570"/>
      <c r="AS99" s="570"/>
      <c r="AT99" s="570"/>
      <c r="AU99" s="570"/>
      <c r="AV99" s="588"/>
    </row>
    <row r="100" x14ac:dyDescent="0.3">
      <c r="A100" s="704"/>
      <c r="B100" s="570"/>
      <c r="C100" s="570"/>
      <c r="D100" s="708"/>
      <c r="E100" s="829"/>
      <c r="F100" s="709"/>
      <c r="G100" s="570"/>
      <c r="H100" s="292"/>
      <c r="I100" s="1241">
        <f t="shared" si="10"/>
        <v>15</v>
      </c>
      <c r="J100" s="186" t="str">
        <f>'I. Stream &amp; Compound Data'!G125</f>
        <v/>
      </c>
      <c r="K100" s="1242" t="str">
        <f>'I. Stream &amp; Compound Data'!J276</f>
        <v/>
      </c>
      <c r="L100" s="186" t="str">
        <f>IF(J100="","",VLOOKUP(I100,'I. Stream &amp; Compound Data'!$F$111:$AA$160,2+'I. Stream &amp; Compound Data'!$G$104,FALSE))</f>
        <v/>
      </c>
      <c r="M100" s="1243" t="str">
        <f t="shared" ref="M100:M135" si="11">IF(J100="","",IF(L100&lt;0,$H$65/($H$64*ABS($H$63))*ABS(O100),0))</f>
        <v/>
      </c>
      <c r="N100" s="1171" t="str">
        <f>IF(J100="","",IF(L100&lt;0,'I. Stream &amp; Compound Data'!L276,0))</f>
        <v/>
      </c>
      <c r="O100" s="1171" t="str">
        <f t="shared" ref="O100:O135" si="12">IF(J100="","",IF(L100&lt;0,K100*L100,0))</f>
        <v/>
      </c>
      <c r="P100" s="1244" t="str">
        <f t="shared" ref="P100:P135" si="13">IF(J100="","",N100-M100)</f>
        <v/>
      </c>
      <c r="Q100" s="1245" t="str">
        <f t="shared" ref="Q100:Q135" si="14">IF(J100="","",IF(AND(L100&gt;0,I100&lt;&gt;$J$83),K100*L100,0))</f>
        <v/>
      </c>
      <c r="R100" s="611"/>
      <c r="S100" s="611"/>
      <c r="T100" s="709"/>
      <c r="U100" s="570"/>
      <c r="V100" s="570"/>
      <c r="W100" s="570"/>
      <c r="X100" s="570"/>
      <c r="Y100" s="570"/>
      <c r="Z100" s="570"/>
      <c r="AA100" s="570"/>
      <c r="AB100" s="570"/>
      <c r="AC100" s="570"/>
      <c r="AD100" s="570"/>
      <c r="AE100" s="570"/>
      <c r="AF100" s="570"/>
      <c r="AG100" s="570"/>
      <c r="AH100" s="570"/>
      <c r="AI100" s="570"/>
      <c r="AJ100" s="570"/>
      <c r="AK100" s="570"/>
      <c r="AL100" s="570"/>
      <c r="AM100" s="570"/>
      <c r="AN100" s="570"/>
      <c r="AO100" s="570"/>
      <c r="AP100" s="570"/>
      <c r="AQ100" s="570"/>
      <c r="AR100" s="570"/>
      <c r="AS100" s="570"/>
      <c r="AT100" s="570"/>
      <c r="AU100" s="570"/>
      <c r="AV100" s="588"/>
    </row>
    <row r="101" x14ac:dyDescent="0.3">
      <c r="A101" s="704"/>
      <c r="B101" s="570"/>
      <c r="C101" s="570"/>
      <c r="D101" s="708"/>
      <c r="E101" s="829"/>
      <c r="F101" s="709"/>
      <c r="G101" s="570"/>
      <c r="H101" s="292"/>
      <c r="I101" s="1241">
        <f t="shared" si="10"/>
        <v>16</v>
      </c>
      <c r="J101" s="186" t="str">
        <f>'I. Stream &amp; Compound Data'!G126</f>
        <v/>
      </c>
      <c r="K101" s="1242" t="str">
        <f>'I. Stream &amp; Compound Data'!J277</f>
        <v/>
      </c>
      <c r="L101" s="186" t="str">
        <f>IF(J101="","",VLOOKUP(I101,'I. Stream &amp; Compound Data'!$F$111:$AA$160,2+'I. Stream &amp; Compound Data'!$G$104,FALSE))</f>
        <v/>
      </c>
      <c r="M101" s="1243" t="str">
        <f t="shared" si="11"/>
        <v/>
      </c>
      <c r="N101" s="1171" t="str">
        <f>IF(J101="","",IF(L101&lt;0,'I. Stream &amp; Compound Data'!L277,0))</f>
        <v/>
      </c>
      <c r="O101" s="1171" t="str">
        <f t="shared" si="12"/>
        <v/>
      </c>
      <c r="P101" s="1244" t="str">
        <f t="shared" si="13"/>
        <v/>
      </c>
      <c r="Q101" s="1245" t="str">
        <f t="shared" si="14"/>
        <v/>
      </c>
      <c r="R101" s="611"/>
      <c r="S101" s="611"/>
      <c r="T101" s="709"/>
      <c r="U101" s="570"/>
      <c r="V101" s="570"/>
      <c r="W101" s="570"/>
      <c r="X101" s="570"/>
      <c r="Y101" s="570"/>
      <c r="Z101" s="570"/>
      <c r="AA101" s="570"/>
      <c r="AB101" s="570"/>
      <c r="AC101" s="570"/>
      <c r="AD101" s="570"/>
      <c r="AE101" s="570"/>
      <c r="AF101" s="570"/>
      <c r="AG101" s="570"/>
      <c r="AH101" s="570"/>
      <c r="AI101" s="570"/>
      <c r="AJ101" s="570"/>
      <c r="AK101" s="570"/>
      <c r="AL101" s="570"/>
      <c r="AM101" s="570"/>
      <c r="AN101" s="570"/>
      <c r="AO101" s="570"/>
      <c r="AP101" s="570"/>
      <c r="AQ101" s="570"/>
      <c r="AR101" s="570"/>
      <c r="AS101" s="570"/>
      <c r="AT101" s="570"/>
      <c r="AU101" s="570"/>
      <c r="AV101" s="588"/>
    </row>
    <row r="102" x14ac:dyDescent="0.3">
      <c r="A102" s="704"/>
      <c r="B102" s="570"/>
      <c r="C102" s="570"/>
      <c r="D102" s="708"/>
      <c r="E102" s="829"/>
      <c r="F102" s="709"/>
      <c r="G102" s="570"/>
      <c r="H102" s="292"/>
      <c r="I102" s="1241">
        <f t="shared" si="10"/>
        <v>17</v>
      </c>
      <c r="J102" s="186" t="str">
        <f>'I. Stream &amp; Compound Data'!G127</f>
        <v/>
      </c>
      <c r="K102" s="1242" t="str">
        <f>'I. Stream &amp; Compound Data'!J278</f>
        <v/>
      </c>
      <c r="L102" s="186" t="str">
        <f>IF(J102="","",VLOOKUP(I102,'I. Stream &amp; Compound Data'!$F$111:$AA$160,2+'I. Stream &amp; Compound Data'!$G$104,FALSE))</f>
        <v/>
      </c>
      <c r="M102" s="1243" t="str">
        <f t="shared" si="11"/>
        <v/>
      </c>
      <c r="N102" s="1171" t="str">
        <f>IF(J102="","",IF(L102&lt;0,'I. Stream &amp; Compound Data'!L278,0))</f>
        <v/>
      </c>
      <c r="O102" s="1171" t="str">
        <f t="shared" si="12"/>
        <v/>
      </c>
      <c r="P102" s="1244" t="str">
        <f t="shared" si="13"/>
        <v/>
      </c>
      <c r="Q102" s="1245" t="str">
        <f t="shared" si="14"/>
        <v/>
      </c>
      <c r="R102" s="611"/>
      <c r="S102" s="611"/>
      <c r="T102" s="709"/>
      <c r="U102" s="570"/>
      <c r="V102" s="570"/>
      <c r="W102" s="570"/>
      <c r="X102" s="570"/>
      <c r="Y102" s="570"/>
      <c r="Z102" s="570"/>
      <c r="AA102" s="570"/>
      <c r="AB102" s="570"/>
      <c r="AC102" s="570"/>
      <c r="AD102" s="570"/>
      <c r="AE102" s="570"/>
      <c r="AF102" s="570"/>
      <c r="AG102" s="570"/>
      <c r="AH102" s="570"/>
      <c r="AI102" s="570"/>
      <c r="AJ102" s="570"/>
      <c r="AK102" s="570"/>
      <c r="AL102" s="570"/>
      <c r="AM102" s="570"/>
      <c r="AN102" s="570"/>
      <c r="AO102" s="570"/>
      <c r="AP102" s="570"/>
      <c r="AQ102" s="570"/>
      <c r="AR102" s="570"/>
      <c r="AS102" s="570"/>
      <c r="AT102" s="570"/>
      <c r="AU102" s="570"/>
      <c r="AV102" s="588"/>
    </row>
    <row r="103" x14ac:dyDescent="0.3">
      <c r="A103" s="704"/>
      <c r="B103" s="570"/>
      <c r="C103" s="570"/>
      <c r="D103" s="708"/>
      <c r="E103" s="829"/>
      <c r="F103" s="709"/>
      <c r="G103" s="570"/>
      <c r="H103" s="292"/>
      <c r="I103" s="1241">
        <f t="shared" si="10"/>
        <v>18</v>
      </c>
      <c r="J103" s="186" t="str">
        <f>'I. Stream &amp; Compound Data'!G128</f>
        <v/>
      </c>
      <c r="K103" s="1242" t="str">
        <f>'I. Stream &amp; Compound Data'!J279</f>
        <v/>
      </c>
      <c r="L103" s="186" t="str">
        <f>IF(J103="","",VLOOKUP(I103,'I. Stream &amp; Compound Data'!$F$111:$AA$160,2+'I. Stream &amp; Compound Data'!$G$104,FALSE))</f>
        <v/>
      </c>
      <c r="M103" s="1243" t="str">
        <f t="shared" si="11"/>
        <v/>
      </c>
      <c r="N103" s="1171" t="str">
        <f>IF(J103="","",IF(L103&lt;0,'I. Stream &amp; Compound Data'!L279,0))</f>
        <v/>
      </c>
      <c r="O103" s="1171" t="str">
        <f t="shared" si="12"/>
        <v/>
      </c>
      <c r="P103" s="1244" t="str">
        <f t="shared" si="13"/>
        <v/>
      </c>
      <c r="Q103" s="1245" t="str">
        <f t="shared" si="14"/>
        <v/>
      </c>
      <c r="R103" s="611"/>
      <c r="S103" s="611"/>
      <c r="T103" s="709"/>
      <c r="U103" s="570"/>
      <c r="V103" s="570"/>
      <c r="W103" s="570"/>
      <c r="X103" s="570"/>
      <c r="Y103" s="570"/>
      <c r="Z103" s="570"/>
      <c r="AA103" s="570"/>
      <c r="AB103" s="570"/>
      <c r="AC103" s="570"/>
      <c r="AD103" s="570"/>
      <c r="AE103" s="570"/>
      <c r="AF103" s="570"/>
      <c r="AG103" s="570"/>
      <c r="AH103" s="570"/>
      <c r="AI103" s="570"/>
      <c r="AJ103" s="570"/>
      <c r="AK103" s="570"/>
      <c r="AL103" s="570"/>
      <c r="AM103" s="570"/>
      <c r="AN103" s="570"/>
      <c r="AO103" s="570"/>
      <c r="AP103" s="570"/>
      <c r="AQ103" s="570"/>
      <c r="AR103" s="570"/>
      <c r="AS103" s="570"/>
      <c r="AT103" s="570"/>
      <c r="AU103" s="570"/>
      <c r="AV103" s="588"/>
    </row>
    <row r="104" x14ac:dyDescent="0.3">
      <c r="A104" s="704"/>
      <c r="B104" s="570"/>
      <c r="C104" s="570"/>
      <c r="D104" s="708"/>
      <c r="E104" s="829"/>
      <c r="F104" s="709"/>
      <c r="G104" s="570"/>
      <c r="H104" s="292"/>
      <c r="I104" s="1241">
        <f t="shared" si="10"/>
        <v>19</v>
      </c>
      <c r="J104" s="186" t="str">
        <f>'I. Stream &amp; Compound Data'!G129</f>
        <v/>
      </c>
      <c r="K104" s="1242" t="str">
        <f>'I. Stream &amp; Compound Data'!J280</f>
        <v/>
      </c>
      <c r="L104" s="186" t="str">
        <f>IF(J104="","",VLOOKUP(I104,'I. Stream &amp; Compound Data'!$F$111:$AA$160,2+'I. Stream &amp; Compound Data'!$G$104,FALSE))</f>
        <v/>
      </c>
      <c r="M104" s="1243" t="str">
        <f t="shared" si="11"/>
        <v/>
      </c>
      <c r="N104" s="1171" t="str">
        <f>IF(J104="","",IF(L104&lt;0,'I. Stream &amp; Compound Data'!L280,0))</f>
        <v/>
      </c>
      <c r="O104" s="1171" t="str">
        <f t="shared" si="12"/>
        <v/>
      </c>
      <c r="P104" s="1244" t="str">
        <f t="shared" si="13"/>
        <v/>
      </c>
      <c r="Q104" s="1245" t="str">
        <f t="shared" si="14"/>
        <v/>
      </c>
      <c r="R104" s="611"/>
      <c r="S104" s="611"/>
      <c r="T104" s="709"/>
      <c r="U104" s="570"/>
      <c r="V104" s="570"/>
      <c r="W104" s="570"/>
      <c r="X104" s="570"/>
      <c r="Y104" s="570"/>
      <c r="Z104" s="570"/>
      <c r="AA104" s="570"/>
      <c r="AB104" s="570"/>
      <c r="AC104" s="570"/>
      <c r="AD104" s="570"/>
      <c r="AE104" s="570"/>
      <c r="AF104" s="570"/>
      <c r="AG104" s="570"/>
      <c r="AH104" s="570"/>
      <c r="AI104" s="570"/>
      <c r="AJ104" s="570"/>
      <c r="AK104" s="570"/>
      <c r="AL104" s="570"/>
      <c r="AM104" s="570"/>
      <c r="AN104" s="570"/>
      <c r="AO104" s="570"/>
      <c r="AP104" s="570"/>
      <c r="AQ104" s="570"/>
      <c r="AR104" s="570"/>
      <c r="AS104" s="570"/>
      <c r="AT104" s="570"/>
      <c r="AU104" s="570"/>
      <c r="AV104" s="588"/>
    </row>
    <row r="105" x14ac:dyDescent="0.3">
      <c r="A105" s="704"/>
      <c r="B105" s="570"/>
      <c r="C105" s="570"/>
      <c r="D105" s="708"/>
      <c r="E105" s="829"/>
      <c r="F105" s="709"/>
      <c r="G105" s="570"/>
      <c r="H105" s="292"/>
      <c r="I105" s="1241">
        <f t="shared" si="10"/>
        <v>20</v>
      </c>
      <c r="J105" s="186" t="str">
        <f>'I. Stream &amp; Compound Data'!G130</f>
        <v/>
      </c>
      <c r="K105" s="1242" t="str">
        <f>'I. Stream &amp; Compound Data'!J281</f>
        <v/>
      </c>
      <c r="L105" s="186" t="str">
        <f>IF(J105="","",VLOOKUP(I105,'I. Stream &amp; Compound Data'!$F$111:$AA$160,2+'I. Stream &amp; Compound Data'!$G$104,FALSE))</f>
        <v/>
      </c>
      <c r="M105" s="1243" t="str">
        <f t="shared" si="11"/>
        <v/>
      </c>
      <c r="N105" s="1171" t="str">
        <f>IF(J105="","",IF(L105&lt;0,'I. Stream &amp; Compound Data'!L281,0))</f>
        <v/>
      </c>
      <c r="O105" s="1171" t="str">
        <f t="shared" si="12"/>
        <v/>
      </c>
      <c r="P105" s="1244" t="str">
        <f t="shared" si="13"/>
        <v/>
      </c>
      <c r="Q105" s="1245" t="str">
        <f t="shared" si="14"/>
        <v/>
      </c>
      <c r="R105" s="611"/>
      <c r="S105" s="611"/>
      <c r="T105" s="709"/>
      <c r="U105" s="570"/>
      <c r="V105" s="570"/>
      <c r="W105" s="570"/>
      <c r="X105" s="570"/>
      <c r="Y105" s="570"/>
      <c r="Z105" s="570"/>
      <c r="AA105" s="570"/>
      <c r="AB105" s="570"/>
      <c r="AC105" s="570"/>
      <c r="AD105" s="570"/>
      <c r="AE105" s="570"/>
      <c r="AF105" s="570"/>
      <c r="AG105" s="570"/>
      <c r="AH105" s="570"/>
      <c r="AI105" s="570"/>
      <c r="AJ105" s="570"/>
      <c r="AK105" s="570"/>
      <c r="AL105" s="570"/>
      <c r="AM105" s="570"/>
      <c r="AN105" s="570"/>
      <c r="AO105" s="570"/>
      <c r="AP105" s="570"/>
      <c r="AQ105" s="570"/>
      <c r="AR105" s="570"/>
      <c r="AS105" s="570"/>
      <c r="AT105" s="570"/>
      <c r="AU105" s="570"/>
      <c r="AV105" s="588"/>
    </row>
    <row r="106" x14ac:dyDescent="0.3">
      <c r="A106" s="704"/>
      <c r="B106" s="570"/>
      <c r="C106" s="570"/>
      <c r="D106" s="708"/>
      <c r="E106" s="829"/>
      <c r="F106" s="709"/>
      <c r="G106" s="570"/>
      <c r="H106" s="292"/>
      <c r="I106" s="1241">
        <f t="shared" si="10"/>
        <v>21</v>
      </c>
      <c r="J106" s="186" t="str">
        <f>'I. Stream &amp; Compound Data'!G131</f>
        <v/>
      </c>
      <c r="K106" s="1242" t="str">
        <f>'I. Stream &amp; Compound Data'!J282</f>
        <v/>
      </c>
      <c r="L106" s="186" t="str">
        <f>IF(J106="","",VLOOKUP(I106,'I. Stream &amp; Compound Data'!$F$111:$AA$160,2+'I. Stream &amp; Compound Data'!$G$104,FALSE))</f>
        <v/>
      </c>
      <c r="M106" s="1243" t="str">
        <f t="shared" si="11"/>
        <v/>
      </c>
      <c r="N106" s="1171" t="str">
        <f>IF(J106="","",IF(L106&lt;0,'I. Stream &amp; Compound Data'!L282,0))</f>
        <v/>
      </c>
      <c r="O106" s="1171" t="str">
        <f t="shared" si="12"/>
        <v/>
      </c>
      <c r="P106" s="1244" t="str">
        <f t="shared" si="13"/>
        <v/>
      </c>
      <c r="Q106" s="1245" t="str">
        <f t="shared" si="14"/>
        <v/>
      </c>
      <c r="R106" s="611"/>
      <c r="S106" s="611"/>
      <c r="T106" s="709"/>
      <c r="U106" s="570"/>
      <c r="V106" s="570"/>
      <c r="W106" s="570"/>
      <c r="X106" s="570"/>
      <c r="Y106" s="570"/>
      <c r="Z106" s="570"/>
      <c r="AA106" s="570"/>
      <c r="AB106" s="570"/>
      <c r="AC106" s="570"/>
      <c r="AD106" s="570"/>
      <c r="AE106" s="570"/>
      <c r="AF106" s="570"/>
      <c r="AG106" s="570"/>
      <c r="AH106" s="570"/>
      <c r="AI106" s="570"/>
      <c r="AJ106" s="570"/>
      <c r="AK106" s="570"/>
      <c r="AL106" s="570"/>
      <c r="AM106" s="570"/>
      <c r="AN106" s="570"/>
      <c r="AO106" s="570"/>
      <c r="AP106" s="570"/>
      <c r="AQ106" s="570"/>
      <c r="AR106" s="570"/>
      <c r="AS106" s="570"/>
      <c r="AT106" s="570"/>
      <c r="AU106" s="570"/>
      <c r="AV106" s="588"/>
    </row>
    <row r="107" hidden="true" x14ac:dyDescent="0.3">
      <c r="A107" s="704"/>
      <c r="B107" s="570"/>
      <c r="C107" s="570"/>
      <c r="D107" s="708"/>
      <c r="E107" s="829"/>
      <c r="F107" s="709"/>
      <c r="G107" s="570"/>
      <c r="H107" s="292"/>
      <c r="I107" s="1241">
        <f t="shared" si="10"/>
        <v>22</v>
      </c>
      <c r="J107" s="186" t="str">
        <f>'I. Stream &amp; Compound Data'!G132</f>
        <v/>
      </c>
      <c r="K107" s="1242" t="str">
        <f>'I. Stream &amp; Compound Data'!J283</f>
        <v/>
      </c>
      <c r="L107" s="186" t="str">
        <f>IF(J107="","",VLOOKUP(I107,'I. Stream &amp; Compound Data'!$F$111:$AA$160,2+'I. Stream &amp; Compound Data'!$G$104,FALSE))</f>
        <v/>
      </c>
      <c r="M107" s="1243" t="str">
        <f t="shared" si="11"/>
        <v/>
      </c>
      <c r="N107" s="1171" t="str">
        <f>IF(J107="","",IF(L107&lt;0,'I. Stream &amp; Compound Data'!L283,0))</f>
        <v/>
      </c>
      <c r="O107" s="1171" t="str">
        <f t="shared" si="12"/>
        <v/>
      </c>
      <c r="P107" s="1244" t="str">
        <f t="shared" si="13"/>
        <v/>
      </c>
      <c r="Q107" s="1245" t="str">
        <f t="shared" si="14"/>
        <v/>
      </c>
      <c r="R107" s="611"/>
      <c r="S107" s="611"/>
      <c r="T107" s="709"/>
      <c r="U107" s="570"/>
      <c r="V107" s="570"/>
      <c r="W107" s="570"/>
      <c r="X107" s="570"/>
      <c r="Y107" s="570"/>
      <c r="Z107" s="570"/>
      <c r="AA107" s="570"/>
      <c r="AB107" s="570"/>
      <c r="AC107" s="570"/>
      <c r="AD107" s="570"/>
      <c r="AE107" s="570"/>
      <c r="AF107" s="570"/>
      <c r="AG107" s="570"/>
      <c r="AH107" s="570"/>
      <c r="AI107" s="570"/>
      <c r="AJ107" s="570"/>
      <c r="AK107" s="570"/>
      <c r="AL107" s="570"/>
      <c r="AM107" s="570"/>
      <c r="AN107" s="570"/>
      <c r="AO107" s="570"/>
      <c r="AP107" s="570"/>
      <c r="AQ107" s="570"/>
      <c r="AR107" s="570"/>
      <c r="AS107" s="570"/>
      <c r="AT107" s="570"/>
      <c r="AU107" s="570"/>
      <c r="AV107" s="588"/>
    </row>
    <row r="108" hidden="true" x14ac:dyDescent="0.3">
      <c r="A108" s="704"/>
      <c r="B108" s="570"/>
      <c r="C108" s="570"/>
      <c r="D108" s="708"/>
      <c r="E108" s="829"/>
      <c r="F108" s="709"/>
      <c r="G108" s="570"/>
      <c r="H108" s="292"/>
      <c r="I108" s="1241">
        <f t="shared" si="10"/>
        <v>23</v>
      </c>
      <c r="J108" s="186" t="str">
        <f>'I. Stream &amp; Compound Data'!G133</f>
        <v/>
      </c>
      <c r="K108" s="1242" t="str">
        <f>'I. Stream &amp; Compound Data'!J284</f>
        <v/>
      </c>
      <c r="L108" s="186" t="str">
        <f>IF(J108="","",VLOOKUP(I108,'I. Stream &amp; Compound Data'!$F$111:$AA$160,2+'I. Stream &amp; Compound Data'!$G$104,FALSE))</f>
        <v/>
      </c>
      <c r="M108" s="1243" t="str">
        <f t="shared" si="11"/>
        <v/>
      </c>
      <c r="N108" s="1171" t="str">
        <f>IF(J108="","",IF(L108&lt;0,'I. Stream &amp; Compound Data'!L284,0))</f>
        <v/>
      </c>
      <c r="O108" s="1171" t="str">
        <f t="shared" si="12"/>
        <v/>
      </c>
      <c r="P108" s="1244" t="str">
        <f t="shared" si="13"/>
        <v/>
      </c>
      <c r="Q108" s="1245" t="str">
        <f t="shared" si="14"/>
        <v/>
      </c>
      <c r="R108" s="611"/>
      <c r="S108" s="611"/>
      <c r="T108" s="709"/>
      <c r="U108" s="570"/>
      <c r="V108" s="570"/>
      <c r="W108" s="570"/>
      <c r="X108" s="570"/>
      <c r="Y108" s="570"/>
      <c r="Z108" s="570"/>
      <c r="AA108" s="570"/>
      <c r="AB108" s="570"/>
      <c r="AC108" s="570"/>
      <c r="AD108" s="570"/>
      <c r="AE108" s="570"/>
      <c r="AF108" s="570"/>
      <c r="AG108" s="570"/>
      <c r="AH108" s="570"/>
      <c r="AI108" s="570"/>
      <c r="AJ108" s="570"/>
      <c r="AK108" s="570"/>
      <c r="AL108" s="570"/>
      <c r="AM108" s="570"/>
      <c r="AN108" s="570"/>
      <c r="AO108" s="570"/>
      <c r="AP108" s="570"/>
      <c r="AQ108" s="570"/>
      <c r="AR108" s="570"/>
      <c r="AS108" s="570"/>
      <c r="AT108" s="570"/>
      <c r="AU108" s="570"/>
      <c r="AV108" s="588"/>
    </row>
    <row r="109" hidden="true" x14ac:dyDescent="0.3">
      <c r="A109" s="704"/>
      <c r="B109" s="570"/>
      <c r="C109" s="570"/>
      <c r="D109" s="708"/>
      <c r="E109" s="829"/>
      <c r="F109" s="709"/>
      <c r="G109" s="570"/>
      <c r="H109" s="292"/>
      <c r="I109" s="1241">
        <f t="shared" si="10"/>
        <v>24</v>
      </c>
      <c r="J109" s="186" t="str">
        <f>'I. Stream &amp; Compound Data'!G134</f>
        <v/>
      </c>
      <c r="K109" s="1242" t="str">
        <f>'I. Stream &amp; Compound Data'!J285</f>
        <v/>
      </c>
      <c r="L109" s="186" t="str">
        <f>IF(J109="","",VLOOKUP(I109,'I. Stream &amp; Compound Data'!$F$111:$AA$160,2+'I. Stream &amp; Compound Data'!$G$104,FALSE))</f>
        <v/>
      </c>
      <c r="M109" s="1243" t="str">
        <f t="shared" si="11"/>
        <v/>
      </c>
      <c r="N109" s="1171" t="str">
        <f>IF(J109="","",IF(L109&lt;0,'I. Stream &amp; Compound Data'!L285,0))</f>
        <v/>
      </c>
      <c r="O109" s="1171" t="str">
        <f t="shared" si="12"/>
        <v/>
      </c>
      <c r="P109" s="1244" t="str">
        <f t="shared" si="13"/>
        <v/>
      </c>
      <c r="Q109" s="1245" t="str">
        <f t="shared" si="14"/>
        <v/>
      </c>
      <c r="R109" s="611"/>
      <c r="S109" s="611"/>
      <c r="T109" s="709"/>
      <c r="U109" s="570"/>
      <c r="V109" s="570"/>
      <c r="W109" s="570"/>
      <c r="X109" s="570"/>
      <c r="Y109" s="570"/>
      <c r="Z109" s="570"/>
      <c r="AA109" s="570"/>
      <c r="AB109" s="570"/>
      <c r="AC109" s="570"/>
      <c r="AD109" s="570"/>
      <c r="AE109" s="570"/>
      <c r="AF109" s="570"/>
      <c r="AG109" s="570"/>
      <c r="AH109" s="570"/>
      <c r="AI109" s="570"/>
      <c r="AJ109" s="570"/>
      <c r="AK109" s="570"/>
      <c r="AL109" s="570"/>
      <c r="AM109" s="570"/>
      <c r="AN109" s="570"/>
      <c r="AO109" s="570"/>
      <c r="AP109" s="570"/>
      <c r="AQ109" s="570"/>
      <c r="AR109" s="570"/>
      <c r="AS109" s="570"/>
      <c r="AT109" s="570"/>
      <c r="AU109" s="570"/>
      <c r="AV109" s="588"/>
    </row>
    <row r="110" hidden="true" x14ac:dyDescent="0.3">
      <c r="A110" s="704"/>
      <c r="B110" s="570"/>
      <c r="C110" s="570"/>
      <c r="D110" s="708"/>
      <c r="E110" s="829"/>
      <c r="F110" s="709"/>
      <c r="G110" s="570"/>
      <c r="H110" s="292"/>
      <c r="I110" s="1241">
        <f t="shared" si="10"/>
        <v>25</v>
      </c>
      <c r="J110" s="186" t="str">
        <f>'I. Stream &amp; Compound Data'!G135</f>
        <v/>
      </c>
      <c r="K110" s="1242" t="str">
        <f>'I. Stream &amp; Compound Data'!J286</f>
        <v/>
      </c>
      <c r="L110" s="186" t="str">
        <f>IF(J110="","",VLOOKUP(I110,'I. Stream &amp; Compound Data'!$F$111:$AA$160,2+'I. Stream &amp; Compound Data'!$G$104,FALSE))</f>
        <v/>
      </c>
      <c r="M110" s="1243" t="str">
        <f t="shared" si="11"/>
        <v/>
      </c>
      <c r="N110" s="1171" t="str">
        <f>IF(J110="","",IF(L110&lt;0,'I. Stream &amp; Compound Data'!L286,0))</f>
        <v/>
      </c>
      <c r="O110" s="1171" t="str">
        <f t="shared" si="12"/>
        <v/>
      </c>
      <c r="P110" s="1244" t="str">
        <f t="shared" si="13"/>
        <v/>
      </c>
      <c r="Q110" s="1245" t="str">
        <f t="shared" si="14"/>
        <v/>
      </c>
      <c r="R110" s="611"/>
      <c r="S110" s="611"/>
      <c r="T110" s="709"/>
      <c r="U110" s="570"/>
      <c r="V110" s="570"/>
      <c r="W110" s="570"/>
      <c r="X110" s="570"/>
      <c r="Y110" s="570"/>
      <c r="Z110" s="570"/>
      <c r="AA110" s="570"/>
      <c r="AB110" s="570"/>
      <c r="AC110" s="570"/>
      <c r="AD110" s="570"/>
      <c r="AE110" s="570"/>
      <c r="AF110" s="570"/>
      <c r="AG110" s="570"/>
      <c r="AH110" s="570"/>
      <c r="AI110" s="570"/>
      <c r="AJ110" s="570"/>
      <c r="AK110" s="570"/>
      <c r="AL110" s="570"/>
      <c r="AM110" s="570"/>
      <c r="AN110" s="570"/>
      <c r="AO110" s="570"/>
      <c r="AP110" s="570"/>
      <c r="AQ110" s="570"/>
      <c r="AR110" s="570"/>
      <c r="AS110" s="570"/>
      <c r="AT110" s="570"/>
      <c r="AU110" s="570"/>
      <c r="AV110" s="588"/>
    </row>
    <row r="111" hidden="true" x14ac:dyDescent="0.3">
      <c r="A111" s="704"/>
      <c r="B111" s="570"/>
      <c r="C111" s="570"/>
      <c r="D111" s="708"/>
      <c r="E111" s="829"/>
      <c r="F111" s="709"/>
      <c r="G111" s="570"/>
      <c r="H111" s="292"/>
      <c r="I111" s="1241">
        <f t="shared" si="10"/>
        <v>26</v>
      </c>
      <c r="J111" s="186" t="str">
        <f>'I. Stream &amp; Compound Data'!G136</f>
        <v/>
      </c>
      <c r="K111" s="1242" t="str">
        <f>'I. Stream &amp; Compound Data'!J287</f>
        <v/>
      </c>
      <c r="L111" s="186" t="str">
        <f>IF(J111="","",VLOOKUP(I111,'I. Stream &amp; Compound Data'!$F$111:$AA$160,2+'I. Stream &amp; Compound Data'!$G$104,FALSE))</f>
        <v/>
      </c>
      <c r="M111" s="1243" t="str">
        <f t="shared" si="11"/>
        <v/>
      </c>
      <c r="N111" s="1171" t="str">
        <f>IF(J111="","",IF(L111&lt;0,'I. Stream &amp; Compound Data'!L287,0))</f>
        <v/>
      </c>
      <c r="O111" s="1171" t="str">
        <f t="shared" si="12"/>
        <v/>
      </c>
      <c r="P111" s="1244" t="str">
        <f t="shared" si="13"/>
        <v/>
      </c>
      <c r="Q111" s="1245" t="str">
        <f t="shared" si="14"/>
        <v/>
      </c>
      <c r="R111" s="611"/>
      <c r="S111" s="611"/>
      <c r="T111" s="709"/>
      <c r="U111" s="570"/>
      <c r="V111" s="570"/>
      <c r="W111" s="570"/>
      <c r="X111" s="570"/>
      <c r="Y111" s="570"/>
      <c r="Z111" s="570"/>
      <c r="AA111" s="570"/>
      <c r="AB111" s="570"/>
      <c r="AC111" s="570"/>
      <c r="AD111" s="570"/>
      <c r="AE111" s="570"/>
      <c r="AF111" s="570"/>
      <c r="AG111" s="570"/>
      <c r="AH111" s="570"/>
      <c r="AI111" s="570"/>
      <c r="AJ111" s="570"/>
      <c r="AK111" s="570"/>
      <c r="AL111" s="570"/>
      <c r="AM111" s="570"/>
      <c r="AN111" s="570"/>
      <c r="AO111" s="570"/>
      <c r="AP111" s="570"/>
      <c r="AQ111" s="570"/>
      <c r="AR111" s="570"/>
      <c r="AS111" s="570"/>
      <c r="AT111" s="570"/>
      <c r="AU111" s="570"/>
      <c r="AV111" s="588"/>
    </row>
    <row r="112" hidden="true" x14ac:dyDescent="0.3">
      <c r="A112" s="704"/>
      <c r="B112" s="570"/>
      <c r="C112" s="570"/>
      <c r="D112" s="708"/>
      <c r="E112" s="829"/>
      <c r="F112" s="709"/>
      <c r="G112" s="570"/>
      <c r="H112" s="292"/>
      <c r="I112" s="1241">
        <f t="shared" si="10"/>
        <v>27</v>
      </c>
      <c r="J112" s="186" t="str">
        <f>'I. Stream &amp; Compound Data'!G137</f>
        <v/>
      </c>
      <c r="K112" s="1242" t="str">
        <f>'I. Stream &amp; Compound Data'!J288</f>
        <v/>
      </c>
      <c r="L112" s="186" t="str">
        <f>IF(J112="","",VLOOKUP(I112,'I. Stream &amp; Compound Data'!$F$111:$AA$160,2+'I. Stream &amp; Compound Data'!$G$104,FALSE))</f>
        <v/>
      </c>
      <c r="M112" s="1243" t="str">
        <f t="shared" si="11"/>
        <v/>
      </c>
      <c r="N112" s="1171" t="str">
        <f>IF(J112="","",IF(L112&lt;0,'I. Stream &amp; Compound Data'!L288,0))</f>
        <v/>
      </c>
      <c r="O112" s="1171" t="str">
        <f t="shared" si="12"/>
        <v/>
      </c>
      <c r="P112" s="1244" t="str">
        <f t="shared" si="13"/>
        <v/>
      </c>
      <c r="Q112" s="1245" t="str">
        <f t="shared" si="14"/>
        <v/>
      </c>
      <c r="R112" s="611"/>
      <c r="S112" s="611"/>
      <c r="T112" s="709"/>
      <c r="U112" s="570"/>
      <c r="V112" s="570"/>
      <c r="W112" s="570"/>
      <c r="X112" s="570"/>
      <c r="Y112" s="570"/>
      <c r="Z112" s="570"/>
      <c r="AA112" s="570"/>
      <c r="AB112" s="570"/>
      <c r="AC112" s="570"/>
      <c r="AD112" s="570"/>
      <c r="AE112" s="570"/>
      <c r="AF112" s="570"/>
      <c r="AG112" s="570"/>
      <c r="AH112" s="570"/>
      <c r="AI112" s="570"/>
      <c r="AJ112" s="570"/>
      <c r="AK112" s="570"/>
      <c r="AL112" s="570"/>
      <c r="AM112" s="570"/>
      <c r="AN112" s="570"/>
      <c r="AO112" s="570"/>
      <c r="AP112" s="570"/>
      <c r="AQ112" s="570"/>
      <c r="AR112" s="570"/>
      <c r="AS112" s="570"/>
      <c r="AT112" s="570"/>
      <c r="AU112" s="570"/>
      <c r="AV112" s="588"/>
    </row>
    <row r="113" x14ac:dyDescent="0.3">
      <c r="A113" s="704"/>
      <c r="B113" s="570"/>
      <c r="C113" s="570"/>
      <c r="D113" s="708"/>
      <c r="E113" s="829"/>
      <c r="F113" s="709"/>
      <c r="G113" s="570"/>
      <c r="H113" s="292"/>
      <c r="I113" s="1241">
        <f t="shared" si="10"/>
        <v>28</v>
      </c>
      <c r="J113" s="186" t="str">
        <f>'I. Stream &amp; Compound Data'!G138</f>
        <v/>
      </c>
      <c r="K113" s="1242" t="str">
        <f>'I. Stream &amp; Compound Data'!J289</f>
        <v/>
      </c>
      <c r="L113" s="186" t="str">
        <f>IF(J113="","",VLOOKUP(I113,'I. Stream &amp; Compound Data'!$F$111:$AA$160,2+'I. Stream &amp; Compound Data'!$G$104,FALSE))</f>
        <v/>
      </c>
      <c r="M113" s="1243" t="str">
        <f t="shared" si="11"/>
        <v/>
      </c>
      <c r="N113" s="1171" t="str">
        <f>IF(J113="","",IF(L113&lt;0,'I. Stream &amp; Compound Data'!L289,0))</f>
        <v/>
      </c>
      <c r="O113" s="1171" t="str">
        <f t="shared" si="12"/>
        <v/>
      </c>
      <c r="P113" s="1244" t="str">
        <f t="shared" si="13"/>
        <v/>
      </c>
      <c r="Q113" s="1245" t="str">
        <f t="shared" si="14"/>
        <v/>
      </c>
      <c r="R113" s="611"/>
      <c r="S113" s="611"/>
      <c r="T113" s="709"/>
      <c r="U113" s="570"/>
      <c r="V113" s="570"/>
      <c r="W113" s="570"/>
      <c r="X113" s="570"/>
      <c r="Y113" s="570"/>
      <c r="Z113" s="570"/>
      <c r="AA113" s="570"/>
      <c r="AB113" s="570"/>
      <c r="AC113" s="570"/>
      <c r="AD113" s="570"/>
      <c r="AE113" s="570"/>
      <c r="AF113" s="570"/>
      <c r="AG113" s="570"/>
      <c r="AH113" s="570"/>
      <c r="AI113" s="570"/>
      <c r="AJ113" s="570"/>
      <c r="AK113" s="570"/>
      <c r="AL113" s="570"/>
      <c r="AM113" s="570"/>
      <c r="AN113" s="570"/>
      <c r="AO113" s="570"/>
      <c r="AP113" s="570"/>
      <c r="AQ113" s="570"/>
      <c r="AR113" s="570"/>
      <c r="AS113" s="570"/>
      <c r="AT113" s="570"/>
      <c r="AU113" s="570"/>
      <c r="AV113" s="588"/>
    </row>
    <row r="114" x14ac:dyDescent="0.3">
      <c r="A114" s="704"/>
      <c r="B114" s="570"/>
      <c r="C114" s="570"/>
      <c r="D114" s="708"/>
      <c r="E114" s="829"/>
      <c r="F114" s="709"/>
      <c r="G114" s="570"/>
      <c r="H114" s="292"/>
      <c r="I114" s="1241">
        <f t="shared" si="10"/>
        <v>29</v>
      </c>
      <c r="J114" s="186" t="str">
        <f>'I. Stream &amp; Compound Data'!G139</f>
        <v/>
      </c>
      <c r="K114" s="1242" t="str">
        <f>'I. Stream &amp; Compound Data'!J290</f>
        <v/>
      </c>
      <c r="L114" s="186" t="str">
        <f>IF(J114="","",VLOOKUP(I114,'I. Stream &amp; Compound Data'!$F$111:$AA$160,2+'I. Stream &amp; Compound Data'!$G$104,FALSE))</f>
        <v/>
      </c>
      <c r="M114" s="1243" t="str">
        <f t="shared" si="11"/>
        <v/>
      </c>
      <c r="N114" s="1171" t="str">
        <f>IF(J114="","",IF(L114&lt;0,'I. Stream &amp; Compound Data'!L290,0))</f>
        <v/>
      </c>
      <c r="O114" s="1171" t="str">
        <f t="shared" si="12"/>
        <v/>
      </c>
      <c r="P114" s="1244" t="str">
        <f t="shared" si="13"/>
        <v/>
      </c>
      <c r="Q114" s="1245" t="str">
        <f t="shared" si="14"/>
        <v/>
      </c>
      <c r="R114" s="611"/>
      <c r="S114" s="611"/>
      <c r="T114" s="709"/>
      <c r="U114" s="570"/>
      <c r="V114" s="570"/>
      <c r="W114" s="570"/>
      <c r="X114" s="570"/>
      <c r="Y114" s="570"/>
      <c r="Z114" s="570"/>
      <c r="AA114" s="570"/>
      <c r="AB114" s="570"/>
      <c r="AC114" s="570"/>
      <c r="AD114" s="570"/>
      <c r="AE114" s="570"/>
      <c r="AF114" s="570"/>
      <c r="AG114" s="570"/>
      <c r="AH114" s="570"/>
      <c r="AI114" s="570"/>
      <c r="AJ114" s="570"/>
      <c r="AK114" s="570"/>
      <c r="AL114" s="570"/>
      <c r="AM114" s="570"/>
      <c r="AN114" s="570"/>
      <c r="AO114" s="570"/>
      <c r="AP114" s="570"/>
      <c r="AQ114" s="570"/>
      <c r="AR114" s="570"/>
      <c r="AS114" s="570"/>
      <c r="AT114" s="570"/>
      <c r="AU114" s="570"/>
      <c r="AV114" s="588"/>
    </row>
    <row r="115" x14ac:dyDescent="0.3">
      <c r="A115" s="704"/>
      <c r="B115" s="570"/>
      <c r="C115" s="570"/>
      <c r="D115" s="708"/>
      <c r="E115" s="829"/>
      <c r="F115" s="709"/>
      <c r="G115" s="570"/>
      <c r="H115" s="292"/>
      <c r="I115" s="1241">
        <f t="shared" si="10"/>
        <v>30</v>
      </c>
      <c r="J115" s="186" t="str">
        <f>'I. Stream &amp; Compound Data'!G140</f>
        <v/>
      </c>
      <c r="K115" s="1242" t="str">
        <f>'I. Stream &amp; Compound Data'!J291</f>
        <v/>
      </c>
      <c r="L115" s="186" t="str">
        <f>IF(J115="","",VLOOKUP(I115,'I. Stream &amp; Compound Data'!$F$111:$AA$160,2+'I. Stream &amp; Compound Data'!$G$104,FALSE))</f>
        <v/>
      </c>
      <c r="M115" s="1243" t="str">
        <f t="shared" si="11"/>
        <v/>
      </c>
      <c r="N115" s="1171" t="str">
        <f>IF(J115="","",IF(L115&lt;0,'I. Stream &amp; Compound Data'!L291,0))</f>
        <v/>
      </c>
      <c r="O115" s="1171" t="str">
        <f t="shared" si="12"/>
        <v/>
      </c>
      <c r="P115" s="1244" t="str">
        <f t="shared" si="13"/>
        <v/>
      </c>
      <c r="Q115" s="1245" t="str">
        <f t="shared" si="14"/>
        <v/>
      </c>
      <c r="R115" s="611"/>
      <c r="S115" s="611"/>
      <c r="T115" s="709"/>
      <c r="U115" s="570"/>
      <c r="V115" s="570"/>
      <c r="W115" s="570"/>
      <c r="X115" s="570"/>
      <c r="Y115" s="570"/>
      <c r="Z115" s="570"/>
      <c r="AA115" s="570"/>
      <c r="AB115" s="570"/>
      <c r="AC115" s="570"/>
      <c r="AD115" s="570"/>
      <c r="AE115" s="570"/>
      <c r="AF115" s="570"/>
      <c r="AG115" s="570"/>
      <c r="AH115" s="570"/>
      <c r="AI115" s="570"/>
      <c r="AJ115" s="570"/>
      <c r="AK115" s="570"/>
      <c r="AL115" s="570"/>
      <c r="AM115" s="570"/>
      <c r="AN115" s="570"/>
      <c r="AO115" s="570"/>
      <c r="AP115" s="570"/>
      <c r="AQ115" s="570"/>
      <c r="AR115" s="570"/>
      <c r="AS115" s="570"/>
      <c r="AT115" s="570"/>
      <c r="AU115" s="570"/>
      <c r="AV115" s="588"/>
    </row>
    <row r="116" x14ac:dyDescent="0.3">
      <c r="A116" s="704"/>
      <c r="B116" s="570"/>
      <c r="C116" s="570"/>
      <c r="D116" s="708"/>
      <c r="E116" s="829"/>
      <c r="F116" s="709"/>
      <c r="G116" s="570"/>
      <c r="H116" s="292"/>
      <c r="I116" s="1241">
        <f t="shared" si="10"/>
        <v>31</v>
      </c>
      <c r="J116" s="186" t="str">
        <f>'I. Stream &amp; Compound Data'!G141</f>
        <v/>
      </c>
      <c r="K116" s="1242" t="str">
        <f>'I. Stream &amp; Compound Data'!J292</f>
        <v/>
      </c>
      <c r="L116" s="186" t="str">
        <f>IF(J116="","",VLOOKUP(I116,'I. Stream &amp; Compound Data'!$F$111:$AA$160,2+'I. Stream &amp; Compound Data'!$G$104,FALSE))</f>
        <v/>
      </c>
      <c r="M116" s="1243" t="str">
        <f t="shared" si="11"/>
        <v/>
      </c>
      <c r="N116" s="1171" t="str">
        <f>IF(J116="","",IF(L116&lt;0,'I. Stream &amp; Compound Data'!L292,0))</f>
        <v/>
      </c>
      <c r="O116" s="1171" t="str">
        <f t="shared" si="12"/>
        <v/>
      </c>
      <c r="P116" s="1244" t="str">
        <f t="shared" si="13"/>
        <v/>
      </c>
      <c r="Q116" s="1245" t="str">
        <f t="shared" si="14"/>
        <v/>
      </c>
      <c r="R116" s="611"/>
      <c r="S116" s="611"/>
      <c r="T116" s="709"/>
      <c r="U116" s="570"/>
      <c r="V116" s="570"/>
      <c r="W116" s="570"/>
      <c r="X116" s="570"/>
      <c r="Y116" s="570"/>
      <c r="Z116" s="570"/>
      <c r="AA116" s="570"/>
      <c r="AB116" s="570"/>
      <c r="AC116" s="570"/>
      <c r="AD116" s="570"/>
      <c r="AE116" s="570"/>
      <c r="AF116" s="570"/>
      <c r="AG116" s="570"/>
      <c r="AH116" s="570"/>
      <c r="AI116" s="570"/>
      <c r="AJ116" s="570"/>
      <c r="AK116" s="570"/>
      <c r="AL116" s="570"/>
      <c r="AM116" s="570"/>
      <c r="AN116" s="570"/>
      <c r="AO116" s="570"/>
      <c r="AP116" s="570"/>
      <c r="AQ116" s="570"/>
      <c r="AR116" s="570"/>
      <c r="AS116" s="570"/>
      <c r="AT116" s="570"/>
      <c r="AU116" s="570"/>
      <c r="AV116" s="588"/>
    </row>
    <row r="117" x14ac:dyDescent="0.3">
      <c r="A117" s="704"/>
      <c r="B117" s="570"/>
      <c r="C117" s="570"/>
      <c r="D117" s="708"/>
      <c r="E117" s="829"/>
      <c r="F117" s="709"/>
      <c r="G117" s="570"/>
      <c r="H117" s="292"/>
      <c r="I117" s="1241">
        <f t="shared" si="10"/>
        <v>32</v>
      </c>
      <c r="J117" s="186" t="str">
        <f>'I. Stream &amp; Compound Data'!G142</f>
        <v/>
      </c>
      <c r="K117" s="1242" t="str">
        <f>'I. Stream &amp; Compound Data'!J293</f>
        <v/>
      </c>
      <c r="L117" s="186" t="str">
        <f>IF(J117="","",VLOOKUP(I117,'I. Stream &amp; Compound Data'!$F$111:$AA$160,2+'I. Stream &amp; Compound Data'!$G$104,FALSE))</f>
        <v/>
      </c>
      <c r="M117" s="1243" t="str">
        <f t="shared" si="11"/>
        <v/>
      </c>
      <c r="N117" s="1171" t="str">
        <f>IF(J117="","",IF(L117&lt;0,'I. Stream &amp; Compound Data'!L293,0))</f>
        <v/>
      </c>
      <c r="O117" s="1171" t="str">
        <f t="shared" si="12"/>
        <v/>
      </c>
      <c r="P117" s="1244" t="str">
        <f t="shared" si="13"/>
        <v/>
      </c>
      <c r="Q117" s="1245" t="str">
        <f t="shared" si="14"/>
        <v/>
      </c>
      <c r="R117" s="611"/>
      <c r="S117" s="611"/>
      <c r="T117" s="709"/>
      <c r="U117" s="570"/>
      <c r="V117" s="570"/>
      <c r="W117" s="570"/>
      <c r="X117" s="570"/>
      <c r="Y117" s="570"/>
      <c r="Z117" s="570"/>
      <c r="AA117" s="570"/>
      <c r="AB117" s="570"/>
      <c r="AC117" s="570"/>
      <c r="AD117" s="570"/>
      <c r="AE117" s="570"/>
      <c r="AF117" s="570"/>
      <c r="AG117" s="570"/>
      <c r="AH117" s="570"/>
      <c r="AI117" s="570"/>
      <c r="AJ117" s="570"/>
      <c r="AK117" s="570"/>
      <c r="AL117" s="570"/>
      <c r="AM117" s="570"/>
      <c r="AN117" s="570"/>
      <c r="AO117" s="570"/>
      <c r="AP117" s="570"/>
      <c r="AQ117" s="570"/>
      <c r="AR117" s="570"/>
      <c r="AS117" s="570"/>
      <c r="AT117" s="570"/>
      <c r="AU117" s="570"/>
      <c r="AV117" s="588"/>
    </row>
    <row r="118" x14ac:dyDescent="0.3">
      <c r="A118" s="704"/>
      <c r="B118" s="570"/>
      <c r="C118" s="570"/>
      <c r="D118" s="708"/>
      <c r="E118" s="829"/>
      <c r="F118" s="709"/>
      <c r="G118" s="570"/>
      <c r="H118" s="292"/>
      <c r="I118" s="1241">
        <f t="shared" si="10"/>
        <v>33</v>
      </c>
      <c r="J118" s="186" t="str">
        <f>'I. Stream &amp; Compound Data'!G143</f>
        <v/>
      </c>
      <c r="K118" s="1242" t="str">
        <f>'I. Stream &amp; Compound Data'!J294</f>
        <v/>
      </c>
      <c r="L118" s="186" t="str">
        <f>IF(J118="","",VLOOKUP(I118,'I. Stream &amp; Compound Data'!$F$111:$AA$160,2+'I. Stream &amp; Compound Data'!$G$104,FALSE))</f>
        <v/>
      </c>
      <c r="M118" s="1243" t="str">
        <f t="shared" si="11"/>
        <v/>
      </c>
      <c r="N118" s="1171" t="str">
        <f>IF(J118="","",IF(L118&lt;0,'I. Stream &amp; Compound Data'!L294,0))</f>
        <v/>
      </c>
      <c r="O118" s="1171" t="str">
        <f t="shared" si="12"/>
        <v/>
      </c>
      <c r="P118" s="1244" t="str">
        <f t="shared" si="13"/>
        <v/>
      </c>
      <c r="Q118" s="1245" t="str">
        <f t="shared" si="14"/>
        <v/>
      </c>
      <c r="R118" s="611"/>
      <c r="S118" s="611"/>
      <c r="T118" s="709"/>
      <c r="U118" s="570"/>
      <c r="V118" s="570"/>
      <c r="W118" s="570"/>
      <c r="X118" s="570"/>
      <c r="Y118" s="570"/>
      <c r="Z118" s="570"/>
      <c r="AA118" s="570"/>
      <c r="AB118" s="570"/>
      <c r="AC118" s="570"/>
      <c r="AD118" s="570"/>
      <c r="AE118" s="570"/>
      <c r="AF118" s="570"/>
      <c r="AG118" s="570"/>
      <c r="AH118" s="570"/>
      <c r="AI118" s="570"/>
      <c r="AJ118" s="570"/>
      <c r="AK118" s="570"/>
      <c r="AL118" s="570"/>
      <c r="AM118" s="570"/>
      <c r="AN118" s="570"/>
      <c r="AO118" s="570"/>
      <c r="AP118" s="570"/>
      <c r="AQ118" s="570"/>
      <c r="AR118" s="570"/>
      <c r="AS118" s="570"/>
      <c r="AT118" s="570"/>
      <c r="AU118" s="570"/>
      <c r="AV118" s="588"/>
    </row>
    <row r="119" x14ac:dyDescent="0.3">
      <c r="A119" s="704"/>
      <c r="B119" s="570"/>
      <c r="C119" s="570"/>
      <c r="D119" s="708"/>
      <c r="E119" s="829"/>
      <c r="F119" s="709"/>
      <c r="G119" s="570"/>
      <c r="H119" s="292"/>
      <c r="I119" s="1241">
        <f t="shared" si="10"/>
        <v>34</v>
      </c>
      <c r="J119" s="186" t="str">
        <f>'I. Stream &amp; Compound Data'!G144</f>
        <v/>
      </c>
      <c r="K119" s="1242" t="str">
        <f>'I. Stream &amp; Compound Data'!J295</f>
        <v/>
      </c>
      <c r="L119" s="186" t="str">
        <f>IF(J119="","",VLOOKUP(I119,'I. Stream &amp; Compound Data'!$F$111:$AA$160,2+'I. Stream &amp; Compound Data'!$G$104,FALSE))</f>
        <v/>
      </c>
      <c r="M119" s="1243" t="str">
        <f t="shared" si="11"/>
        <v/>
      </c>
      <c r="N119" s="1171" t="str">
        <f>IF(J119="","",IF(L119&lt;0,'I. Stream &amp; Compound Data'!L295,0))</f>
        <v/>
      </c>
      <c r="O119" s="1171" t="str">
        <f t="shared" si="12"/>
        <v/>
      </c>
      <c r="P119" s="1244" t="str">
        <f t="shared" si="13"/>
        <v/>
      </c>
      <c r="Q119" s="1245" t="str">
        <f t="shared" si="14"/>
        <v/>
      </c>
      <c r="R119" s="611"/>
      <c r="S119" s="611"/>
      <c r="T119" s="709"/>
      <c r="U119" s="570"/>
      <c r="V119" s="570"/>
      <c r="W119" s="570"/>
      <c r="X119" s="570"/>
      <c r="Y119" s="570"/>
      <c r="Z119" s="570"/>
      <c r="AA119" s="570"/>
      <c r="AB119" s="570"/>
      <c r="AC119" s="570"/>
      <c r="AD119" s="570"/>
      <c r="AE119" s="570"/>
      <c r="AF119" s="570"/>
      <c r="AG119" s="570"/>
      <c r="AH119" s="570"/>
      <c r="AI119" s="570"/>
      <c r="AJ119" s="570"/>
      <c r="AK119" s="570"/>
      <c r="AL119" s="570"/>
      <c r="AM119" s="570"/>
      <c r="AN119" s="570"/>
      <c r="AO119" s="570"/>
      <c r="AP119" s="570"/>
      <c r="AQ119" s="570"/>
      <c r="AR119" s="570"/>
      <c r="AS119" s="570"/>
      <c r="AT119" s="570"/>
      <c r="AU119" s="570"/>
      <c r="AV119" s="588"/>
    </row>
    <row r="120" x14ac:dyDescent="0.3">
      <c r="A120" s="704"/>
      <c r="B120" s="570"/>
      <c r="C120" s="570"/>
      <c r="D120" s="708"/>
      <c r="E120" s="829"/>
      <c r="F120" s="709"/>
      <c r="G120" s="570"/>
      <c r="H120" s="292"/>
      <c r="I120" s="1241">
        <f t="shared" si="10"/>
        <v>35</v>
      </c>
      <c r="J120" s="186" t="str">
        <f>'I. Stream &amp; Compound Data'!G145</f>
        <v/>
      </c>
      <c r="K120" s="1242" t="str">
        <f>'I. Stream &amp; Compound Data'!J296</f>
        <v/>
      </c>
      <c r="L120" s="186" t="str">
        <f>IF(J120="","",VLOOKUP(I120,'I. Stream &amp; Compound Data'!$F$111:$AA$160,2+'I. Stream &amp; Compound Data'!$G$104,FALSE))</f>
        <v/>
      </c>
      <c r="M120" s="1243" t="str">
        <f t="shared" si="11"/>
        <v/>
      </c>
      <c r="N120" s="1171" t="str">
        <f>IF(J120="","",IF(L120&lt;0,'I. Stream &amp; Compound Data'!L296,0))</f>
        <v/>
      </c>
      <c r="O120" s="1171" t="str">
        <f t="shared" si="12"/>
        <v/>
      </c>
      <c r="P120" s="1244" t="str">
        <f t="shared" si="13"/>
        <v/>
      </c>
      <c r="Q120" s="1245" t="str">
        <f t="shared" si="14"/>
        <v/>
      </c>
      <c r="R120" s="611"/>
      <c r="S120" s="611"/>
      <c r="T120" s="709"/>
      <c r="U120" s="570"/>
      <c r="V120" s="570"/>
      <c r="W120" s="570"/>
      <c r="X120" s="570"/>
      <c r="Y120" s="570"/>
      <c r="Z120" s="570"/>
      <c r="AA120" s="570"/>
      <c r="AB120" s="570"/>
      <c r="AC120" s="570"/>
      <c r="AD120" s="570"/>
      <c r="AE120" s="570"/>
      <c r="AF120" s="570"/>
      <c r="AG120" s="570"/>
      <c r="AH120" s="570"/>
      <c r="AI120" s="570"/>
      <c r="AJ120" s="570"/>
      <c r="AK120" s="570"/>
      <c r="AL120" s="570"/>
      <c r="AM120" s="570"/>
      <c r="AN120" s="570"/>
      <c r="AO120" s="570"/>
      <c r="AP120" s="570"/>
      <c r="AQ120" s="570"/>
      <c r="AR120" s="570"/>
      <c r="AS120" s="570"/>
      <c r="AT120" s="570"/>
      <c r="AU120" s="570"/>
      <c r="AV120" s="588"/>
    </row>
    <row r="121" x14ac:dyDescent="0.3">
      <c r="A121" s="704"/>
      <c r="B121" s="570"/>
      <c r="C121" s="570"/>
      <c r="D121" s="708"/>
      <c r="E121" s="829"/>
      <c r="F121" s="709"/>
      <c r="G121" s="570"/>
      <c r="H121" s="292"/>
      <c r="I121" s="1241">
        <f t="shared" si="10"/>
        <v>36</v>
      </c>
      <c r="J121" s="186" t="str">
        <f>'I. Stream &amp; Compound Data'!G146</f>
        <v/>
      </c>
      <c r="K121" s="1242" t="str">
        <f>'I. Stream &amp; Compound Data'!J297</f>
        <v/>
      </c>
      <c r="L121" s="186" t="str">
        <f>IF(J121="","",VLOOKUP(I121,'I. Stream &amp; Compound Data'!$F$111:$AA$160,2+'I. Stream &amp; Compound Data'!$G$104,FALSE))</f>
        <v/>
      </c>
      <c r="M121" s="1243" t="str">
        <f t="shared" si="11"/>
        <v/>
      </c>
      <c r="N121" s="1171" t="str">
        <f>IF(J121="","",IF(L121&lt;0,'I. Stream &amp; Compound Data'!L297,0))</f>
        <v/>
      </c>
      <c r="O121" s="1171" t="str">
        <f t="shared" si="12"/>
        <v/>
      </c>
      <c r="P121" s="1244" t="str">
        <f t="shared" si="13"/>
        <v/>
      </c>
      <c r="Q121" s="1245" t="str">
        <f t="shared" si="14"/>
        <v/>
      </c>
      <c r="R121" s="611"/>
      <c r="S121" s="611"/>
      <c r="T121" s="709"/>
      <c r="U121" s="570"/>
      <c r="V121" s="570"/>
      <c r="W121" s="570"/>
      <c r="X121" s="570"/>
      <c r="Y121" s="570"/>
      <c r="Z121" s="570"/>
      <c r="AA121" s="570"/>
      <c r="AB121" s="570"/>
      <c r="AC121" s="570"/>
      <c r="AD121" s="570"/>
      <c r="AE121" s="570"/>
      <c r="AF121" s="570"/>
      <c r="AG121" s="570"/>
      <c r="AH121" s="570"/>
      <c r="AI121" s="570"/>
      <c r="AJ121" s="570"/>
      <c r="AK121" s="570"/>
      <c r="AL121" s="570"/>
      <c r="AM121" s="570"/>
      <c r="AN121" s="570"/>
      <c r="AO121" s="570"/>
      <c r="AP121" s="570"/>
      <c r="AQ121" s="570"/>
      <c r="AR121" s="570"/>
      <c r="AS121" s="570"/>
      <c r="AT121" s="570"/>
      <c r="AU121" s="570"/>
      <c r="AV121" s="588"/>
    </row>
    <row r="122" x14ac:dyDescent="0.3">
      <c r="A122" s="704"/>
      <c r="B122" s="570"/>
      <c r="C122" s="570"/>
      <c r="D122" s="708"/>
      <c r="E122" s="829"/>
      <c r="F122" s="709"/>
      <c r="G122" s="570"/>
      <c r="H122" s="292"/>
      <c r="I122" s="1241">
        <f t="shared" si="10"/>
        <v>37</v>
      </c>
      <c r="J122" s="186" t="str">
        <f>'I. Stream &amp; Compound Data'!G147</f>
        <v/>
      </c>
      <c r="K122" s="1242" t="str">
        <f>'I. Stream &amp; Compound Data'!J298</f>
        <v/>
      </c>
      <c r="L122" s="186" t="str">
        <f>IF(J122="","",VLOOKUP(I122,'I. Stream &amp; Compound Data'!$F$111:$AA$160,2+'I. Stream &amp; Compound Data'!$G$104,FALSE))</f>
        <v/>
      </c>
      <c r="M122" s="1243" t="str">
        <f t="shared" si="11"/>
        <v/>
      </c>
      <c r="N122" s="1171" t="str">
        <f>IF(J122="","",IF(L122&lt;0,'I. Stream &amp; Compound Data'!L298,0))</f>
        <v/>
      </c>
      <c r="O122" s="1171" t="str">
        <f t="shared" si="12"/>
        <v/>
      </c>
      <c r="P122" s="1244" t="str">
        <f t="shared" si="13"/>
        <v/>
      </c>
      <c r="Q122" s="1245" t="str">
        <f t="shared" si="14"/>
        <v/>
      </c>
      <c r="R122" s="611"/>
      <c r="S122" s="611"/>
      <c r="T122" s="709"/>
      <c r="U122" s="570"/>
      <c r="V122" s="570"/>
      <c r="W122" s="570"/>
      <c r="X122" s="570"/>
      <c r="Y122" s="570"/>
      <c r="Z122" s="570"/>
      <c r="AA122" s="570"/>
      <c r="AB122" s="570"/>
      <c r="AC122" s="570"/>
      <c r="AD122" s="570"/>
      <c r="AE122" s="570"/>
      <c r="AF122" s="570"/>
      <c r="AG122" s="570"/>
      <c r="AH122" s="570"/>
      <c r="AI122" s="570"/>
      <c r="AJ122" s="570"/>
      <c r="AK122" s="570"/>
      <c r="AL122" s="570"/>
      <c r="AM122" s="570"/>
      <c r="AN122" s="570"/>
      <c r="AO122" s="570"/>
      <c r="AP122" s="570"/>
      <c r="AQ122" s="570"/>
      <c r="AR122" s="570"/>
      <c r="AS122" s="570"/>
      <c r="AT122" s="570"/>
      <c r="AU122" s="570"/>
      <c r="AV122" s="588"/>
    </row>
    <row r="123" x14ac:dyDescent="0.3">
      <c r="A123" s="704"/>
      <c r="B123" s="570"/>
      <c r="C123" s="570"/>
      <c r="D123" s="708"/>
      <c r="E123" s="829"/>
      <c r="F123" s="709"/>
      <c r="G123" s="570"/>
      <c r="H123" s="292"/>
      <c r="I123" s="1241">
        <f t="shared" si="10"/>
        <v>38</v>
      </c>
      <c r="J123" s="186" t="str">
        <f>'I. Stream &amp; Compound Data'!G148</f>
        <v/>
      </c>
      <c r="K123" s="1242" t="str">
        <f>'I. Stream &amp; Compound Data'!J299</f>
        <v/>
      </c>
      <c r="L123" s="186" t="str">
        <f>IF(J123="","",VLOOKUP(I123,'I. Stream &amp; Compound Data'!$F$111:$AA$160,2+'I. Stream &amp; Compound Data'!$G$104,FALSE))</f>
        <v/>
      </c>
      <c r="M123" s="1243" t="str">
        <f t="shared" si="11"/>
        <v/>
      </c>
      <c r="N123" s="1171" t="str">
        <f>IF(J123="","",IF(L123&lt;0,'I. Stream &amp; Compound Data'!L299,0))</f>
        <v/>
      </c>
      <c r="O123" s="1171" t="str">
        <f t="shared" si="12"/>
        <v/>
      </c>
      <c r="P123" s="1244" t="str">
        <f t="shared" si="13"/>
        <v/>
      </c>
      <c r="Q123" s="1245" t="str">
        <f t="shared" si="14"/>
        <v/>
      </c>
      <c r="R123" s="611"/>
      <c r="S123" s="611"/>
      <c r="T123" s="709"/>
      <c r="U123" s="570"/>
      <c r="V123" s="570"/>
      <c r="W123" s="570"/>
      <c r="X123" s="570"/>
      <c r="Y123" s="570"/>
      <c r="Z123" s="570"/>
      <c r="AA123" s="570"/>
      <c r="AB123" s="570"/>
      <c r="AC123" s="570"/>
      <c r="AD123" s="570"/>
      <c r="AE123" s="570"/>
      <c r="AF123" s="570"/>
      <c r="AG123" s="570"/>
      <c r="AH123" s="570"/>
      <c r="AI123" s="570"/>
      <c r="AJ123" s="570"/>
      <c r="AK123" s="570"/>
      <c r="AL123" s="570"/>
      <c r="AM123" s="570"/>
      <c r="AN123" s="570"/>
      <c r="AO123" s="570"/>
      <c r="AP123" s="570"/>
      <c r="AQ123" s="570"/>
      <c r="AR123" s="570"/>
      <c r="AS123" s="570"/>
      <c r="AT123" s="570"/>
      <c r="AU123" s="570"/>
      <c r="AV123" s="588"/>
    </row>
    <row r="124" x14ac:dyDescent="0.3">
      <c r="A124" s="704"/>
      <c r="B124" s="570"/>
      <c r="C124" s="570"/>
      <c r="D124" s="708"/>
      <c r="E124" s="829"/>
      <c r="F124" s="709"/>
      <c r="G124" s="570"/>
      <c r="H124" s="292"/>
      <c r="I124" s="1241">
        <f t="shared" si="10"/>
        <v>39</v>
      </c>
      <c r="J124" s="186" t="str">
        <f>'I. Stream &amp; Compound Data'!G149</f>
        <v/>
      </c>
      <c r="K124" s="1242" t="str">
        <f>'I. Stream &amp; Compound Data'!J300</f>
        <v/>
      </c>
      <c r="L124" s="186" t="str">
        <f>IF(J124="","",VLOOKUP(I124,'I. Stream &amp; Compound Data'!$F$111:$AA$160,2+'I. Stream &amp; Compound Data'!$G$104,FALSE))</f>
        <v/>
      </c>
      <c r="M124" s="1243" t="str">
        <f t="shared" si="11"/>
        <v/>
      </c>
      <c r="N124" s="1171" t="str">
        <f>IF(J124="","",IF(L124&lt;0,'I. Stream &amp; Compound Data'!L300,0))</f>
        <v/>
      </c>
      <c r="O124" s="1171" t="str">
        <f t="shared" si="12"/>
        <v/>
      </c>
      <c r="P124" s="1244" t="str">
        <f t="shared" si="13"/>
        <v/>
      </c>
      <c r="Q124" s="1245" t="str">
        <f t="shared" si="14"/>
        <v/>
      </c>
      <c r="R124" s="611"/>
      <c r="S124" s="611"/>
      <c r="T124" s="709"/>
      <c r="U124" s="570"/>
      <c r="V124" s="570"/>
      <c r="W124" s="570"/>
      <c r="X124" s="570"/>
      <c r="Y124" s="570"/>
      <c r="Z124" s="570"/>
      <c r="AA124" s="570"/>
      <c r="AB124" s="570"/>
      <c r="AC124" s="570"/>
      <c r="AD124" s="570"/>
      <c r="AE124" s="570"/>
      <c r="AF124" s="570"/>
      <c r="AG124" s="570"/>
      <c r="AH124" s="570"/>
      <c r="AI124" s="570"/>
      <c r="AJ124" s="570"/>
      <c r="AK124" s="570"/>
      <c r="AL124" s="570"/>
      <c r="AM124" s="570"/>
      <c r="AN124" s="570"/>
      <c r="AO124" s="570"/>
      <c r="AP124" s="570"/>
      <c r="AQ124" s="570"/>
      <c r="AR124" s="570"/>
      <c r="AS124" s="570"/>
      <c r="AT124" s="570"/>
      <c r="AU124" s="570"/>
      <c r="AV124" s="588"/>
    </row>
    <row r="125" x14ac:dyDescent="0.3">
      <c r="A125" s="704"/>
      <c r="B125" s="570"/>
      <c r="C125" s="570"/>
      <c r="D125" s="708"/>
      <c r="E125" s="829"/>
      <c r="F125" s="709"/>
      <c r="G125" s="570"/>
      <c r="H125" s="292"/>
      <c r="I125" s="1241">
        <f t="shared" si="10"/>
        <v>40</v>
      </c>
      <c r="J125" s="186" t="str">
        <f>'I. Stream &amp; Compound Data'!G150</f>
        <v/>
      </c>
      <c r="K125" s="1242" t="str">
        <f>'I. Stream &amp; Compound Data'!J301</f>
        <v/>
      </c>
      <c r="L125" s="186" t="str">
        <f>IF(J125="","",VLOOKUP(I125,'I. Stream &amp; Compound Data'!$F$111:$AA$160,2+'I. Stream &amp; Compound Data'!$G$104,FALSE))</f>
        <v/>
      </c>
      <c r="M125" s="1243" t="str">
        <f t="shared" si="11"/>
        <v/>
      </c>
      <c r="N125" s="1171" t="str">
        <f>IF(J125="","",IF(L125&lt;0,'I. Stream &amp; Compound Data'!L301,0))</f>
        <v/>
      </c>
      <c r="O125" s="1171" t="str">
        <f t="shared" si="12"/>
        <v/>
      </c>
      <c r="P125" s="1244" t="str">
        <f t="shared" si="13"/>
        <v/>
      </c>
      <c r="Q125" s="1245" t="str">
        <f t="shared" si="14"/>
        <v/>
      </c>
      <c r="R125" s="611"/>
      <c r="S125" s="611"/>
      <c r="T125" s="709"/>
      <c r="U125" s="570"/>
      <c r="V125" s="570"/>
      <c r="W125" s="570"/>
      <c r="X125" s="570"/>
      <c r="Y125" s="570"/>
      <c r="Z125" s="570"/>
      <c r="AA125" s="570"/>
      <c r="AB125" s="570"/>
      <c r="AC125" s="570"/>
      <c r="AD125" s="570"/>
      <c r="AE125" s="570"/>
      <c r="AF125" s="570"/>
      <c r="AG125" s="570"/>
      <c r="AH125" s="570"/>
      <c r="AI125" s="570"/>
      <c r="AJ125" s="570"/>
      <c r="AK125" s="570"/>
      <c r="AL125" s="570"/>
      <c r="AM125" s="570"/>
      <c r="AN125" s="570"/>
      <c r="AO125" s="570"/>
      <c r="AP125" s="570"/>
      <c r="AQ125" s="570"/>
      <c r="AR125" s="570"/>
      <c r="AS125" s="570"/>
      <c r="AT125" s="570"/>
      <c r="AU125" s="570"/>
      <c r="AV125" s="588"/>
    </row>
    <row r="126" x14ac:dyDescent="0.3">
      <c r="A126" s="704"/>
      <c r="B126" s="570"/>
      <c r="C126" s="570"/>
      <c r="D126" s="708"/>
      <c r="E126" s="829"/>
      <c r="F126" s="709"/>
      <c r="G126" s="570"/>
      <c r="H126" s="292"/>
      <c r="I126" s="1241">
        <f t="shared" si="10"/>
        <v>41</v>
      </c>
      <c r="J126" s="186" t="str">
        <f>'I. Stream &amp; Compound Data'!G151</f>
        <v/>
      </c>
      <c r="K126" s="1242" t="str">
        <f>'I. Stream &amp; Compound Data'!J302</f>
        <v/>
      </c>
      <c r="L126" s="186" t="str">
        <f>IF(J126="","",VLOOKUP(I126,'I. Stream &amp; Compound Data'!$F$111:$AA$160,2+'I. Stream &amp; Compound Data'!$G$104,FALSE))</f>
        <v/>
      </c>
      <c r="M126" s="1243" t="str">
        <f t="shared" si="11"/>
        <v/>
      </c>
      <c r="N126" s="1171" t="str">
        <f>IF(J126="","",IF(L126&lt;0,'I. Stream &amp; Compound Data'!L302,0))</f>
        <v/>
      </c>
      <c r="O126" s="1171" t="str">
        <f t="shared" si="12"/>
        <v/>
      </c>
      <c r="P126" s="1244" t="str">
        <f t="shared" si="13"/>
        <v/>
      </c>
      <c r="Q126" s="1245" t="str">
        <f t="shared" si="14"/>
        <v/>
      </c>
      <c r="R126" s="611"/>
      <c r="S126" s="611"/>
      <c r="T126" s="709"/>
      <c r="U126" s="570"/>
      <c r="V126" s="570"/>
      <c r="W126" s="570"/>
      <c r="X126" s="570"/>
      <c r="Y126" s="570"/>
      <c r="Z126" s="570"/>
      <c r="AA126" s="570"/>
      <c r="AB126" s="570"/>
      <c r="AC126" s="570"/>
      <c r="AD126" s="570"/>
      <c r="AE126" s="570"/>
      <c r="AF126" s="570"/>
      <c r="AG126" s="570"/>
      <c r="AH126" s="570"/>
      <c r="AI126" s="570"/>
      <c r="AJ126" s="570"/>
      <c r="AK126" s="570"/>
      <c r="AL126" s="570"/>
      <c r="AM126" s="570"/>
      <c r="AN126" s="570"/>
      <c r="AO126" s="570"/>
      <c r="AP126" s="570"/>
      <c r="AQ126" s="570"/>
      <c r="AR126" s="570"/>
      <c r="AS126" s="570"/>
      <c r="AT126" s="570"/>
      <c r="AU126" s="570"/>
      <c r="AV126" s="588"/>
    </row>
    <row r="127" x14ac:dyDescent="0.3">
      <c r="A127" s="704"/>
      <c r="B127" s="570"/>
      <c r="C127" s="570"/>
      <c r="D127" s="708"/>
      <c r="E127" s="829"/>
      <c r="F127" s="709"/>
      <c r="G127" s="570"/>
      <c r="H127" s="292"/>
      <c r="I127" s="1241">
        <f t="shared" si="10"/>
        <v>42</v>
      </c>
      <c r="J127" s="186" t="str">
        <f>'I. Stream &amp; Compound Data'!G152</f>
        <v/>
      </c>
      <c r="K127" s="1242" t="str">
        <f>'I. Stream &amp; Compound Data'!J303</f>
        <v/>
      </c>
      <c r="L127" s="186" t="str">
        <f>IF(J127="","",VLOOKUP(I127,'I. Stream &amp; Compound Data'!$F$111:$AA$160,2+'I. Stream &amp; Compound Data'!$G$104,FALSE))</f>
        <v/>
      </c>
      <c r="M127" s="1243" t="str">
        <f t="shared" si="11"/>
        <v/>
      </c>
      <c r="N127" s="1171" t="str">
        <f>IF(J127="","",IF(L127&lt;0,'I. Stream &amp; Compound Data'!L303,0))</f>
        <v/>
      </c>
      <c r="O127" s="1171" t="str">
        <f t="shared" si="12"/>
        <v/>
      </c>
      <c r="P127" s="1244" t="str">
        <f t="shared" si="13"/>
        <v/>
      </c>
      <c r="Q127" s="1245" t="str">
        <f t="shared" si="14"/>
        <v/>
      </c>
      <c r="R127" s="611"/>
      <c r="S127" s="611"/>
      <c r="T127" s="709"/>
      <c r="U127" s="570"/>
      <c r="V127" s="570"/>
      <c r="W127" s="570"/>
      <c r="X127" s="570"/>
      <c r="Y127" s="570"/>
      <c r="Z127" s="570"/>
      <c r="AA127" s="570"/>
      <c r="AB127" s="570"/>
      <c r="AC127" s="570"/>
      <c r="AD127" s="570"/>
      <c r="AE127" s="570"/>
      <c r="AF127" s="570"/>
      <c r="AG127" s="570"/>
      <c r="AH127" s="570"/>
      <c r="AI127" s="570"/>
      <c r="AJ127" s="570"/>
      <c r="AK127" s="570"/>
      <c r="AL127" s="570"/>
      <c r="AM127" s="570"/>
      <c r="AN127" s="570"/>
      <c r="AO127" s="570"/>
      <c r="AP127" s="570"/>
      <c r="AQ127" s="570"/>
      <c r="AR127" s="570"/>
      <c r="AS127" s="570"/>
      <c r="AT127" s="570"/>
      <c r="AU127" s="570"/>
      <c r="AV127" s="588"/>
    </row>
    <row r="128" x14ac:dyDescent="0.3">
      <c r="A128" s="704"/>
      <c r="B128" s="570"/>
      <c r="C128" s="570"/>
      <c r="D128" s="708"/>
      <c r="E128" s="829"/>
      <c r="F128" s="709"/>
      <c r="G128" s="570"/>
      <c r="H128" s="292"/>
      <c r="I128" s="1241">
        <f t="shared" si="10"/>
        <v>43</v>
      </c>
      <c r="J128" s="186" t="str">
        <f>'I. Stream &amp; Compound Data'!G153</f>
        <v/>
      </c>
      <c r="K128" s="1242" t="str">
        <f>'I. Stream &amp; Compound Data'!J304</f>
        <v/>
      </c>
      <c r="L128" s="186" t="str">
        <f>IF(J128="","",VLOOKUP(I128,'I. Stream &amp; Compound Data'!$F$111:$AA$160,2+'I. Stream &amp; Compound Data'!$G$104,FALSE))</f>
        <v/>
      </c>
      <c r="M128" s="1243" t="str">
        <f t="shared" si="11"/>
        <v/>
      </c>
      <c r="N128" s="1171" t="str">
        <f>IF(J128="","",IF(L128&lt;0,'I. Stream &amp; Compound Data'!L304,0))</f>
        <v/>
      </c>
      <c r="O128" s="1171" t="str">
        <f t="shared" si="12"/>
        <v/>
      </c>
      <c r="P128" s="1244" t="str">
        <f t="shared" si="13"/>
        <v/>
      </c>
      <c r="Q128" s="1245" t="str">
        <f t="shared" si="14"/>
        <v/>
      </c>
      <c r="R128" s="611"/>
      <c r="S128" s="611"/>
      <c r="T128" s="709"/>
      <c r="U128" s="570"/>
      <c r="V128" s="570"/>
      <c r="W128" s="570"/>
      <c r="X128" s="570"/>
      <c r="Y128" s="570"/>
      <c r="Z128" s="570"/>
      <c r="AA128" s="570"/>
      <c r="AB128" s="570"/>
      <c r="AC128" s="570"/>
      <c r="AD128" s="570"/>
      <c r="AE128" s="570"/>
      <c r="AF128" s="570"/>
      <c r="AG128" s="570"/>
      <c r="AH128" s="570"/>
      <c r="AI128" s="570"/>
      <c r="AJ128" s="570"/>
      <c r="AK128" s="570"/>
      <c r="AL128" s="570"/>
      <c r="AM128" s="570"/>
      <c r="AN128" s="570"/>
      <c r="AO128" s="570"/>
      <c r="AP128" s="570"/>
      <c r="AQ128" s="570"/>
      <c r="AR128" s="570"/>
      <c r="AS128" s="570"/>
      <c r="AT128" s="570"/>
      <c r="AU128" s="570"/>
      <c r="AV128" s="588"/>
    </row>
    <row r="129" x14ac:dyDescent="0.3">
      <c r="A129" s="704"/>
      <c r="B129" s="570"/>
      <c r="C129" s="570"/>
      <c r="D129" s="708"/>
      <c r="E129" s="829"/>
      <c r="F129" s="709"/>
      <c r="G129" s="570"/>
      <c r="H129" s="292"/>
      <c r="I129" s="1241">
        <f t="shared" si="10"/>
        <v>44</v>
      </c>
      <c r="J129" s="186" t="str">
        <f>'I. Stream &amp; Compound Data'!G154</f>
        <v/>
      </c>
      <c r="K129" s="1242" t="str">
        <f>'I. Stream &amp; Compound Data'!J305</f>
        <v/>
      </c>
      <c r="L129" s="186" t="str">
        <f>IF(J129="","",VLOOKUP(I129,'I. Stream &amp; Compound Data'!$F$111:$AA$160,2+'I. Stream &amp; Compound Data'!$G$104,FALSE))</f>
        <v/>
      </c>
      <c r="M129" s="1243" t="str">
        <f t="shared" si="11"/>
        <v/>
      </c>
      <c r="N129" s="1171" t="str">
        <f>IF(J129="","",IF(L129&lt;0,'I. Stream &amp; Compound Data'!L305,0))</f>
        <v/>
      </c>
      <c r="O129" s="1171" t="str">
        <f t="shared" si="12"/>
        <v/>
      </c>
      <c r="P129" s="1244" t="str">
        <f t="shared" si="13"/>
        <v/>
      </c>
      <c r="Q129" s="1245" t="str">
        <f t="shared" si="14"/>
        <v/>
      </c>
      <c r="R129" s="611"/>
      <c r="S129" s="611"/>
      <c r="T129" s="709"/>
      <c r="U129" s="570"/>
      <c r="V129" s="570"/>
      <c r="W129" s="570"/>
      <c r="X129" s="570"/>
      <c r="Y129" s="570"/>
      <c r="Z129" s="570"/>
      <c r="AA129" s="570"/>
      <c r="AB129" s="570"/>
      <c r="AC129" s="570"/>
      <c r="AD129" s="570"/>
      <c r="AE129" s="570"/>
      <c r="AF129" s="570"/>
      <c r="AG129" s="570"/>
      <c r="AH129" s="570"/>
      <c r="AI129" s="570"/>
      <c r="AJ129" s="570"/>
      <c r="AK129" s="570"/>
      <c r="AL129" s="570"/>
      <c r="AM129" s="570"/>
      <c r="AN129" s="570"/>
      <c r="AO129" s="570"/>
      <c r="AP129" s="570"/>
      <c r="AQ129" s="570"/>
      <c r="AR129" s="570"/>
      <c r="AS129" s="570"/>
      <c r="AT129" s="570"/>
      <c r="AU129" s="570"/>
      <c r="AV129" s="588"/>
    </row>
    <row r="130" x14ac:dyDescent="0.3">
      <c r="A130" s="704"/>
      <c r="B130" s="570"/>
      <c r="C130" s="570"/>
      <c r="D130" s="708"/>
      <c r="E130" s="829"/>
      <c r="F130" s="709"/>
      <c r="G130" s="570"/>
      <c r="H130" s="292"/>
      <c r="I130" s="1241">
        <f t="shared" si="10"/>
        <v>45</v>
      </c>
      <c r="J130" s="186" t="str">
        <f>'I. Stream &amp; Compound Data'!G155</f>
        <v/>
      </c>
      <c r="K130" s="1242" t="str">
        <f>'I. Stream &amp; Compound Data'!J306</f>
        <v/>
      </c>
      <c r="L130" s="186" t="str">
        <f>IF(J130="","",VLOOKUP(I130,'I. Stream &amp; Compound Data'!$F$111:$AA$160,2+'I. Stream &amp; Compound Data'!$G$104,FALSE))</f>
        <v/>
      </c>
      <c r="M130" s="1243" t="str">
        <f t="shared" si="11"/>
        <v/>
      </c>
      <c r="N130" s="1171" t="str">
        <f>IF(J130="","",IF(L130&lt;0,'I. Stream &amp; Compound Data'!L306,0))</f>
        <v/>
      </c>
      <c r="O130" s="1171" t="str">
        <f t="shared" si="12"/>
        <v/>
      </c>
      <c r="P130" s="1244" t="str">
        <f t="shared" si="13"/>
        <v/>
      </c>
      <c r="Q130" s="1245" t="str">
        <f t="shared" si="14"/>
        <v/>
      </c>
      <c r="R130" s="611"/>
      <c r="S130" s="611"/>
      <c r="T130" s="709"/>
      <c r="U130" s="570"/>
      <c r="V130" s="570"/>
      <c r="W130" s="570"/>
      <c r="X130" s="570"/>
      <c r="Y130" s="570"/>
      <c r="Z130" s="570"/>
      <c r="AA130" s="570"/>
      <c r="AB130" s="570"/>
      <c r="AC130" s="570"/>
      <c r="AD130" s="570"/>
      <c r="AE130" s="570"/>
      <c r="AF130" s="570"/>
      <c r="AG130" s="570"/>
      <c r="AH130" s="570"/>
      <c r="AI130" s="570"/>
      <c r="AJ130" s="570"/>
      <c r="AK130" s="570"/>
      <c r="AL130" s="570"/>
      <c r="AM130" s="570"/>
      <c r="AN130" s="570"/>
      <c r="AO130" s="570"/>
      <c r="AP130" s="570"/>
      <c r="AQ130" s="570"/>
      <c r="AR130" s="570"/>
      <c r="AS130" s="570"/>
      <c r="AT130" s="570"/>
      <c r="AU130" s="570"/>
      <c r="AV130" s="588"/>
    </row>
    <row r="131" x14ac:dyDescent="0.3">
      <c r="A131" s="704"/>
      <c r="B131" s="570"/>
      <c r="C131" s="570"/>
      <c r="D131" s="708"/>
      <c r="E131" s="829"/>
      <c r="F131" s="709"/>
      <c r="G131" s="570"/>
      <c r="H131" s="292"/>
      <c r="I131" s="1241">
        <f t="shared" si="10"/>
        <v>46</v>
      </c>
      <c r="J131" s="186" t="str">
        <f>'I. Stream &amp; Compound Data'!G156</f>
        <v/>
      </c>
      <c r="K131" s="1242" t="str">
        <f>'I. Stream &amp; Compound Data'!J307</f>
        <v/>
      </c>
      <c r="L131" s="186" t="str">
        <f>IF(J131="","",VLOOKUP(I131,'I. Stream &amp; Compound Data'!$F$111:$AA$160,2+'I. Stream &amp; Compound Data'!$G$104,FALSE))</f>
        <v/>
      </c>
      <c r="M131" s="1243" t="str">
        <f t="shared" si="11"/>
        <v/>
      </c>
      <c r="N131" s="1171" t="str">
        <f>IF(J131="","",IF(L131&lt;0,'I. Stream &amp; Compound Data'!L307,0))</f>
        <v/>
      </c>
      <c r="O131" s="1171" t="str">
        <f t="shared" si="12"/>
        <v/>
      </c>
      <c r="P131" s="1244" t="str">
        <f t="shared" si="13"/>
        <v/>
      </c>
      <c r="Q131" s="1245" t="str">
        <f t="shared" si="14"/>
        <v/>
      </c>
      <c r="R131" s="611"/>
      <c r="S131" s="611"/>
      <c r="T131" s="709"/>
      <c r="U131" s="570"/>
      <c r="V131" s="570"/>
      <c r="W131" s="570"/>
      <c r="X131" s="570"/>
      <c r="Y131" s="570"/>
      <c r="Z131" s="570"/>
      <c r="AA131" s="570"/>
      <c r="AB131" s="570"/>
      <c r="AC131" s="570"/>
      <c r="AD131" s="570"/>
      <c r="AE131" s="570"/>
      <c r="AF131" s="570"/>
      <c r="AG131" s="570"/>
      <c r="AH131" s="570"/>
      <c r="AI131" s="570"/>
      <c r="AJ131" s="570"/>
      <c r="AK131" s="570"/>
      <c r="AL131" s="570"/>
      <c r="AM131" s="570"/>
      <c r="AN131" s="570"/>
      <c r="AO131" s="570"/>
      <c r="AP131" s="570"/>
      <c r="AQ131" s="570"/>
      <c r="AR131" s="570"/>
      <c r="AS131" s="570"/>
      <c r="AT131" s="570"/>
      <c r="AU131" s="570"/>
      <c r="AV131" s="588"/>
    </row>
    <row r="132" x14ac:dyDescent="0.3">
      <c r="A132" s="704"/>
      <c r="B132" s="570"/>
      <c r="C132" s="570"/>
      <c r="D132" s="708"/>
      <c r="E132" s="829"/>
      <c r="F132" s="709"/>
      <c r="G132" s="570"/>
      <c r="H132" s="292"/>
      <c r="I132" s="1241">
        <f t="shared" si="10"/>
        <v>47</v>
      </c>
      <c r="J132" s="186" t="str">
        <f>'I. Stream &amp; Compound Data'!G157</f>
        <v/>
      </c>
      <c r="K132" s="1242" t="str">
        <f>'I. Stream &amp; Compound Data'!J308</f>
        <v/>
      </c>
      <c r="L132" s="186" t="str">
        <f>IF(J132="","",VLOOKUP(I132,'I. Stream &amp; Compound Data'!$F$111:$AA$160,2+'I. Stream &amp; Compound Data'!$G$104,FALSE))</f>
        <v/>
      </c>
      <c r="M132" s="1243" t="str">
        <f t="shared" si="11"/>
        <v/>
      </c>
      <c r="N132" s="1171" t="str">
        <f>IF(J132="","",IF(L132&lt;0,'I. Stream &amp; Compound Data'!L308,0))</f>
        <v/>
      </c>
      <c r="O132" s="1171" t="str">
        <f t="shared" si="12"/>
        <v/>
      </c>
      <c r="P132" s="1244" t="str">
        <f t="shared" si="13"/>
        <v/>
      </c>
      <c r="Q132" s="1245" t="str">
        <f t="shared" si="14"/>
        <v/>
      </c>
      <c r="R132" s="611"/>
      <c r="S132" s="611"/>
      <c r="T132" s="709"/>
      <c r="U132" s="570"/>
      <c r="V132" s="570"/>
      <c r="W132" s="570"/>
      <c r="X132" s="570"/>
      <c r="Y132" s="570"/>
      <c r="Z132" s="570"/>
      <c r="AA132" s="570"/>
      <c r="AB132" s="570"/>
      <c r="AC132" s="570"/>
      <c r="AD132" s="570"/>
      <c r="AE132" s="570"/>
      <c r="AF132" s="570"/>
      <c r="AG132" s="570"/>
      <c r="AH132" s="570"/>
      <c r="AI132" s="570"/>
      <c r="AJ132" s="570"/>
      <c r="AK132" s="570"/>
      <c r="AL132" s="570"/>
      <c r="AM132" s="570"/>
      <c r="AN132" s="570"/>
      <c r="AO132" s="570"/>
      <c r="AP132" s="570"/>
      <c r="AQ132" s="570"/>
      <c r="AR132" s="570"/>
      <c r="AS132" s="570"/>
      <c r="AT132" s="570"/>
      <c r="AU132" s="570"/>
      <c r="AV132" s="588"/>
    </row>
    <row r="133" x14ac:dyDescent="0.3">
      <c r="A133" s="704"/>
      <c r="B133" s="570"/>
      <c r="C133" s="570"/>
      <c r="D133" s="708"/>
      <c r="E133" s="829"/>
      <c r="F133" s="709"/>
      <c r="G133" s="570"/>
      <c r="H133" s="292"/>
      <c r="I133" s="1241">
        <f t="shared" si="10"/>
        <v>48</v>
      </c>
      <c r="J133" s="186" t="str">
        <f>'I. Stream &amp; Compound Data'!G158</f>
        <v/>
      </c>
      <c r="K133" s="1242" t="str">
        <f>'I. Stream &amp; Compound Data'!J309</f>
        <v/>
      </c>
      <c r="L133" s="186" t="str">
        <f>IF(J133="","",VLOOKUP(I133,'I. Stream &amp; Compound Data'!$F$111:$AA$160,2+'I. Stream &amp; Compound Data'!$G$104,FALSE))</f>
        <v/>
      </c>
      <c r="M133" s="1243" t="str">
        <f t="shared" si="11"/>
        <v/>
      </c>
      <c r="N133" s="1171" t="str">
        <f>IF(J133="","",IF(L133&lt;0,'I. Stream &amp; Compound Data'!L309,0))</f>
        <v/>
      </c>
      <c r="O133" s="1171" t="str">
        <f t="shared" si="12"/>
        <v/>
      </c>
      <c r="P133" s="1244" t="str">
        <f t="shared" si="13"/>
        <v/>
      </c>
      <c r="Q133" s="1245" t="str">
        <f t="shared" si="14"/>
        <v/>
      </c>
      <c r="R133" s="611"/>
      <c r="S133" s="611"/>
      <c r="T133" s="709"/>
      <c r="U133" s="570"/>
      <c r="V133" s="570"/>
      <c r="W133" s="570"/>
      <c r="X133" s="570"/>
      <c r="Y133" s="570"/>
      <c r="Z133" s="570"/>
      <c r="AA133" s="570"/>
      <c r="AB133" s="570"/>
      <c r="AC133" s="570"/>
      <c r="AD133" s="570"/>
      <c r="AE133" s="570"/>
      <c r="AF133" s="570"/>
      <c r="AG133" s="570"/>
      <c r="AH133" s="570"/>
      <c r="AI133" s="570"/>
      <c r="AJ133" s="570"/>
      <c r="AK133" s="570"/>
      <c r="AL133" s="570"/>
      <c r="AM133" s="570"/>
      <c r="AN133" s="570"/>
      <c r="AO133" s="570"/>
      <c r="AP133" s="570"/>
      <c r="AQ133" s="570"/>
      <c r="AR133" s="570"/>
      <c r="AS133" s="570"/>
      <c r="AT133" s="570"/>
      <c r="AU133" s="570"/>
      <c r="AV133" s="588"/>
    </row>
    <row r="134" x14ac:dyDescent="0.3">
      <c r="A134" s="704"/>
      <c r="B134" s="570"/>
      <c r="C134" s="570"/>
      <c r="D134" s="708"/>
      <c r="E134" s="829"/>
      <c r="F134" s="709"/>
      <c r="G134" s="570"/>
      <c r="H134" s="292"/>
      <c r="I134" s="1241">
        <f t="shared" si="10"/>
        <v>49</v>
      </c>
      <c r="J134" s="186" t="str">
        <f>'I. Stream &amp; Compound Data'!G159</f>
        <v/>
      </c>
      <c r="K134" s="1242" t="str">
        <f>'I. Stream &amp; Compound Data'!J310</f>
        <v/>
      </c>
      <c r="L134" s="186" t="str">
        <f>IF(J134="","",VLOOKUP(I134,'I. Stream &amp; Compound Data'!$F$111:$AA$160,2+'I. Stream &amp; Compound Data'!$G$104,FALSE))</f>
        <v/>
      </c>
      <c r="M134" s="1243" t="str">
        <f t="shared" si="11"/>
        <v/>
      </c>
      <c r="N134" s="1171" t="str">
        <f>IF(J134="","",IF(L134&lt;0,'I. Stream &amp; Compound Data'!L310,0))</f>
        <v/>
      </c>
      <c r="O134" s="1171" t="str">
        <f t="shared" si="12"/>
        <v/>
      </c>
      <c r="P134" s="1244" t="str">
        <f t="shared" si="13"/>
        <v/>
      </c>
      <c r="Q134" s="1245" t="str">
        <f t="shared" si="14"/>
        <v/>
      </c>
      <c r="R134" s="611"/>
      <c r="S134" s="611"/>
      <c r="T134" s="709"/>
      <c r="U134" s="570"/>
      <c r="V134" s="570"/>
      <c r="W134" s="570"/>
      <c r="X134" s="570"/>
      <c r="Y134" s="570"/>
      <c r="Z134" s="570"/>
      <c r="AA134" s="570"/>
      <c r="AB134" s="570"/>
      <c r="AC134" s="570"/>
      <c r="AD134" s="570"/>
      <c r="AE134" s="570"/>
      <c r="AF134" s="570"/>
      <c r="AG134" s="570"/>
      <c r="AH134" s="570"/>
      <c r="AI134" s="570"/>
      <c r="AJ134" s="570"/>
      <c r="AK134" s="570"/>
      <c r="AL134" s="570"/>
      <c r="AM134" s="570"/>
      <c r="AN134" s="570"/>
      <c r="AO134" s="570"/>
      <c r="AP134" s="570"/>
      <c r="AQ134" s="570"/>
      <c r="AR134" s="570"/>
      <c r="AS134" s="570"/>
      <c r="AT134" s="570"/>
      <c r="AU134" s="570"/>
      <c r="AV134" s="588"/>
    </row>
    <row r="135" ht="16.2" thickBot="true" x14ac:dyDescent="0.35">
      <c r="A135" s="704"/>
      <c r="B135" s="570"/>
      <c r="C135" s="570"/>
      <c r="D135" s="708"/>
      <c r="E135" s="829"/>
      <c r="F135" s="709"/>
      <c r="G135" s="570"/>
      <c r="H135" s="292"/>
      <c r="I135" s="1246">
        <f t="shared" si="10"/>
        <v>50</v>
      </c>
      <c r="J135" s="1247" t="str">
        <f>'I. Stream &amp; Compound Data'!G160</f>
        <v/>
      </c>
      <c r="K135" s="1210" t="str">
        <f>'I. Stream &amp; Compound Data'!J311</f>
        <v/>
      </c>
      <c r="L135" s="1247" t="str">
        <f>IF(J135="","",VLOOKUP(I135,'I. Stream &amp; Compound Data'!$F$111:$AA$160,2+'I. Stream &amp; Compound Data'!$G$104,FALSE))</f>
        <v/>
      </c>
      <c r="M135" s="1248" t="str">
        <f t="shared" si="11"/>
        <v/>
      </c>
      <c r="N135" s="1249" t="str">
        <f>IF(J135="","",IF(L135&lt;0,'I. Stream &amp; Compound Data'!L311,0))</f>
        <v/>
      </c>
      <c r="O135" s="1249" t="str">
        <f t="shared" si="12"/>
        <v/>
      </c>
      <c r="P135" s="1250" t="str">
        <f t="shared" si="13"/>
        <v/>
      </c>
      <c r="Q135" s="1251" t="str">
        <f t="shared" si="14"/>
        <v/>
      </c>
      <c r="R135" s="611"/>
      <c r="S135" s="611"/>
      <c r="T135" s="709"/>
      <c r="U135" s="570"/>
      <c r="V135" s="570"/>
      <c r="W135" s="570"/>
      <c r="X135" s="570"/>
      <c r="Y135" s="570"/>
      <c r="Z135" s="570"/>
      <c r="AA135" s="570"/>
      <c r="AB135" s="570"/>
      <c r="AC135" s="570"/>
      <c r="AD135" s="570"/>
      <c r="AE135" s="570"/>
      <c r="AF135" s="570"/>
      <c r="AG135" s="570"/>
      <c r="AH135" s="570"/>
      <c r="AI135" s="570"/>
      <c r="AJ135" s="570"/>
      <c r="AK135" s="570"/>
      <c r="AL135" s="570"/>
      <c r="AM135" s="570"/>
      <c r="AN135" s="570"/>
      <c r="AO135" s="570"/>
      <c r="AP135" s="570"/>
      <c r="AQ135" s="570"/>
      <c r="AR135" s="570"/>
      <c r="AS135" s="570"/>
      <c r="AT135" s="570"/>
      <c r="AU135" s="570"/>
      <c r="AV135" s="588"/>
    </row>
    <row r="136" ht="16.2" thickBot="true" x14ac:dyDescent="0.35">
      <c r="A136" s="704"/>
      <c r="B136" s="570"/>
      <c r="C136" s="570"/>
      <c r="D136" s="708"/>
      <c r="E136" s="829"/>
      <c r="F136" s="709"/>
      <c r="G136" s="570"/>
      <c r="H136" s="292"/>
      <c r="I136" s="626"/>
      <c r="J136" s="570"/>
      <c r="K136" s="292"/>
      <c r="L136" s="1150" t="s">
        <v>1213</v>
      </c>
      <c r="M136" s="1252">
        <f>SUM(M86:M135)</f>
        <v>6778.7792000553327</v>
      </c>
      <c r="N136" s="1252">
        <f>SUM(N86:N135)</f>
        <v>6778.7792000553327</v>
      </c>
      <c r="O136" s="1252">
        <f>SUM(O86:O135)</f>
        <v>-100.087</v>
      </c>
      <c r="P136" s="1252">
        <f>SUM(P86:P135)</f>
        <v>0</v>
      </c>
      <c r="Q136" s="1253">
        <f>SUM(Q86:Q135)</f>
        <v>44.009500000000003</v>
      </c>
      <c r="R136" s="611"/>
      <c r="S136" s="611"/>
      <c r="T136" s="709"/>
      <c r="U136" s="570"/>
      <c r="V136" s="570"/>
      <c r="W136" s="570"/>
      <c r="X136" s="570"/>
      <c r="Y136" s="570"/>
      <c r="Z136" s="570"/>
      <c r="AA136" s="570"/>
      <c r="AB136" s="570"/>
      <c r="AC136" s="570"/>
      <c r="AD136" s="570"/>
      <c r="AE136" s="570"/>
      <c r="AF136" s="570"/>
      <c r="AG136" s="570"/>
      <c r="AH136" s="570"/>
      <c r="AI136" s="570"/>
      <c r="AJ136" s="570"/>
      <c r="AK136" s="570"/>
      <c r="AL136" s="570"/>
      <c r="AM136" s="570"/>
      <c r="AN136" s="570"/>
      <c r="AO136" s="570"/>
      <c r="AP136" s="570"/>
      <c r="AQ136" s="570"/>
      <c r="AR136" s="570"/>
      <c r="AS136" s="570"/>
      <c r="AT136" s="570"/>
      <c r="AU136" s="570"/>
      <c r="AV136" s="588"/>
    </row>
    <row r="137" x14ac:dyDescent="0.3">
      <c r="A137" s="704"/>
      <c r="B137" s="570"/>
      <c r="C137" s="570"/>
      <c r="D137" s="708"/>
      <c r="E137" s="829"/>
      <c r="F137" s="709"/>
      <c r="G137" s="570"/>
      <c r="H137" s="292"/>
      <c r="I137" s="626"/>
      <c r="J137" s="570"/>
      <c r="K137" s="292"/>
      <c r="L137" s="362"/>
      <c r="M137" s="335"/>
      <c r="N137" s="570"/>
      <c r="O137" s="570"/>
      <c r="P137" s="298"/>
      <c r="Q137" s="297"/>
      <c r="R137" s="611"/>
      <c r="S137" s="611"/>
      <c r="T137" s="709"/>
      <c r="U137" s="570"/>
      <c r="V137" s="570"/>
      <c r="W137" s="570"/>
      <c r="X137" s="570"/>
      <c r="Y137" s="570"/>
      <c r="Z137" s="570"/>
      <c r="AA137" s="570"/>
      <c r="AB137" s="570"/>
      <c r="AC137" s="570"/>
      <c r="AD137" s="570"/>
      <c r="AE137" s="570"/>
      <c r="AF137" s="570"/>
      <c r="AG137" s="570"/>
      <c r="AH137" s="570"/>
      <c r="AI137" s="570"/>
      <c r="AJ137" s="570"/>
      <c r="AK137" s="570"/>
      <c r="AL137" s="570"/>
      <c r="AM137" s="570"/>
      <c r="AN137" s="570"/>
      <c r="AO137" s="570"/>
      <c r="AP137" s="570"/>
      <c r="AQ137" s="570"/>
      <c r="AR137" s="570"/>
      <c r="AS137" s="570"/>
      <c r="AT137" s="570"/>
      <c r="AU137" s="570"/>
      <c r="AV137" s="588"/>
    </row>
    <row r="138" x14ac:dyDescent="0.3">
      <c r="A138" s="704"/>
      <c r="B138" s="570"/>
      <c r="C138" s="570"/>
      <c r="D138" s="708"/>
      <c r="E138" s="829"/>
      <c r="F138" s="709"/>
      <c r="G138" s="570"/>
      <c r="H138" s="292"/>
      <c r="I138" s="626"/>
      <c r="J138" s="570"/>
      <c r="K138" s="292"/>
      <c r="L138" s="362"/>
      <c r="M138" s="335"/>
      <c r="N138" s="570"/>
      <c r="O138" s="570"/>
      <c r="P138" s="298"/>
      <c r="Q138" s="297"/>
      <c r="R138" s="611"/>
      <c r="S138" s="611"/>
      <c r="T138" s="709"/>
      <c r="U138" s="570"/>
      <c r="V138" s="570"/>
      <c r="W138" s="570"/>
      <c r="X138" s="570"/>
      <c r="Y138" s="570"/>
      <c r="Z138" s="570"/>
      <c r="AA138" s="570"/>
      <c r="AB138" s="570"/>
      <c r="AC138" s="570"/>
      <c r="AD138" s="570"/>
      <c r="AE138" s="570"/>
      <c r="AF138" s="570"/>
      <c r="AG138" s="570"/>
      <c r="AH138" s="570"/>
      <c r="AI138" s="570"/>
      <c r="AJ138" s="570"/>
      <c r="AK138" s="570"/>
      <c r="AL138" s="570"/>
      <c r="AM138" s="570"/>
      <c r="AN138" s="570"/>
      <c r="AO138" s="570"/>
      <c r="AP138" s="570"/>
      <c r="AQ138" s="570"/>
      <c r="AR138" s="570"/>
      <c r="AS138" s="570"/>
      <c r="AT138" s="570"/>
      <c r="AU138" s="570"/>
      <c r="AV138" s="588"/>
    </row>
    <row r="139" x14ac:dyDescent="0.3">
      <c r="A139" s="704"/>
      <c r="B139" s="570"/>
      <c r="C139" s="570"/>
      <c r="D139" s="708"/>
      <c r="E139" s="829"/>
      <c r="F139" s="709"/>
      <c r="G139" s="570"/>
      <c r="H139" s="292"/>
      <c r="I139" s="626"/>
      <c r="J139" s="570"/>
      <c r="K139" s="292"/>
      <c r="L139" s="362"/>
      <c r="M139" s="335"/>
      <c r="N139" s="570"/>
      <c r="O139" s="570"/>
      <c r="P139" s="298"/>
      <c r="Q139" s="297"/>
      <c r="R139" s="611"/>
      <c r="S139" s="611"/>
      <c r="T139" s="709"/>
      <c r="U139" s="570"/>
      <c r="V139" s="570"/>
      <c r="W139" s="570"/>
      <c r="X139" s="570"/>
      <c r="Y139" s="570"/>
      <c r="Z139" s="570"/>
      <c r="AA139" s="570"/>
      <c r="AB139" s="570"/>
      <c r="AC139" s="570"/>
      <c r="AD139" s="570"/>
      <c r="AE139" s="570"/>
      <c r="AF139" s="570"/>
      <c r="AG139" s="570"/>
      <c r="AH139" s="570"/>
      <c r="AI139" s="570"/>
      <c r="AJ139" s="570"/>
      <c r="AK139" s="570"/>
      <c r="AL139" s="570"/>
      <c r="AM139" s="570"/>
      <c r="AN139" s="570"/>
      <c r="AO139" s="570"/>
      <c r="AP139" s="570"/>
      <c r="AQ139" s="570"/>
      <c r="AR139" s="570"/>
      <c r="AS139" s="570"/>
      <c r="AT139" s="570"/>
      <c r="AU139" s="570"/>
      <c r="AV139" s="588"/>
    </row>
    <row r="140" x14ac:dyDescent="0.3">
      <c r="A140" s="704"/>
      <c r="B140" s="570"/>
      <c r="C140" s="570"/>
      <c r="D140" s="708"/>
      <c r="E140" s="829"/>
      <c r="F140" s="709"/>
      <c r="G140" s="570"/>
      <c r="H140" s="292"/>
      <c r="I140" s="626"/>
      <c r="J140" s="570"/>
      <c r="K140" s="292"/>
      <c r="L140" s="362"/>
      <c r="M140" s="335"/>
      <c r="N140" s="570"/>
      <c r="O140" s="570"/>
      <c r="P140" s="298"/>
      <c r="Q140" s="297"/>
      <c r="R140" s="611"/>
      <c r="S140" s="611"/>
      <c r="T140" s="709"/>
      <c r="U140" s="570"/>
      <c r="V140" s="570"/>
      <c r="W140" s="570"/>
      <c r="X140" s="570"/>
      <c r="Y140" s="570"/>
      <c r="Z140" s="570"/>
      <c r="AA140" s="570"/>
      <c r="AB140" s="570"/>
      <c r="AC140" s="570"/>
      <c r="AD140" s="570"/>
      <c r="AE140" s="570"/>
      <c r="AF140" s="570"/>
      <c r="AG140" s="570"/>
      <c r="AH140" s="570"/>
      <c r="AI140" s="570"/>
      <c r="AJ140" s="570"/>
      <c r="AK140" s="570"/>
      <c r="AL140" s="570"/>
      <c r="AM140" s="570"/>
      <c r="AN140" s="570"/>
      <c r="AO140" s="570"/>
      <c r="AP140" s="570"/>
      <c r="AQ140" s="570"/>
      <c r="AR140" s="570"/>
      <c r="AS140" s="570"/>
      <c r="AT140" s="570"/>
      <c r="AU140" s="570"/>
      <c r="AV140" s="588"/>
    </row>
    <row r="141" x14ac:dyDescent="0.3">
      <c r="A141" s="704"/>
      <c r="B141" s="570"/>
      <c r="C141" s="570"/>
      <c r="D141" s="708"/>
      <c r="E141" s="829"/>
      <c r="F141" s="709"/>
      <c r="G141" s="570"/>
      <c r="H141" s="292"/>
      <c r="I141" s="626"/>
      <c r="J141" s="570"/>
      <c r="K141" s="292"/>
      <c r="L141" s="362"/>
      <c r="M141" s="335"/>
      <c r="N141" s="570"/>
      <c r="O141" s="570"/>
      <c r="P141" s="298"/>
      <c r="Q141" s="297"/>
      <c r="R141" s="611"/>
      <c r="S141" s="611"/>
      <c r="T141" s="709"/>
      <c r="U141" s="570"/>
      <c r="V141" s="570"/>
      <c r="W141" s="570"/>
      <c r="X141" s="570"/>
      <c r="Y141" s="570"/>
      <c r="Z141" s="570"/>
      <c r="AA141" s="570"/>
      <c r="AB141" s="570"/>
      <c r="AC141" s="570"/>
      <c r="AD141" s="570"/>
      <c r="AE141" s="570"/>
      <c r="AF141" s="570"/>
      <c r="AG141" s="570"/>
      <c r="AH141" s="570"/>
      <c r="AI141" s="570"/>
      <c r="AJ141" s="570"/>
      <c r="AK141" s="570"/>
      <c r="AL141" s="570"/>
      <c r="AM141" s="570"/>
      <c r="AN141" s="570"/>
      <c r="AO141" s="570"/>
      <c r="AP141" s="570"/>
      <c r="AQ141" s="570"/>
      <c r="AR141" s="570"/>
      <c r="AS141" s="570"/>
      <c r="AT141" s="570"/>
      <c r="AU141" s="570"/>
      <c r="AV141" s="588"/>
    </row>
    <row r="142" x14ac:dyDescent="0.3">
      <c r="A142" s="704"/>
      <c r="B142" s="570"/>
      <c r="C142" s="570"/>
      <c r="D142" s="708"/>
      <c r="E142" s="829"/>
      <c r="F142" s="709"/>
      <c r="G142" s="570"/>
      <c r="H142" s="292"/>
      <c r="I142" s="626"/>
      <c r="J142" s="570"/>
      <c r="K142" s="292"/>
      <c r="L142" s="362"/>
      <c r="M142" s="335"/>
      <c r="N142" s="570"/>
      <c r="O142" s="570"/>
      <c r="P142" s="298"/>
      <c r="Q142" s="297"/>
      <c r="R142" s="611"/>
      <c r="S142" s="611"/>
      <c r="T142" s="709"/>
      <c r="U142" s="570"/>
      <c r="V142" s="570"/>
      <c r="W142" s="570"/>
      <c r="X142" s="570"/>
      <c r="Y142" s="570"/>
      <c r="Z142" s="570"/>
      <c r="AA142" s="570"/>
      <c r="AB142" s="570"/>
      <c r="AC142" s="570"/>
      <c r="AD142" s="570"/>
      <c r="AE142" s="570"/>
      <c r="AF142" s="570"/>
      <c r="AG142" s="570"/>
      <c r="AH142" s="570"/>
      <c r="AI142" s="570"/>
      <c r="AJ142" s="570"/>
      <c r="AK142" s="570"/>
      <c r="AL142" s="570"/>
      <c r="AM142" s="570"/>
      <c r="AN142" s="570"/>
      <c r="AO142" s="570"/>
      <c r="AP142" s="570"/>
      <c r="AQ142" s="570"/>
      <c r="AR142" s="570"/>
      <c r="AS142" s="570"/>
      <c r="AT142" s="570"/>
      <c r="AU142" s="570"/>
      <c r="AV142" s="588"/>
    </row>
    <row r="143" x14ac:dyDescent="0.3">
      <c r="A143" s="704"/>
      <c r="B143" s="570"/>
      <c r="C143" s="570"/>
      <c r="D143" s="708"/>
      <c r="E143" s="829"/>
      <c r="F143" s="709"/>
      <c r="G143" s="570"/>
      <c r="H143" s="292"/>
      <c r="I143" s="626"/>
      <c r="J143" s="570"/>
      <c r="K143" s="292"/>
      <c r="L143" s="362"/>
      <c r="M143" s="335"/>
      <c r="N143" s="570"/>
      <c r="O143" s="570"/>
      <c r="P143" s="298"/>
      <c r="Q143" s="297"/>
      <c r="R143" s="611"/>
      <c r="S143" s="611"/>
      <c r="T143" s="709"/>
      <c r="U143" s="570"/>
      <c r="V143" s="570"/>
      <c r="W143" s="570"/>
      <c r="X143" s="570"/>
      <c r="Y143" s="570"/>
      <c r="Z143" s="570"/>
      <c r="AA143" s="570"/>
      <c r="AB143" s="570"/>
      <c r="AC143" s="570"/>
      <c r="AD143" s="570"/>
      <c r="AE143" s="570"/>
      <c r="AF143" s="570"/>
      <c r="AG143" s="570"/>
      <c r="AH143" s="570"/>
      <c r="AI143" s="570"/>
      <c r="AJ143" s="570"/>
      <c r="AK143" s="570"/>
      <c r="AL143" s="570"/>
      <c r="AM143" s="570"/>
      <c r="AN143" s="570"/>
      <c r="AO143" s="570"/>
      <c r="AP143" s="570"/>
      <c r="AQ143" s="570"/>
      <c r="AR143" s="570"/>
      <c r="AS143" s="570"/>
      <c r="AT143" s="570"/>
      <c r="AU143" s="570"/>
      <c r="AV143" s="588"/>
    </row>
    <row r="144" hidden="true" x14ac:dyDescent="0.3">
      <c r="A144" s="704"/>
      <c r="B144" s="570"/>
      <c r="C144" s="570"/>
      <c r="D144" s="708"/>
      <c r="E144" s="829"/>
      <c r="F144" s="709"/>
      <c r="G144" s="570"/>
      <c r="H144" s="292"/>
      <c r="I144" s="626"/>
      <c r="J144" s="570"/>
      <c r="K144" s="292"/>
      <c r="L144" s="362"/>
      <c r="M144" s="335"/>
      <c r="N144" s="570"/>
      <c r="O144" s="570"/>
      <c r="P144" s="298"/>
      <c r="Q144" s="297"/>
      <c r="R144" s="611"/>
      <c r="S144" s="611"/>
      <c r="T144" s="709"/>
      <c r="U144" s="570"/>
      <c r="V144" s="570"/>
      <c r="W144" s="570"/>
      <c r="X144" s="570"/>
      <c r="Y144" s="570"/>
      <c r="Z144" s="570"/>
      <c r="AA144" s="570"/>
      <c r="AB144" s="570"/>
      <c r="AC144" s="570"/>
      <c r="AD144" s="570"/>
      <c r="AE144" s="570"/>
      <c r="AF144" s="570"/>
      <c r="AG144" s="570"/>
      <c r="AH144" s="570"/>
      <c r="AI144" s="570"/>
      <c r="AJ144" s="570"/>
      <c r="AK144" s="570"/>
      <c r="AL144" s="570"/>
      <c r="AM144" s="570"/>
      <c r="AN144" s="570"/>
      <c r="AO144" s="570"/>
      <c r="AP144" s="570"/>
      <c r="AQ144" s="570"/>
      <c r="AR144" s="570"/>
      <c r="AS144" s="570"/>
      <c r="AT144" s="570"/>
      <c r="AU144" s="570"/>
      <c r="AV144" s="588"/>
    </row>
    <row r="145" hidden="true" x14ac:dyDescent="0.3">
      <c r="A145" s="704"/>
      <c r="B145" s="570"/>
      <c r="C145" s="570"/>
      <c r="D145" s="708"/>
      <c r="E145" s="829"/>
      <c r="F145" s="709"/>
      <c r="G145" s="570"/>
      <c r="H145" s="292"/>
      <c r="I145" s="626"/>
      <c r="J145" s="570"/>
      <c r="K145" s="292"/>
      <c r="L145" s="362"/>
      <c r="M145" s="335"/>
      <c r="N145" s="570"/>
      <c r="O145" s="570"/>
      <c r="P145" s="298"/>
      <c r="Q145" s="297"/>
      <c r="R145" s="611"/>
      <c r="S145" s="611"/>
      <c r="T145" s="709"/>
      <c r="U145" s="570"/>
      <c r="V145" s="570"/>
      <c r="W145" s="570"/>
      <c r="X145" s="570"/>
      <c r="Y145" s="570"/>
      <c r="Z145" s="570"/>
      <c r="AA145" s="570"/>
      <c r="AB145" s="570"/>
      <c r="AC145" s="570"/>
      <c r="AD145" s="570"/>
      <c r="AE145" s="570"/>
      <c r="AF145" s="570"/>
      <c r="AG145" s="570"/>
      <c r="AH145" s="570"/>
      <c r="AI145" s="570"/>
      <c r="AJ145" s="570"/>
      <c r="AK145" s="570"/>
      <c r="AL145" s="570"/>
      <c r="AM145" s="570"/>
      <c r="AN145" s="570"/>
      <c r="AO145" s="570"/>
      <c r="AP145" s="570"/>
      <c r="AQ145" s="570"/>
      <c r="AR145" s="570"/>
      <c r="AS145" s="570"/>
      <c r="AT145" s="570"/>
      <c r="AU145" s="570"/>
      <c r="AV145" s="588"/>
    </row>
    <row r="146" hidden="true" x14ac:dyDescent="0.3">
      <c r="A146" s="704"/>
      <c r="B146" s="570"/>
      <c r="C146" s="570"/>
      <c r="D146" s="708"/>
      <c r="E146" s="829"/>
      <c r="F146" s="709"/>
      <c r="G146" s="570"/>
      <c r="H146" s="292"/>
      <c r="I146" s="626"/>
      <c r="J146" s="570"/>
      <c r="K146" s="292"/>
      <c r="L146" s="362"/>
      <c r="M146" s="335"/>
      <c r="N146" s="570"/>
      <c r="O146" s="570"/>
      <c r="P146" s="298"/>
      <c r="Q146" s="297"/>
      <c r="R146" s="611"/>
      <c r="S146" s="611"/>
      <c r="T146" s="709"/>
      <c r="U146" s="570"/>
      <c r="V146" s="570"/>
      <c r="W146" s="570"/>
      <c r="X146" s="570"/>
      <c r="Y146" s="570"/>
      <c r="Z146" s="570"/>
      <c r="AA146" s="570"/>
      <c r="AB146" s="570"/>
      <c r="AC146" s="570"/>
      <c r="AD146" s="570"/>
      <c r="AE146" s="570"/>
      <c r="AF146" s="570"/>
      <c r="AG146" s="570"/>
      <c r="AH146" s="570"/>
      <c r="AI146" s="570"/>
      <c r="AJ146" s="570"/>
      <c r="AK146" s="570"/>
      <c r="AL146" s="570"/>
      <c r="AM146" s="570"/>
      <c r="AN146" s="570"/>
      <c r="AO146" s="570"/>
      <c r="AP146" s="570"/>
      <c r="AQ146" s="570"/>
      <c r="AR146" s="570"/>
      <c r="AS146" s="570"/>
      <c r="AT146" s="570"/>
      <c r="AU146" s="570"/>
      <c r="AV146" s="588"/>
    </row>
    <row r="147" ht="16.2" thickBot="true" x14ac:dyDescent="0.35">
      <c r="A147" s="704"/>
      <c r="B147" s="570"/>
      <c r="C147" s="570"/>
      <c r="D147" s="708"/>
      <c r="E147" s="1930" t="s">
        <v>1519</v>
      </c>
      <c r="F147" s="1930"/>
      <c r="G147" s="570"/>
      <c r="H147" s="292"/>
      <c r="I147" s="626"/>
      <c r="J147" s="570"/>
      <c r="K147" s="292"/>
      <c r="L147" s="362"/>
      <c r="M147" s="335"/>
      <c r="N147" s="570"/>
      <c r="O147" s="570"/>
      <c r="P147" s="298"/>
      <c r="Q147" s="297"/>
      <c r="R147" s="611"/>
      <c r="S147" s="611"/>
      <c r="T147" s="709"/>
      <c r="U147" s="570"/>
      <c r="V147" s="570"/>
      <c r="W147" s="570"/>
      <c r="X147" s="570"/>
      <c r="Y147" s="570"/>
      <c r="Z147" s="570"/>
      <c r="AA147" s="570"/>
      <c r="AB147" s="570"/>
      <c r="AC147" s="570"/>
      <c r="AD147" s="570"/>
      <c r="AE147" s="570"/>
      <c r="AF147" s="570"/>
      <c r="AG147" s="570"/>
      <c r="AH147" s="570"/>
      <c r="AI147" s="570"/>
      <c r="AJ147" s="570"/>
      <c r="AK147" s="570"/>
      <c r="AL147" s="570"/>
      <c r="AM147" s="570"/>
      <c r="AN147" s="570"/>
      <c r="AO147" s="570"/>
      <c r="AP147" s="570"/>
      <c r="AQ147" s="570"/>
      <c r="AR147" s="570"/>
      <c r="AS147" s="570"/>
      <c r="AT147" s="570"/>
      <c r="AU147" s="570"/>
      <c r="AV147" s="588"/>
    </row>
    <row r="148" x14ac:dyDescent="0.3">
      <c r="A148" s="704"/>
      <c r="B148" s="570"/>
      <c r="C148" s="570"/>
      <c r="D148" s="708"/>
      <c r="E148" s="1884" t="s">
        <v>1498</v>
      </c>
      <c r="F148" s="1885"/>
      <c r="G148" s="1885"/>
      <c r="H148" s="1238">
        <f>H55</f>
        <v>1</v>
      </c>
      <c r="I148" s="626"/>
      <c r="J148" s="570"/>
      <c r="K148" s="292"/>
      <c r="L148" s="362"/>
      <c r="M148" s="335"/>
      <c r="N148" s="570"/>
      <c r="O148" s="570"/>
      <c r="P148" s="298"/>
      <c r="Q148" s="297"/>
      <c r="R148" s="611"/>
      <c r="S148" s="611"/>
      <c r="T148" s="709"/>
      <c r="U148" s="570"/>
      <c r="V148" s="570"/>
      <c r="W148" s="570"/>
      <c r="X148" s="570"/>
      <c r="Y148" s="570"/>
      <c r="Z148" s="570"/>
      <c r="AA148" s="570"/>
      <c r="AB148" s="570"/>
      <c r="AC148" s="570"/>
      <c r="AD148" s="570"/>
      <c r="AE148" s="570"/>
      <c r="AF148" s="570"/>
      <c r="AG148" s="570"/>
      <c r="AH148" s="570"/>
      <c r="AI148" s="570"/>
      <c r="AJ148" s="570"/>
      <c r="AK148" s="570"/>
      <c r="AL148" s="570"/>
      <c r="AM148" s="570"/>
      <c r="AN148" s="570"/>
      <c r="AO148" s="570"/>
      <c r="AP148" s="570"/>
      <c r="AQ148" s="570"/>
      <c r="AR148" s="570"/>
      <c r="AS148" s="570"/>
      <c r="AT148" s="570"/>
      <c r="AU148" s="570"/>
      <c r="AV148" s="588"/>
    </row>
    <row r="149" ht="15.75" customHeight="true" x14ac:dyDescent="0.3">
      <c r="A149" s="704"/>
      <c r="B149" s="570"/>
      <c r="C149" s="570"/>
      <c r="D149" s="708"/>
      <c r="E149" s="1888" t="s">
        <v>1506</v>
      </c>
      <c r="F149" s="1889"/>
      <c r="G149" s="1889"/>
      <c r="H149" s="1235">
        <f>H62</f>
        <v>4</v>
      </c>
      <c r="I149" s="626"/>
      <c r="J149" s="570"/>
      <c r="K149" s="292"/>
      <c r="L149" s="362"/>
      <c r="M149" s="335"/>
      <c r="N149" s="570"/>
      <c r="O149" s="570"/>
      <c r="P149" s="298"/>
      <c r="Q149" s="297"/>
      <c r="R149" s="611"/>
      <c r="S149" s="611"/>
      <c r="T149" s="709"/>
      <c r="U149" s="570"/>
      <c r="V149" s="570"/>
      <c r="W149" s="570"/>
      <c r="X149" s="570"/>
      <c r="Y149" s="570"/>
      <c r="Z149" s="570"/>
      <c r="AA149" s="570"/>
      <c r="AB149" s="570"/>
      <c r="AC149" s="570"/>
      <c r="AD149" s="570"/>
      <c r="AE149" s="570"/>
      <c r="AF149" s="570"/>
      <c r="AG149" s="570"/>
      <c r="AH149" s="570"/>
      <c r="AI149" s="570"/>
      <c r="AJ149" s="570"/>
      <c r="AK149" s="570"/>
      <c r="AL149" s="570"/>
      <c r="AM149" s="570"/>
      <c r="AN149" s="570"/>
      <c r="AO149" s="570"/>
      <c r="AP149" s="570"/>
      <c r="AQ149" s="570"/>
      <c r="AR149" s="570"/>
      <c r="AS149" s="570"/>
      <c r="AT149" s="570"/>
      <c r="AU149" s="570"/>
      <c r="AV149" s="588"/>
    </row>
    <row r="150" ht="15.75" customHeight="true" x14ac:dyDescent="0.3">
      <c r="A150" s="704"/>
      <c r="B150" s="570"/>
      <c r="C150" s="570"/>
      <c r="D150" s="708"/>
      <c r="E150" s="1888" t="s">
        <v>1507</v>
      </c>
      <c r="F150" s="1889"/>
      <c r="G150" s="1889"/>
      <c r="H150" s="1235">
        <f>H63</f>
        <v>-1</v>
      </c>
      <c r="I150" s="626"/>
      <c r="J150" s="570"/>
      <c r="K150" s="292"/>
      <c r="L150" s="362"/>
      <c r="M150" s="335"/>
      <c r="N150" s="570"/>
      <c r="O150" s="570"/>
      <c r="P150" s="298"/>
      <c r="Q150" s="297"/>
      <c r="R150" s="611"/>
      <c r="S150" s="611"/>
      <c r="T150" s="709"/>
      <c r="U150" s="570"/>
      <c r="V150" s="570"/>
      <c r="W150" s="570"/>
      <c r="X150" s="570"/>
      <c r="Y150" s="570"/>
      <c r="Z150" s="570"/>
      <c r="AA150" s="570"/>
      <c r="AB150" s="570"/>
      <c r="AC150" s="570"/>
      <c r="AD150" s="570"/>
      <c r="AE150" s="570"/>
      <c r="AF150" s="570"/>
      <c r="AG150" s="570"/>
      <c r="AH150" s="570"/>
      <c r="AI150" s="570"/>
      <c r="AJ150" s="570"/>
      <c r="AK150" s="570"/>
      <c r="AL150" s="570"/>
      <c r="AM150" s="570"/>
      <c r="AN150" s="570"/>
      <c r="AO150" s="570"/>
      <c r="AP150" s="570"/>
      <c r="AQ150" s="570"/>
      <c r="AR150" s="570"/>
      <c r="AS150" s="570"/>
      <c r="AT150" s="570"/>
      <c r="AU150" s="570"/>
      <c r="AV150" s="588"/>
    </row>
    <row r="151" x14ac:dyDescent="0.3">
      <c r="A151" s="704"/>
      <c r="B151" s="570"/>
      <c r="C151" s="570"/>
      <c r="D151" s="708"/>
      <c r="E151" s="1886" t="s">
        <v>1508</v>
      </c>
      <c r="F151" s="1887"/>
      <c r="G151" s="1887"/>
      <c r="H151" s="1235">
        <f>H64</f>
        <v>100.087</v>
      </c>
      <c r="I151" s="626"/>
      <c r="J151" s="570"/>
      <c r="K151" s="292"/>
      <c r="L151" s="362"/>
      <c r="M151" s="335"/>
      <c r="N151" s="570"/>
      <c r="O151" s="570"/>
      <c r="P151" s="298"/>
      <c r="Q151" s="297"/>
      <c r="R151" s="611"/>
      <c r="S151" s="611"/>
      <c r="T151" s="709"/>
      <c r="U151" s="570"/>
      <c r="V151" s="570"/>
      <c r="W151" s="570"/>
      <c r="X151" s="570"/>
      <c r="Y151" s="570"/>
      <c r="Z151" s="570"/>
      <c r="AA151" s="570"/>
      <c r="AB151" s="570"/>
      <c r="AC151" s="570"/>
      <c r="AD151" s="570"/>
      <c r="AE151" s="570"/>
      <c r="AF151" s="570"/>
      <c r="AG151" s="570"/>
      <c r="AH151" s="570"/>
      <c r="AI151" s="570"/>
      <c r="AJ151" s="570"/>
      <c r="AK151" s="570"/>
      <c r="AL151" s="570"/>
      <c r="AM151" s="570"/>
      <c r="AN151" s="570"/>
      <c r="AO151" s="570"/>
      <c r="AP151" s="570"/>
      <c r="AQ151" s="570"/>
      <c r="AR151" s="570"/>
      <c r="AS151" s="570"/>
      <c r="AT151" s="570"/>
      <c r="AU151" s="570"/>
      <c r="AV151" s="588"/>
    </row>
    <row r="152" x14ac:dyDescent="0.3">
      <c r="A152" s="704"/>
      <c r="B152" s="570"/>
      <c r="C152" s="570"/>
      <c r="D152" s="708"/>
      <c r="E152" s="1864" t="s">
        <v>2227</v>
      </c>
      <c r="F152" s="1865"/>
      <c r="G152" s="1865"/>
      <c r="H152" s="1235">
        <f>H65</f>
        <v>6778.7792000553327</v>
      </c>
      <c r="I152" s="626"/>
      <c r="J152" s="570"/>
      <c r="K152" s="292"/>
      <c r="L152" s="362"/>
      <c r="M152" s="335"/>
      <c r="N152" s="570"/>
      <c r="O152" s="570"/>
      <c r="P152" s="298"/>
      <c r="Q152" s="297"/>
      <c r="R152" s="611"/>
      <c r="S152" s="611"/>
      <c r="T152" s="709"/>
      <c r="U152" s="570"/>
      <c r="V152" s="570"/>
      <c r="W152" s="570"/>
      <c r="X152" s="570"/>
      <c r="Y152" s="570"/>
      <c r="Z152" s="570"/>
      <c r="AA152" s="570"/>
      <c r="AB152" s="570"/>
      <c r="AC152" s="570"/>
      <c r="AD152" s="570"/>
      <c r="AE152" s="570"/>
      <c r="AF152" s="570"/>
      <c r="AG152" s="570"/>
      <c r="AH152" s="570"/>
      <c r="AI152" s="570"/>
      <c r="AJ152" s="570"/>
      <c r="AK152" s="570"/>
      <c r="AL152" s="570"/>
      <c r="AM152" s="570"/>
      <c r="AN152" s="570"/>
      <c r="AO152" s="570"/>
      <c r="AP152" s="570"/>
      <c r="AQ152" s="570"/>
      <c r="AR152" s="570"/>
      <c r="AS152" s="570"/>
      <c r="AT152" s="570"/>
      <c r="AU152" s="570"/>
      <c r="AV152" s="588"/>
    </row>
    <row r="153" ht="24" customHeight="true" x14ac:dyDescent="0.3">
      <c r="A153" s="704"/>
      <c r="B153" s="570"/>
      <c r="C153" s="570"/>
      <c r="D153" s="708"/>
      <c r="E153" s="1864" t="s">
        <v>1512</v>
      </c>
      <c r="F153" s="1865"/>
      <c r="G153" s="1865"/>
      <c r="H153" s="1235">
        <f>P136</f>
        <v>0</v>
      </c>
      <c r="I153" s="626"/>
      <c r="J153" s="570"/>
      <c r="K153" s="292"/>
      <c r="L153" s="362"/>
      <c r="M153" s="335"/>
      <c r="N153" s="570"/>
      <c r="O153" s="570"/>
      <c r="P153" s="298"/>
      <c r="Q153" s="297"/>
      <c r="R153" s="611"/>
      <c r="S153" s="611"/>
      <c r="T153" s="709"/>
      <c r="U153" s="570"/>
      <c r="V153" s="570"/>
      <c r="W153" s="570"/>
      <c r="X153" s="570"/>
      <c r="Y153" s="570"/>
      <c r="Z153" s="570"/>
      <c r="AA153" s="570"/>
      <c r="AB153" s="570"/>
      <c r="AC153" s="570"/>
      <c r="AD153" s="570"/>
      <c r="AE153" s="570"/>
      <c r="AF153" s="570"/>
      <c r="AG153" s="570"/>
      <c r="AH153" s="570"/>
      <c r="AI153" s="570"/>
      <c r="AJ153" s="570"/>
      <c r="AK153" s="570"/>
      <c r="AL153" s="570"/>
      <c r="AM153" s="570"/>
      <c r="AN153" s="570"/>
      <c r="AO153" s="570"/>
      <c r="AP153" s="570"/>
      <c r="AQ153" s="570"/>
      <c r="AR153" s="570"/>
      <c r="AS153" s="570"/>
      <c r="AT153" s="570"/>
      <c r="AU153" s="570"/>
      <c r="AV153" s="588"/>
    </row>
    <row r="154" ht="24" customHeight="true" thickBot="true" x14ac:dyDescent="0.35">
      <c r="A154" s="704"/>
      <c r="B154" s="570"/>
      <c r="C154" s="570"/>
      <c r="D154" s="708"/>
      <c r="E154" s="1862" t="s">
        <v>1511</v>
      </c>
      <c r="F154" s="1863"/>
      <c r="G154" s="1863"/>
      <c r="H154" s="1237">
        <f>M136</f>
        <v>6778.7792000553327</v>
      </c>
      <c r="I154" s="626"/>
      <c r="J154" s="570"/>
      <c r="K154" s="292"/>
      <c r="L154" s="362"/>
      <c r="M154" s="335"/>
      <c r="N154" s="570"/>
      <c r="O154" s="570"/>
      <c r="P154" s="298"/>
      <c r="Q154" s="297"/>
      <c r="R154" s="611"/>
      <c r="S154" s="611"/>
      <c r="T154" s="709"/>
      <c r="U154" s="570"/>
      <c r="V154" s="570"/>
      <c r="W154" s="570"/>
      <c r="X154" s="570"/>
      <c r="Y154" s="570"/>
      <c r="Z154" s="570"/>
      <c r="AA154" s="570"/>
      <c r="AB154" s="570"/>
      <c r="AC154" s="570"/>
      <c r="AD154" s="570"/>
      <c r="AE154" s="570"/>
      <c r="AF154" s="570"/>
      <c r="AG154" s="570"/>
      <c r="AH154" s="570"/>
      <c r="AI154" s="570"/>
      <c r="AJ154" s="570"/>
      <c r="AK154" s="570"/>
      <c r="AL154" s="570"/>
      <c r="AM154" s="570"/>
      <c r="AN154" s="570"/>
      <c r="AO154" s="570"/>
      <c r="AP154" s="570"/>
      <c r="AQ154" s="570"/>
      <c r="AR154" s="570"/>
      <c r="AS154" s="570"/>
      <c r="AT154" s="570"/>
      <c r="AU154" s="570"/>
      <c r="AV154" s="588"/>
    </row>
    <row r="155" x14ac:dyDescent="0.3">
      <c r="A155" s="704"/>
      <c r="B155" s="570"/>
      <c r="C155" s="570"/>
      <c r="D155" s="708"/>
      <c r="E155" s="829"/>
      <c r="F155" s="709"/>
      <c r="G155" s="570"/>
      <c r="H155" s="292"/>
      <c r="I155" s="626"/>
      <c r="J155" s="570"/>
      <c r="K155" s="292"/>
      <c r="L155" s="362"/>
      <c r="M155" s="335"/>
      <c r="N155" s="570"/>
      <c r="O155" s="570"/>
      <c r="P155" s="298"/>
      <c r="Q155" s="297"/>
      <c r="R155" s="611"/>
      <c r="S155" s="611"/>
      <c r="T155" s="709"/>
      <c r="U155" s="570"/>
      <c r="V155" s="570"/>
      <c r="W155" s="570"/>
      <c r="X155" s="570"/>
      <c r="Y155" s="570"/>
      <c r="Z155" s="570"/>
      <c r="AA155" s="570"/>
      <c r="AB155" s="570"/>
      <c r="AC155" s="570"/>
      <c r="AD155" s="570"/>
      <c r="AE155" s="570"/>
      <c r="AF155" s="570"/>
      <c r="AG155" s="570"/>
      <c r="AH155" s="570"/>
      <c r="AI155" s="570"/>
      <c r="AJ155" s="570"/>
      <c r="AK155" s="570"/>
      <c r="AL155" s="570"/>
      <c r="AM155" s="570"/>
      <c r="AN155" s="570"/>
      <c r="AO155" s="570"/>
      <c r="AP155" s="570"/>
      <c r="AQ155" s="570"/>
      <c r="AR155" s="570"/>
      <c r="AS155" s="570"/>
      <c r="AT155" s="570"/>
      <c r="AU155" s="570"/>
      <c r="AV155" s="588"/>
    </row>
    <row r="156" x14ac:dyDescent="0.3">
      <c r="A156" s="704"/>
      <c r="B156" s="570"/>
      <c r="C156" s="570"/>
      <c r="D156" s="708"/>
      <c r="E156" s="829"/>
      <c r="F156" s="709"/>
      <c r="G156" s="570"/>
      <c r="H156" s="292"/>
      <c r="I156" s="626"/>
      <c r="J156" s="570"/>
      <c r="K156" s="292"/>
      <c r="L156" s="362"/>
      <c r="M156" s="335"/>
      <c r="N156" s="570"/>
      <c r="O156" s="570"/>
      <c r="P156" s="298"/>
      <c r="Q156" s="297"/>
      <c r="R156" s="611"/>
      <c r="S156" s="611"/>
      <c r="T156" s="709"/>
      <c r="U156" s="570"/>
      <c r="V156" s="570"/>
      <c r="W156" s="570"/>
      <c r="X156" s="570"/>
      <c r="Y156" s="570"/>
      <c r="Z156" s="570"/>
      <c r="AA156" s="570"/>
      <c r="AB156" s="570"/>
      <c r="AC156" s="570"/>
      <c r="AD156" s="570"/>
      <c r="AE156" s="570"/>
      <c r="AF156" s="570"/>
      <c r="AG156" s="570"/>
      <c r="AH156" s="570"/>
      <c r="AI156" s="570"/>
      <c r="AJ156" s="570"/>
      <c r="AK156" s="570"/>
      <c r="AL156" s="570"/>
      <c r="AM156" s="570"/>
      <c r="AN156" s="570"/>
      <c r="AO156" s="570"/>
      <c r="AP156" s="570"/>
      <c r="AQ156" s="570"/>
      <c r="AR156" s="570"/>
      <c r="AS156" s="570"/>
      <c r="AT156" s="570"/>
      <c r="AU156" s="570"/>
      <c r="AV156" s="588"/>
    </row>
    <row r="157" x14ac:dyDescent="0.3">
      <c r="A157" s="704"/>
      <c r="B157" s="570"/>
      <c r="C157" s="570"/>
      <c r="D157" s="708"/>
      <c r="E157" s="829"/>
      <c r="F157" s="709"/>
      <c r="G157" s="570"/>
      <c r="H157" s="292"/>
      <c r="I157" s="626"/>
      <c r="J157" s="570"/>
      <c r="K157" s="292"/>
      <c r="L157" s="362"/>
      <c r="M157" s="335"/>
      <c r="N157" s="570"/>
      <c r="O157" s="570"/>
      <c r="P157" s="298"/>
      <c r="Q157" s="297"/>
      <c r="R157" s="611"/>
      <c r="S157" s="611"/>
      <c r="T157" s="709"/>
      <c r="U157" s="570"/>
      <c r="V157" s="570"/>
      <c r="W157" s="570"/>
      <c r="X157" s="570"/>
      <c r="Y157" s="570"/>
      <c r="Z157" s="570"/>
      <c r="AA157" s="570"/>
      <c r="AB157" s="570"/>
      <c r="AC157" s="570"/>
      <c r="AD157" s="570"/>
      <c r="AE157" s="570"/>
      <c r="AF157" s="570"/>
      <c r="AG157" s="570"/>
      <c r="AH157" s="570"/>
      <c r="AI157" s="570"/>
      <c r="AJ157" s="570"/>
      <c r="AK157" s="570"/>
      <c r="AL157" s="570"/>
      <c r="AM157" s="570"/>
      <c r="AN157" s="570"/>
      <c r="AO157" s="570"/>
      <c r="AP157" s="570"/>
      <c r="AQ157" s="570"/>
      <c r="AR157" s="570"/>
      <c r="AS157" s="570"/>
      <c r="AT157" s="570"/>
      <c r="AU157" s="570"/>
      <c r="AV157" s="588"/>
    </row>
    <row r="158" x14ac:dyDescent="0.3">
      <c r="A158" s="704"/>
      <c r="B158" s="570"/>
      <c r="C158" s="570"/>
      <c r="D158" s="708"/>
      <c r="E158" s="829"/>
      <c r="F158" s="709"/>
      <c r="G158" s="570"/>
      <c r="H158" s="292"/>
      <c r="I158" s="626"/>
      <c r="J158" s="570"/>
      <c r="K158" s="292"/>
      <c r="L158" s="362"/>
      <c r="M158" s="335"/>
      <c r="N158" s="570"/>
      <c r="O158" s="570"/>
      <c r="P158" s="298"/>
      <c r="Q158" s="297"/>
      <c r="R158" s="611"/>
      <c r="S158" s="611"/>
      <c r="T158" s="709"/>
      <c r="U158" s="570"/>
      <c r="V158" s="570"/>
      <c r="W158" s="570"/>
      <c r="X158" s="570"/>
      <c r="Y158" s="570"/>
      <c r="Z158" s="570"/>
      <c r="AA158" s="570"/>
      <c r="AB158" s="570"/>
      <c r="AC158" s="570"/>
      <c r="AD158" s="570"/>
      <c r="AE158" s="570"/>
      <c r="AF158" s="570"/>
      <c r="AG158" s="570"/>
      <c r="AH158" s="570"/>
      <c r="AI158" s="570"/>
      <c r="AJ158" s="570"/>
      <c r="AK158" s="570"/>
      <c r="AL158" s="570"/>
      <c r="AM158" s="570"/>
      <c r="AN158" s="570"/>
      <c r="AO158" s="570"/>
      <c r="AP158" s="570"/>
      <c r="AQ158" s="570"/>
      <c r="AR158" s="570"/>
      <c r="AS158" s="570"/>
      <c r="AT158" s="570"/>
      <c r="AU158" s="570"/>
      <c r="AV158" s="588"/>
    </row>
    <row r="159" ht="16.2" thickBot="true" x14ac:dyDescent="0.35">
      <c r="A159" s="704"/>
      <c r="B159" s="570"/>
      <c r="C159" s="570"/>
      <c r="D159" s="708"/>
      <c r="E159" s="1890" t="s">
        <v>1513</v>
      </c>
      <c r="F159" s="1890"/>
      <c r="G159" s="1890"/>
      <c r="H159" s="292"/>
      <c r="I159" s="626"/>
      <c r="J159" s="570"/>
      <c r="K159" s="292"/>
      <c r="L159" s="362"/>
      <c r="M159" s="335"/>
      <c r="N159" s="570"/>
      <c r="O159" s="570"/>
      <c r="P159" s="298"/>
      <c r="Q159" s="297"/>
      <c r="R159" s="611"/>
      <c r="S159" s="611"/>
      <c r="T159" s="709"/>
      <c r="U159" s="570"/>
      <c r="V159" s="570"/>
      <c r="W159" s="570"/>
      <c r="X159" s="570"/>
      <c r="Y159" s="570"/>
      <c r="Z159" s="570"/>
      <c r="AA159" s="570"/>
      <c r="AB159" s="570"/>
      <c r="AC159" s="570"/>
      <c r="AD159" s="570"/>
      <c r="AE159" s="570"/>
      <c r="AF159" s="570"/>
      <c r="AG159" s="570"/>
      <c r="AH159" s="570"/>
      <c r="AI159" s="570"/>
      <c r="AJ159" s="570"/>
      <c r="AK159" s="570"/>
      <c r="AL159" s="570"/>
      <c r="AM159" s="570"/>
      <c r="AN159" s="570"/>
      <c r="AO159" s="570"/>
      <c r="AP159" s="570"/>
      <c r="AQ159" s="570"/>
      <c r="AR159" s="570"/>
      <c r="AS159" s="570"/>
      <c r="AT159" s="570"/>
      <c r="AU159" s="570"/>
      <c r="AV159" s="588"/>
    </row>
    <row r="160" x14ac:dyDescent="0.3">
      <c r="A160" s="704"/>
      <c r="B160" s="570"/>
      <c r="C160" s="570"/>
      <c r="D160" s="708"/>
      <c r="E160" s="1891" t="s">
        <v>2229</v>
      </c>
      <c r="F160" s="1892"/>
      <c r="G160" s="1892"/>
      <c r="H160" s="1238">
        <f>H58</f>
        <v>2888.3362910273868</v>
      </c>
      <c r="I160" s="626"/>
      <c r="J160" s="570"/>
      <c r="K160" s="292"/>
      <c r="L160" s="362"/>
      <c r="M160" s="335"/>
      <c r="N160" s="570"/>
      <c r="O160" s="570"/>
      <c r="P160" s="298"/>
      <c r="Q160" s="297"/>
      <c r="R160" s="611"/>
      <c r="S160" s="611"/>
      <c r="T160" s="709"/>
      <c r="U160" s="570"/>
      <c r="V160" s="570"/>
      <c r="W160" s="570"/>
      <c r="X160" s="570"/>
      <c r="Y160" s="570"/>
      <c r="Z160" s="570"/>
      <c r="AA160" s="570"/>
      <c r="AB160" s="570"/>
      <c r="AC160" s="570"/>
      <c r="AD160" s="570"/>
      <c r="AE160" s="570"/>
      <c r="AF160" s="570"/>
      <c r="AG160" s="570"/>
      <c r="AH160" s="570"/>
      <c r="AI160" s="570"/>
      <c r="AJ160" s="570"/>
      <c r="AK160" s="570"/>
      <c r="AL160" s="570"/>
      <c r="AM160" s="570"/>
      <c r="AN160" s="570"/>
      <c r="AO160" s="570"/>
      <c r="AP160" s="570"/>
      <c r="AQ160" s="570"/>
      <c r="AR160" s="570"/>
      <c r="AS160" s="570"/>
      <c r="AT160" s="570"/>
      <c r="AU160" s="570"/>
      <c r="AV160" s="588"/>
    </row>
    <row r="161" ht="16.2" thickBot="true" x14ac:dyDescent="0.35">
      <c r="A161" s="704"/>
      <c r="B161" s="570"/>
      <c r="C161" s="570"/>
      <c r="D161" s="708"/>
      <c r="E161" s="1895" t="s">
        <v>2230</v>
      </c>
      <c r="F161" s="1896"/>
      <c r="G161" s="1896"/>
      <c r="H161" s="1237">
        <f>N136</f>
        <v>6778.7792000553327</v>
      </c>
      <c r="I161" s="626"/>
      <c r="J161" s="570"/>
      <c r="K161" s="292"/>
      <c r="L161" s="362"/>
      <c r="M161" s="335"/>
      <c r="N161" s="570"/>
      <c r="O161" s="570"/>
      <c r="P161" s="298"/>
      <c r="Q161" s="297"/>
      <c r="R161" s="611"/>
      <c r="S161" s="611"/>
      <c r="T161" s="709"/>
      <c r="U161" s="570"/>
      <c r="V161" s="570"/>
      <c r="W161" s="570"/>
      <c r="X161" s="570"/>
      <c r="Y161" s="570"/>
      <c r="Z161" s="570"/>
      <c r="AA161" s="570"/>
      <c r="AB161" s="570"/>
      <c r="AC161" s="570"/>
      <c r="AD161" s="570"/>
      <c r="AE161" s="570"/>
      <c r="AF161" s="570"/>
      <c r="AG161" s="570"/>
      <c r="AH161" s="570"/>
      <c r="AI161" s="570"/>
      <c r="AJ161" s="570"/>
      <c r="AK161" s="570"/>
      <c r="AL161" s="570"/>
      <c r="AM161" s="570"/>
      <c r="AN161" s="570"/>
      <c r="AO161" s="570"/>
      <c r="AP161" s="570"/>
      <c r="AQ161" s="570"/>
      <c r="AR161" s="570"/>
      <c r="AS161" s="570"/>
      <c r="AT161" s="570"/>
      <c r="AU161" s="570"/>
      <c r="AV161" s="588"/>
    </row>
    <row r="162" x14ac:dyDescent="0.3">
      <c r="A162" s="704"/>
      <c r="B162" s="570"/>
      <c r="C162" s="570"/>
      <c r="D162" s="708"/>
      <c r="E162" s="829"/>
      <c r="F162" s="709"/>
      <c r="G162" s="570"/>
      <c r="H162" s="362"/>
      <c r="I162" s="626"/>
      <c r="J162" s="570"/>
      <c r="K162" s="292"/>
      <c r="L162" s="362"/>
      <c r="M162" s="335"/>
      <c r="N162" s="570"/>
      <c r="O162" s="570"/>
      <c r="P162" s="298"/>
      <c r="Q162" s="297"/>
      <c r="R162" s="611"/>
      <c r="S162" s="611"/>
      <c r="T162" s="709"/>
      <c r="U162" s="570"/>
      <c r="V162" s="570"/>
      <c r="W162" s="570"/>
      <c r="X162" s="570"/>
      <c r="Y162" s="570"/>
      <c r="Z162" s="570"/>
      <c r="AA162" s="570"/>
      <c r="AB162" s="570"/>
      <c r="AC162" s="570"/>
      <c r="AD162" s="570"/>
      <c r="AE162" s="570"/>
      <c r="AF162" s="570"/>
      <c r="AG162" s="570"/>
      <c r="AH162" s="570"/>
      <c r="AI162" s="570"/>
      <c r="AJ162" s="570"/>
      <c r="AK162" s="570"/>
      <c r="AL162" s="570"/>
      <c r="AM162" s="570"/>
      <c r="AN162" s="570"/>
      <c r="AO162" s="570"/>
      <c r="AP162" s="570"/>
      <c r="AQ162" s="570"/>
      <c r="AR162" s="570"/>
      <c r="AS162" s="570"/>
      <c r="AT162" s="570"/>
      <c r="AU162" s="570"/>
      <c r="AV162" s="588"/>
    </row>
    <row r="163" x14ac:dyDescent="0.3">
      <c r="A163" s="704"/>
      <c r="B163" s="570"/>
      <c r="C163" s="570"/>
      <c r="D163" s="708"/>
      <c r="E163" s="829"/>
      <c r="F163" s="709"/>
      <c r="G163" s="570"/>
      <c r="H163" s="362"/>
      <c r="I163" s="626"/>
      <c r="J163" s="570"/>
      <c r="K163" s="292"/>
      <c r="L163" s="362"/>
      <c r="M163" s="335"/>
      <c r="N163" s="570"/>
      <c r="O163" s="570"/>
      <c r="P163" s="298"/>
      <c r="Q163" s="297"/>
      <c r="R163" s="611"/>
      <c r="S163" s="611"/>
      <c r="T163" s="709"/>
      <c r="U163" s="570"/>
      <c r="V163" s="570"/>
      <c r="W163" s="570"/>
      <c r="X163" s="570"/>
      <c r="Y163" s="570"/>
      <c r="Z163" s="570"/>
      <c r="AA163" s="570"/>
      <c r="AB163" s="570"/>
      <c r="AC163" s="570"/>
      <c r="AD163" s="570"/>
      <c r="AE163" s="570"/>
      <c r="AF163" s="570"/>
      <c r="AG163" s="570"/>
      <c r="AH163" s="570"/>
      <c r="AI163" s="570"/>
      <c r="AJ163" s="570"/>
      <c r="AK163" s="570"/>
      <c r="AL163" s="570"/>
      <c r="AM163" s="570"/>
      <c r="AN163" s="570"/>
      <c r="AO163" s="570"/>
      <c r="AP163" s="570"/>
      <c r="AQ163" s="570"/>
      <c r="AR163" s="570"/>
      <c r="AS163" s="570"/>
      <c r="AT163" s="570"/>
      <c r="AU163" s="570"/>
      <c r="AV163" s="588"/>
    </row>
    <row r="164" x14ac:dyDescent="0.3">
      <c r="A164" s="704"/>
      <c r="B164" s="570"/>
      <c r="C164" s="570"/>
      <c r="D164" s="708"/>
      <c r="E164" s="829"/>
      <c r="F164" s="709"/>
      <c r="G164" s="570"/>
      <c r="H164" s="362"/>
      <c r="I164" s="626"/>
      <c r="J164" s="570"/>
      <c r="K164" s="292"/>
      <c r="L164" s="362"/>
      <c r="M164" s="335"/>
      <c r="N164" s="570"/>
      <c r="O164" s="570"/>
      <c r="P164" s="298"/>
      <c r="Q164" s="297"/>
      <c r="R164" s="611"/>
      <c r="S164" s="611"/>
      <c r="T164" s="709"/>
      <c r="U164" s="570"/>
      <c r="V164" s="570"/>
      <c r="W164" s="570"/>
      <c r="X164" s="570"/>
      <c r="Y164" s="570"/>
      <c r="Z164" s="570"/>
      <c r="AA164" s="570"/>
      <c r="AB164" s="570"/>
      <c r="AC164" s="570"/>
      <c r="AD164" s="570"/>
      <c r="AE164" s="570"/>
      <c r="AF164" s="570"/>
      <c r="AG164" s="570"/>
      <c r="AH164" s="570"/>
      <c r="AI164" s="570"/>
      <c r="AJ164" s="570"/>
      <c r="AK164" s="570"/>
      <c r="AL164" s="570"/>
      <c r="AM164" s="570"/>
      <c r="AN164" s="570"/>
      <c r="AO164" s="570"/>
      <c r="AP164" s="570"/>
      <c r="AQ164" s="570"/>
      <c r="AR164" s="570"/>
      <c r="AS164" s="570"/>
      <c r="AT164" s="570"/>
      <c r="AU164" s="570"/>
      <c r="AV164" s="588"/>
    </row>
    <row r="165" x14ac:dyDescent="0.3">
      <c r="A165" s="704"/>
      <c r="B165" s="570"/>
      <c r="C165" s="570"/>
      <c r="D165" s="708"/>
      <c r="E165" s="829"/>
      <c r="F165" s="709"/>
      <c r="G165" s="570"/>
      <c r="H165" s="292"/>
      <c r="I165" s="626"/>
      <c r="J165" s="570"/>
      <c r="K165" s="292"/>
      <c r="L165" s="362"/>
      <c r="M165" s="335"/>
      <c r="N165" s="570"/>
      <c r="O165" s="570"/>
      <c r="P165" s="298"/>
      <c r="Q165" s="297"/>
      <c r="R165" s="611"/>
      <c r="S165" s="611"/>
      <c r="T165" s="709"/>
      <c r="U165" s="570"/>
      <c r="V165" s="570"/>
      <c r="W165" s="570"/>
      <c r="X165" s="570"/>
      <c r="Y165" s="570"/>
      <c r="Z165" s="570"/>
      <c r="AA165" s="570"/>
      <c r="AB165" s="570"/>
      <c r="AC165" s="570"/>
      <c r="AD165" s="570"/>
      <c r="AE165" s="570"/>
      <c r="AF165" s="570"/>
      <c r="AG165" s="570"/>
      <c r="AH165" s="570"/>
      <c r="AI165" s="570"/>
      <c r="AJ165" s="570"/>
      <c r="AK165" s="570"/>
      <c r="AL165" s="570"/>
      <c r="AM165" s="570"/>
      <c r="AN165" s="570"/>
      <c r="AO165" s="570"/>
      <c r="AP165" s="570"/>
      <c r="AQ165" s="570"/>
      <c r="AR165" s="570"/>
      <c r="AS165" s="570"/>
      <c r="AT165" s="570"/>
      <c r="AU165" s="570"/>
      <c r="AV165" s="588"/>
    </row>
    <row r="166" ht="18.6" thickBot="true" x14ac:dyDescent="0.45">
      <c r="A166" s="704"/>
      <c r="B166" s="570"/>
      <c r="C166" s="570"/>
      <c r="D166" s="708"/>
      <c r="E166" s="1926" t="s">
        <v>1521</v>
      </c>
      <c r="F166" s="1926"/>
      <c r="G166" s="1926"/>
      <c r="H166" s="362"/>
      <c r="I166" s="626"/>
      <c r="J166" s="570"/>
      <c r="K166" s="292"/>
      <c r="L166" s="362"/>
      <c r="M166" s="335"/>
      <c r="N166" s="570"/>
      <c r="O166" s="570"/>
      <c r="P166" s="298"/>
      <c r="Q166" s="297"/>
      <c r="R166" s="611"/>
      <c r="S166" s="611"/>
      <c r="T166" s="709"/>
      <c r="U166" s="570"/>
      <c r="V166" s="570"/>
      <c r="W166" s="570"/>
      <c r="X166" s="570"/>
      <c r="Y166" s="570"/>
      <c r="Z166" s="570"/>
      <c r="AA166" s="570"/>
      <c r="AB166" s="570"/>
      <c r="AC166" s="570"/>
      <c r="AD166" s="570"/>
      <c r="AE166" s="570"/>
      <c r="AF166" s="570"/>
      <c r="AG166" s="570"/>
      <c r="AH166" s="570"/>
      <c r="AI166" s="570"/>
      <c r="AJ166" s="570"/>
      <c r="AK166" s="570"/>
      <c r="AL166" s="570"/>
      <c r="AM166" s="570"/>
      <c r="AN166" s="570"/>
      <c r="AO166" s="570"/>
      <c r="AP166" s="570"/>
      <c r="AQ166" s="570"/>
      <c r="AR166" s="570"/>
      <c r="AS166" s="570"/>
      <c r="AT166" s="570"/>
      <c r="AU166" s="570"/>
      <c r="AV166" s="588"/>
    </row>
    <row r="167" x14ac:dyDescent="0.3">
      <c r="A167" s="704"/>
      <c r="B167" s="570"/>
      <c r="C167" s="570"/>
      <c r="D167" s="708"/>
      <c r="E167" s="1911" t="s">
        <v>1522</v>
      </c>
      <c r="F167" s="1912"/>
      <c r="G167" s="1913"/>
      <c r="H167" s="1238">
        <f>SUM(IN_flow_rates__kg_h)</f>
        <v>6778.7792000553327</v>
      </c>
      <c r="I167" s="626"/>
      <c r="J167" s="570"/>
      <c r="K167" s="292"/>
      <c r="L167" s="362"/>
      <c r="M167" s="335"/>
      <c r="N167" s="570"/>
      <c r="O167" s="570"/>
      <c r="P167" s="298"/>
      <c r="Q167" s="297"/>
      <c r="R167" s="611"/>
      <c r="S167" s="611"/>
      <c r="T167" s="709"/>
      <c r="U167" s="570"/>
      <c r="V167" s="570"/>
      <c r="W167" s="570"/>
      <c r="X167" s="570"/>
      <c r="Y167" s="570"/>
      <c r="Z167" s="570"/>
      <c r="AA167" s="570"/>
      <c r="AB167" s="570"/>
      <c r="AC167" s="570"/>
      <c r="AD167" s="570"/>
      <c r="AE167" s="570"/>
      <c r="AF167" s="570"/>
      <c r="AG167" s="570"/>
      <c r="AH167" s="570"/>
      <c r="AI167" s="570"/>
      <c r="AJ167" s="570"/>
      <c r="AK167" s="570"/>
      <c r="AL167" s="570"/>
      <c r="AM167" s="570"/>
      <c r="AN167" s="570"/>
      <c r="AO167" s="570"/>
      <c r="AP167" s="570"/>
      <c r="AQ167" s="570"/>
      <c r="AR167" s="570"/>
      <c r="AS167" s="570"/>
      <c r="AT167" s="570"/>
      <c r="AU167" s="570"/>
      <c r="AV167" s="588"/>
    </row>
    <row r="168" x14ac:dyDescent="0.3">
      <c r="A168" s="704"/>
      <c r="B168" s="570"/>
      <c r="C168" s="570"/>
      <c r="D168" s="708"/>
      <c r="E168" s="1914" t="s">
        <v>1523</v>
      </c>
      <c r="F168" s="1915"/>
      <c r="G168" s="1916"/>
      <c r="H168" s="1235">
        <f>'VII. Economic'!G65</f>
        <v>39552324.545503646</v>
      </c>
      <c r="I168" s="626"/>
      <c r="J168" s="570"/>
      <c r="K168" s="292"/>
      <c r="L168" s="362"/>
      <c r="M168" s="335"/>
      <c r="N168" s="570"/>
      <c r="O168" s="570"/>
      <c r="P168" s="298"/>
      <c r="Q168" s="297"/>
      <c r="R168" s="611"/>
      <c r="S168" s="611"/>
      <c r="T168" s="709"/>
      <c r="U168" s="570"/>
      <c r="V168" s="570"/>
      <c r="W168" s="570"/>
      <c r="X168" s="570"/>
      <c r="Y168" s="570"/>
      <c r="Z168" s="570"/>
      <c r="AA168" s="570"/>
      <c r="AB168" s="570"/>
      <c r="AC168" s="570"/>
      <c r="AD168" s="570"/>
      <c r="AE168" s="570"/>
      <c r="AF168" s="570"/>
      <c r="AG168" s="570"/>
      <c r="AH168" s="570"/>
      <c r="AI168" s="570"/>
      <c r="AJ168" s="570"/>
      <c r="AK168" s="570"/>
      <c r="AL168" s="570"/>
      <c r="AM168" s="570"/>
      <c r="AN168" s="570"/>
      <c r="AO168" s="570"/>
      <c r="AP168" s="570"/>
      <c r="AQ168" s="570"/>
      <c r="AR168" s="570"/>
      <c r="AS168" s="570"/>
      <c r="AT168" s="570"/>
      <c r="AU168" s="570"/>
      <c r="AV168" s="588"/>
    </row>
    <row r="169" ht="16.2" thickBot="true" x14ac:dyDescent="0.35">
      <c r="A169" s="704"/>
      <c r="B169" s="570"/>
      <c r="C169" s="570"/>
      <c r="D169" s="708"/>
      <c r="E169" s="1917" t="s">
        <v>1524</v>
      </c>
      <c r="F169" s="1918"/>
      <c r="G169" s="1919"/>
      <c r="H169" s="1237">
        <f>H168/8766</f>
        <v>4512.0151204088124</v>
      </c>
      <c r="I169" s="626"/>
      <c r="J169" s="570"/>
      <c r="K169" s="292"/>
      <c r="L169" s="362"/>
      <c r="M169" s="335"/>
      <c r="N169" s="570"/>
      <c r="O169" s="570"/>
      <c r="P169" s="298"/>
      <c r="Q169" s="297"/>
      <c r="R169" s="611"/>
      <c r="S169" s="611"/>
      <c r="T169" s="709"/>
      <c r="U169" s="570"/>
      <c r="V169" s="570"/>
      <c r="W169" s="570"/>
      <c r="X169" s="570"/>
      <c r="Y169" s="570"/>
      <c r="Z169" s="570"/>
      <c r="AA169" s="570"/>
      <c r="AB169" s="570"/>
      <c r="AC169" s="570"/>
      <c r="AD169" s="570"/>
      <c r="AE169" s="570"/>
      <c r="AF169" s="570"/>
      <c r="AG169" s="570"/>
      <c r="AH169" s="570"/>
      <c r="AI169" s="570"/>
      <c r="AJ169" s="570"/>
      <c r="AK169" s="570"/>
      <c r="AL169" s="570"/>
      <c r="AM169" s="570"/>
      <c r="AN169" s="570"/>
      <c r="AO169" s="570"/>
      <c r="AP169" s="570"/>
      <c r="AQ169" s="570"/>
      <c r="AR169" s="570"/>
      <c r="AS169" s="570"/>
      <c r="AT169" s="570"/>
      <c r="AU169" s="570"/>
      <c r="AV169" s="588"/>
    </row>
    <row r="170" x14ac:dyDescent="0.3">
      <c r="A170" s="704"/>
      <c r="B170" s="570"/>
      <c r="C170" s="570"/>
      <c r="D170" s="708"/>
      <c r="E170" s="829"/>
      <c r="F170" s="709"/>
      <c r="G170" s="570"/>
      <c r="H170" s="292"/>
      <c r="I170" s="626"/>
      <c r="J170" s="570"/>
      <c r="K170" s="292"/>
      <c r="L170" s="362"/>
      <c r="M170" s="335"/>
      <c r="N170" s="570"/>
      <c r="O170" s="570"/>
      <c r="P170" s="298"/>
      <c r="Q170" s="297"/>
      <c r="R170" s="611"/>
      <c r="S170" s="611"/>
      <c r="T170" s="709"/>
      <c r="U170" s="570"/>
      <c r="V170" s="570"/>
      <c r="W170" s="570"/>
      <c r="X170" s="570"/>
      <c r="Y170" s="570"/>
      <c r="Z170" s="570"/>
      <c r="AA170" s="570"/>
      <c r="AB170" s="570"/>
      <c r="AC170" s="570"/>
      <c r="AD170" s="570"/>
      <c r="AE170" s="570"/>
      <c r="AF170" s="570"/>
      <c r="AG170" s="570"/>
      <c r="AH170" s="570"/>
      <c r="AI170" s="570"/>
      <c r="AJ170" s="570"/>
      <c r="AK170" s="570"/>
      <c r="AL170" s="570"/>
      <c r="AM170" s="570"/>
      <c r="AN170" s="570"/>
      <c r="AO170" s="570"/>
      <c r="AP170" s="570"/>
      <c r="AQ170" s="570"/>
      <c r="AR170" s="570"/>
      <c r="AS170" s="570"/>
      <c r="AT170" s="570"/>
      <c r="AU170" s="570"/>
      <c r="AV170" s="588"/>
    </row>
    <row r="171" x14ac:dyDescent="0.3">
      <c r="A171" s="704"/>
      <c r="B171" s="570"/>
      <c r="C171" s="570"/>
      <c r="D171" s="708"/>
      <c r="E171" s="829"/>
      <c r="F171" s="709"/>
      <c r="G171" s="570"/>
      <c r="H171" s="292"/>
      <c r="I171" s="626"/>
      <c r="J171" s="570"/>
      <c r="K171" s="292"/>
      <c r="L171" s="362"/>
      <c r="M171" s="335"/>
      <c r="N171" s="570"/>
      <c r="O171" s="570"/>
      <c r="P171" s="298"/>
      <c r="Q171" s="297"/>
      <c r="R171" s="611"/>
      <c r="S171" s="611"/>
      <c r="T171" s="709"/>
      <c r="U171" s="570"/>
      <c r="V171" s="570"/>
      <c r="W171" s="570"/>
      <c r="X171" s="570"/>
      <c r="Y171" s="570"/>
      <c r="Z171" s="570"/>
      <c r="AA171" s="570"/>
      <c r="AB171" s="570"/>
      <c r="AC171" s="570"/>
      <c r="AD171" s="570"/>
      <c r="AE171" s="570"/>
      <c r="AF171" s="570"/>
      <c r="AG171" s="570"/>
      <c r="AH171" s="570"/>
      <c r="AI171" s="570"/>
      <c r="AJ171" s="570"/>
      <c r="AK171" s="570"/>
      <c r="AL171" s="570"/>
      <c r="AM171" s="570"/>
      <c r="AN171" s="570"/>
      <c r="AO171" s="570"/>
      <c r="AP171" s="570"/>
      <c r="AQ171" s="570"/>
      <c r="AR171" s="570"/>
      <c r="AS171" s="570"/>
      <c r="AT171" s="570"/>
      <c r="AU171" s="570"/>
      <c r="AV171" s="588"/>
    </row>
    <row r="172" x14ac:dyDescent="0.3">
      <c r="A172" s="704"/>
      <c r="B172" s="570"/>
      <c r="C172" s="570"/>
      <c r="D172" s="708"/>
      <c r="E172" s="829"/>
      <c r="F172" s="709"/>
      <c r="G172" s="570"/>
      <c r="H172" s="292"/>
      <c r="I172" s="626"/>
      <c r="J172" s="570"/>
      <c r="K172" s="292"/>
      <c r="L172" s="362"/>
      <c r="M172" s="335"/>
      <c r="N172" s="570"/>
      <c r="O172" s="570"/>
      <c r="P172" s="298"/>
      <c r="Q172" s="297"/>
      <c r="R172" s="611"/>
      <c r="S172" s="611"/>
      <c r="T172" s="709"/>
      <c r="U172" s="570"/>
      <c r="V172" s="570"/>
      <c r="W172" s="570"/>
      <c r="X172" s="570"/>
      <c r="Y172" s="570"/>
      <c r="Z172" s="570"/>
      <c r="AA172" s="570"/>
      <c r="AB172" s="570"/>
      <c r="AC172" s="570"/>
      <c r="AD172" s="570"/>
      <c r="AE172" s="570"/>
      <c r="AF172" s="570"/>
      <c r="AG172" s="570"/>
      <c r="AH172" s="570"/>
      <c r="AI172" s="570"/>
      <c r="AJ172" s="570"/>
      <c r="AK172" s="570"/>
      <c r="AL172" s="570"/>
      <c r="AM172" s="570"/>
      <c r="AN172" s="570"/>
      <c r="AO172" s="570"/>
      <c r="AP172" s="570"/>
      <c r="AQ172" s="570"/>
      <c r="AR172" s="570"/>
      <c r="AS172" s="570"/>
      <c r="AT172" s="570"/>
      <c r="AU172" s="570"/>
      <c r="AV172" s="588"/>
    </row>
    <row r="173" x14ac:dyDescent="0.3">
      <c r="A173" s="704"/>
      <c r="B173" s="570"/>
      <c r="C173" s="570"/>
      <c r="D173" s="708"/>
      <c r="E173" s="829"/>
      <c r="F173" s="709"/>
      <c r="G173" s="570"/>
      <c r="H173" s="292"/>
      <c r="I173" s="626"/>
      <c r="J173" s="570"/>
      <c r="K173" s="292"/>
      <c r="L173" s="362"/>
      <c r="M173" s="335"/>
      <c r="N173" s="570"/>
      <c r="O173" s="570"/>
      <c r="P173" s="298"/>
      <c r="Q173" s="297"/>
      <c r="R173" s="611"/>
      <c r="S173" s="611"/>
      <c r="T173" s="709"/>
      <c r="U173" s="570"/>
      <c r="V173" s="570"/>
      <c r="W173" s="570"/>
      <c r="X173" s="570"/>
      <c r="Y173" s="570"/>
      <c r="Z173" s="570"/>
      <c r="AA173" s="570"/>
      <c r="AB173" s="570"/>
      <c r="AC173" s="570"/>
      <c r="AD173" s="570"/>
      <c r="AE173" s="570"/>
      <c r="AF173" s="570"/>
      <c r="AG173" s="570"/>
      <c r="AH173" s="570"/>
      <c r="AI173" s="570"/>
      <c r="AJ173" s="570"/>
      <c r="AK173" s="570"/>
      <c r="AL173" s="570"/>
      <c r="AM173" s="570"/>
      <c r="AN173" s="570"/>
      <c r="AO173" s="570"/>
      <c r="AP173" s="570"/>
      <c r="AQ173" s="570"/>
      <c r="AR173" s="570"/>
      <c r="AS173" s="570"/>
      <c r="AT173" s="570"/>
      <c r="AU173" s="570"/>
      <c r="AV173" s="588"/>
    </row>
    <row r="174" ht="16.2" thickBot="true" x14ac:dyDescent="0.35">
      <c r="A174" s="704"/>
      <c r="B174" s="570"/>
      <c r="C174" s="570"/>
      <c r="D174" s="708"/>
      <c r="E174" s="1920" t="s">
        <v>1546</v>
      </c>
      <c r="F174" s="1920"/>
      <c r="G174" s="1920"/>
      <c r="H174" s="292"/>
      <c r="I174" s="626"/>
      <c r="J174" s="570"/>
      <c r="K174" s="292"/>
      <c r="L174" s="362"/>
      <c r="M174" s="335"/>
      <c r="N174" s="570"/>
      <c r="O174" s="570"/>
      <c r="P174" s="298"/>
      <c r="Q174" s="297"/>
      <c r="R174" s="611"/>
      <c r="S174" s="611"/>
      <c r="T174" s="709"/>
      <c r="U174" s="570"/>
      <c r="V174" s="570"/>
      <c r="W174" s="570"/>
      <c r="X174" s="570"/>
      <c r="Y174" s="570"/>
      <c r="Z174" s="570"/>
      <c r="AA174" s="570"/>
      <c r="AB174" s="570"/>
      <c r="AC174" s="570"/>
      <c r="AD174" s="570"/>
      <c r="AE174" s="570"/>
      <c r="AF174" s="570"/>
      <c r="AG174" s="570"/>
      <c r="AH174" s="570"/>
      <c r="AI174" s="570"/>
      <c r="AJ174" s="570"/>
      <c r="AK174" s="570"/>
      <c r="AL174" s="570"/>
      <c r="AM174" s="570"/>
      <c r="AN174" s="570"/>
      <c r="AO174" s="570"/>
      <c r="AP174" s="570"/>
      <c r="AQ174" s="570"/>
      <c r="AR174" s="570"/>
      <c r="AS174" s="570"/>
      <c r="AT174" s="570"/>
      <c r="AU174" s="570"/>
      <c r="AV174" s="588"/>
    </row>
    <row r="175" x14ac:dyDescent="0.3">
      <c r="A175" s="704"/>
      <c r="B175" s="570"/>
      <c r="C175" s="570"/>
      <c r="D175" s="708"/>
      <c r="E175" s="1891" t="s">
        <v>1522</v>
      </c>
      <c r="F175" s="1892"/>
      <c r="G175" s="1892"/>
      <c r="H175" s="1238">
        <f>H167</f>
        <v>6778.7792000553327</v>
      </c>
      <c r="I175" s="626"/>
      <c r="J175" s="570"/>
      <c r="K175" s="292"/>
      <c r="L175" s="362"/>
      <c r="M175" s="335"/>
      <c r="N175" s="570"/>
      <c r="O175" s="570"/>
      <c r="P175" s="298"/>
      <c r="Q175" s="297"/>
      <c r="R175" s="611"/>
      <c r="S175" s="611"/>
      <c r="T175" s="709"/>
      <c r="U175" s="570"/>
      <c r="V175" s="570"/>
      <c r="W175" s="570"/>
      <c r="X175" s="570"/>
      <c r="Y175" s="570"/>
      <c r="Z175" s="570"/>
      <c r="AA175" s="570"/>
      <c r="AB175" s="570"/>
      <c r="AC175" s="570"/>
      <c r="AD175" s="570"/>
      <c r="AE175" s="570"/>
      <c r="AF175" s="570"/>
      <c r="AG175" s="570"/>
      <c r="AH175" s="570"/>
      <c r="AI175" s="570"/>
      <c r="AJ175" s="570"/>
      <c r="AK175" s="570"/>
      <c r="AL175" s="570"/>
      <c r="AM175" s="570"/>
      <c r="AN175" s="570"/>
      <c r="AO175" s="570"/>
      <c r="AP175" s="570"/>
      <c r="AQ175" s="570"/>
      <c r="AR175" s="570"/>
      <c r="AS175" s="570"/>
      <c r="AT175" s="570"/>
      <c r="AU175" s="570"/>
      <c r="AV175" s="588"/>
    </row>
    <row r="176" x14ac:dyDescent="0.3">
      <c r="A176" s="704"/>
      <c r="B176" s="570"/>
      <c r="C176" s="570"/>
      <c r="D176" s="708"/>
      <c r="E176" s="1902" t="s">
        <v>2231</v>
      </c>
      <c r="F176" s="1903"/>
      <c r="G176" s="1903"/>
      <c r="H176" s="1235">
        <f>SUMIF(H47:AU47,"=1",H49:AU49)</f>
        <v>4512.0151204088124</v>
      </c>
      <c r="I176" s="626"/>
      <c r="J176" s="570"/>
      <c r="K176" s="292"/>
      <c r="L176" s="362"/>
      <c r="M176" s="335"/>
      <c r="N176" s="570"/>
      <c r="O176" s="570"/>
      <c r="P176" s="298"/>
      <c r="Q176" s="297"/>
      <c r="R176" s="611"/>
      <c r="S176" s="611"/>
      <c r="T176" s="709"/>
      <c r="U176" s="570"/>
      <c r="V176" s="570"/>
      <c r="W176" s="570"/>
      <c r="X176" s="570"/>
      <c r="Y176" s="570"/>
      <c r="Z176" s="570"/>
      <c r="AA176" s="570"/>
      <c r="AB176" s="570"/>
      <c r="AC176" s="570"/>
      <c r="AD176" s="570"/>
      <c r="AE176" s="570"/>
      <c r="AF176" s="570"/>
      <c r="AG176" s="570"/>
      <c r="AH176" s="570"/>
      <c r="AI176" s="570"/>
      <c r="AJ176" s="570"/>
      <c r="AK176" s="570"/>
      <c r="AL176" s="570"/>
      <c r="AM176" s="570"/>
      <c r="AN176" s="570"/>
      <c r="AO176" s="570"/>
      <c r="AP176" s="570"/>
      <c r="AQ176" s="570"/>
      <c r="AR176" s="570"/>
      <c r="AS176" s="570"/>
      <c r="AT176" s="570"/>
      <c r="AU176" s="570"/>
      <c r="AV176" s="588"/>
    </row>
    <row r="177" x14ac:dyDescent="0.3">
      <c r="A177" s="704"/>
      <c r="B177" s="570"/>
      <c r="C177" s="570"/>
      <c r="D177" s="708"/>
      <c r="E177" s="1902" t="s">
        <v>1527</v>
      </c>
      <c r="F177" s="1903"/>
      <c r="G177" s="1903"/>
      <c r="H177" s="1235">
        <f>IF(ISNA(VLOOKUP("7732-18-5",'I. Stream &amp; Compound Data'!H262:P311,COLUMNS('I. Stream &amp; Compound Data'!H262:P311),FALSE))=TRUE,0,VLOOKUP("7732-18-5",'I. Stream &amp; Compound Data'!H262:P311,COLUMNS('I. Stream &amp; Compound Data'!H262:P311),FALSE))</f>
        <v>0</v>
      </c>
      <c r="I177" s="626"/>
      <c r="J177" s="570"/>
      <c r="K177" s="292"/>
      <c r="L177" s="362"/>
      <c r="M177" s="335"/>
      <c r="N177" s="570"/>
      <c r="O177" s="570"/>
      <c r="P177" s="298"/>
      <c r="Q177" s="297"/>
      <c r="R177" s="611"/>
      <c r="S177" s="611"/>
      <c r="T177" s="709"/>
      <c r="U177" s="570"/>
      <c r="V177" s="570"/>
      <c r="W177" s="570"/>
      <c r="X177" s="570"/>
      <c r="Y177" s="570"/>
      <c r="Z177" s="570"/>
      <c r="AA177" s="570"/>
      <c r="AB177" s="570"/>
      <c r="AC177" s="570"/>
      <c r="AD177" s="570"/>
      <c r="AE177" s="570"/>
      <c r="AF177" s="570"/>
      <c r="AG177" s="570"/>
      <c r="AH177" s="570"/>
      <c r="AI177" s="570"/>
      <c r="AJ177" s="570"/>
      <c r="AK177" s="570"/>
      <c r="AL177" s="570"/>
      <c r="AM177" s="570"/>
      <c r="AN177" s="570"/>
      <c r="AO177" s="570"/>
      <c r="AP177" s="570"/>
      <c r="AQ177" s="570"/>
      <c r="AR177" s="570"/>
      <c r="AS177" s="570"/>
      <c r="AT177" s="570"/>
      <c r="AU177" s="570"/>
      <c r="AV177" s="588"/>
    </row>
    <row r="178" ht="16.2" thickBot="true" x14ac:dyDescent="0.35">
      <c r="A178" s="704"/>
      <c r="B178" s="570"/>
      <c r="C178" s="570"/>
      <c r="D178" s="708"/>
      <c r="E178" s="1895" t="s">
        <v>1526</v>
      </c>
      <c r="F178" s="1896"/>
      <c r="G178" s="1896"/>
      <c r="H178" s="1237">
        <f>H175-H176-H177</f>
        <v>2266.7640796465203</v>
      </c>
      <c r="I178" s="626"/>
      <c r="J178" s="570"/>
      <c r="K178" s="292"/>
      <c r="L178" s="362"/>
      <c r="M178" s="335"/>
      <c r="N178" s="570"/>
      <c r="O178" s="570"/>
      <c r="P178" s="298"/>
      <c r="Q178" s="297"/>
      <c r="R178" s="611"/>
      <c r="S178" s="611"/>
      <c r="T178" s="709"/>
      <c r="U178" s="570"/>
      <c r="V178" s="570"/>
      <c r="W178" s="570"/>
      <c r="X178" s="570"/>
      <c r="Y178" s="570"/>
      <c r="Z178" s="570"/>
      <c r="AA178" s="570"/>
      <c r="AB178" s="570"/>
      <c r="AC178" s="570"/>
      <c r="AD178" s="570"/>
      <c r="AE178" s="570"/>
      <c r="AF178" s="570"/>
      <c r="AG178" s="570"/>
      <c r="AH178" s="570"/>
      <c r="AI178" s="570"/>
      <c r="AJ178" s="570"/>
      <c r="AK178" s="570"/>
      <c r="AL178" s="570"/>
      <c r="AM178" s="570"/>
      <c r="AN178" s="570"/>
      <c r="AO178" s="570"/>
      <c r="AP178" s="570"/>
      <c r="AQ178" s="570"/>
      <c r="AR178" s="570"/>
      <c r="AS178" s="570"/>
      <c r="AT178" s="570"/>
      <c r="AU178" s="570"/>
      <c r="AV178" s="588"/>
    </row>
    <row r="179" x14ac:dyDescent="0.3">
      <c r="A179" s="704"/>
      <c r="B179" s="570"/>
      <c r="C179" s="570"/>
      <c r="D179" s="708"/>
      <c r="E179" s="829"/>
      <c r="F179" s="709"/>
      <c r="G179" s="570"/>
      <c r="H179" s="292"/>
      <c r="I179" s="626"/>
      <c r="J179" s="570"/>
      <c r="K179" s="292"/>
      <c r="L179" s="362"/>
      <c r="M179" s="335"/>
      <c r="N179" s="570"/>
      <c r="O179" s="570"/>
      <c r="P179" s="298"/>
      <c r="Q179" s="297"/>
      <c r="R179" s="611"/>
      <c r="S179" s="611"/>
      <c r="T179" s="709"/>
      <c r="U179" s="570"/>
      <c r="V179" s="570"/>
      <c r="W179" s="570"/>
      <c r="X179" s="570"/>
      <c r="Y179" s="570"/>
      <c r="Z179" s="570"/>
      <c r="AA179" s="570"/>
      <c r="AB179" s="570"/>
      <c r="AC179" s="570"/>
      <c r="AD179" s="570"/>
      <c r="AE179" s="570"/>
      <c r="AF179" s="570"/>
      <c r="AG179" s="570"/>
      <c r="AH179" s="570"/>
      <c r="AI179" s="570"/>
      <c r="AJ179" s="570"/>
      <c r="AK179" s="570"/>
      <c r="AL179" s="570"/>
      <c r="AM179" s="570"/>
      <c r="AN179" s="570"/>
      <c r="AO179" s="570"/>
      <c r="AP179" s="570"/>
      <c r="AQ179" s="570"/>
      <c r="AR179" s="570"/>
      <c r="AS179" s="570"/>
      <c r="AT179" s="570"/>
      <c r="AU179" s="570"/>
      <c r="AV179" s="588"/>
    </row>
    <row r="180" x14ac:dyDescent="0.3">
      <c r="A180" s="704"/>
      <c r="B180" s="570"/>
      <c r="C180" s="570"/>
      <c r="D180" s="708"/>
      <c r="E180" s="829"/>
      <c r="F180" s="709"/>
      <c r="G180" s="570"/>
      <c r="H180" s="292"/>
      <c r="I180" s="626"/>
      <c r="J180" s="570"/>
      <c r="K180" s="292"/>
      <c r="L180" s="362"/>
      <c r="M180" s="335"/>
      <c r="N180" s="570"/>
      <c r="O180" s="570"/>
      <c r="P180" s="298"/>
      <c r="Q180" s="297"/>
      <c r="R180" s="611"/>
      <c r="S180" s="611"/>
      <c r="T180" s="709"/>
      <c r="U180" s="570"/>
      <c r="V180" s="570"/>
      <c r="W180" s="570"/>
      <c r="X180" s="570"/>
      <c r="Y180" s="570"/>
      <c r="Z180" s="570"/>
      <c r="AA180" s="570"/>
      <c r="AB180" s="570"/>
      <c r="AC180" s="570"/>
      <c r="AD180" s="570"/>
      <c r="AE180" s="570"/>
      <c r="AF180" s="570"/>
      <c r="AG180" s="570"/>
      <c r="AH180" s="570"/>
      <c r="AI180" s="570"/>
      <c r="AJ180" s="570"/>
      <c r="AK180" s="570"/>
      <c r="AL180" s="570"/>
      <c r="AM180" s="570"/>
      <c r="AN180" s="570"/>
      <c r="AO180" s="570"/>
      <c r="AP180" s="570"/>
      <c r="AQ180" s="570"/>
      <c r="AR180" s="570"/>
      <c r="AS180" s="570"/>
      <c r="AT180" s="570"/>
      <c r="AU180" s="570"/>
      <c r="AV180" s="588"/>
    </row>
    <row r="181" x14ac:dyDescent="0.3">
      <c r="A181" s="704"/>
      <c r="B181" s="570"/>
      <c r="C181" s="570"/>
      <c r="D181" s="708"/>
      <c r="E181" s="829"/>
      <c r="F181" s="709"/>
      <c r="G181" s="570"/>
      <c r="H181" s="292"/>
      <c r="I181" s="626"/>
      <c r="J181" s="570"/>
      <c r="K181" s="292"/>
      <c r="L181" s="362"/>
      <c r="M181" s="335"/>
      <c r="N181" s="570"/>
      <c r="O181" s="570"/>
      <c r="P181" s="298"/>
      <c r="Q181" s="297"/>
      <c r="R181" s="611"/>
      <c r="S181" s="611"/>
      <c r="T181" s="709"/>
      <c r="U181" s="570"/>
      <c r="V181" s="570"/>
      <c r="W181" s="570"/>
      <c r="X181" s="570"/>
      <c r="Y181" s="570"/>
      <c r="Z181" s="570"/>
      <c r="AA181" s="570"/>
      <c r="AB181" s="570"/>
      <c r="AC181" s="570"/>
      <c r="AD181" s="570"/>
      <c r="AE181" s="570"/>
      <c r="AF181" s="570"/>
      <c r="AG181" s="570"/>
      <c r="AH181" s="570"/>
      <c r="AI181" s="570"/>
      <c r="AJ181" s="570"/>
      <c r="AK181" s="570"/>
      <c r="AL181" s="570"/>
      <c r="AM181" s="570"/>
      <c r="AN181" s="570"/>
      <c r="AO181" s="570"/>
      <c r="AP181" s="570"/>
      <c r="AQ181" s="570"/>
      <c r="AR181" s="570"/>
      <c r="AS181" s="570"/>
      <c r="AT181" s="570"/>
      <c r="AU181" s="570"/>
      <c r="AV181" s="588"/>
    </row>
    <row r="182" x14ac:dyDescent="0.3">
      <c r="A182" s="704"/>
      <c r="B182" s="570"/>
      <c r="C182" s="570"/>
      <c r="D182" s="708"/>
      <c r="E182" s="829"/>
      <c r="F182" s="709"/>
      <c r="G182" s="570"/>
      <c r="H182" s="292"/>
      <c r="I182" s="626"/>
      <c r="J182" s="570"/>
      <c r="K182" s="292"/>
      <c r="L182" s="362"/>
      <c r="M182" s="335"/>
      <c r="N182" s="570"/>
      <c r="O182" s="570"/>
      <c r="P182" s="298"/>
      <c r="Q182" s="297"/>
      <c r="R182" s="611"/>
      <c r="S182" s="611"/>
      <c r="T182" s="709"/>
      <c r="U182" s="570"/>
      <c r="V182" s="570"/>
      <c r="W182" s="570"/>
      <c r="X182" s="570"/>
      <c r="Y182" s="570"/>
      <c r="Z182" s="570"/>
      <c r="AA182" s="570"/>
      <c r="AB182" s="570"/>
      <c r="AC182" s="570"/>
      <c r="AD182" s="570"/>
      <c r="AE182" s="570"/>
      <c r="AF182" s="570"/>
      <c r="AG182" s="570"/>
      <c r="AH182" s="570"/>
      <c r="AI182" s="570"/>
      <c r="AJ182" s="570"/>
      <c r="AK182" s="570"/>
      <c r="AL182" s="570"/>
      <c r="AM182" s="570"/>
      <c r="AN182" s="570"/>
      <c r="AO182" s="570"/>
      <c r="AP182" s="570"/>
      <c r="AQ182" s="570"/>
      <c r="AR182" s="570"/>
      <c r="AS182" s="570"/>
      <c r="AT182" s="570"/>
      <c r="AU182" s="570"/>
      <c r="AV182" s="588"/>
    </row>
    <row r="183" ht="33.75" customHeight="true" thickBot="true" x14ac:dyDescent="0.45">
      <c r="A183" s="704"/>
      <c r="B183" s="570"/>
      <c r="C183" s="570"/>
      <c r="D183" s="708"/>
      <c r="E183" s="1910" t="s">
        <v>1529</v>
      </c>
      <c r="F183" s="1910"/>
      <c r="G183" s="1910"/>
      <c r="H183" s="292"/>
      <c r="I183" s="626"/>
      <c r="J183" s="570"/>
      <c r="K183" s="292"/>
      <c r="L183" s="362"/>
      <c r="M183" s="335"/>
      <c r="N183" s="570"/>
      <c r="O183" s="570"/>
      <c r="P183" s="298"/>
      <c r="Q183" s="297"/>
      <c r="R183" s="611"/>
      <c r="S183" s="611"/>
      <c r="T183" s="709"/>
      <c r="U183" s="570"/>
      <c r="V183" s="570"/>
      <c r="W183" s="570"/>
      <c r="X183" s="570"/>
      <c r="Y183" s="570"/>
      <c r="Z183" s="570"/>
      <c r="AA183" s="570"/>
      <c r="AB183" s="570"/>
      <c r="AC183" s="570"/>
      <c r="AD183" s="570"/>
      <c r="AE183" s="570"/>
      <c r="AF183" s="570"/>
      <c r="AG183" s="570"/>
      <c r="AH183" s="570"/>
      <c r="AI183" s="570"/>
      <c r="AJ183" s="570"/>
      <c r="AK183" s="570"/>
      <c r="AL183" s="570"/>
      <c r="AM183" s="570"/>
      <c r="AN183" s="570"/>
      <c r="AO183" s="570"/>
      <c r="AP183" s="570"/>
      <c r="AQ183" s="570"/>
      <c r="AR183" s="570"/>
      <c r="AS183" s="570"/>
      <c r="AT183" s="570"/>
      <c r="AU183" s="570"/>
      <c r="AV183" s="588"/>
    </row>
    <row r="184" x14ac:dyDescent="0.3">
      <c r="A184" s="704"/>
      <c r="B184" s="570"/>
      <c r="C184" s="570"/>
      <c r="D184" s="708"/>
      <c r="E184" s="1884" t="s">
        <v>1498</v>
      </c>
      <c r="F184" s="1885"/>
      <c r="G184" s="1885"/>
      <c r="H184" s="1238">
        <f>H55</f>
        <v>1</v>
      </c>
      <c r="I184" s="626"/>
      <c r="J184" s="570"/>
      <c r="K184" s="292"/>
      <c r="L184" s="362"/>
      <c r="M184" s="335"/>
      <c r="N184" s="570"/>
      <c r="O184" s="570"/>
      <c r="P184" s="298"/>
      <c r="Q184" s="297"/>
      <c r="R184" s="611"/>
      <c r="S184" s="611"/>
      <c r="T184" s="709"/>
      <c r="U184" s="570"/>
      <c r="V184" s="570"/>
      <c r="W184" s="570"/>
      <c r="X184" s="570"/>
      <c r="Y184" s="570"/>
      <c r="Z184" s="570"/>
      <c r="AA184" s="570"/>
      <c r="AB184" s="570"/>
      <c r="AC184" s="570"/>
      <c r="AD184" s="570"/>
      <c r="AE184" s="570"/>
      <c r="AF184" s="570"/>
      <c r="AG184" s="570"/>
      <c r="AH184" s="570"/>
      <c r="AI184" s="570"/>
      <c r="AJ184" s="570"/>
      <c r="AK184" s="570"/>
      <c r="AL184" s="570"/>
      <c r="AM184" s="570"/>
      <c r="AN184" s="570"/>
      <c r="AO184" s="570"/>
      <c r="AP184" s="570"/>
      <c r="AQ184" s="570"/>
      <c r="AR184" s="570"/>
      <c r="AS184" s="570"/>
      <c r="AT184" s="570"/>
      <c r="AU184" s="570"/>
      <c r="AV184" s="588"/>
    </row>
    <row r="185" x14ac:dyDescent="0.3">
      <c r="A185" s="704"/>
      <c r="B185" s="570"/>
      <c r="C185" s="570"/>
      <c r="D185" s="708"/>
      <c r="E185" s="1886" t="s">
        <v>1514</v>
      </c>
      <c r="F185" s="1887"/>
      <c r="G185" s="1887"/>
      <c r="H185" s="1235">
        <f>H56</f>
        <v>3</v>
      </c>
      <c r="I185" s="626"/>
      <c r="J185" s="570"/>
      <c r="K185" s="292"/>
      <c r="L185" s="362"/>
      <c r="M185" s="335"/>
      <c r="N185" s="570"/>
      <c r="O185" s="570"/>
      <c r="P185" s="298"/>
      <c r="Q185" s="297"/>
      <c r="R185" s="611"/>
      <c r="S185" s="611"/>
      <c r="T185" s="709"/>
      <c r="U185" s="570"/>
      <c r="V185" s="570"/>
      <c r="W185" s="570"/>
      <c r="X185" s="570"/>
      <c r="Y185" s="570"/>
      <c r="Z185" s="570"/>
      <c r="AA185" s="570"/>
      <c r="AB185" s="570"/>
      <c r="AC185" s="570"/>
      <c r="AD185" s="570"/>
      <c r="AE185" s="570"/>
      <c r="AF185" s="570"/>
      <c r="AG185" s="570"/>
      <c r="AH185" s="570"/>
      <c r="AI185" s="570"/>
      <c r="AJ185" s="570"/>
      <c r="AK185" s="570"/>
      <c r="AL185" s="570"/>
      <c r="AM185" s="570"/>
      <c r="AN185" s="570"/>
      <c r="AO185" s="570"/>
      <c r="AP185" s="570"/>
      <c r="AQ185" s="570"/>
      <c r="AR185" s="570"/>
      <c r="AS185" s="570"/>
      <c r="AT185" s="570"/>
      <c r="AU185" s="570"/>
      <c r="AV185" s="588"/>
    </row>
    <row r="186" x14ac:dyDescent="0.3">
      <c r="A186" s="704"/>
      <c r="B186" s="570"/>
      <c r="C186" s="570"/>
      <c r="D186" s="708"/>
      <c r="E186" s="1886" t="s">
        <v>1515</v>
      </c>
      <c r="F186" s="1887"/>
      <c r="G186" s="1887"/>
      <c r="H186" s="1235" t="str">
        <f>H57</f>
        <v>Calcium Oxide</v>
      </c>
      <c r="I186" s="626"/>
      <c r="J186" s="570"/>
      <c r="K186" s="292"/>
      <c r="L186" s="362"/>
      <c r="M186" s="335"/>
      <c r="N186" s="570"/>
      <c r="O186" s="570"/>
      <c r="P186" s="298"/>
      <c r="Q186" s="297"/>
      <c r="R186" s="611"/>
      <c r="S186" s="611"/>
      <c r="T186" s="709"/>
      <c r="U186" s="570"/>
      <c r="V186" s="570"/>
      <c r="W186" s="570"/>
      <c r="X186" s="570"/>
      <c r="Y186" s="570"/>
      <c r="Z186" s="570"/>
      <c r="AA186" s="570"/>
      <c r="AB186" s="570"/>
      <c r="AC186" s="570"/>
      <c r="AD186" s="570"/>
      <c r="AE186" s="570"/>
      <c r="AF186" s="570"/>
      <c r="AG186" s="570"/>
      <c r="AH186" s="570"/>
      <c r="AI186" s="570"/>
      <c r="AJ186" s="570"/>
      <c r="AK186" s="570"/>
      <c r="AL186" s="570"/>
      <c r="AM186" s="570"/>
      <c r="AN186" s="570"/>
      <c r="AO186" s="570"/>
      <c r="AP186" s="570"/>
      <c r="AQ186" s="570"/>
      <c r="AR186" s="570"/>
      <c r="AS186" s="570"/>
      <c r="AT186" s="570"/>
      <c r="AU186" s="570"/>
      <c r="AV186" s="588"/>
    </row>
    <row r="187" x14ac:dyDescent="0.3">
      <c r="A187" s="704"/>
      <c r="B187" s="570"/>
      <c r="C187" s="570"/>
      <c r="D187" s="708"/>
      <c r="E187" s="1888" t="s">
        <v>1516</v>
      </c>
      <c r="F187" s="1889"/>
      <c r="G187" s="1889"/>
      <c r="H187" s="1235">
        <f>H60</f>
        <v>1</v>
      </c>
      <c r="I187" s="626"/>
      <c r="J187" s="570"/>
      <c r="K187" s="292"/>
      <c r="L187" s="362"/>
      <c r="M187" s="335"/>
      <c r="N187" s="570"/>
      <c r="O187" s="570"/>
      <c r="P187" s="298"/>
      <c r="Q187" s="297"/>
      <c r="R187" s="611"/>
      <c r="S187" s="611"/>
      <c r="T187" s="709"/>
      <c r="U187" s="570"/>
      <c r="V187" s="570"/>
      <c r="W187" s="570"/>
      <c r="X187" s="570"/>
      <c r="Y187" s="570"/>
      <c r="Z187" s="570"/>
      <c r="AA187" s="570"/>
      <c r="AB187" s="570"/>
      <c r="AC187" s="570"/>
      <c r="AD187" s="570"/>
      <c r="AE187" s="570"/>
      <c r="AF187" s="570"/>
      <c r="AG187" s="570"/>
      <c r="AH187" s="570"/>
      <c r="AI187" s="570"/>
      <c r="AJ187" s="570"/>
      <c r="AK187" s="570"/>
      <c r="AL187" s="570"/>
      <c r="AM187" s="570"/>
      <c r="AN187" s="570"/>
      <c r="AO187" s="570"/>
      <c r="AP187" s="570"/>
      <c r="AQ187" s="570"/>
      <c r="AR187" s="570"/>
      <c r="AS187" s="570"/>
      <c r="AT187" s="570"/>
      <c r="AU187" s="570"/>
      <c r="AV187" s="588"/>
    </row>
    <row r="188" x14ac:dyDescent="0.3">
      <c r="A188" s="704"/>
      <c r="B188" s="570"/>
      <c r="C188" s="570"/>
      <c r="D188" s="708"/>
      <c r="E188" s="1886" t="s">
        <v>1517</v>
      </c>
      <c r="F188" s="1887"/>
      <c r="G188" s="1887"/>
      <c r="H188" s="1235">
        <f>H61</f>
        <v>56.076999999999998</v>
      </c>
      <c r="I188" s="626"/>
      <c r="J188" s="570"/>
      <c r="K188" s="292"/>
      <c r="L188" s="362"/>
      <c r="M188" s="335"/>
      <c r="N188" s="570"/>
      <c r="O188" s="570"/>
      <c r="P188" s="298"/>
      <c r="Q188" s="297"/>
      <c r="R188" s="611"/>
      <c r="S188" s="611"/>
      <c r="T188" s="709"/>
      <c r="U188" s="570"/>
      <c r="V188" s="570"/>
      <c r="W188" s="570"/>
      <c r="X188" s="570"/>
      <c r="Y188" s="570"/>
      <c r="Z188" s="570"/>
      <c r="AA188" s="570"/>
      <c r="AB188" s="570"/>
      <c r="AC188" s="570"/>
      <c r="AD188" s="570"/>
      <c r="AE188" s="570"/>
      <c r="AF188" s="570"/>
      <c r="AG188" s="570"/>
      <c r="AH188" s="570"/>
      <c r="AI188" s="570"/>
      <c r="AJ188" s="570"/>
      <c r="AK188" s="570"/>
      <c r="AL188" s="570"/>
      <c r="AM188" s="570"/>
      <c r="AN188" s="570"/>
      <c r="AO188" s="570"/>
      <c r="AP188" s="570"/>
      <c r="AQ188" s="570"/>
      <c r="AR188" s="570"/>
      <c r="AS188" s="570"/>
      <c r="AT188" s="570"/>
      <c r="AU188" s="570"/>
      <c r="AV188" s="588"/>
    </row>
    <row r="189" ht="18" x14ac:dyDescent="0.3">
      <c r="A189" s="704"/>
      <c r="B189" s="570"/>
      <c r="C189" s="570"/>
      <c r="D189" s="708"/>
      <c r="E189" s="1864" t="s">
        <v>1532</v>
      </c>
      <c r="F189" s="1865"/>
      <c r="G189" s="1865"/>
      <c r="H189" s="1235">
        <f>H188*H187</f>
        <v>56.076999999999998</v>
      </c>
      <c r="I189" s="626"/>
      <c r="J189" s="570"/>
      <c r="K189" s="292"/>
      <c r="L189" s="362"/>
      <c r="M189" s="335"/>
      <c r="N189" s="570"/>
      <c r="O189" s="570"/>
      <c r="P189" s="298"/>
      <c r="Q189" s="297"/>
      <c r="R189" s="611"/>
      <c r="S189" s="611"/>
      <c r="T189" s="709"/>
      <c r="U189" s="570"/>
      <c r="V189" s="570"/>
      <c r="W189" s="570"/>
      <c r="X189" s="570"/>
      <c r="Y189" s="570"/>
      <c r="Z189" s="570"/>
      <c r="AA189" s="570"/>
      <c r="AB189" s="570"/>
      <c r="AC189" s="570"/>
      <c r="AD189" s="570"/>
      <c r="AE189" s="570"/>
      <c r="AF189" s="570"/>
      <c r="AG189" s="570"/>
      <c r="AH189" s="570"/>
      <c r="AI189" s="570"/>
      <c r="AJ189" s="570"/>
      <c r="AK189" s="570"/>
      <c r="AL189" s="570"/>
      <c r="AM189" s="570"/>
      <c r="AN189" s="570"/>
      <c r="AO189" s="570"/>
      <c r="AP189" s="570"/>
      <c r="AQ189" s="570"/>
      <c r="AR189" s="570"/>
      <c r="AS189" s="570"/>
      <c r="AT189" s="570"/>
      <c r="AU189" s="570"/>
      <c r="AV189" s="588"/>
    </row>
    <row r="190" ht="18.6" thickBot="true" x14ac:dyDescent="0.35">
      <c r="A190" s="704"/>
      <c r="B190" s="570"/>
      <c r="C190" s="570"/>
      <c r="D190" s="708"/>
      <c r="E190" s="1862" t="s">
        <v>1531</v>
      </c>
      <c r="F190" s="1863"/>
      <c r="G190" s="1863"/>
      <c r="H190" s="1237">
        <f>Q136</f>
        <v>44.009500000000003</v>
      </c>
      <c r="I190" s="626"/>
      <c r="J190" s="570"/>
      <c r="K190" s="292"/>
      <c r="L190" s="362"/>
      <c r="M190" s="335"/>
      <c r="N190" s="570"/>
      <c r="O190" s="570"/>
      <c r="P190" s="298"/>
      <c r="Q190" s="297"/>
      <c r="R190" s="611"/>
      <c r="S190" s="611"/>
      <c r="T190" s="709"/>
      <c r="U190" s="570"/>
      <c r="V190" s="570"/>
      <c r="W190" s="570"/>
      <c r="X190" s="570"/>
      <c r="Y190" s="570"/>
      <c r="Z190" s="570"/>
      <c r="AA190" s="570"/>
      <c r="AB190" s="570"/>
      <c r="AC190" s="570"/>
      <c r="AD190" s="570"/>
      <c r="AE190" s="570"/>
      <c r="AF190" s="570"/>
      <c r="AG190" s="570"/>
      <c r="AH190" s="570"/>
      <c r="AI190" s="570"/>
      <c r="AJ190" s="570"/>
      <c r="AK190" s="570"/>
      <c r="AL190" s="570"/>
      <c r="AM190" s="570"/>
      <c r="AN190" s="570"/>
      <c r="AO190" s="570"/>
      <c r="AP190" s="570"/>
      <c r="AQ190" s="570"/>
      <c r="AR190" s="570"/>
      <c r="AS190" s="570"/>
      <c r="AT190" s="570"/>
      <c r="AU190" s="570"/>
      <c r="AV190" s="588"/>
    </row>
    <row r="191" x14ac:dyDescent="0.3">
      <c r="A191" s="704"/>
      <c r="B191" s="570"/>
      <c r="C191" s="570"/>
      <c r="D191" s="708"/>
      <c r="E191" s="829"/>
      <c r="F191" s="709"/>
      <c r="G191" s="570"/>
      <c r="H191" s="292"/>
      <c r="I191" s="626"/>
      <c r="J191" s="570"/>
      <c r="K191" s="292"/>
      <c r="L191" s="362"/>
      <c r="M191" s="335"/>
      <c r="N191" s="570"/>
      <c r="O191" s="570"/>
      <c r="P191" s="298"/>
      <c r="Q191" s="297"/>
      <c r="R191" s="611"/>
      <c r="S191" s="611"/>
      <c r="T191" s="709"/>
      <c r="U191" s="570"/>
      <c r="V191" s="570"/>
      <c r="W191" s="570"/>
      <c r="X191" s="570"/>
      <c r="Y191" s="570"/>
      <c r="Z191" s="570"/>
      <c r="AA191" s="570"/>
      <c r="AB191" s="570"/>
      <c r="AC191" s="570"/>
      <c r="AD191" s="570"/>
      <c r="AE191" s="570"/>
      <c r="AF191" s="570"/>
      <c r="AG191" s="570"/>
      <c r="AH191" s="570"/>
      <c r="AI191" s="570"/>
      <c r="AJ191" s="570"/>
      <c r="AK191" s="570"/>
      <c r="AL191" s="570"/>
      <c r="AM191" s="570"/>
      <c r="AN191" s="570"/>
      <c r="AO191" s="570"/>
      <c r="AP191" s="570"/>
      <c r="AQ191" s="570"/>
      <c r="AR191" s="570"/>
      <c r="AS191" s="570"/>
      <c r="AT191" s="570"/>
      <c r="AU191" s="570"/>
      <c r="AV191" s="588"/>
    </row>
    <row r="192" x14ac:dyDescent="0.3">
      <c r="A192" s="704"/>
      <c r="B192" s="570"/>
      <c r="C192" s="570"/>
      <c r="D192" s="708"/>
      <c r="E192" s="829"/>
      <c r="F192" s="709"/>
      <c r="G192" s="570"/>
      <c r="H192" s="292"/>
      <c r="I192" s="626"/>
      <c r="J192" s="570"/>
      <c r="K192" s="292"/>
      <c r="L192" s="362"/>
      <c r="M192" s="335"/>
      <c r="N192" s="570"/>
      <c r="O192" s="570"/>
      <c r="P192" s="298"/>
      <c r="Q192" s="297"/>
      <c r="R192" s="611"/>
      <c r="S192" s="611"/>
      <c r="T192" s="709"/>
      <c r="U192" s="570"/>
      <c r="V192" s="570"/>
      <c r="W192" s="570"/>
      <c r="X192" s="570"/>
      <c r="Y192" s="570"/>
      <c r="Z192" s="570"/>
      <c r="AA192" s="570"/>
      <c r="AB192" s="570"/>
      <c r="AC192" s="570"/>
      <c r="AD192" s="570"/>
      <c r="AE192" s="570"/>
      <c r="AF192" s="570"/>
      <c r="AG192" s="570"/>
      <c r="AH192" s="570"/>
      <c r="AI192" s="570"/>
      <c r="AJ192" s="570"/>
      <c r="AK192" s="570"/>
      <c r="AL192" s="570"/>
      <c r="AM192" s="570"/>
      <c r="AN192" s="570"/>
      <c r="AO192" s="570"/>
      <c r="AP192" s="570"/>
      <c r="AQ192" s="570"/>
      <c r="AR192" s="570"/>
      <c r="AS192" s="570"/>
      <c r="AT192" s="570"/>
      <c r="AU192" s="570"/>
      <c r="AV192" s="588"/>
    </row>
    <row r="193" x14ac:dyDescent="0.3">
      <c r="A193" s="704"/>
      <c r="B193" s="570"/>
      <c r="C193" s="570"/>
      <c r="D193" s="708"/>
      <c r="E193" s="829"/>
      <c r="F193" s="709"/>
      <c r="G193" s="570"/>
      <c r="H193" s="292"/>
      <c r="I193" s="626"/>
      <c r="J193" s="570"/>
      <c r="K193" s="292"/>
      <c r="L193" s="362"/>
      <c r="M193" s="335"/>
      <c r="N193" s="570"/>
      <c r="O193" s="570"/>
      <c r="P193" s="298"/>
      <c r="Q193" s="297"/>
      <c r="R193" s="611"/>
      <c r="S193" s="611"/>
      <c r="T193" s="709"/>
      <c r="U193" s="570"/>
      <c r="V193" s="570"/>
      <c r="W193" s="570"/>
      <c r="X193" s="570"/>
      <c r="Y193" s="570"/>
      <c r="Z193" s="570"/>
      <c r="AA193" s="570"/>
      <c r="AB193" s="570"/>
      <c r="AC193" s="570"/>
      <c r="AD193" s="570"/>
      <c r="AE193" s="570"/>
      <c r="AF193" s="570"/>
      <c r="AG193" s="570"/>
      <c r="AH193" s="570"/>
      <c r="AI193" s="570"/>
      <c r="AJ193" s="570"/>
      <c r="AK193" s="570"/>
      <c r="AL193" s="570"/>
      <c r="AM193" s="570"/>
      <c r="AN193" s="570"/>
      <c r="AO193" s="570"/>
      <c r="AP193" s="570"/>
      <c r="AQ193" s="570"/>
      <c r="AR193" s="570"/>
      <c r="AS193" s="570"/>
      <c r="AT193" s="570"/>
      <c r="AU193" s="570"/>
      <c r="AV193" s="588"/>
    </row>
    <row r="194" x14ac:dyDescent="0.3">
      <c r="A194" s="704"/>
      <c r="B194" s="570"/>
      <c r="C194" s="570"/>
      <c r="D194" s="708"/>
      <c r="E194" s="829"/>
      <c r="F194" s="709"/>
      <c r="G194" s="570"/>
      <c r="H194" s="292"/>
      <c r="I194" s="626"/>
      <c r="J194" s="570"/>
      <c r="K194" s="292"/>
      <c r="L194" s="362"/>
      <c r="M194" s="335"/>
      <c r="N194" s="570"/>
      <c r="O194" s="570"/>
      <c r="P194" s="298"/>
      <c r="Q194" s="297"/>
      <c r="R194" s="611"/>
      <c r="S194" s="611"/>
      <c r="T194" s="709"/>
      <c r="U194" s="570"/>
      <c r="V194" s="570"/>
      <c r="W194" s="570"/>
      <c r="X194" s="570"/>
      <c r="Y194" s="570"/>
      <c r="Z194" s="570"/>
      <c r="AA194" s="570"/>
      <c r="AB194" s="570"/>
      <c r="AC194" s="570"/>
      <c r="AD194" s="570"/>
      <c r="AE194" s="570"/>
      <c r="AF194" s="570"/>
      <c r="AG194" s="570"/>
      <c r="AH194" s="570"/>
      <c r="AI194" s="570"/>
      <c r="AJ194" s="570"/>
      <c r="AK194" s="570"/>
      <c r="AL194" s="570"/>
      <c r="AM194" s="570"/>
      <c r="AN194" s="570"/>
      <c r="AO194" s="570"/>
      <c r="AP194" s="570"/>
      <c r="AQ194" s="570"/>
      <c r="AR194" s="570"/>
      <c r="AS194" s="570"/>
      <c r="AT194" s="570"/>
      <c r="AU194" s="570"/>
      <c r="AV194" s="588"/>
    </row>
    <row r="195" ht="16.2" thickBot="true" x14ac:dyDescent="0.35">
      <c r="A195" s="704"/>
      <c r="B195" s="570"/>
      <c r="C195" s="570"/>
      <c r="D195" s="708"/>
      <c r="E195" s="1926" t="s">
        <v>2232</v>
      </c>
      <c r="F195" s="1926"/>
      <c r="G195" s="1926"/>
      <c r="H195" s="292"/>
      <c r="I195" s="626"/>
      <c r="J195" s="570"/>
      <c r="K195" s="292"/>
      <c r="L195" s="362"/>
      <c r="M195" s="335"/>
      <c r="N195" s="570"/>
      <c r="O195" s="570"/>
      <c r="P195" s="298"/>
      <c r="Q195" s="297"/>
      <c r="R195" s="611"/>
      <c r="S195" s="611"/>
      <c r="T195" s="709"/>
      <c r="U195" s="570"/>
      <c r="V195" s="570"/>
      <c r="W195" s="570"/>
      <c r="X195" s="570"/>
      <c r="Y195" s="570"/>
      <c r="Z195" s="570"/>
      <c r="AA195" s="570"/>
      <c r="AB195" s="570"/>
      <c r="AC195" s="570"/>
      <c r="AD195" s="570"/>
      <c r="AE195" s="570"/>
      <c r="AF195" s="570"/>
      <c r="AG195" s="570"/>
      <c r="AH195" s="570"/>
      <c r="AI195" s="570"/>
      <c r="AJ195" s="570"/>
      <c r="AK195" s="570"/>
      <c r="AL195" s="570"/>
      <c r="AM195" s="570"/>
      <c r="AN195" s="570"/>
      <c r="AO195" s="570"/>
      <c r="AP195" s="570"/>
      <c r="AQ195" s="570"/>
      <c r="AR195" s="570"/>
      <c r="AS195" s="570"/>
      <c r="AT195" s="570"/>
      <c r="AU195" s="570"/>
      <c r="AV195" s="588"/>
    </row>
    <row r="196" ht="20.25" customHeight="true" thickBot="true" x14ac:dyDescent="0.35">
      <c r="A196" s="704"/>
      <c r="B196" s="570"/>
      <c r="C196" s="570"/>
      <c r="D196" s="708"/>
      <c r="E196" s="1860" t="s">
        <v>2233</v>
      </c>
      <c r="F196" s="1861"/>
      <c r="G196" s="1861"/>
      <c r="H196" s="1254">
        <f>HLOOKUP('I. Stream &amp; Compound Data'!G106,H46:AU49,4,FALSE)</f>
        <v>4512.0151204088124</v>
      </c>
      <c r="I196" s="626"/>
      <c r="J196" s="570"/>
      <c r="K196" s="292"/>
      <c r="L196" s="362"/>
      <c r="M196" s="335"/>
      <c r="N196" s="570"/>
      <c r="O196" s="570"/>
      <c r="P196" s="298"/>
      <c r="Q196" s="297"/>
      <c r="R196" s="611"/>
      <c r="S196" s="611"/>
      <c r="T196" s="709"/>
      <c r="U196" s="570"/>
      <c r="V196" s="570"/>
      <c r="W196" s="570"/>
      <c r="X196" s="570"/>
      <c r="Y196" s="570"/>
      <c r="Z196" s="570"/>
      <c r="AA196" s="570"/>
      <c r="AB196" s="570"/>
      <c r="AC196" s="570"/>
      <c r="AD196" s="570"/>
      <c r="AE196" s="570"/>
      <c r="AF196" s="570"/>
      <c r="AG196" s="570"/>
      <c r="AH196" s="570"/>
      <c r="AI196" s="570"/>
      <c r="AJ196" s="570"/>
      <c r="AK196" s="570"/>
      <c r="AL196" s="570"/>
      <c r="AM196" s="570"/>
      <c r="AN196" s="570"/>
      <c r="AO196" s="570"/>
      <c r="AP196" s="570"/>
      <c r="AQ196" s="570"/>
      <c r="AR196" s="570"/>
      <c r="AS196" s="570"/>
      <c r="AT196" s="570"/>
      <c r="AU196" s="570"/>
      <c r="AV196" s="588"/>
    </row>
    <row r="197" ht="61.5" customHeight="true" thickBot="true" x14ac:dyDescent="0.3">
      <c r="A197" s="704"/>
      <c r="B197" s="570"/>
      <c r="C197" s="570"/>
      <c r="D197" s="708"/>
      <c r="E197" s="1862" t="s">
        <v>1553</v>
      </c>
      <c r="F197" s="1863"/>
      <c r="G197" s="1863"/>
      <c r="H197" s="1255">
        <f>SUM(N198:N247)</f>
        <v>0</v>
      </c>
      <c r="I197" s="270" t="s">
        <v>1469</v>
      </c>
      <c r="J197" s="191" t="s">
        <v>1470</v>
      </c>
      <c r="K197" s="191" t="s">
        <v>2317</v>
      </c>
      <c r="L197" s="191" t="s">
        <v>1533</v>
      </c>
      <c r="M197" s="191" t="s">
        <v>187</v>
      </c>
      <c r="N197" s="271" t="s">
        <v>1534</v>
      </c>
      <c r="O197" s="1166" t="s">
        <v>1004</v>
      </c>
      <c r="P197" s="1207" t="s">
        <v>692</v>
      </c>
      <c r="Q197" s="181" t="s">
        <v>1159</v>
      </c>
      <c r="R197" s="191" t="s">
        <v>2234</v>
      </c>
      <c r="S197" s="272" t="s">
        <v>1025</v>
      </c>
      <c r="T197" s="273" t="s">
        <v>1581</v>
      </c>
      <c r="U197" s="570"/>
      <c r="V197" s="570"/>
      <c r="W197" s="570"/>
      <c r="X197" s="570"/>
      <c r="Y197" s="570"/>
      <c r="Z197" s="570"/>
      <c r="AA197" s="570"/>
      <c r="AB197" s="570"/>
      <c r="AC197" s="570"/>
      <c r="AD197" s="570"/>
      <c r="AE197" s="570"/>
      <c r="AF197" s="570"/>
      <c r="AG197" s="570"/>
      <c r="AH197" s="570"/>
      <c r="AI197" s="570"/>
      <c r="AJ197" s="570"/>
      <c r="AK197" s="570"/>
      <c r="AL197" s="570"/>
      <c r="AM197" s="570"/>
      <c r="AN197" s="570"/>
      <c r="AO197" s="570"/>
      <c r="AP197" s="570"/>
      <c r="AQ197" s="570"/>
      <c r="AR197" s="570"/>
      <c r="AS197" s="570"/>
      <c r="AT197" s="570"/>
      <c r="AU197" s="570"/>
      <c r="AV197" s="588"/>
    </row>
    <row r="198" x14ac:dyDescent="0.3">
      <c r="A198" s="704"/>
      <c r="B198" s="570"/>
      <c r="C198" s="570"/>
      <c r="D198" s="708"/>
      <c r="E198" s="829"/>
      <c r="F198" s="709"/>
      <c r="G198" s="570"/>
      <c r="H198" s="292"/>
      <c r="I198" s="274">
        <f>I86</f>
        <v>1</v>
      </c>
      <c r="J198" s="1190" t="str">
        <f>J86</f>
        <v>Carbon Dioxide</v>
      </c>
      <c r="K198" s="1256">
        <f>IF('I. Stream &amp; Compound Data'!K262&lt;&gt;"",'I. Stream &amp; Compound Data'!K262,"")</f>
        <v>1</v>
      </c>
      <c r="L198" s="1256">
        <f>IF('I. Stream &amp; Compound Data'!L262&lt;&gt;"",'I. Stream &amp; Compound Data'!L262,"")</f>
        <v>0</v>
      </c>
      <c r="M198" s="1256">
        <f>IF('I. Stream &amp; Compound Data'!AM262&lt;&gt;"",'I. Stream &amp; Compound Data'!AM262,"")</f>
        <v>1</v>
      </c>
      <c r="N198" s="202">
        <f>IF(J198&lt;&gt;"",L198*M198,"")</f>
        <v>0</v>
      </c>
      <c r="O198" s="1256">
        <f>IF('I. Stream &amp; Compound Data'!P262&lt;&gt;"",'I. Stream &amp; Compound Data'!P262,"")</f>
        <v>2980.7504537999998</v>
      </c>
      <c r="P198" s="1257">
        <f>IF('I. Stream &amp; Compound Data'!CH262&lt;&gt;"",'I. Stream &amp; Compound Data'!CH262,"")</f>
        <v>1</v>
      </c>
      <c r="Q198" s="1256">
        <f>IF('I. Stream &amp; Compound Data'!R262&lt;&gt;"",'I. Stream &amp; Compound Data'!R262,"")</f>
        <v>0</v>
      </c>
      <c r="R198" s="1256">
        <f>IF('I. Stream &amp; Compound Data'!S262&lt;&gt;"",'I. Stream &amp; Compound Data'!S262,"")</f>
        <v>0</v>
      </c>
      <c r="S198" s="1256">
        <f>IF('I. Stream &amp; Compound Data'!T262&lt;&gt;"",'I. Stream &amp; Compound Data'!T262,"")</f>
        <v>0</v>
      </c>
      <c r="T198" s="1230">
        <f>IF(J198="","",S198*O198)</f>
        <v>0</v>
      </c>
      <c r="U198" s="570"/>
      <c r="V198" s="570"/>
      <c r="W198" s="570"/>
      <c r="X198" s="570"/>
      <c r="Y198" s="570"/>
      <c r="Z198" s="570"/>
      <c r="AA198" s="570"/>
      <c r="AB198" s="570"/>
      <c r="AC198" s="570"/>
      <c r="AD198" s="570"/>
      <c r="AE198" s="570"/>
      <c r="AF198" s="570"/>
      <c r="AG198" s="570"/>
      <c r="AH198" s="570"/>
      <c r="AI198" s="570"/>
      <c r="AJ198" s="570"/>
      <c r="AK198" s="570"/>
      <c r="AL198" s="570"/>
      <c r="AM198" s="570"/>
      <c r="AN198" s="570"/>
      <c r="AO198" s="570"/>
      <c r="AP198" s="570"/>
      <c r="AQ198" s="570"/>
      <c r="AR198" s="570"/>
      <c r="AS198" s="570"/>
      <c r="AT198" s="570"/>
      <c r="AU198" s="570"/>
      <c r="AV198" s="588"/>
    </row>
    <row r="199" x14ac:dyDescent="0.3">
      <c r="A199" s="704"/>
      <c r="B199" s="570"/>
      <c r="C199" s="570"/>
      <c r="D199" s="708"/>
      <c r="E199" s="829"/>
      <c r="F199" s="709"/>
      <c r="G199" s="570"/>
      <c r="H199" s="292"/>
      <c r="I199" s="274">
        <f t="shared" ref="I199:J247" si="15">I87</f>
        <v>2</v>
      </c>
      <c r="J199" s="1190" t="str">
        <f t="shared" si="15"/>
        <v>Water</v>
      </c>
      <c r="K199" s="1256">
        <f>IF('I. Stream &amp; Compound Data'!K263&lt;&gt;"",'I. Stream &amp; Compound Data'!K263,"")</f>
        <v>5</v>
      </c>
      <c r="L199" s="1256">
        <f>IF('I. Stream &amp; Compound Data'!L263&lt;&gt;"",'I. Stream &amp; Compound Data'!L263,"")</f>
        <v>0</v>
      </c>
      <c r="M199" s="1256">
        <f>IF('I. Stream &amp; Compound Data'!AM263&lt;&gt;"",'I. Stream &amp; Compound Data'!AM263,"")</f>
        <v>0</v>
      </c>
      <c r="N199" s="202">
        <f t="shared" ref="N199:N247" si="16">IF(J199&lt;&gt;"",L199*M199,"")</f>
        <v>0</v>
      </c>
      <c r="O199" s="1256">
        <f>IF('I. Stream &amp; Compound Data'!P263&lt;&gt;"",'I. Stream &amp; Compound Data'!P263,"")</f>
        <v>0</v>
      </c>
      <c r="P199" s="1257">
        <f>IF('I. Stream &amp; Compound Data'!CH263&lt;&gt;"",'I. Stream &amp; Compound Data'!CH263,"")</f>
        <v>0</v>
      </c>
      <c r="Q199" s="1256">
        <f>IF('I. Stream &amp; Compound Data'!R263&lt;&gt;"",'I. Stream &amp; Compound Data'!R263,"")</f>
        <v>1</v>
      </c>
      <c r="R199" s="1256">
        <f>IF('I. Stream &amp; Compound Data'!S263&lt;&gt;"",'I. Stream &amp; Compound Data'!S263,"")</f>
        <v>1</v>
      </c>
      <c r="S199" s="1256">
        <f>IF('I. Stream &amp; Compound Data'!T263&lt;&gt;"",'I. Stream &amp; Compound Data'!T263,"")</f>
        <v>0</v>
      </c>
      <c r="T199" s="1230">
        <f t="shared" ref="T199:T216" si="17">IF(J199="","",S199*O199)</f>
        <v>0</v>
      </c>
      <c r="U199" s="570"/>
      <c r="V199" s="570"/>
      <c r="W199" s="570"/>
      <c r="X199" s="570"/>
      <c r="Y199" s="570"/>
      <c r="Z199" s="570"/>
      <c r="AA199" s="570"/>
      <c r="AB199" s="570"/>
      <c r="AC199" s="570"/>
      <c r="AD199" s="570"/>
      <c r="AE199" s="570"/>
      <c r="AF199" s="570"/>
      <c r="AG199" s="570"/>
      <c r="AH199" s="570"/>
      <c r="AI199" s="570"/>
      <c r="AJ199" s="570"/>
      <c r="AK199" s="570"/>
      <c r="AL199" s="570"/>
      <c r="AM199" s="570"/>
      <c r="AN199" s="570"/>
      <c r="AO199" s="570"/>
      <c r="AP199" s="570"/>
      <c r="AQ199" s="570"/>
      <c r="AR199" s="570"/>
      <c r="AS199" s="570"/>
      <c r="AT199" s="570"/>
      <c r="AU199" s="570"/>
      <c r="AV199" s="588"/>
    </row>
    <row r="200" x14ac:dyDescent="0.3">
      <c r="A200" s="704"/>
      <c r="B200" s="570"/>
      <c r="C200" s="570"/>
      <c r="D200" s="708"/>
      <c r="E200" s="829"/>
      <c r="F200" s="709"/>
      <c r="G200" s="570"/>
      <c r="H200" s="292"/>
      <c r="I200" s="274">
        <f t="shared" si="15"/>
        <v>3</v>
      </c>
      <c r="J200" s="1190" t="str">
        <f t="shared" si="15"/>
        <v>Calcium Oxide</v>
      </c>
      <c r="K200" s="1256">
        <f>IF('I. Stream &amp; Compound Data'!K264&lt;&gt;"",'I. Stream &amp; Compound Data'!K264,"")</f>
        <v>1</v>
      </c>
      <c r="L200" s="1256">
        <f>IF('I. Stream &amp; Compound Data'!L264&lt;&gt;"",'I. Stream &amp; Compound Data'!L264,"")</f>
        <v>0</v>
      </c>
      <c r="M200" s="1256">
        <f>IF('I. Stream &amp; Compound Data'!AM264&lt;&gt;"",'I. Stream &amp; Compound Data'!AM264,"")</f>
        <v>1</v>
      </c>
      <c r="N200" s="202">
        <f t="shared" si="16"/>
        <v>0</v>
      </c>
      <c r="O200" s="1256">
        <f>IF('I. Stream &amp; Compound Data'!P264&lt;&gt;"",'I. Stream &amp; Compound Data'!P264,"")</f>
        <v>0</v>
      </c>
      <c r="P200" s="1257">
        <f>IF('I. Stream &amp; Compound Data'!CH264&lt;&gt;"",'I. Stream &amp; Compound Data'!CH264,"")</f>
        <v>0</v>
      </c>
      <c r="Q200" s="1256">
        <f>IF('I. Stream &amp; Compound Data'!R264&lt;&gt;"",'I. Stream &amp; Compound Data'!R264,"")</f>
        <v>0</v>
      </c>
      <c r="R200" s="1256">
        <f>IF('I. Stream &amp; Compound Data'!S264&lt;&gt;"",'I. Stream &amp; Compound Data'!S264,"")</f>
        <v>1</v>
      </c>
      <c r="S200" s="1256">
        <f>IF('I. Stream &amp; Compound Data'!T264&lt;&gt;"",'I. Stream &amp; Compound Data'!T264,"")</f>
        <v>0</v>
      </c>
      <c r="T200" s="1230">
        <f t="shared" si="17"/>
        <v>0</v>
      </c>
      <c r="U200" s="570"/>
      <c r="V200" s="570"/>
      <c r="W200" s="570"/>
      <c r="X200" s="570"/>
      <c r="Y200" s="570"/>
      <c r="Z200" s="570"/>
      <c r="AA200" s="570"/>
      <c r="AB200" s="570"/>
      <c r="AC200" s="570"/>
      <c r="AD200" s="570"/>
      <c r="AE200" s="570"/>
      <c r="AF200" s="570"/>
      <c r="AG200" s="570"/>
      <c r="AH200" s="570"/>
      <c r="AI200" s="570"/>
      <c r="AJ200" s="570"/>
      <c r="AK200" s="570"/>
      <c r="AL200" s="570"/>
      <c r="AM200" s="570"/>
      <c r="AN200" s="570"/>
      <c r="AO200" s="570"/>
      <c r="AP200" s="570"/>
      <c r="AQ200" s="570"/>
      <c r="AR200" s="570"/>
      <c r="AS200" s="570"/>
      <c r="AT200" s="570"/>
      <c r="AU200" s="570"/>
      <c r="AV200" s="588"/>
    </row>
    <row r="201" x14ac:dyDescent="0.3">
      <c r="A201" s="704"/>
      <c r="B201" s="570"/>
      <c r="C201" s="570"/>
      <c r="D201" s="708"/>
      <c r="E201" s="829"/>
      <c r="F201" s="709"/>
      <c r="G201" s="570"/>
      <c r="H201" s="292"/>
      <c r="I201" s="274">
        <f t="shared" si="15"/>
        <v>4</v>
      </c>
      <c r="J201" s="1190" t="str">
        <f t="shared" si="15"/>
        <v>Calcium Carbonate</v>
      </c>
      <c r="K201" s="1256">
        <f>IF('I. Stream &amp; Compound Data'!K265&lt;&gt;"",'I. Stream &amp; Compound Data'!K265,"")</f>
        <v>2</v>
      </c>
      <c r="L201" s="1256">
        <f>IF('I. Stream &amp; Compound Data'!L265&lt;&gt;"",'I. Stream &amp; Compound Data'!L265,"")</f>
        <v>6778.7792000553327</v>
      </c>
      <c r="M201" s="1256">
        <f>IF('I. Stream &amp; Compound Data'!AM265&lt;&gt;"",'I. Stream &amp; Compound Data'!AM265,"")</f>
        <v>0</v>
      </c>
      <c r="N201" s="202">
        <f t="shared" si="16"/>
        <v>0</v>
      </c>
      <c r="O201" s="1256">
        <f>IF('I. Stream &amp; Compound Data'!P265&lt;&gt;"",'I. Stream &amp; Compound Data'!P265,"")</f>
        <v>0</v>
      </c>
      <c r="P201" s="1257">
        <f>IF('I. Stream &amp; Compound Data'!CH265&lt;&gt;"",'I. Stream &amp; Compound Data'!CH265,"")</f>
        <v>1</v>
      </c>
      <c r="Q201" s="1256">
        <f>IF('I. Stream &amp; Compound Data'!R265&lt;&gt;"",'I. Stream &amp; Compound Data'!R265,"")</f>
        <v>0</v>
      </c>
      <c r="R201" s="1256">
        <f>IF('I. Stream &amp; Compound Data'!S265&lt;&gt;"",'I. Stream &amp; Compound Data'!S265,"")</f>
        <v>1</v>
      </c>
      <c r="S201" s="1256">
        <f>IF('I. Stream &amp; Compound Data'!T265&lt;&gt;"",'I. Stream &amp; Compound Data'!T265,"")</f>
        <v>0.8</v>
      </c>
      <c r="T201" s="1230">
        <f t="shared" si="17"/>
        <v>0</v>
      </c>
      <c r="U201" s="570"/>
      <c r="V201" s="570"/>
      <c r="W201" s="570"/>
      <c r="X201" s="570"/>
      <c r="Y201" s="570"/>
      <c r="Z201" s="570"/>
      <c r="AA201" s="570"/>
      <c r="AB201" s="570"/>
      <c r="AC201" s="570"/>
      <c r="AD201" s="570"/>
      <c r="AE201" s="570"/>
      <c r="AF201" s="570"/>
      <c r="AG201" s="570"/>
      <c r="AH201" s="570"/>
      <c r="AI201" s="570"/>
      <c r="AJ201" s="570"/>
      <c r="AK201" s="570"/>
      <c r="AL201" s="570"/>
      <c r="AM201" s="570"/>
      <c r="AN201" s="570"/>
      <c r="AO201" s="570"/>
      <c r="AP201" s="570"/>
      <c r="AQ201" s="570"/>
      <c r="AR201" s="570"/>
      <c r="AS201" s="570"/>
      <c r="AT201" s="570"/>
      <c r="AU201" s="570"/>
      <c r="AV201" s="588"/>
    </row>
    <row r="202" x14ac:dyDescent="0.3">
      <c r="A202" s="704"/>
      <c r="B202" s="570"/>
      <c r="C202" s="570"/>
      <c r="D202" s="708"/>
      <c r="E202" s="829"/>
      <c r="F202" s="709"/>
      <c r="G202" s="570"/>
      <c r="H202" s="292"/>
      <c r="I202" s="274">
        <f t="shared" si="15"/>
        <v>5</v>
      </c>
      <c r="J202" s="1190" t="str">
        <f t="shared" si="15"/>
        <v/>
      </c>
      <c r="K202" s="1256" t="str">
        <f>IF('I. Stream &amp; Compound Data'!K266&lt;&gt;"",'I. Stream &amp; Compound Data'!K266,"")</f>
        <v/>
      </c>
      <c r="L202" s="1256" t="str">
        <f>IF('I. Stream &amp; Compound Data'!L266&lt;&gt;"",'I. Stream &amp; Compound Data'!L266,"")</f>
        <v/>
      </c>
      <c r="M202" s="1256" t="str">
        <f>IF('I. Stream &amp; Compound Data'!AM266&lt;&gt;"",'I. Stream &amp; Compound Data'!AM266,"")</f>
        <v/>
      </c>
      <c r="N202" s="202" t="str">
        <f t="shared" si="16"/>
        <v/>
      </c>
      <c r="O202" s="1256" t="str">
        <f>IF('I. Stream &amp; Compound Data'!P266&lt;&gt;"",'I. Stream &amp; Compound Data'!P266,"")</f>
        <v/>
      </c>
      <c r="P202" s="1257" t="str">
        <f>IF('I. Stream &amp; Compound Data'!CH266&lt;&gt;"",'I. Stream &amp; Compound Data'!CH266,"")</f>
        <v/>
      </c>
      <c r="Q202" s="1256" t="str">
        <f>IF('I. Stream &amp; Compound Data'!R266&lt;&gt;"",'I. Stream &amp; Compound Data'!R266,"")</f>
        <v/>
      </c>
      <c r="R202" s="1256" t="str">
        <f>IF('I. Stream &amp; Compound Data'!S266&lt;&gt;"",'I. Stream &amp; Compound Data'!S266,"")</f>
        <v/>
      </c>
      <c r="S202" s="1256" t="str">
        <f>IF('I. Stream &amp; Compound Data'!T266&lt;&gt;"",'I. Stream &amp; Compound Data'!T266,"")</f>
        <v/>
      </c>
      <c r="T202" s="1230" t="str">
        <f t="shared" si="17"/>
        <v/>
      </c>
      <c r="U202" s="570"/>
      <c r="V202" s="570"/>
      <c r="W202" s="570"/>
      <c r="X202" s="570"/>
      <c r="Y202" s="570"/>
      <c r="Z202" s="570"/>
      <c r="AA202" s="570"/>
      <c r="AB202" s="570"/>
      <c r="AC202" s="570"/>
      <c r="AD202" s="570"/>
      <c r="AE202" s="570"/>
      <c r="AF202" s="570"/>
      <c r="AG202" s="570"/>
      <c r="AH202" s="570"/>
      <c r="AI202" s="570"/>
      <c r="AJ202" s="570"/>
      <c r="AK202" s="570"/>
      <c r="AL202" s="570"/>
      <c r="AM202" s="570"/>
      <c r="AN202" s="570"/>
      <c r="AO202" s="570"/>
      <c r="AP202" s="570"/>
      <c r="AQ202" s="570"/>
      <c r="AR202" s="570"/>
      <c r="AS202" s="570"/>
      <c r="AT202" s="570"/>
      <c r="AU202" s="570"/>
      <c r="AV202" s="588"/>
    </row>
    <row r="203" x14ac:dyDescent="0.3">
      <c r="A203" s="704"/>
      <c r="B203" s="570"/>
      <c r="C203" s="570"/>
      <c r="D203" s="708"/>
      <c r="E203" s="829"/>
      <c r="F203" s="709"/>
      <c r="G203" s="570"/>
      <c r="H203" s="292"/>
      <c r="I203" s="274">
        <f t="shared" si="15"/>
        <v>6</v>
      </c>
      <c r="J203" s="1190" t="str">
        <f t="shared" si="15"/>
        <v/>
      </c>
      <c r="K203" s="1256" t="str">
        <f>IF('I. Stream &amp; Compound Data'!K267&lt;&gt;"",'I. Stream &amp; Compound Data'!K267,"")</f>
        <v/>
      </c>
      <c r="L203" s="1256" t="str">
        <f>IF('I. Stream &amp; Compound Data'!L267&lt;&gt;"",'I. Stream &amp; Compound Data'!L267,"")</f>
        <v/>
      </c>
      <c r="M203" s="1256" t="str">
        <f>IF('I. Stream &amp; Compound Data'!AM267&lt;&gt;"",'I. Stream &amp; Compound Data'!AM267,"")</f>
        <v/>
      </c>
      <c r="N203" s="202" t="str">
        <f t="shared" si="16"/>
        <v/>
      </c>
      <c r="O203" s="1256" t="str">
        <f>IF('I. Stream &amp; Compound Data'!P267&lt;&gt;"",'I. Stream &amp; Compound Data'!P267,"")</f>
        <v/>
      </c>
      <c r="P203" s="1257" t="str">
        <f>IF('I. Stream &amp; Compound Data'!CH267&lt;&gt;"",'I. Stream &amp; Compound Data'!CH267,"")</f>
        <v/>
      </c>
      <c r="Q203" s="1256" t="str">
        <f>IF('I. Stream &amp; Compound Data'!R267&lt;&gt;"",'I. Stream &amp; Compound Data'!R267,"")</f>
        <v/>
      </c>
      <c r="R203" s="1256" t="str">
        <f>IF('I. Stream &amp; Compound Data'!S267&lt;&gt;"",'I. Stream &amp; Compound Data'!S267,"")</f>
        <v/>
      </c>
      <c r="S203" s="1256" t="str">
        <f>IF('I. Stream &amp; Compound Data'!T267&lt;&gt;"",'I. Stream &amp; Compound Data'!T267,"")</f>
        <v/>
      </c>
      <c r="T203" s="1230" t="str">
        <f t="shared" si="17"/>
        <v/>
      </c>
      <c r="U203" s="570"/>
      <c r="V203" s="570"/>
      <c r="W203" s="570"/>
      <c r="X203" s="570"/>
      <c r="Y203" s="570"/>
      <c r="Z203" s="570"/>
      <c r="AA203" s="570"/>
      <c r="AB203" s="570"/>
      <c r="AC203" s="570"/>
      <c r="AD203" s="570"/>
      <c r="AE203" s="570"/>
      <c r="AF203" s="570"/>
      <c r="AG203" s="570"/>
      <c r="AH203" s="570"/>
      <c r="AI203" s="570"/>
      <c r="AJ203" s="570"/>
      <c r="AK203" s="570"/>
      <c r="AL203" s="570"/>
      <c r="AM203" s="570"/>
      <c r="AN203" s="570"/>
      <c r="AO203" s="570"/>
      <c r="AP203" s="570"/>
      <c r="AQ203" s="570"/>
      <c r="AR203" s="570"/>
      <c r="AS203" s="570"/>
      <c r="AT203" s="570"/>
      <c r="AU203" s="570"/>
      <c r="AV203" s="588"/>
    </row>
    <row r="204" x14ac:dyDescent="0.3">
      <c r="A204" s="704"/>
      <c r="B204" s="570"/>
      <c r="C204" s="570"/>
      <c r="D204" s="708"/>
      <c r="E204" s="829"/>
      <c r="F204" s="709"/>
      <c r="G204" s="570"/>
      <c r="H204" s="292"/>
      <c r="I204" s="274">
        <f t="shared" si="15"/>
        <v>7</v>
      </c>
      <c r="J204" s="1190" t="str">
        <f t="shared" si="15"/>
        <v/>
      </c>
      <c r="K204" s="1256" t="str">
        <f>IF('I. Stream &amp; Compound Data'!K268&lt;&gt;"",'I. Stream &amp; Compound Data'!K268,"")</f>
        <v/>
      </c>
      <c r="L204" s="1256" t="str">
        <f>IF('I. Stream &amp; Compound Data'!L268&lt;&gt;"",'I. Stream &amp; Compound Data'!L268,"")</f>
        <v/>
      </c>
      <c r="M204" s="1256" t="str">
        <f>IF('I. Stream &amp; Compound Data'!AM268&lt;&gt;"",'I. Stream &amp; Compound Data'!AM268,"")</f>
        <v/>
      </c>
      <c r="N204" s="202" t="str">
        <f t="shared" si="16"/>
        <v/>
      </c>
      <c r="O204" s="1256" t="str">
        <f>IF('I. Stream &amp; Compound Data'!P268&lt;&gt;"",'I. Stream &amp; Compound Data'!P268,"")</f>
        <v/>
      </c>
      <c r="P204" s="1257" t="str">
        <f>IF('I. Stream &amp; Compound Data'!CH268&lt;&gt;"",'I. Stream &amp; Compound Data'!CH268,"")</f>
        <v/>
      </c>
      <c r="Q204" s="1256" t="str">
        <f>IF('I. Stream &amp; Compound Data'!R268&lt;&gt;"",'I. Stream &amp; Compound Data'!R268,"")</f>
        <v/>
      </c>
      <c r="R204" s="1256" t="str">
        <f>IF('I. Stream &amp; Compound Data'!S268&lt;&gt;"",'I. Stream &amp; Compound Data'!S268,"")</f>
        <v/>
      </c>
      <c r="S204" s="1256" t="str">
        <f>IF('I. Stream &amp; Compound Data'!T268&lt;&gt;"",'I. Stream &amp; Compound Data'!T268,"")</f>
        <v/>
      </c>
      <c r="T204" s="1230" t="str">
        <f t="shared" si="17"/>
        <v/>
      </c>
      <c r="U204" s="570"/>
      <c r="V204" s="570"/>
      <c r="W204" s="570"/>
      <c r="X204" s="570"/>
      <c r="Y204" s="570"/>
      <c r="Z204" s="570"/>
      <c r="AA204" s="570"/>
      <c r="AB204" s="570"/>
      <c r="AC204" s="570"/>
      <c r="AD204" s="570"/>
      <c r="AE204" s="570"/>
      <c r="AF204" s="570"/>
      <c r="AG204" s="570"/>
      <c r="AH204" s="570"/>
      <c r="AI204" s="570"/>
      <c r="AJ204" s="570"/>
      <c r="AK204" s="570"/>
      <c r="AL204" s="570"/>
      <c r="AM204" s="570"/>
      <c r="AN204" s="570"/>
      <c r="AO204" s="570"/>
      <c r="AP204" s="570"/>
      <c r="AQ204" s="570"/>
      <c r="AR204" s="570"/>
      <c r="AS204" s="570"/>
      <c r="AT204" s="570"/>
      <c r="AU204" s="570"/>
      <c r="AV204" s="588"/>
    </row>
    <row r="205" x14ac:dyDescent="0.3">
      <c r="A205" s="704"/>
      <c r="B205" s="570"/>
      <c r="C205" s="570"/>
      <c r="D205" s="708"/>
      <c r="E205" s="829"/>
      <c r="F205" s="709"/>
      <c r="G205" s="570"/>
      <c r="H205" s="292"/>
      <c r="I205" s="274">
        <f t="shared" si="15"/>
        <v>8</v>
      </c>
      <c r="J205" s="1190" t="str">
        <f t="shared" si="15"/>
        <v/>
      </c>
      <c r="K205" s="1256" t="str">
        <f>IF('I. Stream &amp; Compound Data'!K269&lt;&gt;"",'I. Stream &amp; Compound Data'!K269,"")</f>
        <v/>
      </c>
      <c r="L205" s="1256" t="str">
        <f>IF('I. Stream &amp; Compound Data'!L269&lt;&gt;"",'I. Stream &amp; Compound Data'!L269,"")</f>
        <v/>
      </c>
      <c r="M205" s="1256" t="str">
        <f>IF('I. Stream &amp; Compound Data'!AM269&lt;&gt;"",'I. Stream &amp; Compound Data'!AM269,"")</f>
        <v/>
      </c>
      <c r="N205" s="202" t="str">
        <f t="shared" si="16"/>
        <v/>
      </c>
      <c r="O205" s="1256" t="str">
        <f>IF('I. Stream &amp; Compound Data'!P269&lt;&gt;"",'I. Stream &amp; Compound Data'!P269,"")</f>
        <v/>
      </c>
      <c r="P205" s="1257" t="str">
        <f>IF('I. Stream &amp; Compound Data'!CH269&lt;&gt;"",'I. Stream &amp; Compound Data'!CH269,"")</f>
        <v/>
      </c>
      <c r="Q205" s="1256" t="str">
        <f>IF('I. Stream &amp; Compound Data'!R269&lt;&gt;"",'I. Stream &amp; Compound Data'!R269,"")</f>
        <v/>
      </c>
      <c r="R205" s="1256" t="str">
        <f>IF('I. Stream &amp; Compound Data'!S269&lt;&gt;"",'I. Stream &amp; Compound Data'!S269,"")</f>
        <v/>
      </c>
      <c r="S205" s="1256" t="str">
        <f>IF('I. Stream &amp; Compound Data'!T269&lt;&gt;"",'I. Stream &amp; Compound Data'!T269,"")</f>
        <v/>
      </c>
      <c r="T205" s="1230" t="str">
        <f t="shared" si="17"/>
        <v/>
      </c>
      <c r="U205" s="570"/>
      <c r="V205" s="570"/>
      <c r="W205" s="570"/>
      <c r="X205" s="570"/>
      <c r="Y205" s="570"/>
      <c r="Z205" s="570"/>
      <c r="AA205" s="570"/>
      <c r="AB205" s="570"/>
      <c r="AC205" s="570"/>
      <c r="AD205" s="570"/>
      <c r="AE205" s="570"/>
      <c r="AF205" s="570"/>
      <c r="AG205" s="570"/>
      <c r="AH205" s="570"/>
      <c r="AI205" s="570"/>
      <c r="AJ205" s="570"/>
      <c r="AK205" s="570"/>
      <c r="AL205" s="570"/>
      <c r="AM205" s="570"/>
      <c r="AN205" s="570"/>
      <c r="AO205" s="570"/>
      <c r="AP205" s="570"/>
      <c r="AQ205" s="570"/>
      <c r="AR205" s="570"/>
      <c r="AS205" s="570"/>
      <c r="AT205" s="570"/>
      <c r="AU205" s="570"/>
      <c r="AV205" s="588"/>
    </row>
    <row r="206" x14ac:dyDescent="0.3">
      <c r="A206" s="704"/>
      <c r="B206" s="570"/>
      <c r="C206" s="570"/>
      <c r="D206" s="708"/>
      <c r="E206" s="829"/>
      <c r="F206" s="709"/>
      <c r="G206" s="570"/>
      <c r="H206" s="292"/>
      <c r="I206" s="274">
        <f t="shared" si="15"/>
        <v>9</v>
      </c>
      <c r="J206" s="1190" t="str">
        <f t="shared" si="15"/>
        <v/>
      </c>
      <c r="K206" s="1256" t="str">
        <f>IF('I. Stream &amp; Compound Data'!K270&lt;&gt;"",'I. Stream &amp; Compound Data'!K270,"")</f>
        <v/>
      </c>
      <c r="L206" s="1256" t="str">
        <f>IF('I. Stream &amp; Compound Data'!L270&lt;&gt;"",'I. Stream &amp; Compound Data'!L270,"")</f>
        <v/>
      </c>
      <c r="M206" s="1256" t="str">
        <f>IF('I. Stream &amp; Compound Data'!AM270&lt;&gt;"",'I. Stream &amp; Compound Data'!AM270,"")</f>
        <v/>
      </c>
      <c r="N206" s="202" t="str">
        <f t="shared" si="16"/>
        <v/>
      </c>
      <c r="O206" s="1256" t="str">
        <f>IF('I. Stream &amp; Compound Data'!P270&lt;&gt;"",'I. Stream &amp; Compound Data'!P270,"")</f>
        <v/>
      </c>
      <c r="P206" s="1257" t="str">
        <f>IF('I. Stream &amp; Compound Data'!CH270&lt;&gt;"",'I. Stream &amp; Compound Data'!CH270,"")</f>
        <v/>
      </c>
      <c r="Q206" s="1256" t="str">
        <f>IF('I. Stream &amp; Compound Data'!R270&lt;&gt;"",'I. Stream &amp; Compound Data'!R270,"")</f>
        <v/>
      </c>
      <c r="R206" s="1256" t="str">
        <f>IF('I. Stream &amp; Compound Data'!S270&lt;&gt;"",'I. Stream &amp; Compound Data'!S270,"")</f>
        <v/>
      </c>
      <c r="S206" s="1256" t="str">
        <f>IF('I. Stream &amp; Compound Data'!T270&lt;&gt;"",'I. Stream &amp; Compound Data'!T270,"")</f>
        <v/>
      </c>
      <c r="T206" s="1230" t="str">
        <f t="shared" si="17"/>
        <v/>
      </c>
      <c r="U206" s="570"/>
      <c r="V206" s="570"/>
      <c r="W206" s="570"/>
      <c r="X206" s="570"/>
      <c r="Y206" s="570"/>
      <c r="Z206" s="570"/>
      <c r="AA206" s="570"/>
      <c r="AB206" s="570"/>
      <c r="AC206" s="570"/>
      <c r="AD206" s="570"/>
      <c r="AE206" s="570"/>
      <c r="AF206" s="570"/>
      <c r="AG206" s="570"/>
      <c r="AH206" s="570"/>
      <c r="AI206" s="570"/>
      <c r="AJ206" s="570"/>
      <c r="AK206" s="570"/>
      <c r="AL206" s="570"/>
      <c r="AM206" s="570"/>
      <c r="AN206" s="570"/>
      <c r="AO206" s="570"/>
      <c r="AP206" s="570"/>
      <c r="AQ206" s="570"/>
      <c r="AR206" s="570"/>
      <c r="AS206" s="570"/>
      <c r="AT206" s="570"/>
      <c r="AU206" s="570"/>
      <c r="AV206" s="588"/>
    </row>
    <row r="207" x14ac:dyDescent="0.3">
      <c r="A207" s="704"/>
      <c r="B207" s="570"/>
      <c r="C207" s="570"/>
      <c r="D207" s="708"/>
      <c r="E207" s="829"/>
      <c r="F207" s="709"/>
      <c r="G207" s="570"/>
      <c r="H207" s="292"/>
      <c r="I207" s="274">
        <f t="shared" si="15"/>
        <v>10</v>
      </c>
      <c r="J207" s="1190" t="str">
        <f t="shared" si="15"/>
        <v/>
      </c>
      <c r="K207" s="1256" t="str">
        <f>IF('I. Stream &amp; Compound Data'!K271&lt;&gt;"",'I. Stream &amp; Compound Data'!K271,"")</f>
        <v/>
      </c>
      <c r="L207" s="1256" t="str">
        <f>IF('I. Stream &amp; Compound Data'!L271&lt;&gt;"",'I. Stream &amp; Compound Data'!L271,"")</f>
        <v/>
      </c>
      <c r="M207" s="1256" t="str">
        <f>IF('I. Stream &amp; Compound Data'!AM271&lt;&gt;"",'I. Stream &amp; Compound Data'!AM271,"")</f>
        <v/>
      </c>
      <c r="N207" s="202" t="str">
        <f t="shared" si="16"/>
        <v/>
      </c>
      <c r="O207" s="1256" t="str">
        <f>IF('I. Stream &amp; Compound Data'!P271&lt;&gt;"",'I. Stream &amp; Compound Data'!P271,"")</f>
        <v/>
      </c>
      <c r="P207" s="1257" t="str">
        <f>IF('I. Stream &amp; Compound Data'!CH271&lt;&gt;"",'I. Stream &amp; Compound Data'!CH271,"")</f>
        <v/>
      </c>
      <c r="Q207" s="1256" t="str">
        <f>IF('I. Stream &amp; Compound Data'!R271&lt;&gt;"",'I. Stream &amp; Compound Data'!R271,"")</f>
        <v/>
      </c>
      <c r="R207" s="1256" t="str">
        <f>IF('I. Stream &amp; Compound Data'!S271&lt;&gt;"",'I. Stream &amp; Compound Data'!S271,"")</f>
        <v/>
      </c>
      <c r="S207" s="1256" t="str">
        <f>IF('I. Stream &amp; Compound Data'!T271&lt;&gt;"",'I. Stream &amp; Compound Data'!T271,"")</f>
        <v/>
      </c>
      <c r="T207" s="1230" t="str">
        <f t="shared" si="17"/>
        <v/>
      </c>
      <c r="U207" s="570"/>
      <c r="V207" s="570"/>
      <c r="W207" s="570"/>
      <c r="X207" s="570"/>
      <c r="Y207" s="570"/>
      <c r="Z207" s="570"/>
      <c r="AA207" s="570"/>
      <c r="AB207" s="570"/>
      <c r="AC207" s="570"/>
      <c r="AD207" s="570"/>
      <c r="AE207" s="570"/>
      <c r="AF207" s="570"/>
      <c r="AG207" s="570"/>
      <c r="AH207" s="570"/>
      <c r="AI207" s="570"/>
      <c r="AJ207" s="570"/>
      <c r="AK207" s="570"/>
      <c r="AL207" s="570"/>
      <c r="AM207" s="570"/>
      <c r="AN207" s="570"/>
      <c r="AO207" s="570"/>
      <c r="AP207" s="570"/>
      <c r="AQ207" s="570"/>
      <c r="AR207" s="570"/>
      <c r="AS207" s="570"/>
      <c r="AT207" s="570"/>
      <c r="AU207" s="570"/>
      <c r="AV207" s="588"/>
    </row>
    <row r="208" x14ac:dyDescent="0.3">
      <c r="A208" s="704"/>
      <c r="B208" s="570"/>
      <c r="C208" s="570"/>
      <c r="D208" s="708"/>
      <c r="E208" s="829"/>
      <c r="F208" s="709"/>
      <c r="G208" s="570"/>
      <c r="H208" s="292"/>
      <c r="I208" s="274">
        <f t="shared" si="15"/>
        <v>11</v>
      </c>
      <c r="J208" s="1190" t="str">
        <f t="shared" si="15"/>
        <v/>
      </c>
      <c r="K208" s="1256" t="str">
        <f>IF('I. Stream &amp; Compound Data'!K272&lt;&gt;"",'I. Stream &amp; Compound Data'!K272,"")</f>
        <v/>
      </c>
      <c r="L208" s="1256" t="str">
        <f>IF('I. Stream &amp; Compound Data'!L272&lt;&gt;"",'I. Stream &amp; Compound Data'!L272,"")</f>
        <v/>
      </c>
      <c r="M208" s="1256" t="str">
        <f>IF('I. Stream &amp; Compound Data'!AM272&lt;&gt;"",'I. Stream &amp; Compound Data'!AM272,"")</f>
        <v/>
      </c>
      <c r="N208" s="202" t="str">
        <f t="shared" si="16"/>
        <v/>
      </c>
      <c r="O208" s="1256" t="str">
        <f>IF('I. Stream &amp; Compound Data'!P272&lt;&gt;"",'I. Stream &amp; Compound Data'!P272,"")</f>
        <v/>
      </c>
      <c r="P208" s="1257" t="str">
        <f>IF('I. Stream &amp; Compound Data'!CH272&lt;&gt;"",'I. Stream &amp; Compound Data'!CH272,"")</f>
        <v/>
      </c>
      <c r="Q208" s="1256" t="str">
        <f>IF('I. Stream &amp; Compound Data'!R272&lt;&gt;"",'I. Stream &amp; Compound Data'!R272,"")</f>
        <v/>
      </c>
      <c r="R208" s="1256" t="str">
        <f>IF('I. Stream &amp; Compound Data'!S272&lt;&gt;"",'I. Stream &amp; Compound Data'!S272,"")</f>
        <v/>
      </c>
      <c r="S208" s="1256" t="str">
        <f>IF('I. Stream &amp; Compound Data'!T272&lt;&gt;"",'I. Stream &amp; Compound Data'!T272,"")</f>
        <v/>
      </c>
      <c r="T208" s="1230" t="str">
        <f t="shared" si="17"/>
        <v/>
      </c>
      <c r="U208" s="570"/>
      <c r="V208" s="570"/>
      <c r="W208" s="570"/>
      <c r="X208" s="570"/>
      <c r="Y208" s="570"/>
      <c r="Z208" s="570"/>
      <c r="AA208" s="570"/>
      <c r="AB208" s="570"/>
      <c r="AC208" s="570"/>
      <c r="AD208" s="570"/>
      <c r="AE208" s="570"/>
      <c r="AF208" s="570"/>
      <c r="AG208" s="570"/>
      <c r="AH208" s="570"/>
      <c r="AI208" s="570"/>
      <c r="AJ208" s="570"/>
      <c r="AK208" s="570"/>
      <c r="AL208" s="570"/>
      <c r="AM208" s="570"/>
      <c r="AN208" s="570"/>
      <c r="AO208" s="570"/>
      <c r="AP208" s="570"/>
      <c r="AQ208" s="570"/>
      <c r="AR208" s="570"/>
      <c r="AS208" s="570"/>
      <c r="AT208" s="570"/>
      <c r="AU208" s="570"/>
      <c r="AV208" s="588"/>
    </row>
    <row r="209" x14ac:dyDescent="0.3">
      <c r="A209" s="704"/>
      <c r="B209" s="570"/>
      <c r="C209" s="570"/>
      <c r="D209" s="708"/>
      <c r="E209" s="829"/>
      <c r="F209" s="709"/>
      <c r="G209" s="570"/>
      <c r="H209" s="292"/>
      <c r="I209" s="274">
        <f t="shared" si="15"/>
        <v>12</v>
      </c>
      <c r="J209" s="1190" t="str">
        <f t="shared" si="15"/>
        <v/>
      </c>
      <c r="K209" s="1256" t="str">
        <f>IF('I. Stream &amp; Compound Data'!K273&lt;&gt;"",'I. Stream &amp; Compound Data'!K273,"")</f>
        <v/>
      </c>
      <c r="L209" s="1256" t="str">
        <f>IF('I. Stream &amp; Compound Data'!L273&lt;&gt;"",'I. Stream &amp; Compound Data'!L273,"")</f>
        <v/>
      </c>
      <c r="M209" s="1256" t="str">
        <f>IF('I. Stream &amp; Compound Data'!AM273&lt;&gt;"",'I. Stream &amp; Compound Data'!AM273,"")</f>
        <v/>
      </c>
      <c r="N209" s="202" t="str">
        <f t="shared" si="16"/>
        <v/>
      </c>
      <c r="O209" s="1256" t="str">
        <f>IF('I. Stream &amp; Compound Data'!P273&lt;&gt;"",'I. Stream &amp; Compound Data'!P273,"")</f>
        <v/>
      </c>
      <c r="P209" s="1257" t="str">
        <f>IF('I. Stream &amp; Compound Data'!CH273&lt;&gt;"",'I. Stream &amp; Compound Data'!CH273,"")</f>
        <v/>
      </c>
      <c r="Q209" s="1256" t="str">
        <f>IF('I. Stream &amp; Compound Data'!R273&lt;&gt;"",'I. Stream &amp; Compound Data'!R273,"")</f>
        <v/>
      </c>
      <c r="R209" s="1256" t="str">
        <f>IF('I. Stream &amp; Compound Data'!S273&lt;&gt;"",'I. Stream &amp; Compound Data'!S273,"")</f>
        <v/>
      </c>
      <c r="S209" s="1256" t="str">
        <f>IF('I. Stream &amp; Compound Data'!T273&lt;&gt;"",'I. Stream &amp; Compound Data'!T273,"")</f>
        <v/>
      </c>
      <c r="T209" s="1230" t="str">
        <f t="shared" si="17"/>
        <v/>
      </c>
      <c r="U209" s="570"/>
      <c r="V209" s="570"/>
      <c r="W209" s="570"/>
      <c r="X209" s="570"/>
      <c r="Y209" s="570"/>
      <c r="Z209" s="570"/>
      <c r="AA209" s="570"/>
      <c r="AB209" s="570"/>
      <c r="AC209" s="570"/>
      <c r="AD209" s="570"/>
      <c r="AE209" s="570"/>
      <c r="AF209" s="570"/>
      <c r="AG209" s="570"/>
      <c r="AH209" s="570"/>
      <c r="AI209" s="570"/>
      <c r="AJ209" s="570"/>
      <c r="AK209" s="570"/>
      <c r="AL209" s="570"/>
      <c r="AM209" s="570"/>
      <c r="AN209" s="570"/>
      <c r="AO209" s="570"/>
      <c r="AP209" s="570"/>
      <c r="AQ209" s="570"/>
      <c r="AR209" s="570"/>
      <c r="AS209" s="570"/>
      <c r="AT209" s="570"/>
      <c r="AU209" s="570"/>
      <c r="AV209" s="588"/>
    </row>
    <row r="210" x14ac:dyDescent="0.3">
      <c r="A210" s="704"/>
      <c r="B210" s="570"/>
      <c r="C210" s="570"/>
      <c r="D210" s="708"/>
      <c r="E210" s="829"/>
      <c r="F210" s="709"/>
      <c r="G210" s="570"/>
      <c r="H210" s="292"/>
      <c r="I210" s="274">
        <f t="shared" si="15"/>
        <v>13</v>
      </c>
      <c r="J210" s="1190" t="str">
        <f t="shared" si="15"/>
        <v/>
      </c>
      <c r="K210" s="1256" t="str">
        <f>IF('I. Stream &amp; Compound Data'!K274&lt;&gt;"",'I. Stream &amp; Compound Data'!K274,"")</f>
        <v/>
      </c>
      <c r="L210" s="1256" t="str">
        <f>IF('I. Stream &amp; Compound Data'!L274&lt;&gt;"",'I. Stream &amp; Compound Data'!L274,"")</f>
        <v/>
      </c>
      <c r="M210" s="1256" t="str">
        <f>IF('I. Stream &amp; Compound Data'!AM274&lt;&gt;"",'I. Stream &amp; Compound Data'!AM274,"")</f>
        <v/>
      </c>
      <c r="N210" s="202" t="str">
        <f t="shared" si="16"/>
        <v/>
      </c>
      <c r="O210" s="1256" t="str">
        <f>IF('I. Stream &amp; Compound Data'!P274&lt;&gt;"",'I. Stream &amp; Compound Data'!P274,"")</f>
        <v/>
      </c>
      <c r="P210" s="1257" t="str">
        <f>IF('I. Stream &amp; Compound Data'!CH274&lt;&gt;"",'I. Stream &amp; Compound Data'!CH274,"")</f>
        <v/>
      </c>
      <c r="Q210" s="1256" t="str">
        <f>IF('I. Stream &amp; Compound Data'!R274&lt;&gt;"",'I. Stream &amp; Compound Data'!R274,"")</f>
        <v/>
      </c>
      <c r="R210" s="1256" t="str">
        <f>IF('I. Stream &amp; Compound Data'!S274&lt;&gt;"",'I. Stream &amp; Compound Data'!S274,"")</f>
        <v/>
      </c>
      <c r="S210" s="1256" t="str">
        <f>IF('I. Stream &amp; Compound Data'!T274&lt;&gt;"",'I. Stream &amp; Compound Data'!T274,"")</f>
        <v/>
      </c>
      <c r="T210" s="1230" t="str">
        <f t="shared" si="17"/>
        <v/>
      </c>
      <c r="U210" s="570"/>
      <c r="V210" s="570"/>
      <c r="W210" s="570"/>
      <c r="X210" s="570"/>
      <c r="Y210" s="570"/>
      <c r="Z210" s="570"/>
      <c r="AA210" s="570"/>
      <c r="AB210" s="570"/>
      <c r="AC210" s="570"/>
      <c r="AD210" s="570"/>
      <c r="AE210" s="570"/>
      <c r="AF210" s="570"/>
      <c r="AG210" s="570"/>
      <c r="AH210" s="570"/>
      <c r="AI210" s="570"/>
      <c r="AJ210" s="570"/>
      <c r="AK210" s="570"/>
      <c r="AL210" s="570"/>
      <c r="AM210" s="570"/>
      <c r="AN210" s="570"/>
      <c r="AO210" s="570"/>
      <c r="AP210" s="570"/>
      <c r="AQ210" s="570"/>
      <c r="AR210" s="570"/>
      <c r="AS210" s="570"/>
      <c r="AT210" s="570"/>
      <c r="AU210" s="570"/>
      <c r="AV210" s="588"/>
    </row>
    <row r="211" x14ac:dyDescent="0.3">
      <c r="A211" s="704"/>
      <c r="B211" s="570"/>
      <c r="C211" s="570"/>
      <c r="D211" s="708"/>
      <c r="E211" s="829"/>
      <c r="F211" s="709"/>
      <c r="G211" s="570"/>
      <c r="H211" s="292"/>
      <c r="I211" s="274">
        <f t="shared" si="15"/>
        <v>14</v>
      </c>
      <c r="J211" s="1190" t="str">
        <f t="shared" si="15"/>
        <v/>
      </c>
      <c r="K211" s="1256" t="str">
        <f>IF('I. Stream &amp; Compound Data'!K275&lt;&gt;"",'I. Stream &amp; Compound Data'!K275,"")</f>
        <v/>
      </c>
      <c r="L211" s="1256" t="str">
        <f>IF('I. Stream &amp; Compound Data'!L275&lt;&gt;"",'I. Stream &amp; Compound Data'!L275,"")</f>
        <v/>
      </c>
      <c r="M211" s="1256" t="str">
        <f>IF('I. Stream &amp; Compound Data'!AM275&lt;&gt;"",'I. Stream &amp; Compound Data'!AM275,"")</f>
        <v/>
      </c>
      <c r="N211" s="202" t="str">
        <f t="shared" si="16"/>
        <v/>
      </c>
      <c r="O211" s="1256" t="str">
        <f>IF('I. Stream &amp; Compound Data'!P275&lt;&gt;"",'I. Stream &amp; Compound Data'!P275,"")</f>
        <v/>
      </c>
      <c r="P211" s="1257" t="str">
        <f>IF('I. Stream &amp; Compound Data'!CH275&lt;&gt;"",'I. Stream &amp; Compound Data'!CH275,"")</f>
        <v/>
      </c>
      <c r="Q211" s="1256" t="str">
        <f>IF('I. Stream &amp; Compound Data'!R275&lt;&gt;"",'I. Stream &amp; Compound Data'!R275,"")</f>
        <v/>
      </c>
      <c r="R211" s="1256" t="str">
        <f>IF('I. Stream &amp; Compound Data'!S275&lt;&gt;"",'I. Stream &amp; Compound Data'!S275,"")</f>
        <v/>
      </c>
      <c r="S211" s="1256" t="str">
        <f>IF('I. Stream &amp; Compound Data'!T275&lt;&gt;"",'I. Stream &amp; Compound Data'!T275,"")</f>
        <v/>
      </c>
      <c r="T211" s="1230" t="str">
        <f t="shared" si="17"/>
        <v/>
      </c>
      <c r="U211" s="570"/>
      <c r="V211" s="570"/>
      <c r="W211" s="570"/>
      <c r="X211" s="570"/>
      <c r="Y211" s="570"/>
      <c r="Z211" s="570"/>
      <c r="AA211" s="570"/>
      <c r="AB211" s="570"/>
      <c r="AC211" s="570"/>
      <c r="AD211" s="570"/>
      <c r="AE211" s="570"/>
      <c r="AF211" s="570"/>
      <c r="AG211" s="570"/>
      <c r="AH211" s="570"/>
      <c r="AI211" s="570"/>
      <c r="AJ211" s="570"/>
      <c r="AK211" s="570"/>
      <c r="AL211" s="570"/>
      <c r="AM211" s="570"/>
      <c r="AN211" s="570"/>
      <c r="AO211" s="570"/>
      <c r="AP211" s="570"/>
      <c r="AQ211" s="570"/>
      <c r="AR211" s="570"/>
      <c r="AS211" s="570"/>
      <c r="AT211" s="570"/>
      <c r="AU211" s="570"/>
      <c r="AV211" s="588"/>
    </row>
    <row r="212" x14ac:dyDescent="0.3">
      <c r="A212" s="704"/>
      <c r="B212" s="570"/>
      <c r="C212" s="570"/>
      <c r="D212" s="708"/>
      <c r="E212" s="829"/>
      <c r="F212" s="709"/>
      <c r="G212" s="570"/>
      <c r="H212" s="292"/>
      <c r="I212" s="274">
        <f t="shared" si="15"/>
        <v>15</v>
      </c>
      <c r="J212" s="1190" t="str">
        <f t="shared" si="15"/>
        <v/>
      </c>
      <c r="K212" s="1256" t="str">
        <f>IF('I. Stream &amp; Compound Data'!K276&lt;&gt;"",'I. Stream &amp; Compound Data'!K276,"")</f>
        <v/>
      </c>
      <c r="L212" s="1256" t="str">
        <f>IF('I. Stream &amp; Compound Data'!L276&lt;&gt;"",'I. Stream &amp; Compound Data'!L276,"")</f>
        <v/>
      </c>
      <c r="M212" s="1256" t="str">
        <f>IF('I. Stream &amp; Compound Data'!AM276&lt;&gt;"",'I. Stream &amp; Compound Data'!AM276,"")</f>
        <v/>
      </c>
      <c r="N212" s="202" t="str">
        <f t="shared" si="16"/>
        <v/>
      </c>
      <c r="O212" s="1256" t="str">
        <f>IF('I. Stream &amp; Compound Data'!P276&lt;&gt;"",'I. Stream &amp; Compound Data'!P276,"")</f>
        <v/>
      </c>
      <c r="P212" s="1257" t="str">
        <f>IF('I. Stream &amp; Compound Data'!CH276&lt;&gt;"",'I. Stream &amp; Compound Data'!CH276,"")</f>
        <v/>
      </c>
      <c r="Q212" s="1256" t="str">
        <f>IF('I. Stream &amp; Compound Data'!R276&lt;&gt;"",'I. Stream &amp; Compound Data'!R276,"")</f>
        <v/>
      </c>
      <c r="R212" s="1256" t="str">
        <f>IF('I. Stream &amp; Compound Data'!S276&lt;&gt;"",'I. Stream &amp; Compound Data'!S276,"")</f>
        <v/>
      </c>
      <c r="S212" s="1256" t="str">
        <f>IF('I. Stream &amp; Compound Data'!T276&lt;&gt;"",'I. Stream &amp; Compound Data'!T276,"")</f>
        <v/>
      </c>
      <c r="T212" s="1230" t="str">
        <f t="shared" si="17"/>
        <v/>
      </c>
      <c r="U212" s="570"/>
      <c r="V212" s="570"/>
      <c r="W212" s="570"/>
      <c r="X212" s="570"/>
      <c r="Y212" s="570"/>
      <c r="Z212" s="570"/>
      <c r="AA212" s="570"/>
      <c r="AB212" s="570"/>
      <c r="AC212" s="570"/>
      <c r="AD212" s="570"/>
      <c r="AE212" s="570"/>
      <c r="AF212" s="570"/>
      <c r="AG212" s="570"/>
      <c r="AH212" s="570"/>
      <c r="AI212" s="570"/>
      <c r="AJ212" s="570"/>
      <c r="AK212" s="570"/>
      <c r="AL212" s="570"/>
      <c r="AM212" s="570"/>
      <c r="AN212" s="570"/>
      <c r="AO212" s="570"/>
      <c r="AP212" s="570"/>
      <c r="AQ212" s="570"/>
      <c r="AR212" s="570"/>
      <c r="AS212" s="570"/>
      <c r="AT212" s="570"/>
      <c r="AU212" s="570"/>
      <c r="AV212" s="588"/>
    </row>
    <row r="213" x14ac:dyDescent="0.3">
      <c r="A213" s="704"/>
      <c r="B213" s="570"/>
      <c r="C213" s="570"/>
      <c r="D213" s="708"/>
      <c r="E213" s="829"/>
      <c r="F213" s="709"/>
      <c r="G213" s="570"/>
      <c r="H213" s="292"/>
      <c r="I213" s="274">
        <f t="shared" si="15"/>
        <v>16</v>
      </c>
      <c r="J213" s="1190" t="str">
        <f t="shared" si="15"/>
        <v/>
      </c>
      <c r="K213" s="1256" t="str">
        <f>IF('I. Stream &amp; Compound Data'!K277&lt;&gt;"",'I. Stream &amp; Compound Data'!K277,"")</f>
        <v/>
      </c>
      <c r="L213" s="1256" t="str">
        <f>IF('I. Stream &amp; Compound Data'!L277&lt;&gt;"",'I. Stream &amp; Compound Data'!L277,"")</f>
        <v/>
      </c>
      <c r="M213" s="1256" t="str">
        <f>IF('I. Stream &amp; Compound Data'!AM277&lt;&gt;"",'I. Stream &amp; Compound Data'!AM277,"")</f>
        <v/>
      </c>
      <c r="N213" s="202" t="str">
        <f t="shared" si="16"/>
        <v/>
      </c>
      <c r="O213" s="1256" t="str">
        <f>IF('I. Stream &amp; Compound Data'!P277&lt;&gt;"",'I. Stream &amp; Compound Data'!P277,"")</f>
        <v/>
      </c>
      <c r="P213" s="1257" t="str">
        <f>IF('I. Stream &amp; Compound Data'!CH277&lt;&gt;"",'I. Stream &amp; Compound Data'!CH277,"")</f>
        <v/>
      </c>
      <c r="Q213" s="1256" t="str">
        <f>IF('I. Stream &amp; Compound Data'!R277&lt;&gt;"",'I. Stream &amp; Compound Data'!R277,"")</f>
        <v/>
      </c>
      <c r="R213" s="1256" t="str">
        <f>IF('I. Stream &amp; Compound Data'!S277&lt;&gt;"",'I. Stream &amp; Compound Data'!S277,"")</f>
        <v/>
      </c>
      <c r="S213" s="1256" t="str">
        <f>IF('I. Stream &amp; Compound Data'!T277&lt;&gt;"",'I. Stream &amp; Compound Data'!T277,"")</f>
        <v/>
      </c>
      <c r="T213" s="1230" t="str">
        <f t="shared" si="17"/>
        <v/>
      </c>
      <c r="U213" s="570"/>
      <c r="V213" s="570"/>
      <c r="W213" s="570"/>
      <c r="X213" s="570"/>
      <c r="Y213" s="570"/>
      <c r="Z213" s="570"/>
      <c r="AA213" s="570"/>
      <c r="AB213" s="570"/>
      <c r="AC213" s="570"/>
      <c r="AD213" s="570"/>
      <c r="AE213" s="570"/>
      <c r="AF213" s="570"/>
      <c r="AG213" s="570"/>
      <c r="AH213" s="570"/>
      <c r="AI213" s="570"/>
      <c r="AJ213" s="570"/>
      <c r="AK213" s="570"/>
      <c r="AL213" s="570"/>
      <c r="AM213" s="570"/>
      <c r="AN213" s="570"/>
      <c r="AO213" s="570"/>
      <c r="AP213" s="570"/>
      <c r="AQ213" s="570"/>
      <c r="AR213" s="570"/>
      <c r="AS213" s="570"/>
      <c r="AT213" s="570"/>
      <c r="AU213" s="570"/>
      <c r="AV213" s="588"/>
    </row>
    <row r="214" x14ac:dyDescent="0.3">
      <c r="A214" s="704"/>
      <c r="B214" s="570"/>
      <c r="C214" s="570"/>
      <c r="D214" s="708"/>
      <c r="E214" s="829"/>
      <c r="F214" s="709"/>
      <c r="G214" s="570"/>
      <c r="H214" s="292"/>
      <c r="I214" s="274">
        <f t="shared" si="15"/>
        <v>17</v>
      </c>
      <c r="J214" s="1190" t="str">
        <f t="shared" si="15"/>
        <v/>
      </c>
      <c r="K214" s="1256" t="str">
        <f>IF('I. Stream &amp; Compound Data'!K278&lt;&gt;"",'I. Stream &amp; Compound Data'!K278,"")</f>
        <v/>
      </c>
      <c r="L214" s="1256" t="str">
        <f>IF('I. Stream &amp; Compound Data'!L278&lt;&gt;"",'I. Stream &amp; Compound Data'!L278,"")</f>
        <v/>
      </c>
      <c r="M214" s="1256" t="str">
        <f>IF('I. Stream &amp; Compound Data'!AM278&lt;&gt;"",'I. Stream &amp; Compound Data'!AM278,"")</f>
        <v/>
      </c>
      <c r="N214" s="202" t="str">
        <f t="shared" si="16"/>
        <v/>
      </c>
      <c r="O214" s="1256" t="str">
        <f>IF('I. Stream &amp; Compound Data'!P278&lt;&gt;"",'I. Stream &amp; Compound Data'!P278,"")</f>
        <v/>
      </c>
      <c r="P214" s="1257" t="str">
        <f>IF('I. Stream &amp; Compound Data'!CH278&lt;&gt;"",'I. Stream &amp; Compound Data'!CH278,"")</f>
        <v/>
      </c>
      <c r="Q214" s="1256" t="str">
        <f>IF('I. Stream &amp; Compound Data'!R278&lt;&gt;"",'I. Stream &amp; Compound Data'!R278,"")</f>
        <v/>
      </c>
      <c r="R214" s="1256" t="str">
        <f>IF('I. Stream &amp; Compound Data'!S278&lt;&gt;"",'I. Stream &amp; Compound Data'!S278,"")</f>
        <v/>
      </c>
      <c r="S214" s="1256" t="str">
        <f>IF('I. Stream &amp; Compound Data'!T278&lt;&gt;"",'I. Stream &amp; Compound Data'!T278,"")</f>
        <v/>
      </c>
      <c r="T214" s="1230" t="str">
        <f t="shared" si="17"/>
        <v/>
      </c>
      <c r="U214" s="570"/>
      <c r="V214" s="570"/>
      <c r="W214" s="570"/>
      <c r="X214" s="570"/>
      <c r="Y214" s="570"/>
      <c r="Z214" s="570"/>
      <c r="AA214" s="570"/>
      <c r="AB214" s="570"/>
      <c r="AC214" s="570"/>
      <c r="AD214" s="570"/>
      <c r="AE214" s="570"/>
      <c r="AF214" s="570"/>
      <c r="AG214" s="570"/>
      <c r="AH214" s="570"/>
      <c r="AI214" s="570"/>
      <c r="AJ214" s="570"/>
      <c r="AK214" s="570"/>
      <c r="AL214" s="570"/>
      <c r="AM214" s="570"/>
      <c r="AN214" s="570"/>
      <c r="AO214" s="570"/>
      <c r="AP214" s="570"/>
      <c r="AQ214" s="570"/>
      <c r="AR214" s="570"/>
      <c r="AS214" s="570"/>
      <c r="AT214" s="570"/>
      <c r="AU214" s="570"/>
      <c r="AV214" s="588"/>
    </row>
    <row r="215" x14ac:dyDescent="0.3">
      <c r="A215" s="704"/>
      <c r="B215" s="570"/>
      <c r="C215" s="570"/>
      <c r="D215" s="708"/>
      <c r="E215" s="829"/>
      <c r="F215" s="709"/>
      <c r="G215" s="570"/>
      <c r="H215" s="292"/>
      <c r="I215" s="274">
        <f t="shared" si="15"/>
        <v>18</v>
      </c>
      <c r="J215" s="1190" t="str">
        <f t="shared" si="15"/>
        <v/>
      </c>
      <c r="K215" s="1256" t="str">
        <f>IF('I. Stream &amp; Compound Data'!K279&lt;&gt;"",'I. Stream &amp; Compound Data'!K279,"")</f>
        <v/>
      </c>
      <c r="L215" s="1256" t="str">
        <f>IF('I. Stream &amp; Compound Data'!L279&lt;&gt;"",'I. Stream &amp; Compound Data'!L279,"")</f>
        <v/>
      </c>
      <c r="M215" s="1256" t="str">
        <f>IF('I. Stream &amp; Compound Data'!AM279&lt;&gt;"",'I. Stream &amp; Compound Data'!AM279,"")</f>
        <v/>
      </c>
      <c r="N215" s="202" t="str">
        <f t="shared" si="16"/>
        <v/>
      </c>
      <c r="O215" s="1256" t="str">
        <f>IF('I. Stream &amp; Compound Data'!P279&lt;&gt;"",'I. Stream &amp; Compound Data'!P279,"")</f>
        <v/>
      </c>
      <c r="P215" s="1257" t="str">
        <f>IF('I. Stream &amp; Compound Data'!CH279&lt;&gt;"",'I. Stream &amp; Compound Data'!CH279,"")</f>
        <v/>
      </c>
      <c r="Q215" s="1256" t="str">
        <f>IF('I. Stream &amp; Compound Data'!R279&lt;&gt;"",'I. Stream &amp; Compound Data'!R279,"")</f>
        <v/>
      </c>
      <c r="R215" s="1256" t="str">
        <f>IF('I. Stream &amp; Compound Data'!S279&lt;&gt;"",'I. Stream &amp; Compound Data'!S279,"")</f>
        <v/>
      </c>
      <c r="S215" s="1256" t="str">
        <f>IF('I. Stream &amp; Compound Data'!T279&lt;&gt;"",'I. Stream &amp; Compound Data'!T279,"")</f>
        <v/>
      </c>
      <c r="T215" s="1230" t="str">
        <f t="shared" si="17"/>
        <v/>
      </c>
      <c r="U215" s="570"/>
      <c r="V215" s="570"/>
      <c r="W215" s="570"/>
      <c r="X215" s="570"/>
      <c r="Y215" s="570"/>
      <c r="Z215" s="570"/>
      <c r="AA215" s="570"/>
      <c r="AB215" s="570"/>
      <c r="AC215" s="570"/>
      <c r="AD215" s="570"/>
      <c r="AE215" s="570"/>
      <c r="AF215" s="570"/>
      <c r="AG215" s="570"/>
      <c r="AH215" s="570"/>
      <c r="AI215" s="570"/>
      <c r="AJ215" s="570"/>
      <c r="AK215" s="570"/>
      <c r="AL215" s="570"/>
      <c r="AM215" s="570"/>
      <c r="AN215" s="570"/>
      <c r="AO215" s="570"/>
      <c r="AP215" s="570"/>
      <c r="AQ215" s="570"/>
      <c r="AR215" s="570"/>
      <c r="AS215" s="570"/>
      <c r="AT215" s="570"/>
      <c r="AU215" s="570"/>
      <c r="AV215" s="588"/>
    </row>
    <row r="216" x14ac:dyDescent="0.3">
      <c r="A216" s="704"/>
      <c r="B216" s="570"/>
      <c r="C216" s="570"/>
      <c r="D216" s="708"/>
      <c r="E216" s="829"/>
      <c r="F216" s="709"/>
      <c r="G216" s="570"/>
      <c r="H216" s="292"/>
      <c r="I216" s="274">
        <f t="shared" si="15"/>
        <v>19</v>
      </c>
      <c r="J216" s="1190" t="str">
        <f t="shared" si="15"/>
        <v/>
      </c>
      <c r="K216" s="1256" t="str">
        <f>IF('I. Stream &amp; Compound Data'!K280&lt;&gt;"",'I. Stream &amp; Compound Data'!K280,"")</f>
        <v/>
      </c>
      <c r="L216" s="1256" t="str">
        <f>IF('I. Stream &amp; Compound Data'!L280&lt;&gt;"",'I. Stream &amp; Compound Data'!L280,"")</f>
        <v/>
      </c>
      <c r="M216" s="1256" t="str">
        <f>IF('I. Stream &amp; Compound Data'!AM280&lt;&gt;"",'I. Stream &amp; Compound Data'!AM280,"")</f>
        <v/>
      </c>
      <c r="N216" s="202" t="str">
        <f t="shared" si="16"/>
        <v/>
      </c>
      <c r="O216" s="1256" t="str">
        <f>IF('I. Stream &amp; Compound Data'!P280&lt;&gt;"",'I. Stream &amp; Compound Data'!P280,"")</f>
        <v/>
      </c>
      <c r="P216" s="1257" t="str">
        <f>IF('I. Stream &amp; Compound Data'!CH280&lt;&gt;"",'I. Stream &amp; Compound Data'!CH280,"")</f>
        <v/>
      </c>
      <c r="Q216" s="1256" t="str">
        <f>IF('I. Stream &amp; Compound Data'!R280&lt;&gt;"",'I. Stream &amp; Compound Data'!R280,"")</f>
        <v/>
      </c>
      <c r="R216" s="1256" t="str">
        <f>IF('I. Stream &amp; Compound Data'!S280&lt;&gt;"",'I. Stream &amp; Compound Data'!S280,"")</f>
        <v/>
      </c>
      <c r="S216" s="1256" t="str">
        <f>IF('I. Stream &amp; Compound Data'!T280&lt;&gt;"",'I. Stream &amp; Compound Data'!T280,"")</f>
        <v/>
      </c>
      <c r="T216" s="1230" t="str">
        <f t="shared" si="17"/>
        <v/>
      </c>
      <c r="U216" s="570"/>
      <c r="V216" s="570"/>
      <c r="W216" s="570"/>
      <c r="X216" s="570"/>
      <c r="Y216" s="570"/>
      <c r="Z216" s="570"/>
      <c r="AA216" s="570"/>
      <c r="AB216" s="570"/>
      <c r="AC216" s="570"/>
      <c r="AD216" s="570"/>
      <c r="AE216" s="570"/>
      <c r="AF216" s="570"/>
      <c r="AG216" s="570"/>
      <c r="AH216" s="570"/>
      <c r="AI216" s="570"/>
      <c r="AJ216" s="570"/>
      <c r="AK216" s="570"/>
      <c r="AL216" s="570"/>
      <c r="AM216" s="570"/>
      <c r="AN216" s="570"/>
      <c r="AO216" s="570"/>
      <c r="AP216" s="570"/>
      <c r="AQ216" s="570"/>
      <c r="AR216" s="570"/>
      <c r="AS216" s="570"/>
      <c r="AT216" s="570"/>
      <c r="AU216" s="570"/>
      <c r="AV216" s="588"/>
    </row>
    <row r="217" x14ac:dyDescent="0.3">
      <c r="A217" s="704"/>
      <c r="B217" s="570"/>
      <c r="C217" s="570"/>
      <c r="D217" s="708"/>
      <c r="E217" s="829"/>
      <c r="F217" s="709"/>
      <c r="G217" s="570"/>
      <c r="H217" s="292"/>
      <c r="I217" s="274">
        <f t="shared" si="15"/>
        <v>20</v>
      </c>
      <c r="J217" s="1190" t="str">
        <f t="shared" si="15"/>
        <v/>
      </c>
      <c r="K217" s="1256" t="str">
        <f>IF('I. Stream &amp; Compound Data'!K281&lt;&gt;"",'I. Stream &amp; Compound Data'!K281,"")</f>
        <v/>
      </c>
      <c r="L217" s="1256" t="str">
        <f>IF('I. Stream &amp; Compound Data'!L281&lt;&gt;"",'I. Stream &amp; Compound Data'!L281,"")</f>
        <v/>
      </c>
      <c r="M217" s="1256" t="str">
        <f>IF('I. Stream &amp; Compound Data'!AM281&lt;&gt;"",'I. Stream &amp; Compound Data'!AM281,"")</f>
        <v/>
      </c>
      <c r="N217" s="202" t="str">
        <f t="shared" si="16"/>
        <v/>
      </c>
      <c r="O217" s="1256" t="str">
        <f>IF('I. Stream &amp; Compound Data'!P281&lt;&gt;"",'I. Stream &amp; Compound Data'!P281,"")</f>
        <v/>
      </c>
      <c r="P217" s="1257" t="str">
        <f>IF('I. Stream &amp; Compound Data'!CH281&lt;&gt;"",'I. Stream &amp; Compound Data'!CH281,"")</f>
        <v/>
      </c>
      <c r="Q217" s="1256" t="str">
        <f>IF('I. Stream &amp; Compound Data'!R281&lt;&gt;"",'I. Stream &amp; Compound Data'!R281,"")</f>
        <v/>
      </c>
      <c r="R217" s="1256" t="str">
        <f>IF('I. Stream &amp; Compound Data'!S281&lt;&gt;"",'I. Stream &amp; Compound Data'!S281,"")</f>
        <v/>
      </c>
      <c r="S217" s="1256" t="str">
        <f>IF('I. Stream &amp; Compound Data'!T281&lt;&gt;"",'I. Stream &amp; Compound Data'!T281,"")</f>
        <v/>
      </c>
      <c r="T217" s="1230" t="str">
        <f t="shared" ref="T217:T247" si="18">IF(J217="","",S217*O217)</f>
        <v/>
      </c>
      <c r="U217" s="570"/>
      <c r="V217" s="570"/>
      <c r="W217" s="570"/>
      <c r="X217" s="570"/>
      <c r="Y217" s="570"/>
      <c r="Z217" s="570"/>
      <c r="AA217" s="570"/>
      <c r="AB217" s="570"/>
      <c r="AC217" s="570"/>
      <c r="AD217" s="570"/>
      <c r="AE217" s="570"/>
      <c r="AF217" s="570"/>
      <c r="AG217" s="570"/>
      <c r="AH217" s="570"/>
      <c r="AI217" s="570"/>
      <c r="AJ217" s="570"/>
      <c r="AK217" s="570"/>
      <c r="AL217" s="570"/>
      <c r="AM217" s="570"/>
      <c r="AN217" s="570"/>
      <c r="AO217" s="570"/>
      <c r="AP217" s="570"/>
      <c r="AQ217" s="570"/>
      <c r="AR217" s="570"/>
      <c r="AS217" s="570"/>
      <c r="AT217" s="570"/>
      <c r="AU217" s="570"/>
      <c r="AV217" s="588"/>
    </row>
    <row r="218" x14ac:dyDescent="0.3">
      <c r="A218" s="704"/>
      <c r="B218" s="570"/>
      <c r="C218" s="570"/>
      <c r="D218" s="708"/>
      <c r="E218" s="829"/>
      <c r="F218" s="709"/>
      <c r="G218" s="570"/>
      <c r="H218" s="292"/>
      <c r="I218" s="274">
        <f t="shared" si="15"/>
        <v>21</v>
      </c>
      <c r="J218" s="1190" t="str">
        <f t="shared" si="15"/>
        <v/>
      </c>
      <c r="K218" s="1256" t="str">
        <f>IF('I. Stream &amp; Compound Data'!K282&lt;&gt;"",'I. Stream &amp; Compound Data'!K282,"")</f>
        <v/>
      </c>
      <c r="L218" s="1256" t="str">
        <f>IF('I. Stream &amp; Compound Data'!L282&lt;&gt;"",'I. Stream &amp; Compound Data'!L282,"")</f>
        <v/>
      </c>
      <c r="M218" s="1256" t="str">
        <f>IF('I. Stream &amp; Compound Data'!AM282&lt;&gt;"",'I. Stream &amp; Compound Data'!AM282,"")</f>
        <v/>
      </c>
      <c r="N218" s="202" t="str">
        <f>IF(J218&lt;&gt;"",L218*M218,"")</f>
        <v/>
      </c>
      <c r="O218" s="1256" t="str">
        <f>IF('I. Stream &amp; Compound Data'!P282&lt;&gt;"",'I. Stream &amp; Compound Data'!P282,"")</f>
        <v/>
      </c>
      <c r="P218" s="1257" t="str">
        <f>IF('I. Stream &amp; Compound Data'!CH282&lt;&gt;"",'I. Stream &amp; Compound Data'!CH282,"")</f>
        <v/>
      </c>
      <c r="Q218" s="1256" t="str">
        <f>IF('I. Stream &amp; Compound Data'!R282&lt;&gt;"",'I. Stream &amp; Compound Data'!R282,"")</f>
        <v/>
      </c>
      <c r="R218" s="1256" t="str">
        <f>IF('I. Stream &amp; Compound Data'!S282&lt;&gt;"",'I. Stream &amp; Compound Data'!S282,"")</f>
        <v/>
      </c>
      <c r="S218" s="1256" t="str">
        <f>IF('I. Stream &amp; Compound Data'!T282&lt;&gt;"",'I. Stream &amp; Compound Data'!T282,"")</f>
        <v/>
      </c>
      <c r="T218" s="1230" t="str">
        <f t="shared" si="18"/>
        <v/>
      </c>
      <c r="U218" s="570"/>
      <c r="V218" s="570"/>
      <c r="W218" s="570"/>
      <c r="X218" s="570"/>
      <c r="Y218" s="570"/>
      <c r="Z218" s="570"/>
      <c r="AA218" s="570"/>
      <c r="AB218" s="570"/>
      <c r="AC218" s="570"/>
      <c r="AD218" s="570"/>
      <c r="AE218" s="570"/>
      <c r="AF218" s="570"/>
      <c r="AG218" s="570"/>
      <c r="AH218" s="570"/>
      <c r="AI218" s="570"/>
      <c r="AJ218" s="570"/>
      <c r="AK218" s="570"/>
      <c r="AL218" s="570"/>
      <c r="AM218" s="570"/>
      <c r="AN218" s="570"/>
      <c r="AO218" s="570"/>
      <c r="AP218" s="570"/>
      <c r="AQ218" s="570"/>
      <c r="AR218" s="570"/>
      <c r="AS218" s="570"/>
      <c r="AT218" s="570"/>
      <c r="AU218" s="570"/>
      <c r="AV218" s="588"/>
    </row>
    <row r="219" x14ac:dyDescent="0.3">
      <c r="A219" s="704"/>
      <c r="B219" s="570"/>
      <c r="C219" s="570"/>
      <c r="D219" s="708"/>
      <c r="E219" s="829"/>
      <c r="F219" s="709"/>
      <c r="G219" s="570"/>
      <c r="H219" s="292"/>
      <c r="I219" s="274">
        <f t="shared" si="15"/>
        <v>22</v>
      </c>
      <c r="J219" s="1190" t="str">
        <f t="shared" si="15"/>
        <v/>
      </c>
      <c r="K219" s="1256" t="str">
        <f>IF('I. Stream &amp; Compound Data'!K283&lt;&gt;"",'I. Stream &amp; Compound Data'!K283,"")</f>
        <v/>
      </c>
      <c r="L219" s="1256" t="str">
        <f>IF('I. Stream &amp; Compound Data'!L283&lt;&gt;"",'I. Stream &amp; Compound Data'!L283,"")</f>
        <v/>
      </c>
      <c r="M219" s="1256" t="str">
        <f>IF('I. Stream &amp; Compound Data'!AM283&lt;&gt;"",'I. Stream &amp; Compound Data'!AM283,"")</f>
        <v/>
      </c>
      <c r="N219" s="202" t="str">
        <f t="shared" si="16"/>
        <v/>
      </c>
      <c r="O219" s="1256" t="str">
        <f>IF('I. Stream &amp; Compound Data'!P283&lt;&gt;"",'I. Stream &amp; Compound Data'!P283,"")</f>
        <v/>
      </c>
      <c r="P219" s="1257" t="str">
        <f>IF('I. Stream &amp; Compound Data'!CH283&lt;&gt;"",'I. Stream &amp; Compound Data'!CH283,"")</f>
        <v/>
      </c>
      <c r="Q219" s="1256" t="str">
        <f>IF('I. Stream &amp; Compound Data'!R283&lt;&gt;"",'I. Stream &amp; Compound Data'!R283,"")</f>
        <v/>
      </c>
      <c r="R219" s="1256" t="str">
        <f>IF('I. Stream &amp; Compound Data'!S283&lt;&gt;"",'I. Stream &amp; Compound Data'!S283,"")</f>
        <v/>
      </c>
      <c r="S219" s="1256" t="str">
        <f>IF('I. Stream &amp; Compound Data'!T283&lt;&gt;"",'I. Stream &amp; Compound Data'!T283,"")</f>
        <v/>
      </c>
      <c r="T219" s="1230" t="str">
        <f t="shared" si="18"/>
        <v/>
      </c>
      <c r="U219" s="570"/>
      <c r="V219" s="570"/>
      <c r="W219" s="570"/>
      <c r="X219" s="570"/>
      <c r="Y219" s="570"/>
      <c r="Z219" s="570"/>
      <c r="AA219" s="570"/>
      <c r="AB219" s="570"/>
      <c r="AC219" s="570"/>
      <c r="AD219" s="570"/>
      <c r="AE219" s="570"/>
      <c r="AF219" s="570"/>
      <c r="AG219" s="570"/>
      <c r="AH219" s="570"/>
      <c r="AI219" s="570"/>
      <c r="AJ219" s="570"/>
      <c r="AK219" s="570"/>
      <c r="AL219" s="570"/>
      <c r="AM219" s="570"/>
      <c r="AN219" s="570"/>
      <c r="AO219" s="570"/>
      <c r="AP219" s="570"/>
      <c r="AQ219" s="570"/>
      <c r="AR219" s="570"/>
      <c r="AS219" s="570"/>
      <c r="AT219" s="570"/>
      <c r="AU219" s="570"/>
      <c r="AV219" s="588"/>
    </row>
    <row r="220" x14ac:dyDescent="0.3">
      <c r="A220" s="704"/>
      <c r="B220" s="570"/>
      <c r="C220" s="570"/>
      <c r="D220" s="708"/>
      <c r="E220" s="829"/>
      <c r="F220" s="709"/>
      <c r="G220" s="570"/>
      <c r="H220" s="292"/>
      <c r="I220" s="274">
        <f t="shared" si="15"/>
        <v>23</v>
      </c>
      <c r="J220" s="1190" t="str">
        <f t="shared" si="15"/>
        <v/>
      </c>
      <c r="K220" s="1256" t="str">
        <f>IF('I. Stream &amp; Compound Data'!K284&lt;&gt;"",'I. Stream &amp; Compound Data'!K284,"")</f>
        <v/>
      </c>
      <c r="L220" s="1256" t="str">
        <f>IF('I. Stream &amp; Compound Data'!L284&lt;&gt;"",'I. Stream &amp; Compound Data'!L284,"")</f>
        <v/>
      </c>
      <c r="M220" s="1256" t="str">
        <f>IF('I. Stream &amp; Compound Data'!AM284&lt;&gt;"",'I. Stream &amp; Compound Data'!AM284,"")</f>
        <v/>
      </c>
      <c r="N220" s="202" t="str">
        <f t="shared" si="16"/>
        <v/>
      </c>
      <c r="O220" s="1256" t="str">
        <f>IF('I. Stream &amp; Compound Data'!P284&lt;&gt;"",'I. Stream &amp; Compound Data'!P284,"")</f>
        <v/>
      </c>
      <c r="P220" s="1257" t="str">
        <f>IF('I. Stream &amp; Compound Data'!CH284&lt;&gt;"",'I. Stream &amp; Compound Data'!CH284,"")</f>
        <v/>
      </c>
      <c r="Q220" s="1256" t="str">
        <f>IF('I. Stream &amp; Compound Data'!R284&lt;&gt;"",'I. Stream &amp; Compound Data'!R284,"")</f>
        <v/>
      </c>
      <c r="R220" s="1256" t="str">
        <f>IF('I. Stream &amp; Compound Data'!S284&lt;&gt;"",'I. Stream &amp; Compound Data'!S284,"")</f>
        <v/>
      </c>
      <c r="S220" s="1256" t="str">
        <f>IF('I. Stream &amp; Compound Data'!T284&lt;&gt;"",'I. Stream &amp; Compound Data'!T284,"")</f>
        <v/>
      </c>
      <c r="T220" s="1230" t="str">
        <f t="shared" si="18"/>
        <v/>
      </c>
      <c r="U220" s="570"/>
      <c r="V220" s="570"/>
      <c r="W220" s="570"/>
      <c r="X220" s="570"/>
      <c r="Y220" s="570"/>
      <c r="Z220" s="570"/>
      <c r="AA220" s="570"/>
      <c r="AB220" s="570"/>
      <c r="AC220" s="570"/>
      <c r="AD220" s="570"/>
      <c r="AE220" s="570"/>
      <c r="AF220" s="570"/>
      <c r="AG220" s="570"/>
      <c r="AH220" s="570"/>
      <c r="AI220" s="570"/>
      <c r="AJ220" s="570"/>
      <c r="AK220" s="570"/>
      <c r="AL220" s="570"/>
      <c r="AM220" s="570"/>
      <c r="AN220" s="570"/>
      <c r="AO220" s="570"/>
      <c r="AP220" s="570"/>
      <c r="AQ220" s="570"/>
      <c r="AR220" s="570"/>
      <c r="AS220" s="570"/>
      <c r="AT220" s="570"/>
      <c r="AU220" s="570"/>
      <c r="AV220" s="588"/>
    </row>
    <row r="221" x14ac:dyDescent="0.3">
      <c r="A221" s="704"/>
      <c r="B221" s="570"/>
      <c r="C221" s="570"/>
      <c r="D221" s="708"/>
      <c r="E221" s="829"/>
      <c r="F221" s="709"/>
      <c r="G221" s="570"/>
      <c r="H221" s="292"/>
      <c r="I221" s="274">
        <f t="shared" si="15"/>
        <v>24</v>
      </c>
      <c r="J221" s="1190" t="str">
        <f t="shared" si="15"/>
        <v/>
      </c>
      <c r="K221" s="1256" t="str">
        <f>IF('I. Stream &amp; Compound Data'!K285&lt;&gt;"",'I. Stream &amp; Compound Data'!K285,"")</f>
        <v/>
      </c>
      <c r="L221" s="1256" t="str">
        <f>IF('I. Stream &amp; Compound Data'!L285&lt;&gt;"",'I. Stream &amp; Compound Data'!L285,"")</f>
        <v/>
      </c>
      <c r="M221" s="1256" t="str">
        <f>IF('I. Stream &amp; Compound Data'!AM285&lt;&gt;"",'I. Stream &amp; Compound Data'!AM285,"")</f>
        <v/>
      </c>
      <c r="N221" s="202" t="str">
        <f t="shared" si="16"/>
        <v/>
      </c>
      <c r="O221" s="1256" t="str">
        <f>IF('I. Stream &amp; Compound Data'!P285&lt;&gt;"",'I. Stream &amp; Compound Data'!P285,"")</f>
        <v/>
      </c>
      <c r="P221" s="1257" t="str">
        <f>IF('I. Stream &amp; Compound Data'!CH285&lt;&gt;"",'I. Stream &amp; Compound Data'!CH285,"")</f>
        <v/>
      </c>
      <c r="Q221" s="1256" t="str">
        <f>IF('I. Stream &amp; Compound Data'!R285&lt;&gt;"",'I. Stream &amp; Compound Data'!R285,"")</f>
        <v/>
      </c>
      <c r="R221" s="1256" t="str">
        <f>IF('I. Stream &amp; Compound Data'!S285&lt;&gt;"",'I. Stream &amp; Compound Data'!S285,"")</f>
        <v/>
      </c>
      <c r="S221" s="1256" t="str">
        <f>IF('I. Stream &amp; Compound Data'!T285&lt;&gt;"",'I. Stream &amp; Compound Data'!T285,"")</f>
        <v/>
      </c>
      <c r="T221" s="1230" t="str">
        <f t="shared" si="18"/>
        <v/>
      </c>
      <c r="U221" s="570"/>
      <c r="V221" s="570"/>
      <c r="W221" s="570"/>
      <c r="X221" s="570"/>
      <c r="Y221" s="570"/>
      <c r="Z221" s="570"/>
      <c r="AA221" s="570"/>
      <c r="AB221" s="570"/>
      <c r="AC221" s="570"/>
      <c r="AD221" s="570"/>
      <c r="AE221" s="570"/>
      <c r="AF221" s="570"/>
      <c r="AG221" s="570"/>
      <c r="AH221" s="570"/>
      <c r="AI221" s="570"/>
      <c r="AJ221" s="570"/>
      <c r="AK221" s="570"/>
      <c r="AL221" s="570"/>
      <c r="AM221" s="570"/>
      <c r="AN221" s="570"/>
      <c r="AO221" s="570"/>
      <c r="AP221" s="570"/>
      <c r="AQ221" s="570"/>
      <c r="AR221" s="570"/>
      <c r="AS221" s="570"/>
      <c r="AT221" s="570"/>
      <c r="AU221" s="570"/>
      <c r="AV221" s="588"/>
    </row>
    <row r="222" x14ac:dyDescent="0.3">
      <c r="A222" s="704"/>
      <c r="B222" s="570"/>
      <c r="C222" s="570"/>
      <c r="D222" s="708"/>
      <c r="E222" s="829"/>
      <c r="F222" s="709"/>
      <c r="G222" s="570"/>
      <c r="H222" s="292"/>
      <c r="I222" s="274">
        <f t="shared" si="15"/>
        <v>25</v>
      </c>
      <c r="J222" s="1190" t="str">
        <f t="shared" si="15"/>
        <v/>
      </c>
      <c r="K222" s="1256" t="str">
        <f>IF('I. Stream &amp; Compound Data'!K286&lt;&gt;"",'I. Stream &amp; Compound Data'!K286,"")</f>
        <v/>
      </c>
      <c r="L222" s="1256" t="str">
        <f>IF('I. Stream &amp; Compound Data'!L286&lt;&gt;"",'I. Stream &amp; Compound Data'!L286,"")</f>
        <v/>
      </c>
      <c r="M222" s="1256" t="str">
        <f>IF('I. Stream &amp; Compound Data'!AM286&lt;&gt;"",'I. Stream &amp; Compound Data'!AM286,"")</f>
        <v/>
      </c>
      <c r="N222" s="202" t="str">
        <f t="shared" si="16"/>
        <v/>
      </c>
      <c r="O222" s="1256" t="str">
        <f>IF('I. Stream &amp; Compound Data'!P286&lt;&gt;"",'I. Stream &amp; Compound Data'!P286,"")</f>
        <v/>
      </c>
      <c r="P222" s="1257" t="str">
        <f>IF('I. Stream &amp; Compound Data'!CH286&lt;&gt;"",'I. Stream &amp; Compound Data'!CH286,"")</f>
        <v/>
      </c>
      <c r="Q222" s="1256" t="str">
        <f>IF('I. Stream &amp; Compound Data'!R286&lt;&gt;"",'I. Stream &amp; Compound Data'!R286,"")</f>
        <v/>
      </c>
      <c r="R222" s="1256" t="str">
        <f>IF('I. Stream &amp; Compound Data'!S286&lt;&gt;"",'I. Stream &amp; Compound Data'!S286,"")</f>
        <v/>
      </c>
      <c r="S222" s="1256" t="str">
        <f>IF('I. Stream &amp; Compound Data'!T286&lt;&gt;"",'I. Stream &amp; Compound Data'!T286,"")</f>
        <v/>
      </c>
      <c r="T222" s="1230" t="str">
        <f t="shared" si="18"/>
        <v/>
      </c>
      <c r="U222" s="570"/>
      <c r="V222" s="570"/>
      <c r="W222" s="570"/>
      <c r="X222" s="570"/>
      <c r="Y222" s="570"/>
      <c r="Z222" s="570"/>
      <c r="AA222" s="570"/>
      <c r="AB222" s="570"/>
      <c r="AC222" s="570"/>
      <c r="AD222" s="570"/>
      <c r="AE222" s="570"/>
      <c r="AF222" s="570"/>
      <c r="AG222" s="570"/>
      <c r="AH222" s="570"/>
      <c r="AI222" s="570"/>
      <c r="AJ222" s="570"/>
      <c r="AK222" s="570"/>
      <c r="AL222" s="570"/>
      <c r="AM222" s="570"/>
      <c r="AN222" s="570"/>
      <c r="AO222" s="570"/>
      <c r="AP222" s="570"/>
      <c r="AQ222" s="570"/>
      <c r="AR222" s="570"/>
      <c r="AS222" s="570"/>
      <c r="AT222" s="570"/>
      <c r="AU222" s="570"/>
      <c r="AV222" s="588"/>
    </row>
    <row r="223" x14ac:dyDescent="0.3">
      <c r="A223" s="704"/>
      <c r="B223" s="570"/>
      <c r="C223" s="570"/>
      <c r="D223" s="708"/>
      <c r="E223" s="829"/>
      <c r="F223" s="709"/>
      <c r="G223" s="570"/>
      <c r="H223" s="292"/>
      <c r="I223" s="274">
        <f t="shared" si="15"/>
        <v>26</v>
      </c>
      <c r="J223" s="1190" t="str">
        <f t="shared" si="15"/>
        <v/>
      </c>
      <c r="K223" s="1256" t="str">
        <f>IF('I. Stream &amp; Compound Data'!K287&lt;&gt;"",'I. Stream &amp; Compound Data'!K287,"")</f>
        <v/>
      </c>
      <c r="L223" s="1256" t="str">
        <f>IF('I. Stream &amp; Compound Data'!L287&lt;&gt;"",'I. Stream &amp; Compound Data'!L287,"")</f>
        <v/>
      </c>
      <c r="M223" s="1256" t="str">
        <f>IF('I. Stream &amp; Compound Data'!AM287&lt;&gt;"",'I. Stream &amp; Compound Data'!AM287,"")</f>
        <v/>
      </c>
      <c r="N223" s="202" t="str">
        <f t="shared" si="16"/>
        <v/>
      </c>
      <c r="O223" s="1256" t="str">
        <f>IF('I. Stream &amp; Compound Data'!P287&lt;&gt;"",'I. Stream &amp; Compound Data'!P287,"")</f>
        <v/>
      </c>
      <c r="P223" s="1257" t="str">
        <f>IF('I. Stream &amp; Compound Data'!CH287&lt;&gt;"",'I. Stream &amp; Compound Data'!CH287,"")</f>
        <v/>
      </c>
      <c r="Q223" s="1256" t="str">
        <f>IF('I. Stream &amp; Compound Data'!R287&lt;&gt;"",'I. Stream &amp; Compound Data'!R287,"")</f>
        <v/>
      </c>
      <c r="R223" s="1256" t="str">
        <f>IF('I. Stream &amp; Compound Data'!S287&lt;&gt;"",'I. Stream &amp; Compound Data'!S287,"")</f>
        <v/>
      </c>
      <c r="S223" s="1256" t="str">
        <f>IF('I. Stream &amp; Compound Data'!T287&lt;&gt;"",'I. Stream &amp; Compound Data'!T287,"")</f>
        <v/>
      </c>
      <c r="T223" s="1230" t="str">
        <f t="shared" si="18"/>
        <v/>
      </c>
      <c r="U223" s="570"/>
      <c r="V223" s="570"/>
      <c r="W223" s="570"/>
      <c r="X223" s="570"/>
      <c r="Y223" s="570"/>
      <c r="Z223" s="570"/>
      <c r="AA223" s="570"/>
      <c r="AB223" s="570"/>
      <c r="AC223" s="570"/>
      <c r="AD223" s="570"/>
      <c r="AE223" s="570"/>
      <c r="AF223" s="570"/>
      <c r="AG223" s="570"/>
      <c r="AH223" s="570"/>
      <c r="AI223" s="570"/>
      <c r="AJ223" s="570"/>
      <c r="AK223" s="570"/>
      <c r="AL223" s="570"/>
      <c r="AM223" s="570"/>
      <c r="AN223" s="570"/>
      <c r="AO223" s="570"/>
      <c r="AP223" s="570"/>
      <c r="AQ223" s="570"/>
      <c r="AR223" s="570"/>
      <c r="AS223" s="570"/>
      <c r="AT223" s="570"/>
      <c r="AU223" s="570"/>
      <c r="AV223" s="588"/>
    </row>
    <row r="224" x14ac:dyDescent="0.3">
      <c r="A224" s="704"/>
      <c r="B224" s="570"/>
      <c r="C224" s="570"/>
      <c r="D224" s="708"/>
      <c r="E224" s="829"/>
      <c r="F224" s="709"/>
      <c r="G224" s="570"/>
      <c r="H224" s="292"/>
      <c r="I224" s="274">
        <f t="shared" si="15"/>
        <v>27</v>
      </c>
      <c r="J224" s="1190" t="str">
        <f t="shared" si="15"/>
        <v/>
      </c>
      <c r="K224" s="1256" t="str">
        <f>IF('I. Stream &amp; Compound Data'!K288&lt;&gt;"",'I. Stream &amp; Compound Data'!K288,"")</f>
        <v/>
      </c>
      <c r="L224" s="1256" t="str">
        <f>IF('I. Stream &amp; Compound Data'!L288&lt;&gt;"",'I. Stream &amp; Compound Data'!L288,"")</f>
        <v/>
      </c>
      <c r="M224" s="1256" t="str">
        <f>IF('I. Stream &amp; Compound Data'!AM288&lt;&gt;"",'I. Stream &amp; Compound Data'!AM288,"")</f>
        <v/>
      </c>
      <c r="N224" s="202" t="str">
        <f>IF(J224&lt;&gt;"",L224*M224,"")</f>
        <v/>
      </c>
      <c r="O224" s="1256" t="str">
        <f>IF('I. Stream &amp; Compound Data'!P288&lt;&gt;"",'I. Stream &amp; Compound Data'!P288,"")</f>
        <v/>
      </c>
      <c r="P224" s="1257" t="str">
        <f>IF('I. Stream &amp; Compound Data'!CH288&lt;&gt;"",'I. Stream &amp; Compound Data'!CH288,"")</f>
        <v/>
      </c>
      <c r="Q224" s="1256" t="str">
        <f>IF('I. Stream &amp; Compound Data'!R288&lt;&gt;"",'I. Stream &amp; Compound Data'!R288,"")</f>
        <v/>
      </c>
      <c r="R224" s="1256" t="str">
        <f>IF('I. Stream &amp; Compound Data'!S288&lt;&gt;"",'I. Stream &amp; Compound Data'!S288,"")</f>
        <v/>
      </c>
      <c r="S224" s="1256" t="str">
        <f>IF('I. Stream &amp; Compound Data'!T288&lt;&gt;"",'I. Stream &amp; Compound Data'!T288,"")</f>
        <v/>
      </c>
      <c r="T224" s="1230" t="str">
        <f t="shared" si="18"/>
        <v/>
      </c>
      <c r="U224" s="570"/>
      <c r="V224" s="570"/>
      <c r="W224" s="570"/>
      <c r="X224" s="570"/>
      <c r="Y224" s="570"/>
      <c r="Z224" s="570"/>
      <c r="AA224" s="570"/>
      <c r="AB224" s="570"/>
      <c r="AC224" s="570"/>
      <c r="AD224" s="570"/>
      <c r="AE224" s="570"/>
      <c r="AF224" s="570"/>
      <c r="AG224" s="570"/>
      <c r="AH224" s="570"/>
      <c r="AI224" s="570"/>
      <c r="AJ224" s="570"/>
      <c r="AK224" s="570"/>
      <c r="AL224" s="570"/>
      <c r="AM224" s="570"/>
      <c r="AN224" s="570"/>
      <c r="AO224" s="570"/>
      <c r="AP224" s="570"/>
      <c r="AQ224" s="570"/>
      <c r="AR224" s="570"/>
      <c r="AS224" s="570"/>
      <c r="AT224" s="570"/>
      <c r="AU224" s="570"/>
      <c r="AV224" s="588"/>
    </row>
    <row r="225" x14ac:dyDescent="0.3">
      <c r="A225" s="704"/>
      <c r="B225" s="570"/>
      <c r="C225" s="570"/>
      <c r="D225" s="708"/>
      <c r="E225" s="829"/>
      <c r="F225" s="709"/>
      <c r="G225" s="570"/>
      <c r="H225" s="292"/>
      <c r="I225" s="274">
        <f t="shared" si="15"/>
        <v>28</v>
      </c>
      <c r="J225" s="1190" t="str">
        <f t="shared" si="15"/>
        <v/>
      </c>
      <c r="K225" s="1256" t="str">
        <f>IF('I. Stream &amp; Compound Data'!K289&lt;&gt;"",'I. Stream &amp; Compound Data'!K289,"")</f>
        <v/>
      </c>
      <c r="L225" s="1256" t="str">
        <f>IF('I. Stream &amp; Compound Data'!L289&lt;&gt;"",'I. Stream &amp; Compound Data'!L289,"")</f>
        <v/>
      </c>
      <c r="M225" s="1256" t="str">
        <f>IF('I. Stream &amp; Compound Data'!AM289&lt;&gt;"",'I. Stream &amp; Compound Data'!AM289,"")</f>
        <v/>
      </c>
      <c r="N225" s="202" t="str">
        <f t="shared" si="16"/>
        <v/>
      </c>
      <c r="O225" s="1256" t="str">
        <f>IF('I. Stream &amp; Compound Data'!P289&lt;&gt;"",'I. Stream &amp; Compound Data'!P289,"")</f>
        <v/>
      </c>
      <c r="P225" s="1257" t="str">
        <f>IF('I. Stream &amp; Compound Data'!CH289&lt;&gt;"",'I. Stream &amp; Compound Data'!CH289,"")</f>
        <v/>
      </c>
      <c r="Q225" s="1256" t="str">
        <f>IF('I. Stream &amp; Compound Data'!R289&lt;&gt;"",'I. Stream &amp; Compound Data'!R289,"")</f>
        <v/>
      </c>
      <c r="R225" s="1256" t="str">
        <f>IF('I. Stream &amp; Compound Data'!S289&lt;&gt;"",'I. Stream &amp; Compound Data'!S289,"")</f>
        <v/>
      </c>
      <c r="S225" s="1256" t="str">
        <f>IF('I. Stream &amp; Compound Data'!T289&lt;&gt;"",'I. Stream &amp; Compound Data'!T289,"")</f>
        <v/>
      </c>
      <c r="T225" s="1230" t="str">
        <f t="shared" si="18"/>
        <v/>
      </c>
      <c r="U225" s="570"/>
      <c r="V225" s="570"/>
      <c r="W225" s="570"/>
      <c r="X225" s="570"/>
      <c r="Y225" s="570"/>
      <c r="Z225" s="570"/>
      <c r="AA225" s="570"/>
      <c r="AB225" s="570"/>
      <c r="AC225" s="570"/>
      <c r="AD225" s="570"/>
      <c r="AE225" s="570"/>
      <c r="AF225" s="570"/>
      <c r="AG225" s="570"/>
      <c r="AH225" s="570"/>
      <c r="AI225" s="570"/>
      <c r="AJ225" s="570"/>
      <c r="AK225" s="570"/>
      <c r="AL225" s="570"/>
      <c r="AM225" s="570"/>
      <c r="AN225" s="570"/>
      <c r="AO225" s="570"/>
      <c r="AP225" s="570"/>
      <c r="AQ225" s="570"/>
      <c r="AR225" s="570"/>
      <c r="AS225" s="570"/>
      <c r="AT225" s="570"/>
      <c r="AU225" s="570"/>
      <c r="AV225" s="588"/>
    </row>
    <row r="226" x14ac:dyDescent="0.3">
      <c r="A226" s="704"/>
      <c r="B226" s="570"/>
      <c r="C226" s="570"/>
      <c r="D226" s="708"/>
      <c r="E226" s="829"/>
      <c r="F226" s="709"/>
      <c r="G226" s="570"/>
      <c r="H226" s="292"/>
      <c r="I226" s="274">
        <f t="shared" si="15"/>
        <v>29</v>
      </c>
      <c r="J226" s="1190" t="str">
        <f t="shared" si="15"/>
        <v/>
      </c>
      <c r="K226" s="1256" t="str">
        <f>IF('I. Stream &amp; Compound Data'!K290&lt;&gt;"",'I. Stream &amp; Compound Data'!K290,"")</f>
        <v/>
      </c>
      <c r="L226" s="1256" t="str">
        <f>IF('I. Stream &amp; Compound Data'!L290&lt;&gt;"",'I. Stream &amp; Compound Data'!L290,"")</f>
        <v/>
      </c>
      <c r="M226" s="1256" t="str">
        <f>IF('I. Stream &amp; Compound Data'!AM290&lt;&gt;"",'I. Stream &amp; Compound Data'!AM290,"")</f>
        <v/>
      </c>
      <c r="N226" s="202" t="str">
        <f t="shared" si="16"/>
        <v/>
      </c>
      <c r="O226" s="1256" t="str">
        <f>IF('I. Stream &amp; Compound Data'!P290&lt;&gt;"",'I. Stream &amp; Compound Data'!P290,"")</f>
        <v/>
      </c>
      <c r="P226" s="1257" t="str">
        <f>IF('I. Stream &amp; Compound Data'!CH290&lt;&gt;"",'I. Stream &amp; Compound Data'!CH290,"")</f>
        <v/>
      </c>
      <c r="Q226" s="1256" t="str">
        <f>IF('I. Stream &amp; Compound Data'!R290&lt;&gt;"",'I. Stream &amp; Compound Data'!R290,"")</f>
        <v/>
      </c>
      <c r="R226" s="1256" t="str">
        <f>IF('I. Stream &amp; Compound Data'!S290&lt;&gt;"",'I. Stream &amp; Compound Data'!S290,"")</f>
        <v/>
      </c>
      <c r="S226" s="1256" t="str">
        <f>IF('I. Stream &amp; Compound Data'!T290&lt;&gt;"",'I. Stream &amp; Compound Data'!T290,"")</f>
        <v/>
      </c>
      <c r="T226" s="1230" t="str">
        <f t="shared" si="18"/>
        <v/>
      </c>
      <c r="U226" s="570"/>
      <c r="V226" s="570"/>
      <c r="W226" s="570"/>
      <c r="X226" s="570"/>
      <c r="Y226" s="570"/>
      <c r="Z226" s="570"/>
      <c r="AA226" s="570"/>
      <c r="AB226" s="570"/>
      <c r="AC226" s="570"/>
      <c r="AD226" s="570"/>
      <c r="AE226" s="570"/>
      <c r="AF226" s="570"/>
      <c r="AG226" s="570"/>
      <c r="AH226" s="570"/>
      <c r="AI226" s="570"/>
      <c r="AJ226" s="570"/>
      <c r="AK226" s="570"/>
      <c r="AL226" s="570"/>
      <c r="AM226" s="570"/>
      <c r="AN226" s="570"/>
      <c r="AO226" s="570"/>
      <c r="AP226" s="570"/>
      <c r="AQ226" s="570"/>
      <c r="AR226" s="570"/>
      <c r="AS226" s="570"/>
      <c r="AT226" s="570"/>
      <c r="AU226" s="570"/>
      <c r="AV226" s="588"/>
    </row>
    <row r="227" x14ac:dyDescent="0.3">
      <c r="A227" s="704"/>
      <c r="B227" s="570"/>
      <c r="C227" s="570"/>
      <c r="D227" s="708"/>
      <c r="E227" s="829"/>
      <c r="F227" s="709"/>
      <c r="G227" s="570"/>
      <c r="H227" s="292"/>
      <c r="I227" s="274">
        <f t="shared" si="15"/>
        <v>30</v>
      </c>
      <c r="J227" s="1190" t="str">
        <f t="shared" si="15"/>
        <v/>
      </c>
      <c r="K227" s="1256" t="str">
        <f>IF('I. Stream &amp; Compound Data'!K291&lt;&gt;"",'I. Stream &amp; Compound Data'!K291,"")</f>
        <v/>
      </c>
      <c r="L227" s="1256" t="str">
        <f>IF('I. Stream &amp; Compound Data'!L291&lt;&gt;"",'I. Stream &amp; Compound Data'!L291,"")</f>
        <v/>
      </c>
      <c r="M227" s="1256" t="str">
        <f>IF('I. Stream &amp; Compound Data'!AM291&lt;&gt;"",'I. Stream &amp; Compound Data'!AM291,"")</f>
        <v/>
      </c>
      <c r="N227" s="202" t="str">
        <f t="shared" si="16"/>
        <v/>
      </c>
      <c r="O227" s="1256" t="str">
        <f>IF('I. Stream &amp; Compound Data'!P291&lt;&gt;"",'I. Stream &amp; Compound Data'!P291,"")</f>
        <v/>
      </c>
      <c r="P227" s="1257" t="str">
        <f>IF('I. Stream &amp; Compound Data'!CH291&lt;&gt;"",'I. Stream &amp; Compound Data'!CH291,"")</f>
        <v/>
      </c>
      <c r="Q227" s="1256" t="str">
        <f>IF('I. Stream &amp; Compound Data'!R291&lt;&gt;"",'I. Stream &amp; Compound Data'!R291,"")</f>
        <v/>
      </c>
      <c r="R227" s="1256" t="str">
        <f>IF('I. Stream &amp; Compound Data'!S291&lt;&gt;"",'I. Stream &amp; Compound Data'!S291,"")</f>
        <v/>
      </c>
      <c r="S227" s="1256" t="str">
        <f>IF('I. Stream &amp; Compound Data'!T291&lt;&gt;"",'I. Stream &amp; Compound Data'!T291,"")</f>
        <v/>
      </c>
      <c r="T227" s="1230" t="str">
        <f t="shared" si="18"/>
        <v/>
      </c>
      <c r="U227" s="570"/>
      <c r="V227" s="570"/>
      <c r="W227" s="570"/>
      <c r="X227" s="570"/>
      <c r="Y227" s="570"/>
      <c r="Z227" s="570"/>
      <c r="AA227" s="570"/>
      <c r="AB227" s="570"/>
      <c r="AC227" s="570"/>
      <c r="AD227" s="570"/>
      <c r="AE227" s="570"/>
      <c r="AF227" s="570"/>
      <c r="AG227" s="570"/>
      <c r="AH227" s="570"/>
      <c r="AI227" s="570"/>
      <c r="AJ227" s="570"/>
      <c r="AK227" s="570"/>
      <c r="AL227" s="570"/>
      <c r="AM227" s="570"/>
      <c r="AN227" s="570"/>
      <c r="AO227" s="570"/>
      <c r="AP227" s="570"/>
      <c r="AQ227" s="570"/>
      <c r="AR227" s="570"/>
      <c r="AS227" s="570"/>
      <c r="AT227" s="570"/>
      <c r="AU227" s="570"/>
      <c r="AV227" s="588"/>
    </row>
    <row r="228" x14ac:dyDescent="0.3">
      <c r="A228" s="704"/>
      <c r="B228" s="570"/>
      <c r="C228" s="570"/>
      <c r="D228" s="708"/>
      <c r="E228" s="829"/>
      <c r="F228" s="709"/>
      <c r="G228" s="570"/>
      <c r="H228" s="292"/>
      <c r="I228" s="274">
        <f t="shared" si="15"/>
        <v>31</v>
      </c>
      <c r="J228" s="1190" t="str">
        <f t="shared" si="15"/>
        <v/>
      </c>
      <c r="K228" s="1256" t="str">
        <f>IF('I. Stream &amp; Compound Data'!K292&lt;&gt;"",'I. Stream &amp; Compound Data'!K292,"")</f>
        <v/>
      </c>
      <c r="L228" s="1256" t="str">
        <f>IF('I. Stream &amp; Compound Data'!L292&lt;&gt;"",'I. Stream &amp; Compound Data'!L292,"")</f>
        <v/>
      </c>
      <c r="M228" s="1256" t="str">
        <f>IF('I. Stream &amp; Compound Data'!AM292&lt;&gt;"",'I. Stream &amp; Compound Data'!AM292,"")</f>
        <v/>
      </c>
      <c r="N228" s="202" t="str">
        <f t="shared" si="16"/>
        <v/>
      </c>
      <c r="O228" s="1256" t="str">
        <f>IF('I. Stream &amp; Compound Data'!P292&lt;&gt;"",'I. Stream &amp; Compound Data'!P292,"")</f>
        <v/>
      </c>
      <c r="P228" s="1257" t="str">
        <f>IF('I. Stream &amp; Compound Data'!CH292&lt;&gt;"",'I. Stream &amp; Compound Data'!CH292,"")</f>
        <v/>
      </c>
      <c r="Q228" s="1256" t="str">
        <f>IF('I. Stream &amp; Compound Data'!R292&lt;&gt;"",'I. Stream &amp; Compound Data'!R292,"")</f>
        <v/>
      </c>
      <c r="R228" s="1256" t="str">
        <f>IF('I. Stream &amp; Compound Data'!S292&lt;&gt;"",'I. Stream &amp; Compound Data'!S292,"")</f>
        <v/>
      </c>
      <c r="S228" s="1256" t="str">
        <f>IF('I. Stream &amp; Compound Data'!T292&lt;&gt;"",'I. Stream &amp; Compound Data'!T292,"")</f>
        <v/>
      </c>
      <c r="T228" s="1230" t="str">
        <f t="shared" si="18"/>
        <v/>
      </c>
      <c r="U228" s="570"/>
      <c r="V228" s="570"/>
      <c r="W228" s="570"/>
      <c r="X228" s="570"/>
      <c r="Y228" s="570"/>
      <c r="Z228" s="570"/>
      <c r="AA228" s="570"/>
      <c r="AB228" s="570"/>
      <c r="AC228" s="570"/>
      <c r="AD228" s="570"/>
      <c r="AE228" s="570"/>
      <c r="AF228" s="570"/>
      <c r="AG228" s="570"/>
      <c r="AH228" s="570"/>
      <c r="AI228" s="570"/>
      <c r="AJ228" s="570"/>
      <c r="AK228" s="570"/>
      <c r="AL228" s="570"/>
      <c r="AM228" s="570"/>
      <c r="AN228" s="570"/>
      <c r="AO228" s="570"/>
      <c r="AP228" s="570"/>
      <c r="AQ228" s="570"/>
      <c r="AR228" s="570"/>
      <c r="AS228" s="570"/>
      <c r="AT228" s="570"/>
      <c r="AU228" s="570"/>
      <c r="AV228" s="588"/>
    </row>
    <row r="229" x14ac:dyDescent="0.3">
      <c r="A229" s="704"/>
      <c r="B229" s="570"/>
      <c r="C229" s="570"/>
      <c r="D229" s="708"/>
      <c r="E229" s="829"/>
      <c r="F229" s="709"/>
      <c r="G229" s="570"/>
      <c r="H229" s="292"/>
      <c r="I229" s="274">
        <f t="shared" si="15"/>
        <v>32</v>
      </c>
      <c r="J229" s="1190" t="str">
        <f t="shared" si="15"/>
        <v/>
      </c>
      <c r="K229" s="1256" t="str">
        <f>IF('I. Stream &amp; Compound Data'!K293&lt;&gt;"",'I. Stream &amp; Compound Data'!K293,"")</f>
        <v/>
      </c>
      <c r="L229" s="1256" t="str">
        <f>IF('I. Stream &amp; Compound Data'!L293&lt;&gt;"",'I. Stream &amp; Compound Data'!L293,"")</f>
        <v/>
      </c>
      <c r="M229" s="1256" t="str">
        <f>IF('I. Stream &amp; Compound Data'!AM293&lt;&gt;"",'I. Stream &amp; Compound Data'!AM293,"")</f>
        <v/>
      </c>
      <c r="N229" s="202" t="str">
        <f t="shared" si="16"/>
        <v/>
      </c>
      <c r="O229" s="1256" t="str">
        <f>IF('I. Stream &amp; Compound Data'!P293&lt;&gt;"",'I. Stream &amp; Compound Data'!P293,"")</f>
        <v/>
      </c>
      <c r="P229" s="1257" t="str">
        <f>IF('I. Stream &amp; Compound Data'!CH293&lt;&gt;"",'I. Stream &amp; Compound Data'!CH293,"")</f>
        <v/>
      </c>
      <c r="Q229" s="1256" t="str">
        <f>IF('I. Stream &amp; Compound Data'!R293&lt;&gt;"",'I. Stream &amp; Compound Data'!R293,"")</f>
        <v/>
      </c>
      <c r="R229" s="1256" t="str">
        <f>IF('I. Stream &amp; Compound Data'!S293&lt;&gt;"",'I. Stream &amp; Compound Data'!S293,"")</f>
        <v/>
      </c>
      <c r="S229" s="1256" t="str">
        <f>IF('I. Stream &amp; Compound Data'!T293&lt;&gt;"",'I. Stream &amp; Compound Data'!T293,"")</f>
        <v/>
      </c>
      <c r="T229" s="1230" t="str">
        <f t="shared" si="18"/>
        <v/>
      </c>
      <c r="U229" s="570"/>
      <c r="V229" s="570"/>
      <c r="W229" s="570"/>
      <c r="X229" s="570"/>
      <c r="Y229" s="570"/>
      <c r="Z229" s="570"/>
      <c r="AA229" s="570"/>
      <c r="AB229" s="570"/>
      <c r="AC229" s="570"/>
      <c r="AD229" s="570"/>
      <c r="AE229" s="570"/>
      <c r="AF229" s="570"/>
      <c r="AG229" s="570"/>
      <c r="AH229" s="570"/>
      <c r="AI229" s="570"/>
      <c r="AJ229" s="570"/>
      <c r="AK229" s="570"/>
      <c r="AL229" s="570"/>
      <c r="AM229" s="570"/>
      <c r="AN229" s="570"/>
      <c r="AO229" s="570"/>
      <c r="AP229" s="570"/>
      <c r="AQ229" s="570"/>
      <c r="AR229" s="570"/>
      <c r="AS229" s="570"/>
      <c r="AT229" s="570"/>
      <c r="AU229" s="570"/>
      <c r="AV229" s="588"/>
    </row>
    <row r="230" x14ac:dyDescent="0.3">
      <c r="A230" s="704"/>
      <c r="B230" s="570"/>
      <c r="C230" s="570"/>
      <c r="D230" s="708"/>
      <c r="E230" s="829"/>
      <c r="F230" s="709"/>
      <c r="G230" s="570"/>
      <c r="H230" s="292"/>
      <c r="I230" s="274">
        <f t="shared" si="15"/>
        <v>33</v>
      </c>
      <c r="J230" s="1190" t="str">
        <f t="shared" si="15"/>
        <v/>
      </c>
      <c r="K230" s="1256" t="str">
        <f>IF('I. Stream &amp; Compound Data'!K294&lt;&gt;"",'I. Stream &amp; Compound Data'!K294,"")</f>
        <v/>
      </c>
      <c r="L230" s="1256" t="str">
        <f>IF('I. Stream &amp; Compound Data'!L294&lt;&gt;"",'I. Stream &amp; Compound Data'!L294,"")</f>
        <v/>
      </c>
      <c r="M230" s="1256" t="str">
        <f>IF('I. Stream &amp; Compound Data'!AM294&lt;&gt;"",'I. Stream &amp; Compound Data'!AM294,"")</f>
        <v/>
      </c>
      <c r="N230" s="202" t="str">
        <f t="shared" si="16"/>
        <v/>
      </c>
      <c r="O230" s="1256" t="str">
        <f>IF('I. Stream &amp; Compound Data'!P294&lt;&gt;"",'I. Stream &amp; Compound Data'!P294,"")</f>
        <v/>
      </c>
      <c r="P230" s="1257" t="str">
        <f>IF('I. Stream &amp; Compound Data'!CH294&lt;&gt;"",'I. Stream &amp; Compound Data'!CH294,"")</f>
        <v/>
      </c>
      <c r="Q230" s="1256" t="str">
        <f>IF('I. Stream &amp; Compound Data'!R294&lt;&gt;"",'I. Stream &amp; Compound Data'!R294,"")</f>
        <v/>
      </c>
      <c r="R230" s="1256" t="str">
        <f>IF('I. Stream &amp; Compound Data'!S294&lt;&gt;"",'I. Stream &amp; Compound Data'!S294,"")</f>
        <v/>
      </c>
      <c r="S230" s="1256" t="str">
        <f>IF('I. Stream &amp; Compound Data'!T294&lt;&gt;"",'I. Stream &amp; Compound Data'!T294,"")</f>
        <v/>
      </c>
      <c r="T230" s="1230" t="str">
        <f t="shared" si="18"/>
        <v/>
      </c>
      <c r="U230" s="570"/>
      <c r="V230" s="570"/>
      <c r="W230" s="570"/>
      <c r="X230" s="570"/>
      <c r="Y230" s="570"/>
      <c r="Z230" s="570"/>
      <c r="AA230" s="570"/>
      <c r="AB230" s="570"/>
      <c r="AC230" s="570"/>
      <c r="AD230" s="570"/>
      <c r="AE230" s="570"/>
      <c r="AF230" s="570"/>
      <c r="AG230" s="570"/>
      <c r="AH230" s="570"/>
      <c r="AI230" s="570"/>
      <c r="AJ230" s="570"/>
      <c r="AK230" s="570"/>
      <c r="AL230" s="570"/>
      <c r="AM230" s="570"/>
      <c r="AN230" s="570"/>
      <c r="AO230" s="570"/>
      <c r="AP230" s="570"/>
      <c r="AQ230" s="570"/>
      <c r="AR230" s="570"/>
      <c r="AS230" s="570"/>
      <c r="AT230" s="570"/>
      <c r="AU230" s="570"/>
      <c r="AV230" s="588"/>
    </row>
    <row r="231" x14ac:dyDescent="0.3">
      <c r="A231" s="704"/>
      <c r="B231" s="570"/>
      <c r="C231" s="570"/>
      <c r="D231" s="708"/>
      <c r="E231" s="829"/>
      <c r="F231" s="709"/>
      <c r="G231" s="570"/>
      <c r="H231" s="292"/>
      <c r="I231" s="274">
        <f t="shared" si="15"/>
        <v>34</v>
      </c>
      <c r="J231" s="1190" t="str">
        <f t="shared" si="15"/>
        <v/>
      </c>
      <c r="K231" s="1256" t="str">
        <f>IF('I. Stream &amp; Compound Data'!K295&lt;&gt;"",'I. Stream &amp; Compound Data'!K295,"")</f>
        <v/>
      </c>
      <c r="L231" s="1256" t="str">
        <f>IF('I. Stream &amp; Compound Data'!L295&lt;&gt;"",'I. Stream &amp; Compound Data'!L295,"")</f>
        <v/>
      </c>
      <c r="M231" s="1256" t="str">
        <f>IF('I. Stream &amp; Compound Data'!AM295&lt;&gt;"",'I. Stream &amp; Compound Data'!AM295,"")</f>
        <v/>
      </c>
      <c r="N231" s="202" t="str">
        <f t="shared" si="16"/>
        <v/>
      </c>
      <c r="O231" s="1256" t="str">
        <f>IF('I. Stream &amp; Compound Data'!P295&lt;&gt;"",'I. Stream &amp; Compound Data'!P295,"")</f>
        <v/>
      </c>
      <c r="P231" s="1257" t="str">
        <f>IF('I. Stream &amp; Compound Data'!CH295&lt;&gt;"",'I. Stream &amp; Compound Data'!CH295,"")</f>
        <v/>
      </c>
      <c r="Q231" s="1256" t="str">
        <f>IF('I. Stream &amp; Compound Data'!R295&lt;&gt;"",'I. Stream &amp; Compound Data'!R295,"")</f>
        <v/>
      </c>
      <c r="R231" s="1256" t="str">
        <f>IF('I. Stream &amp; Compound Data'!S295&lt;&gt;"",'I. Stream &amp; Compound Data'!S295,"")</f>
        <v/>
      </c>
      <c r="S231" s="1256" t="str">
        <f>IF('I. Stream &amp; Compound Data'!T295&lt;&gt;"",'I. Stream &amp; Compound Data'!T295,"")</f>
        <v/>
      </c>
      <c r="T231" s="1230" t="str">
        <f t="shared" si="18"/>
        <v/>
      </c>
      <c r="U231" s="570"/>
      <c r="V231" s="570"/>
      <c r="W231" s="570"/>
      <c r="X231" s="570"/>
      <c r="Y231" s="570"/>
      <c r="Z231" s="570"/>
      <c r="AA231" s="570"/>
      <c r="AB231" s="570"/>
      <c r="AC231" s="570"/>
      <c r="AD231" s="570"/>
      <c r="AE231" s="570"/>
      <c r="AF231" s="570"/>
      <c r="AG231" s="570"/>
      <c r="AH231" s="570"/>
      <c r="AI231" s="570"/>
      <c r="AJ231" s="570"/>
      <c r="AK231" s="570"/>
      <c r="AL231" s="570"/>
      <c r="AM231" s="570"/>
      <c r="AN231" s="570"/>
      <c r="AO231" s="570"/>
      <c r="AP231" s="570"/>
      <c r="AQ231" s="570"/>
      <c r="AR231" s="570"/>
      <c r="AS231" s="570"/>
      <c r="AT231" s="570"/>
      <c r="AU231" s="570"/>
      <c r="AV231" s="588"/>
    </row>
    <row r="232" x14ac:dyDescent="0.3">
      <c r="A232" s="704"/>
      <c r="B232" s="570"/>
      <c r="C232" s="570"/>
      <c r="D232" s="708"/>
      <c r="E232" s="829"/>
      <c r="F232" s="709"/>
      <c r="G232" s="570"/>
      <c r="H232" s="292"/>
      <c r="I232" s="274">
        <f t="shared" si="15"/>
        <v>35</v>
      </c>
      <c r="J232" s="1190" t="str">
        <f t="shared" si="15"/>
        <v/>
      </c>
      <c r="K232" s="1256" t="str">
        <f>IF('I. Stream &amp; Compound Data'!K296&lt;&gt;"",'I. Stream &amp; Compound Data'!K296,"")</f>
        <v/>
      </c>
      <c r="L232" s="1256" t="str">
        <f>IF('I. Stream &amp; Compound Data'!L296&lt;&gt;"",'I. Stream &amp; Compound Data'!L296,"")</f>
        <v/>
      </c>
      <c r="M232" s="1256" t="str">
        <f>IF('I. Stream &amp; Compound Data'!AM296&lt;&gt;"",'I. Stream &amp; Compound Data'!AM296,"")</f>
        <v/>
      </c>
      <c r="N232" s="202" t="str">
        <f t="shared" si="16"/>
        <v/>
      </c>
      <c r="O232" s="1256" t="str">
        <f>IF('I. Stream &amp; Compound Data'!P296&lt;&gt;"",'I. Stream &amp; Compound Data'!P296,"")</f>
        <v/>
      </c>
      <c r="P232" s="1257" t="str">
        <f>IF('I. Stream &amp; Compound Data'!CH296&lt;&gt;"",'I. Stream &amp; Compound Data'!CH296,"")</f>
        <v/>
      </c>
      <c r="Q232" s="1256" t="str">
        <f>IF('I. Stream &amp; Compound Data'!R296&lt;&gt;"",'I. Stream &amp; Compound Data'!R296,"")</f>
        <v/>
      </c>
      <c r="R232" s="1256" t="str">
        <f>IF('I. Stream &amp; Compound Data'!S296&lt;&gt;"",'I. Stream &amp; Compound Data'!S296,"")</f>
        <v/>
      </c>
      <c r="S232" s="1256" t="str">
        <f>IF('I. Stream &amp; Compound Data'!T296&lt;&gt;"",'I. Stream &amp; Compound Data'!T296,"")</f>
        <v/>
      </c>
      <c r="T232" s="1230" t="str">
        <f t="shared" si="18"/>
        <v/>
      </c>
      <c r="U232" s="570"/>
      <c r="V232" s="570"/>
      <c r="W232" s="570"/>
      <c r="X232" s="570"/>
      <c r="Y232" s="570"/>
      <c r="Z232" s="570"/>
      <c r="AA232" s="570"/>
      <c r="AB232" s="570"/>
      <c r="AC232" s="570"/>
      <c r="AD232" s="570"/>
      <c r="AE232" s="570"/>
      <c r="AF232" s="570"/>
      <c r="AG232" s="570"/>
      <c r="AH232" s="570"/>
      <c r="AI232" s="570"/>
      <c r="AJ232" s="570"/>
      <c r="AK232" s="570"/>
      <c r="AL232" s="570"/>
      <c r="AM232" s="570"/>
      <c r="AN232" s="570"/>
      <c r="AO232" s="570"/>
      <c r="AP232" s="570"/>
      <c r="AQ232" s="570"/>
      <c r="AR232" s="570"/>
      <c r="AS232" s="570"/>
      <c r="AT232" s="570"/>
      <c r="AU232" s="570"/>
      <c r="AV232" s="588"/>
    </row>
    <row r="233" x14ac:dyDescent="0.3">
      <c r="A233" s="704"/>
      <c r="B233" s="570"/>
      <c r="C233" s="570"/>
      <c r="D233" s="708"/>
      <c r="E233" s="829"/>
      <c r="F233" s="709"/>
      <c r="G233" s="570"/>
      <c r="H233" s="292"/>
      <c r="I233" s="274">
        <f t="shared" si="15"/>
        <v>36</v>
      </c>
      <c r="J233" s="1190" t="str">
        <f t="shared" si="15"/>
        <v/>
      </c>
      <c r="K233" s="1256" t="str">
        <f>IF('I. Stream &amp; Compound Data'!K297&lt;&gt;"",'I. Stream &amp; Compound Data'!K297,"")</f>
        <v/>
      </c>
      <c r="L233" s="1256" t="str">
        <f>IF('I. Stream &amp; Compound Data'!L297&lt;&gt;"",'I. Stream &amp; Compound Data'!L297,"")</f>
        <v/>
      </c>
      <c r="M233" s="1256" t="str">
        <f>IF('I. Stream &amp; Compound Data'!AM297&lt;&gt;"",'I. Stream &amp; Compound Data'!AM297,"")</f>
        <v/>
      </c>
      <c r="N233" s="202" t="str">
        <f t="shared" si="16"/>
        <v/>
      </c>
      <c r="O233" s="1256" t="str">
        <f>IF('I. Stream &amp; Compound Data'!P297&lt;&gt;"",'I. Stream &amp; Compound Data'!P297,"")</f>
        <v/>
      </c>
      <c r="P233" s="1257" t="str">
        <f>IF('I. Stream &amp; Compound Data'!CH297&lt;&gt;"",'I. Stream &amp; Compound Data'!CH297,"")</f>
        <v/>
      </c>
      <c r="Q233" s="1256" t="str">
        <f>IF('I. Stream &amp; Compound Data'!R297&lt;&gt;"",'I. Stream &amp; Compound Data'!R297,"")</f>
        <v/>
      </c>
      <c r="R233" s="1256" t="str">
        <f>IF('I. Stream &amp; Compound Data'!S297&lt;&gt;"",'I. Stream &amp; Compound Data'!S297,"")</f>
        <v/>
      </c>
      <c r="S233" s="1256" t="str">
        <f>IF('I. Stream &amp; Compound Data'!T297&lt;&gt;"",'I. Stream &amp; Compound Data'!T297,"")</f>
        <v/>
      </c>
      <c r="T233" s="1230" t="str">
        <f t="shared" si="18"/>
        <v/>
      </c>
      <c r="U233" s="570"/>
      <c r="V233" s="570"/>
      <c r="W233" s="570"/>
      <c r="X233" s="570"/>
      <c r="Y233" s="570"/>
      <c r="Z233" s="570"/>
      <c r="AA233" s="570"/>
      <c r="AB233" s="570"/>
      <c r="AC233" s="570"/>
      <c r="AD233" s="570"/>
      <c r="AE233" s="570"/>
      <c r="AF233" s="570"/>
      <c r="AG233" s="570"/>
      <c r="AH233" s="570"/>
      <c r="AI233" s="570"/>
      <c r="AJ233" s="570"/>
      <c r="AK233" s="570"/>
      <c r="AL233" s="570"/>
      <c r="AM233" s="570"/>
      <c r="AN233" s="570"/>
      <c r="AO233" s="570"/>
      <c r="AP233" s="570"/>
      <c r="AQ233" s="570"/>
      <c r="AR233" s="570"/>
      <c r="AS233" s="570"/>
      <c r="AT233" s="570"/>
      <c r="AU233" s="570"/>
      <c r="AV233" s="588"/>
    </row>
    <row r="234" x14ac:dyDescent="0.3">
      <c r="A234" s="704"/>
      <c r="B234" s="570"/>
      <c r="C234" s="570"/>
      <c r="D234" s="708"/>
      <c r="E234" s="829"/>
      <c r="F234" s="709"/>
      <c r="G234" s="570"/>
      <c r="H234" s="292"/>
      <c r="I234" s="274">
        <f t="shared" si="15"/>
        <v>37</v>
      </c>
      <c r="J234" s="1190" t="str">
        <f t="shared" si="15"/>
        <v/>
      </c>
      <c r="K234" s="1256" t="str">
        <f>IF('I. Stream &amp; Compound Data'!K298&lt;&gt;"",'I. Stream &amp; Compound Data'!K298,"")</f>
        <v/>
      </c>
      <c r="L234" s="1256" t="str">
        <f>IF('I. Stream &amp; Compound Data'!L298&lt;&gt;"",'I. Stream &amp; Compound Data'!L298,"")</f>
        <v/>
      </c>
      <c r="M234" s="1256" t="str">
        <f>IF('I. Stream &amp; Compound Data'!AM298&lt;&gt;"",'I. Stream &amp; Compound Data'!AM298,"")</f>
        <v/>
      </c>
      <c r="N234" s="202" t="str">
        <f t="shared" si="16"/>
        <v/>
      </c>
      <c r="O234" s="1256" t="str">
        <f>IF('I. Stream &amp; Compound Data'!P298&lt;&gt;"",'I. Stream &amp; Compound Data'!P298,"")</f>
        <v/>
      </c>
      <c r="P234" s="1257" t="str">
        <f>IF('I. Stream &amp; Compound Data'!CH298&lt;&gt;"",'I. Stream &amp; Compound Data'!CH298,"")</f>
        <v/>
      </c>
      <c r="Q234" s="1256" t="str">
        <f>IF('I. Stream &amp; Compound Data'!R298&lt;&gt;"",'I. Stream &amp; Compound Data'!R298,"")</f>
        <v/>
      </c>
      <c r="R234" s="1256" t="str">
        <f>IF('I. Stream &amp; Compound Data'!S298&lt;&gt;"",'I. Stream &amp; Compound Data'!S298,"")</f>
        <v/>
      </c>
      <c r="S234" s="1256" t="str">
        <f>IF('I. Stream &amp; Compound Data'!T298&lt;&gt;"",'I. Stream &amp; Compound Data'!T298,"")</f>
        <v/>
      </c>
      <c r="T234" s="1230" t="str">
        <f t="shared" si="18"/>
        <v/>
      </c>
      <c r="U234" s="570"/>
      <c r="V234" s="570"/>
      <c r="W234" s="570"/>
      <c r="X234" s="570"/>
      <c r="Y234" s="570"/>
      <c r="Z234" s="570"/>
      <c r="AA234" s="570"/>
      <c r="AB234" s="570"/>
      <c r="AC234" s="570"/>
      <c r="AD234" s="570"/>
      <c r="AE234" s="570"/>
      <c r="AF234" s="570"/>
      <c r="AG234" s="570"/>
      <c r="AH234" s="570"/>
      <c r="AI234" s="570"/>
      <c r="AJ234" s="570"/>
      <c r="AK234" s="570"/>
      <c r="AL234" s="570"/>
      <c r="AM234" s="570"/>
      <c r="AN234" s="570"/>
      <c r="AO234" s="570"/>
      <c r="AP234" s="570"/>
      <c r="AQ234" s="570"/>
      <c r="AR234" s="570"/>
      <c r="AS234" s="570"/>
      <c r="AT234" s="570"/>
      <c r="AU234" s="570"/>
      <c r="AV234" s="588"/>
    </row>
    <row r="235" x14ac:dyDescent="0.3">
      <c r="A235" s="704"/>
      <c r="B235" s="570"/>
      <c r="C235" s="570"/>
      <c r="D235" s="708"/>
      <c r="E235" s="829"/>
      <c r="F235" s="709"/>
      <c r="G235" s="570"/>
      <c r="H235" s="292"/>
      <c r="I235" s="274">
        <f t="shared" si="15"/>
        <v>38</v>
      </c>
      <c r="J235" s="1190" t="str">
        <f t="shared" si="15"/>
        <v/>
      </c>
      <c r="K235" s="1256" t="str">
        <f>IF('I. Stream &amp; Compound Data'!K299&lt;&gt;"",'I. Stream &amp; Compound Data'!K299,"")</f>
        <v/>
      </c>
      <c r="L235" s="1256" t="str">
        <f>IF('I. Stream &amp; Compound Data'!L299&lt;&gt;"",'I. Stream &amp; Compound Data'!L299,"")</f>
        <v/>
      </c>
      <c r="M235" s="1256" t="str">
        <f>IF('I. Stream &amp; Compound Data'!AM299&lt;&gt;"",'I. Stream &amp; Compound Data'!AM299,"")</f>
        <v/>
      </c>
      <c r="N235" s="202" t="str">
        <f t="shared" si="16"/>
        <v/>
      </c>
      <c r="O235" s="1256" t="str">
        <f>IF('I. Stream &amp; Compound Data'!P299&lt;&gt;"",'I. Stream &amp; Compound Data'!P299,"")</f>
        <v/>
      </c>
      <c r="P235" s="1257" t="str">
        <f>IF('I. Stream &amp; Compound Data'!CH299&lt;&gt;"",'I. Stream &amp; Compound Data'!CH299,"")</f>
        <v/>
      </c>
      <c r="Q235" s="1256" t="str">
        <f>IF('I. Stream &amp; Compound Data'!R299&lt;&gt;"",'I. Stream &amp; Compound Data'!R299,"")</f>
        <v/>
      </c>
      <c r="R235" s="1256" t="str">
        <f>IF('I. Stream &amp; Compound Data'!S299&lt;&gt;"",'I. Stream &amp; Compound Data'!S299,"")</f>
        <v/>
      </c>
      <c r="S235" s="1256" t="str">
        <f>IF('I. Stream &amp; Compound Data'!T299&lt;&gt;"",'I. Stream &amp; Compound Data'!T299,"")</f>
        <v/>
      </c>
      <c r="T235" s="1230" t="str">
        <f t="shared" si="18"/>
        <v/>
      </c>
      <c r="U235" s="570"/>
      <c r="V235" s="570"/>
      <c r="W235" s="570"/>
      <c r="X235" s="570"/>
      <c r="Y235" s="570"/>
      <c r="Z235" s="570"/>
      <c r="AA235" s="570"/>
      <c r="AB235" s="570"/>
      <c r="AC235" s="570"/>
      <c r="AD235" s="570"/>
      <c r="AE235" s="570"/>
      <c r="AF235" s="570"/>
      <c r="AG235" s="570"/>
      <c r="AH235" s="570"/>
      <c r="AI235" s="570"/>
      <c r="AJ235" s="570"/>
      <c r="AK235" s="570"/>
      <c r="AL235" s="570"/>
      <c r="AM235" s="570"/>
      <c r="AN235" s="570"/>
      <c r="AO235" s="570"/>
      <c r="AP235" s="570"/>
      <c r="AQ235" s="570"/>
      <c r="AR235" s="570"/>
      <c r="AS235" s="570"/>
      <c r="AT235" s="570"/>
      <c r="AU235" s="570"/>
      <c r="AV235" s="588"/>
    </row>
    <row r="236" x14ac:dyDescent="0.3">
      <c r="A236" s="704"/>
      <c r="B236" s="570"/>
      <c r="C236" s="570"/>
      <c r="D236" s="708"/>
      <c r="E236" s="829"/>
      <c r="F236" s="709"/>
      <c r="G236" s="570"/>
      <c r="H236" s="292"/>
      <c r="I236" s="274">
        <f t="shared" si="15"/>
        <v>39</v>
      </c>
      <c r="J236" s="1190" t="str">
        <f t="shared" si="15"/>
        <v/>
      </c>
      <c r="K236" s="1256" t="str">
        <f>IF('I. Stream &amp; Compound Data'!K300&lt;&gt;"",'I. Stream &amp; Compound Data'!K300,"")</f>
        <v/>
      </c>
      <c r="L236" s="1256" t="str">
        <f>IF('I. Stream &amp; Compound Data'!L300&lt;&gt;"",'I. Stream &amp; Compound Data'!L300,"")</f>
        <v/>
      </c>
      <c r="M236" s="1256" t="str">
        <f>IF('I. Stream &amp; Compound Data'!AM300&lt;&gt;"",'I. Stream &amp; Compound Data'!AM300,"")</f>
        <v/>
      </c>
      <c r="N236" s="202" t="str">
        <f t="shared" si="16"/>
        <v/>
      </c>
      <c r="O236" s="1256" t="str">
        <f>IF('I. Stream &amp; Compound Data'!P300&lt;&gt;"",'I. Stream &amp; Compound Data'!P300,"")</f>
        <v/>
      </c>
      <c r="P236" s="1257" t="str">
        <f>IF('I. Stream &amp; Compound Data'!CH300&lt;&gt;"",'I. Stream &amp; Compound Data'!CH300,"")</f>
        <v/>
      </c>
      <c r="Q236" s="1256" t="str">
        <f>IF('I. Stream &amp; Compound Data'!R300&lt;&gt;"",'I. Stream &amp; Compound Data'!R300,"")</f>
        <v/>
      </c>
      <c r="R236" s="1256" t="str">
        <f>IF('I. Stream &amp; Compound Data'!S300&lt;&gt;"",'I. Stream &amp; Compound Data'!S300,"")</f>
        <v/>
      </c>
      <c r="S236" s="1256" t="str">
        <f>IF('I. Stream &amp; Compound Data'!T300&lt;&gt;"",'I. Stream &amp; Compound Data'!T300,"")</f>
        <v/>
      </c>
      <c r="T236" s="1230" t="str">
        <f t="shared" si="18"/>
        <v/>
      </c>
      <c r="U236" s="570"/>
      <c r="V236" s="570"/>
      <c r="W236" s="570"/>
      <c r="X236" s="570"/>
      <c r="Y236" s="570"/>
      <c r="Z236" s="570"/>
      <c r="AA236" s="570"/>
      <c r="AB236" s="570"/>
      <c r="AC236" s="570"/>
      <c r="AD236" s="570"/>
      <c r="AE236" s="570"/>
      <c r="AF236" s="570"/>
      <c r="AG236" s="570"/>
      <c r="AH236" s="570"/>
      <c r="AI236" s="570"/>
      <c r="AJ236" s="570"/>
      <c r="AK236" s="570"/>
      <c r="AL236" s="570"/>
      <c r="AM236" s="570"/>
      <c r="AN236" s="570"/>
      <c r="AO236" s="570"/>
      <c r="AP236" s="570"/>
      <c r="AQ236" s="570"/>
      <c r="AR236" s="570"/>
      <c r="AS236" s="570"/>
      <c r="AT236" s="570"/>
      <c r="AU236" s="570"/>
      <c r="AV236" s="588"/>
    </row>
    <row r="237" x14ac:dyDescent="0.3">
      <c r="A237" s="704"/>
      <c r="B237" s="570"/>
      <c r="C237" s="570"/>
      <c r="D237" s="708"/>
      <c r="E237" s="829"/>
      <c r="F237" s="709"/>
      <c r="G237" s="570"/>
      <c r="H237" s="292"/>
      <c r="I237" s="274">
        <f t="shared" si="15"/>
        <v>40</v>
      </c>
      <c r="J237" s="1190" t="str">
        <f t="shared" si="15"/>
        <v/>
      </c>
      <c r="K237" s="1256" t="str">
        <f>IF('I. Stream &amp; Compound Data'!K301&lt;&gt;"",'I. Stream &amp; Compound Data'!K301,"")</f>
        <v/>
      </c>
      <c r="L237" s="1256" t="str">
        <f>IF('I. Stream &amp; Compound Data'!L301&lt;&gt;"",'I. Stream &amp; Compound Data'!L301,"")</f>
        <v/>
      </c>
      <c r="M237" s="1256" t="str">
        <f>IF('I. Stream &amp; Compound Data'!AM301&lt;&gt;"",'I. Stream &amp; Compound Data'!AM301,"")</f>
        <v/>
      </c>
      <c r="N237" s="202" t="str">
        <f t="shared" si="16"/>
        <v/>
      </c>
      <c r="O237" s="1256" t="str">
        <f>IF('I. Stream &amp; Compound Data'!P301&lt;&gt;"",'I. Stream &amp; Compound Data'!P301,"")</f>
        <v/>
      </c>
      <c r="P237" s="1257" t="str">
        <f>IF('I. Stream &amp; Compound Data'!CH301&lt;&gt;"",'I. Stream &amp; Compound Data'!CH301,"")</f>
        <v/>
      </c>
      <c r="Q237" s="1256" t="str">
        <f>IF('I. Stream &amp; Compound Data'!R301&lt;&gt;"",'I. Stream &amp; Compound Data'!R301,"")</f>
        <v/>
      </c>
      <c r="R237" s="1256" t="str">
        <f>IF('I. Stream &amp; Compound Data'!S301&lt;&gt;"",'I. Stream &amp; Compound Data'!S301,"")</f>
        <v/>
      </c>
      <c r="S237" s="1256" t="str">
        <f>IF('I. Stream &amp; Compound Data'!T301&lt;&gt;"",'I. Stream &amp; Compound Data'!T301,"")</f>
        <v/>
      </c>
      <c r="T237" s="1230" t="str">
        <f t="shared" si="18"/>
        <v/>
      </c>
      <c r="U237" s="570"/>
      <c r="V237" s="570"/>
      <c r="W237" s="570"/>
      <c r="X237" s="570"/>
      <c r="Y237" s="570"/>
      <c r="Z237" s="570"/>
      <c r="AA237" s="570"/>
      <c r="AB237" s="570"/>
      <c r="AC237" s="570"/>
      <c r="AD237" s="570"/>
      <c r="AE237" s="570"/>
      <c r="AF237" s="570"/>
      <c r="AG237" s="570"/>
      <c r="AH237" s="570"/>
      <c r="AI237" s="570"/>
      <c r="AJ237" s="570"/>
      <c r="AK237" s="570"/>
      <c r="AL237" s="570"/>
      <c r="AM237" s="570"/>
      <c r="AN237" s="570"/>
      <c r="AO237" s="570"/>
      <c r="AP237" s="570"/>
      <c r="AQ237" s="570"/>
      <c r="AR237" s="570"/>
      <c r="AS237" s="570"/>
      <c r="AT237" s="570"/>
      <c r="AU237" s="570"/>
      <c r="AV237" s="588"/>
    </row>
    <row r="238" x14ac:dyDescent="0.3">
      <c r="A238" s="704"/>
      <c r="B238" s="570"/>
      <c r="C238" s="570"/>
      <c r="D238" s="708"/>
      <c r="E238" s="829"/>
      <c r="F238" s="709"/>
      <c r="G238" s="570"/>
      <c r="H238" s="292"/>
      <c r="I238" s="274">
        <f t="shared" si="15"/>
        <v>41</v>
      </c>
      <c r="J238" s="1190" t="str">
        <f t="shared" si="15"/>
        <v/>
      </c>
      <c r="K238" s="1256" t="str">
        <f>IF('I. Stream &amp; Compound Data'!K302&lt;&gt;"",'I. Stream &amp; Compound Data'!K302,"")</f>
        <v/>
      </c>
      <c r="L238" s="1256" t="str">
        <f>IF('I. Stream &amp; Compound Data'!L302&lt;&gt;"",'I. Stream &amp; Compound Data'!L302,"")</f>
        <v/>
      </c>
      <c r="M238" s="1256" t="str">
        <f>IF('I. Stream &amp; Compound Data'!AM302&lt;&gt;"",'I. Stream &amp; Compound Data'!AM302,"")</f>
        <v/>
      </c>
      <c r="N238" s="202" t="str">
        <f t="shared" si="16"/>
        <v/>
      </c>
      <c r="O238" s="1256" t="str">
        <f>IF('I. Stream &amp; Compound Data'!P302&lt;&gt;"",'I. Stream &amp; Compound Data'!P302,"")</f>
        <v/>
      </c>
      <c r="P238" s="1257" t="str">
        <f>IF('I. Stream &amp; Compound Data'!CH302&lt;&gt;"",'I. Stream &amp; Compound Data'!CH302,"")</f>
        <v/>
      </c>
      <c r="Q238" s="1256" t="str">
        <f>IF('I. Stream &amp; Compound Data'!R302&lt;&gt;"",'I. Stream &amp; Compound Data'!R302,"")</f>
        <v/>
      </c>
      <c r="R238" s="1256" t="str">
        <f>IF('I. Stream &amp; Compound Data'!S302&lt;&gt;"",'I. Stream &amp; Compound Data'!S302,"")</f>
        <v/>
      </c>
      <c r="S238" s="1256" t="str">
        <f>IF('I. Stream &amp; Compound Data'!T302&lt;&gt;"",'I. Stream &amp; Compound Data'!T302,"")</f>
        <v/>
      </c>
      <c r="T238" s="1230" t="str">
        <f t="shared" si="18"/>
        <v/>
      </c>
      <c r="U238" s="570"/>
      <c r="V238" s="570"/>
      <c r="W238" s="570"/>
      <c r="X238" s="570"/>
      <c r="Y238" s="570"/>
      <c r="Z238" s="570"/>
      <c r="AA238" s="570"/>
      <c r="AB238" s="570"/>
      <c r="AC238" s="570"/>
      <c r="AD238" s="570"/>
      <c r="AE238" s="570"/>
      <c r="AF238" s="570"/>
      <c r="AG238" s="570"/>
      <c r="AH238" s="570"/>
      <c r="AI238" s="570"/>
      <c r="AJ238" s="570"/>
      <c r="AK238" s="570"/>
      <c r="AL238" s="570"/>
      <c r="AM238" s="570"/>
      <c r="AN238" s="570"/>
      <c r="AO238" s="570"/>
      <c r="AP238" s="570"/>
      <c r="AQ238" s="570"/>
      <c r="AR238" s="570"/>
      <c r="AS238" s="570"/>
      <c r="AT238" s="570"/>
      <c r="AU238" s="570"/>
      <c r="AV238" s="588"/>
    </row>
    <row r="239" x14ac:dyDescent="0.3">
      <c r="A239" s="704"/>
      <c r="B239" s="570"/>
      <c r="C239" s="570"/>
      <c r="D239" s="708"/>
      <c r="E239" s="829"/>
      <c r="F239" s="709"/>
      <c r="G239" s="570"/>
      <c r="H239" s="292"/>
      <c r="I239" s="274">
        <f t="shared" si="15"/>
        <v>42</v>
      </c>
      <c r="J239" s="1190" t="str">
        <f t="shared" si="15"/>
        <v/>
      </c>
      <c r="K239" s="1256" t="str">
        <f>IF('I. Stream &amp; Compound Data'!K303&lt;&gt;"",'I. Stream &amp; Compound Data'!K303,"")</f>
        <v/>
      </c>
      <c r="L239" s="1256" t="str">
        <f>IF('I. Stream &amp; Compound Data'!L303&lt;&gt;"",'I. Stream &amp; Compound Data'!L303,"")</f>
        <v/>
      </c>
      <c r="M239" s="1256" t="str">
        <f>IF('I. Stream &amp; Compound Data'!AM303&lt;&gt;"",'I. Stream &amp; Compound Data'!AM303,"")</f>
        <v/>
      </c>
      <c r="N239" s="202" t="str">
        <f t="shared" si="16"/>
        <v/>
      </c>
      <c r="O239" s="1256" t="str">
        <f>IF('I. Stream &amp; Compound Data'!P303&lt;&gt;"",'I. Stream &amp; Compound Data'!P303,"")</f>
        <v/>
      </c>
      <c r="P239" s="1257" t="str">
        <f>IF('I. Stream &amp; Compound Data'!CH303&lt;&gt;"",'I. Stream &amp; Compound Data'!CH303,"")</f>
        <v/>
      </c>
      <c r="Q239" s="1256" t="str">
        <f>IF('I. Stream &amp; Compound Data'!R303&lt;&gt;"",'I. Stream &amp; Compound Data'!R303,"")</f>
        <v/>
      </c>
      <c r="R239" s="1256" t="str">
        <f>IF('I. Stream &amp; Compound Data'!S303&lt;&gt;"",'I. Stream &amp; Compound Data'!S303,"")</f>
        <v/>
      </c>
      <c r="S239" s="1256" t="str">
        <f>IF('I. Stream &amp; Compound Data'!T303&lt;&gt;"",'I. Stream &amp; Compound Data'!T303,"")</f>
        <v/>
      </c>
      <c r="T239" s="1230" t="str">
        <f t="shared" si="18"/>
        <v/>
      </c>
      <c r="U239" s="570"/>
      <c r="V239" s="570"/>
      <c r="W239" s="570"/>
      <c r="X239" s="570"/>
      <c r="Y239" s="570"/>
      <c r="Z239" s="570"/>
      <c r="AA239" s="570"/>
      <c r="AB239" s="570"/>
      <c r="AC239" s="570"/>
      <c r="AD239" s="570"/>
      <c r="AE239" s="570"/>
      <c r="AF239" s="570"/>
      <c r="AG239" s="570"/>
      <c r="AH239" s="570"/>
      <c r="AI239" s="570"/>
      <c r="AJ239" s="570"/>
      <c r="AK239" s="570"/>
      <c r="AL239" s="570"/>
      <c r="AM239" s="570"/>
      <c r="AN239" s="570"/>
      <c r="AO239" s="570"/>
      <c r="AP239" s="570"/>
      <c r="AQ239" s="570"/>
      <c r="AR239" s="570"/>
      <c r="AS239" s="570"/>
      <c r="AT239" s="570"/>
      <c r="AU239" s="570"/>
      <c r="AV239" s="588"/>
    </row>
    <row r="240" x14ac:dyDescent="0.3">
      <c r="A240" s="704"/>
      <c r="B240" s="570"/>
      <c r="C240" s="570"/>
      <c r="D240" s="708"/>
      <c r="E240" s="829"/>
      <c r="F240" s="709"/>
      <c r="G240" s="570"/>
      <c r="H240" s="292"/>
      <c r="I240" s="274">
        <f t="shared" si="15"/>
        <v>43</v>
      </c>
      <c r="J240" s="1190" t="str">
        <f t="shared" si="15"/>
        <v/>
      </c>
      <c r="K240" s="1256" t="str">
        <f>IF('I. Stream &amp; Compound Data'!K304&lt;&gt;"",'I. Stream &amp; Compound Data'!K304,"")</f>
        <v/>
      </c>
      <c r="L240" s="1256" t="str">
        <f>IF('I. Stream &amp; Compound Data'!L304&lt;&gt;"",'I. Stream &amp; Compound Data'!L304,"")</f>
        <v/>
      </c>
      <c r="M240" s="1256" t="str">
        <f>IF('I. Stream &amp; Compound Data'!AM304&lt;&gt;"",'I. Stream &amp; Compound Data'!AM304,"")</f>
        <v/>
      </c>
      <c r="N240" s="202" t="str">
        <f t="shared" si="16"/>
        <v/>
      </c>
      <c r="O240" s="1256" t="str">
        <f>IF('I. Stream &amp; Compound Data'!P304&lt;&gt;"",'I. Stream &amp; Compound Data'!P304,"")</f>
        <v/>
      </c>
      <c r="P240" s="1257" t="str">
        <f>IF('I. Stream &amp; Compound Data'!CH304&lt;&gt;"",'I. Stream &amp; Compound Data'!CH304,"")</f>
        <v/>
      </c>
      <c r="Q240" s="1256" t="str">
        <f>IF('I. Stream &amp; Compound Data'!R304&lt;&gt;"",'I. Stream &amp; Compound Data'!R304,"")</f>
        <v/>
      </c>
      <c r="R240" s="1256" t="str">
        <f>IF('I. Stream &amp; Compound Data'!S304&lt;&gt;"",'I. Stream &amp; Compound Data'!S304,"")</f>
        <v/>
      </c>
      <c r="S240" s="1256" t="str">
        <f>IF('I. Stream &amp; Compound Data'!T304&lt;&gt;"",'I. Stream &amp; Compound Data'!T304,"")</f>
        <v/>
      </c>
      <c r="T240" s="1230" t="str">
        <f t="shared" si="18"/>
        <v/>
      </c>
      <c r="U240" s="570"/>
      <c r="V240" s="570"/>
      <c r="W240" s="570"/>
      <c r="X240" s="570"/>
      <c r="Y240" s="570"/>
      <c r="Z240" s="570"/>
      <c r="AA240" s="570"/>
      <c r="AB240" s="570"/>
      <c r="AC240" s="570"/>
      <c r="AD240" s="570"/>
      <c r="AE240" s="570"/>
      <c r="AF240" s="570"/>
      <c r="AG240" s="570"/>
      <c r="AH240" s="570"/>
      <c r="AI240" s="570"/>
      <c r="AJ240" s="570"/>
      <c r="AK240" s="570"/>
      <c r="AL240" s="570"/>
      <c r="AM240" s="570"/>
      <c r="AN240" s="570"/>
      <c r="AO240" s="570"/>
      <c r="AP240" s="570"/>
      <c r="AQ240" s="570"/>
      <c r="AR240" s="570"/>
      <c r="AS240" s="570"/>
      <c r="AT240" s="570"/>
      <c r="AU240" s="570"/>
      <c r="AV240" s="588"/>
    </row>
    <row r="241" x14ac:dyDescent="0.3">
      <c r="A241" s="704"/>
      <c r="B241" s="570"/>
      <c r="C241" s="570"/>
      <c r="D241" s="708"/>
      <c r="E241" s="829"/>
      <c r="F241" s="709"/>
      <c r="G241" s="570"/>
      <c r="H241" s="292"/>
      <c r="I241" s="274">
        <f t="shared" si="15"/>
        <v>44</v>
      </c>
      <c r="J241" s="1190" t="str">
        <f t="shared" si="15"/>
        <v/>
      </c>
      <c r="K241" s="1256" t="str">
        <f>IF('I. Stream &amp; Compound Data'!K305&lt;&gt;"",'I. Stream &amp; Compound Data'!K305,"")</f>
        <v/>
      </c>
      <c r="L241" s="1256" t="str">
        <f>IF('I. Stream &amp; Compound Data'!L305&lt;&gt;"",'I. Stream &amp; Compound Data'!L305,"")</f>
        <v/>
      </c>
      <c r="M241" s="1256" t="str">
        <f>IF('I. Stream &amp; Compound Data'!AM305&lt;&gt;"",'I. Stream &amp; Compound Data'!AM305,"")</f>
        <v/>
      </c>
      <c r="N241" s="202" t="str">
        <f t="shared" si="16"/>
        <v/>
      </c>
      <c r="O241" s="1256" t="str">
        <f>IF('I. Stream &amp; Compound Data'!P305&lt;&gt;"",'I. Stream &amp; Compound Data'!P305,"")</f>
        <v/>
      </c>
      <c r="P241" s="1257" t="str">
        <f>IF('I. Stream &amp; Compound Data'!CH305&lt;&gt;"",'I. Stream &amp; Compound Data'!CH305,"")</f>
        <v/>
      </c>
      <c r="Q241" s="1256" t="str">
        <f>IF('I. Stream &amp; Compound Data'!R305&lt;&gt;"",'I. Stream &amp; Compound Data'!R305,"")</f>
        <v/>
      </c>
      <c r="R241" s="1256" t="str">
        <f>IF('I. Stream &amp; Compound Data'!S305&lt;&gt;"",'I. Stream &amp; Compound Data'!S305,"")</f>
        <v/>
      </c>
      <c r="S241" s="1256" t="str">
        <f>IF('I. Stream &amp; Compound Data'!T305&lt;&gt;"",'I. Stream &amp; Compound Data'!T305,"")</f>
        <v/>
      </c>
      <c r="T241" s="1230" t="str">
        <f t="shared" si="18"/>
        <v/>
      </c>
      <c r="U241" s="570"/>
      <c r="V241" s="570"/>
      <c r="W241" s="570"/>
      <c r="X241" s="570"/>
      <c r="Y241" s="570"/>
      <c r="Z241" s="570"/>
      <c r="AA241" s="570"/>
      <c r="AB241" s="570"/>
      <c r="AC241" s="570"/>
      <c r="AD241" s="570"/>
      <c r="AE241" s="570"/>
      <c r="AF241" s="570"/>
      <c r="AG241" s="570"/>
      <c r="AH241" s="570"/>
      <c r="AI241" s="570"/>
      <c r="AJ241" s="570"/>
      <c r="AK241" s="570"/>
      <c r="AL241" s="570"/>
      <c r="AM241" s="570"/>
      <c r="AN241" s="570"/>
      <c r="AO241" s="570"/>
      <c r="AP241" s="570"/>
      <c r="AQ241" s="570"/>
      <c r="AR241" s="570"/>
      <c r="AS241" s="570"/>
      <c r="AT241" s="570"/>
      <c r="AU241" s="570"/>
      <c r="AV241" s="588"/>
    </row>
    <row r="242" x14ac:dyDescent="0.3">
      <c r="A242" s="704"/>
      <c r="B242" s="570"/>
      <c r="C242" s="570"/>
      <c r="D242" s="708"/>
      <c r="E242" s="829"/>
      <c r="F242" s="709"/>
      <c r="G242" s="570"/>
      <c r="H242" s="292"/>
      <c r="I242" s="274">
        <f t="shared" si="15"/>
        <v>45</v>
      </c>
      <c r="J242" s="1190" t="str">
        <f t="shared" si="15"/>
        <v/>
      </c>
      <c r="K242" s="1256" t="str">
        <f>IF('I. Stream &amp; Compound Data'!K306&lt;&gt;"",'I. Stream &amp; Compound Data'!K306,"")</f>
        <v/>
      </c>
      <c r="L242" s="1256" t="str">
        <f>IF('I. Stream &amp; Compound Data'!L306&lt;&gt;"",'I. Stream &amp; Compound Data'!L306,"")</f>
        <v/>
      </c>
      <c r="M242" s="1256" t="str">
        <f>IF('I. Stream &amp; Compound Data'!AM306&lt;&gt;"",'I. Stream &amp; Compound Data'!AM306,"")</f>
        <v/>
      </c>
      <c r="N242" s="202" t="str">
        <f t="shared" si="16"/>
        <v/>
      </c>
      <c r="O242" s="1256" t="str">
        <f>IF('I. Stream &amp; Compound Data'!P306&lt;&gt;"",'I. Stream &amp; Compound Data'!P306,"")</f>
        <v/>
      </c>
      <c r="P242" s="1257" t="str">
        <f>IF('I. Stream &amp; Compound Data'!CH306&lt;&gt;"",'I. Stream &amp; Compound Data'!CH306,"")</f>
        <v/>
      </c>
      <c r="Q242" s="1256" t="str">
        <f>IF('I. Stream &amp; Compound Data'!R306&lt;&gt;"",'I. Stream &amp; Compound Data'!R306,"")</f>
        <v/>
      </c>
      <c r="R242" s="1256" t="str">
        <f>IF('I. Stream &amp; Compound Data'!S306&lt;&gt;"",'I. Stream &amp; Compound Data'!S306,"")</f>
        <v/>
      </c>
      <c r="S242" s="1256" t="str">
        <f>IF('I. Stream &amp; Compound Data'!T306&lt;&gt;"",'I. Stream &amp; Compound Data'!T306,"")</f>
        <v/>
      </c>
      <c r="T242" s="1230" t="str">
        <f t="shared" si="18"/>
        <v/>
      </c>
      <c r="U242" s="570"/>
      <c r="V242" s="570"/>
      <c r="W242" s="570"/>
      <c r="X242" s="570"/>
      <c r="Y242" s="570"/>
      <c r="Z242" s="570"/>
      <c r="AA242" s="570"/>
      <c r="AB242" s="570"/>
      <c r="AC242" s="570"/>
      <c r="AD242" s="570"/>
      <c r="AE242" s="570"/>
      <c r="AF242" s="570"/>
      <c r="AG242" s="570"/>
      <c r="AH242" s="570"/>
      <c r="AI242" s="570"/>
      <c r="AJ242" s="570"/>
      <c r="AK242" s="570"/>
      <c r="AL242" s="570"/>
      <c r="AM242" s="570"/>
      <c r="AN242" s="570"/>
      <c r="AO242" s="570"/>
      <c r="AP242" s="570"/>
      <c r="AQ242" s="570"/>
      <c r="AR242" s="570"/>
      <c r="AS242" s="570"/>
      <c r="AT242" s="570"/>
      <c r="AU242" s="570"/>
      <c r="AV242" s="588"/>
    </row>
    <row r="243" x14ac:dyDescent="0.3">
      <c r="A243" s="704"/>
      <c r="B243" s="570"/>
      <c r="C243" s="570"/>
      <c r="D243" s="708"/>
      <c r="E243" s="829"/>
      <c r="F243" s="709"/>
      <c r="G243" s="570"/>
      <c r="H243" s="292"/>
      <c r="I243" s="274">
        <f t="shared" si="15"/>
        <v>46</v>
      </c>
      <c r="J243" s="1190" t="str">
        <f t="shared" si="15"/>
        <v/>
      </c>
      <c r="K243" s="1256" t="str">
        <f>IF('I. Stream &amp; Compound Data'!K307&lt;&gt;"",'I. Stream &amp; Compound Data'!K307,"")</f>
        <v/>
      </c>
      <c r="L243" s="1256" t="str">
        <f>IF('I. Stream &amp; Compound Data'!L307&lt;&gt;"",'I. Stream &amp; Compound Data'!L307,"")</f>
        <v/>
      </c>
      <c r="M243" s="1256" t="str">
        <f>IF('I. Stream &amp; Compound Data'!AM307&lt;&gt;"",'I. Stream &amp; Compound Data'!AM307,"")</f>
        <v/>
      </c>
      <c r="N243" s="202" t="str">
        <f t="shared" si="16"/>
        <v/>
      </c>
      <c r="O243" s="1256" t="str">
        <f>IF('I. Stream &amp; Compound Data'!P307&lt;&gt;"",'I. Stream &amp; Compound Data'!P307,"")</f>
        <v/>
      </c>
      <c r="P243" s="1257" t="str">
        <f>IF('I. Stream &amp; Compound Data'!CH307&lt;&gt;"",'I. Stream &amp; Compound Data'!CH307,"")</f>
        <v/>
      </c>
      <c r="Q243" s="1256" t="str">
        <f>IF('I. Stream &amp; Compound Data'!R307&lt;&gt;"",'I. Stream &amp; Compound Data'!R307,"")</f>
        <v/>
      </c>
      <c r="R243" s="1256" t="str">
        <f>IF('I. Stream &amp; Compound Data'!S307&lt;&gt;"",'I. Stream &amp; Compound Data'!S307,"")</f>
        <v/>
      </c>
      <c r="S243" s="1256" t="str">
        <f>IF('I. Stream &amp; Compound Data'!T307&lt;&gt;"",'I. Stream &amp; Compound Data'!T307,"")</f>
        <v/>
      </c>
      <c r="T243" s="1230" t="str">
        <f t="shared" si="18"/>
        <v/>
      </c>
      <c r="U243" s="570"/>
      <c r="V243" s="570"/>
      <c r="W243" s="570"/>
      <c r="X243" s="570"/>
      <c r="Y243" s="570"/>
      <c r="Z243" s="570"/>
      <c r="AA243" s="570"/>
      <c r="AB243" s="570"/>
      <c r="AC243" s="570"/>
      <c r="AD243" s="570"/>
      <c r="AE243" s="570"/>
      <c r="AF243" s="570"/>
      <c r="AG243" s="570"/>
      <c r="AH243" s="570"/>
      <c r="AI243" s="570"/>
      <c r="AJ243" s="570"/>
      <c r="AK243" s="570"/>
      <c r="AL243" s="570"/>
      <c r="AM243" s="570"/>
      <c r="AN243" s="570"/>
      <c r="AO243" s="570"/>
      <c r="AP243" s="570"/>
      <c r="AQ243" s="570"/>
      <c r="AR243" s="570"/>
      <c r="AS243" s="570"/>
      <c r="AT243" s="570"/>
      <c r="AU243" s="570"/>
      <c r="AV243" s="588"/>
    </row>
    <row r="244" x14ac:dyDescent="0.3">
      <c r="A244" s="704"/>
      <c r="B244" s="570"/>
      <c r="C244" s="570"/>
      <c r="D244" s="708"/>
      <c r="E244" s="829"/>
      <c r="F244" s="709"/>
      <c r="G244" s="570"/>
      <c r="H244" s="292"/>
      <c r="I244" s="274">
        <f t="shared" si="15"/>
        <v>47</v>
      </c>
      <c r="J244" s="1190" t="str">
        <f t="shared" si="15"/>
        <v/>
      </c>
      <c r="K244" s="1256" t="str">
        <f>IF('I. Stream &amp; Compound Data'!K308&lt;&gt;"",'I. Stream &amp; Compound Data'!K308,"")</f>
        <v/>
      </c>
      <c r="L244" s="1256" t="str">
        <f>IF('I. Stream &amp; Compound Data'!L308&lt;&gt;"",'I. Stream &amp; Compound Data'!L308,"")</f>
        <v/>
      </c>
      <c r="M244" s="1256" t="str">
        <f>IF('I. Stream &amp; Compound Data'!AM308&lt;&gt;"",'I. Stream &amp; Compound Data'!AM308,"")</f>
        <v/>
      </c>
      <c r="N244" s="202" t="str">
        <f>IF(J244&lt;&gt;"",L244*M244,"")</f>
        <v/>
      </c>
      <c r="O244" s="1256" t="str">
        <f>IF('I. Stream &amp; Compound Data'!P308&lt;&gt;"",'I. Stream &amp; Compound Data'!P308,"")</f>
        <v/>
      </c>
      <c r="P244" s="1257" t="str">
        <f>IF('I. Stream &amp; Compound Data'!CH308&lt;&gt;"",'I. Stream &amp; Compound Data'!CH308,"")</f>
        <v/>
      </c>
      <c r="Q244" s="1256" t="str">
        <f>IF('I. Stream &amp; Compound Data'!R308&lt;&gt;"",'I. Stream &amp; Compound Data'!R308,"")</f>
        <v/>
      </c>
      <c r="R244" s="1256" t="str">
        <f>IF('I. Stream &amp; Compound Data'!S308&lt;&gt;"",'I. Stream &amp; Compound Data'!S308,"")</f>
        <v/>
      </c>
      <c r="S244" s="1256" t="str">
        <f>IF('I. Stream &amp; Compound Data'!T308&lt;&gt;"",'I. Stream &amp; Compound Data'!T308,"")</f>
        <v/>
      </c>
      <c r="T244" s="1230" t="str">
        <f t="shared" si="18"/>
        <v/>
      </c>
      <c r="U244" s="570"/>
      <c r="V244" s="570"/>
      <c r="W244" s="570"/>
      <c r="X244" s="570"/>
      <c r="Y244" s="570"/>
      <c r="Z244" s="570"/>
      <c r="AA244" s="570"/>
      <c r="AB244" s="570"/>
      <c r="AC244" s="570"/>
      <c r="AD244" s="570"/>
      <c r="AE244" s="570"/>
      <c r="AF244" s="570"/>
      <c r="AG244" s="570"/>
      <c r="AH244" s="570"/>
      <c r="AI244" s="570"/>
      <c r="AJ244" s="570"/>
      <c r="AK244" s="570"/>
      <c r="AL244" s="570"/>
      <c r="AM244" s="570"/>
      <c r="AN244" s="570"/>
      <c r="AO244" s="570"/>
      <c r="AP244" s="570"/>
      <c r="AQ244" s="570"/>
      <c r="AR244" s="570"/>
      <c r="AS244" s="570"/>
      <c r="AT244" s="570"/>
      <c r="AU244" s="570"/>
      <c r="AV244" s="588"/>
    </row>
    <row r="245" x14ac:dyDescent="0.3">
      <c r="A245" s="704"/>
      <c r="B245" s="570"/>
      <c r="C245" s="570"/>
      <c r="D245" s="708"/>
      <c r="E245" s="829"/>
      <c r="F245" s="709"/>
      <c r="G245" s="570"/>
      <c r="H245" s="292"/>
      <c r="I245" s="274">
        <f t="shared" si="15"/>
        <v>48</v>
      </c>
      <c r="J245" s="1190" t="str">
        <f t="shared" si="15"/>
        <v/>
      </c>
      <c r="K245" s="1256" t="str">
        <f>IF('I. Stream &amp; Compound Data'!K309&lt;&gt;"",'I. Stream &amp; Compound Data'!K309,"")</f>
        <v/>
      </c>
      <c r="L245" s="1256" t="str">
        <f>IF('I. Stream &amp; Compound Data'!L309&lt;&gt;"",'I. Stream &amp; Compound Data'!L309,"")</f>
        <v/>
      </c>
      <c r="M245" s="1256" t="str">
        <f>IF('I. Stream &amp; Compound Data'!AM309&lt;&gt;"",'I. Stream &amp; Compound Data'!AM309,"")</f>
        <v/>
      </c>
      <c r="N245" s="202" t="str">
        <f t="shared" si="16"/>
        <v/>
      </c>
      <c r="O245" s="1256" t="str">
        <f>IF('I. Stream &amp; Compound Data'!P309&lt;&gt;"",'I. Stream &amp; Compound Data'!P309,"")</f>
        <v/>
      </c>
      <c r="P245" s="1257" t="str">
        <f>IF('I. Stream &amp; Compound Data'!CH309&lt;&gt;"",'I. Stream &amp; Compound Data'!CH309,"")</f>
        <v/>
      </c>
      <c r="Q245" s="1256" t="str">
        <f>IF('I. Stream &amp; Compound Data'!R309&lt;&gt;"",'I. Stream &amp; Compound Data'!R309,"")</f>
        <v/>
      </c>
      <c r="R245" s="1256" t="str">
        <f>IF('I. Stream &amp; Compound Data'!S309&lt;&gt;"",'I. Stream &amp; Compound Data'!S309,"")</f>
        <v/>
      </c>
      <c r="S245" s="1256" t="str">
        <f>IF('I. Stream &amp; Compound Data'!T309&lt;&gt;"",'I. Stream &amp; Compound Data'!T309,"")</f>
        <v/>
      </c>
      <c r="T245" s="1230" t="str">
        <f t="shared" si="18"/>
        <v/>
      </c>
      <c r="U245" s="570"/>
      <c r="V245" s="570"/>
      <c r="W245" s="570"/>
      <c r="X245" s="570"/>
      <c r="Y245" s="570"/>
      <c r="Z245" s="570"/>
      <c r="AA245" s="570"/>
      <c r="AB245" s="570"/>
      <c r="AC245" s="570"/>
      <c r="AD245" s="570"/>
      <c r="AE245" s="570"/>
      <c r="AF245" s="570"/>
      <c r="AG245" s="570"/>
      <c r="AH245" s="570"/>
      <c r="AI245" s="570"/>
      <c r="AJ245" s="570"/>
      <c r="AK245" s="570"/>
      <c r="AL245" s="570"/>
      <c r="AM245" s="570"/>
      <c r="AN245" s="570"/>
      <c r="AO245" s="570"/>
      <c r="AP245" s="570"/>
      <c r="AQ245" s="570"/>
      <c r="AR245" s="570"/>
      <c r="AS245" s="570"/>
      <c r="AT245" s="570"/>
      <c r="AU245" s="570"/>
      <c r="AV245" s="588"/>
    </row>
    <row r="246" x14ac:dyDescent="0.3">
      <c r="A246" s="704"/>
      <c r="B246" s="570"/>
      <c r="C246" s="570"/>
      <c r="D246" s="708"/>
      <c r="E246" s="829"/>
      <c r="F246" s="709"/>
      <c r="G246" s="570"/>
      <c r="H246" s="292"/>
      <c r="I246" s="274">
        <f t="shared" si="15"/>
        <v>49</v>
      </c>
      <c r="J246" s="1190" t="str">
        <f t="shared" si="15"/>
        <v/>
      </c>
      <c r="K246" s="1256" t="str">
        <f>IF('I. Stream &amp; Compound Data'!K310&lt;&gt;"",'I. Stream &amp; Compound Data'!K310,"")</f>
        <v/>
      </c>
      <c r="L246" s="1256" t="str">
        <f>IF('I. Stream &amp; Compound Data'!L310&lt;&gt;"",'I. Stream &amp; Compound Data'!L310,"")</f>
        <v/>
      </c>
      <c r="M246" s="1256" t="str">
        <f>IF('I. Stream &amp; Compound Data'!AM310&lt;&gt;"",'I. Stream &amp; Compound Data'!AM310,"")</f>
        <v/>
      </c>
      <c r="N246" s="202" t="str">
        <f t="shared" si="16"/>
        <v/>
      </c>
      <c r="O246" s="1256" t="str">
        <f>IF('I. Stream &amp; Compound Data'!P310&lt;&gt;"",'I. Stream &amp; Compound Data'!P310,"")</f>
        <v/>
      </c>
      <c r="P246" s="1257" t="str">
        <f>IF('I. Stream &amp; Compound Data'!CH310&lt;&gt;"",'I. Stream &amp; Compound Data'!CH310,"")</f>
        <v/>
      </c>
      <c r="Q246" s="1256" t="str">
        <f>IF('I. Stream &amp; Compound Data'!R310&lt;&gt;"",'I. Stream &amp; Compound Data'!R310,"")</f>
        <v/>
      </c>
      <c r="R246" s="1256" t="str">
        <f>IF('I. Stream &amp; Compound Data'!S310&lt;&gt;"",'I. Stream &amp; Compound Data'!S310,"")</f>
        <v/>
      </c>
      <c r="S246" s="1256" t="str">
        <f>IF('I. Stream &amp; Compound Data'!T310&lt;&gt;"",'I. Stream &amp; Compound Data'!T310,"")</f>
        <v/>
      </c>
      <c r="T246" s="1230" t="str">
        <f t="shared" si="18"/>
        <v/>
      </c>
      <c r="U246" s="570"/>
      <c r="V246" s="570"/>
      <c r="W246" s="570"/>
      <c r="X246" s="570"/>
      <c r="Y246" s="570"/>
      <c r="Z246" s="570"/>
      <c r="AA246" s="570"/>
      <c r="AB246" s="570"/>
      <c r="AC246" s="570"/>
      <c r="AD246" s="570"/>
      <c r="AE246" s="570"/>
      <c r="AF246" s="570"/>
      <c r="AG246" s="570"/>
      <c r="AH246" s="570"/>
      <c r="AI246" s="570"/>
      <c r="AJ246" s="570"/>
      <c r="AK246" s="570"/>
      <c r="AL246" s="570"/>
      <c r="AM246" s="570"/>
      <c r="AN246" s="570"/>
      <c r="AO246" s="570"/>
      <c r="AP246" s="570"/>
      <c r="AQ246" s="570"/>
      <c r="AR246" s="570"/>
      <c r="AS246" s="570"/>
      <c r="AT246" s="570"/>
      <c r="AU246" s="570"/>
      <c r="AV246" s="588"/>
    </row>
    <row r="247" ht="16.2" thickBot="true" x14ac:dyDescent="0.35">
      <c r="A247" s="704"/>
      <c r="B247" s="570"/>
      <c r="C247" s="570"/>
      <c r="D247" s="708"/>
      <c r="E247" s="829"/>
      <c r="F247" s="709"/>
      <c r="G247" s="570"/>
      <c r="H247" s="292"/>
      <c r="I247" s="1258">
        <f t="shared" si="15"/>
        <v>50</v>
      </c>
      <c r="J247" s="1259" t="str">
        <f t="shared" si="15"/>
        <v/>
      </c>
      <c r="K247" s="1260" t="str">
        <f>IF('I. Stream &amp; Compound Data'!K311&lt;&gt;"",'I. Stream &amp; Compound Data'!K311,"")</f>
        <v/>
      </c>
      <c r="L247" s="1260" t="str">
        <f>IF('I. Stream &amp; Compound Data'!L311&lt;&gt;"",'I. Stream &amp; Compound Data'!L311,"")</f>
        <v/>
      </c>
      <c r="M247" s="1260" t="str">
        <f>IF('I. Stream &amp; Compound Data'!AM311&lt;&gt;"",'I. Stream &amp; Compound Data'!AM311,"")</f>
        <v/>
      </c>
      <c r="N247" s="1260" t="str">
        <f t="shared" si="16"/>
        <v/>
      </c>
      <c r="O247" s="1260" t="str">
        <f>IF('I. Stream &amp; Compound Data'!P311&lt;&gt;"",'I. Stream &amp; Compound Data'!P311,"")</f>
        <v/>
      </c>
      <c r="P247" s="1261" t="str">
        <f>IF('I. Stream &amp; Compound Data'!CH311&lt;&gt;"",'I. Stream &amp; Compound Data'!CH311,"")</f>
        <v/>
      </c>
      <c r="Q247" s="1260" t="str">
        <f>IF('I. Stream &amp; Compound Data'!R311&lt;&gt;"",'I. Stream &amp; Compound Data'!R311,"")</f>
        <v/>
      </c>
      <c r="R247" s="1260" t="str">
        <f>IF('I. Stream &amp; Compound Data'!S311&lt;&gt;"",'I. Stream &amp; Compound Data'!S311,"")</f>
        <v/>
      </c>
      <c r="S247" s="1260" t="str">
        <f>IF('I. Stream &amp; Compound Data'!T311&lt;&gt;"",'I. Stream &amp; Compound Data'!T311,"")</f>
        <v/>
      </c>
      <c r="T247" s="1233" t="str">
        <f t="shared" si="18"/>
        <v/>
      </c>
      <c r="U247" s="570"/>
      <c r="V247" s="570"/>
      <c r="W247" s="570"/>
      <c r="X247" s="570"/>
      <c r="Y247" s="570"/>
      <c r="Z247" s="570"/>
      <c r="AA247" s="570"/>
      <c r="AB247" s="570"/>
      <c r="AC247" s="570"/>
      <c r="AD247" s="570"/>
      <c r="AE247" s="570"/>
      <c r="AF247" s="570"/>
      <c r="AG247" s="570"/>
      <c r="AH247" s="570"/>
      <c r="AI247" s="570"/>
      <c r="AJ247" s="570"/>
      <c r="AK247" s="570"/>
      <c r="AL247" s="570"/>
      <c r="AM247" s="570"/>
      <c r="AN247" s="570"/>
      <c r="AO247" s="570"/>
      <c r="AP247" s="570"/>
      <c r="AQ247" s="570"/>
      <c r="AR247" s="570"/>
      <c r="AS247" s="570"/>
      <c r="AT247" s="570"/>
      <c r="AU247" s="570"/>
      <c r="AV247" s="588"/>
    </row>
    <row r="248" ht="17.4" x14ac:dyDescent="0.3">
      <c r="A248" s="704"/>
      <c r="B248" s="570"/>
      <c r="C248" s="570"/>
      <c r="D248" s="708"/>
      <c r="E248" s="829"/>
      <c r="F248" s="709"/>
      <c r="G248" s="570"/>
      <c r="H248" s="292"/>
      <c r="I248" s="712"/>
      <c r="J248" s="712"/>
      <c r="K248" s="172"/>
      <c r="L248" s="362"/>
      <c r="M248" s="335"/>
      <c r="N248" s="570"/>
      <c r="O248" s="570"/>
      <c r="P248" s="298"/>
      <c r="Q248" s="297"/>
      <c r="R248" s="611"/>
      <c r="S248" s="611"/>
      <c r="T248" s="709"/>
      <c r="U248" s="570"/>
      <c r="V248" s="570"/>
      <c r="W248" s="570"/>
      <c r="X248" s="570"/>
      <c r="Y248" s="570"/>
      <c r="Z248" s="570"/>
      <c r="AA248" s="570"/>
      <c r="AB248" s="570"/>
      <c r="AC248" s="570"/>
      <c r="AD248" s="570"/>
      <c r="AE248" s="570"/>
      <c r="AF248" s="570"/>
      <c r="AG248" s="570"/>
      <c r="AH248" s="570"/>
      <c r="AI248" s="570"/>
      <c r="AJ248" s="570"/>
      <c r="AK248" s="570"/>
      <c r="AL248" s="570"/>
      <c r="AM248" s="570"/>
      <c r="AN248" s="570"/>
      <c r="AO248" s="570"/>
      <c r="AP248" s="570"/>
      <c r="AQ248" s="570"/>
      <c r="AR248" s="570"/>
      <c r="AS248" s="570"/>
      <c r="AT248" s="570"/>
      <c r="AU248" s="570"/>
      <c r="AV248" s="588"/>
    </row>
    <row r="249" x14ac:dyDescent="0.3">
      <c r="A249" s="704"/>
      <c r="B249" s="570"/>
      <c r="C249" s="570"/>
      <c r="D249" s="708"/>
      <c r="E249" s="829"/>
      <c r="F249" s="709"/>
      <c r="G249" s="570"/>
      <c r="H249" s="292"/>
      <c r="I249" s="626"/>
      <c r="J249" s="570"/>
      <c r="K249" s="292"/>
      <c r="L249" s="362"/>
      <c r="M249" s="335"/>
      <c r="N249" s="570"/>
      <c r="O249" s="570"/>
      <c r="P249" s="298"/>
      <c r="Q249" s="297"/>
      <c r="R249" s="611"/>
      <c r="S249" s="611"/>
      <c r="T249" s="709"/>
      <c r="U249" s="570"/>
      <c r="V249" s="570"/>
      <c r="W249" s="570"/>
      <c r="X249" s="570"/>
      <c r="Y249" s="570"/>
      <c r="Z249" s="570"/>
      <c r="AA249" s="570"/>
      <c r="AB249" s="570"/>
      <c r="AC249" s="570"/>
      <c r="AD249" s="570"/>
      <c r="AE249" s="570"/>
      <c r="AF249" s="570"/>
      <c r="AG249" s="570"/>
      <c r="AH249" s="570"/>
      <c r="AI249" s="570"/>
      <c r="AJ249" s="570"/>
      <c r="AK249" s="570"/>
      <c r="AL249" s="570"/>
      <c r="AM249" s="570"/>
      <c r="AN249" s="570"/>
      <c r="AO249" s="570"/>
      <c r="AP249" s="570"/>
      <c r="AQ249" s="570"/>
      <c r="AR249" s="570"/>
      <c r="AS249" s="570"/>
      <c r="AT249" s="570"/>
      <c r="AU249" s="570"/>
      <c r="AV249" s="588"/>
    </row>
    <row r="250" x14ac:dyDescent="0.3">
      <c r="A250" s="704"/>
      <c r="B250" s="570"/>
      <c r="C250" s="570"/>
      <c r="D250" s="708"/>
      <c r="E250" s="829"/>
      <c r="F250" s="709"/>
      <c r="G250" s="570"/>
      <c r="H250" s="292"/>
      <c r="I250" s="626"/>
      <c r="J250" s="570"/>
      <c r="K250" s="292"/>
      <c r="L250" s="362"/>
      <c r="M250" s="335"/>
      <c r="N250" s="570"/>
      <c r="O250" s="570"/>
      <c r="P250" s="298"/>
      <c r="Q250" s="297"/>
      <c r="R250" s="611"/>
      <c r="S250" s="611"/>
      <c r="T250" s="709"/>
      <c r="U250" s="570"/>
      <c r="V250" s="570"/>
      <c r="W250" s="570"/>
      <c r="X250" s="570"/>
      <c r="Y250" s="570"/>
      <c r="Z250" s="570"/>
      <c r="AA250" s="570"/>
      <c r="AB250" s="570"/>
      <c r="AC250" s="570"/>
      <c r="AD250" s="570"/>
      <c r="AE250" s="570"/>
      <c r="AF250" s="570"/>
      <c r="AG250" s="570"/>
      <c r="AH250" s="570"/>
      <c r="AI250" s="570"/>
      <c r="AJ250" s="570"/>
      <c r="AK250" s="570"/>
      <c r="AL250" s="570"/>
      <c r="AM250" s="570"/>
      <c r="AN250" s="570"/>
      <c r="AO250" s="570"/>
      <c r="AP250" s="570"/>
      <c r="AQ250" s="570"/>
      <c r="AR250" s="570"/>
      <c r="AS250" s="570"/>
      <c r="AT250" s="570"/>
      <c r="AU250" s="570"/>
      <c r="AV250" s="588"/>
    </row>
    <row r="251" x14ac:dyDescent="0.3">
      <c r="A251" s="704"/>
      <c r="B251" s="570"/>
      <c r="C251" s="570"/>
      <c r="D251" s="708"/>
      <c r="E251" s="829"/>
      <c r="F251" s="709"/>
      <c r="G251" s="570"/>
      <c r="H251" s="292"/>
      <c r="I251" s="626"/>
      <c r="J251" s="570"/>
      <c r="K251" s="292"/>
      <c r="L251" s="362"/>
      <c r="M251" s="335"/>
      <c r="N251" s="570"/>
      <c r="O251" s="570"/>
      <c r="P251" s="298"/>
      <c r="Q251" s="297"/>
      <c r="R251" s="611"/>
      <c r="S251" s="611"/>
      <c r="T251" s="709"/>
      <c r="U251" s="570"/>
      <c r="V251" s="570"/>
      <c r="W251" s="570"/>
      <c r="X251" s="570"/>
      <c r="Y251" s="570"/>
      <c r="Z251" s="570"/>
      <c r="AA251" s="570"/>
      <c r="AB251" s="570"/>
      <c r="AC251" s="570"/>
      <c r="AD251" s="570"/>
      <c r="AE251" s="570"/>
      <c r="AF251" s="570"/>
      <c r="AG251" s="570"/>
      <c r="AH251" s="570"/>
      <c r="AI251" s="570"/>
      <c r="AJ251" s="570"/>
      <c r="AK251" s="570"/>
      <c r="AL251" s="570"/>
      <c r="AM251" s="570"/>
      <c r="AN251" s="570"/>
      <c r="AO251" s="570"/>
      <c r="AP251" s="570"/>
      <c r="AQ251" s="570"/>
      <c r="AR251" s="570"/>
      <c r="AS251" s="570"/>
      <c r="AT251" s="570"/>
      <c r="AU251" s="570"/>
      <c r="AV251" s="588"/>
    </row>
    <row r="252" ht="16.2" thickBot="true" x14ac:dyDescent="0.35">
      <c r="A252" s="704"/>
      <c r="B252" s="570"/>
      <c r="C252" s="570"/>
      <c r="D252" s="708"/>
      <c r="E252" s="1926" t="s">
        <v>1536</v>
      </c>
      <c r="F252" s="1926"/>
      <c r="G252" s="1926"/>
      <c r="H252" s="292"/>
      <c r="I252" s="626"/>
      <c r="J252" s="570"/>
      <c r="K252" s="292"/>
      <c r="L252" s="362"/>
      <c r="M252" s="335"/>
      <c r="N252" s="570"/>
      <c r="O252" s="570"/>
      <c r="P252" s="298"/>
      <c r="Q252" s="297"/>
      <c r="R252" s="611"/>
      <c r="S252" s="611"/>
      <c r="T252" s="709"/>
      <c r="U252" s="570"/>
      <c r="V252" s="570"/>
      <c r="W252" s="570"/>
      <c r="X252" s="570"/>
      <c r="Y252" s="570"/>
      <c r="Z252" s="570"/>
      <c r="AA252" s="570"/>
      <c r="AB252" s="570"/>
      <c r="AC252" s="570"/>
      <c r="AD252" s="570"/>
      <c r="AE252" s="570"/>
      <c r="AF252" s="570"/>
      <c r="AG252" s="570"/>
      <c r="AH252" s="570"/>
      <c r="AI252" s="570"/>
      <c r="AJ252" s="570"/>
      <c r="AK252" s="570"/>
      <c r="AL252" s="570"/>
      <c r="AM252" s="570"/>
      <c r="AN252" s="570"/>
      <c r="AO252" s="570"/>
      <c r="AP252" s="570"/>
      <c r="AQ252" s="570"/>
      <c r="AR252" s="570"/>
      <c r="AS252" s="570"/>
      <c r="AT252" s="570"/>
      <c r="AU252" s="570"/>
      <c r="AV252" s="588"/>
    </row>
    <row r="253" ht="30" customHeight="true" x14ac:dyDescent="0.3">
      <c r="A253" s="704"/>
      <c r="B253" s="570"/>
      <c r="C253" s="570"/>
      <c r="D253" s="708"/>
      <c r="E253" s="1860" t="s">
        <v>2235</v>
      </c>
      <c r="F253" s="1861"/>
      <c r="G253" s="1861"/>
      <c r="H253" s="1238">
        <f>H58</f>
        <v>2888.3362910273868</v>
      </c>
      <c r="I253" s="270" t="s">
        <v>1469</v>
      </c>
      <c r="J253" s="191" t="s">
        <v>1470</v>
      </c>
      <c r="K253" s="275" t="s">
        <v>1538</v>
      </c>
      <c r="L253" s="362"/>
      <c r="M253" s="335"/>
      <c r="N253" s="570"/>
      <c r="O253" s="570"/>
      <c r="P253" s="298"/>
      <c r="Q253" s="297"/>
      <c r="R253" s="611"/>
      <c r="S253" s="611"/>
      <c r="T253" s="709"/>
      <c r="U253" s="570"/>
      <c r="V253" s="570"/>
      <c r="W253" s="570"/>
      <c r="X253" s="570"/>
      <c r="Y253" s="570"/>
      <c r="Z253" s="570"/>
      <c r="AA253" s="570"/>
      <c r="AB253" s="570"/>
      <c r="AC253" s="570"/>
      <c r="AD253" s="570"/>
      <c r="AE253" s="570"/>
      <c r="AF253" s="570"/>
      <c r="AG253" s="570"/>
      <c r="AH253" s="570"/>
      <c r="AI253" s="570"/>
      <c r="AJ253" s="570"/>
      <c r="AK253" s="570"/>
      <c r="AL253" s="570"/>
      <c r="AM253" s="570"/>
      <c r="AN253" s="570"/>
      <c r="AO253" s="570"/>
      <c r="AP253" s="570"/>
      <c r="AQ253" s="570"/>
      <c r="AR253" s="570"/>
      <c r="AS253" s="570"/>
      <c r="AT253" s="570"/>
      <c r="AU253" s="570"/>
      <c r="AV253" s="588"/>
    </row>
    <row r="254" x14ac:dyDescent="0.3">
      <c r="A254" s="704"/>
      <c r="B254" s="570"/>
      <c r="C254" s="570"/>
      <c r="D254" s="708"/>
      <c r="E254" s="1886" t="s">
        <v>2313</v>
      </c>
      <c r="F254" s="1887"/>
      <c r="G254" s="1887"/>
      <c r="H254" s="1235">
        <f>H61</f>
        <v>56.076999999999998</v>
      </c>
      <c r="I254" s="1262">
        <f>I86</f>
        <v>1</v>
      </c>
      <c r="J254" s="202" t="str">
        <f>IF(J86&lt;&gt;"",J86,"")</f>
        <v>Carbon Dioxide</v>
      </c>
      <c r="K254" s="262" t="str">
        <f t="shared" ref="K254:K272" si="19">IF(L86&lt;0,L198/K86*P198,"")</f>
        <v/>
      </c>
      <c r="L254" s="362"/>
      <c r="M254" s="335"/>
      <c r="N254" s="570"/>
      <c r="O254" s="570"/>
      <c r="P254" s="298"/>
      <c r="Q254" s="297"/>
      <c r="R254" s="611"/>
      <c r="S254" s="611"/>
      <c r="T254" s="709"/>
      <c r="U254" s="570"/>
      <c r="V254" s="570"/>
      <c r="W254" s="570"/>
      <c r="X254" s="570"/>
      <c r="Y254" s="570"/>
      <c r="Z254" s="570"/>
      <c r="AA254" s="570"/>
      <c r="AB254" s="570"/>
      <c r="AC254" s="570"/>
      <c r="AD254" s="570"/>
      <c r="AE254" s="570"/>
      <c r="AF254" s="570"/>
      <c r="AG254" s="570"/>
      <c r="AH254" s="570"/>
      <c r="AI254" s="570"/>
      <c r="AJ254" s="570"/>
      <c r="AK254" s="570"/>
      <c r="AL254" s="570"/>
      <c r="AM254" s="570"/>
      <c r="AN254" s="570"/>
      <c r="AO254" s="570"/>
      <c r="AP254" s="570"/>
      <c r="AQ254" s="570"/>
      <c r="AR254" s="570"/>
      <c r="AS254" s="570"/>
      <c r="AT254" s="570"/>
      <c r="AU254" s="570"/>
      <c r="AV254" s="588"/>
    </row>
    <row r="255" x14ac:dyDescent="0.3">
      <c r="A255" s="704"/>
      <c r="B255" s="570"/>
      <c r="C255" s="570"/>
      <c r="D255" s="708"/>
      <c r="E255" s="1886" t="s">
        <v>1537</v>
      </c>
      <c r="F255" s="1887"/>
      <c r="G255" s="1887"/>
      <c r="H255" s="1235">
        <f>VLOOKUP(H56,I198:T247,8,FALSE)</f>
        <v>0</v>
      </c>
      <c r="I255" s="1262">
        <f t="shared" ref="I255:I303" si="20">I87</f>
        <v>2</v>
      </c>
      <c r="J255" s="202" t="str">
        <f t="shared" ref="J255:J303" si="21">IF(J87&lt;&gt;"",J87,"")</f>
        <v>Water</v>
      </c>
      <c r="K255" s="262" t="str">
        <f t="shared" si="19"/>
        <v/>
      </c>
      <c r="L255" s="362"/>
      <c r="M255" s="335"/>
      <c r="N255" s="570"/>
      <c r="O255" s="570"/>
      <c r="P255" s="298"/>
      <c r="Q255" s="297"/>
      <c r="R255" s="611"/>
      <c r="S255" s="611"/>
      <c r="T255" s="709"/>
      <c r="U255" s="570"/>
      <c r="V255" s="570"/>
      <c r="W255" s="570"/>
      <c r="X255" s="570"/>
      <c r="Y255" s="570"/>
      <c r="Z255" s="570"/>
      <c r="AA255" s="570"/>
      <c r="AB255" s="570"/>
      <c r="AC255" s="570"/>
      <c r="AD255" s="570"/>
      <c r="AE255" s="570"/>
      <c r="AF255" s="570"/>
      <c r="AG255" s="570"/>
      <c r="AH255" s="570"/>
      <c r="AI255" s="570"/>
      <c r="AJ255" s="570"/>
      <c r="AK255" s="570"/>
      <c r="AL255" s="570"/>
      <c r="AM255" s="570"/>
      <c r="AN255" s="570"/>
      <c r="AO255" s="570"/>
      <c r="AP255" s="570"/>
      <c r="AQ255" s="570"/>
      <c r="AR255" s="570"/>
      <c r="AS255" s="570"/>
      <c r="AT255" s="570"/>
      <c r="AU255" s="570"/>
      <c r="AV255" s="588"/>
    </row>
    <row r="256" ht="23.25" customHeight="true" x14ac:dyDescent="0.3">
      <c r="A256" s="704"/>
      <c r="B256" s="570"/>
      <c r="C256" s="570"/>
      <c r="D256" s="708"/>
      <c r="E256" s="1897" t="s">
        <v>1539</v>
      </c>
      <c r="F256" s="1898"/>
      <c r="G256" s="1898"/>
      <c r="H256" s="1235">
        <f>H253/H254*H255</f>
        <v>0</v>
      </c>
      <c r="I256" s="1262">
        <f t="shared" si="20"/>
        <v>3</v>
      </c>
      <c r="J256" s="202" t="str">
        <f t="shared" si="21"/>
        <v>Calcium Oxide</v>
      </c>
      <c r="K256" s="262" t="str">
        <f t="shared" si="19"/>
        <v/>
      </c>
      <c r="L256" s="362"/>
      <c r="M256" s="335"/>
      <c r="N256" s="570"/>
      <c r="O256" s="570"/>
      <c r="P256" s="298"/>
      <c r="Q256" s="297"/>
      <c r="R256" s="611"/>
      <c r="S256" s="611"/>
      <c r="T256" s="709"/>
      <c r="U256" s="570"/>
      <c r="V256" s="570"/>
      <c r="W256" s="570"/>
      <c r="X256" s="570"/>
      <c r="Y256" s="570"/>
      <c r="Z256" s="570"/>
      <c r="AA256" s="570"/>
      <c r="AB256" s="570"/>
      <c r="AC256" s="570"/>
      <c r="AD256" s="570"/>
      <c r="AE256" s="570"/>
      <c r="AF256" s="570"/>
      <c r="AG256" s="570"/>
      <c r="AH256" s="570"/>
      <c r="AI256" s="570"/>
      <c r="AJ256" s="570"/>
      <c r="AK256" s="570"/>
      <c r="AL256" s="570"/>
      <c r="AM256" s="570"/>
      <c r="AN256" s="570"/>
      <c r="AO256" s="570"/>
      <c r="AP256" s="570"/>
      <c r="AQ256" s="570"/>
      <c r="AR256" s="570"/>
      <c r="AS256" s="570"/>
      <c r="AT256" s="570"/>
      <c r="AU256" s="570"/>
      <c r="AV256" s="588"/>
    </row>
    <row r="257" ht="21.75" customHeight="true" thickBot="true" x14ac:dyDescent="0.45">
      <c r="A257" s="704"/>
      <c r="B257" s="570"/>
      <c r="C257" s="570"/>
      <c r="D257" s="708"/>
      <c r="E257" s="1924" t="s">
        <v>1540</v>
      </c>
      <c r="F257" s="1925"/>
      <c r="G257" s="1925"/>
      <c r="H257" s="1237">
        <f>SUM(K254:K303)</f>
        <v>67.728867885492946</v>
      </c>
      <c r="I257" s="1262">
        <f t="shared" si="20"/>
        <v>4</v>
      </c>
      <c r="J257" s="202" t="str">
        <f t="shared" si="21"/>
        <v>Calcium Carbonate</v>
      </c>
      <c r="K257" s="262">
        <f t="shared" si="19"/>
        <v>67.728867885492946</v>
      </c>
      <c r="L257" s="362"/>
      <c r="M257" s="335"/>
      <c r="N257" s="570"/>
      <c r="O257" s="570"/>
      <c r="P257" s="298"/>
      <c r="Q257" s="297"/>
      <c r="R257" s="611"/>
      <c r="S257" s="611"/>
      <c r="T257" s="709"/>
      <c r="U257" s="570"/>
      <c r="V257" s="570"/>
      <c r="W257" s="570"/>
      <c r="X257" s="570"/>
      <c r="Y257" s="570"/>
      <c r="Z257" s="570"/>
      <c r="AA257" s="570"/>
      <c r="AB257" s="570"/>
      <c r="AC257" s="570"/>
      <c r="AD257" s="570"/>
      <c r="AE257" s="570"/>
      <c r="AF257" s="570"/>
      <c r="AG257" s="570"/>
      <c r="AH257" s="570"/>
      <c r="AI257" s="570"/>
      <c r="AJ257" s="570"/>
      <c r="AK257" s="570"/>
      <c r="AL257" s="570"/>
      <c r="AM257" s="570"/>
      <c r="AN257" s="570"/>
      <c r="AO257" s="570"/>
      <c r="AP257" s="570"/>
      <c r="AQ257" s="570"/>
      <c r="AR257" s="570"/>
      <c r="AS257" s="570"/>
      <c r="AT257" s="570"/>
      <c r="AU257" s="570"/>
      <c r="AV257" s="588"/>
    </row>
    <row r="258" x14ac:dyDescent="0.3">
      <c r="A258" s="704"/>
      <c r="B258" s="570"/>
      <c r="C258" s="570"/>
      <c r="D258" s="708"/>
      <c r="E258" s="829"/>
      <c r="F258" s="709"/>
      <c r="G258" s="570"/>
      <c r="H258" s="292"/>
      <c r="I258" s="1262">
        <f t="shared" si="20"/>
        <v>5</v>
      </c>
      <c r="J258" s="202" t="str">
        <f t="shared" si="21"/>
        <v/>
      </c>
      <c r="K258" s="262" t="str">
        <f t="shared" si="19"/>
        <v/>
      </c>
      <c r="L258" s="362"/>
      <c r="M258" s="335"/>
      <c r="N258" s="570"/>
      <c r="O258" s="570"/>
      <c r="P258" s="298"/>
      <c r="Q258" s="297"/>
      <c r="R258" s="611"/>
      <c r="S258" s="611"/>
      <c r="T258" s="709"/>
      <c r="U258" s="570"/>
      <c r="V258" s="570"/>
      <c r="W258" s="570"/>
      <c r="X258" s="570"/>
      <c r="Y258" s="570"/>
      <c r="Z258" s="570"/>
      <c r="AA258" s="570"/>
      <c r="AB258" s="570"/>
      <c r="AC258" s="570"/>
      <c r="AD258" s="570"/>
      <c r="AE258" s="570"/>
      <c r="AF258" s="570"/>
      <c r="AG258" s="570"/>
      <c r="AH258" s="570"/>
      <c r="AI258" s="570"/>
      <c r="AJ258" s="570"/>
      <c r="AK258" s="570"/>
      <c r="AL258" s="570"/>
      <c r="AM258" s="570"/>
      <c r="AN258" s="570"/>
      <c r="AO258" s="570"/>
      <c r="AP258" s="570"/>
      <c r="AQ258" s="570"/>
      <c r="AR258" s="570"/>
      <c r="AS258" s="570"/>
      <c r="AT258" s="570"/>
      <c r="AU258" s="570"/>
      <c r="AV258" s="588"/>
    </row>
    <row r="259" x14ac:dyDescent="0.3">
      <c r="A259" s="704"/>
      <c r="B259" s="570"/>
      <c r="C259" s="570"/>
      <c r="D259" s="708"/>
      <c r="E259" s="829"/>
      <c r="F259" s="709"/>
      <c r="G259" s="570"/>
      <c r="H259" s="292"/>
      <c r="I259" s="1262">
        <f t="shared" si="20"/>
        <v>6</v>
      </c>
      <c r="J259" s="202" t="str">
        <f t="shared" si="21"/>
        <v/>
      </c>
      <c r="K259" s="262" t="str">
        <f t="shared" si="19"/>
        <v/>
      </c>
      <c r="L259" s="362"/>
      <c r="M259" s="335"/>
      <c r="N259" s="570"/>
      <c r="O259" s="570"/>
      <c r="P259" s="298"/>
      <c r="Q259" s="297"/>
      <c r="R259" s="611"/>
      <c r="S259" s="611"/>
      <c r="T259" s="709"/>
      <c r="U259" s="570"/>
      <c r="V259" s="570"/>
      <c r="W259" s="570"/>
      <c r="X259" s="570"/>
      <c r="Y259" s="570"/>
      <c r="Z259" s="570"/>
      <c r="AA259" s="570"/>
      <c r="AB259" s="570"/>
      <c r="AC259" s="570"/>
      <c r="AD259" s="570"/>
      <c r="AE259" s="570"/>
      <c r="AF259" s="570"/>
      <c r="AG259" s="570"/>
      <c r="AH259" s="570"/>
      <c r="AI259" s="570"/>
      <c r="AJ259" s="570"/>
      <c r="AK259" s="570"/>
      <c r="AL259" s="570"/>
      <c r="AM259" s="570"/>
      <c r="AN259" s="570"/>
      <c r="AO259" s="570"/>
      <c r="AP259" s="570"/>
      <c r="AQ259" s="570"/>
      <c r="AR259" s="570"/>
      <c r="AS259" s="570"/>
      <c r="AT259" s="570"/>
      <c r="AU259" s="570"/>
      <c r="AV259" s="588"/>
    </row>
    <row r="260" x14ac:dyDescent="0.3">
      <c r="A260" s="704"/>
      <c r="B260" s="570"/>
      <c r="C260" s="570"/>
      <c r="D260" s="708"/>
      <c r="E260" s="829"/>
      <c r="F260" s="709"/>
      <c r="G260" s="570"/>
      <c r="H260" s="292"/>
      <c r="I260" s="1262">
        <f t="shared" si="20"/>
        <v>7</v>
      </c>
      <c r="J260" s="202" t="str">
        <f t="shared" si="21"/>
        <v/>
      </c>
      <c r="K260" s="262" t="str">
        <f t="shared" si="19"/>
        <v/>
      </c>
      <c r="L260" s="362"/>
      <c r="M260" s="335"/>
      <c r="N260" s="570"/>
      <c r="O260" s="570"/>
      <c r="P260" s="298"/>
      <c r="Q260" s="297"/>
      <c r="R260" s="611"/>
      <c r="S260" s="611"/>
      <c r="T260" s="709"/>
      <c r="U260" s="570"/>
      <c r="V260" s="570"/>
      <c r="W260" s="570"/>
      <c r="X260" s="570"/>
      <c r="Y260" s="570"/>
      <c r="Z260" s="570"/>
      <c r="AA260" s="570"/>
      <c r="AB260" s="570"/>
      <c r="AC260" s="570"/>
      <c r="AD260" s="570"/>
      <c r="AE260" s="570"/>
      <c r="AF260" s="570"/>
      <c r="AG260" s="570"/>
      <c r="AH260" s="570"/>
      <c r="AI260" s="570"/>
      <c r="AJ260" s="570"/>
      <c r="AK260" s="570"/>
      <c r="AL260" s="570"/>
      <c r="AM260" s="570"/>
      <c r="AN260" s="570"/>
      <c r="AO260" s="570"/>
      <c r="AP260" s="570"/>
      <c r="AQ260" s="570"/>
      <c r="AR260" s="570"/>
      <c r="AS260" s="570"/>
      <c r="AT260" s="570"/>
      <c r="AU260" s="570"/>
      <c r="AV260" s="588"/>
    </row>
    <row r="261" x14ac:dyDescent="0.3">
      <c r="A261" s="704"/>
      <c r="B261" s="570"/>
      <c r="C261" s="570"/>
      <c r="D261" s="708"/>
      <c r="E261" s="829"/>
      <c r="F261" s="709"/>
      <c r="G261" s="570"/>
      <c r="H261" s="292"/>
      <c r="I261" s="1262">
        <f t="shared" si="20"/>
        <v>8</v>
      </c>
      <c r="J261" s="202" t="str">
        <f t="shared" si="21"/>
        <v/>
      </c>
      <c r="K261" s="262" t="str">
        <f t="shared" si="19"/>
        <v/>
      </c>
      <c r="L261" s="362"/>
      <c r="M261" s="335"/>
      <c r="N261" s="570"/>
      <c r="O261" s="570"/>
      <c r="P261" s="298"/>
      <c r="Q261" s="297"/>
      <c r="R261" s="611"/>
      <c r="S261" s="611"/>
      <c r="T261" s="709"/>
      <c r="U261" s="570"/>
      <c r="V261" s="570"/>
      <c r="W261" s="570"/>
      <c r="X261" s="570"/>
      <c r="Y261" s="570"/>
      <c r="Z261" s="570"/>
      <c r="AA261" s="570"/>
      <c r="AB261" s="570"/>
      <c r="AC261" s="570"/>
      <c r="AD261" s="570"/>
      <c r="AE261" s="570"/>
      <c r="AF261" s="570"/>
      <c r="AG261" s="570"/>
      <c r="AH261" s="570"/>
      <c r="AI261" s="570"/>
      <c r="AJ261" s="570"/>
      <c r="AK261" s="570"/>
      <c r="AL261" s="570"/>
      <c r="AM261" s="570"/>
      <c r="AN261" s="570"/>
      <c r="AO261" s="570"/>
      <c r="AP261" s="570"/>
      <c r="AQ261" s="570"/>
      <c r="AR261" s="570"/>
      <c r="AS261" s="570"/>
      <c r="AT261" s="570"/>
      <c r="AU261" s="570"/>
      <c r="AV261" s="588"/>
    </row>
    <row r="262" x14ac:dyDescent="0.3">
      <c r="A262" s="704"/>
      <c r="B262" s="570"/>
      <c r="C262" s="570"/>
      <c r="D262" s="708"/>
      <c r="E262" s="829"/>
      <c r="F262" s="709"/>
      <c r="G262" s="570"/>
      <c r="H262" s="292"/>
      <c r="I262" s="1262">
        <f t="shared" si="20"/>
        <v>9</v>
      </c>
      <c r="J262" s="202" t="str">
        <f t="shared" si="21"/>
        <v/>
      </c>
      <c r="K262" s="262" t="str">
        <f t="shared" si="19"/>
        <v/>
      </c>
      <c r="L262" s="362"/>
      <c r="M262" s="335"/>
      <c r="N262" s="570"/>
      <c r="O262" s="570"/>
      <c r="P262" s="298"/>
      <c r="Q262" s="297"/>
      <c r="R262" s="611"/>
      <c r="S262" s="611"/>
      <c r="T262" s="709"/>
      <c r="U262" s="570"/>
      <c r="V262" s="570"/>
      <c r="W262" s="570"/>
      <c r="X262" s="570"/>
      <c r="Y262" s="570"/>
      <c r="Z262" s="570"/>
      <c r="AA262" s="570"/>
      <c r="AB262" s="570"/>
      <c r="AC262" s="570"/>
      <c r="AD262" s="570"/>
      <c r="AE262" s="570"/>
      <c r="AF262" s="570"/>
      <c r="AG262" s="570"/>
      <c r="AH262" s="570"/>
      <c r="AI262" s="570"/>
      <c r="AJ262" s="570"/>
      <c r="AK262" s="570"/>
      <c r="AL262" s="570"/>
      <c r="AM262" s="570"/>
      <c r="AN262" s="570"/>
      <c r="AO262" s="570"/>
      <c r="AP262" s="570"/>
      <c r="AQ262" s="570"/>
      <c r="AR262" s="570"/>
      <c r="AS262" s="570"/>
      <c r="AT262" s="570"/>
      <c r="AU262" s="570"/>
      <c r="AV262" s="588"/>
    </row>
    <row r="263" x14ac:dyDescent="0.3">
      <c r="A263" s="704"/>
      <c r="B263" s="570"/>
      <c r="C263" s="570"/>
      <c r="D263" s="708"/>
      <c r="E263" s="829"/>
      <c r="F263" s="709"/>
      <c r="G263" s="570"/>
      <c r="H263" s="292"/>
      <c r="I263" s="1262">
        <f t="shared" si="20"/>
        <v>10</v>
      </c>
      <c r="J263" s="202" t="str">
        <f t="shared" si="21"/>
        <v/>
      </c>
      <c r="K263" s="262" t="str">
        <f t="shared" si="19"/>
        <v/>
      </c>
      <c r="L263" s="362"/>
      <c r="M263" s="335"/>
      <c r="N263" s="570"/>
      <c r="O263" s="570"/>
      <c r="P263" s="298"/>
      <c r="Q263" s="297"/>
      <c r="R263" s="611"/>
      <c r="S263" s="611"/>
      <c r="T263" s="709"/>
      <c r="U263" s="570"/>
      <c r="V263" s="570"/>
      <c r="W263" s="570"/>
      <c r="X263" s="570"/>
      <c r="Y263" s="570"/>
      <c r="Z263" s="570"/>
      <c r="AA263" s="570"/>
      <c r="AB263" s="570"/>
      <c r="AC263" s="570"/>
      <c r="AD263" s="570"/>
      <c r="AE263" s="570"/>
      <c r="AF263" s="570"/>
      <c r="AG263" s="570"/>
      <c r="AH263" s="570"/>
      <c r="AI263" s="570"/>
      <c r="AJ263" s="570"/>
      <c r="AK263" s="570"/>
      <c r="AL263" s="570"/>
      <c r="AM263" s="570"/>
      <c r="AN263" s="570"/>
      <c r="AO263" s="570"/>
      <c r="AP263" s="570"/>
      <c r="AQ263" s="570"/>
      <c r="AR263" s="570"/>
      <c r="AS263" s="570"/>
      <c r="AT263" s="570"/>
      <c r="AU263" s="570"/>
      <c r="AV263" s="588"/>
    </row>
    <row r="264" x14ac:dyDescent="0.3">
      <c r="A264" s="704"/>
      <c r="B264" s="570"/>
      <c r="C264" s="570"/>
      <c r="D264" s="708"/>
      <c r="E264" s="829"/>
      <c r="F264" s="709"/>
      <c r="G264" s="570"/>
      <c r="H264" s="292"/>
      <c r="I264" s="1262">
        <f t="shared" si="20"/>
        <v>11</v>
      </c>
      <c r="J264" s="202" t="str">
        <f t="shared" si="21"/>
        <v/>
      </c>
      <c r="K264" s="262" t="str">
        <f t="shared" si="19"/>
        <v/>
      </c>
      <c r="L264" s="362"/>
      <c r="M264" s="335"/>
      <c r="N264" s="570"/>
      <c r="O264" s="570"/>
      <c r="P264" s="298"/>
      <c r="Q264" s="297"/>
      <c r="R264" s="611"/>
      <c r="S264" s="611"/>
      <c r="T264" s="709"/>
      <c r="U264" s="570"/>
      <c r="V264" s="570"/>
      <c r="W264" s="570"/>
      <c r="X264" s="570"/>
      <c r="Y264" s="570"/>
      <c r="Z264" s="570"/>
      <c r="AA264" s="570"/>
      <c r="AB264" s="570"/>
      <c r="AC264" s="570"/>
      <c r="AD264" s="570"/>
      <c r="AE264" s="570"/>
      <c r="AF264" s="570"/>
      <c r="AG264" s="570"/>
      <c r="AH264" s="570"/>
      <c r="AI264" s="570"/>
      <c r="AJ264" s="570"/>
      <c r="AK264" s="570"/>
      <c r="AL264" s="570"/>
      <c r="AM264" s="570"/>
      <c r="AN264" s="570"/>
      <c r="AO264" s="570"/>
      <c r="AP264" s="570"/>
      <c r="AQ264" s="570"/>
      <c r="AR264" s="570"/>
      <c r="AS264" s="570"/>
      <c r="AT264" s="570"/>
      <c r="AU264" s="570"/>
      <c r="AV264" s="588"/>
    </row>
    <row r="265" x14ac:dyDescent="0.3">
      <c r="A265" s="704"/>
      <c r="B265" s="570"/>
      <c r="C265" s="570"/>
      <c r="D265" s="708"/>
      <c r="E265" s="829"/>
      <c r="F265" s="709"/>
      <c r="G265" s="570"/>
      <c r="H265" s="292"/>
      <c r="I265" s="1262">
        <f t="shared" si="20"/>
        <v>12</v>
      </c>
      <c r="J265" s="202" t="str">
        <f t="shared" si="21"/>
        <v/>
      </c>
      <c r="K265" s="262" t="str">
        <f t="shared" si="19"/>
        <v/>
      </c>
      <c r="L265" s="362"/>
      <c r="M265" s="335"/>
      <c r="N265" s="570"/>
      <c r="O265" s="570"/>
      <c r="P265" s="298"/>
      <c r="Q265" s="297"/>
      <c r="R265" s="611"/>
      <c r="S265" s="611"/>
      <c r="T265" s="709"/>
      <c r="U265" s="570"/>
      <c r="V265" s="570"/>
      <c r="W265" s="570"/>
      <c r="X265" s="570"/>
      <c r="Y265" s="570"/>
      <c r="Z265" s="570"/>
      <c r="AA265" s="570"/>
      <c r="AB265" s="570"/>
      <c r="AC265" s="570"/>
      <c r="AD265" s="570"/>
      <c r="AE265" s="570"/>
      <c r="AF265" s="570"/>
      <c r="AG265" s="570"/>
      <c r="AH265" s="570"/>
      <c r="AI265" s="570"/>
      <c r="AJ265" s="570"/>
      <c r="AK265" s="570"/>
      <c r="AL265" s="570"/>
      <c r="AM265" s="570"/>
      <c r="AN265" s="570"/>
      <c r="AO265" s="570"/>
      <c r="AP265" s="570"/>
      <c r="AQ265" s="570"/>
      <c r="AR265" s="570"/>
      <c r="AS265" s="570"/>
      <c r="AT265" s="570"/>
      <c r="AU265" s="570"/>
      <c r="AV265" s="588"/>
    </row>
    <row r="266" x14ac:dyDescent="0.3">
      <c r="A266" s="704"/>
      <c r="B266" s="570"/>
      <c r="C266" s="570"/>
      <c r="D266" s="708"/>
      <c r="E266" s="829"/>
      <c r="F266" s="709"/>
      <c r="G266" s="570"/>
      <c r="H266" s="292"/>
      <c r="I266" s="1262">
        <f t="shared" si="20"/>
        <v>13</v>
      </c>
      <c r="J266" s="202" t="str">
        <f t="shared" si="21"/>
        <v/>
      </c>
      <c r="K266" s="262" t="str">
        <f t="shared" si="19"/>
        <v/>
      </c>
      <c r="L266" s="362"/>
      <c r="M266" s="335"/>
      <c r="N266" s="570"/>
      <c r="O266" s="570"/>
      <c r="P266" s="298"/>
      <c r="Q266" s="297"/>
      <c r="R266" s="611"/>
      <c r="S266" s="611"/>
      <c r="T266" s="709"/>
      <c r="U266" s="570"/>
      <c r="V266" s="570"/>
      <c r="W266" s="570"/>
      <c r="X266" s="570"/>
      <c r="Y266" s="570"/>
      <c r="Z266" s="570"/>
      <c r="AA266" s="570"/>
      <c r="AB266" s="570"/>
      <c r="AC266" s="570"/>
      <c r="AD266" s="570"/>
      <c r="AE266" s="570"/>
      <c r="AF266" s="570"/>
      <c r="AG266" s="570"/>
      <c r="AH266" s="570"/>
      <c r="AI266" s="570"/>
      <c r="AJ266" s="570"/>
      <c r="AK266" s="570"/>
      <c r="AL266" s="570"/>
      <c r="AM266" s="570"/>
      <c r="AN266" s="570"/>
      <c r="AO266" s="570"/>
      <c r="AP266" s="570"/>
      <c r="AQ266" s="570"/>
      <c r="AR266" s="570"/>
      <c r="AS266" s="570"/>
      <c r="AT266" s="570"/>
      <c r="AU266" s="570"/>
      <c r="AV266" s="588"/>
    </row>
    <row r="267" x14ac:dyDescent="0.3">
      <c r="A267" s="704"/>
      <c r="B267" s="570"/>
      <c r="C267" s="570"/>
      <c r="D267" s="708"/>
      <c r="E267" s="829"/>
      <c r="F267" s="709"/>
      <c r="G267" s="570"/>
      <c r="H267" s="292"/>
      <c r="I267" s="1262">
        <f>I99</f>
        <v>14</v>
      </c>
      <c r="J267" s="202" t="str">
        <f t="shared" si="21"/>
        <v/>
      </c>
      <c r="K267" s="262" t="str">
        <f t="shared" si="19"/>
        <v/>
      </c>
      <c r="L267" s="362"/>
      <c r="M267" s="335"/>
      <c r="N267" s="570"/>
      <c r="O267" s="570"/>
      <c r="P267" s="298"/>
      <c r="Q267" s="297"/>
      <c r="R267" s="611"/>
      <c r="S267" s="611"/>
      <c r="T267" s="709"/>
      <c r="U267" s="570"/>
      <c r="V267" s="570"/>
      <c r="W267" s="570"/>
      <c r="X267" s="570"/>
      <c r="Y267" s="570"/>
      <c r="Z267" s="570"/>
      <c r="AA267" s="570"/>
      <c r="AB267" s="570"/>
      <c r="AC267" s="570"/>
      <c r="AD267" s="570"/>
      <c r="AE267" s="570"/>
      <c r="AF267" s="570"/>
      <c r="AG267" s="570"/>
      <c r="AH267" s="570"/>
      <c r="AI267" s="570"/>
      <c r="AJ267" s="570"/>
      <c r="AK267" s="570"/>
      <c r="AL267" s="570"/>
      <c r="AM267" s="570"/>
      <c r="AN267" s="570"/>
      <c r="AO267" s="570"/>
      <c r="AP267" s="570"/>
      <c r="AQ267" s="570"/>
      <c r="AR267" s="570"/>
      <c r="AS267" s="570"/>
      <c r="AT267" s="570"/>
      <c r="AU267" s="570"/>
      <c r="AV267" s="588"/>
    </row>
    <row r="268" x14ac:dyDescent="0.3">
      <c r="A268" s="704"/>
      <c r="B268" s="570"/>
      <c r="C268" s="570"/>
      <c r="D268" s="708"/>
      <c r="E268" s="829"/>
      <c r="F268" s="709"/>
      <c r="G268" s="570"/>
      <c r="H268" s="292"/>
      <c r="I268" s="1262">
        <f t="shared" si="20"/>
        <v>15</v>
      </c>
      <c r="J268" s="202" t="str">
        <f t="shared" si="21"/>
        <v/>
      </c>
      <c r="K268" s="262" t="str">
        <f t="shared" si="19"/>
        <v/>
      </c>
      <c r="L268" s="362"/>
      <c r="M268" s="335"/>
      <c r="N268" s="570"/>
      <c r="O268" s="570"/>
      <c r="P268" s="298"/>
      <c r="Q268" s="297"/>
      <c r="R268" s="611"/>
      <c r="S268" s="611"/>
      <c r="T268" s="709"/>
      <c r="U268" s="570"/>
      <c r="V268" s="570"/>
      <c r="W268" s="570"/>
      <c r="X268" s="570"/>
      <c r="Y268" s="570"/>
      <c r="Z268" s="570"/>
      <c r="AA268" s="570"/>
      <c r="AB268" s="570"/>
      <c r="AC268" s="570"/>
      <c r="AD268" s="570"/>
      <c r="AE268" s="570"/>
      <c r="AF268" s="570"/>
      <c r="AG268" s="570"/>
      <c r="AH268" s="570"/>
      <c r="AI268" s="570"/>
      <c r="AJ268" s="570"/>
      <c r="AK268" s="570"/>
      <c r="AL268" s="570"/>
      <c r="AM268" s="570"/>
      <c r="AN268" s="570"/>
      <c r="AO268" s="570"/>
      <c r="AP268" s="570"/>
      <c r="AQ268" s="570"/>
      <c r="AR268" s="570"/>
      <c r="AS268" s="570"/>
      <c r="AT268" s="570"/>
      <c r="AU268" s="570"/>
      <c r="AV268" s="588"/>
    </row>
    <row r="269" x14ac:dyDescent="0.3">
      <c r="A269" s="704"/>
      <c r="B269" s="570"/>
      <c r="C269" s="570"/>
      <c r="D269" s="708"/>
      <c r="E269" s="829"/>
      <c r="F269" s="709"/>
      <c r="G269" s="570"/>
      <c r="H269" s="292"/>
      <c r="I269" s="1262">
        <f t="shared" si="20"/>
        <v>16</v>
      </c>
      <c r="J269" s="202" t="str">
        <f t="shared" si="21"/>
        <v/>
      </c>
      <c r="K269" s="262" t="str">
        <f t="shared" si="19"/>
        <v/>
      </c>
      <c r="L269" s="362"/>
      <c r="M269" s="335"/>
      <c r="N269" s="570"/>
      <c r="O269" s="570"/>
      <c r="P269" s="298"/>
      <c r="Q269" s="297"/>
      <c r="R269" s="611"/>
      <c r="S269" s="611"/>
      <c r="T269" s="709"/>
      <c r="U269" s="570"/>
      <c r="V269" s="570"/>
      <c r="W269" s="570"/>
      <c r="X269" s="570"/>
      <c r="Y269" s="570"/>
      <c r="Z269" s="570"/>
      <c r="AA269" s="570"/>
      <c r="AB269" s="570"/>
      <c r="AC269" s="570"/>
      <c r="AD269" s="570"/>
      <c r="AE269" s="570"/>
      <c r="AF269" s="570"/>
      <c r="AG269" s="570"/>
      <c r="AH269" s="570"/>
      <c r="AI269" s="570"/>
      <c r="AJ269" s="570"/>
      <c r="AK269" s="570"/>
      <c r="AL269" s="570"/>
      <c r="AM269" s="570"/>
      <c r="AN269" s="570"/>
      <c r="AO269" s="570"/>
      <c r="AP269" s="570"/>
      <c r="AQ269" s="570"/>
      <c r="AR269" s="570"/>
      <c r="AS269" s="570"/>
      <c r="AT269" s="570"/>
      <c r="AU269" s="570"/>
      <c r="AV269" s="588"/>
    </row>
    <row r="270" x14ac:dyDescent="0.3">
      <c r="A270" s="704"/>
      <c r="B270" s="570"/>
      <c r="C270" s="570"/>
      <c r="D270" s="708"/>
      <c r="E270" s="829"/>
      <c r="F270" s="709"/>
      <c r="G270" s="570"/>
      <c r="H270" s="292"/>
      <c r="I270" s="1262">
        <f t="shared" si="20"/>
        <v>17</v>
      </c>
      <c r="J270" s="202" t="str">
        <f t="shared" si="21"/>
        <v/>
      </c>
      <c r="K270" s="262" t="str">
        <f t="shared" si="19"/>
        <v/>
      </c>
      <c r="L270" s="362"/>
      <c r="M270" s="335"/>
      <c r="N270" s="570"/>
      <c r="O270" s="570"/>
      <c r="P270" s="298"/>
      <c r="Q270" s="297"/>
      <c r="R270" s="611"/>
      <c r="S270" s="611"/>
      <c r="T270" s="709"/>
      <c r="U270" s="570"/>
      <c r="V270" s="570"/>
      <c r="W270" s="570"/>
      <c r="X270" s="570"/>
      <c r="Y270" s="570"/>
      <c r="Z270" s="570"/>
      <c r="AA270" s="570"/>
      <c r="AB270" s="570"/>
      <c r="AC270" s="570"/>
      <c r="AD270" s="570"/>
      <c r="AE270" s="570"/>
      <c r="AF270" s="570"/>
      <c r="AG270" s="570"/>
      <c r="AH270" s="570"/>
      <c r="AI270" s="570"/>
      <c r="AJ270" s="570"/>
      <c r="AK270" s="570"/>
      <c r="AL270" s="570"/>
      <c r="AM270" s="570"/>
      <c r="AN270" s="570"/>
      <c r="AO270" s="570"/>
      <c r="AP270" s="570"/>
      <c r="AQ270" s="570"/>
      <c r="AR270" s="570"/>
      <c r="AS270" s="570"/>
      <c r="AT270" s="570"/>
      <c r="AU270" s="570"/>
      <c r="AV270" s="588"/>
    </row>
    <row r="271" x14ac:dyDescent="0.3">
      <c r="A271" s="704"/>
      <c r="B271" s="570"/>
      <c r="C271" s="570"/>
      <c r="D271" s="708"/>
      <c r="E271" s="829"/>
      <c r="F271" s="709"/>
      <c r="G271" s="570"/>
      <c r="H271" s="292"/>
      <c r="I271" s="1262">
        <f t="shared" si="20"/>
        <v>18</v>
      </c>
      <c r="J271" s="202" t="str">
        <f t="shared" si="21"/>
        <v/>
      </c>
      <c r="K271" s="262" t="str">
        <f t="shared" si="19"/>
        <v/>
      </c>
      <c r="L271" s="362"/>
      <c r="M271" s="335"/>
      <c r="N271" s="570"/>
      <c r="O271" s="570"/>
      <c r="P271" s="298"/>
      <c r="Q271" s="297"/>
      <c r="R271" s="611"/>
      <c r="S271" s="611"/>
      <c r="T271" s="709"/>
      <c r="U271" s="570"/>
      <c r="V271" s="570"/>
      <c r="W271" s="570"/>
      <c r="X271" s="570"/>
      <c r="Y271" s="570"/>
      <c r="Z271" s="570"/>
      <c r="AA271" s="570"/>
      <c r="AB271" s="570"/>
      <c r="AC271" s="570"/>
      <c r="AD271" s="570"/>
      <c r="AE271" s="570"/>
      <c r="AF271" s="570"/>
      <c r="AG271" s="570"/>
      <c r="AH271" s="570"/>
      <c r="AI271" s="570"/>
      <c r="AJ271" s="570"/>
      <c r="AK271" s="570"/>
      <c r="AL271" s="570"/>
      <c r="AM271" s="570"/>
      <c r="AN271" s="570"/>
      <c r="AO271" s="570"/>
      <c r="AP271" s="570"/>
      <c r="AQ271" s="570"/>
      <c r="AR271" s="570"/>
      <c r="AS271" s="570"/>
      <c r="AT271" s="570"/>
      <c r="AU271" s="570"/>
      <c r="AV271" s="588"/>
    </row>
    <row r="272" x14ac:dyDescent="0.3">
      <c r="A272" s="704"/>
      <c r="B272" s="570"/>
      <c r="C272" s="570"/>
      <c r="D272" s="708"/>
      <c r="E272" s="829"/>
      <c r="F272" s="709"/>
      <c r="G272" s="570"/>
      <c r="H272" s="292"/>
      <c r="I272" s="1262">
        <f t="shared" si="20"/>
        <v>19</v>
      </c>
      <c r="J272" s="202" t="str">
        <f t="shared" si="21"/>
        <v/>
      </c>
      <c r="K272" s="262" t="str">
        <f t="shared" si="19"/>
        <v/>
      </c>
      <c r="L272" s="362"/>
      <c r="M272" s="335"/>
      <c r="N272" s="570"/>
      <c r="O272" s="570"/>
      <c r="P272" s="298"/>
      <c r="Q272" s="297"/>
      <c r="R272" s="611"/>
      <c r="S272" s="611"/>
      <c r="T272" s="709"/>
      <c r="U272" s="570"/>
      <c r="V272" s="570"/>
      <c r="W272" s="570"/>
      <c r="X272" s="570"/>
      <c r="Y272" s="570"/>
      <c r="Z272" s="570"/>
      <c r="AA272" s="570"/>
      <c r="AB272" s="570"/>
      <c r="AC272" s="570"/>
      <c r="AD272" s="570"/>
      <c r="AE272" s="570"/>
      <c r="AF272" s="570"/>
      <c r="AG272" s="570"/>
      <c r="AH272" s="570"/>
      <c r="AI272" s="570"/>
      <c r="AJ272" s="570"/>
      <c r="AK272" s="570"/>
      <c r="AL272" s="570"/>
      <c r="AM272" s="570"/>
      <c r="AN272" s="570"/>
      <c r="AO272" s="570"/>
      <c r="AP272" s="570"/>
      <c r="AQ272" s="570"/>
      <c r="AR272" s="570"/>
      <c r="AS272" s="570"/>
      <c r="AT272" s="570"/>
      <c r="AU272" s="570"/>
      <c r="AV272" s="588"/>
    </row>
    <row r="273" x14ac:dyDescent="0.3">
      <c r="A273" s="704"/>
      <c r="B273" s="570"/>
      <c r="C273" s="570"/>
      <c r="D273" s="708"/>
      <c r="E273" s="829"/>
      <c r="F273" s="709"/>
      <c r="G273" s="570"/>
      <c r="H273" s="292"/>
      <c r="I273" s="1262">
        <f t="shared" si="20"/>
        <v>20</v>
      </c>
      <c r="J273" s="202" t="str">
        <f t="shared" si="21"/>
        <v/>
      </c>
      <c r="K273" s="262" t="str">
        <f t="shared" ref="K273:K303" si="22">IF(L105&lt;0,L217/K105*P217,"")</f>
        <v/>
      </c>
      <c r="L273" s="362"/>
      <c r="M273" s="335"/>
      <c r="N273" s="570"/>
      <c r="O273" s="570"/>
      <c r="P273" s="298"/>
      <c r="Q273" s="297"/>
      <c r="R273" s="611"/>
      <c r="S273" s="611"/>
      <c r="T273" s="709"/>
      <c r="U273" s="570"/>
      <c r="V273" s="570"/>
      <c r="W273" s="570"/>
      <c r="X273" s="570"/>
      <c r="Y273" s="570"/>
      <c r="Z273" s="570"/>
      <c r="AA273" s="570"/>
      <c r="AB273" s="570"/>
      <c r="AC273" s="570"/>
      <c r="AD273" s="570"/>
      <c r="AE273" s="570"/>
      <c r="AF273" s="570"/>
      <c r="AG273" s="570"/>
      <c r="AH273" s="570"/>
      <c r="AI273" s="570"/>
      <c r="AJ273" s="570"/>
      <c r="AK273" s="570"/>
      <c r="AL273" s="570"/>
      <c r="AM273" s="570"/>
      <c r="AN273" s="570"/>
      <c r="AO273" s="570"/>
      <c r="AP273" s="570"/>
      <c r="AQ273" s="570"/>
      <c r="AR273" s="570"/>
      <c r="AS273" s="570"/>
      <c r="AT273" s="570"/>
      <c r="AU273" s="570"/>
      <c r="AV273" s="588"/>
    </row>
    <row r="274" x14ac:dyDescent="0.3">
      <c r="A274" s="704"/>
      <c r="B274" s="570"/>
      <c r="C274" s="570"/>
      <c r="D274" s="708"/>
      <c r="E274" s="829"/>
      <c r="F274" s="709"/>
      <c r="G274" s="570"/>
      <c r="H274" s="292"/>
      <c r="I274" s="1262">
        <f t="shared" si="20"/>
        <v>21</v>
      </c>
      <c r="J274" s="202" t="str">
        <f t="shared" si="21"/>
        <v/>
      </c>
      <c r="K274" s="262" t="str">
        <f t="shared" si="22"/>
        <v/>
      </c>
      <c r="L274" s="362"/>
      <c r="M274" s="335"/>
      <c r="N274" s="570"/>
      <c r="O274" s="570"/>
      <c r="P274" s="298"/>
      <c r="Q274" s="297"/>
      <c r="R274" s="611"/>
      <c r="S274" s="611"/>
      <c r="T274" s="709"/>
      <c r="U274" s="570"/>
      <c r="V274" s="570"/>
      <c r="W274" s="570"/>
      <c r="X274" s="570"/>
      <c r="Y274" s="570"/>
      <c r="Z274" s="570"/>
      <c r="AA274" s="570"/>
      <c r="AB274" s="570"/>
      <c r="AC274" s="570"/>
      <c r="AD274" s="570"/>
      <c r="AE274" s="570"/>
      <c r="AF274" s="570"/>
      <c r="AG274" s="570"/>
      <c r="AH274" s="570"/>
      <c r="AI274" s="570"/>
      <c r="AJ274" s="570"/>
      <c r="AK274" s="570"/>
      <c r="AL274" s="570"/>
      <c r="AM274" s="570"/>
      <c r="AN274" s="570"/>
      <c r="AO274" s="570"/>
      <c r="AP274" s="570"/>
      <c r="AQ274" s="570"/>
      <c r="AR274" s="570"/>
      <c r="AS274" s="570"/>
      <c r="AT274" s="570"/>
      <c r="AU274" s="570"/>
      <c r="AV274" s="588"/>
    </row>
    <row r="275" x14ac:dyDescent="0.3">
      <c r="A275" s="704"/>
      <c r="B275" s="570"/>
      <c r="C275" s="570"/>
      <c r="D275" s="708"/>
      <c r="E275" s="829"/>
      <c r="F275" s="709"/>
      <c r="G275" s="570"/>
      <c r="H275" s="292"/>
      <c r="I275" s="1262">
        <f t="shared" si="20"/>
        <v>22</v>
      </c>
      <c r="J275" s="202" t="str">
        <f t="shared" si="21"/>
        <v/>
      </c>
      <c r="K275" s="262" t="str">
        <f t="shared" si="22"/>
        <v/>
      </c>
      <c r="L275" s="362"/>
      <c r="M275" s="335"/>
      <c r="N275" s="570"/>
      <c r="O275" s="570"/>
      <c r="P275" s="298"/>
      <c r="Q275" s="297"/>
      <c r="R275" s="611"/>
      <c r="S275" s="611"/>
      <c r="T275" s="709"/>
      <c r="U275" s="570"/>
      <c r="V275" s="570"/>
      <c r="W275" s="570"/>
      <c r="X275" s="570"/>
      <c r="Y275" s="570"/>
      <c r="Z275" s="570"/>
      <c r="AA275" s="570"/>
      <c r="AB275" s="570"/>
      <c r="AC275" s="570"/>
      <c r="AD275" s="570"/>
      <c r="AE275" s="570"/>
      <c r="AF275" s="570"/>
      <c r="AG275" s="570"/>
      <c r="AH275" s="570"/>
      <c r="AI275" s="570"/>
      <c r="AJ275" s="570"/>
      <c r="AK275" s="570"/>
      <c r="AL275" s="570"/>
      <c r="AM275" s="570"/>
      <c r="AN275" s="570"/>
      <c r="AO275" s="570"/>
      <c r="AP275" s="570"/>
      <c r="AQ275" s="570"/>
      <c r="AR275" s="570"/>
      <c r="AS275" s="570"/>
      <c r="AT275" s="570"/>
      <c r="AU275" s="570"/>
      <c r="AV275" s="588"/>
    </row>
    <row r="276" x14ac:dyDescent="0.3">
      <c r="A276" s="704"/>
      <c r="B276" s="570"/>
      <c r="C276" s="570"/>
      <c r="D276" s="708"/>
      <c r="E276" s="829"/>
      <c r="F276" s="709"/>
      <c r="G276" s="570"/>
      <c r="H276" s="292"/>
      <c r="I276" s="1262">
        <f t="shared" si="20"/>
        <v>23</v>
      </c>
      <c r="J276" s="202" t="str">
        <f t="shared" si="21"/>
        <v/>
      </c>
      <c r="K276" s="262" t="str">
        <f t="shared" si="22"/>
        <v/>
      </c>
      <c r="L276" s="362"/>
      <c r="M276" s="335"/>
      <c r="N276" s="570"/>
      <c r="O276" s="570"/>
      <c r="P276" s="298"/>
      <c r="Q276" s="297"/>
      <c r="R276" s="611"/>
      <c r="S276" s="611"/>
      <c r="T276" s="709"/>
      <c r="U276" s="570"/>
      <c r="V276" s="570"/>
      <c r="W276" s="570"/>
      <c r="X276" s="570"/>
      <c r="Y276" s="570"/>
      <c r="Z276" s="570"/>
      <c r="AA276" s="570"/>
      <c r="AB276" s="570"/>
      <c r="AC276" s="570"/>
      <c r="AD276" s="570"/>
      <c r="AE276" s="570"/>
      <c r="AF276" s="570"/>
      <c r="AG276" s="570"/>
      <c r="AH276" s="570"/>
      <c r="AI276" s="570"/>
      <c r="AJ276" s="570"/>
      <c r="AK276" s="570"/>
      <c r="AL276" s="570"/>
      <c r="AM276" s="570"/>
      <c r="AN276" s="570"/>
      <c r="AO276" s="570"/>
      <c r="AP276" s="570"/>
      <c r="AQ276" s="570"/>
      <c r="AR276" s="570"/>
      <c r="AS276" s="570"/>
      <c r="AT276" s="570"/>
      <c r="AU276" s="570"/>
      <c r="AV276" s="588"/>
    </row>
    <row r="277" x14ac:dyDescent="0.3">
      <c r="A277" s="704"/>
      <c r="B277" s="570"/>
      <c r="C277" s="570"/>
      <c r="D277" s="708"/>
      <c r="E277" s="829"/>
      <c r="F277" s="709"/>
      <c r="G277" s="570"/>
      <c r="H277" s="292"/>
      <c r="I277" s="1262">
        <f t="shared" si="20"/>
        <v>24</v>
      </c>
      <c r="J277" s="202" t="str">
        <f t="shared" si="21"/>
        <v/>
      </c>
      <c r="K277" s="262" t="str">
        <f t="shared" si="22"/>
        <v/>
      </c>
      <c r="L277" s="362"/>
      <c r="M277" s="335"/>
      <c r="N277" s="570"/>
      <c r="O277" s="570"/>
      <c r="P277" s="298"/>
      <c r="Q277" s="297"/>
      <c r="R277" s="611"/>
      <c r="S277" s="611"/>
      <c r="T277" s="709"/>
      <c r="U277" s="570"/>
      <c r="V277" s="570"/>
      <c r="W277" s="570"/>
      <c r="X277" s="570"/>
      <c r="Y277" s="570"/>
      <c r="Z277" s="570"/>
      <c r="AA277" s="570"/>
      <c r="AB277" s="570"/>
      <c r="AC277" s="570"/>
      <c r="AD277" s="570"/>
      <c r="AE277" s="570"/>
      <c r="AF277" s="570"/>
      <c r="AG277" s="570"/>
      <c r="AH277" s="570"/>
      <c r="AI277" s="570"/>
      <c r="AJ277" s="570"/>
      <c r="AK277" s="570"/>
      <c r="AL277" s="570"/>
      <c r="AM277" s="570"/>
      <c r="AN277" s="570"/>
      <c r="AO277" s="570"/>
      <c r="AP277" s="570"/>
      <c r="AQ277" s="570"/>
      <c r="AR277" s="570"/>
      <c r="AS277" s="570"/>
      <c r="AT277" s="570"/>
      <c r="AU277" s="570"/>
      <c r="AV277" s="588"/>
    </row>
    <row r="278" x14ac:dyDescent="0.3">
      <c r="A278" s="704"/>
      <c r="B278" s="570"/>
      <c r="C278" s="570"/>
      <c r="D278" s="708"/>
      <c r="E278" s="829"/>
      <c r="F278" s="709"/>
      <c r="G278" s="570"/>
      <c r="H278" s="292"/>
      <c r="I278" s="1262">
        <f t="shared" si="20"/>
        <v>25</v>
      </c>
      <c r="J278" s="202" t="str">
        <f t="shared" si="21"/>
        <v/>
      </c>
      <c r="K278" s="262" t="str">
        <f t="shared" si="22"/>
        <v/>
      </c>
      <c r="L278" s="362"/>
      <c r="M278" s="335"/>
      <c r="N278" s="570"/>
      <c r="O278" s="570"/>
      <c r="P278" s="298"/>
      <c r="Q278" s="297"/>
      <c r="R278" s="611"/>
      <c r="S278" s="611"/>
      <c r="T278" s="709"/>
      <c r="U278" s="570"/>
      <c r="V278" s="570"/>
      <c r="W278" s="570"/>
      <c r="X278" s="570"/>
      <c r="Y278" s="570"/>
      <c r="Z278" s="570"/>
      <c r="AA278" s="570"/>
      <c r="AB278" s="570"/>
      <c r="AC278" s="570"/>
      <c r="AD278" s="570"/>
      <c r="AE278" s="570"/>
      <c r="AF278" s="570"/>
      <c r="AG278" s="570"/>
      <c r="AH278" s="570"/>
      <c r="AI278" s="570"/>
      <c r="AJ278" s="570"/>
      <c r="AK278" s="570"/>
      <c r="AL278" s="570"/>
      <c r="AM278" s="570"/>
      <c r="AN278" s="570"/>
      <c r="AO278" s="570"/>
      <c r="AP278" s="570"/>
      <c r="AQ278" s="570"/>
      <c r="AR278" s="570"/>
      <c r="AS278" s="570"/>
      <c r="AT278" s="570"/>
      <c r="AU278" s="570"/>
      <c r="AV278" s="588"/>
    </row>
    <row r="279" x14ac:dyDescent="0.3">
      <c r="A279" s="704"/>
      <c r="B279" s="570"/>
      <c r="C279" s="570"/>
      <c r="D279" s="708"/>
      <c r="E279" s="829"/>
      <c r="F279" s="709"/>
      <c r="G279" s="570"/>
      <c r="H279" s="292"/>
      <c r="I279" s="1262">
        <f t="shared" si="20"/>
        <v>26</v>
      </c>
      <c r="J279" s="202" t="str">
        <f t="shared" si="21"/>
        <v/>
      </c>
      <c r="K279" s="262" t="str">
        <f t="shared" si="22"/>
        <v/>
      </c>
      <c r="L279" s="362"/>
      <c r="M279" s="335"/>
      <c r="N279" s="570"/>
      <c r="O279" s="570"/>
      <c r="P279" s="298"/>
      <c r="Q279" s="297"/>
      <c r="R279" s="611"/>
      <c r="S279" s="611"/>
      <c r="T279" s="709"/>
      <c r="U279" s="570"/>
      <c r="V279" s="570"/>
      <c r="W279" s="570"/>
      <c r="X279" s="570"/>
      <c r="Y279" s="570"/>
      <c r="Z279" s="570"/>
      <c r="AA279" s="570"/>
      <c r="AB279" s="570"/>
      <c r="AC279" s="570"/>
      <c r="AD279" s="570"/>
      <c r="AE279" s="570"/>
      <c r="AF279" s="570"/>
      <c r="AG279" s="570"/>
      <c r="AH279" s="570"/>
      <c r="AI279" s="570"/>
      <c r="AJ279" s="570"/>
      <c r="AK279" s="570"/>
      <c r="AL279" s="570"/>
      <c r="AM279" s="570"/>
      <c r="AN279" s="570"/>
      <c r="AO279" s="570"/>
      <c r="AP279" s="570"/>
      <c r="AQ279" s="570"/>
      <c r="AR279" s="570"/>
      <c r="AS279" s="570"/>
      <c r="AT279" s="570"/>
      <c r="AU279" s="570"/>
      <c r="AV279" s="588"/>
    </row>
    <row r="280" x14ac:dyDescent="0.3">
      <c r="A280" s="704"/>
      <c r="B280" s="570"/>
      <c r="C280" s="570"/>
      <c r="D280" s="708"/>
      <c r="E280" s="829"/>
      <c r="F280" s="709"/>
      <c r="G280" s="570"/>
      <c r="H280" s="292"/>
      <c r="I280" s="1262">
        <f t="shared" si="20"/>
        <v>27</v>
      </c>
      <c r="J280" s="202" t="str">
        <f t="shared" si="21"/>
        <v/>
      </c>
      <c r="K280" s="262" t="str">
        <f t="shared" si="22"/>
        <v/>
      </c>
      <c r="L280" s="362"/>
      <c r="M280" s="335"/>
      <c r="N280" s="570"/>
      <c r="O280" s="570"/>
      <c r="P280" s="298"/>
      <c r="Q280" s="297"/>
      <c r="R280" s="611"/>
      <c r="S280" s="611"/>
      <c r="T280" s="709"/>
      <c r="U280" s="570"/>
      <c r="V280" s="570"/>
      <c r="W280" s="570"/>
      <c r="X280" s="570"/>
      <c r="Y280" s="570"/>
      <c r="Z280" s="570"/>
      <c r="AA280" s="570"/>
      <c r="AB280" s="570"/>
      <c r="AC280" s="570"/>
      <c r="AD280" s="570"/>
      <c r="AE280" s="570"/>
      <c r="AF280" s="570"/>
      <c r="AG280" s="570"/>
      <c r="AH280" s="570"/>
      <c r="AI280" s="570"/>
      <c r="AJ280" s="570"/>
      <c r="AK280" s="570"/>
      <c r="AL280" s="570"/>
      <c r="AM280" s="570"/>
      <c r="AN280" s="570"/>
      <c r="AO280" s="570"/>
      <c r="AP280" s="570"/>
      <c r="AQ280" s="570"/>
      <c r="AR280" s="570"/>
      <c r="AS280" s="570"/>
      <c r="AT280" s="570"/>
      <c r="AU280" s="570"/>
      <c r="AV280" s="588"/>
    </row>
    <row r="281" x14ac:dyDescent="0.3">
      <c r="A281" s="704"/>
      <c r="B281" s="570"/>
      <c r="C281" s="570"/>
      <c r="D281" s="708"/>
      <c r="E281" s="829"/>
      <c r="F281" s="709"/>
      <c r="G281" s="570"/>
      <c r="H281" s="292"/>
      <c r="I281" s="1262">
        <f t="shared" si="20"/>
        <v>28</v>
      </c>
      <c r="J281" s="202" t="str">
        <f t="shared" si="21"/>
        <v/>
      </c>
      <c r="K281" s="262" t="str">
        <f t="shared" si="22"/>
        <v/>
      </c>
      <c r="L281" s="362"/>
      <c r="M281" s="335"/>
      <c r="N281" s="570"/>
      <c r="O281" s="570"/>
      <c r="P281" s="298"/>
      <c r="Q281" s="297"/>
      <c r="R281" s="611"/>
      <c r="S281" s="611"/>
      <c r="T281" s="709"/>
      <c r="U281" s="570"/>
      <c r="V281" s="570"/>
      <c r="W281" s="570"/>
      <c r="X281" s="570"/>
      <c r="Y281" s="570"/>
      <c r="Z281" s="570"/>
      <c r="AA281" s="570"/>
      <c r="AB281" s="570"/>
      <c r="AC281" s="570"/>
      <c r="AD281" s="570"/>
      <c r="AE281" s="570"/>
      <c r="AF281" s="570"/>
      <c r="AG281" s="570"/>
      <c r="AH281" s="570"/>
      <c r="AI281" s="570"/>
      <c r="AJ281" s="570"/>
      <c r="AK281" s="570"/>
      <c r="AL281" s="570"/>
      <c r="AM281" s="570"/>
      <c r="AN281" s="570"/>
      <c r="AO281" s="570"/>
      <c r="AP281" s="570"/>
      <c r="AQ281" s="570"/>
      <c r="AR281" s="570"/>
      <c r="AS281" s="570"/>
      <c r="AT281" s="570"/>
      <c r="AU281" s="570"/>
      <c r="AV281" s="588"/>
    </row>
    <row r="282" x14ac:dyDescent="0.3">
      <c r="A282" s="704"/>
      <c r="B282" s="570"/>
      <c r="C282" s="570"/>
      <c r="D282" s="708"/>
      <c r="E282" s="829"/>
      <c r="F282" s="709"/>
      <c r="G282" s="570"/>
      <c r="H282" s="292"/>
      <c r="I282" s="1262">
        <f t="shared" si="20"/>
        <v>29</v>
      </c>
      <c r="J282" s="202" t="str">
        <f t="shared" si="21"/>
        <v/>
      </c>
      <c r="K282" s="262" t="str">
        <f t="shared" si="22"/>
        <v/>
      </c>
      <c r="L282" s="362"/>
      <c r="M282" s="335"/>
      <c r="N282" s="570"/>
      <c r="O282" s="570"/>
      <c r="P282" s="298"/>
      <c r="Q282" s="297"/>
      <c r="R282" s="611"/>
      <c r="S282" s="611"/>
      <c r="T282" s="709"/>
      <c r="U282" s="570"/>
      <c r="V282" s="570"/>
      <c r="W282" s="570"/>
      <c r="X282" s="570"/>
      <c r="Y282" s="570"/>
      <c r="Z282" s="570"/>
      <c r="AA282" s="570"/>
      <c r="AB282" s="570"/>
      <c r="AC282" s="570"/>
      <c r="AD282" s="570"/>
      <c r="AE282" s="570"/>
      <c r="AF282" s="570"/>
      <c r="AG282" s="570"/>
      <c r="AH282" s="570"/>
      <c r="AI282" s="570"/>
      <c r="AJ282" s="570"/>
      <c r="AK282" s="570"/>
      <c r="AL282" s="570"/>
      <c r="AM282" s="570"/>
      <c r="AN282" s="570"/>
      <c r="AO282" s="570"/>
      <c r="AP282" s="570"/>
      <c r="AQ282" s="570"/>
      <c r="AR282" s="570"/>
      <c r="AS282" s="570"/>
      <c r="AT282" s="570"/>
      <c r="AU282" s="570"/>
      <c r="AV282" s="588"/>
    </row>
    <row r="283" x14ac:dyDescent="0.3">
      <c r="A283" s="704"/>
      <c r="B283" s="570"/>
      <c r="C283" s="570"/>
      <c r="D283" s="708"/>
      <c r="E283" s="829"/>
      <c r="F283" s="709"/>
      <c r="G283" s="570"/>
      <c r="H283" s="292"/>
      <c r="I283" s="1262">
        <f t="shared" si="20"/>
        <v>30</v>
      </c>
      <c r="J283" s="202" t="str">
        <f t="shared" si="21"/>
        <v/>
      </c>
      <c r="K283" s="262" t="str">
        <f t="shared" si="22"/>
        <v/>
      </c>
      <c r="L283" s="362"/>
      <c r="M283" s="335"/>
      <c r="N283" s="570"/>
      <c r="O283" s="570"/>
      <c r="P283" s="298"/>
      <c r="Q283" s="297"/>
      <c r="R283" s="611"/>
      <c r="S283" s="611"/>
      <c r="T283" s="709"/>
      <c r="U283" s="570"/>
      <c r="V283" s="570"/>
      <c r="W283" s="570"/>
      <c r="X283" s="570"/>
      <c r="Y283" s="570"/>
      <c r="Z283" s="570"/>
      <c r="AA283" s="570"/>
      <c r="AB283" s="570"/>
      <c r="AC283" s="570"/>
      <c r="AD283" s="570"/>
      <c r="AE283" s="570"/>
      <c r="AF283" s="570"/>
      <c r="AG283" s="570"/>
      <c r="AH283" s="570"/>
      <c r="AI283" s="570"/>
      <c r="AJ283" s="570"/>
      <c r="AK283" s="570"/>
      <c r="AL283" s="570"/>
      <c r="AM283" s="570"/>
      <c r="AN283" s="570"/>
      <c r="AO283" s="570"/>
      <c r="AP283" s="570"/>
      <c r="AQ283" s="570"/>
      <c r="AR283" s="570"/>
      <c r="AS283" s="570"/>
      <c r="AT283" s="570"/>
      <c r="AU283" s="570"/>
      <c r="AV283" s="588"/>
    </row>
    <row r="284" x14ac:dyDescent="0.3">
      <c r="A284" s="704"/>
      <c r="B284" s="570"/>
      <c r="C284" s="570"/>
      <c r="D284" s="708"/>
      <c r="E284" s="829"/>
      <c r="F284" s="709"/>
      <c r="G284" s="570"/>
      <c r="H284" s="292"/>
      <c r="I284" s="1262">
        <f t="shared" si="20"/>
        <v>31</v>
      </c>
      <c r="J284" s="202" t="str">
        <f t="shared" si="21"/>
        <v/>
      </c>
      <c r="K284" s="262" t="str">
        <f t="shared" si="22"/>
        <v/>
      </c>
      <c r="L284" s="362"/>
      <c r="M284" s="335"/>
      <c r="N284" s="570"/>
      <c r="O284" s="570"/>
      <c r="P284" s="298"/>
      <c r="Q284" s="297"/>
      <c r="R284" s="611"/>
      <c r="S284" s="611"/>
      <c r="T284" s="709"/>
      <c r="U284" s="570"/>
      <c r="V284" s="570"/>
      <c r="W284" s="570"/>
      <c r="X284" s="570"/>
      <c r="Y284" s="570"/>
      <c r="Z284" s="570"/>
      <c r="AA284" s="570"/>
      <c r="AB284" s="570"/>
      <c r="AC284" s="570"/>
      <c r="AD284" s="570"/>
      <c r="AE284" s="570"/>
      <c r="AF284" s="570"/>
      <c r="AG284" s="570"/>
      <c r="AH284" s="570"/>
      <c r="AI284" s="570"/>
      <c r="AJ284" s="570"/>
      <c r="AK284" s="570"/>
      <c r="AL284" s="570"/>
      <c r="AM284" s="570"/>
      <c r="AN284" s="570"/>
      <c r="AO284" s="570"/>
      <c r="AP284" s="570"/>
      <c r="AQ284" s="570"/>
      <c r="AR284" s="570"/>
      <c r="AS284" s="570"/>
      <c r="AT284" s="570"/>
      <c r="AU284" s="570"/>
      <c r="AV284" s="588"/>
    </row>
    <row r="285" x14ac:dyDescent="0.3">
      <c r="A285" s="704"/>
      <c r="B285" s="570"/>
      <c r="C285" s="570"/>
      <c r="D285" s="708"/>
      <c r="E285" s="829"/>
      <c r="F285" s="709"/>
      <c r="G285" s="570"/>
      <c r="H285" s="292"/>
      <c r="I285" s="1262">
        <f t="shared" si="20"/>
        <v>32</v>
      </c>
      <c r="J285" s="202" t="str">
        <f t="shared" si="21"/>
        <v/>
      </c>
      <c r="K285" s="262" t="str">
        <f t="shared" si="22"/>
        <v/>
      </c>
      <c r="L285" s="362"/>
      <c r="M285" s="335"/>
      <c r="N285" s="570"/>
      <c r="O285" s="570"/>
      <c r="P285" s="298"/>
      <c r="Q285" s="297"/>
      <c r="R285" s="611"/>
      <c r="S285" s="611"/>
      <c r="T285" s="709"/>
      <c r="U285" s="570"/>
      <c r="V285" s="570"/>
      <c r="W285" s="570"/>
      <c r="X285" s="570"/>
      <c r="Y285" s="570"/>
      <c r="Z285" s="570"/>
      <c r="AA285" s="570"/>
      <c r="AB285" s="570"/>
      <c r="AC285" s="570"/>
      <c r="AD285" s="570"/>
      <c r="AE285" s="570"/>
      <c r="AF285" s="570"/>
      <c r="AG285" s="570"/>
      <c r="AH285" s="570"/>
      <c r="AI285" s="570"/>
      <c r="AJ285" s="570"/>
      <c r="AK285" s="570"/>
      <c r="AL285" s="570"/>
      <c r="AM285" s="570"/>
      <c r="AN285" s="570"/>
      <c r="AO285" s="570"/>
      <c r="AP285" s="570"/>
      <c r="AQ285" s="570"/>
      <c r="AR285" s="570"/>
      <c r="AS285" s="570"/>
      <c r="AT285" s="570"/>
      <c r="AU285" s="570"/>
      <c r="AV285" s="588"/>
    </row>
    <row r="286" x14ac:dyDescent="0.3">
      <c r="A286" s="704"/>
      <c r="B286" s="570"/>
      <c r="C286" s="570"/>
      <c r="D286" s="708"/>
      <c r="E286" s="829"/>
      <c r="F286" s="709"/>
      <c r="G286" s="570"/>
      <c r="H286" s="292"/>
      <c r="I286" s="1262">
        <f t="shared" si="20"/>
        <v>33</v>
      </c>
      <c r="J286" s="202" t="str">
        <f t="shared" si="21"/>
        <v/>
      </c>
      <c r="K286" s="262" t="str">
        <f t="shared" si="22"/>
        <v/>
      </c>
      <c r="L286" s="362"/>
      <c r="M286" s="335"/>
      <c r="N286" s="570"/>
      <c r="O286" s="570"/>
      <c r="P286" s="298"/>
      <c r="Q286" s="297"/>
      <c r="R286" s="611"/>
      <c r="S286" s="611"/>
      <c r="T286" s="709"/>
      <c r="U286" s="570"/>
      <c r="V286" s="570"/>
      <c r="W286" s="570"/>
      <c r="X286" s="570"/>
      <c r="Y286" s="570"/>
      <c r="Z286" s="570"/>
      <c r="AA286" s="570"/>
      <c r="AB286" s="570"/>
      <c r="AC286" s="570"/>
      <c r="AD286" s="570"/>
      <c r="AE286" s="570"/>
      <c r="AF286" s="570"/>
      <c r="AG286" s="570"/>
      <c r="AH286" s="570"/>
      <c r="AI286" s="570"/>
      <c r="AJ286" s="570"/>
      <c r="AK286" s="570"/>
      <c r="AL286" s="570"/>
      <c r="AM286" s="570"/>
      <c r="AN286" s="570"/>
      <c r="AO286" s="570"/>
      <c r="AP286" s="570"/>
      <c r="AQ286" s="570"/>
      <c r="AR286" s="570"/>
      <c r="AS286" s="570"/>
      <c r="AT286" s="570"/>
      <c r="AU286" s="570"/>
      <c r="AV286" s="588"/>
    </row>
    <row r="287" x14ac:dyDescent="0.3">
      <c r="A287" s="704"/>
      <c r="B287" s="570"/>
      <c r="C287" s="570"/>
      <c r="D287" s="708"/>
      <c r="E287" s="829"/>
      <c r="F287" s="709"/>
      <c r="G287" s="570"/>
      <c r="H287" s="292"/>
      <c r="I287" s="1262">
        <f t="shared" si="20"/>
        <v>34</v>
      </c>
      <c r="J287" s="202" t="str">
        <f t="shared" si="21"/>
        <v/>
      </c>
      <c r="K287" s="262" t="str">
        <f t="shared" si="22"/>
        <v/>
      </c>
      <c r="L287" s="362"/>
      <c r="M287" s="335"/>
      <c r="N287" s="570"/>
      <c r="O287" s="570"/>
      <c r="P287" s="298"/>
      <c r="Q287" s="297"/>
      <c r="R287" s="611"/>
      <c r="S287" s="611"/>
      <c r="T287" s="709"/>
      <c r="U287" s="570"/>
      <c r="V287" s="570"/>
      <c r="W287" s="570"/>
      <c r="X287" s="570"/>
      <c r="Y287" s="570"/>
      <c r="Z287" s="570"/>
      <c r="AA287" s="570"/>
      <c r="AB287" s="570"/>
      <c r="AC287" s="570"/>
      <c r="AD287" s="570"/>
      <c r="AE287" s="570"/>
      <c r="AF287" s="570"/>
      <c r="AG287" s="570"/>
      <c r="AH287" s="570"/>
      <c r="AI287" s="570"/>
      <c r="AJ287" s="570"/>
      <c r="AK287" s="570"/>
      <c r="AL287" s="570"/>
      <c r="AM287" s="570"/>
      <c r="AN287" s="570"/>
      <c r="AO287" s="570"/>
      <c r="AP287" s="570"/>
      <c r="AQ287" s="570"/>
      <c r="AR287" s="570"/>
      <c r="AS287" s="570"/>
      <c r="AT287" s="570"/>
      <c r="AU287" s="570"/>
      <c r="AV287" s="588"/>
    </row>
    <row r="288" x14ac:dyDescent="0.3">
      <c r="A288" s="704"/>
      <c r="B288" s="570"/>
      <c r="C288" s="570"/>
      <c r="D288" s="708"/>
      <c r="E288" s="829"/>
      <c r="F288" s="709"/>
      <c r="G288" s="570"/>
      <c r="H288" s="292"/>
      <c r="I288" s="1262">
        <f t="shared" si="20"/>
        <v>35</v>
      </c>
      <c r="J288" s="202" t="str">
        <f t="shared" si="21"/>
        <v/>
      </c>
      <c r="K288" s="262" t="str">
        <f t="shared" si="22"/>
        <v/>
      </c>
      <c r="L288" s="362"/>
      <c r="M288" s="335"/>
      <c r="N288" s="570"/>
      <c r="O288" s="570"/>
      <c r="P288" s="298"/>
      <c r="Q288" s="297"/>
      <c r="R288" s="611"/>
      <c r="S288" s="611"/>
      <c r="T288" s="709"/>
      <c r="U288" s="570"/>
      <c r="V288" s="570"/>
      <c r="W288" s="570"/>
      <c r="X288" s="570"/>
      <c r="Y288" s="570"/>
      <c r="Z288" s="570"/>
      <c r="AA288" s="570"/>
      <c r="AB288" s="570"/>
      <c r="AC288" s="570"/>
      <c r="AD288" s="570"/>
      <c r="AE288" s="570"/>
      <c r="AF288" s="570"/>
      <c r="AG288" s="570"/>
      <c r="AH288" s="570"/>
      <c r="AI288" s="570"/>
      <c r="AJ288" s="570"/>
      <c r="AK288" s="570"/>
      <c r="AL288" s="570"/>
      <c r="AM288" s="570"/>
      <c r="AN288" s="570"/>
      <c r="AO288" s="570"/>
      <c r="AP288" s="570"/>
      <c r="AQ288" s="570"/>
      <c r="AR288" s="570"/>
      <c r="AS288" s="570"/>
      <c r="AT288" s="570"/>
      <c r="AU288" s="570"/>
      <c r="AV288" s="588"/>
    </row>
    <row r="289" x14ac:dyDescent="0.3">
      <c r="A289" s="704"/>
      <c r="B289" s="570"/>
      <c r="C289" s="570"/>
      <c r="D289" s="708"/>
      <c r="E289" s="829"/>
      <c r="F289" s="709"/>
      <c r="G289" s="570"/>
      <c r="H289" s="292"/>
      <c r="I289" s="1262">
        <f t="shared" si="20"/>
        <v>36</v>
      </c>
      <c r="J289" s="202" t="str">
        <f t="shared" si="21"/>
        <v/>
      </c>
      <c r="K289" s="262" t="str">
        <f t="shared" si="22"/>
        <v/>
      </c>
      <c r="L289" s="362"/>
      <c r="M289" s="335"/>
      <c r="N289" s="570"/>
      <c r="O289" s="570"/>
      <c r="P289" s="298"/>
      <c r="Q289" s="297"/>
      <c r="R289" s="611"/>
      <c r="S289" s="611"/>
      <c r="T289" s="709"/>
      <c r="U289" s="570"/>
      <c r="V289" s="570"/>
      <c r="W289" s="570"/>
      <c r="X289" s="570"/>
      <c r="Y289" s="570"/>
      <c r="Z289" s="570"/>
      <c r="AA289" s="570"/>
      <c r="AB289" s="570"/>
      <c r="AC289" s="570"/>
      <c r="AD289" s="570"/>
      <c r="AE289" s="570"/>
      <c r="AF289" s="570"/>
      <c r="AG289" s="570"/>
      <c r="AH289" s="570"/>
      <c r="AI289" s="570"/>
      <c r="AJ289" s="570"/>
      <c r="AK289" s="570"/>
      <c r="AL289" s="570"/>
      <c r="AM289" s="570"/>
      <c r="AN289" s="570"/>
      <c r="AO289" s="570"/>
      <c r="AP289" s="570"/>
      <c r="AQ289" s="570"/>
      <c r="AR289" s="570"/>
      <c r="AS289" s="570"/>
      <c r="AT289" s="570"/>
      <c r="AU289" s="570"/>
      <c r="AV289" s="588"/>
    </row>
    <row r="290" x14ac:dyDescent="0.3">
      <c r="A290" s="704"/>
      <c r="B290" s="570"/>
      <c r="C290" s="570"/>
      <c r="D290" s="708"/>
      <c r="E290" s="829"/>
      <c r="F290" s="709"/>
      <c r="G290" s="570"/>
      <c r="H290" s="292"/>
      <c r="I290" s="1262">
        <f t="shared" si="20"/>
        <v>37</v>
      </c>
      <c r="J290" s="202" t="str">
        <f t="shared" si="21"/>
        <v/>
      </c>
      <c r="K290" s="262" t="str">
        <f t="shared" si="22"/>
        <v/>
      </c>
      <c r="L290" s="362"/>
      <c r="M290" s="335"/>
      <c r="N290" s="570"/>
      <c r="O290" s="570"/>
      <c r="P290" s="298"/>
      <c r="Q290" s="297"/>
      <c r="R290" s="611"/>
      <c r="S290" s="611"/>
      <c r="T290" s="709"/>
      <c r="U290" s="570"/>
      <c r="V290" s="570"/>
      <c r="W290" s="570"/>
      <c r="X290" s="570"/>
      <c r="Y290" s="570"/>
      <c r="Z290" s="570"/>
      <c r="AA290" s="570"/>
      <c r="AB290" s="570"/>
      <c r="AC290" s="570"/>
      <c r="AD290" s="570"/>
      <c r="AE290" s="570"/>
      <c r="AF290" s="570"/>
      <c r="AG290" s="570"/>
      <c r="AH290" s="570"/>
      <c r="AI290" s="570"/>
      <c r="AJ290" s="570"/>
      <c r="AK290" s="570"/>
      <c r="AL290" s="570"/>
      <c r="AM290" s="570"/>
      <c r="AN290" s="570"/>
      <c r="AO290" s="570"/>
      <c r="AP290" s="570"/>
      <c r="AQ290" s="570"/>
      <c r="AR290" s="570"/>
      <c r="AS290" s="570"/>
      <c r="AT290" s="570"/>
      <c r="AU290" s="570"/>
      <c r="AV290" s="588"/>
    </row>
    <row r="291" x14ac:dyDescent="0.3">
      <c r="A291" s="704"/>
      <c r="B291" s="570"/>
      <c r="C291" s="570"/>
      <c r="D291" s="708"/>
      <c r="E291" s="829"/>
      <c r="F291" s="709"/>
      <c r="G291" s="570"/>
      <c r="H291" s="292"/>
      <c r="I291" s="1262">
        <f t="shared" si="20"/>
        <v>38</v>
      </c>
      <c r="J291" s="202" t="str">
        <f t="shared" si="21"/>
        <v/>
      </c>
      <c r="K291" s="262" t="str">
        <f t="shared" si="22"/>
        <v/>
      </c>
      <c r="L291" s="362"/>
      <c r="M291" s="335"/>
      <c r="N291" s="570"/>
      <c r="O291" s="570"/>
      <c r="P291" s="298"/>
      <c r="Q291" s="297"/>
      <c r="R291" s="611"/>
      <c r="S291" s="611"/>
      <c r="T291" s="709"/>
      <c r="U291" s="570"/>
      <c r="V291" s="570"/>
      <c r="W291" s="570"/>
      <c r="X291" s="570"/>
      <c r="Y291" s="570"/>
      <c r="Z291" s="570"/>
      <c r="AA291" s="570"/>
      <c r="AB291" s="570"/>
      <c r="AC291" s="570"/>
      <c r="AD291" s="570"/>
      <c r="AE291" s="570"/>
      <c r="AF291" s="570"/>
      <c r="AG291" s="570"/>
      <c r="AH291" s="570"/>
      <c r="AI291" s="570"/>
      <c r="AJ291" s="570"/>
      <c r="AK291" s="570"/>
      <c r="AL291" s="570"/>
      <c r="AM291" s="570"/>
      <c r="AN291" s="570"/>
      <c r="AO291" s="570"/>
      <c r="AP291" s="570"/>
      <c r="AQ291" s="570"/>
      <c r="AR291" s="570"/>
      <c r="AS291" s="570"/>
      <c r="AT291" s="570"/>
      <c r="AU291" s="570"/>
      <c r="AV291" s="588"/>
    </row>
    <row r="292" x14ac:dyDescent="0.3">
      <c r="A292" s="704"/>
      <c r="B292" s="570"/>
      <c r="C292" s="570"/>
      <c r="D292" s="708"/>
      <c r="E292" s="829"/>
      <c r="F292" s="709"/>
      <c r="G292" s="570"/>
      <c r="H292" s="292"/>
      <c r="I292" s="1262">
        <f t="shared" si="20"/>
        <v>39</v>
      </c>
      <c r="J292" s="202" t="str">
        <f t="shared" si="21"/>
        <v/>
      </c>
      <c r="K292" s="262" t="str">
        <f t="shared" si="22"/>
        <v/>
      </c>
      <c r="L292" s="362"/>
      <c r="M292" s="335"/>
      <c r="N292" s="570"/>
      <c r="O292" s="570"/>
      <c r="P292" s="298"/>
      <c r="Q292" s="297"/>
      <c r="R292" s="611"/>
      <c r="S292" s="611"/>
      <c r="T292" s="709"/>
      <c r="U292" s="570"/>
      <c r="V292" s="570"/>
      <c r="W292" s="570"/>
      <c r="X292" s="570"/>
      <c r="Y292" s="570"/>
      <c r="Z292" s="570"/>
      <c r="AA292" s="570"/>
      <c r="AB292" s="570"/>
      <c r="AC292" s="570"/>
      <c r="AD292" s="570"/>
      <c r="AE292" s="570"/>
      <c r="AF292" s="570"/>
      <c r="AG292" s="570"/>
      <c r="AH292" s="570"/>
      <c r="AI292" s="570"/>
      <c r="AJ292" s="570"/>
      <c r="AK292" s="570"/>
      <c r="AL292" s="570"/>
      <c r="AM292" s="570"/>
      <c r="AN292" s="570"/>
      <c r="AO292" s="570"/>
      <c r="AP292" s="570"/>
      <c r="AQ292" s="570"/>
      <c r="AR292" s="570"/>
      <c r="AS292" s="570"/>
      <c r="AT292" s="570"/>
      <c r="AU292" s="570"/>
      <c r="AV292" s="588"/>
    </row>
    <row r="293" x14ac:dyDescent="0.3">
      <c r="A293" s="704"/>
      <c r="B293" s="570"/>
      <c r="C293" s="570"/>
      <c r="D293" s="708"/>
      <c r="E293" s="829"/>
      <c r="F293" s="709"/>
      <c r="G293" s="570"/>
      <c r="H293" s="292"/>
      <c r="I293" s="1262">
        <f t="shared" si="20"/>
        <v>40</v>
      </c>
      <c r="J293" s="202" t="str">
        <f t="shared" si="21"/>
        <v/>
      </c>
      <c r="K293" s="262" t="str">
        <f t="shared" si="22"/>
        <v/>
      </c>
      <c r="L293" s="362"/>
      <c r="M293" s="335"/>
      <c r="N293" s="570"/>
      <c r="O293" s="570"/>
      <c r="P293" s="298"/>
      <c r="Q293" s="297"/>
      <c r="R293" s="611"/>
      <c r="S293" s="611"/>
      <c r="T293" s="709"/>
      <c r="U293" s="570"/>
      <c r="V293" s="570"/>
      <c r="W293" s="570"/>
      <c r="X293" s="570"/>
      <c r="Y293" s="570"/>
      <c r="Z293" s="570"/>
      <c r="AA293" s="570"/>
      <c r="AB293" s="570"/>
      <c r="AC293" s="570"/>
      <c r="AD293" s="570"/>
      <c r="AE293" s="570"/>
      <c r="AF293" s="570"/>
      <c r="AG293" s="570"/>
      <c r="AH293" s="570"/>
      <c r="AI293" s="570"/>
      <c r="AJ293" s="570"/>
      <c r="AK293" s="570"/>
      <c r="AL293" s="570"/>
      <c r="AM293" s="570"/>
      <c r="AN293" s="570"/>
      <c r="AO293" s="570"/>
      <c r="AP293" s="570"/>
      <c r="AQ293" s="570"/>
      <c r="AR293" s="570"/>
      <c r="AS293" s="570"/>
      <c r="AT293" s="570"/>
      <c r="AU293" s="570"/>
      <c r="AV293" s="588"/>
    </row>
    <row r="294" x14ac:dyDescent="0.3">
      <c r="A294" s="704"/>
      <c r="B294" s="570"/>
      <c r="C294" s="570"/>
      <c r="D294" s="708"/>
      <c r="E294" s="829"/>
      <c r="F294" s="709"/>
      <c r="G294" s="570"/>
      <c r="H294" s="292"/>
      <c r="I294" s="1262">
        <f t="shared" si="20"/>
        <v>41</v>
      </c>
      <c r="J294" s="202" t="str">
        <f t="shared" si="21"/>
        <v/>
      </c>
      <c r="K294" s="262" t="str">
        <f t="shared" si="22"/>
        <v/>
      </c>
      <c r="L294" s="362"/>
      <c r="M294" s="335"/>
      <c r="N294" s="570"/>
      <c r="O294" s="570"/>
      <c r="P294" s="298"/>
      <c r="Q294" s="297"/>
      <c r="R294" s="611"/>
      <c r="S294" s="611"/>
      <c r="T294" s="709"/>
      <c r="U294" s="570"/>
      <c r="V294" s="570"/>
      <c r="W294" s="570"/>
      <c r="X294" s="570"/>
      <c r="Y294" s="570"/>
      <c r="Z294" s="570"/>
      <c r="AA294" s="570"/>
      <c r="AB294" s="570"/>
      <c r="AC294" s="570"/>
      <c r="AD294" s="570"/>
      <c r="AE294" s="570"/>
      <c r="AF294" s="570"/>
      <c r="AG294" s="570"/>
      <c r="AH294" s="570"/>
      <c r="AI294" s="570"/>
      <c r="AJ294" s="570"/>
      <c r="AK294" s="570"/>
      <c r="AL294" s="570"/>
      <c r="AM294" s="570"/>
      <c r="AN294" s="570"/>
      <c r="AO294" s="570"/>
      <c r="AP294" s="570"/>
      <c r="AQ294" s="570"/>
      <c r="AR294" s="570"/>
      <c r="AS294" s="570"/>
      <c r="AT294" s="570"/>
      <c r="AU294" s="570"/>
      <c r="AV294" s="588"/>
    </row>
    <row r="295" x14ac:dyDescent="0.3">
      <c r="A295" s="704"/>
      <c r="B295" s="570"/>
      <c r="C295" s="570"/>
      <c r="D295" s="708"/>
      <c r="E295" s="829"/>
      <c r="F295" s="709"/>
      <c r="G295" s="570"/>
      <c r="H295" s="292"/>
      <c r="I295" s="1262">
        <f t="shared" si="20"/>
        <v>42</v>
      </c>
      <c r="J295" s="202" t="str">
        <f t="shared" si="21"/>
        <v/>
      </c>
      <c r="K295" s="262" t="str">
        <f t="shared" si="22"/>
        <v/>
      </c>
      <c r="L295" s="362"/>
      <c r="M295" s="335"/>
      <c r="N295" s="570"/>
      <c r="O295" s="570"/>
      <c r="P295" s="298"/>
      <c r="Q295" s="297"/>
      <c r="R295" s="611"/>
      <c r="S295" s="611"/>
      <c r="T295" s="709"/>
      <c r="U295" s="570"/>
      <c r="V295" s="570"/>
      <c r="W295" s="570"/>
      <c r="X295" s="570"/>
      <c r="Y295" s="570"/>
      <c r="Z295" s="570"/>
      <c r="AA295" s="570"/>
      <c r="AB295" s="570"/>
      <c r="AC295" s="570"/>
      <c r="AD295" s="570"/>
      <c r="AE295" s="570"/>
      <c r="AF295" s="570"/>
      <c r="AG295" s="570"/>
      <c r="AH295" s="570"/>
      <c r="AI295" s="570"/>
      <c r="AJ295" s="570"/>
      <c r="AK295" s="570"/>
      <c r="AL295" s="570"/>
      <c r="AM295" s="570"/>
      <c r="AN295" s="570"/>
      <c r="AO295" s="570"/>
      <c r="AP295" s="570"/>
      <c r="AQ295" s="570"/>
      <c r="AR295" s="570"/>
      <c r="AS295" s="570"/>
      <c r="AT295" s="570"/>
      <c r="AU295" s="570"/>
      <c r="AV295" s="588"/>
    </row>
    <row r="296" x14ac:dyDescent="0.3">
      <c r="A296" s="704"/>
      <c r="B296" s="570"/>
      <c r="C296" s="570"/>
      <c r="D296" s="708"/>
      <c r="E296" s="829"/>
      <c r="F296" s="709"/>
      <c r="G296" s="570"/>
      <c r="H296" s="292"/>
      <c r="I296" s="1262">
        <f t="shared" si="20"/>
        <v>43</v>
      </c>
      <c r="J296" s="202" t="str">
        <f t="shared" si="21"/>
        <v/>
      </c>
      <c r="K296" s="262" t="str">
        <f t="shared" si="22"/>
        <v/>
      </c>
      <c r="L296" s="362"/>
      <c r="M296" s="335"/>
      <c r="N296" s="570"/>
      <c r="O296" s="570"/>
      <c r="P296" s="298"/>
      <c r="Q296" s="297"/>
      <c r="R296" s="611"/>
      <c r="S296" s="611"/>
      <c r="T296" s="709"/>
      <c r="U296" s="570"/>
      <c r="V296" s="570"/>
      <c r="W296" s="570"/>
      <c r="X296" s="570"/>
      <c r="Y296" s="570"/>
      <c r="Z296" s="570"/>
      <c r="AA296" s="570"/>
      <c r="AB296" s="570"/>
      <c r="AC296" s="570"/>
      <c r="AD296" s="570"/>
      <c r="AE296" s="570"/>
      <c r="AF296" s="570"/>
      <c r="AG296" s="570"/>
      <c r="AH296" s="570"/>
      <c r="AI296" s="570"/>
      <c r="AJ296" s="570"/>
      <c r="AK296" s="570"/>
      <c r="AL296" s="570"/>
      <c r="AM296" s="570"/>
      <c r="AN296" s="570"/>
      <c r="AO296" s="570"/>
      <c r="AP296" s="570"/>
      <c r="AQ296" s="570"/>
      <c r="AR296" s="570"/>
      <c r="AS296" s="570"/>
      <c r="AT296" s="570"/>
      <c r="AU296" s="570"/>
      <c r="AV296" s="588"/>
    </row>
    <row r="297" x14ac:dyDescent="0.3">
      <c r="A297" s="704"/>
      <c r="B297" s="570"/>
      <c r="C297" s="570"/>
      <c r="D297" s="708"/>
      <c r="E297" s="829"/>
      <c r="F297" s="709"/>
      <c r="G297" s="570"/>
      <c r="H297" s="292"/>
      <c r="I297" s="1262">
        <f t="shared" si="20"/>
        <v>44</v>
      </c>
      <c r="J297" s="202" t="str">
        <f t="shared" si="21"/>
        <v/>
      </c>
      <c r="K297" s="262" t="str">
        <f t="shared" si="22"/>
        <v/>
      </c>
      <c r="L297" s="362"/>
      <c r="M297" s="335"/>
      <c r="N297" s="570"/>
      <c r="O297" s="570"/>
      <c r="P297" s="298"/>
      <c r="Q297" s="297"/>
      <c r="R297" s="611"/>
      <c r="S297" s="611"/>
      <c r="T297" s="709"/>
      <c r="U297" s="570"/>
      <c r="V297" s="570"/>
      <c r="W297" s="570"/>
      <c r="X297" s="570"/>
      <c r="Y297" s="570"/>
      <c r="Z297" s="570"/>
      <c r="AA297" s="570"/>
      <c r="AB297" s="570"/>
      <c r="AC297" s="570"/>
      <c r="AD297" s="570"/>
      <c r="AE297" s="570"/>
      <c r="AF297" s="570"/>
      <c r="AG297" s="570"/>
      <c r="AH297" s="570"/>
      <c r="AI297" s="570"/>
      <c r="AJ297" s="570"/>
      <c r="AK297" s="570"/>
      <c r="AL297" s="570"/>
      <c r="AM297" s="570"/>
      <c r="AN297" s="570"/>
      <c r="AO297" s="570"/>
      <c r="AP297" s="570"/>
      <c r="AQ297" s="570"/>
      <c r="AR297" s="570"/>
      <c r="AS297" s="570"/>
      <c r="AT297" s="570"/>
      <c r="AU297" s="570"/>
      <c r="AV297" s="588"/>
    </row>
    <row r="298" x14ac:dyDescent="0.3">
      <c r="A298" s="704"/>
      <c r="B298" s="570"/>
      <c r="C298" s="570"/>
      <c r="D298" s="708"/>
      <c r="E298" s="829"/>
      <c r="F298" s="709"/>
      <c r="G298" s="570"/>
      <c r="H298" s="292"/>
      <c r="I298" s="1262">
        <f t="shared" si="20"/>
        <v>45</v>
      </c>
      <c r="J298" s="202" t="str">
        <f t="shared" si="21"/>
        <v/>
      </c>
      <c r="K298" s="262" t="str">
        <f t="shared" si="22"/>
        <v/>
      </c>
      <c r="L298" s="362"/>
      <c r="M298" s="335"/>
      <c r="N298" s="570"/>
      <c r="O298" s="570"/>
      <c r="P298" s="298"/>
      <c r="Q298" s="297"/>
      <c r="R298" s="611"/>
      <c r="S298" s="611"/>
      <c r="T298" s="709"/>
      <c r="U298" s="570"/>
      <c r="V298" s="570"/>
      <c r="W298" s="570"/>
      <c r="X298" s="570"/>
      <c r="Y298" s="570"/>
      <c r="Z298" s="570"/>
      <c r="AA298" s="570"/>
      <c r="AB298" s="570"/>
      <c r="AC298" s="570"/>
      <c r="AD298" s="570"/>
      <c r="AE298" s="570"/>
      <c r="AF298" s="570"/>
      <c r="AG298" s="570"/>
      <c r="AH298" s="570"/>
      <c r="AI298" s="570"/>
      <c r="AJ298" s="570"/>
      <c r="AK298" s="570"/>
      <c r="AL298" s="570"/>
      <c r="AM298" s="570"/>
      <c r="AN298" s="570"/>
      <c r="AO298" s="570"/>
      <c r="AP298" s="570"/>
      <c r="AQ298" s="570"/>
      <c r="AR298" s="570"/>
      <c r="AS298" s="570"/>
      <c r="AT298" s="570"/>
      <c r="AU298" s="570"/>
      <c r="AV298" s="588"/>
    </row>
    <row r="299" x14ac:dyDescent="0.3">
      <c r="A299" s="704"/>
      <c r="B299" s="570"/>
      <c r="C299" s="570"/>
      <c r="D299" s="708"/>
      <c r="E299" s="829"/>
      <c r="F299" s="709"/>
      <c r="G299" s="570"/>
      <c r="H299" s="292"/>
      <c r="I299" s="1262">
        <f t="shared" si="20"/>
        <v>46</v>
      </c>
      <c r="J299" s="202" t="str">
        <f t="shared" si="21"/>
        <v/>
      </c>
      <c r="K299" s="262" t="str">
        <f t="shared" si="22"/>
        <v/>
      </c>
      <c r="L299" s="362"/>
      <c r="M299" s="335"/>
      <c r="N299" s="570"/>
      <c r="O299" s="570"/>
      <c r="P299" s="298"/>
      <c r="Q299" s="297"/>
      <c r="R299" s="611"/>
      <c r="S299" s="611"/>
      <c r="T299" s="709"/>
      <c r="U299" s="570"/>
      <c r="V299" s="570"/>
      <c r="W299" s="570"/>
      <c r="X299" s="570"/>
      <c r="Y299" s="570"/>
      <c r="Z299" s="570"/>
      <c r="AA299" s="570"/>
      <c r="AB299" s="570"/>
      <c r="AC299" s="570"/>
      <c r="AD299" s="570"/>
      <c r="AE299" s="570"/>
      <c r="AF299" s="570"/>
      <c r="AG299" s="570"/>
      <c r="AH299" s="570"/>
      <c r="AI299" s="570"/>
      <c r="AJ299" s="570"/>
      <c r="AK299" s="570"/>
      <c r="AL299" s="570"/>
      <c r="AM299" s="570"/>
      <c r="AN299" s="570"/>
      <c r="AO299" s="570"/>
      <c r="AP299" s="570"/>
      <c r="AQ299" s="570"/>
      <c r="AR299" s="570"/>
      <c r="AS299" s="570"/>
      <c r="AT299" s="570"/>
      <c r="AU299" s="570"/>
      <c r="AV299" s="588"/>
    </row>
    <row r="300" x14ac:dyDescent="0.3">
      <c r="A300" s="704"/>
      <c r="B300" s="570"/>
      <c r="C300" s="570"/>
      <c r="D300" s="708"/>
      <c r="E300" s="829"/>
      <c r="F300" s="709"/>
      <c r="G300" s="570"/>
      <c r="H300" s="292"/>
      <c r="I300" s="1262">
        <f t="shared" si="20"/>
        <v>47</v>
      </c>
      <c r="J300" s="202" t="str">
        <f t="shared" si="21"/>
        <v/>
      </c>
      <c r="K300" s="262" t="str">
        <f t="shared" si="22"/>
        <v/>
      </c>
      <c r="L300" s="362"/>
      <c r="M300" s="335"/>
      <c r="N300" s="570"/>
      <c r="O300" s="570"/>
      <c r="P300" s="298"/>
      <c r="Q300" s="297"/>
      <c r="R300" s="611"/>
      <c r="S300" s="611"/>
      <c r="T300" s="709"/>
      <c r="U300" s="570"/>
      <c r="V300" s="570"/>
      <c r="W300" s="570"/>
      <c r="X300" s="570"/>
      <c r="Y300" s="570"/>
      <c r="Z300" s="570"/>
      <c r="AA300" s="570"/>
      <c r="AB300" s="570"/>
      <c r="AC300" s="570"/>
      <c r="AD300" s="570"/>
      <c r="AE300" s="570"/>
      <c r="AF300" s="570"/>
      <c r="AG300" s="570"/>
      <c r="AH300" s="570"/>
      <c r="AI300" s="570"/>
      <c r="AJ300" s="570"/>
      <c r="AK300" s="570"/>
      <c r="AL300" s="570"/>
      <c r="AM300" s="570"/>
      <c r="AN300" s="570"/>
      <c r="AO300" s="570"/>
      <c r="AP300" s="570"/>
      <c r="AQ300" s="570"/>
      <c r="AR300" s="570"/>
      <c r="AS300" s="570"/>
      <c r="AT300" s="570"/>
      <c r="AU300" s="570"/>
      <c r="AV300" s="588"/>
    </row>
    <row r="301" x14ac:dyDescent="0.3">
      <c r="A301" s="704"/>
      <c r="B301" s="570"/>
      <c r="C301" s="570"/>
      <c r="D301" s="708"/>
      <c r="E301" s="829"/>
      <c r="F301" s="709"/>
      <c r="G301" s="570"/>
      <c r="H301" s="292"/>
      <c r="I301" s="1262">
        <f t="shared" si="20"/>
        <v>48</v>
      </c>
      <c r="J301" s="202" t="str">
        <f t="shared" si="21"/>
        <v/>
      </c>
      <c r="K301" s="262" t="str">
        <f t="shared" si="22"/>
        <v/>
      </c>
      <c r="L301" s="362"/>
      <c r="M301" s="335"/>
      <c r="N301" s="570"/>
      <c r="O301" s="570"/>
      <c r="P301" s="298"/>
      <c r="Q301" s="297"/>
      <c r="R301" s="611"/>
      <c r="S301" s="611"/>
      <c r="T301" s="709"/>
      <c r="U301" s="570"/>
      <c r="V301" s="570"/>
      <c r="W301" s="570"/>
      <c r="X301" s="570"/>
      <c r="Y301" s="570"/>
      <c r="Z301" s="570"/>
      <c r="AA301" s="570"/>
      <c r="AB301" s="570"/>
      <c r="AC301" s="570"/>
      <c r="AD301" s="570"/>
      <c r="AE301" s="570"/>
      <c r="AF301" s="570"/>
      <c r="AG301" s="570"/>
      <c r="AH301" s="570"/>
      <c r="AI301" s="570"/>
      <c r="AJ301" s="570"/>
      <c r="AK301" s="570"/>
      <c r="AL301" s="570"/>
      <c r="AM301" s="570"/>
      <c r="AN301" s="570"/>
      <c r="AO301" s="570"/>
      <c r="AP301" s="570"/>
      <c r="AQ301" s="570"/>
      <c r="AR301" s="570"/>
      <c r="AS301" s="570"/>
      <c r="AT301" s="570"/>
      <c r="AU301" s="570"/>
      <c r="AV301" s="588"/>
    </row>
    <row r="302" x14ac:dyDescent="0.3">
      <c r="A302" s="704"/>
      <c r="B302" s="570"/>
      <c r="C302" s="570"/>
      <c r="D302" s="708"/>
      <c r="E302" s="829"/>
      <c r="F302" s="709"/>
      <c r="G302" s="570"/>
      <c r="H302" s="292"/>
      <c r="I302" s="1262">
        <f t="shared" si="20"/>
        <v>49</v>
      </c>
      <c r="J302" s="202" t="str">
        <f t="shared" si="21"/>
        <v/>
      </c>
      <c r="K302" s="262" t="str">
        <f t="shared" si="22"/>
        <v/>
      </c>
      <c r="L302" s="362"/>
      <c r="M302" s="335"/>
      <c r="N302" s="570"/>
      <c r="O302" s="570"/>
      <c r="P302" s="298"/>
      <c r="Q302" s="297"/>
      <c r="R302" s="611"/>
      <c r="S302" s="611"/>
      <c r="T302" s="709"/>
      <c r="U302" s="570"/>
      <c r="V302" s="570"/>
      <c r="W302" s="570"/>
      <c r="X302" s="570"/>
      <c r="Y302" s="570"/>
      <c r="Z302" s="570"/>
      <c r="AA302" s="570"/>
      <c r="AB302" s="570"/>
      <c r="AC302" s="570"/>
      <c r="AD302" s="570"/>
      <c r="AE302" s="570"/>
      <c r="AF302" s="570"/>
      <c r="AG302" s="570"/>
      <c r="AH302" s="570"/>
      <c r="AI302" s="570"/>
      <c r="AJ302" s="570"/>
      <c r="AK302" s="570"/>
      <c r="AL302" s="570"/>
      <c r="AM302" s="570"/>
      <c r="AN302" s="570"/>
      <c r="AO302" s="570"/>
      <c r="AP302" s="570"/>
      <c r="AQ302" s="570"/>
      <c r="AR302" s="570"/>
      <c r="AS302" s="570"/>
      <c r="AT302" s="570"/>
      <c r="AU302" s="570"/>
      <c r="AV302" s="588"/>
    </row>
    <row r="303" ht="16.2" thickBot="true" x14ac:dyDescent="0.35">
      <c r="A303" s="704"/>
      <c r="B303" s="570"/>
      <c r="C303" s="570"/>
      <c r="D303" s="708"/>
      <c r="E303" s="829"/>
      <c r="F303" s="709"/>
      <c r="G303" s="570"/>
      <c r="H303" s="292"/>
      <c r="I303" s="1263">
        <f t="shared" si="20"/>
        <v>50</v>
      </c>
      <c r="J303" s="263" t="str">
        <f t="shared" si="21"/>
        <v/>
      </c>
      <c r="K303" s="1227" t="str">
        <f t="shared" si="22"/>
        <v/>
      </c>
      <c r="L303" s="362"/>
      <c r="M303" s="335"/>
      <c r="N303" s="570"/>
      <c r="O303" s="570"/>
      <c r="P303" s="298"/>
      <c r="Q303" s="297"/>
      <c r="R303" s="611"/>
      <c r="S303" s="611"/>
      <c r="T303" s="709"/>
      <c r="U303" s="570"/>
      <c r="V303" s="570"/>
      <c r="W303" s="570"/>
      <c r="X303" s="570"/>
      <c r="Y303" s="570"/>
      <c r="Z303" s="570"/>
      <c r="AA303" s="570"/>
      <c r="AB303" s="570"/>
      <c r="AC303" s="570"/>
      <c r="AD303" s="570"/>
      <c r="AE303" s="570"/>
      <c r="AF303" s="570"/>
      <c r="AG303" s="570"/>
      <c r="AH303" s="570"/>
      <c r="AI303" s="570"/>
      <c r="AJ303" s="570"/>
      <c r="AK303" s="570"/>
      <c r="AL303" s="570"/>
      <c r="AM303" s="570"/>
      <c r="AN303" s="570"/>
      <c r="AO303" s="570"/>
      <c r="AP303" s="570"/>
      <c r="AQ303" s="570"/>
      <c r="AR303" s="570"/>
      <c r="AS303" s="570"/>
      <c r="AT303" s="570"/>
      <c r="AU303" s="570"/>
      <c r="AV303" s="588"/>
    </row>
    <row r="304" x14ac:dyDescent="0.3">
      <c r="A304" s="704"/>
      <c r="B304" s="570"/>
      <c r="C304" s="570"/>
      <c r="D304" s="708"/>
      <c r="E304" s="829"/>
      <c r="F304" s="709"/>
      <c r="G304" s="570"/>
      <c r="H304" s="292"/>
      <c r="I304" s="626"/>
      <c r="J304" s="570"/>
      <c r="K304" s="292"/>
      <c r="L304" s="362"/>
      <c r="M304" s="335"/>
      <c r="N304" s="570"/>
      <c r="O304" s="570"/>
      <c r="P304" s="298"/>
      <c r="Q304" s="297"/>
      <c r="R304" s="611"/>
      <c r="S304" s="611"/>
      <c r="T304" s="709"/>
      <c r="U304" s="570"/>
      <c r="V304" s="570"/>
      <c r="W304" s="570"/>
      <c r="X304" s="570"/>
      <c r="Y304" s="570"/>
      <c r="Z304" s="570"/>
      <c r="AA304" s="570"/>
      <c r="AB304" s="570"/>
      <c r="AC304" s="570"/>
      <c r="AD304" s="570"/>
      <c r="AE304" s="570"/>
      <c r="AF304" s="570"/>
      <c r="AG304" s="570"/>
      <c r="AH304" s="570"/>
      <c r="AI304" s="570"/>
      <c r="AJ304" s="570"/>
      <c r="AK304" s="570"/>
      <c r="AL304" s="570"/>
      <c r="AM304" s="570"/>
      <c r="AN304" s="570"/>
      <c r="AO304" s="570"/>
      <c r="AP304" s="570"/>
      <c r="AQ304" s="570"/>
      <c r="AR304" s="570"/>
      <c r="AS304" s="570"/>
      <c r="AT304" s="570"/>
      <c r="AU304" s="570"/>
      <c r="AV304" s="588"/>
    </row>
    <row r="305" x14ac:dyDescent="0.3">
      <c r="A305" s="704"/>
      <c r="B305" s="570"/>
      <c r="C305" s="570"/>
      <c r="D305" s="708"/>
      <c r="E305" s="829"/>
      <c r="F305" s="709"/>
      <c r="G305" s="570"/>
      <c r="H305" s="292"/>
      <c r="I305" s="626"/>
      <c r="J305" s="570"/>
      <c r="K305" s="292"/>
      <c r="L305" s="362"/>
      <c r="M305" s="335"/>
      <c r="N305" s="570"/>
      <c r="O305" s="570"/>
      <c r="P305" s="298"/>
      <c r="Q305" s="297"/>
      <c r="R305" s="611"/>
      <c r="S305" s="611"/>
      <c r="T305" s="709"/>
      <c r="U305" s="570"/>
      <c r="V305" s="570"/>
      <c r="W305" s="570"/>
      <c r="X305" s="570"/>
      <c r="Y305" s="570"/>
      <c r="Z305" s="570"/>
      <c r="AA305" s="570"/>
      <c r="AB305" s="570"/>
      <c r="AC305" s="570"/>
      <c r="AD305" s="570"/>
      <c r="AE305" s="570"/>
      <c r="AF305" s="570"/>
      <c r="AG305" s="570"/>
      <c r="AH305" s="570"/>
      <c r="AI305" s="570"/>
      <c r="AJ305" s="570"/>
      <c r="AK305" s="570"/>
      <c r="AL305" s="570"/>
      <c r="AM305" s="570"/>
      <c r="AN305" s="570"/>
      <c r="AO305" s="570"/>
      <c r="AP305" s="570"/>
      <c r="AQ305" s="570"/>
      <c r="AR305" s="570"/>
      <c r="AS305" s="570"/>
      <c r="AT305" s="570"/>
      <c r="AU305" s="570"/>
      <c r="AV305" s="588"/>
    </row>
    <row r="306" x14ac:dyDescent="0.3">
      <c r="A306" s="704"/>
      <c r="B306" s="570"/>
      <c r="C306" s="570"/>
      <c r="D306" s="708"/>
      <c r="E306" s="829"/>
      <c r="F306" s="709"/>
      <c r="G306" s="570"/>
      <c r="H306" s="292"/>
      <c r="I306" s="626"/>
      <c r="J306" s="570"/>
      <c r="K306" s="292"/>
      <c r="L306" s="362"/>
      <c r="M306" s="335"/>
      <c r="N306" s="570"/>
      <c r="O306" s="570"/>
      <c r="P306" s="298"/>
      <c r="Q306" s="297"/>
      <c r="R306" s="611"/>
      <c r="S306" s="611"/>
      <c r="T306" s="709"/>
      <c r="U306" s="570"/>
      <c r="V306" s="570"/>
      <c r="W306" s="570"/>
      <c r="X306" s="570"/>
      <c r="Y306" s="570"/>
      <c r="Z306" s="570"/>
      <c r="AA306" s="570"/>
      <c r="AB306" s="570"/>
      <c r="AC306" s="570"/>
      <c r="AD306" s="570"/>
      <c r="AE306" s="570"/>
      <c r="AF306" s="570"/>
      <c r="AG306" s="570"/>
      <c r="AH306" s="570"/>
      <c r="AI306" s="570"/>
      <c r="AJ306" s="570"/>
      <c r="AK306" s="570"/>
      <c r="AL306" s="570"/>
      <c r="AM306" s="570"/>
      <c r="AN306" s="570"/>
      <c r="AO306" s="570"/>
      <c r="AP306" s="570"/>
      <c r="AQ306" s="570"/>
      <c r="AR306" s="570"/>
      <c r="AS306" s="570"/>
      <c r="AT306" s="570"/>
      <c r="AU306" s="570"/>
      <c r="AV306" s="588"/>
    </row>
    <row r="307" x14ac:dyDescent="0.3">
      <c r="A307" s="704"/>
      <c r="B307" s="570"/>
      <c r="C307" s="570"/>
      <c r="D307" s="708"/>
      <c r="E307" s="829"/>
      <c r="F307" s="709"/>
      <c r="G307" s="570"/>
      <c r="H307" s="292"/>
      <c r="I307" s="626"/>
      <c r="J307" s="570"/>
      <c r="K307" s="292"/>
      <c r="L307" s="362"/>
      <c r="M307" s="335"/>
      <c r="N307" s="570"/>
      <c r="O307" s="570"/>
      <c r="P307" s="298"/>
      <c r="Q307" s="297"/>
      <c r="R307" s="611"/>
      <c r="S307" s="611"/>
      <c r="T307" s="709"/>
      <c r="U307" s="570"/>
      <c r="V307" s="570"/>
      <c r="W307" s="570"/>
      <c r="X307" s="570"/>
      <c r="Y307" s="570"/>
      <c r="Z307" s="570"/>
      <c r="AA307" s="570"/>
      <c r="AB307" s="570"/>
      <c r="AC307" s="570"/>
      <c r="AD307" s="570"/>
      <c r="AE307" s="570"/>
      <c r="AF307" s="570"/>
      <c r="AG307" s="570"/>
      <c r="AH307" s="570"/>
      <c r="AI307" s="570"/>
      <c r="AJ307" s="570"/>
      <c r="AK307" s="570"/>
      <c r="AL307" s="570"/>
      <c r="AM307" s="570"/>
      <c r="AN307" s="570"/>
      <c r="AO307" s="570"/>
      <c r="AP307" s="570"/>
      <c r="AQ307" s="570"/>
      <c r="AR307" s="570"/>
      <c r="AS307" s="570"/>
      <c r="AT307" s="570"/>
      <c r="AU307" s="570"/>
      <c r="AV307" s="588"/>
    </row>
    <row r="308" ht="16.2" thickBot="true" x14ac:dyDescent="0.35">
      <c r="A308" s="704"/>
      <c r="B308" s="570"/>
      <c r="C308" s="570"/>
      <c r="D308" s="708"/>
      <c r="E308" s="1931" t="s">
        <v>1545</v>
      </c>
      <c r="F308" s="1931"/>
      <c r="G308" s="1931"/>
      <c r="H308" s="292"/>
      <c r="I308" s="626"/>
      <c r="J308" s="570"/>
      <c r="K308" s="292"/>
      <c r="L308" s="362"/>
      <c r="M308" s="335"/>
      <c r="N308" s="570"/>
      <c r="O308" s="570"/>
      <c r="P308" s="298"/>
      <c r="Q308" s="297"/>
      <c r="R308" s="611"/>
      <c r="S308" s="611"/>
      <c r="T308" s="709"/>
      <c r="U308" s="570"/>
      <c r="V308" s="570"/>
      <c r="W308" s="570"/>
      <c r="X308" s="570"/>
      <c r="Y308" s="570"/>
      <c r="Z308" s="570"/>
      <c r="AA308" s="570"/>
      <c r="AB308" s="570"/>
      <c r="AC308" s="570"/>
      <c r="AD308" s="570"/>
      <c r="AE308" s="570"/>
      <c r="AF308" s="570"/>
      <c r="AG308" s="570"/>
      <c r="AH308" s="570"/>
      <c r="AI308" s="570"/>
      <c r="AJ308" s="570"/>
      <c r="AK308" s="570"/>
      <c r="AL308" s="570"/>
      <c r="AM308" s="570"/>
      <c r="AN308" s="570"/>
      <c r="AO308" s="570"/>
      <c r="AP308" s="570"/>
      <c r="AQ308" s="570"/>
      <c r="AR308" s="570"/>
      <c r="AS308" s="570"/>
      <c r="AT308" s="570"/>
      <c r="AU308" s="570"/>
      <c r="AV308" s="588"/>
    </row>
    <row r="309" ht="65.25" customHeight="true" x14ac:dyDescent="0.3">
      <c r="A309" s="704"/>
      <c r="B309" s="570"/>
      <c r="C309" s="570"/>
      <c r="D309" s="708"/>
      <c r="E309" s="1860" t="s">
        <v>2236</v>
      </c>
      <c r="F309" s="1861"/>
      <c r="G309" s="1861"/>
      <c r="H309" s="1238">
        <f>SUM(L310:L359)</f>
        <v>0</v>
      </c>
      <c r="I309" s="277" t="s">
        <v>1469</v>
      </c>
      <c r="J309" s="191" t="s">
        <v>1470</v>
      </c>
      <c r="K309" s="1196" t="s">
        <v>2317</v>
      </c>
      <c r="L309" s="191" t="s">
        <v>2319</v>
      </c>
      <c r="M309" s="713" t="s">
        <v>2320</v>
      </c>
      <c r="N309" s="570"/>
      <c r="O309" s="570"/>
      <c r="P309" s="298"/>
      <c r="Q309" s="297"/>
      <c r="R309" s="611"/>
      <c r="S309" s="611"/>
      <c r="T309" s="709"/>
      <c r="U309" s="570"/>
      <c r="V309" s="570"/>
      <c r="W309" s="570"/>
      <c r="X309" s="570"/>
      <c r="Y309" s="570"/>
      <c r="Z309" s="570"/>
      <c r="AA309" s="570"/>
      <c r="AB309" s="570"/>
      <c r="AC309" s="570"/>
      <c r="AD309" s="570"/>
      <c r="AE309" s="570"/>
      <c r="AF309" s="570"/>
      <c r="AG309" s="570"/>
      <c r="AH309" s="570"/>
      <c r="AI309" s="570"/>
      <c r="AJ309" s="570"/>
      <c r="AK309" s="570"/>
      <c r="AL309" s="570"/>
      <c r="AM309" s="570"/>
      <c r="AN309" s="570"/>
      <c r="AO309" s="570"/>
      <c r="AP309" s="570"/>
      <c r="AQ309" s="570"/>
      <c r="AR309" s="570"/>
      <c r="AS309" s="570"/>
      <c r="AT309" s="570"/>
      <c r="AU309" s="570"/>
      <c r="AV309" s="588"/>
    </row>
    <row r="310" ht="22.5" customHeight="true" x14ac:dyDescent="0.3">
      <c r="A310" s="704"/>
      <c r="B310" s="570"/>
      <c r="C310" s="570"/>
      <c r="D310" s="708"/>
      <c r="E310" s="1864" t="s">
        <v>2237</v>
      </c>
      <c r="F310" s="1865"/>
      <c r="G310" s="1865"/>
      <c r="H310" s="1235">
        <f>SUM(M310:M359)</f>
        <v>0</v>
      </c>
      <c r="I310" s="1264">
        <f>I86</f>
        <v>1</v>
      </c>
      <c r="J310" s="202" t="str">
        <f>IF(J86&lt;&gt;"",J86,"")</f>
        <v>Carbon Dioxide</v>
      </c>
      <c r="K310" s="1242">
        <f>K198</f>
        <v>1</v>
      </c>
      <c r="L310" s="1242" t="str">
        <f>IF(OR(K310=3,K310=5),'I. Stream &amp; Compound Data'!L262,IF(K310=4,'I. Stream &amp; Compound Data'!L262-$H$65/$H$64*ABS(L86)/ABS($H$63)*K86,""))</f>
        <v/>
      </c>
      <c r="M310" s="1265" t="str">
        <f>IF(L310&lt;&gt;"",'I. Stream &amp; Compound Data'!P262,"")</f>
        <v/>
      </c>
      <c r="N310" s="570"/>
      <c r="O310" s="570"/>
      <c r="P310" s="298"/>
      <c r="Q310" s="297"/>
      <c r="R310" s="611"/>
      <c r="S310" s="611"/>
      <c r="T310" s="709"/>
      <c r="U310" s="570"/>
      <c r="V310" s="570"/>
      <c r="W310" s="570"/>
      <c r="X310" s="570"/>
      <c r="Y310" s="570"/>
      <c r="Z310" s="570"/>
      <c r="AA310" s="570"/>
      <c r="AB310" s="570"/>
      <c r="AC310" s="570"/>
      <c r="AD310" s="570"/>
      <c r="AE310" s="570"/>
      <c r="AF310" s="570"/>
      <c r="AG310" s="570"/>
      <c r="AH310" s="570"/>
      <c r="AI310" s="570"/>
      <c r="AJ310" s="570"/>
      <c r="AK310" s="570"/>
      <c r="AL310" s="570"/>
      <c r="AM310" s="570"/>
      <c r="AN310" s="570"/>
      <c r="AO310" s="570"/>
      <c r="AP310" s="570"/>
      <c r="AQ310" s="570"/>
      <c r="AR310" s="570"/>
      <c r="AS310" s="570"/>
      <c r="AT310" s="570"/>
      <c r="AU310" s="570"/>
      <c r="AV310" s="588"/>
    </row>
    <row r="311" ht="30" customHeight="true" x14ac:dyDescent="0.3">
      <c r="A311" s="704"/>
      <c r="B311" s="570"/>
      <c r="C311" s="570"/>
      <c r="D311" s="708"/>
      <c r="E311" s="1866" t="s">
        <v>1547</v>
      </c>
      <c r="F311" s="1867"/>
      <c r="G311" s="1867"/>
      <c r="H311" s="1235">
        <f>H309-H310</f>
        <v>0</v>
      </c>
      <c r="I311" s="1264">
        <f t="shared" ref="I311:I359" si="23">I87</f>
        <v>2</v>
      </c>
      <c r="J311" s="202" t="str">
        <f t="shared" ref="J311:J359" si="24">IF(J87&lt;&gt;"",J87,"")</f>
        <v>Water</v>
      </c>
      <c r="K311" s="1242">
        <f t="shared" ref="K311:K359" si="25">K199</f>
        <v>5</v>
      </c>
      <c r="L311" s="1242">
        <f>IF(OR(K311=3,K311=5),'I. Stream &amp; Compound Data'!L263,IF(K311=4,'I. Stream &amp; Compound Data'!L263-$H$65/$H$64*ABS(L87)/ABS($H$63)*K87,""))</f>
        <v>0</v>
      </c>
      <c r="M311" s="1265">
        <f>IF(L311&lt;&gt;"",'I. Stream &amp; Compound Data'!P263,"")</f>
        <v>0</v>
      </c>
      <c r="N311" s="570"/>
      <c r="O311" s="570"/>
      <c r="P311" s="298"/>
      <c r="Q311" s="297"/>
      <c r="R311" s="611"/>
      <c r="S311" s="611"/>
      <c r="T311" s="709"/>
      <c r="U311" s="570"/>
      <c r="V311" s="570"/>
      <c r="W311" s="570"/>
      <c r="X311" s="570"/>
      <c r="Y311" s="570"/>
      <c r="Z311" s="570"/>
      <c r="AA311" s="570"/>
      <c r="AB311" s="570"/>
      <c r="AC311" s="570"/>
      <c r="AD311" s="570"/>
      <c r="AE311" s="570"/>
      <c r="AF311" s="570"/>
      <c r="AG311" s="570"/>
      <c r="AH311" s="570"/>
      <c r="AI311" s="570"/>
      <c r="AJ311" s="570"/>
      <c r="AK311" s="570"/>
      <c r="AL311" s="570"/>
      <c r="AM311" s="570"/>
      <c r="AN311" s="570"/>
      <c r="AO311" s="570"/>
      <c r="AP311" s="570"/>
      <c r="AQ311" s="570"/>
      <c r="AR311" s="570"/>
      <c r="AS311" s="570"/>
      <c r="AT311" s="570"/>
      <c r="AU311" s="570"/>
      <c r="AV311" s="588"/>
    </row>
    <row r="312" ht="19.5" customHeight="true" thickBot="true" x14ac:dyDescent="0.35">
      <c r="A312" s="704"/>
      <c r="B312" s="570"/>
      <c r="C312" s="570"/>
      <c r="D312" s="708"/>
      <c r="E312" s="1862" t="s">
        <v>2233</v>
      </c>
      <c r="F312" s="1863"/>
      <c r="G312" s="1863"/>
      <c r="H312" s="1237">
        <f>HLOOKUP('I. Stream &amp; Compound Data'!G106,H46:AU49,4,FALSE)</f>
        <v>4512.0151204088124</v>
      </c>
      <c r="I312" s="1264">
        <f t="shared" si="23"/>
        <v>3</v>
      </c>
      <c r="J312" s="202" t="str">
        <f t="shared" si="24"/>
        <v>Calcium Oxide</v>
      </c>
      <c r="K312" s="1242">
        <f t="shared" si="25"/>
        <v>1</v>
      </c>
      <c r="L312" s="1242" t="str">
        <f>IF(OR(K312=3,K312=5),'I. Stream &amp; Compound Data'!L264,IF(K312=4,'I. Stream &amp; Compound Data'!L264-$H$65/$H$64*ABS(L88)/ABS($H$63)*K88,""))</f>
        <v/>
      </c>
      <c r="M312" s="1265" t="str">
        <f>IF(L312&lt;&gt;"",'I. Stream &amp; Compound Data'!P264,"")</f>
        <v/>
      </c>
      <c r="N312" s="570"/>
      <c r="O312" s="570"/>
      <c r="P312" s="298"/>
      <c r="Q312" s="297"/>
      <c r="R312" s="611"/>
      <c r="S312" s="611"/>
      <c r="T312" s="709"/>
      <c r="U312" s="570"/>
      <c r="V312" s="570"/>
      <c r="W312" s="570"/>
      <c r="X312" s="570"/>
      <c r="Y312" s="570"/>
      <c r="Z312" s="570"/>
      <c r="AA312" s="570"/>
      <c r="AB312" s="570"/>
      <c r="AC312" s="570"/>
      <c r="AD312" s="570"/>
      <c r="AE312" s="570"/>
      <c r="AF312" s="570"/>
      <c r="AG312" s="570"/>
      <c r="AH312" s="570"/>
      <c r="AI312" s="570"/>
      <c r="AJ312" s="570"/>
      <c r="AK312" s="570"/>
      <c r="AL312" s="570"/>
      <c r="AM312" s="570"/>
      <c r="AN312" s="570"/>
      <c r="AO312" s="570"/>
      <c r="AP312" s="570"/>
      <c r="AQ312" s="570"/>
      <c r="AR312" s="570"/>
      <c r="AS312" s="570"/>
      <c r="AT312" s="570"/>
      <c r="AU312" s="570"/>
      <c r="AV312" s="588"/>
    </row>
    <row r="313" ht="19.5" customHeight="true" x14ac:dyDescent="0.3">
      <c r="A313" s="704"/>
      <c r="B313" s="570"/>
      <c r="C313" s="570"/>
      <c r="D313" s="708"/>
      <c r="E313" s="829"/>
      <c r="F313" s="709"/>
      <c r="G313" s="570"/>
      <c r="H313" s="292"/>
      <c r="I313" s="1262">
        <f t="shared" si="23"/>
        <v>4</v>
      </c>
      <c r="J313" s="202" t="str">
        <f t="shared" si="24"/>
        <v>Calcium Carbonate</v>
      </c>
      <c r="K313" s="1242">
        <f t="shared" si="25"/>
        <v>2</v>
      </c>
      <c r="L313" s="1242" t="str">
        <f>IF(OR(K313=3,K313=5),'I. Stream &amp; Compound Data'!L265,IF(K313=4,'I. Stream &amp; Compound Data'!L265-$H$65/$H$64*ABS(L89)/ABS($H$63)*K89,""))</f>
        <v/>
      </c>
      <c r="M313" s="1265" t="str">
        <f>IF(L313&lt;&gt;"",'I. Stream &amp; Compound Data'!P265,"")</f>
        <v/>
      </c>
      <c r="N313" s="570"/>
      <c r="O313" s="570"/>
      <c r="P313" s="298"/>
      <c r="Q313" s="297"/>
      <c r="R313" s="611"/>
      <c r="S313" s="611"/>
      <c r="T313" s="709"/>
      <c r="U313" s="570"/>
      <c r="V313" s="570"/>
      <c r="W313" s="570"/>
      <c r="X313" s="570"/>
      <c r="Y313" s="570"/>
      <c r="Z313" s="570"/>
      <c r="AA313" s="570"/>
      <c r="AB313" s="570"/>
      <c r="AC313" s="570"/>
      <c r="AD313" s="570"/>
      <c r="AE313" s="570"/>
      <c r="AF313" s="570"/>
      <c r="AG313" s="570"/>
      <c r="AH313" s="570"/>
      <c r="AI313" s="570"/>
      <c r="AJ313" s="570"/>
      <c r="AK313" s="570"/>
      <c r="AL313" s="570"/>
      <c r="AM313" s="570"/>
      <c r="AN313" s="570"/>
      <c r="AO313" s="570"/>
      <c r="AP313" s="570"/>
      <c r="AQ313" s="570"/>
      <c r="AR313" s="570"/>
      <c r="AS313" s="570"/>
      <c r="AT313" s="570"/>
      <c r="AU313" s="570"/>
      <c r="AV313" s="588"/>
    </row>
    <row r="314" ht="19.5" customHeight="true" x14ac:dyDescent="0.3">
      <c r="A314" s="704"/>
      <c r="B314" s="570"/>
      <c r="C314" s="570"/>
      <c r="D314" s="708"/>
      <c r="E314" s="829"/>
      <c r="F314" s="709"/>
      <c r="G314" s="570"/>
      <c r="H314" s="292"/>
      <c r="I314" s="1262">
        <f t="shared" si="23"/>
        <v>5</v>
      </c>
      <c r="J314" s="202" t="str">
        <f t="shared" si="24"/>
        <v/>
      </c>
      <c r="K314" s="1242" t="str">
        <f t="shared" si="25"/>
        <v/>
      </c>
      <c r="L314" s="1242" t="str">
        <f>IF(OR(K314=3,K314=5),'I. Stream &amp; Compound Data'!L266,IF(K314=4,'I. Stream &amp; Compound Data'!L266-$H$65/$H$64*ABS(L90)/ABS($H$63)*K90,""))</f>
        <v/>
      </c>
      <c r="M314" s="1265" t="str">
        <f>IF(L314&lt;&gt;"",'I. Stream &amp; Compound Data'!P266,"")</f>
        <v/>
      </c>
      <c r="N314" s="570"/>
      <c r="O314" s="570"/>
      <c r="P314" s="298"/>
      <c r="Q314" s="297"/>
      <c r="R314" s="611"/>
      <c r="S314" s="611"/>
      <c r="T314" s="709"/>
      <c r="U314" s="570"/>
      <c r="V314" s="570"/>
      <c r="W314" s="570"/>
      <c r="X314" s="570"/>
      <c r="Y314" s="570"/>
      <c r="Z314" s="570"/>
      <c r="AA314" s="570"/>
      <c r="AB314" s="570"/>
      <c r="AC314" s="570"/>
      <c r="AD314" s="570"/>
      <c r="AE314" s="570"/>
      <c r="AF314" s="570"/>
      <c r="AG314" s="570"/>
      <c r="AH314" s="570"/>
      <c r="AI314" s="570"/>
      <c r="AJ314" s="570"/>
      <c r="AK314" s="570"/>
      <c r="AL314" s="570"/>
      <c r="AM314" s="570"/>
      <c r="AN314" s="570"/>
      <c r="AO314" s="570"/>
      <c r="AP314" s="570"/>
      <c r="AQ314" s="570"/>
      <c r="AR314" s="570"/>
      <c r="AS314" s="570"/>
      <c r="AT314" s="570"/>
      <c r="AU314" s="570"/>
      <c r="AV314" s="588"/>
    </row>
    <row r="315" ht="19.5" customHeight="true" x14ac:dyDescent="0.3">
      <c r="A315" s="704"/>
      <c r="B315" s="570"/>
      <c r="C315" s="570"/>
      <c r="D315" s="708"/>
      <c r="E315" s="829"/>
      <c r="F315" s="709"/>
      <c r="G315" s="570"/>
      <c r="H315" s="292"/>
      <c r="I315" s="1262">
        <f t="shared" si="23"/>
        <v>6</v>
      </c>
      <c r="J315" s="202" t="str">
        <f t="shared" si="24"/>
        <v/>
      </c>
      <c r="K315" s="1242" t="str">
        <f t="shared" si="25"/>
        <v/>
      </c>
      <c r="L315" s="1242" t="str">
        <f>IF(OR(K315=3,K315=5),'I. Stream &amp; Compound Data'!L267,IF(K315=4,'I. Stream &amp; Compound Data'!L267-$H$65/$H$64*ABS(L91)/ABS($H$63)*K91,""))</f>
        <v/>
      </c>
      <c r="M315" s="1265" t="str">
        <f>IF(L315&lt;&gt;"",'I. Stream &amp; Compound Data'!P267,"")</f>
        <v/>
      </c>
      <c r="N315" s="570"/>
      <c r="O315" s="570"/>
      <c r="P315" s="298"/>
      <c r="Q315" s="297"/>
      <c r="R315" s="611"/>
      <c r="S315" s="611"/>
      <c r="T315" s="709"/>
      <c r="U315" s="570"/>
      <c r="V315" s="570"/>
      <c r="W315" s="570"/>
      <c r="X315" s="570"/>
      <c r="Y315" s="570"/>
      <c r="Z315" s="570"/>
      <c r="AA315" s="570"/>
      <c r="AB315" s="570"/>
      <c r="AC315" s="570"/>
      <c r="AD315" s="570"/>
      <c r="AE315" s="570"/>
      <c r="AF315" s="570"/>
      <c r="AG315" s="570"/>
      <c r="AH315" s="570"/>
      <c r="AI315" s="570"/>
      <c r="AJ315" s="570"/>
      <c r="AK315" s="570"/>
      <c r="AL315" s="570"/>
      <c r="AM315" s="570"/>
      <c r="AN315" s="570"/>
      <c r="AO315" s="570"/>
      <c r="AP315" s="570"/>
      <c r="AQ315" s="570"/>
      <c r="AR315" s="570"/>
      <c r="AS315" s="570"/>
      <c r="AT315" s="570"/>
      <c r="AU315" s="570"/>
      <c r="AV315" s="588"/>
    </row>
    <row r="316" ht="19.5" customHeight="true" x14ac:dyDescent="0.3">
      <c r="A316" s="704"/>
      <c r="B316" s="570"/>
      <c r="C316" s="570"/>
      <c r="D316" s="708"/>
      <c r="E316" s="829"/>
      <c r="F316" s="709"/>
      <c r="G316" s="570"/>
      <c r="H316" s="292"/>
      <c r="I316" s="1262">
        <f t="shared" si="23"/>
        <v>7</v>
      </c>
      <c r="J316" s="202" t="str">
        <f t="shared" si="24"/>
        <v/>
      </c>
      <c r="K316" s="1242" t="str">
        <f t="shared" si="25"/>
        <v/>
      </c>
      <c r="L316" s="1242" t="str">
        <f>IF(OR(K316=3,K316=5),'I. Stream &amp; Compound Data'!L268,IF(K316=4,'I. Stream &amp; Compound Data'!L268-$H$65/$H$64*ABS(L92)/ABS($H$63)*K92,""))</f>
        <v/>
      </c>
      <c r="M316" s="1265" t="str">
        <f>IF(L316&lt;&gt;"",'I. Stream &amp; Compound Data'!P268,"")</f>
        <v/>
      </c>
      <c r="N316" s="570"/>
      <c r="O316" s="570"/>
      <c r="P316" s="298"/>
      <c r="Q316" s="297"/>
      <c r="R316" s="611"/>
      <c r="S316" s="611"/>
      <c r="T316" s="709"/>
      <c r="U316" s="570"/>
      <c r="V316" s="570"/>
      <c r="W316" s="570"/>
      <c r="X316" s="570"/>
      <c r="Y316" s="570"/>
      <c r="Z316" s="570"/>
      <c r="AA316" s="570"/>
      <c r="AB316" s="570"/>
      <c r="AC316" s="570"/>
      <c r="AD316" s="570"/>
      <c r="AE316" s="570"/>
      <c r="AF316" s="570"/>
      <c r="AG316" s="570"/>
      <c r="AH316" s="570"/>
      <c r="AI316" s="570"/>
      <c r="AJ316" s="570"/>
      <c r="AK316" s="570"/>
      <c r="AL316" s="570"/>
      <c r="AM316" s="570"/>
      <c r="AN316" s="570"/>
      <c r="AO316" s="570"/>
      <c r="AP316" s="570"/>
      <c r="AQ316" s="570"/>
      <c r="AR316" s="570"/>
      <c r="AS316" s="570"/>
      <c r="AT316" s="570"/>
      <c r="AU316" s="570"/>
      <c r="AV316" s="588"/>
    </row>
    <row r="317" ht="19.5" customHeight="true" x14ac:dyDescent="0.3">
      <c r="A317" s="704"/>
      <c r="B317" s="570"/>
      <c r="C317" s="570"/>
      <c r="D317" s="708"/>
      <c r="E317" s="829"/>
      <c r="F317" s="709"/>
      <c r="G317" s="570"/>
      <c r="H317" s="292"/>
      <c r="I317" s="1262">
        <f t="shared" si="23"/>
        <v>8</v>
      </c>
      <c r="J317" s="202" t="str">
        <f t="shared" si="24"/>
        <v/>
      </c>
      <c r="K317" s="1242" t="str">
        <f t="shared" si="25"/>
        <v/>
      </c>
      <c r="L317" s="1242" t="str">
        <f>IF(OR(K317=3,K317=5),'I. Stream &amp; Compound Data'!L269,IF(K317=4,'I. Stream &amp; Compound Data'!L269-$H$65/$H$64*ABS(L93)/ABS($H$63)*K93,""))</f>
        <v/>
      </c>
      <c r="M317" s="1265" t="str">
        <f>IF(L317&lt;&gt;"",'I. Stream &amp; Compound Data'!P269,"")</f>
        <v/>
      </c>
      <c r="N317" s="570"/>
      <c r="O317" s="570"/>
      <c r="P317" s="298"/>
      <c r="Q317" s="297"/>
      <c r="R317" s="611"/>
      <c r="S317" s="611"/>
      <c r="T317" s="709"/>
      <c r="U317" s="570"/>
      <c r="V317" s="570"/>
      <c r="W317" s="570"/>
      <c r="X317" s="570"/>
      <c r="Y317" s="570"/>
      <c r="Z317" s="570"/>
      <c r="AA317" s="570"/>
      <c r="AB317" s="570"/>
      <c r="AC317" s="570"/>
      <c r="AD317" s="570"/>
      <c r="AE317" s="570"/>
      <c r="AF317" s="570"/>
      <c r="AG317" s="570"/>
      <c r="AH317" s="570"/>
      <c r="AI317" s="570"/>
      <c r="AJ317" s="570"/>
      <c r="AK317" s="570"/>
      <c r="AL317" s="570"/>
      <c r="AM317" s="570"/>
      <c r="AN317" s="570"/>
      <c r="AO317" s="570"/>
      <c r="AP317" s="570"/>
      <c r="AQ317" s="570"/>
      <c r="AR317" s="570"/>
      <c r="AS317" s="570"/>
      <c r="AT317" s="570"/>
      <c r="AU317" s="570"/>
      <c r="AV317" s="588"/>
    </row>
    <row r="318" ht="19.5" customHeight="true" x14ac:dyDescent="0.3">
      <c r="A318" s="704"/>
      <c r="B318" s="570"/>
      <c r="C318" s="570"/>
      <c r="D318" s="708"/>
      <c r="E318" s="829"/>
      <c r="F318" s="709"/>
      <c r="G318" s="570"/>
      <c r="H318" s="292"/>
      <c r="I318" s="1262">
        <f t="shared" si="23"/>
        <v>9</v>
      </c>
      <c r="J318" s="202" t="str">
        <f t="shared" si="24"/>
        <v/>
      </c>
      <c r="K318" s="1242" t="str">
        <f t="shared" si="25"/>
        <v/>
      </c>
      <c r="L318" s="1242" t="str">
        <f>IF(OR(K318=3,K318=5),'I. Stream &amp; Compound Data'!L270,IF(K318=4,'I. Stream &amp; Compound Data'!L270-$H$65/$H$64*ABS(L94)/ABS($H$63)*K94,""))</f>
        <v/>
      </c>
      <c r="M318" s="1265" t="str">
        <f>IF(L318&lt;&gt;"",'I. Stream &amp; Compound Data'!P270,"")</f>
        <v/>
      </c>
      <c r="N318" s="570"/>
      <c r="O318" s="570"/>
      <c r="P318" s="298"/>
      <c r="Q318" s="297"/>
      <c r="R318" s="611"/>
      <c r="S318" s="611"/>
      <c r="T318" s="709"/>
      <c r="U318" s="570"/>
      <c r="V318" s="570"/>
      <c r="W318" s="570"/>
      <c r="X318" s="570"/>
      <c r="Y318" s="570"/>
      <c r="Z318" s="570"/>
      <c r="AA318" s="570"/>
      <c r="AB318" s="570"/>
      <c r="AC318" s="570"/>
      <c r="AD318" s="570"/>
      <c r="AE318" s="570"/>
      <c r="AF318" s="570"/>
      <c r="AG318" s="570"/>
      <c r="AH318" s="570"/>
      <c r="AI318" s="570"/>
      <c r="AJ318" s="570"/>
      <c r="AK318" s="570"/>
      <c r="AL318" s="570"/>
      <c r="AM318" s="570"/>
      <c r="AN318" s="570"/>
      <c r="AO318" s="570"/>
      <c r="AP318" s="570"/>
      <c r="AQ318" s="570"/>
      <c r="AR318" s="570"/>
      <c r="AS318" s="570"/>
      <c r="AT318" s="570"/>
      <c r="AU318" s="570"/>
      <c r="AV318" s="588"/>
    </row>
    <row r="319" ht="19.5" customHeight="true" x14ac:dyDescent="0.3">
      <c r="A319" s="704"/>
      <c r="B319" s="570"/>
      <c r="C319" s="570"/>
      <c r="D319" s="708"/>
      <c r="E319" s="829"/>
      <c r="F319" s="709"/>
      <c r="G319" s="570"/>
      <c r="H319" s="292"/>
      <c r="I319" s="1262">
        <f t="shared" si="23"/>
        <v>10</v>
      </c>
      <c r="J319" s="202" t="str">
        <f t="shared" si="24"/>
        <v/>
      </c>
      <c r="K319" s="1242" t="str">
        <f t="shared" si="25"/>
        <v/>
      </c>
      <c r="L319" s="1242" t="str">
        <f>IF(OR(K319=3,K319=5),'I. Stream &amp; Compound Data'!L271,IF(K319=4,'I. Stream &amp; Compound Data'!L271-$H$65/$H$64*ABS(L95)/ABS($H$63)*K95,""))</f>
        <v/>
      </c>
      <c r="M319" s="1265" t="str">
        <f>IF(L319&lt;&gt;"",'I. Stream &amp; Compound Data'!P271,"")</f>
        <v/>
      </c>
      <c r="N319" s="570"/>
      <c r="O319" s="570"/>
      <c r="P319" s="298"/>
      <c r="Q319" s="297"/>
      <c r="R319" s="611"/>
      <c r="S319" s="611"/>
      <c r="T319" s="709"/>
      <c r="U319" s="570"/>
      <c r="V319" s="570"/>
      <c r="W319" s="570"/>
      <c r="X319" s="570"/>
      <c r="Y319" s="570"/>
      <c r="Z319" s="570"/>
      <c r="AA319" s="570"/>
      <c r="AB319" s="570"/>
      <c r="AC319" s="570"/>
      <c r="AD319" s="570"/>
      <c r="AE319" s="570"/>
      <c r="AF319" s="570"/>
      <c r="AG319" s="570"/>
      <c r="AH319" s="570"/>
      <c r="AI319" s="570"/>
      <c r="AJ319" s="570"/>
      <c r="AK319" s="570"/>
      <c r="AL319" s="570"/>
      <c r="AM319" s="570"/>
      <c r="AN319" s="570"/>
      <c r="AO319" s="570"/>
      <c r="AP319" s="570"/>
      <c r="AQ319" s="570"/>
      <c r="AR319" s="570"/>
      <c r="AS319" s="570"/>
      <c r="AT319" s="570"/>
      <c r="AU319" s="570"/>
      <c r="AV319" s="588"/>
    </row>
    <row r="320" ht="19.5" customHeight="true" x14ac:dyDescent="0.3">
      <c r="A320" s="704"/>
      <c r="B320" s="570"/>
      <c r="C320" s="570"/>
      <c r="D320" s="708"/>
      <c r="E320" s="829"/>
      <c r="F320" s="709"/>
      <c r="G320" s="570"/>
      <c r="H320" s="292"/>
      <c r="I320" s="1262">
        <f t="shared" si="23"/>
        <v>11</v>
      </c>
      <c r="J320" s="202" t="str">
        <f t="shared" si="24"/>
        <v/>
      </c>
      <c r="K320" s="1242" t="str">
        <f t="shared" si="25"/>
        <v/>
      </c>
      <c r="L320" s="1242" t="str">
        <f>IF(OR(K320=3,K320=5),'I. Stream &amp; Compound Data'!L272,IF(K320=4,'I. Stream &amp; Compound Data'!L272-$H$65/$H$64*ABS(L96)/ABS($H$63)*K96,""))</f>
        <v/>
      </c>
      <c r="M320" s="1265" t="str">
        <f>IF(L320&lt;&gt;"",'I. Stream &amp; Compound Data'!P272,"")</f>
        <v/>
      </c>
      <c r="N320" s="570"/>
      <c r="O320" s="570"/>
      <c r="P320" s="298"/>
      <c r="Q320" s="297"/>
      <c r="R320" s="611"/>
      <c r="S320" s="611"/>
      <c r="T320" s="709"/>
      <c r="U320" s="570"/>
      <c r="V320" s="570"/>
      <c r="W320" s="570"/>
      <c r="X320" s="570"/>
      <c r="Y320" s="570"/>
      <c r="Z320" s="570"/>
      <c r="AA320" s="570"/>
      <c r="AB320" s="570"/>
      <c r="AC320" s="570"/>
      <c r="AD320" s="570"/>
      <c r="AE320" s="570"/>
      <c r="AF320" s="570"/>
      <c r="AG320" s="570"/>
      <c r="AH320" s="570"/>
      <c r="AI320" s="570"/>
      <c r="AJ320" s="570"/>
      <c r="AK320" s="570"/>
      <c r="AL320" s="570"/>
      <c r="AM320" s="570"/>
      <c r="AN320" s="570"/>
      <c r="AO320" s="570"/>
      <c r="AP320" s="570"/>
      <c r="AQ320" s="570"/>
      <c r="AR320" s="570"/>
      <c r="AS320" s="570"/>
      <c r="AT320" s="570"/>
      <c r="AU320" s="570"/>
      <c r="AV320" s="588"/>
    </row>
    <row r="321" ht="19.5" customHeight="true" x14ac:dyDescent="0.3">
      <c r="A321" s="704"/>
      <c r="B321" s="570"/>
      <c r="C321" s="570"/>
      <c r="D321" s="708"/>
      <c r="E321" s="829"/>
      <c r="F321" s="709"/>
      <c r="G321" s="570"/>
      <c r="H321" s="292"/>
      <c r="I321" s="1262">
        <f t="shared" si="23"/>
        <v>12</v>
      </c>
      <c r="J321" s="202" t="str">
        <f t="shared" si="24"/>
        <v/>
      </c>
      <c r="K321" s="1242" t="str">
        <f t="shared" si="25"/>
        <v/>
      </c>
      <c r="L321" s="1242" t="str">
        <f>IF(OR(K321=3,K321=5),'I. Stream &amp; Compound Data'!L273,IF(K321=4,'I. Stream &amp; Compound Data'!L273-$H$65/$H$64*ABS(L97)/ABS($H$63)*K97,""))</f>
        <v/>
      </c>
      <c r="M321" s="1265" t="str">
        <f>IF(L321&lt;&gt;"",'I. Stream &amp; Compound Data'!P273,"")</f>
        <v/>
      </c>
      <c r="N321" s="570"/>
      <c r="O321" s="570"/>
      <c r="P321" s="298"/>
      <c r="Q321" s="297"/>
      <c r="R321" s="611"/>
      <c r="S321" s="611"/>
      <c r="T321" s="709"/>
      <c r="U321" s="570"/>
      <c r="V321" s="570"/>
      <c r="W321" s="570"/>
      <c r="X321" s="570"/>
      <c r="Y321" s="570"/>
      <c r="Z321" s="570"/>
      <c r="AA321" s="570"/>
      <c r="AB321" s="570"/>
      <c r="AC321" s="570"/>
      <c r="AD321" s="570"/>
      <c r="AE321" s="570"/>
      <c r="AF321" s="570"/>
      <c r="AG321" s="570"/>
      <c r="AH321" s="570"/>
      <c r="AI321" s="570"/>
      <c r="AJ321" s="570"/>
      <c r="AK321" s="570"/>
      <c r="AL321" s="570"/>
      <c r="AM321" s="570"/>
      <c r="AN321" s="570"/>
      <c r="AO321" s="570"/>
      <c r="AP321" s="570"/>
      <c r="AQ321" s="570"/>
      <c r="AR321" s="570"/>
      <c r="AS321" s="570"/>
      <c r="AT321" s="570"/>
      <c r="AU321" s="570"/>
      <c r="AV321" s="588"/>
    </row>
    <row r="322" ht="19.5" customHeight="true" x14ac:dyDescent="0.3">
      <c r="A322" s="704"/>
      <c r="B322" s="570"/>
      <c r="C322" s="570"/>
      <c r="D322" s="708"/>
      <c r="E322" s="829"/>
      <c r="F322" s="709"/>
      <c r="G322" s="570"/>
      <c r="H322" s="292"/>
      <c r="I322" s="1262">
        <f t="shared" si="23"/>
        <v>13</v>
      </c>
      <c r="J322" s="202" t="str">
        <f t="shared" si="24"/>
        <v/>
      </c>
      <c r="K322" s="1242" t="str">
        <f t="shared" si="25"/>
        <v/>
      </c>
      <c r="L322" s="1242" t="str">
        <f>IF(OR(K322=3,K322=5),'I. Stream &amp; Compound Data'!L274,IF(K322=4,'I. Stream &amp; Compound Data'!L274-$H$65/$H$64*ABS(L98)/ABS($H$63)*K98,""))</f>
        <v/>
      </c>
      <c r="M322" s="1265" t="str">
        <f>IF(L322&lt;&gt;"",'I. Stream &amp; Compound Data'!P274,"")</f>
        <v/>
      </c>
      <c r="N322" s="570"/>
      <c r="O322" s="570"/>
      <c r="P322" s="298"/>
      <c r="Q322" s="297"/>
      <c r="R322" s="611"/>
      <c r="S322" s="611"/>
      <c r="T322" s="709"/>
      <c r="U322" s="570"/>
      <c r="V322" s="570"/>
      <c r="W322" s="570"/>
      <c r="X322" s="570"/>
      <c r="Y322" s="570"/>
      <c r="Z322" s="570"/>
      <c r="AA322" s="570"/>
      <c r="AB322" s="570"/>
      <c r="AC322" s="570"/>
      <c r="AD322" s="570"/>
      <c r="AE322" s="570"/>
      <c r="AF322" s="570"/>
      <c r="AG322" s="570"/>
      <c r="AH322" s="570"/>
      <c r="AI322" s="570"/>
      <c r="AJ322" s="570"/>
      <c r="AK322" s="570"/>
      <c r="AL322" s="570"/>
      <c r="AM322" s="570"/>
      <c r="AN322" s="570"/>
      <c r="AO322" s="570"/>
      <c r="AP322" s="570"/>
      <c r="AQ322" s="570"/>
      <c r="AR322" s="570"/>
      <c r="AS322" s="570"/>
      <c r="AT322" s="570"/>
      <c r="AU322" s="570"/>
      <c r="AV322" s="588"/>
    </row>
    <row r="323" ht="19.5" customHeight="true" x14ac:dyDescent="0.3">
      <c r="A323" s="704"/>
      <c r="B323" s="570"/>
      <c r="C323" s="570"/>
      <c r="D323" s="708"/>
      <c r="E323" s="829"/>
      <c r="F323" s="709"/>
      <c r="G323" s="570"/>
      <c r="H323" s="292"/>
      <c r="I323" s="1262">
        <f t="shared" si="23"/>
        <v>14</v>
      </c>
      <c r="J323" s="202" t="str">
        <f t="shared" si="24"/>
        <v/>
      </c>
      <c r="K323" s="1242" t="str">
        <f t="shared" si="25"/>
        <v/>
      </c>
      <c r="L323" s="1242" t="str">
        <f>IF(OR(K323=3,K323=5),'I. Stream &amp; Compound Data'!L275,IF(K323=4,'I. Stream &amp; Compound Data'!L275-$H$65/$H$64*ABS(L99)/ABS($H$63)*K99,""))</f>
        <v/>
      </c>
      <c r="M323" s="1265" t="str">
        <f>IF(L323&lt;&gt;"",'I. Stream &amp; Compound Data'!P275,"")</f>
        <v/>
      </c>
      <c r="N323" s="570"/>
      <c r="O323" s="570"/>
      <c r="P323" s="298"/>
      <c r="Q323" s="297"/>
      <c r="R323" s="611"/>
      <c r="S323" s="611"/>
      <c r="T323" s="709"/>
      <c r="U323" s="570"/>
      <c r="V323" s="570"/>
      <c r="W323" s="570"/>
      <c r="X323" s="570"/>
      <c r="Y323" s="570"/>
      <c r="Z323" s="570"/>
      <c r="AA323" s="570"/>
      <c r="AB323" s="570"/>
      <c r="AC323" s="570"/>
      <c r="AD323" s="570"/>
      <c r="AE323" s="570"/>
      <c r="AF323" s="570"/>
      <c r="AG323" s="570"/>
      <c r="AH323" s="570"/>
      <c r="AI323" s="570"/>
      <c r="AJ323" s="570"/>
      <c r="AK323" s="570"/>
      <c r="AL323" s="570"/>
      <c r="AM323" s="570"/>
      <c r="AN323" s="570"/>
      <c r="AO323" s="570"/>
      <c r="AP323" s="570"/>
      <c r="AQ323" s="570"/>
      <c r="AR323" s="570"/>
      <c r="AS323" s="570"/>
      <c r="AT323" s="570"/>
      <c r="AU323" s="570"/>
      <c r="AV323" s="588"/>
    </row>
    <row r="324" ht="19.5" customHeight="true" x14ac:dyDescent="0.3">
      <c r="A324" s="704"/>
      <c r="B324" s="570"/>
      <c r="C324" s="570"/>
      <c r="D324" s="708"/>
      <c r="E324" s="829"/>
      <c r="F324" s="709"/>
      <c r="G324" s="570"/>
      <c r="H324" s="292"/>
      <c r="I324" s="1262">
        <f t="shared" si="23"/>
        <v>15</v>
      </c>
      <c r="J324" s="202" t="str">
        <f t="shared" si="24"/>
        <v/>
      </c>
      <c r="K324" s="1242" t="str">
        <f t="shared" si="25"/>
        <v/>
      </c>
      <c r="L324" s="1242" t="str">
        <f>IF(OR(K324=3,K324=5),'I. Stream &amp; Compound Data'!L276,IF(K324=4,'I. Stream &amp; Compound Data'!L276-$H$65/$H$64*ABS(L100)/ABS($H$63)*K100,""))</f>
        <v/>
      </c>
      <c r="M324" s="1265" t="str">
        <f>IF(L324&lt;&gt;"",'I. Stream &amp; Compound Data'!P276,"")</f>
        <v/>
      </c>
      <c r="N324" s="570"/>
      <c r="O324" s="570"/>
      <c r="P324" s="298"/>
      <c r="Q324" s="297"/>
      <c r="R324" s="611"/>
      <c r="S324" s="611"/>
      <c r="T324" s="709"/>
      <c r="U324" s="570"/>
      <c r="V324" s="570"/>
      <c r="W324" s="570"/>
      <c r="X324" s="570"/>
      <c r="Y324" s="570"/>
      <c r="Z324" s="570"/>
      <c r="AA324" s="570"/>
      <c r="AB324" s="570"/>
      <c r="AC324" s="570"/>
      <c r="AD324" s="570"/>
      <c r="AE324" s="570"/>
      <c r="AF324" s="570"/>
      <c r="AG324" s="570"/>
      <c r="AH324" s="570"/>
      <c r="AI324" s="570"/>
      <c r="AJ324" s="570"/>
      <c r="AK324" s="570"/>
      <c r="AL324" s="570"/>
      <c r="AM324" s="570"/>
      <c r="AN324" s="570"/>
      <c r="AO324" s="570"/>
      <c r="AP324" s="570"/>
      <c r="AQ324" s="570"/>
      <c r="AR324" s="570"/>
      <c r="AS324" s="570"/>
      <c r="AT324" s="570"/>
      <c r="AU324" s="570"/>
      <c r="AV324" s="588"/>
    </row>
    <row r="325" ht="19.5" customHeight="true" x14ac:dyDescent="0.3">
      <c r="A325" s="704"/>
      <c r="B325" s="570"/>
      <c r="C325" s="570"/>
      <c r="D325" s="708"/>
      <c r="E325" s="829"/>
      <c r="F325" s="709"/>
      <c r="G325" s="570"/>
      <c r="H325" s="292"/>
      <c r="I325" s="1262">
        <f t="shared" si="23"/>
        <v>16</v>
      </c>
      <c r="J325" s="202" t="str">
        <f t="shared" si="24"/>
        <v/>
      </c>
      <c r="K325" s="1242" t="str">
        <f t="shared" si="25"/>
        <v/>
      </c>
      <c r="L325" s="1242" t="str">
        <f>IF(OR(K325=3,K325=5),'I. Stream &amp; Compound Data'!L277,IF(K325=4,'I. Stream &amp; Compound Data'!L277-$H$65/$H$64*ABS(L101)/ABS($H$63)*K101,""))</f>
        <v/>
      </c>
      <c r="M325" s="1265" t="str">
        <f>IF(L325&lt;&gt;"",'I. Stream &amp; Compound Data'!P277,"")</f>
        <v/>
      </c>
      <c r="N325" s="570"/>
      <c r="O325" s="570"/>
      <c r="P325" s="298"/>
      <c r="Q325" s="297"/>
      <c r="R325" s="611"/>
      <c r="S325" s="611"/>
      <c r="T325" s="709"/>
      <c r="U325" s="570"/>
      <c r="V325" s="570"/>
      <c r="W325" s="570"/>
      <c r="X325" s="570"/>
      <c r="Y325" s="570"/>
      <c r="Z325" s="570"/>
      <c r="AA325" s="570"/>
      <c r="AB325" s="570"/>
      <c r="AC325" s="570"/>
      <c r="AD325" s="570"/>
      <c r="AE325" s="570"/>
      <c r="AF325" s="570"/>
      <c r="AG325" s="570"/>
      <c r="AH325" s="570"/>
      <c r="AI325" s="570"/>
      <c r="AJ325" s="570"/>
      <c r="AK325" s="570"/>
      <c r="AL325" s="570"/>
      <c r="AM325" s="570"/>
      <c r="AN325" s="570"/>
      <c r="AO325" s="570"/>
      <c r="AP325" s="570"/>
      <c r="AQ325" s="570"/>
      <c r="AR325" s="570"/>
      <c r="AS325" s="570"/>
      <c r="AT325" s="570"/>
      <c r="AU325" s="570"/>
      <c r="AV325" s="588"/>
    </row>
    <row r="326" ht="19.5" customHeight="true" x14ac:dyDescent="0.3">
      <c r="A326" s="704"/>
      <c r="B326" s="570"/>
      <c r="C326" s="570"/>
      <c r="D326" s="708"/>
      <c r="E326" s="829"/>
      <c r="F326" s="709"/>
      <c r="G326" s="570"/>
      <c r="H326" s="292"/>
      <c r="I326" s="1262">
        <f t="shared" si="23"/>
        <v>17</v>
      </c>
      <c r="J326" s="202" t="str">
        <f t="shared" si="24"/>
        <v/>
      </c>
      <c r="K326" s="1242" t="str">
        <f t="shared" si="25"/>
        <v/>
      </c>
      <c r="L326" s="1242" t="str">
        <f>IF(OR(K326=3,K326=5),'I. Stream &amp; Compound Data'!L278,IF(K326=4,'I. Stream &amp; Compound Data'!L278-$H$65/$H$64*ABS(L102)/ABS($H$63)*K102,""))</f>
        <v/>
      </c>
      <c r="M326" s="1265" t="str">
        <f>IF(L326&lt;&gt;"",'I. Stream &amp; Compound Data'!P278,"")</f>
        <v/>
      </c>
      <c r="N326" s="570"/>
      <c r="O326" s="570"/>
      <c r="P326" s="298"/>
      <c r="Q326" s="297"/>
      <c r="R326" s="611"/>
      <c r="S326" s="611"/>
      <c r="T326" s="709"/>
      <c r="U326" s="570"/>
      <c r="V326" s="570"/>
      <c r="W326" s="570"/>
      <c r="X326" s="570"/>
      <c r="Y326" s="570"/>
      <c r="Z326" s="570"/>
      <c r="AA326" s="570"/>
      <c r="AB326" s="570"/>
      <c r="AC326" s="570"/>
      <c r="AD326" s="570"/>
      <c r="AE326" s="570"/>
      <c r="AF326" s="570"/>
      <c r="AG326" s="570"/>
      <c r="AH326" s="570"/>
      <c r="AI326" s="570"/>
      <c r="AJ326" s="570"/>
      <c r="AK326" s="570"/>
      <c r="AL326" s="570"/>
      <c r="AM326" s="570"/>
      <c r="AN326" s="570"/>
      <c r="AO326" s="570"/>
      <c r="AP326" s="570"/>
      <c r="AQ326" s="570"/>
      <c r="AR326" s="570"/>
      <c r="AS326" s="570"/>
      <c r="AT326" s="570"/>
      <c r="AU326" s="570"/>
      <c r="AV326" s="588"/>
    </row>
    <row r="327" ht="19.5" customHeight="true" x14ac:dyDescent="0.3">
      <c r="A327" s="704"/>
      <c r="B327" s="570"/>
      <c r="C327" s="570"/>
      <c r="D327" s="708"/>
      <c r="E327" s="829"/>
      <c r="F327" s="709"/>
      <c r="G327" s="570"/>
      <c r="H327" s="292"/>
      <c r="I327" s="1262">
        <f>I103</f>
        <v>18</v>
      </c>
      <c r="J327" s="202" t="str">
        <f>IF(J103&lt;&gt;"",J103,"")</f>
        <v/>
      </c>
      <c r="K327" s="1242" t="str">
        <f>K215</f>
        <v/>
      </c>
      <c r="L327" s="1242" t="str">
        <f>IF(OR(K327=3,K327=5),'I. Stream &amp; Compound Data'!L279,IF(K327=4,'I. Stream &amp; Compound Data'!L279-$H$65/$H$64*ABS(L103)/ABS($H$63)*K103,""))</f>
        <v/>
      </c>
      <c r="M327" s="1265" t="str">
        <f>IF(L327&lt;&gt;"",'I. Stream &amp; Compound Data'!P279,"")</f>
        <v/>
      </c>
      <c r="N327" s="570"/>
      <c r="O327" s="570"/>
      <c r="P327" s="298"/>
      <c r="Q327" s="297"/>
      <c r="R327" s="611"/>
      <c r="S327" s="611"/>
      <c r="T327" s="709"/>
      <c r="U327" s="570"/>
      <c r="V327" s="570"/>
      <c r="W327" s="570"/>
      <c r="X327" s="570"/>
      <c r="Y327" s="570"/>
      <c r="Z327" s="570"/>
      <c r="AA327" s="570"/>
      <c r="AB327" s="570"/>
      <c r="AC327" s="570"/>
      <c r="AD327" s="570"/>
      <c r="AE327" s="570"/>
      <c r="AF327" s="570"/>
      <c r="AG327" s="570"/>
      <c r="AH327" s="570"/>
      <c r="AI327" s="570"/>
      <c r="AJ327" s="570"/>
      <c r="AK327" s="570"/>
      <c r="AL327" s="570"/>
      <c r="AM327" s="570"/>
      <c r="AN327" s="570"/>
      <c r="AO327" s="570"/>
      <c r="AP327" s="570"/>
      <c r="AQ327" s="570"/>
      <c r="AR327" s="570"/>
      <c r="AS327" s="570"/>
      <c r="AT327" s="570"/>
      <c r="AU327" s="570"/>
      <c r="AV327" s="588"/>
    </row>
    <row r="328" ht="19.5" customHeight="true" x14ac:dyDescent="0.3">
      <c r="A328" s="704"/>
      <c r="B328" s="570"/>
      <c r="C328" s="570"/>
      <c r="D328" s="708"/>
      <c r="E328" s="829"/>
      <c r="F328" s="709"/>
      <c r="G328" s="570"/>
      <c r="H328" s="292"/>
      <c r="I328" s="1262">
        <f t="shared" si="23"/>
        <v>19</v>
      </c>
      <c r="J328" s="202" t="str">
        <f t="shared" si="24"/>
        <v/>
      </c>
      <c r="K328" s="1242" t="str">
        <f t="shared" si="25"/>
        <v/>
      </c>
      <c r="L328" s="1242" t="str">
        <f>IF(OR(K328=3,K328=5),'I. Stream &amp; Compound Data'!L280,IF(K328=4,'I. Stream &amp; Compound Data'!L280-$H$65/$H$64*ABS(L104)/ABS($H$63)*K104,""))</f>
        <v/>
      </c>
      <c r="M328" s="1265" t="str">
        <f>IF(L328&lt;&gt;"",'I. Stream &amp; Compound Data'!P280,"")</f>
        <v/>
      </c>
      <c r="N328" s="570"/>
      <c r="O328" s="570"/>
      <c r="P328" s="298"/>
      <c r="Q328" s="297"/>
      <c r="R328" s="611"/>
      <c r="S328" s="611"/>
      <c r="T328" s="709"/>
      <c r="U328" s="570"/>
      <c r="V328" s="570"/>
      <c r="W328" s="570"/>
      <c r="X328" s="570"/>
      <c r="Y328" s="570"/>
      <c r="Z328" s="570"/>
      <c r="AA328" s="570"/>
      <c r="AB328" s="570"/>
      <c r="AC328" s="570"/>
      <c r="AD328" s="570"/>
      <c r="AE328" s="570"/>
      <c r="AF328" s="570"/>
      <c r="AG328" s="570"/>
      <c r="AH328" s="570"/>
      <c r="AI328" s="570"/>
      <c r="AJ328" s="570"/>
      <c r="AK328" s="570"/>
      <c r="AL328" s="570"/>
      <c r="AM328" s="570"/>
      <c r="AN328" s="570"/>
      <c r="AO328" s="570"/>
      <c r="AP328" s="570"/>
      <c r="AQ328" s="570"/>
      <c r="AR328" s="570"/>
      <c r="AS328" s="570"/>
      <c r="AT328" s="570"/>
      <c r="AU328" s="570"/>
      <c r="AV328" s="588"/>
    </row>
    <row r="329" ht="19.5" customHeight="true" x14ac:dyDescent="0.3">
      <c r="A329" s="704"/>
      <c r="B329" s="570"/>
      <c r="C329" s="570"/>
      <c r="D329" s="708"/>
      <c r="E329" s="829"/>
      <c r="F329" s="709"/>
      <c r="G329" s="570"/>
      <c r="H329" s="292"/>
      <c r="I329" s="1262">
        <f t="shared" si="23"/>
        <v>20</v>
      </c>
      <c r="J329" s="202" t="str">
        <f t="shared" si="24"/>
        <v/>
      </c>
      <c r="K329" s="1242" t="str">
        <f t="shared" si="25"/>
        <v/>
      </c>
      <c r="L329" s="1242" t="str">
        <f>IF(OR(K329=3,K329=5),'I. Stream &amp; Compound Data'!L281,IF(K329=4,'I. Stream &amp; Compound Data'!L281-$H$65/$H$64*ABS(L105)/ABS($H$63)*K105,""))</f>
        <v/>
      </c>
      <c r="M329" s="1265" t="str">
        <f>IF(L329&lt;&gt;"",'I. Stream &amp; Compound Data'!P281,"")</f>
        <v/>
      </c>
      <c r="N329" s="570"/>
      <c r="O329" s="570"/>
      <c r="P329" s="298"/>
      <c r="Q329" s="297"/>
      <c r="R329" s="611"/>
      <c r="S329" s="611"/>
      <c r="T329" s="709"/>
      <c r="U329" s="570"/>
      <c r="V329" s="570"/>
      <c r="W329" s="570"/>
      <c r="X329" s="570"/>
      <c r="Y329" s="570"/>
      <c r="Z329" s="570"/>
      <c r="AA329" s="570"/>
      <c r="AB329" s="570"/>
      <c r="AC329" s="570"/>
      <c r="AD329" s="570"/>
      <c r="AE329" s="570"/>
      <c r="AF329" s="570"/>
      <c r="AG329" s="570"/>
      <c r="AH329" s="570"/>
      <c r="AI329" s="570"/>
      <c r="AJ329" s="570"/>
      <c r="AK329" s="570"/>
      <c r="AL329" s="570"/>
      <c r="AM329" s="570"/>
      <c r="AN329" s="570"/>
      <c r="AO329" s="570"/>
      <c r="AP329" s="570"/>
      <c r="AQ329" s="570"/>
      <c r="AR329" s="570"/>
      <c r="AS329" s="570"/>
      <c r="AT329" s="570"/>
      <c r="AU329" s="570"/>
      <c r="AV329" s="588"/>
    </row>
    <row r="330" ht="19.5" customHeight="true" x14ac:dyDescent="0.3">
      <c r="A330" s="704"/>
      <c r="B330" s="570"/>
      <c r="C330" s="570"/>
      <c r="D330" s="708"/>
      <c r="E330" s="829"/>
      <c r="F330" s="709"/>
      <c r="G330" s="570"/>
      <c r="H330" s="292"/>
      <c r="I330" s="1262">
        <f t="shared" si="23"/>
        <v>21</v>
      </c>
      <c r="J330" s="202" t="str">
        <f t="shared" si="24"/>
        <v/>
      </c>
      <c r="K330" s="1242" t="str">
        <f t="shared" si="25"/>
        <v/>
      </c>
      <c r="L330" s="1242" t="str">
        <f>IF(OR(K330=3,K330=5),'I. Stream &amp; Compound Data'!L282,IF(K330=4,'I. Stream &amp; Compound Data'!L282-$H$65/$H$64*ABS(L106)/ABS($H$63)*K106,""))</f>
        <v/>
      </c>
      <c r="M330" s="1265" t="str">
        <f>IF(L330&lt;&gt;"",'I. Stream &amp; Compound Data'!P282,"")</f>
        <v/>
      </c>
      <c r="N330" s="570"/>
      <c r="O330" s="570"/>
      <c r="P330" s="298"/>
      <c r="Q330" s="297"/>
      <c r="R330" s="611"/>
      <c r="S330" s="611"/>
      <c r="T330" s="709"/>
      <c r="U330" s="570"/>
      <c r="V330" s="570"/>
      <c r="W330" s="570"/>
      <c r="X330" s="570"/>
      <c r="Y330" s="570"/>
      <c r="Z330" s="570"/>
      <c r="AA330" s="570"/>
      <c r="AB330" s="570"/>
      <c r="AC330" s="570"/>
      <c r="AD330" s="570"/>
      <c r="AE330" s="570"/>
      <c r="AF330" s="570"/>
      <c r="AG330" s="570"/>
      <c r="AH330" s="570"/>
      <c r="AI330" s="570"/>
      <c r="AJ330" s="570"/>
      <c r="AK330" s="570"/>
      <c r="AL330" s="570"/>
      <c r="AM330" s="570"/>
      <c r="AN330" s="570"/>
      <c r="AO330" s="570"/>
      <c r="AP330" s="570"/>
      <c r="AQ330" s="570"/>
      <c r="AR330" s="570"/>
      <c r="AS330" s="570"/>
      <c r="AT330" s="570"/>
      <c r="AU330" s="570"/>
      <c r="AV330" s="588"/>
    </row>
    <row r="331" ht="19.5" customHeight="true" x14ac:dyDescent="0.3">
      <c r="A331" s="704"/>
      <c r="B331" s="570"/>
      <c r="C331" s="570"/>
      <c r="D331" s="708"/>
      <c r="E331" s="829"/>
      <c r="F331" s="709"/>
      <c r="G331" s="570"/>
      <c r="H331" s="292"/>
      <c r="I331" s="1262">
        <f t="shared" si="23"/>
        <v>22</v>
      </c>
      <c r="J331" s="202" t="str">
        <f t="shared" si="24"/>
        <v/>
      </c>
      <c r="K331" s="1242" t="str">
        <f t="shared" si="25"/>
        <v/>
      </c>
      <c r="L331" s="1242" t="str">
        <f>IF(OR(K331=3,K331=5),'I. Stream &amp; Compound Data'!L283,IF(K331=4,'I. Stream &amp; Compound Data'!L283-$H$65/$H$64*ABS(L107)/ABS($H$63)*K107,""))</f>
        <v/>
      </c>
      <c r="M331" s="1265" t="str">
        <f>IF(L331&lt;&gt;"",'I. Stream &amp; Compound Data'!P283,"")</f>
        <v/>
      </c>
      <c r="N331" s="570"/>
      <c r="O331" s="570"/>
      <c r="P331" s="298"/>
      <c r="Q331" s="297"/>
      <c r="R331" s="611"/>
      <c r="S331" s="611"/>
      <c r="T331" s="709"/>
      <c r="U331" s="570"/>
      <c r="V331" s="570"/>
      <c r="W331" s="570"/>
      <c r="X331" s="570"/>
      <c r="Y331" s="570"/>
      <c r="Z331" s="570"/>
      <c r="AA331" s="570"/>
      <c r="AB331" s="570"/>
      <c r="AC331" s="570"/>
      <c r="AD331" s="570"/>
      <c r="AE331" s="570"/>
      <c r="AF331" s="570"/>
      <c r="AG331" s="570"/>
      <c r="AH331" s="570"/>
      <c r="AI331" s="570"/>
      <c r="AJ331" s="570"/>
      <c r="AK331" s="570"/>
      <c r="AL331" s="570"/>
      <c r="AM331" s="570"/>
      <c r="AN331" s="570"/>
      <c r="AO331" s="570"/>
      <c r="AP331" s="570"/>
      <c r="AQ331" s="570"/>
      <c r="AR331" s="570"/>
      <c r="AS331" s="570"/>
      <c r="AT331" s="570"/>
      <c r="AU331" s="570"/>
      <c r="AV331" s="588"/>
    </row>
    <row r="332" ht="19.5" customHeight="true" x14ac:dyDescent="0.3">
      <c r="A332" s="704"/>
      <c r="B332" s="570"/>
      <c r="C332" s="570"/>
      <c r="D332" s="708"/>
      <c r="E332" s="829"/>
      <c r="F332" s="709"/>
      <c r="G332" s="570"/>
      <c r="H332" s="292"/>
      <c r="I332" s="1262">
        <f t="shared" si="23"/>
        <v>23</v>
      </c>
      <c r="J332" s="202" t="str">
        <f t="shared" si="24"/>
        <v/>
      </c>
      <c r="K332" s="1242" t="str">
        <f t="shared" si="25"/>
        <v/>
      </c>
      <c r="L332" s="1242" t="str">
        <f>IF(OR(K332=3,K332=5),'I. Stream &amp; Compound Data'!L284,IF(K332=4,'I. Stream &amp; Compound Data'!L284-$H$65/$H$64*ABS(L108)/ABS($H$63)*K108,""))</f>
        <v/>
      </c>
      <c r="M332" s="1265" t="str">
        <f>IF(L332&lt;&gt;"",'I. Stream &amp; Compound Data'!P284,"")</f>
        <v/>
      </c>
      <c r="N332" s="570"/>
      <c r="O332" s="570"/>
      <c r="P332" s="298"/>
      <c r="Q332" s="297"/>
      <c r="R332" s="611"/>
      <c r="S332" s="611"/>
      <c r="T332" s="709"/>
      <c r="U332" s="570"/>
      <c r="V332" s="570"/>
      <c r="W332" s="570"/>
      <c r="X332" s="570"/>
      <c r="Y332" s="570"/>
      <c r="Z332" s="570"/>
      <c r="AA332" s="570"/>
      <c r="AB332" s="570"/>
      <c r="AC332" s="570"/>
      <c r="AD332" s="570"/>
      <c r="AE332" s="570"/>
      <c r="AF332" s="570"/>
      <c r="AG332" s="570"/>
      <c r="AH332" s="570"/>
      <c r="AI332" s="570"/>
      <c r="AJ332" s="570"/>
      <c r="AK332" s="570"/>
      <c r="AL332" s="570"/>
      <c r="AM332" s="570"/>
      <c r="AN332" s="570"/>
      <c r="AO332" s="570"/>
      <c r="AP332" s="570"/>
      <c r="AQ332" s="570"/>
      <c r="AR332" s="570"/>
      <c r="AS332" s="570"/>
      <c r="AT332" s="570"/>
      <c r="AU332" s="570"/>
      <c r="AV332" s="588"/>
    </row>
    <row r="333" ht="19.5" customHeight="true" x14ac:dyDescent="0.3">
      <c r="A333" s="704"/>
      <c r="B333" s="570"/>
      <c r="C333" s="570"/>
      <c r="D333" s="708"/>
      <c r="E333" s="829"/>
      <c r="F333" s="709"/>
      <c r="G333" s="570"/>
      <c r="H333" s="292"/>
      <c r="I333" s="1262">
        <f t="shared" si="23"/>
        <v>24</v>
      </c>
      <c r="J333" s="202" t="str">
        <f t="shared" si="24"/>
        <v/>
      </c>
      <c r="K333" s="1242" t="str">
        <f t="shared" si="25"/>
        <v/>
      </c>
      <c r="L333" s="1242" t="str">
        <f>IF(OR(K333=3,K333=5),'I. Stream &amp; Compound Data'!L285,IF(K333=4,'I. Stream &amp; Compound Data'!L285-$H$65/$H$64*ABS(L109)/ABS($H$63)*K109,""))</f>
        <v/>
      </c>
      <c r="M333" s="1265" t="str">
        <f>IF(L333&lt;&gt;"",'I. Stream &amp; Compound Data'!P285,"")</f>
        <v/>
      </c>
      <c r="N333" s="570"/>
      <c r="O333" s="570"/>
      <c r="P333" s="298"/>
      <c r="Q333" s="297"/>
      <c r="R333" s="611"/>
      <c r="S333" s="611"/>
      <c r="T333" s="709"/>
      <c r="U333" s="570"/>
      <c r="V333" s="570"/>
      <c r="W333" s="570"/>
      <c r="X333" s="570"/>
      <c r="Y333" s="570"/>
      <c r="Z333" s="570"/>
      <c r="AA333" s="570"/>
      <c r="AB333" s="570"/>
      <c r="AC333" s="570"/>
      <c r="AD333" s="570"/>
      <c r="AE333" s="570"/>
      <c r="AF333" s="570"/>
      <c r="AG333" s="570"/>
      <c r="AH333" s="570"/>
      <c r="AI333" s="570"/>
      <c r="AJ333" s="570"/>
      <c r="AK333" s="570"/>
      <c r="AL333" s="570"/>
      <c r="AM333" s="570"/>
      <c r="AN333" s="570"/>
      <c r="AO333" s="570"/>
      <c r="AP333" s="570"/>
      <c r="AQ333" s="570"/>
      <c r="AR333" s="570"/>
      <c r="AS333" s="570"/>
      <c r="AT333" s="570"/>
      <c r="AU333" s="570"/>
      <c r="AV333" s="588"/>
    </row>
    <row r="334" ht="19.5" customHeight="true" x14ac:dyDescent="0.3">
      <c r="A334" s="704"/>
      <c r="B334" s="570"/>
      <c r="C334" s="570"/>
      <c r="D334" s="708"/>
      <c r="E334" s="829"/>
      <c r="F334" s="709"/>
      <c r="G334" s="570"/>
      <c r="H334" s="292"/>
      <c r="I334" s="1262">
        <f t="shared" si="23"/>
        <v>25</v>
      </c>
      <c r="J334" s="202" t="str">
        <f t="shared" si="24"/>
        <v/>
      </c>
      <c r="K334" s="1242" t="str">
        <f t="shared" si="25"/>
        <v/>
      </c>
      <c r="L334" s="1242" t="str">
        <f>IF(OR(K334=3,K334=5),'I. Stream &amp; Compound Data'!L286,IF(K334=4,'I. Stream &amp; Compound Data'!L286-$H$65/$H$64*ABS(L110)/ABS($H$63)*K110,""))</f>
        <v/>
      </c>
      <c r="M334" s="1265" t="str">
        <f>IF(L334&lt;&gt;"",'I. Stream &amp; Compound Data'!P286,"")</f>
        <v/>
      </c>
      <c r="N334" s="570"/>
      <c r="O334" s="570"/>
      <c r="P334" s="298"/>
      <c r="Q334" s="297"/>
      <c r="R334" s="611"/>
      <c r="S334" s="611"/>
      <c r="T334" s="709"/>
      <c r="U334" s="570"/>
      <c r="V334" s="570"/>
      <c r="W334" s="570"/>
      <c r="X334" s="570"/>
      <c r="Y334" s="570"/>
      <c r="Z334" s="570"/>
      <c r="AA334" s="570"/>
      <c r="AB334" s="570"/>
      <c r="AC334" s="570"/>
      <c r="AD334" s="570"/>
      <c r="AE334" s="570"/>
      <c r="AF334" s="570"/>
      <c r="AG334" s="570"/>
      <c r="AH334" s="570"/>
      <c r="AI334" s="570"/>
      <c r="AJ334" s="570"/>
      <c r="AK334" s="570"/>
      <c r="AL334" s="570"/>
      <c r="AM334" s="570"/>
      <c r="AN334" s="570"/>
      <c r="AO334" s="570"/>
      <c r="AP334" s="570"/>
      <c r="AQ334" s="570"/>
      <c r="AR334" s="570"/>
      <c r="AS334" s="570"/>
      <c r="AT334" s="570"/>
      <c r="AU334" s="570"/>
      <c r="AV334" s="588"/>
    </row>
    <row r="335" ht="19.5" customHeight="true" x14ac:dyDescent="0.3">
      <c r="A335" s="704"/>
      <c r="B335" s="570"/>
      <c r="C335" s="570"/>
      <c r="D335" s="708"/>
      <c r="E335" s="829"/>
      <c r="F335" s="709"/>
      <c r="G335" s="570"/>
      <c r="H335" s="292"/>
      <c r="I335" s="1262">
        <f t="shared" si="23"/>
        <v>26</v>
      </c>
      <c r="J335" s="202" t="str">
        <f t="shared" si="24"/>
        <v/>
      </c>
      <c r="K335" s="1242" t="str">
        <f t="shared" si="25"/>
        <v/>
      </c>
      <c r="L335" s="1242" t="str">
        <f>IF(OR(K335=3,K335=5),'I. Stream &amp; Compound Data'!L287,IF(K335=4,'I. Stream &amp; Compound Data'!L287-$H$65/$H$64*ABS(L111)/ABS($H$63)*K111,""))</f>
        <v/>
      </c>
      <c r="M335" s="1265" t="str">
        <f>IF(L335&lt;&gt;"",'I. Stream &amp; Compound Data'!P287,"")</f>
        <v/>
      </c>
      <c r="N335" s="570"/>
      <c r="O335" s="570"/>
      <c r="P335" s="298"/>
      <c r="Q335" s="297"/>
      <c r="R335" s="611"/>
      <c r="S335" s="611"/>
      <c r="T335" s="709"/>
      <c r="U335" s="570"/>
      <c r="V335" s="570"/>
      <c r="W335" s="570"/>
      <c r="X335" s="570"/>
      <c r="Y335" s="570"/>
      <c r="Z335" s="570"/>
      <c r="AA335" s="570"/>
      <c r="AB335" s="570"/>
      <c r="AC335" s="570"/>
      <c r="AD335" s="570"/>
      <c r="AE335" s="570"/>
      <c r="AF335" s="570"/>
      <c r="AG335" s="570"/>
      <c r="AH335" s="570"/>
      <c r="AI335" s="570"/>
      <c r="AJ335" s="570"/>
      <c r="AK335" s="570"/>
      <c r="AL335" s="570"/>
      <c r="AM335" s="570"/>
      <c r="AN335" s="570"/>
      <c r="AO335" s="570"/>
      <c r="AP335" s="570"/>
      <c r="AQ335" s="570"/>
      <c r="AR335" s="570"/>
      <c r="AS335" s="570"/>
      <c r="AT335" s="570"/>
      <c r="AU335" s="570"/>
      <c r="AV335" s="588"/>
    </row>
    <row r="336" ht="19.5" customHeight="true" x14ac:dyDescent="0.3">
      <c r="A336" s="704"/>
      <c r="B336" s="570"/>
      <c r="C336" s="570"/>
      <c r="D336" s="708"/>
      <c r="E336" s="829"/>
      <c r="F336" s="709"/>
      <c r="G336" s="570"/>
      <c r="H336" s="292"/>
      <c r="I336" s="1262">
        <f t="shared" si="23"/>
        <v>27</v>
      </c>
      <c r="J336" s="202" t="str">
        <f t="shared" si="24"/>
        <v/>
      </c>
      <c r="K336" s="1242" t="str">
        <f t="shared" si="25"/>
        <v/>
      </c>
      <c r="L336" s="1242" t="str">
        <f>IF(OR(K336=3,K336=5),'I. Stream &amp; Compound Data'!L288,IF(K336=4,'I. Stream &amp; Compound Data'!L288-$H$65/$H$64*ABS(L112)/ABS($H$63)*K112,""))</f>
        <v/>
      </c>
      <c r="M336" s="1265" t="str">
        <f>IF(L336&lt;&gt;"",'I. Stream &amp; Compound Data'!P288,"")</f>
        <v/>
      </c>
      <c r="N336" s="570"/>
      <c r="O336" s="570"/>
      <c r="P336" s="298"/>
      <c r="Q336" s="297"/>
      <c r="R336" s="611"/>
      <c r="S336" s="611"/>
      <c r="T336" s="709"/>
      <c r="U336" s="570"/>
      <c r="V336" s="570"/>
      <c r="W336" s="570"/>
      <c r="X336" s="570"/>
      <c r="Y336" s="570"/>
      <c r="Z336" s="570"/>
      <c r="AA336" s="570"/>
      <c r="AB336" s="570"/>
      <c r="AC336" s="570"/>
      <c r="AD336" s="570"/>
      <c r="AE336" s="570"/>
      <c r="AF336" s="570"/>
      <c r="AG336" s="570"/>
      <c r="AH336" s="570"/>
      <c r="AI336" s="570"/>
      <c r="AJ336" s="570"/>
      <c r="AK336" s="570"/>
      <c r="AL336" s="570"/>
      <c r="AM336" s="570"/>
      <c r="AN336" s="570"/>
      <c r="AO336" s="570"/>
      <c r="AP336" s="570"/>
      <c r="AQ336" s="570"/>
      <c r="AR336" s="570"/>
      <c r="AS336" s="570"/>
      <c r="AT336" s="570"/>
      <c r="AU336" s="570"/>
      <c r="AV336" s="588"/>
    </row>
    <row r="337" ht="19.5" customHeight="true" x14ac:dyDescent="0.3">
      <c r="A337" s="704"/>
      <c r="B337" s="570"/>
      <c r="C337" s="570"/>
      <c r="D337" s="708"/>
      <c r="E337" s="829"/>
      <c r="F337" s="709"/>
      <c r="G337" s="570"/>
      <c r="H337" s="292"/>
      <c r="I337" s="1262">
        <f t="shared" si="23"/>
        <v>28</v>
      </c>
      <c r="J337" s="202" t="str">
        <f t="shared" si="24"/>
        <v/>
      </c>
      <c r="K337" s="1242" t="str">
        <f t="shared" si="25"/>
        <v/>
      </c>
      <c r="L337" s="1242" t="str">
        <f>IF(OR(K337=3,K337=5),'I. Stream &amp; Compound Data'!L289,IF(K337=4,'I. Stream &amp; Compound Data'!L289-$H$65/$H$64*ABS(L113)/ABS($H$63)*K113,""))</f>
        <v/>
      </c>
      <c r="M337" s="1265" t="str">
        <f>IF(L337&lt;&gt;"",'I. Stream &amp; Compound Data'!P289,"")</f>
        <v/>
      </c>
      <c r="N337" s="570"/>
      <c r="O337" s="570"/>
      <c r="P337" s="298"/>
      <c r="Q337" s="297"/>
      <c r="R337" s="611"/>
      <c r="S337" s="611"/>
      <c r="T337" s="709"/>
      <c r="U337" s="570"/>
      <c r="V337" s="570"/>
      <c r="W337" s="570"/>
      <c r="X337" s="570"/>
      <c r="Y337" s="570"/>
      <c r="Z337" s="570"/>
      <c r="AA337" s="570"/>
      <c r="AB337" s="570"/>
      <c r="AC337" s="570"/>
      <c r="AD337" s="570"/>
      <c r="AE337" s="570"/>
      <c r="AF337" s="570"/>
      <c r="AG337" s="570"/>
      <c r="AH337" s="570"/>
      <c r="AI337" s="570"/>
      <c r="AJ337" s="570"/>
      <c r="AK337" s="570"/>
      <c r="AL337" s="570"/>
      <c r="AM337" s="570"/>
      <c r="AN337" s="570"/>
      <c r="AO337" s="570"/>
      <c r="AP337" s="570"/>
      <c r="AQ337" s="570"/>
      <c r="AR337" s="570"/>
      <c r="AS337" s="570"/>
      <c r="AT337" s="570"/>
      <c r="AU337" s="570"/>
      <c r="AV337" s="588"/>
    </row>
    <row r="338" ht="19.5" customHeight="true" x14ac:dyDescent="0.3">
      <c r="A338" s="704"/>
      <c r="B338" s="570"/>
      <c r="C338" s="570"/>
      <c r="D338" s="708"/>
      <c r="E338" s="829"/>
      <c r="F338" s="709"/>
      <c r="G338" s="570"/>
      <c r="H338" s="292"/>
      <c r="I338" s="1262">
        <f t="shared" si="23"/>
        <v>29</v>
      </c>
      <c r="J338" s="202" t="str">
        <f t="shared" si="24"/>
        <v/>
      </c>
      <c r="K338" s="1242" t="str">
        <f t="shared" si="25"/>
        <v/>
      </c>
      <c r="L338" s="1242" t="str">
        <f>IF(OR(K338=3,K338=5),'I. Stream &amp; Compound Data'!L290,IF(K338=4,'I. Stream &amp; Compound Data'!L290-$H$65/$H$64*ABS(L114)/ABS($H$63)*K114,""))</f>
        <v/>
      </c>
      <c r="M338" s="1265" t="str">
        <f>IF(L338&lt;&gt;"",'I. Stream &amp; Compound Data'!P290,"")</f>
        <v/>
      </c>
      <c r="N338" s="570"/>
      <c r="O338" s="570"/>
      <c r="P338" s="298"/>
      <c r="Q338" s="297"/>
      <c r="R338" s="611"/>
      <c r="S338" s="611"/>
      <c r="T338" s="709"/>
      <c r="U338" s="570"/>
      <c r="V338" s="570"/>
      <c r="W338" s="570"/>
      <c r="X338" s="570"/>
      <c r="Y338" s="570"/>
      <c r="Z338" s="570"/>
      <c r="AA338" s="570"/>
      <c r="AB338" s="570"/>
      <c r="AC338" s="570"/>
      <c r="AD338" s="570"/>
      <c r="AE338" s="570"/>
      <c r="AF338" s="570"/>
      <c r="AG338" s="570"/>
      <c r="AH338" s="570"/>
      <c r="AI338" s="570"/>
      <c r="AJ338" s="570"/>
      <c r="AK338" s="570"/>
      <c r="AL338" s="570"/>
      <c r="AM338" s="570"/>
      <c r="AN338" s="570"/>
      <c r="AO338" s="570"/>
      <c r="AP338" s="570"/>
      <c r="AQ338" s="570"/>
      <c r="AR338" s="570"/>
      <c r="AS338" s="570"/>
      <c r="AT338" s="570"/>
      <c r="AU338" s="570"/>
      <c r="AV338" s="588"/>
    </row>
    <row r="339" ht="19.5" customHeight="true" x14ac:dyDescent="0.3">
      <c r="A339" s="704"/>
      <c r="B339" s="570"/>
      <c r="C339" s="570"/>
      <c r="D339" s="708"/>
      <c r="E339" s="829"/>
      <c r="F339" s="709"/>
      <c r="G339" s="570"/>
      <c r="H339" s="292"/>
      <c r="I339" s="1262">
        <f t="shared" si="23"/>
        <v>30</v>
      </c>
      <c r="J339" s="202" t="str">
        <f t="shared" si="24"/>
        <v/>
      </c>
      <c r="K339" s="1242" t="str">
        <f t="shared" si="25"/>
        <v/>
      </c>
      <c r="L339" s="1242" t="str">
        <f>IF(OR(K339=3,K339=5),'I. Stream &amp; Compound Data'!L291,IF(K339=4,'I. Stream &amp; Compound Data'!L291-$H$65/$H$64*ABS(L115)/ABS($H$63)*K115,""))</f>
        <v/>
      </c>
      <c r="M339" s="1265" t="str">
        <f>IF(L339&lt;&gt;"",'I. Stream &amp; Compound Data'!P291,"")</f>
        <v/>
      </c>
      <c r="N339" s="570"/>
      <c r="O339" s="570"/>
      <c r="P339" s="298"/>
      <c r="Q339" s="297"/>
      <c r="R339" s="611"/>
      <c r="S339" s="611"/>
      <c r="T339" s="709"/>
      <c r="U339" s="570"/>
      <c r="V339" s="570"/>
      <c r="W339" s="570"/>
      <c r="X339" s="570"/>
      <c r="Y339" s="570"/>
      <c r="Z339" s="570"/>
      <c r="AA339" s="570"/>
      <c r="AB339" s="570"/>
      <c r="AC339" s="570"/>
      <c r="AD339" s="570"/>
      <c r="AE339" s="570"/>
      <c r="AF339" s="570"/>
      <c r="AG339" s="570"/>
      <c r="AH339" s="570"/>
      <c r="AI339" s="570"/>
      <c r="AJ339" s="570"/>
      <c r="AK339" s="570"/>
      <c r="AL339" s="570"/>
      <c r="AM339" s="570"/>
      <c r="AN339" s="570"/>
      <c r="AO339" s="570"/>
      <c r="AP339" s="570"/>
      <c r="AQ339" s="570"/>
      <c r="AR339" s="570"/>
      <c r="AS339" s="570"/>
      <c r="AT339" s="570"/>
      <c r="AU339" s="570"/>
      <c r="AV339" s="588"/>
    </row>
    <row r="340" ht="19.5" customHeight="true" x14ac:dyDescent="0.3">
      <c r="A340" s="704"/>
      <c r="B340" s="570"/>
      <c r="C340" s="570"/>
      <c r="D340" s="708"/>
      <c r="E340" s="829"/>
      <c r="F340" s="709"/>
      <c r="G340" s="570"/>
      <c r="H340" s="292"/>
      <c r="I340" s="1262">
        <f t="shared" si="23"/>
        <v>31</v>
      </c>
      <c r="J340" s="202" t="str">
        <f t="shared" si="24"/>
        <v/>
      </c>
      <c r="K340" s="1242" t="str">
        <f t="shared" si="25"/>
        <v/>
      </c>
      <c r="L340" s="1242" t="str">
        <f>IF(OR(K340=3,K340=5),'I. Stream &amp; Compound Data'!L292,IF(K340=4,'I. Stream &amp; Compound Data'!L292-$H$65/$H$64*ABS(L116)/ABS($H$63)*K116,""))</f>
        <v/>
      </c>
      <c r="M340" s="1265" t="str">
        <f>IF(L340&lt;&gt;"",'I. Stream &amp; Compound Data'!P292,"")</f>
        <v/>
      </c>
      <c r="N340" s="570"/>
      <c r="O340" s="570"/>
      <c r="P340" s="298"/>
      <c r="Q340" s="297"/>
      <c r="R340" s="611"/>
      <c r="S340" s="611"/>
      <c r="T340" s="709"/>
      <c r="U340" s="570"/>
      <c r="V340" s="570"/>
      <c r="W340" s="570"/>
      <c r="X340" s="570"/>
      <c r="Y340" s="570"/>
      <c r="Z340" s="570"/>
      <c r="AA340" s="570"/>
      <c r="AB340" s="570"/>
      <c r="AC340" s="570"/>
      <c r="AD340" s="570"/>
      <c r="AE340" s="570"/>
      <c r="AF340" s="570"/>
      <c r="AG340" s="570"/>
      <c r="AH340" s="570"/>
      <c r="AI340" s="570"/>
      <c r="AJ340" s="570"/>
      <c r="AK340" s="570"/>
      <c r="AL340" s="570"/>
      <c r="AM340" s="570"/>
      <c r="AN340" s="570"/>
      <c r="AO340" s="570"/>
      <c r="AP340" s="570"/>
      <c r="AQ340" s="570"/>
      <c r="AR340" s="570"/>
      <c r="AS340" s="570"/>
      <c r="AT340" s="570"/>
      <c r="AU340" s="570"/>
      <c r="AV340" s="588"/>
    </row>
    <row r="341" ht="19.5" customHeight="true" x14ac:dyDescent="0.3">
      <c r="A341" s="704"/>
      <c r="B341" s="570"/>
      <c r="C341" s="570"/>
      <c r="D341" s="708"/>
      <c r="E341" s="829"/>
      <c r="F341" s="709"/>
      <c r="G341" s="570"/>
      <c r="H341" s="292"/>
      <c r="I341" s="1262">
        <f t="shared" si="23"/>
        <v>32</v>
      </c>
      <c r="J341" s="202" t="str">
        <f t="shared" si="24"/>
        <v/>
      </c>
      <c r="K341" s="1242" t="str">
        <f t="shared" si="25"/>
        <v/>
      </c>
      <c r="L341" s="1242" t="str">
        <f>IF(OR(K341=3,K341=5),'I. Stream &amp; Compound Data'!L293,IF(K341=4,'I. Stream &amp; Compound Data'!L293-$H$65/$H$64*ABS(L117)/ABS($H$63)*K117,""))</f>
        <v/>
      </c>
      <c r="M341" s="1265" t="str">
        <f>IF(L341&lt;&gt;"",'I. Stream &amp; Compound Data'!P293,"")</f>
        <v/>
      </c>
      <c r="N341" s="570"/>
      <c r="O341" s="570"/>
      <c r="P341" s="298"/>
      <c r="Q341" s="297"/>
      <c r="R341" s="611"/>
      <c r="S341" s="611"/>
      <c r="T341" s="709"/>
      <c r="U341" s="570"/>
      <c r="V341" s="570"/>
      <c r="W341" s="570"/>
      <c r="X341" s="570"/>
      <c r="Y341" s="570"/>
      <c r="Z341" s="570"/>
      <c r="AA341" s="570"/>
      <c r="AB341" s="570"/>
      <c r="AC341" s="570"/>
      <c r="AD341" s="570"/>
      <c r="AE341" s="570"/>
      <c r="AF341" s="570"/>
      <c r="AG341" s="570"/>
      <c r="AH341" s="570"/>
      <c r="AI341" s="570"/>
      <c r="AJ341" s="570"/>
      <c r="AK341" s="570"/>
      <c r="AL341" s="570"/>
      <c r="AM341" s="570"/>
      <c r="AN341" s="570"/>
      <c r="AO341" s="570"/>
      <c r="AP341" s="570"/>
      <c r="AQ341" s="570"/>
      <c r="AR341" s="570"/>
      <c r="AS341" s="570"/>
      <c r="AT341" s="570"/>
      <c r="AU341" s="570"/>
      <c r="AV341" s="588"/>
    </row>
    <row r="342" ht="19.5" customHeight="true" x14ac:dyDescent="0.3">
      <c r="A342" s="704"/>
      <c r="B342" s="570"/>
      <c r="C342" s="570"/>
      <c r="D342" s="708"/>
      <c r="E342" s="829"/>
      <c r="F342" s="709"/>
      <c r="G342" s="570"/>
      <c r="H342" s="292"/>
      <c r="I342" s="1262">
        <f t="shared" si="23"/>
        <v>33</v>
      </c>
      <c r="J342" s="202" t="str">
        <f t="shared" si="24"/>
        <v/>
      </c>
      <c r="K342" s="1242" t="str">
        <f t="shared" si="25"/>
        <v/>
      </c>
      <c r="L342" s="1242" t="str">
        <f>IF(OR(K342=3,K342=5),'I. Stream &amp; Compound Data'!L294,IF(K342=4,'I. Stream &amp; Compound Data'!L294-$H$65/$H$64*ABS(L118)/ABS($H$63)*K118,""))</f>
        <v/>
      </c>
      <c r="M342" s="1265" t="str">
        <f>IF(L342&lt;&gt;"",'I. Stream &amp; Compound Data'!P294,"")</f>
        <v/>
      </c>
      <c r="N342" s="570"/>
      <c r="O342" s="570"/>
      <c r="P342" s="298"/>
      <c r="Q342" s="297"/>
      <c r="R342" s="611"/>
      <c r="S342" s="611"/>
      <c r="T342" s="709"/>
      <c r="U342" s="570"/>
      <c r="V342" s="570"/>
      <c r="W342" s="570"/>
      <c r="X342" s="570"/>
      <c r="Y342" s="570"/>
      <c r="Z342" s="570"/>
      <c r="AA342" s="570"/>
      <c r="AB342" s="570"/>
      <c r="AC342" s="570"/>
      <c r="AD342" s="570"/>
      <c r="AE342" s="570"/>
      <c r="AF342" s="570"/>
      <c r="AG342" s="570"/>
      <c r="AH342" s="570"/>
      <c r="AI342" s="570"/>
      <c r="AJ342" s="570"/>
      <c r="AK342" s="570"/>
      <c r="AL342" s="570"/>
      <c r="AM342" s="570"/>
      <c r="AN342" s="570"/>
      <c r="AO342" s="570"/>
      <c r="AP342" s="570"/>
      <c r="AQ342" s="570"/>
      <c r="AR342" s="570"/>
      <c r="AS342" s="570"/>
      <c r="AT342" s="570"/>
      <c r="AU342" s="570"/>
      <c r="AV342" s="588"/>
    </row>
    <row r="343" ht="19.5" customHeight="true" x14ac:dyDescent="0.3">
      <c r="A343" s="704"/>
      <c r="B343" s="570"/>
      <c r="C343" s="570"/>
      <c r="D343" s="708"/>
      <c r="E343" s="829"/>
      <c r="F343" s="709"/>
      <c r="G343" s="570"/>
      <c r="H343" s="292"/>
      <c r="I343" s="1262">
        <f t="shared" si="23"/>
        <v>34</v>
      </c>
      <c r="J343" s="202" t="str">
        <f t="shared" si="24"/>
        <v/>
      </c>
      <c r="K343" s="1242" t="str">
        <f t="shared" si="25"/>
        <v/>
      </c>
      <c r="L343" s="1242" t="str">
        <f>IF(OR(K343=3,K343=5),'I. Stream &amp; Compound Data'!L295,IF(K343=4,'I. Stream &amp; Compound Data'!L295-$H$65/$H$64*ABS(L119)/ABS($H$63)*K119,""))</f>
        <v/>
      </c>
      <c r="M343" s="1265" t="str">
        <f>IF(L343&lt;&gt;"",'I. Stream &amp; Compound Data'!P295,"")</f>
        <v/>
      </c>
      <c r="N343" s="570"/>
      <c r="O343" s="570"/>
      <c r="P343" s="298"/>
      <c r="Q343" s="297"/>
      <c r="R343" s="611"/>
      <c r="S343" s="611"/>
      <c r="T343" s="709"/>
      <c r="U343" s="570"/>
      <c r="V343" s="570"/>
      <c r="W343" s="570"/>
      <c r="X343" s="570"/>
      <c r="Y343" s="570"/>
      <c r="Z343" s="570"/>
      <c r="AA343" s="570"/>
      <c r="AB343" s="570"/>
      <c r="AC343" s="570"/>
      <c r="AD343" s="570"/>
      <c r="AE343" s="570"/>
      <c r="AF343" s="570"/>
      <c r="AG343" s="570"/>
      <c r="AH343" s="570"/>
      <c r="AI343" s="570"/>
      <c r="AJ343" s="570"/>
      <c r="AK343" s="570"/>
      <c r="AL343" s="570"/>
      <c r="AM343" s="570"/>
      <c r="AN343" s="570"/>
      <c r="AO343" s="570"/>
      <c r="AP343" s="570"/>
      <c r="AQ343" s="570"/>
      <c r="AR343" s="570"/>
      <c r="AS343" s="570"/>
      <c r="AT343" s="570"/>
      <c r="AU343" s="570"/>
      <c r="AV343" s="588"/>
    </row>
    <row r="344" ht="19.5" customHeight="true" x14ac:dyDescent="0.3">
      <c r="A344" s="704"/>
      <c r="B344" s="570"/>
      <c r="C344" s="570"/>
      <c r="D344" s="708"/>
      <c r="E344" s="829"/>
      <c r="F344" s="709"/>
      <c r="G344" s="570"/>
      <c r="H344" s="292"/>
      <c r="I344" s="1262">
        <f t="shared" si="23"/>
        <v>35</v>
      </c>
      <c r="J344" s="202" t="str">
        <f t="shared" si="24"/>
        <v/>
      </c>
      <c r="K344" s="1242" t="str">
        <f t="shared" si="25"/>
        <v/>
      </c>
      <c r="L344" s="1242" t="str">
        <f>IF(OR(K344=3,K344=5),'I. Stream &amp; Compound Data'!L296,IF(K344=4,'I. Stream &amp; Compound Data'!L296-$H$65/$H$64*ABS(L120)/ABS($H$63)*K120,""))</f>
        <v/>
      </c>
      <c r="M344" s="1265" t="str">
        <f>IF(L344&lt;&gt;"",'I. Stream &amp; Compound Data'!P296,"")</f>
        <v/>
      </c>
      <c r="N344" s="570"/>
      <c r="O344" s="570"/>
      <c r="P344" s="298"/>
      <c r="Q344" s="297"/>
      <c r="R344" s="611"/>
      <c r="S344" s="611"/>
      <c r="T344" s="709"/>
      <c r="U344" s="570"/>
      <c r="V344" s="570"/>
      <c r="W344" s="570"/>
      <c r="X344" s="570"/>
      <c r="Y344" s="570"/>
      <c r="Z344" s="570"/>
      <c r="AA344" s="570"/>
      <c r="AB344" s="570"/>
      <c r="AC344" s="570"/>
      <c r="AD344" s="570"/>
      <c r="AE344" s="570"/>
      <c r="AF344" s="570"/>
      <c r="AG344" s="570"/>
      <c r="AH344" s="570"/>
      <c r="AI344" s="570"/>
      <c r="AJ344" s="570"/>
      <c r="AK344" s="570"/>
      <c r="AL344" s="570"/>
      <c r="AM344" s="570"/>
      <c r="AN344" s="570"/>
      <c r="AO344" s="570"/>
      <c r="AP344" s="570"/>
      <c r="AQ344" s="570"/>
      <c r="AR344" s="570"/>
      <c r="AS344" s="570"/>
      <c r="AT344" s="570"/>
      <c r="AU344" s="570"/>
      <c r="AV344" s="588"/>
    </row>
    <row r="345" ht="19.5" customHeight="true" x14ac:dyDescent="0.3">
      <c r="A345" s="704"/>
      <c r="B345" s="570"/>
      <c r="C345" s="570"/>
      <c r="D345" s="708"/>
      <c r="E345" s="829"/>
      <c r="F345" s="709"/>
      <c r="G345" s="570"/>
      <c r="H345" s="292"/>
      <c r="I345" s="1262">
        <f t="shared" si="23"/>
        <v>36</v>
      </c>
      <c r="J345" s="202" t="str">
        <f t="shared" si="24"/>
        <v/>
      </c>
      <c r="K345" s="1242" t="str">
        <f t="shared" si="25"/>
        <v/>
      </c>
      <c r="L345" s="1242" t="str">
        <f>IF(OR(K345=3,K345=5),'I. Stream &amp; Compound Data'!L297,IF(K345=4,'I. Stream &amp; Compound Data'!L297-$H$65/$H$64*ABS(L121)/ABS($H$63)*K121,""))</f>
        <v/>
      </c>
      <c r="M345" s="1265" t="str">
        <f>IF(L345&lt;&gt;"",'I. Stream &amp; Compound Data'!P297,"")</f>
        <v/>
      </c>
      <c r="N345" s="570"/>
      <c r="O345" s="570"/>
      <c r="P345" s="298"/>
      <c r="Q345" s="297"/>
      <c r="R345" s="611"/>
      <c r="S345" s="611"/>
      <c r="T345" s="709"/>
      <c r="U345" s="570"/>
      <c r="V345" s="570"/>
      <c r="W345" s="570"/>
      <c r="X345" s="570"/>
      <c r="Y345" s="570"/>
      <c r="Z345" s="570"/>
      <c r="AA345" s="570"/>
      <c r="AB345" s="570"/>
      <c r="AC345" s="570"/>
      <c r="AD345" s="570"/>
      <c r="AE345" s="570"/>
      <c r="AF345" s="570"/>
      <c r="AG345" s="570"/>
      <c r="AH345" s="570"/>
      <c r="AI345" s="570"/>
      <c r="AJ345" s="570"/>
      <c r="AK345" s="570"/>
      <c r="AL345" s="570"/>
      <c r="AM345" s="570"/>
      <c r="AN345" s="570"/>
      <c r="AO345" s="570"/>
      <c r="AP345" s="570"/>
      <c r="AQ345" s="570"/>
      <c r="AR345" s="570"/>
      <c r="AS345" s="570"/>
      <c r="AT345" s="570"/>
      <c r="AU345" s="570"/>
      <c r="AV345" s="588"/>
    </row>
    <row r="346" ht="19.5" customHeight="true" x14ac:dyDescent="0.3">
      <c r="A346" s="704"/>
      <c r="B346" s="570"/>
      <c r="C346" s="570"/>
      <c r="D346" s="708"/>
      <c r="E346" s="829"/>
      <c r="F346" s="709"/>
      <c r="G346" s="570"/>
      <c r="H346" s="292"/>
      <c r="I346" s="1262">
        <f t="shared" si="23"/>
        <v>37</v>
      </c>
      <c r="J346" s="202" t="str">
        <f t="shared" si="24"/>
        <v/>
      </c>
      <c r="K346" s="1242" t="str">
        <f t="shared" si="25"/>
        <v/>
      </c>
      <c r="L346" s="1242" t="str">
        <f>IF(OR(K346=3,K346=5),'I. Stream &amp; Compound Data'!L298,IF(K346=4,'I. Stream &amp; Compound Data'!L298-$H$65/$H$64*ABS(L122)/ABS($H$63)*K122,""))</f>
        <v/>
      </c>
      <c r="M346" s="1265" t="str">
        <f>IF(L346&lt;&gt;"",'I. Stream &amp; Compound Data'!P298,"")</f>
        <v/>
      </c>
      <c r="N346" s="570"/>
      <c r="O346" s="570"/>
      <c r="P346" s="298"/>
      <c r="Q346" s="297"/>
      <c r="R346" s="611"/>
      <c r="S346" s="611"/>
      <c r="T346" s="709"/>
      <c r="U346" s="570"/>
      <c r="V346" s="570"/>
      <c r="W346" s="570"/>
      <c r="X346" s="570"/>
      <c r="Y346" s="570"/>
      <c r="Z346" s="570"/>
      <c r="AA346" s="570"/>
      <c r="AB346" s="570"/>
      <c r="AC346" s="570"/>
      <c r="AD346" s="570"/>
      <c r="AE346" s="570"/>
      <c r="AF346" s="570"/>
      <c r="AG346" s="570"/>
      <c r="AH346" s="570"/>
      <c r="AI346" s="570"/>
      <c r="AJ346" s="570"/>
      <c r="AK346" s="570"/>
      <c r="AL346" s="570"/>
      <c r="AM346" s="570"/>
      <c r="AN346" s="570"/>
      <c r="AO346" s="570"/>
      <c r="AP346" s="570"/>
      <c r="AQ346" s="570"/>
      <c r="AR346" s="570"/>
      <c r="AS346" s="570"/>
      <c r="AT346" s="570"/>
      <c r="AU346" s="570"/>
      <c r="AV346" s="588"/>
    </row>
    <row r="347" ht="19.5" customHeight="true" x14ac:dyDescent="0.3">
      <c r="A347" s="704"/>
      <c r="B347" s="570"/>
      <c r="C347" s="570"/>
      <c r="D347" s="708"/>
      <c r="E347" s="829"/>
      <c r="F347" s="709"/>
      <c r="G347" s="570"/>
      <c r="H347" s="292"/>
      <c r="I347" s="1262">
        <f t="shared" si="23"/>
        <v>38</v>
      </c>
      <c r="J347" s="202" t="str">
        <f t="shared" si="24"/>
        <v/>
      </c>
      <c r="K347" s="1242" t="str">
        <f t="shared" si="25"/>
        <v/>
      </c>
      <c r="L347" s="1242" t="str">
        <f>IF(OR(K347=3,K347=5),'I. Stream &amp; Compound Data'!L299,IF(K347=4,'I. Stream &amp; Compound Data'!L299-$H$65/$H$64*ABS(L123)/ABS($H$63)*K123,""))</f>
        <v/>
      </c>
      <c r="M347" s="1265" t="str">
        <f>IF(L347&lt;&gt;"",'I. Stream &amp; Compound Data'!P299,"")</f>
        <v/>
      </c>
      <c r="N347" s="570"/>
      <c r="O347" s="570"/>
      <c r="P347" s="298"/>
      <c r="Q347" s="297"/>
      <c r="R347" s="611"/>
      <c r="S347" s="611"/>
      <c r="T347" s="709"/>
      <c r="U347" s="570"/>
      <c r="V347" s="570"/>
      <c r="W347" s="570"/>
      <c r="X347" s="570"/>
      <c r="Y347" s="570"/>
      <c r="Z347" s="570"/>
      <c r="AA347" s="570"/>
      <c r="AB347" s="570"/>
      <c r="AC347" s="570"/>
      <c r="AD347" s="570"/>
      <c r="AE347" s="570"/>
      <c r="AF347" s="570"/>
      <c r="AG347" s="570"/>
      <c r="AH347" s="570"/>
      <c r="AI347" s="570"/>
      <c r="AJ347" s="570"/>
      <c r="AK347" s="570"/>
      <c r="AL347" s="570"/>
      <c r="AM347" s="570"/>
      <c r="AN347" s="570"/>
      <c r="AO347" s="570"/>
      <c r="AP347" s="570"/>
      <c r="AQ347" s="570"/>
      <c r="AR347" s="570"/>
      <c r="AS347" s="570"/>
      <c r="AT347" s="570"/>
      <c r="AU347" s="570"/>
      <c r="AV347" s="588"/>
    </row>
    <row r="348" ht="19.5" customHeight="true" x14ac:dyDescent="0.3">
      <c r="A348" s="704"/>
      <c r="B348" s="570"/>
      <c r="C348" s="570"/>
      <c r="D348" s="708"/>
      <c r="E348" s="829"/>
      <c r="F348" s="709"/>
      <c r="G348" s="570"/>
      <c r="H348" s="292"/>
      <c r="I348" s="1262">
        <f t="shared" si="23"/>
        <v>39</v>
      </c>
      <c r="J348" s="202" t="str">
        <f t="shared" si="24"/>
        <v/>
      </c>
      <c r="K348" s="1242" t="str">
        <f t="shared" si="25"/>
        <v/>
      </c>
      <c r="L348" s="1242" t="str">
        <f>IF(OR(K348=3,K348=5),'I. Stream &amp; Compound Data'!L300,IF(K348=4,'I. Stream &amp; Compound Data'!L300-$H$65/$H$64*ABS(L124)/ABS($H$63)*K124,""))</f>
        <v/>
      </c>
      <c r="M348" s="1265" t="str">
        <f>IF(L348&lt;&gt;"",'I. Stream &amp; Compound Data'!P300,"")</f>
        <v/>
      </c>
      <c r="N348" s="570"/>
      <c r="O348" s="570"/>
      <c r="P348" s="298"/>
      <c r="Q348" s="297"/>
      <c r="R348" s="611"/>
      <c r="S348" s="611"/>
      <c r="T348" s="709"/>
      <c r="U348" s="570"/>
      <c r="V348" s="570"/>
      <c r="W348" s="570"/>
      <c r="X348" s="570"/>
      <c r="Y348" s="570"/>
      <c r="Z348" s="570"/>
      <c r="AA348" s="570"/>
      <c r="AB348" s="570"/>
      <c r="AC348" s="570"/>
      <c r="AD348" s="570"/>
      <c r="AE348" s="570"/>
      <c r="AF348" s="570"/>
      <c r="AG348" s="570"/>
      <c r="AH348" s="570"/>
      <c r="AI348" s="570"/>
      <c r="AJ348" s="570"/>
      <c r="AK348" s="570"/>
      <c r="AL348" s="570"/>
      <c r="AM348" s="570"/>
      <c r="AN348" s="570"/>
      <c r="AO348" s="570"/>
      <c r="AP348" s="570"/>
      <c r="AQ348" s="570"/>
      <c r="AR348" s="570"/>
      <c r="AS348" s="570"/>
      <c r="AT348" s="570"/>
      <c r="AU348" s="570"/>
      <c r="AV348" s="588"/>
    </row>
    <row r="349" ht="19.5" customHeight="true" x14ac:dyDescent="0.3">
      <c r="A349" s="704"/>
      <c r="B349" s="570"/>
      <c r="C349" s="570"/>
      <c r="D349" s="708"/>
      <c r="E349" s="829"/>
      <c r="F349" s="709"/>
      <c r="G349" s="570"/>
      <c r="H349" s="292"/>
      <c r="I349" s="1262">
        <f t="shared" si="23"/>
        <v>40</v>
      </c>
      <c r="J349" s="202" t="str">
        <f t="shared" si="24"/>
        <v/>
      </c>
      <c r="K349" s="1242" t="str">
        <f t="shared" si="25"/>
        <v/>
      </c>
      <c r="L349" s="1242" t="str">
        <f>IF(OR(K349=3,K349=5),'I. Stream &amp; Compound Data'!L301,IF(K349=4,'I. Stream &amp; Compound Data'!L301-$H$65/$H$64*ABS(L125)/ABS($H$63)*K125,""))</f>
        <v/>
      </c>
      <c r="M349" s="1265" t="str">
        <f>IF(L349&lt;&gt;"",'I. Stream &amp; Compound Data'!P301,"")</f>
        <v/>
      </c>
      <c r="N349" s="570"/>
      <c r="O349" s="570"/>
      <c r="P349" s="298"/>
      <c r="Q349" s="297"/>
      <c r="R349" s="611"/>
      <c r="S349" s="611"/>
      <c r="T349" s="709"/>
      <c r="U349" s="570"/>
      <c r="V349" s="570"/>
      <c r="W349" s="570"/>
      <c r="X349" s="570"/>
      <c r="Y349" s="570"/>
      <c r="Z349" s="570"/>
      <c r="AA349" s="570"/>
      <c r="AB349" s="570"/>
      <c r="AC349" s="570"/>
      <c r="AD349" s="570"/>
      <c r="AE349" s="570"/>
      <c r="AF349" s="570"/>
      <c r="AG349" s="570"/>
      <c r="AH349" s="570"/>
      <c r="AI349" s="570"/>
      <c r="AJ349" s="570"/>
      <c r="AK349" s="570"/>
      <c r="AL349" s="570"/>
      <c r="AM349" s="570"/>
      <c r="AN349" s="570"/>
      <c r="AO349" s="570"/>
      <c r="AP349" s="570"/>
      <c r="AQ349" s="570"/>
      <c r="AR349" s="570"/>
      <c r="AS349" s="570"/>
      <c r="AT349" s="570"/>
      <c r="AU349" s="570"/>
      <c r="AV349" s="588"/>
    </row>
    <row r="350" ht="19.5" customHeight="true" x14ac:dyDescent="0.3">
      <c r="A350" s="704"/>
      <c r="B350" s="570"/>
      <c r="C350" s="570"/>
      <c r="D350" s="708"/>
      <c r="E350" s="829"/>
      <c r="F350" s="709"/>
      <c r="G350" s="570"/>
      <c r="H350" s="292"/>
      <c r="I350" s="1262">
        <f t="shared" si="23"/>
        <v>41</v>
      </c>
      <c r="J350" s="202" t="str">
        <f t="shared" si="24"/>
        <v/>
      </c>
      <c r="K350" s="1242" t="str">
        <f t="shared" si="25"/>
        <v/>
      </c>
      <c r="L350" s="1242" t="str">
        <f>IF(OR(K350=3,K350=5),'I. Stream &amp; Compound Data'!L302,IF(K350=4,'I. Stream &amp; Compound Data'!L302-$H$65/$H$64*ABS(L126)/ABS($H$63)*K126,""))</f>
        <v/>
      </c>
      <c r="M350" s="1265" t="str">
        <f>IF(L350&lt;&gt;"",'I. Stream &amp; Compound Data'!P302,"")</f>
        <v/>
      </c>
      <c r="N350" s="570"/>
      <c r="O350" s="570"/>
      <c r="P350" s="298"/>
      <c r="Q350" s="297"/>
      <c r="R350" s="611"/>
      <c r="S350" s="611"/>
      <c r="T350" s="709"/>
      <c r="U350" s="570"/>
      <c r="V350" s="570"/>
      <c r="W350" s="570"/>
      <c r="X350" s="570"/>
      <c r="Y350" s="570"/>
      <c r="Z350" s="570"/>
      <c r="AA350" s="570"/>
      <c r="AB350" s="570"/>
      <c r="AC350" s="570"/>
      <c r="AD350" s="570"/>
      <c r="AE350" s="570"/>
      <c r="AF350" s="570"/>
      <c r="AG350" s="570"/>
      <c r="AH350" s="570"/>
      <c r="AI350" s="570"/>
      <c r="AJ350" s="570"/>
      <c r="AK350" s="570"/>
      <c r="AL350" s="570"/>
      <c r="AM350" s="570"/>
      <c r="AN350" s="570"/>
      <c r="AO350" s="570"/>
      <c r="AP350" s="570"/>
      <c r="AQ350" s="570"/>
      <c r="AR350" s="570"/>
      <c r="AS350" s="570"/>
      <c r="AT350" s="570"/>
      <c r="AU350" s="570"/>
      <c r="AV350" s="588"/>
    </row>
    <row r="351" ht="19.5" customHeight="true" x14ac:dyDescent="0.3">
      <c r="A351" s="704"/>
      <c r="B351" s="570"/>
      <c r="C351" s="570"/>
      <c r="D351" s="708"/>
      <c r="E351" s="829"/>
      <c r="F351" s="709"/>
      <c r="G351" s="570"/>
      <c r="H351" s="292"/>
      <c r="I351" s="1262">
        <f t="shared" si="23"/>
        <v>42</v>
      </c>
      <c r="J351" s="202" t="str">
        <f t="shared" si="24"/>
        <v/>
      </c>
      <c r="K351" s="1242" t="str">
        <f t="shared" si="25"/>
        <v/>
      </c>
      <c r="L351" s="1242" t="str">
        <f>IF(OR(K351=3,K351=5),'I. Stream &amp; Compound Data'!L303,IF(K351=4,'I. Stream &amp; Compound Data'!L303-$H$65/$H$64*ABS(L127)/ABS($H$63)*K127,""))</f>
        <v/>
      </c>
      <c r="M351" s="1265" t="str">
        <f>IF(L351&lt;&gt;"",'I. Stream &amp; Compound Data'!P303,"")</f>
        <v/>
      </c>
      <c r="N351" s="570"/>
      <c r="O351" s="570"/>
      <c r="P351" s="298"/>
      <c r="Q351" s="297"/>
      <c r="R351" s="611"/>
      <c r="S351" s="611"/>
      <c r="T351" s="709"/>
      <c r="U351" s="570"/>
      <c r="V351" s="570"/>
      <c r="W351" s="570"/>
      <c r="X351" s="570"/>
      <c r="Y351" s="570"/>
      <c r="Z351" s="570"/>
      <c r="AA351" s="570"/>
      <c r="AB351" s="570"/>
      <c r="AC351" s="570"/>
      <c r="AD351" s="570"/>
      <c r="AE351" s="570"/>
      <c r="AF351" s="570"/>
      <c r="AG351" s="570"/>
      <c r="AH351" s="570"/>
      <c r="AI351" s="570"/>
      <c r="AJ351" s="570"/>
      <c r="AK351" s="570"/>
      <c r="AL351" s="570"/>
      <c r="AM351" s="570"/>
      <c r="AN351" s="570"/>
      <c r="AO351" s="570"/>
      <c r="AP351" s="570"/>
      <c r="AQ351" s="570"/>
      <c r="AR351" s="570"/>
      <c r="AS351" s="570"/>
      <c r="AT351" s="570"/>
      <c r="AU351" s="570"/>
      <c r="AV351" s="588"/>
    </row>
    <row r="352" ht="19.5" customHeight="true" x14ac:dyDescent="0.3">
      <c r="A352" s="704"/>
      <c r="B352" s="570"/>
      <c r="C352" s="570"/>
      <c r="D352" s="708"/>
      <c r="E352" s="829"/>
      <c r="F352" s="709"/>
      <c r="G352" s="570"/>
      <c r="H352" s="292"/>
      <c r="I352" s="1262">
        <f t="shared" si="23"/>
        <v>43</v>
      </c>
      <c r="J352" s="202" t="str">
        <f t="shared" si="24"/>
        <v/>
      </c>
      <c r="K352" s="1242" t="str">
        <f t="shared" si="25"/>
        <v/>
      </c>
      <c r="L352" s="1242" t="str">
        <f>IF(OR(K352=3,K352=5),'I. Stream &amp; Compound Data'!L304,IF(K352=4,'I. Stream &amp; Compound Data'!L304-$H$65/$H$64*ABS(L128)/ABS($H$63)*K128,""))</f>
        <v/>
      </c>
      <c r="M352" s="1265" t="str">
        <f>IF(L352&lt;&gt;"",'I. Stream &amp; Compound Data'!P304,"")</f>
        <v/>
      </c>
      <c r="N352" s="570"/>
      <c r="O352" s="570"/>
      <c r="P352" s="298"/>
      <c r="Q352" s="297"/>
      <c r="R352" s="611"/>
      <c r="S352" s="611"/>
      <c r="T352" s="709"/>
      <c r="U352" s="570"/>
      <c r="V352" s="570"/>
      <c r="W352" s="570"/>
      <c r="X352" s="570"/>
      <c r="Y352" s="570"/>
      <c r="Z352" s="570"/>
      <c r="AA352" s="570"/>
      <c r="AB352" s="570"/>
      <c r="AC352" s="570"/>
      <c r="AD352" s="570"/>
      <c r="AE352" s="570"/>
      <c r="AF352" s="570"/>
      <c r="AG352" s="570"/>
      <c r="AH352" s="570"/>
      <c r="AI352" s="570"/>
      <c r="AJ352" s="570"/>
      <c r="AK352" s="570"/>
      <c r="AL352" s="570"/>
      <c r="AM352" s="570"/>
      <c r="AN352" s="570"/>
      <c r="AO352" s="570"/>
      <c r="AP352" s="570"/>
      <c r="AQ352" s="570"/>
      <c r="AR352" s="570"/>
      <c r="AS352" s="570"/>
      <c r="AT352" s="570"/>
      <c r="AU352" s="570"/>
      <c r="AV352" s="588"/>
    </row>
    <row r="353" ht="19.5" customHeight="true" x14ac:dyDescent="0.3">
      <c r="A353" s="704"/>
      <c r="B353" s="570"/>
      <c r="C353" s="570"/>
      <c r="D353" s="708"/>
      <c r="E353" s="829"/>
      <c r="F353" s="709"/>
      <c r="G353" s="570"/>
      <c r="H353" s="292"/>
      <c r="I353" s="1262">
        <f t="shared" si="23"/>
        <v>44</v>
      </c>
      <c r="J353" s="202" t="str">
        <f t="shared" si="24"/>
        <v/>
      </c>
      <c r="K353" s="1242" t="str">
        <f t="shared" si="25"/>
        <v/>
      </c>
      <c r="L353" s="1242" t="str">
        <f>IF(OR(K353=3,K353=5),'I. Stream &amp; Compound Data'!L305,IF(K353=4,'I. Stream &amp; Compound Data'!L305-$H$65/$H$64*ABS(L129)/ABS($H$63)*K129,""))</f>
        <v/>
      </c>
      <c r="M353" s="1265" t="str">
        <f>IF(L353&lt;&gt;"",'I. Stream &amp; Compound Data'!P305,"")</f>
        <v/>
      </c>
      <c r="N353" s="570"/>
      <c r="O353" s="570"/>
      <c r="P353" s="298"/>
      <c r="Q353" s="297"/>
      <c r="R353" s="611"/>
      <c r="S353" s="611"/>
      <c r="T353" s="709"/>
      <c r="U353" s="570"/>
      <c r="V353" s="570"/>
      <c r="W353" s="570"/>
      <c r="X353" s="570"/>
      <c r="Y353" s="570"/>
      <c r="Z353" s="570"/>
      <c r="AA353" s="570"/>
      <c r="AB353" s="570"/>
      <c r="AC353" s="570"/>
      <c r="AD353" s="570"/>
      <c r="AE353" s="570"/>
      <c r="AF353" s="570"/>
      <c r="AG353" s="570"/>
      <c r="AH353" s="570"/>
      <c r="AI353" s="570"/>
      <c r="AJ353" s="570"/>
      <c r="AK353" s="570"/>
      <c r="AL353" s="570"/>
      <c r="AM353" s="570"/>
      <c r="AN353" s="570"/>
      <c r="AO353" s="570"/>
      <c r="AP353" s="570"/>
      <c r="AQ353" s="570"/>
      <c r="AR353" s="570"/>
      <c r="AS353" s="570"/>
      <c r="AT353" s="570"/>
      <c r="AU353" s="570"/>
      <c r="AV353" s="588"/>
    </row>
    <row r="354" ht="19.5" customHeight="true" x14ac:dyDescent="0.3">
      <c r="A354" s="704"/>
      <c r="B354" s="570"/>
      <c r="C354" s="570"/>
      <c r="D354" s="708"/>
      <c r="E354" s="829"/>
      <c r="F354" s="709"/>
      <c r="G354" s="570"/>
      <c r="H354" s="292"/>
      <c r="I354" s="1262">
        <f t="shared" si="23"/>
        <v>45</v>
      </c>
      <c r="J354" s="202" t="str">
        <f t="shared" si="24"/>
        <v/>
      </c>
      <c r="K354" s="1242" t="str">
        <f t="shared" si="25"/>
        <v/>
      </c>
      <c r="L354" s="1242" t="str">
        <f>IF(OR(K354=3,K354=5),'I. Stream &amp; Compound Data'!L306,IF(K354=4,'I. Stream &amp; Compound Data'!L306-$H$65/$H$64*ABS(L130)/ABS($H$63)*K130,""))</f>
        <v/>
      </c>
      <c r="M354" s="1265" t="str">
        <f>IF(L354&lt;&gt;"",'I. Stream &amp; Compound Data'!P306,"")</f>
        <v/>
      </c>
      <c r="N354" s="570"/>
      <c r="O354" s="570"/>
      <c r="P354" s="298"/>
      <c r="Q354" s="297"/>
      <c r="R354" s="611"/>
      <c r="S354" s="611"/>
      <c r="T354" s="709"/>
      <c r="U354" s="570"/>
      <c r="V354" s="570"/>
      <c r="W354" s="570"/>
      <c r="X354" s="570"/>
      <c r="Y354" s="570"/>
      <c r="Z354" s="570"/>
      <c r="AA354" s="570"/>
      <c r="AB354" s="570"/>
      <c r="AC354" s="570"/>
      <c r="AD354" s="570"/>
      <c r="AE354" s="570"/>
      <c r="AF354" s="570"/>
      <c r="AG354" s="570"/>
      <c r="AH354" s="570"/>
      <c r="AI354" s="570"/>
      <c r="AJ354" s="570"/>
      <c r="AK354" s="570"/>
      <c r="AL354" s="570"/>
      <c r="AM354" s="570"/>
      <c r="AN354" s="570"/>
      <c r="AO354" s="570"/>
      <c r="AP354" s="570"/>
      <c r="AQ354" s="570"/>
      <c r="AR354" s="570"/>
      <c r="AS354" s="570"/>
      <c r="AT354" s="570"/>
      <c r="AU354" s="570"/>
      <c r="AV354" s="588"/>
    </row>
    <row r="355" ht="19.5" customHeight="true" x14ac:dyDescent="0.3">
      <c r="A355" s="704"/>
      <c r="B355" s="570"/>
      <c r="C355" s="570"/>
      <c r="D355" s="708"/>
      <c r="E355" s="829"/>
      <c r="F355" s="709"/>
      <c r="G355" s="570"/>
      <c r="H355" s="292"/>
      <c r="I355" s="1262">
        <f t="shared" si="23"/>
        <v>46</v>
      </c>
      <c r="J355" s="202" t="str">
        <f t="shared" si="24"/>
        <v/>
      </c>
      <c r="K355" s="1242" t="str">
        <f t="shared" si="25"/>
        <v/>
      </c>
      <c r="L355" s="1242" t="str">
        <f>IF(OR(K355=3,K355=5),'I. Stream &amp; Compound Data'!L307,IF(K355=4,'I. Stream &amp; Compound Data'!L307-$H$65/$H$64*ABS(L131)/ABS($H$63)*K131,""))</f>
        <v/>
      </c>
      <c r="M355" s="1265" t="str">
        <f>IF(L355&lt;&gt;"",'I. Stream &amp; Compound Data'!P307,"")</f>
        <v/>
      </c>
      <c r="N355" s="570"/>
      <c r="O355" s="570"/>
      <c r="P355" s="298"/>
      <c r="Q355" s="297"/>
      <c r="R355" s="611"/>
      <c r="S355" s="611"/>
      <c r="T355" s="709"/>
      <c r="U355" s="570"/>
      <c r="V355" s="570"/>
      <c r="W355" s="570"/>
      <c r="X355" s="570"/>
      <c r="Y355" s="570"/>
      <c r="Z355" s="570"/>
      <c r="AA355" s="570"/>
      <c r="AB355" s="570"/>
      <c r="AC355" s="570"/>
      <c r="AD355" s="570"/>
      <c r="AE355" s="570"/>
      <c r="AF355" s="570"/>
      <c r="AG355" s="570"/>
      <c r="AH355" s="570"/>
      <c r="AI355" s="570"/>
      <c r="AJ355" s="570"/>
      <c r="AK355" s="570"/>
      <c r="AL355" s="570"/>
      <c r="AM355" s="570"/>
      <c r="AN355" s="570"/>
      <c r="AO355" s="570"/>
      <c r="AP355" s="570"/>
      <c r="AQ355" s="570"/>
      <c r="AR355" s="570"/>
      <c r="AS355" s="570"/>
      <c r="AT355" s="570"/>
      <c r="AU355" s="570"/>
      <c r="AV355" s="588"/>
    </row>
    <row r="356" ht="19.5" customHeight="true" x14ac:dyDescent="0.3">
      <c r="A356" s="704"/>
      <c r="B356" s="570"/>
      <c r="C356" s="570"/>
      <c r="D356" s="708"/>
      <c r="E356" s="829"/>
      <c r="F356" s="709"/>
      <c r="G356" s="570"/>
      <c r="H356" s="292"/>
      <c r="I356" s="1262">
        <f t="shared" si="23"/>
        <v>47</v>
      </c>
      <c r="J356" s="202" t="str">
        <f t="shared" si="24"/>
        <v/>
      </c>
      <c r="K356" s="1242" t="str">
        <f t="shared" si="25"/>
        <v/>
      </c>
      <c r="L356" s="1242" t="str">
        <f>IF(OR(K356=3,K356=5),'I. Stream &amp; Compound Data'!L308,IF(K356=4,'I. Stream &amp; Compound Data'!L308-$H$65/$H$64*ABS(L132)/ABS($H$63)*K132,""))</f>
        <v/>
      </c>
      <c r="M356" s="1265" t="str">
        <f>IF(L356&lt;&gt;"",'I. Stream &amp; Compound Data'!P308,"")</f>
        <v/>
      </c>
      <c r="N356" s="570"/>
      <c r="O356" s="570"/>
      <c r="P356" s="298"/>
      <c r="Q356" s="297"/>
      <c r="R356" s="611"/>
      <c r="S356" s="611"/>
      <c r="T356" s="709"/>
      <c r="U356" s="570"/>
      <c r="V356" s="570"/>
      <c r="W356" s="570"/>
      <c r="X356" s="570"/>
      <c r="Y356" s="570"/>
      <c r="Z356" s="570"/>
      <c r="AA356" s="570"/>
      <c r="AB356" s="570"/>
      <c r="AC356" s="570"/>
      <c r="AD356" s="570"/>
      <c r="AE356" s="570"/>
      <c r="AF356" s="570"/>
      <c r="AG356" s="570"/>
      <c r="AH356" s="570"/>
      <c r="AI356" s="570"/>
      <c r="AJ356" s="570"/>
      <c r="AK356" s="570"/>
      <c r="AL356" s="570"/>
      <c r="AM356" s="570"/>
      <c r="AN356" s="570"/>
      <c r="AO356" s="570"/>
      <c r="AP356" s="570"/>
      <c r="AQ356" s="570"/>
      <c r="AR356" s="570"/>
      <c r="AS356" s="570"/>
      <c r="AT356" s="570"/>
      <c r="AU356" s="570"/>
      <c r="AV356" s="588"/>
    </row>
    <row r="357" ht="19.5" customHeight="true" x14ac:dyDescent="0.3">
      <c r="A357" s="704"/>
      <c r="B357" s="570"/>
      <c r="C357" s="570"/>
      <c r="D357" s="708"/>
      <c r="E357" s="829"/>
      <c r="F357" s="709"/>
      <c r="G357" s="570"/>
      <c r="H357" s="292"/>
      <c r="I357" s="1262">
        <f t="shared" si="23"/>
        <v>48</v>
      </c>
      <c r="J357" s="202" t="str">
        <f t="shared" si="24"/>
        <v/>
      </c>
      <c r="K357" s="1242" t="str">
        <f t="shared" si="25"/>
        <v/>
      </c>
      <c r="L357" s="1242" t="str">
        <f>IF(OR(K357=3,K357=5),'I. Stream &amp; Compound Data'!L309,IF(K357=4,'I. Stream &amp; Compound Data'!L309-$H$65/$H$64*ABS(L133)/ABS($H$63)*K133,""))</f>
        <v/>
      </c>
      <c r="M357" s="1265" t="str">
        <f>IF(L357&lt;&gt;"",'I. Stream &amp; Compound Data'!P309,"")</f>
        <v/>
      </c>
      <c r="N357" s="570"/>
      <c r="O357" s="570"/>
      <c r="P357" s="298"/>
      <c r="Q357" s="297"/>
      <c r="R357" s="611"/>
      <c r="S357" s="611"/>
      <c r="T357" s="709"/>
      <c r="U357" s="570"/>
      <c r="V357" s="570"/>
      <c r="W357" s="570"/>
      <c r="X357" s="570"/>
      <c r="Y357" s="570"/>
      <c r="Z357" s="570"/>
      <c r="AA357" s="570"/>
      <c r="AB357" s="570"/>
      <c r="AC357" s="570"/>
      <c r="AD357" s="570"/>
      <c r="AE357" s="570"/>
      <c r="AF357" s="570"/>
      <c r="AG357" s="570"/>
      <c r="AH357" s="570"/>
      <c r="AI357" s="570"/>
      <c r="AJ357" s="570"/>
      <c r="AK357" s="570"/>
      <c r="AL357" s="570"/>
      <c r="AM357" s="570"/>
      <c r="AN357" s="570"/>
      <c r="AO357" s="570"/>
      <c r="AP357" s="570"/>
      <c r="AQ357" s="570"/>
      <c r="AR357" s="570"/>
      <c r="AS357" s="570"/>
      <c r="AT357" s="570"/>
      <c r="AU357" s="570"/>
      <c r="AV357" s="588"/>
    </row>
    <row r="358" ht="19.5" customHeight="true" x14ac:dyDescent="0.3">
      <c r="A358" s="704"/>
      <c r="B358" s="570"/>
      <c r="C358" s="570"/>
      <c r="D358" s="708"/>
      <c r="E358" s="829"/>
      <c r="F358" s="709"/>
      <c r="G358" s="570"/>
      <c r="H358" s="292"/>
      <c r="I358" s="1262">
        <f t="shared" si="23"/>
        <v>49</v>
      </c>
      <c r="J358" s="202" t="str">
        <f t="shared" si="24"/>
        <v/>
      </c>
      <c r="K358" s="1242" t="str">
        <f t="shared" si="25"/>
        <v/>
      </c>
      <c r="L358" s="1242" t="str">
        <f>IF(OR(K358=3,K358=5),'I. Stream &amp; Compound Data'!L310,IF(K358=4,'I. Stream &amp; Compound Data'!L310-$H$65/$H$64*ABS(L134)/ABS($H$63)*K134,""))</f>
        <v/>
      </c>
      <c r="M358" s="1265" t="str">
        <f>IF(L358&lt;&gt;"",'I. Stream &amp; Compound Data'!P310,"")</f>
        <v/>
      </c>
      <c r="N358" s="570"/>
      <c r="O358" s="570"/>
      <c r="P358" s="298"/>
      <c r="Q358" s="297"/>
      <c r="R358" s="611"/>
      <c r="S358" s="611"/>
      <c r="T358" s="709"/>
      <c r="U358" s="570"/>
      <c r="V358" s="570"/>
      <c r="W358" s="570"/>
      <c r="X358" s="570"/>
      <c r="Y358" s="570"/>
      <c r="Z358" s="570"/>
      <c r="AA358" s="570"/>
      <c r="AB358" s="570"/>
      <c r="AC358" s="570"/>
      <c r="AD358" s="570"/>
      <c r="AE358" s="570"/>
      <c r="AF358" s="570"/>
      <c r="AG358" s="570"/>
      <c r="AH358" s="570"/>
      <c r="AI358" s="570"/>
      <c r="AJ358" s="570"/>
      <c r="AK358" s="570"/>
      <c r="AL358" s="570"/>
      <c r="AM358" s="570"/>
      <c r="AN358" s="570"/>
      <c r="AO358" s="570"/>
      <c r="AP358" s="570"/>
      <c r="AQ358" s="570"/>
      <c r="AR358" s="570"/>
      <c r="AS358" s="570"/>
      <c r="AT358" s="570"/>
      <c r="AU358" s="570"/>
      <c r="AV358" s="588"/>
    </row>
    <row r="359" ht="19.5" customHeight="true" thickBot="true" x14ac:dyDescent="0.35">
      <c r="A359" s="704"/>
      <c r="B359" s="570"/>
      <c r="C359" s="570"/>
      <c r="D359" s="708"/>
      <c r="E359" s="829"/>
      <c r="F359" s="709"/>
      <c r="G359" s="570"/>
      <c r="H359" s="292"/>
      <c r="I359" s="1263">
        <f t="shared" si="23"/>
        <v>50</v>
      </c>
      <c r="J359" s="263" t="str">
        <f t="shared" si="24"/>
        <v/>
      </c>
      <c r="K359" s="1210" t="str">
        <f t="shared" si="25"/>
        <v/>
      </c>
      <c r="L359" s="1210" t="str">
        <f>IF(OR(K359=3,K359=5),'I. Stream &amp; Compound Data'!L311,IF(K359=4,'I. Stream &amp; Compound Data'!L311-$H$65/$H$64*ABS(L135)/ABS($H$63)*K135,""))</f>
        <v/>
      </c>
      <c r="M359" s="1266" t="str">
        <f>IF(L359&lt;&gt;"",'I. Stream &amp; Compound Data'!P311,"")</f>
        <v/>
      </c>
      <c r="N359" s="570"/>
      <c r="O359" s="570"/>
      <c r="P359" s="298"/>
      <c r="Q359" s="297"/>
      <c r="R359" s="611"/>
      <c r="S359" s="611"/>
      <c r="T359" s="709"/>
      <c r="U359" s="570"/>
      <c r="V359" s="570"/>
      <c r="W359" s="570"/>
      <c r="X359" s="570"/>
      <c r="Y359" s="570"/>
      <c r="Z359" s="570"/>
      <c r="AA359" s="570"/>
      <c r="AB359" s="570"/>
      <c r="AC359" s="570"/>
      <c r="AD359" s="570"/>
      <c r="AE359" s="570"/>
      <c r="AF359" s="570"/>
      <c r="AG359" s="570"/>
      <c r="AH359" s="570"/>
      <c r="AI359" s="570"/>
      <c r="AJ359" s="570"/>
      <c r="AK359" s="570"/>
      <c r="AL359" s="570"/>
      <c r="AM359" s="570"/>
      <c r="AN359" s="570"/>
      <c r="AO359" s="570"/>
      <c r="AP359" s="570"/>
      <c r="AQ359" s="570"/>
      <c r="AR359" s="570"/>
      <c r="AS359" s="570"/>
      <c r="AT359" s="570"/>
      <c r="AU359" s="570"/>
      <c r="AV359" s="588"/>
    </row>
    <row r="360" x14ac:dyDescent="0.3">
      <c r="A360" s="704"/>
      <c r="B360" s="570"/>
      <c r="C360" s="570"/>
      <c r="D360" s="708"/>
      <c r="E360" s="829"/>
      <c r="F360" s="709"/>
      <c r="G360" s="570"/>
      <c r="H360" s="292"/>
      <c r="I360" s="626"/>
      <c r="J360" s="570"/>
      <c r="K360" s="292"/>
      <c r="L360" s="362"/>
      <c r="M360" s="335"/>
      <c r="N360" s="570"/>
      <c r="O360" s="570"/>
      <c r="P360" s="298"/>
      <c r="Q360" s="297"/>
      <c r="R360" s="611"/>
      <c r="S360" s="611"/>
      <c r="T360" s="709"/>
      <c r="U360" s="570"/>
      <c r="V360" s="570"/>
      <c r="W360" s="570"/>
      <c r="X360" s="570"/>
      <c r="Y360" s="570"/>
      <c r="Z360" s="570"/>
      <c r="AA360" s="570"/>
      <c r="AB360" s="570"/>
      <c r="AC360" s="570"/>
      <c r="AD360" s="570"/>
      <c r="AE360" s="570"/>
      <c r="AF360" s="570"/>
      <c r="AG360" s="570"/>
      <c r="AH360" s="570"/>
      <c r="AI360" s="570"/>
      <c r="AJ360" s="570"/>
      <c r="AK360" s="570"/>
      <c r="AL360" s="570"/>
      <c r="AM360" s="570"/>
      <c r="AN360" s="570"/>
      <c r="AO360" s="570"/>
      <c r="AP360" s="570"/>
      <c r="AQ360" s="570"/>
      <c r="AR360" s="570"/>
      <c r="AS360" s="570"/>
      <c r="AT360" s="570"/>
      <c r="AU360" s="570"/>
      <c r="AV360" s="588"/>
    </row>
    <row r="361" x14ac:dyDescent="0.3">
      <c r="A361" s="704"/>
      <c r="B361" s="570"/>
      <c r="C361" s="570"/>
      <c r="D361" s="708"/>
      <c r="E361" s="829"/>
      <c r="F361" s="709"/>
      <c r="G361" s="570"/>
      <c r="H361" s="292"/>
      <c r="I361" s="626"/>
      <c r="J361" s="570"/>
      <c r="K361" s="292"/>
      <c r="L361" s="362"/>
      <c r="M361" s="335"/>
      <c r="N361" s="570"/>
      <c r="O361" s="570"/>
      <c r="P361" s="298"/>
      <c r="Q361" s="297"/>
      <c r="R361" s="611"/>
      <c r="S361" s="611"/>
      <c r="T361" s="709"/>
      <c r="U361" s="570"/>
      <c r="V361" s="570"/>
      <c r="W361" s="570"/>
      <c r="X361" s="570"/>
      <c r="Y361" s="570"/>
      <c r="Z361" s="570"/>
      <c r="AA361" s="570"/>
      <c r="AB361" s="570"/>
      <c r="AC361" s="570"/>
      <c r="AD361" s="570"/>
      <c r="AE361" s="570"/>
      <c r="AF361" s="570"/>
      <c r="AG361" s="570"/>
      <c r="AH361" s="570"/>
      <c r="AI361" s="570"/>
      <c r="AJ361" s="570"/>
      <c r="AK361" s="570"/>
      <c r="AL361" s="570"/>
      <c r="AM361" s="570"/>
      <c r="AN361" s="570"/>
      <c r="AO361" s="570"/>
      <c r="AP361" s="570"/>
      <c r="AQ361" s="570"/>
      <c r="AR361" s="570"/>
      <c r="AS361" s="570"/>
      <c r="AT361" s="570"/>
      <c r="AU361" s="570"/>
      <c r="AV361" s="588"/>
    </row>
    <row r="362" x14ac:dyDescent="0.3">
      <c r="A362" s="704"/>
      <c r="B362" s="570"/>
      <c r="C362" s="570"/>
      <c r="D362" s="708"/>
      <c r="E362" s="829"/>
      <c r="F362" s="709"/>
      <c r="G362" s="570"/>
      <c r="H362" s="292"/>
      <c r="I362" s="626"/>
      <c r="J362" s="570"/>
      <c r="K362" s="292"/>
      <c r="L362" s="362"/>
      <c r="M362" s="335"/>
      <c r="N362" s="570"/>
      <c r="O362" s="570"/>
      <c r="P362" s="298"/>
      <c r="Q362" s="297"/>
      <c r="R362" s="611"/>
      <c r="S362" s="611"/>
      <c r="T362" s="709"/>
      <c r="U362" s="570"/>
      <c r="V362" s="570"/>
      <c r="W362" s="570"/>
      <c r="X362" s="570"/>
      <c r="Y362" s="570"/>
      <c r="Z362" s="570"/>
      <c r="AA362" s="570"/>
      <c r="AB362" s="570"/>
      <c r="AC362" s="570"/>
      <c r="AD362" s="570"/>
      <c r="AE362" s="570"/>
      <c r="AF362" s="570"/>
      <c r="AG362" s="570"/>
      <c r="AH362" s="570"/>
      <c r="AI362" s="570"/>
      <c r="AJ362" s="570"/>
      <c r="AK362" s="570"/>
      <c r="AL362" s="570"/>
      <c r="AM362" s="570"/>
      <c r="AN362" s="570"/>
      <c r="AO362" s="570"/>
      <c r="AP362" s="570"/>
      <c r="AQ362" s="570"/>
      <c r="AR362" s="570"/>
      <c r="AS362" s="570"/>
      <c r="AT362" s="570"/>
      <c r="AU362" s="570"/>
      <c r="AV362" s="588"/>
    </row>
    <row r="363" x14ac:dyDescent="0.3">
      <c r="A363" s="704"/>
      <c r="B363" s="570"/>
      <c r="C363" s="570"/>
      <c r="D363" s="708"/>
      <c r="E363" s="829"/>
      <c r="F363" s="709"/>
      <c r="G363" s="570"/>
      <c r="H363" s="292"/>
      <c r="I363" s="626"/>
      <c r="J363" s="570"/>
      <c r="K363" s="292"/>
      <c r="L363" s="362"/>
      <c r="M363" s="335"/>
      <c r="N363" s="570"/>
      <c r="O363" s="570"/>
      <c r="P363" s="298"/>
      <c r="Q363" s="297"/>
      <c r="R363" s="611"/>
      <c r="S363" s="611"/>
      <c r="T363" s="709"/>
      <c r="U363" s="570"/>
      <c r="V363" s="570"/>
      <c r="W363" s="570"/>
      <c r="X363" s="570"/>
      <c r="Y363" s="570"/>
      <c r="Z363" s="570"/>
      <c r="AA363" s="570"/>
      <c r="AB363" s="570"/>
      <c r="AC363" s="570"/>
      <c r="AD363" s="570"/>
      <c r="AE363" s="570"/>
      <c r="AF363" s="570"/>
      <c r="AG363" s="570"/>
      <c r="AH363" s="570"/>
      <c r="AI363" s="570"/>
      <c r="AJ363" s="570"/>
      <c r="AK363" s="570"/>
      <c r="AL363" s="570"/>
      <c r="AM363" s="570"/>
      <c r="AN363" s="570"/>
      <c r="AO363" s="570"/>
      <c r="AP363" s="570"/>
      <c r="AQ363" s="570"/>
      <c r="AR363" s="570"/>
      <c r="AS363" s="570"/>
      <c r="AT363" s="570"/>
      <c r="AU363" s="570"/>
      <c r="AV363" s="588"/>
    </row>
    <row r="364" ht="21" thickBot="true" x14ac:dyDescent="0.5">
      <c r="A364" s="704"/>
      <c r="B364" s="570"/>
      <c r="C364" s="570"/>
      <c r="D364" s="708"/>
      <c r="E364" s="1932" t="s">
        <v>2399</v>
      </c>
      <c r="F364" s="1932"/>
      <c r="G364" s="1932"/>
      <c r="H364" s="292"/>
      <c r="I364" s="626"/>
      <c r="J364" s="570"/>
      <c r="K364" s="292"/>
      <c r="L364" s="362"/>
      <c r="M364" s="335"/>
      <c r="N364" s="570"/>
      <c r="O364" s="570"/>
      <c r="P364" s="298"/>
      <c r="Q364" s="297"/>
      <c r="R364" s="611"/>
      <c r="S364" s="611"/>
      <c r="T364" s="709"/>
      <c r="U364" s="570"/>
      <c r="V364" s="570"/>
      <c r="W364" s="570"/>
      <c r="X364" s="570"/>
      <c r="Y364" s="570"/>
      <c r="Z364" s="570"/>
      <c r="AA364" s="570"/>
      <c r="AB364" s="570"/>
      <c r="AC364" s="570"/>
      <c r="AD364" s="570"/>
      <c r="AE364" s="570"/>
      <c r="AF364" s="570"/>
      <c r="AG364" s="570"/>
      <c r="AH364" s="570"/>
      <c r="AI364" s="570"/>
      <c r="AJ364" s="570"/>
      <c r="AK364" s="570"/>
      <c r="AL364" s="570"/>
      <c r="AM364" s="570"/>
      <c r="AN364" s="570"/>
      <c r="AO364" s="570"/>
      <c r="AP364" s="570"/>
      <c r="AQ364" s="570"/>
      <c r="AR364" s="570"/>
      <c r="AS364" s="570"/>
      <c r="AT364" s="570"/>
      <c r="AU364" s="570"/>
      <c r="AV364" s="588"/>
    </row>
    <row r="365" x14ac:dyDescent="0.3">
      <c r="A365" s="704"/>
      <c r="B365" s="570"/>
      <c r="C365" s="570"/>
      <c r="D365" s="708"/>
      <c r="E365" s="1860" t="s">
        <v>1548</v>
      </c>
      <c r="F365" s="1861"/>
      <c r="G365" s="1861"/>
      <c r="H365" s="1254">
        <f>H175</f>
        <v>6778.7792000553327</v>
      </c>
      <c r="I365" s="626"/>
      <c r="J365" s="570"/>
      <c r="K365" s="292"/>
      <c r="L365" s="362"/>
      <c r="M365" s="335"/>
      <c r="N365" s="570"/>
      <c r="O365" s="570"/>
      <c r="P365" s="298"/>
      <c r="Q365" s="297"/>
      <c r="R365" s="611"/>
      <c r="S365" s="611"/>
      <c r="T365" s="709"/>
      <c r="U365" s="570"/>
      <c r="V365" s="570"/>
      <c r="W365" s="570"/>
      <c r="X365" s="570"/>
      <c r="Y365" s="570"/>
      <c r="Z365" s="570"/>
      <c r="AA365" s="570"/>
      <c r="AB365" s="570"/>
      <c r="AC365" s="570"/>
      <c r="AD365" s="570"/>
      <c r="AE365" s="570"/>
      <c r="AF365" s="570"/>
      <c r="AG365" s="570"/>
      <c r="AH365" s="570"/>
      <c r="AI365" s="570"/>
      <c r="AJ365" s="570"/>
      <c r="AK365" s="570"/>
      <c r="AL365" s="570"/>
      <c r="AM365" s="570"/>
      <c r="AN365" s="570"/>
      <c r="AO365" s="570"/>
      <c r="AP365" s="570"/>
      <c r="AQ365" s="570"/>
      <c r="AR365" s="570"/>
      <c r="AS365" s="570"/>
      <c r="AT365" s="570"/>
      <c r="AU365" s="570"/>
      <c r="AV365" s="588"/>
    </row>
    <row r="366" ht="19.2" thickBot="true" x14ac:dyDescent="0.35">
      <c r="A366" s="704"/>
      <c r="B366" s="570"/>
      <c r="C366" s="570"/>
      <c r="D366" s="708"/>
      <c r="E366" s="1862" t="s">
        <v>1552</v>
      </c>
      <c r="F366" s="1863"/>
      <c r="G366" s="1863"/>
      <c r="H366" s="1267">
        <f>SUMIFS(L198:L247,K198:K247,"&gt;=2",Q198:Q247,"=1")</f>
        <v>0</v>
      </c>
      <c r="I366" s="626"/>
      <c r="J366" s="570"/>
      <c r="K366" s="292"/>
      <c r="L366" s="362"/>
      <c r="M366" s="335"/>
      <c r="N366" s="570"/>
      <c r="O366" s="570"/>
      <c r="P366" s="298"/>
      <c r="Q366" s="297"/>
      <c r="R366" s="611"/>
      <c r="S366" s="611"/>
      <c r="T366" s="709"/>
      <c r="U366" s="570"/>
      <c r="V366" s="570"/>
      <c r="W366" s="570"/>
      <c r="X366" s="570"/>
      <c r="Y366" s="570"/>
      <c r="Z366" s="570"/>
      <c r="AA366" s="570"/>
      <c r="AB366" s="570"/>
      <c r="AC366" s="570"/>
      <c r="AD366" s="570"/>
      <c r="AE366" s="570"/>
      <c r="AF366" s="570"/>
      <c r="AG366" s="570"/>
      <c r="AH366" s="570"/>
      <c r="AI366" s="570"/>
      <c r="AJ366" s="570"/>
      <c r="AK366" s="570"/>
      <c r="AL366" s="570"/>
      <c r="AM366" s="570"/>
      <c r="AN366" s="570"/>
      <c r="AO366" s="570"/>
      <c r="AP366" s="570"/>
      <c r="AQ366" s="570"/>
      <c r="AR366" s="570"/>
      <c r="AS366" s="570"/>
      <c r="AT366" s="570"/>
      <c r="AU366" s="570"/>
      <c r="AV366" s="588"/>
    </row>
    <row r="367" x14ac:dyDescent="0.3">
      <c r="A367" s="704"/>
      <c r="B367" s="570"/>
      <c r="C367" s="570"/>
      <c r="D367" s="708"/>
      <c r="E367" s="1173"/>
      <c r="F367" s="1173"/>
      <c r="G367" s="1173"/>
      <c r="H367" s="714"/>
      <c r="I367" s="626"/>
      <c r="J367" s="570"/>
      <c r="K367" s="292"/>
      <c r="L367" s="362"/>
      <c r="M367" s="335"/>
      <c r="N367" s="570"/>
      <c r="O367" s="570"/>
      <c r="P367" s="298"/>
      <c r="Q367" s="297"/>
      <c r="R367" s="611"/>
      <c r="S367" s="611"/>
      <c r="T367" s="709"/>
      <c r="U367" s="570"/>
      <c r="V367" s="570"/>
      <c r="W367" s="570"/>
      <c r="X367" s="570"/>
      <c r="Y367" s="570"/>
      <c r="Z367" s="570"/>
      <c r="AA367" s="570"/>
      <c r="AB367" s="570"/>
      <c r="AC367" s="570"/>
      <c r="AD367" s="570"/>
      <c r="AE367" s="570"/>
      <c r="AF367" s="570"/>
      <c r="AG367" s="570"/>
      <c r="AH367" s="570"/>
      <c r="AI367" s="570"/>
      <c r="AJ367" s="570"/>
      <c r="AK367" s="570"/>
      <c r="AL367" s="570"/>
      <c r="AM367" s="570"/>
      <c r="AN367" s="570"/>
      <c r="AO367" s="570"/>
      <c r="AP367" s="570"/>
      <c r="AQ367" s="570"/>
      <c r="AR367" s="570"/>
      <c r="AS367" s="570"/>
      <c r="AT367" s="570"/>
      <c r="AU367" s="570"/>
      <c r="AV367" s="588"/>
    </row>
    <row r="368" x14ac:dyDescent="0.3">
      <c r="A368" s="704"/>
      <c r="B368" s="570"/>
      <c r="C368" s="570"/>
      <c r="D368" s="708"/>
      <c r="E368" s="1173"/>
      <c r="F368" s="1173"/>
      <c r="G368" s="1173"/>
      <c r="H368" s="714"/>
      <c r="I368" s="626"/>
      <c r="J368" s="570"/>
      <c r="K368" s="292"/>
      <c r="L368" s="362"/>
      <c r="M368" s="335"/>
      <c r="N368" s="570"/>
      <c r="O368" s="570"/>
      <c r="P368" s="298"/>
      <c r="Q368" s="297"/>
      <c r="R368" s="611"/>
      <c r="S368" s="611"/>
      <c r="T368" s="709"/>
      <c r="U368" s="570"/>
      <c r="V368" s="570"/>
      <c r="W368" s="570"/>
      <c r="X368" s="570"/>
      <c r="Y368" s="570"/>
      <c r="Z368" s="570"/>
      <c r="AA368" s="570"/>
      <c r="AB368" s="570"/>
      <c r="AC368" s="570"/>
      <c r="AD368" s="570"/>
      <c r="AE368" s="570"/>
      <c r="AF368" s="570"/>
      <c r="AG368" s="570"/>
      <c r="AH368" s="570"/>
      <c r="AI368" s="570"/>
      <c r="AJ368" s="570"/>
      <c r="AK368" s="570"/>
      <c r="AL368" s="570"/>
      <c r="AM368" s="570"/>
      <c r="AN368" s="570"/>
      <c r="AO368" s="570"/>
      <c r="AP368" s="570"/>
      <c r="AQ368" s="570"/>
      <c r="AR368" s="570"/>
      <c r="AS368" s="570"/>
      <c r="AT368" s="570"/>
      <c r="AU368" s="570"/>
      <c r="AV368" s="588"/>
    </row>
    <row r="369" x14ac:dyDescent="0.3">
      <c r="A369" s="704"/>
      <c r="B369" s="570"/>
      <c r="C369" s="570"/>
      <c r="D369" s="708"/>
      <c r="E369" s="829"/>
      <c r="F369" s="709"/>
      <c r="G369" s="570"/>
      <c r="H369" s="292"/>
      <c r="I369" s="626"/>
      <c r="J369" s="570"/>
      <c r="K369" s="292"/>
      <c r="L369" s="362"/>
      <c r="M369" s="335"/>
      <c r="N369" s="570"/>
      <c r="O369" s="570"/>
      <c r="P369" s="298"/>
      <c r="Q369" s="297"/>
      <c r="R369" s="611"/>
      <c r="S369" s="611"/>
      <c r="T369" s="709"/>
      <c r="U369" s="570"/>
      <c r="V369" s="570"/>
      <c r="W369" s="570"/>
      <c r="X369" s="570"/>
      <c r="Y369" s="570"/>
      <c r="Z369" s="570"/>
      <c r="AA369" s="570"/>
      <c r="AB369" s="570"/>
      <c r="AC369" s="570"/>
      <c r="AD369" s="570"/>
      <c r="AE369" s="570"/>
      <c r="AF369" s="570"/>
      <c r="AG369" s="570"/>
      <c r="AH369" s="570"/>
      <c r="AI369" s="570"/>
      <c r="AJ369" s="570"/>
      <c r="AK369" s="570"/>
      <c r="AL369" s="570"/>
      <c r="AM369" s="570"/>
      <c r="AN369" s="570"/>
      <c r="AO369" s="570"/>
      <c r="AP369" s="570"/>
      <c r="AQ369" s="570"/>
      <c r="AR369" s="570"/>
      <c r="AS369" s="570"/>
      <c r="AT369" s="570"/>
      <c r="AU369" s="570"/>
      <c r="AV369" s="588"/>
    </row>
    <row r="370" x14ac:dyDescent="0.3">
      <c r="A370" s="704"/>
      <c r="B370" s="570"/>
      <c r="C370" s="570"/>
      <c r="D370" s="708"/>
      <c r="E370" s="829"/>
      <c r="F370" s="709"/>
      <c r="G370" s="570"/>
      <c r="H370" s="292"/>
      <c r="I370" s="626"/>
      <c r="J370" s="570"/>
      <c r="K370" s="292"/>
      <c r="L370" s="362"/>
      <c r="M370" s="335"/>
      <c r="N370" s="570"/>
      <c r="O370" s="570"/>
      <c r="P370" s="298"/>
      <c r="Q370" s="297"/>
      <c r="R370" s="611"/>
      <c r="S370" s="611"/>
      <c r="T370" s="709"/>
      <c r="U370" s="570"/>
      <c r="V370" s="570"/>
      <c r="W370" s="570"/>
      <c r="X370" s="570"/>
      <c r="Y370" s="570"/>
      <c r="Z370" s="570"/>
      <c r="AA370" s="570"/>
      <c r="AB370" s="570"/>
      <c r="AC370" s="570"/>
      <c r="AD370" s="570"/>
      <c r="AE370" s="570"/>
      <c r="AF370" s="570"/>
      <c r="AG370" s="570"/>
      <c r="AH370" s="570"/>
      <c r="AI370" s="570"/>
      <c r="AJ370" s="570"/>
      <c r="AK370" s="570"/>
      <c r="AL370" s="570"/>
      <c r="AM370" s="570"/>
      <c r="AN370" s="570"/>
      <c r="AO370" s="570"/>
      <c r="AP370" s="570"/>
      <c r="AQ370" s="570"/>
      <c r="AR370" s="570"/>
      <c r="AS370" s="570"/>
      <c r="AT370" s="570"/>
      <c r="AU370" s="570"/>
      <c r="AV370" s="588"/>
    </row>
    <row r="371" ht="24" thickBot="true" x14ac:dyDescent="0.35">
      <c r="A371" s="704"/>
      <c r="B371" s="570"/>
      <c r="C371" s="570"/>
      <c r="D371" s="708"/>
      <c r="E371" s="1921" t="s">
        <v>2398</v>
      </c>
      <c r="F371" s="1921"/>
      <c r="G371" s="1921"/>
      <c r="H371" s="1921"/>
      <c r="I371" s="626"/>
      <c r="J371" s="570"/>
      <c r="K371" s="292"/>
      <c r="L371" s="362"/>
      <c r="M371" s="335"/>
      <c r="N371" s="570"/>
      <c r="O371" s="570"/>
      <c r="P371" s="298"/>
      <c r="Q371" s="297"/>
      <c r="R371" s="611"/>
      <c r="S371" s="611"/>
      <c r="T371" s="709"/>
      <c r="U371" s="570"/>
      <c r="V371" s="570"/>
      <c r="W371" s="570"/>
      <c r="X371" s="570"/>
      <c r="Y371" s="570"/>
      <c r="Z371" s="570"/>
      <c r="AA371" s="570"/>
      <c r="AB371" s="570"/>
      <c r="AC371" s="570"/>
      <c r="AD371" s="570"/>
      <c r="AE371" s="570"/>
      <c r="AF371" s="570"/>
      <c r="AG371" s="570"/>
      <c r="AH371" s="570"/>
      <c r="AI371" s="570"/>
      <c r="AJ371" s="570"/>
      <c r="AK371" s="570"/>
      <c r="AL371" s="570"/>
      <c r="AM371" s="570"/>
      <c r="AN371" s="570"/>
      <c r="AO371" s="570"/>
      <c r="AP371" s="570"/>
      <c r="AQ371" s="570"/>
      <c r="AR371" s="570"/>
      <c r="AS371" s="570"/>
      <c r="AT371" s="570"/>
      <c r="AU371" s="570"/>
      <c r="AV371" s="588"/>
    </row>
    <row r="372" x14ac:dyDescent="0.3">
      <c r="A372" s="704"/>
      <c r="B372" s="570"/>
      <c r="C372" s="570"/>
      <c r="D372" s="708"/>
      <c r="E372" s="1860" t="s">
        <v>1548</v>
      </c>
      <c r="F372" s="1861"/>
      <c r="G372" s="1861"/>
      <c r="H372" s="1254">
        <f>H175</f>
        <v>6778.7792000553327</v>
      </c>
      <c r="I372" s="626"/>
      <c r="J372" s="570"/>
      <c r="K372" s="292"/>
      <c r="L372" s="362"/>
      <c r="M372" s="335"/>
      <c r="N372" s="570"/>
      <c r="O372" s="570"/>
      <c r="P372" s="298"/>
      <c r="Q372" s="297"/>
      <c r="R372" s="611"/>
      <c r="S372" s="611"/>
      <c r="T372" s="709"/>
      <c r="U372" s="570"/>
      <c r="V372" s="570"/>
      <c r="W372" s="570"/>
      <c r="X372" s="570"/>
      <c r="Y372" s="570"/>
      <c r="Z372" s="570"/>
      <c r="AA372" s="570"/>
      <c r="AB372" s="570"/>
      <c r="AC372" s="570"/>
      <c r="AD372" s="570"/>
      <c r="AE372" s="570"/>
      <c r="AF372" s="570"/>
      <c r="AG372" s="570"/>
      <c r="AH372" s="570"/>
      <c r="AI372" s="570"/>
      <c r="AJ372" s="570"/>
      <c r="AK372" s="570"/>
      <c r="AL372" s="570"/>
      <c r="AM372" s="570"/>
      <c r="AN372" s="570"/>
      <c r="AO372" s="570"/>
      <c r="AP372" s="570"/>
      <c r="AQ372" s="570"/>
      <c r="AR372" s="570"/>
      <c r="AS372" s="570"/>
      <c r="AT372" s="570"/>
      <c r="AU372" s="570"/>
      <c r="AV372" s="588"/>
    </row>
    <row r="373" ht="28.2" thickBot="true" x14ac:dyDescent="0.35">
      <c r="A373" s="704"/>
      <c r="B373" s="570"/>
      <c r="C373" s="570"/>
      <c r="D373" s="708"/>
      <c r="E373" s="1908" t="s">
        <v>2397</v>
      </c>
      <c r="F373" s="1909"/>
      <c r="G373" s="1909"/>
      <c r="H373" s="1267">
        <f>SUMIFS(T198:T247,K198:K247,"&gt;=2",R198:R247,"=1")</f>
        <v>0</v>
      </c>
      <c r="I373" s="626"/>
      <c r="J373" s="570"/>
      <c r="K373" s="292"/>
      <c r="L373" s="362"/>
      <c r="M373" s="335"/>
      <c r="N373" s="570"/>
      <c r="O373" s="570"/>
      <c r="P373" s="298"/>
      <c r="Q373" s="297"/>
      <c r="R373" s="611"/>
      <c r="S373" s="611"/>
      <c r="T373" s="709"/>
      <c r="U373" s="570"/>
      <c r="V373" s="570"/>
      <c r="W373" s="570"/>
      <c r="X373" s="570"/>
      <c r="Y373" s="570"/>
      <c r="Z373" s="570"/>
      <c r="AA373" s="570"/>
      <c r="AB373" s="570"/>
      <c r="AC373" s="570"/>
      <c r="AD373" s="570"/>
      <c r="AE373" s="570"/>
      <c r="AF373" s="570"/>
      <c r="AG373" s="570"/>
      <c r="AH373" s="570"/>
      <c r="AI373" s="570"/>
      <c r="AJ373" s="570"/>
      <c r="AK373" s="570"/>
      <c r="AL373" s="570"/>
      <c r="AM373" s="570"/>
      <c r="AN373" s="570"/>
      <c r="AO373" s="570"/>
      <c r="AP373" s="570"/>
      <c r="AQ373" s="570"/>
      <c r="AR373" s="570"/>
      <c r="AS373" s="570"/>
      <c r="AT373" s="570"/>
      <c r="AU373" s="570"/>
      <c r="AV373" s="588"/>
    </row>
    <row r="374" x14ac:dyDescent="0.3">
      <c r="A374" s="704"/>
      <c r="B374" s="570"/>
      <c r="C374" s="570"/>
      <c r="D374" s="708"/>
      <c r="E374" s="829"/>
      <c r="F374" s="709"/>
      <c r="G374" s="570"/>
      <c r="H374" s="292"/>
      <c r="I374" s="626"/>
      <c r="J374" s="570"/>
      <c r="K374" s="292"/>
      <c r="L374" s="362"/>
      <c r="M374" s="335"/>
      <c r="N374" s="570"/>
      <c r="O374" s="570"/>
      <c r="P374" s="298"/>
      <c r="Q374" s="297"/>
      <c r="R374" s="611"/>
      <c r="S374" s="611"/>
      <c r="T374" s="709"/>
      <c r="U374" s="570"/>
      <c r="V374" s="570"/>
      <c r="W374" s="570"/>
      <c r="X374" s="570"/>
      <c r="Y374" s="570"/>
      <c r="Z374" s="570"/>
      <c r="AA374" s="570"/>
      <c r="AB374" s="570"/>
      <c r="AC374" s="570"/>
      <c r="AD374" s="570"/>
      <c r="AE374" s="570"/>
      <c r="AF374" s="570"/>
      <c r="AG374" s="570"/>
      <c r="AH374" s="570"/>
      <c r="AI374" s="570"/>
      <c r="AJ374" s="570"/>
      <c r="AK374" s="570"/>
      <c r="AL374" s="570"/>
      <c r="AM374" s="570"/>
      <c r="AN374" s="570"/>
      <c r="AO374" s="570"/>
      <c r="AP374" s="570"/>
      <c r="AQ374" s="570"/>
      <c r="AR374" s="570"/>
      <c r="AS374" s="570"/>
      <c r="AT374" s="570"/>
      <c r="AU374" s="570"/>
      <c r="AV374" s="588"/>
    </row>
    <row r="375" x14ac:dyDescent="0.3">
      <c r="A375" s="704"/>
      <c r="B375" s="570"/>
      <c r="C375" s="570"/>
      <c r="D375" s="708"/>
      <c r="E375" s="829"/>
      <c r="F375" s="709"/>
      <c r="G375" s="570"/>
      <c r="H375" s="292"/>
      <c r="I375" s="626"/>
      <c r="J375" s="570"/>
      <c r="K375" s="292"/>
      <c r="L375" s="362"/>
      <c r="M375" s="335"/>
      <c r="N375" s="570"/>
      <c r="O375" s="570"/>
      <c r="P375" s="298"/>
      <c r="Q375" s="297"/>
      <c r="R375" s="611"/>
      <c r="S375" s="611"/>
      <c r="T375" s="709"/>
      <c r="U375" s="570"/>
      <c r="V375" s="570"/>
      <c r="W375" s="570"/>
      <c r="X375" s="570"/>
      <c r="Y375" s="570"/>
      <c r="Z375" s="570"/>
      <c r="AA375" s="570"/>
      <c r="AB375" s="570"/>
      <c r="AC375" s="570"/>
      <c r="AD375" s="570"/>
      <c r="AE375" s="570"/>
      <c r="AF375" s="570"/>
      <c r="AG375" s="570"/>
      <c r="AH375" s="570"/>
      <c r="AI375" s="570"/>
      <c r="AJ375" s="570"/>
      <c r="AK375" s="570"/>
      <c r="AL375" s="570"/>
      <c r="AM375" s="570"/>
      <c r="AN375" s="570"/>
      <c r="AO375" s="570"/>
      <c r="AP375" s="570"/>
      <c r="AQ375" s="570"/>
      <c r="AR375" s="570"/>
      <c r="AS375" s="570"/>
      <c r="AT375" s="570"/>
      <c r="AU375" s="570"/>
      <c r="AV375" s="588"/>
    </row>
    <row r="376" x14ac:dyDescent="0.3">
      <c r="A376" s="704"/>
      <c r="B376" s="570"/>
      <c r="C376" s="570"/>
      <c r="D376" s="708"/>
      <c r="E376" s="829"/>
      <c r="F376" s="709"/>
      <c r="G376" s="570"/>
      <c r="H376" s="292"/>
      <c r="I376" s="626"/>
      <c r="J376" s="570"/>
      <c r="K376" s="292"/>
      <c r="L376" s="362"/>
      <c r="M376" s="335"/>
      <c r="N376" s="570"/>
      <c r="O376" s="570"/>
      <c r="P376" s="298"/>
      <c r="Q376" s="297"/>
      <c r="R376" s="611"/>
      <c r="S376" s="611"/>
      <c r="T376" s="709"/>
      <c r="U376" s="570"/>
      <c r="V376" s="570"/>
      <c r="W376" s="570"/>
      <c r="X376" s="570"/>
      <c r="Y376" s="570"/>
      <c r="Z376" s="570"/>
      <c r="AA376" s="570"/>
      <c r="AB376" s="570"/>
      <c r="AC376" s="570"/>
      <c r="AD376" s="570"/>
      <c r="AE376" s="570"/>
      <c r="AF376" s="570"/>
      <c r="AG376" s="570"/>
      <c r="AH376" s="570"/>
      <c r="AI376" s="570"/>
      <c r="AJ376" s="570"/>
      <c r="AK376" s="570"/>
      <c r="AL376" s="570"/>
      <c r="AM376" s="570"/>
      <c r="AN376" s="570"/>
      <c r="AO376" s="570"/>
      <c r="AP376" s="570"/>
      <c r="AQ376" s="570"/>
      <c r="AR376" s="570"/>
      <c r="AS376" s="570"/>
      <c r="AT376" s="570"/>
      <c r="AU376" s="570"/>
      <c r="AV376" s="588"/>
    </row>
    <row r="377" x14ac:dyDescent="0.3">
      <c r="A377" s="704"/>
      <c r="B377" s="570"/>
      <c r="C377" s="570"/>
      <c r="D377" s="708"/>
      <c r="E377" s="829"/>
      <c r="F377" s="709"/>
      <c r="G377" s="570"/>
      <c r="H377" s="292"/>
      <c r="I377" s="626"/>
      <c r="J377" s="570"/>
      <c r="K377" s="292"/>
      <c r="L377" s="362"/>
      <c r="M377" s="335"/>
      <c r="N377" s="570"/>
      <c r="O377" s="570"/>
      <c r="P377" s="298"/>
      <c r="Q377" s="297"/>
      <c r="R377" s="611"/>
      <c r="S377" s="611"/>
      <c r="T377" s="709"/>
      <c r="U377" s="570"/>
      <c r="V377" s="570"/>
      <c r="W377" s="570"/>
      <c r="X377" s="570"/>
      <c r="Y377" s="570"/>
      <c r="Z377" s="570"/>
      <c r="AA377" s="570"/>
      <c r="AB377" s="570"/>
      <c r="AC377" s="570"/>
      <c r="AD377" s="570"/>
      <c r="AE377" s="570"/>
      <c r="AF377" s="570"/>
      <c r="AG377" s="570"/>
      <c r="AH377" s="570"/>
      <c r="AI377" s="570"/>
      <c r="AJ377" s="570"/>
      <c r="AK377" s="570"/>
      <c r="AL377" s="570"/>
      <c r="AM377" s="570"/>
      <c r="AN377" s="570"/>
      <c r="AO377" s="570"/>
      <c r="AP377" s="570"/>
      <c r="AQ377" s="570"/>
      <c r="AR377" s="570"/>
      <c r="AS377" s="570"/>
      <c r="AT377" s="570"/>
      <c r="AU377" s="570"/>
      <c r="AV377" s="588"/>
    </row>
    <row r="378" ht="42" customHeight="true" thickBot="true" x14ac:dyDescent="0.35">
      <c r="A378" s="704"/>
      <c r="B378" s="570"/>
      <c r="C378" s="570"/>
      <c r="D378" s="708"/>
      <c r="E378" s="1922" t="s">
        <v>2396</v>
      </c>
      <c r="F378" s="1922"/>
      <c r="G378" s="1922"/>
      <c r="H378" s="1922"/>
      <c r="I378" s="626"/>
      <c r="J378" s="570"/>
      <c r="K378" s="292"/>
      <c r="L378" s="362"/>
      <c r="M378" s="335"/>
      <c r="N378" s="570"/>
      <c r="O378" s="570"/>
      <c r="P378" s="298"/>
      <c r="Q378" s="297"/>
      <c r="R378" s="611"/>
      <c r="S378" s="611"/>
      <c r="T378" s="709"/>
      <c r="U378" s="570"/>
      <c r="V378" s="570"/>
      <c r="W378" s="570"/>
      <c r="X378" s="570"/>
      <c r="Y378" s="570"/>
      <c r="Z378" s="570"/>
      <c r="AA378" s="570"/>
      <c r="AB378" s="570"/>
      <c r="AC378" s="570"/>
      <c r="AD378" s="570"/>
      <c r="AE378" s="570"/>
      <c r="AF378" s="570"/>
      <c r="AG378" s="570"/>
      <c r="AH378" s="570"/>
      <c r="AI378" s="570"/>
      <c r="AJ378" s="570"/>
      <c r="AK378" s="570"/>
      <c r="AL378" s="570"/>
      <c r="AM378" s="570"/>
      <c r="AN378" s="570"/>
      <c r="AO378" s="570"/>
      <c r="AP378" s="570"/>
      <c r="AQ378" s="570"/>
      <c r="AR378" s="570"/>
      <c r="AS378" s="570"/>
      <c r="AT378" s="570"/>
      <c r="AU378" s="570"/>
      <c r="AV378" s="588"/>
    </row>
    <row r="379" ht="30" customHeight="true" x14ac:dyDescent="0.35">
      <c r="A379" s="704"/>
      <c r="B379" s="570"/>
      <c r="C379" s="570"/>
      <c r="D379" s="708"/>
      <c r="E379" s="1906" t="s">
        <v>2231</v>
      </c>
      <c r="F379" s="1907"/>
      <c r="G379" s="1907"/>
      <c r="H379" s="1254">
        <f>H176</f>
        <v>4512.0151204088124</v>
      </c>
      <c r="I379" s="626"/>
      <c r="J379" s="715"/>
      <c r="K379" s="292"/>
      <c r="L379" s="362"/>
      <c r="M379" s="335"/>
      <c r="N379" s="570"/>
      <c r="O379" s="570"/>
      <c r="P379" s="298"/>
      <c r="Q379" s="297"/>
      <c r="R379" s="611"/>
      <c r="S379" s="611"/>
      <c r="T379" s="709"/>
      <c r="U379" s="570"/>
      <c r="V379" s="570"/>
      <c r="W379" s="570"/>
      <c r="X379" s="570"/>
      <c r="Y379" s="570"/>
      <c r="Z379" s="570"/>
      <c r="AA379" s="570"/>
      <c r="AB379" s="570"/>
      <c r="AC379" s="570"/>
      <c r="AD379" s="570"/>
      <c r="AE379" s="570"/>
      <c r="AF379" s="570"/>
      <c r="AG379" s="570"/>
      <c r="AH379" s="570"/>
      <c r="AI379" s="570"/>
      <c r="AJ379" s="570"/>
      <c r="AK379" s="570"/>
      <c r="AL379" s="570"/>
      <c r="AM379" s="570"/>
      <c r="AN379" s="570"/>
      <c r="AO379" s="570"/>
      <c r="AP379" s="570"/>
      <c r="AQ379" s="570"/>
      <c r="AR379" s="570"/>
      <c r="AS379" s="570"/>
      <c r="AT379" s="570"/>
      <c r="AU379" s="570"/>
      <c r="AV379" s="588"/>
    </row>
    <row r="380" ht="34.5" customHeight="true" thickBot="true" x14ac:dyDescent="0.35">
      <c r="A380" s="704"/>
      <c r="B380" s="570"/>
      <c r="C380" s="570"/>
      <c r="D380" s="708"/>
      <c r="E380" s="1908" t="s">
        <v>2395</v>
      </c>
      <c r="F380" s="1909"/>
      <c r="G380" s="1909"/>
      <c r="H380" s="1267">
        <f>SUMIFS(T198:T247,K198:K247,"=1",R198:R247,"=1")</f>
        <v>0</v>
      </c>
      <c r="I380" s="626"/>
      <c r="J380" s="570"/>
      <c r="K380" s="292"/>
      <c r="L380" s="362"/>
      <c r="M380" s="335"/>
      <c r="N380" s="570"/>
      <c r="O380" s="570"/>
      <c r="P380" s="298"/>
      <c r="Q380" s="297"/>
      <c r="R380" s="611"/>
      <c r="S380" s="611"/>
      <c r="T380" s="709"/>
      <c r="U380" s="570"/>
      <c r="V380" s="570"/>
      <c r="W380" s="570"/>
      <c r="X380" s="570"/>
      <c r="Y380" s="570"/>
      <c r="Z380" s="570"/>
      <c r="AA380" s="570"/>
      <c r="AB380" s="570"/>
      <c r="AC380" s="570"/>
      <c r="AD380" s="570"/>
      <c r="AE380" s="570"/>
      <c r="AF380" s="570"/>
      <c r="AG380" s="570"/>
      <c r="AH380" s="570"/>
      <c r="AI380" s="570"/>
      <c r="AJ380" s="570"/>
      <c r="AK380" s="570"/>
      <c r="AL380" s="570"/>
      <c r="AM380" s="570"/>
      <c r="AN380" s="570"/>
      <c r="AO380" s="570"/>
      <c r="AP380" s="570"/>
      <c r="AQ380" s="570"/>
      <c r="AR380" s="570"/>
      <c r="AS380" s="570"/>
      <c r="AT380" s="570"/>
      <c r="AU380" s="570"/>
      <c r="AV380" s="588"/>
    </row>
    <row r="381" x14ac:dyDescent="0.3">
      <c r="A381" s="704"/>
      <c r="B381" s="570"/>
      <c r="C381" s="570"/>
      <c r="D381" s="708"/>
      <c r="E381" s="829"/>
      <c r="F381" s="709"/>
      <c r="G381" s="570"/>
      <c r="H381" s="292"/>
      <c r="I381" s="626"/>
      <c r="J381" s="570"/>
      <c r="K381" s="292"/>
      <c r="L381" s="362"/>
      <c r="M381" s="335"/>
      <c r="N381" s="570"/>
      <c r="O381" s="570"/>
      <c r="P381" s="298"/>
      <c r="Q381" s="297"/>
      <c r="R381" s="611"/>
      <c r="S381" s="611"/>
      <c r="T381" s="709"/>
      <c r="U381" s="570"/>
      <c r="V381" s="570"/>
      <c r="W381" s="570"/>
      <c r="X381" s="570"/>
      <c r="Y381" s="570"/>
      <c r="Z381" s="570"/>
      <c r="AA381" s="570"/>
      <c r="AB381" s="570"/>
      <c r="AC381" s="570"/>
      <c r="AD381" s="570"/>
      <c r="AE381" s="570"/>
      <c r="AF381" s="570"/>
      <c r="AG381" s="570"/>
      <c r="AH381" s="570"/>
      <c r="AI381" s="570"/>
      <c r="AJ381" s="570"/>
      <c r="AK381" s="570"/>
      <c r="AL381" s="570"/>
      <c r="AM381" s="570"/>
      <c r="AN381" s="570"/>
      <c r="AO381" s="570"/>
      <c r="AP381" s="570"/>
      <c r="AQ381" s="570"/>
      <c r="AR381" s="570"/>
      <c r="AS381" s="570"/>
      <c r="AT381" s="570"/>
      <c r="AU381" s="570"/>
      <c r="AV381" s="588"/>
    </row>
    <row r="382" x14ac:dyDescent="0.3">
      <c r="A382" s="704"/>
      <c r="B382" s="570"/>
      <c r="C382" s="570"/>
      <c r="D382" s="708"/>
      <c r="E382" s="829"/>
      <c r="F382" s="709"/>
      <c r="G382" s="570"/>
      <c r="H382" s="292"/>
      <c r="I382" s="626"/>
      <c r="J382" s="570"/>
      <c r="K382" s="292"/>
      <c r="L382" s="362"/>
      <c r="M382" s="335"/>
      <c r="N382" s="570"/>
      <c r="O382" s="570"/>
      <c r="P382" s="298"/>
      <c r="Q382" s="297"/>
      <c r="R382" s="611"/>
      <c r="S382" s="611"/>
      <c r="T382" s="709"/>
      <c r="U382" s="570"/>
      <c r="V382" s="570"/>
      <c r="W382" s="570"/>
      <c r="X382" s="570"/>
      <c r="Y382" s="570"/>
      <c r="Z382" s="570"/>
      <c r="AA382" s="570"/>
      <c r="AB382" s="570"/>
      <c r="AC382" s="570"/>
      <c r="AD382" s="570"/>
      <c r="AE382" s="570"/>
      <c r="AF382" s="570"/>
      <c r="AG382" s="570"/>
      <c r="AH382" s="570"/>
      <c r="AI382" s="570"/>
      <c r="AJ382" s="570"/>
      <c r="AK382" s="570"/>
      <c r="AL382" s="570"/>
      <c r="AM382" s="570"/>
      <c r="AN382" s="570"/>
      <c r="AO382" s="570"/>
      <c r="AP382" s="570"/>
      <c r="AQ382" s="570"/>
      <c r="AR382" s="570"/>
      <c r="AS382" s="570"/>
      <c r="AT382" s="570"/>
      <c r="AU382" s="570"/>
      <c r="AV382" s="588"/>
    </row>
    <row r="383" x14ac:dyDescent="0.3">
      <c r="A383" s="704"/>
      <c r="B383" s="570"/>
      <c r="C383" s="570"/>
      <c r="D383" s="708"/>
      <c r="E383" s="829"/>
      <c r="F383" s="709"/>
      <c r="G383" s="570"/>
      <c r="H383" s="292"/>
      <c r="I383" s="626"/>
      <c r="J383" s="570"/>
      <c r="K383" s="292"/>
      <c r="L383" s="362"/>
      <c r="M383" s="335"/>
      <c r="N383" s="570"/>
      <c r="O383" s="570"/>
      <c r="P383" s="298"/>
      <c r="Q383" s="297"/>
      <c r="R383" s="611"/>
      <c r="S383" s="611"/>
      <c r="T383" s="709"/>
      <c r="U383" s="570"/>
      <c r="V383" s="570"/>
      <c r="W383" s="570"/>
      <c r="X383" s="570"/>
      <c r="Y383" s="570"/>
      <c r="Z383" s="570"/>
      <c r="AA383" s="570"/>
      <c r="AB383" s="570"/>
      <c r="AC383" s="570"/>
      <c r="AD383" s="570"/>
      <c r="AE383" s="570"/>
      <c r="AF383" s="570"/>
      <c r="AG383" s="570"/>
      <c r="AH383" s="570"/>
      <c r="AI383" s="570"/>
      <c r="AJ383" s="570"/>
      <c r="AK383" s="570"/>
      <c r="AL383" s="570"/>
      <c r="AM383" s="570"/>
      <c r="AN383" s="570"/>
      <c r="AO383" s="570"/>
      <c r="AP383" s="570"/>
      <c r="AQ383" s="570"/>
      <c r="AR383" s="570"/>
      <c r="AS383" s="570"/>
      <c r="AT383" s="570"/>
      <c r="AU383" s="570"/>
      <c r="AV383" s="588"/>
    </row>
    <row r="384" x14ac:dyDescent="0.3">
      <c r="A384" s="704"/>
      <c r="B384" s="570"/>
      <c r="C384" s="570"/>
      <c r="D384" s="708"/>
      <c r="E384" s="829"/>
      <c r="F384" s="709"/>
      <c r="G384" s="570"/>
      <c r="H384" s="292"/>
      <c r="I384" s="626"/>
      <c r="J384" s="570"/>
      <c r="K384" s="292"/>
      <c r="L384" s="362"/>
      <c r="M384" s="335"/>
      <c r="N384" s="570"/>
      <c r="O384" s="570"/>
      <c r="P384" s="298"/>
      <c r="Q384" s="297"/>
      <c r="R384" s="611"/>
      <c r="S384" s="611"/>
      <c r="T384" s="709"/>
      <c r="U384" s="570"/>
      <c r="V384" s="570"/>
      <c r="W384" s="570"/>
      <c r="X384" s="570"/>
      <c r="Y384" s="570"/>
      <c r="Z384" s="570"/>
      <c r="AA384" s="570"/>
      <c r="AB384" s="570"/>
      <c r="AC384" s="570"/>
      <c r="AD384" s="570"/>
      <c r="AE384" s="570"/>
      <c r="AF384" s="570"/>
      <c r="AG384" s="570"/>
      <c r="AH384" s="570"/>
      <c r="AI384" s="570"/>
      <c r="AJ384" s="570"/>
      <c r="AK384" s="570"/>
      <c r="AL384" s="570"/>
      <c r="AM384" s="570"/>
      <c r="AN384" s="570"/>
      <c r="AO384" s="570"/>
      <c r="AP384" s="570"/>
      <c r="AQ384" s="570"/>
      <c r="AR384" s="570"/>
      <c r="AS384" s="570"/>
      <c r="AT384" s="570"/>
      <c r="AU384" s="570"/>
      <c r="AV384" s="588"/>
    </row>
    <row r="385" ht="24" thickBot="true" x14ac:dyDescent="0.55000000000000004">
      <c r="A385" s="704"/>
      <c r="B385" s="570"/>
      <c r="C385" s="570"/>
      <c r="D385" s="708"/>
      <c r="E385" s="1923" t="s">
        <v>2400</v>
      </c>
      <c r="F385" s="1923"/>
      <c r="G385" s="1923"/>
      <c r="H385" s="1923"/>
      <c r="I385" s="626"/>
      <c r="J385" s="570"/>
      <c r="K385" s="292"/>
      <c r="L385" s="362"/>
      <c r="M385" s="335"/>
      <c r="N385" s="570"/>
      <c r="O385" s="570"/>
      <c r="P385" s="298"/>
      <c r="Q385" s="297"/>
      <c r="R385" s="611"/>
      <c r="S385" s="611"/>
      <c r="T385" s="709"/>
      <c r="U385" s="570"/>
      <c r="V385" s="570"/>
      <c r="W385" s="570"/>
      <c r="X385" s="570"/>
      <c r="Y385" s="570"/>
      <c r="Z385" s="570"/>
      <c r="AA385" s="570"/>
      <c r="AB385" s="570"/>
      <c r="AC385" s="570"/>
      <c r="AD385" s="570"/>
      <c r="AE385" s="570"/>
      <c r="AF385" s="570"/>
      <c r="AG385" s="570"/>
      <c r="AH385" s="570"/>
      <c r="AI385" s="570"/>
      <c r="AJ385" s="570"/>
      <c r="AK385" s="570"/>
      <c r="AL385" s="570"/>
      <c r="AM385" s="570"/>
      <c r="AN385" s="570"/>
      <c r="AO385" s="570"/>
      <c r="AP385" s="570"/>
      <c r="AQ385" s="570"/>
      <c r="AR385" s="570"/>
      <c r="AS385" s="570"/>
      <c r="AT385" s="570"/>
      <c r="AU385" s="570"/>
      <c r="AV385" s="588"/>
    </row>
    <row r="386" ht="32.25" customHeight="true" x14ac:dyDescent="0.3">
      <c r="A386" s="704"/>
      <c r="B386" s="570"/>
      <c r="C386" s="570"/>
      <c r="D386" s="708"/>
      <c r="E386" s="1891" t="s">
        <v>1554</v>
      </c>
      <c r="F386" s="1892"/>
      <c r="G386" s="1892"/>
      <c r="H386" s="276">
        <f>IF(ISNA(VLOOKUP("7732-18-5",K387:L436,2,FALSE))=TRUE,0,VLOOKUP("7732-18-5",K387:L436,2,FALSE))</f>
        <v>0</v>
      </c>
      <c r="I386" s="277" t="s">
        <v>1469</v>
      </c>
      <c r="J386" s="191" t="s">
        <v>1470</v>
      </c>
      <c r="K386" s="278" t="s">
        <v>186</v>
      </c>
      <c r="L386" s="191" t="s">
        <v>1533</v>
      </c>
      <c r="M386" s="191" t="s">
        <v>2234</v>
      </c>
      <c r="N386" s="191" t="s">
        <v>1004</v>
      </c>
      <c r="O386" s="272" t="s">
        <v>1025</v>
      </c>
      <c r="P386" s="273" t="s">
        <v>1581</v>
      </c>
      <c r="Q386" s="297"/>
      <c r="R386" s="611"/>
      <c r="S386" s="611"/>
      <c r="T386" s="709"/>
      <c r="U386" s="570"/>
      <c r="V386" s="570"/>
      <c r="W386" s="570"/>
      <c r="X386" s="570"/>
      <c r="Y386" s="570"/>
      <c r="Z386" s="570"/>
      <c r="AA386" s="570"/>
      <c r="AB386" s="570"/>
      <c r="AC386" s="570"/>
      <c r="AD386" s="570"/>
      <c r="AE386" s="570"/>
      <c r="AF386" s="570"/>
      <c r="AG386" s="570"/>
      <c r="AH386" s="570"/>
      <c r="AI386" s="570"/>
      <c r="AJ386" s="570"/>
      <c r="AK386" s="570"/>
      <c r="AL386" s="570"/>
      <c r="AM386" s="570"/>
      <c r="AN386" s="570"/>
      <c r="AO386" s="570"/>
      <c r="AP386" s="570"/>
      <c r="AQ386" s="570"/>
      <c r="AR386" s="570"/>
      <c r="AS386" s="570"/>
      <c r="AT386" s="570"/>
      <c r="AU386" s="570"/>
      <c r="AV386" s="588"/>
    </row>
    <row r="387" ht="18.6" x14ac:dyDescent="0.3">
      <c r="A387" s="704"/>
      <c r="B387" s="570"/>
      <c r="C387" s="570"/>
      <c r="D387" s="708"/>
      <c r="E387" s="1904" t="s">
        <v>1555</v>
      </c>
      <c r="F387" s="1905"/>
      <c r="G387" s="1905"/>
      <c r="H387" s="1268">
        <f>ROUND(0.14395/(0.0112^(1+(1-('I. Stream &amp; Compound Data'!F20+273.15)/649.727)^0.05107)),3)</f>
        <v>998.94600000000003</v>
      </c>
      <c r="I387" s="1264">
        <f t="shared" ref="I387:I436" si="26">I86</f>
        <v>1</v>
      </c>
      <c r="J387" s="202" t="str">
        <f t="shared" ref="J387:J436" si="27">IF(J86&lt;&gt;"",J86,"")</f>
        <v>Carbon Dioxide</v>
      </c>
      <c r="K387" s="1269" t="str">
        <f>IF('I. Stream &amp; Compound Data'!H262&lt;&gt;"",'I. Stream &amp; Compound Data'!H262,"")</f>
        <v>124-38-9</v>
      </c>
      <c r="L387" s="1208">
        <f t="shared" ref="L387:L436" si="28">IF(L198&lt;&gt;"",L198,"")</f>
        <v>0</v>
      </c>
      <c r="M387" s="1208">
        <f>IF(R198&lt;&gt;"",R198,"")</f>
        <v>0</v>
      </c>
      <c r="N387" s="1208">
        <f>IF('I. Stream &amp; Compound Data'!P262&lt;&gt;"",'I. Stream &amp; Compound Data'!P262,"")</f>
        <v>2980.7504537999998</v>
      </c>
      <c r="O387" s="202">
        <f t="shared" ref="O387:O405" si="29">S198</f>
        <v>0</v>
      </c>
      <c r="P387" s="262">
        <f t="shared" ref="P387:P405" si="30">T198</f>
        <v>0</v>
      </c>
      <c r="Q387" s="297"/>
      <c r="R387" s="611"/>
      <c r="S387" s="611"/>
      <c r="T387" s="709"/>
      <c r="U387" s="570"/>
      <c r="V387" s="570"/>
      <c r="W387" s="570"/>
      <c r="X387" s="570"/>
      <c r="Y387" s="570"/>
      <c r="Z387" s="570"/>
      <c r="AA387" s="570"/>
      <c r="AB387" s="570"/>
      <c r="AC387" s="570"/>
      <c r="AD387" s="570"/>
      <c r="AE387" s="570"/>
      <c r="AF387" s="570"/>
      <c r="AG387" s="570"/>
      <c r="AH387" s="570"/>
      <c r="AI387" s="570"/>
      <c r="AJ387" s="570"/>
      <c r="AK387" s="570"/>
      <c r="AL387" s="570"/>
      <c r="AM387" s="570"/>
      <c r="AN387" s="570"/>
      <c r="AO387" s="570"/>
      <c r="AP387" s="570"/>
      <c r="AQ387" s="570"/>
      <c r="AR387" s="570"/>
      <c r="AS387" s="570"/>
      <c r="AT387" s="570"/>
      <c r="AU387" s="570"/>
      <c r="AV387" s="588"/>
    </row>
    <row r="388" ht="24" customHeight="true" x14ac:dyDescent="0.3">
      <c r="A388" s="704"/>
      <c r="B388" s="570"/>
      <c r="C388" s="570"/>
      <c r="D388" s="708"/>
      <c r="E388" s="1902" t="s">
        <v>1559</v>
      </c>
      <c r="F388" s="1903"/>
      <c r="G388" s="1903"/>
      <c r="H388" s="1268">
        <f>IF(ISNA(VLOOKUP("7732-18-5",K387:N436,4,FALSE))=TRUE,0,VLOOKUP("7732-18-5",K387:N436,4,FALSE))</f>
        <v>0</v>
      </c>
      <c r="I388" s="1264">
        <f t="shared" si="26"/>
        <v>2</v>
      </c>
      <c r="J388" s="202" t="str">
        <f t="shared" si="27"/>
        <v>Water</v>
      </c>
      <c r="K388" s="1269" t="str">
        <f>IF('I. Stream &amp; Compound Data'!H263&lt;&gt;"",'I. Stream &amp; Compound Data'!H263,"")</f>
        <v>7732-18-5</v>
      </c>
      <c r="L388" s="1208">
        <f t="shared" si="28"/>
        <v>0</v>
      </c>
      <c r="M388" s="1208">
        <f t="shared" ref="M388:M405" si="31">IF(R199&lt;&gt;"",R199,"")</f>
        <v>1</v>
      </c>
      <c r="N388" s="1208">
        <f>IF('I. Stream &amp; Compound Data'!P263&lt;&gt;"",'I. Stream &amp; Compound Data'!P263,"")</f>
        <v>0</v>
      </c>
      <c r="O388" s="202">
        <f t="shared" si="29"/>
        <v>0</v>
      </c>
      <c r="P388" s="262">
        <f t="shared" si="30"/>
        <v>0</v>
      </c>
      <c r="Q388" s="297"/>
      <c r="R388" s="611"/>
      <c r="S388" s="611"/>
      <c r="T388" s="709"/>
      <c r="U388" s="570"/>
      <c r="V388" s="570"/>
      <c r="W388" s="570"/>
      <c r="X388" s="570"/>
      <c r="Y388" s="570"/>
      <c r="Z388" s="570"/>
      <c r="AA388" s="570"/>
      <c r="AB388" s="570"/>
      <c r="AC388" s="570"/>
      <c r="AD388" s="570"/>
      <c r="AE388" s="570"/>
      <c r="AF388" s="570"/>
      <c r="AG388" s="570"/>
      <c r="AH388" s="570"/>
      <c r="AI388" s="570"/>
      <c r="AJ388" s="570"/>
      <c r="AK388" s="570"/>
      <c r="AL388" s="570"/>
      <c r="AM388" s="570"/>
      <c r="AN388" s="570"/>
      <c r="AO388" s="570"/>
      <c r="AP388" s="570"/>
      <c r="AQ388" s="570"/>
      <c r="AR388" s="570"/>
      <c r="AS388" s="570"/>
      <c r="AT388" s="570"/>
      <c r="AU388" s="570"/>
      <c r="AV388" s="588"/>
    </row>
    <row r="389" ht="24.75" customHeight="true" x14ac:dyDescent="0.3">
      <c r="A389" s="704"/>
      <c r="B389" s="570"/>
      <c r="C389" s="570"/>
      <c r="D389" s="708"/>
      <c r="E389" s="1864" t="s">
        <v>1558</v>
      </c>
      <c r="F389" s="1865"/>
      <c r="G389" s="1865"/>
      <c r="H389" s="1268">
        <f>IF(ISNA(VLOOKUP("7732-18-5",K387:P436,3,FALSE))=TRUE,0,VLOOKUP("7732-18-5",K387:P436,3,FALSE)*VLOOKUP("7732-18-5",K387:P436,5,FALSE))*H388</f>
        <v>0</v>
      </c>
      <c r="I389" s="1264">
        <f t="shared" si="26"/>
        <v>3</v>
      </c>
      <c r="J389" s="202" t="str">
        <f t="shared" si="27"/>
        <v>Calcium Oxide</v>
      </c>
      <c r="K389" s="1269" t="str">
        <f>IF('I. Stream &amp; Compound Data'!H264&lt;&gt;"",'I. Stream &amp; Compound Data'!H264,"")</f>
        <v>1305-78-8</v>
      </c>
      <c r="L389" s="1208">
        <f t="shared" si="28"/>
        <v>0</v>
      </c>
      <c r="M389" s="1208">
        <f t="shared" si="31"/>
        <v>1</v>
      </c>
      <c r="N389" s="1208">
        <f>IF('I. Stream &amp; Compound Data'!P264&lt;&gt;"",'I. Stream &amp; Compound Data'!P264,"")</f>
        <v>0</v>
      </c>
      <c r="O389" s="202">
        <f t="shared" si="29"/>
        <v>0</v>
      </c>
      <c r="P389" s="262">
        <f t="shared" si="30"/>
        <v>0</v>
      </c>
      <c r="Q389" s="297"/>
      <c r="R389" s="611"/>
      <c r="S389" s="611"/>
      <c r="T389" s="709"/>
      <c r="U389" s="570"/>
      <c r="V389" s="570"/>
      <c r="W389" s="570"/>
      <c r="X389" s="570"/>
      <c r="Y389" s="570"/>
      <c r="Z389" s="570"/>
      <c r="AA389" s="570"/>
      <c r="AB389" s="570"/>
      <c r="AC389" s="570"/>
      <c r="AD389" s="570"/>
      <c r="AE389" s="570"/>
      <c r="AF389" s="570"/>
      <c r="AG389" s="570"/>
      <c r="AH389" s="570"/>
      <c r="AI389" s="570"/>
      <c r="AJ389" s="570"/>
      <c r="AK389" s="570"/>
      <c r="AL389" s="570"/>
      <c r="AM389" s="570"/>
      <c r="AN389" s="570"/>
      <c r="AO389" s="570"/>
      <c r="AP389" s="570"/>
      <c r="AQ389" s="570"/>
      <c r="AR389" s="570"/>
      <c r="AS389" s="570"/>
      <c r="AT389" s="570"/>
      <c r="AU389" s="570"/>
      <c r="AV389" s="588"/>
    </row>
    <row r="390" ht="21" customHeight="true" thickBot="true" x14ac:dyDescent="0.35">
      <c r="A390" s="704"/>
      <c r="B390" s="570"/>
      <c r="C390" s="570"/>
      <c r="D390" s="708"/>
      <c r="E390" s="1924" t="s">
        <v>2311</v>
      </c>
      <c r="F390" s="1925"/>
      <c r="G390" s="1925"/>
      <c r="H390" s="1270">
        <f>'III. Utility Data'!J14</f>
        <v>0</v>
      </c>
      <c r="I390" s="1264">
        <f t="shared" si="26"/>
        <v>4</v>
      </c>
      <c r="J390" s="202" t="str">
        <f t="shared" si="27"/>
        <v>Calcium Carbonate</v>
      </c>
      <c r="K390" s="1269" t="str">
        <f>IF('I. Stream &amp; Compound Data'!H265&lt;&gt;"",'I. Stream &amp; Compound Data'!H265,"")</f>
        <v>471-34-1</v>
      </c>
      <c r="L390" s="1208">
        <f t="shared" si="28"/>
        <v>6778.7792000553327</v>
      </c>
      <c r="M390" s="1208">
        <f t="shared" si="31"/>
        <v>1</v>
      </c>
      <c r="N390" s="1208">
        <f>IF('I. Stream &amp; Compound Data'!P265&lt;&gt;"",'I. Stream &amp; Compound Data'!P265,"")</f>
        <v>0</v>
      </c>
      <c r="O390" s="202">
        <f t="shared" si="29"/>
        <v>0.8</v>
      </c>
      <c r="P390" s="262">
        <f t="shared" si="30"/>
        <v>0</v>
      </c>
      <c r="Q390" s="297"/>
      <c r="R390" s="611"/>
      <c r="S390" s="611"/>
      <c r="T390" s="709"/>
      <c r="U390" s="570"/>
      <c r="V390" s="570"/>
      <c r="W390" s="570"/>
      <c r="X390" s="570"/>
      <c r="Y390" s="570"/>
      <c r="Z390" s="570"/>
      <c r="AA390" s="570"/>
      <c r="AB390" s="570"/>
      <c r="AC390" s="570"/>
      <c r="AD390" s="570"/>
      <c r="AE390" s="570"/>
      <c r="AF390" s="570"/>
      <c r="AG390" s="570"/>
      <c r="AH390" s="570"/>
      <c r="AI390" s="570"/>
      <c r="AJ390" s="570"/>
      <c r="AK390" s="570"/>
      <c r="AL390" s="570"/>
      <c r="AM390" s="570"/>
      <c r="AN390" s="570"/>
      <c r="AO390" s="570"/>
      <c r="AP390" s="570"/>
      <c r="AQ390" s="570"/>
      <c r="AR390" s="570"/>
      <c r="AS390" s="570"/>
      <c r="AT390" s="570"/>
      <c r="AU390" s="570"/>
      <c r="AV390" s="588"/>
    </row>
    <row r="391" x14ac:dyDescent="0.3">
      <c r="A391" s="704"/>
      <c r="B391" s="570"/>
      <c r="C391" s="570"/>
      <c r="D391" s="708"/>
      <c r="E391" s="829"/>
      <c r="F391" s="709"/>
      <c r="G391" s="570"/>
      <c r="H391" s="292"/>
      <c r="I391" s="1262">
        <f t="shared" si="26"/>
        <v>5</v>
      </c>
      <c r="J391" s="202" t="str">
        <f t="shared" si="27"/>
        <v/>
      </c>
      <c r="K391" s="1269" t="str">
        <f>IF('I. Stream &amp; Compound Data'!H266&lt;&gt;"",'I. Stream &amp; Compound Data'!H266,"")</f>
        <v/>
      </c>
      <c r="L391" s="1208" t="str">
        <f t="shared" si="28"/>
        <v/>
      </c>
      <c r="M391" s="1208" t="str">
        <f t="shared" si="31"/>
        <v/>
      </c>
      <c r="N391" s="1208" t="str">
        <f>IF('I. Stream &amp; Compound Data'!P266&lt;&gt;"",'I. Stream &amp; Compound Data'!P266,"")</f>
        <v/>
      </c>
      <c r="O391" s="202" t="str">
        <f t="shared" si="29"/>
        <v/>
      </c>
      <c r="P391" s="262" t="str">
        <f t="shared" si="30"/>
        <v/>
      </c>
      <c r="Q391" s="297"/>
      <c r="R391" s="611"/>
      <c r="S391" s="611"/>
      <c r="T391" s="709"/>
      <c r="U391" s="570"/>
      <c r="V391" s="570"/>
      <c r="W391" s="570"/>
      <c r="X391" s="570"/>
      <c r="Y391" s="570"/>
      <c r="Z391" s="570"/>
      <c r="AA391" s="570"/>
      <c r="AB391" s="570"/>
      <c r="AC391" s="570"/>
      <c r="AD391" s="570"/>
      <c r="AE391" s="570"/>
      <c r="AF391" s="570"/>
      <c r="AG391" s="570"/>
      <c r="AH391" s="570"/>
      <c r="AI391" s="570"/>
      <c r="AJ391" s="570"/>
      <c r="AK391" s="570"/>
      <c r="AL391" s="570"/>
      <c r="AM391" s="570"/>
      <c r="AN391" s="570"/>
      <c r="AO391" s="570"/>
      <c r="AP391" s="570"/>
      <c r="AQ391" s="570"/>
      <c r="AR391" s="570"/>
      <c r="AS391" s="570"/>
      <c r="AT391" s="570"/>
      <c r="AU391" s="570"/>
      <c r="AV391" s="588"/>
    </row>
    <row r="392" x14ac:dyDescent="0.3">
      <c r="A392" s="704"/>
      <c r="B392" s="570"/>
      <c r="C392" s="570"/>
      <c r="D392" s="708"/>
      <c r="E392" s="829"/>
      <c r="F392" s="709"/>
      <c r="G392" s="570"/>
      <c r="H392" s="292"/>
      <c r="I392" s="1262">
        <f t="shared" si="26"/>
        <v>6</v>
      </c>
      <c r="J392" s="202" t="str">
        <f t="shared" si="27"/>
        <v/>
      </c>
      <c r="K392" s="1269" t="str">
        <f>IF('I. Stream &amp; Compound Data'!H267&lt;&gt;"",'I. Stream &amp; Compound Data'!H267,"")</f>
        <v/>
      </c>
      <c r="L392" s="1208" t="str">
        <f t="shared" si="28"/>
        <v/>
      </c>
      <c r="M392" s="1208" t="str">
        <f t="shared" si="31"/>
        <v/>
      </c>
      <c r="N392" s="1208" t="str">
        <f>IF('I. Stream &amp; Compound Data'!P267&lt;&gt;"",'I. Stream &amp; Compound Data'!P267,"")</f>
        <v/>
      </c>
      <c r="O392" s="202" t="str">
        <f t="shared" si="29"/>
        <v/>
      </c>
      <c r="P392" s="262" t="str">
        <f t="shared" si="30"/>
        <v/>
      </c>
      <c r="Q392" s="297"/>
      <c r="R392" s="611"/>
      <c r="S392" s="611"/>
      <c r="T392" s="709"/>
      <c r="U392" s="570"/>
      <c r="V392" s="570"/>
      <c r="W392" s="570"/>
      <c r="X392" s="570"/>
      <c r="Y392" s="570"/>
      <c r="Z392" s="570"/>
      <c r="AA392" s="570"/>
      <c r="AB392" s="570"/>
      <c r="AC392" s="570"/>
      <c r="AD392" s="570"/>
      <c r="AE392" s="570"/>
      <c r="AF392" s="570"/>
      <c r="AG392" s="570"/>
      <c r="AH392" s="570"/>
      <c r="AI392" s="570"/>
      <c r="AJ392" s="570"/>
      <c r="AK392" s="570"/>
      <c r="AL392" s="570"/>
      <c r="AM392" s="570"/>
      <c r="AN392" s="570"/>
      <c r="AO392" s="570"/>
      <c r="AP392" s="570"/>
      <c r="AQ392" s="570"/>
      <c r="AR392" s="570"/>
      <c r="AS392" s="570"/>
      <c r="AT392" s="570"/>
      <c r="AU392" s="570"/>
      <c r="AV392" s="588"/>
    </row>
    <row r="393" x14ac:dyDescent="0.3">
      <c r="A393" s="704"/>
      <c r="B393" s="570"/>
      <c r="C393" s="570"/>
      <c r="D393" s="708"/>
      <c r="E393" s="829"/>
      <c r="F393" s="709"/>
      <c r="G393" s="570"/>
      <c r="H393" s="292"/>
      <c r="I393" s="1262">
        <f t="shared" si="26"/>
        <v>7</v>
      </c>
      <c r="J393" s="202" t="str">
        <f t="shared" si="27"/>
        <v/>
      </c>
      <c r="K393" s="1269" t="str">
        <f>IF('I. Stream &amp; Compound Data'!H268&lt;&gt;"",'I. Stream &amp; Compound Data'!H268,"")</f>
        <v/>
      </c>
      <c r="L393" s="1208" t="str">
        <f t="shared" si="28"/>
        <v/>
      </c>
      <c r="M393" s="1208" t="str">
        <f t="shared" si="31"/>
        <v/>
      </c>
      <c r="N393" s="1208" t="str">
        <f>IF('I. Stream &amp; Compound Data'!P268&lt;&gt;"",'I. Stream &amp; Compound Data'!P268,"")</f>
        <v/>
      </c>
      <c r="O393" s="202" t="str">
        <f t="shared" si="29"/>
        <v/>
      </c>
      <c r="P393" s="262" t="str">
        <f t="shared" si="30"/>
        <v/>
      </c>
      <c r="Q393" s="297"/>
      <c r="R393" s="611"/>
      <c r="S393" s="611"/>
      <c r="T393" s="709"/>
      <c r="U393" s="570"/>
      <c r="V393" s="570"/>
      <c r="W393" s="570"/>
      <c r="X393" s="570"/>
      <c r="Y393" s="570"/>
      <c r="Z393" s="570"/>
      <c r="AA393" s="570"/>
      <c r="AB393" s="570"/>
      <c r="AC393" s="570"/>
      <c r="AD393" s="570"/>
      <c r="AE393" s="570"/>
      <c r="AF393" s="570"/>
      <c r="AG393" s="570"/>
      <c r="AH393" s="570"/>
      <c r="AI393" s="570"/>
      <c r="AJ393" s="570"/>
      <c r="AK393" s="570"/>
      <c r="AL393" s="570"/>
      <c r="AM393" s="570"/>
      <c r="AN393" s="570"/>
      <c r="AO393" s="570"/>
      <c r="AP393" s="570"/>
      <c r="AQ393" s="570"/>
      <c r="AR393" s="570"/>
      <c r="AS393" s="570"/>
      <c r="AT393" s="570"/>
      <c r="AU393" s="570"/>
      <c r="AV393" s="588"/>
    </row>
    <row r="394" x14ac:dyDescent="0.3">
      <c r="A394" s="704"/>
      <c r="B394" s="570"/>
      <c r="C394" s="570"/>
      <c r="D394" s="708"/>
      <c r="E394" s="829"/>
      <c r="F394" s="709"/>
      <c r="G394" s="570"/>
      <c r="H394" s="292"/>
      <c r="I394" s="1262">
        <f t="shared" si="26"/>
        <v>8</v>
      </c>
      <c r="J394" s="202" t="str">
        <f t="shared" si="27"/>
        <v/>
      </c>
      <c r="K394" s="1269" t="str">
        <f>IF('I. Stream &amp; Compound Data'!H269&lt;&gt;"",'I. Stream &amp; Compound Data'!H269,"")</f>
        <v/>
      </c>
      <c r="L394" s="1208" t="str">
        <f t="shared" si="28"/>
        <v/>
      </c>
      <c r="M394" s="1208" t="str">
        <f t="shared" si="31"/>
        <v/>
      </c>
      <c r="N394" s="1208" t="str">
        <f>IF('I. Stream &amp; Compound Data'!P269&lt;&gt;"",'I. Stream &amp; Compound Data'!P269,"")</f>
        <v/>
      </c>
      <c r="O394" s="202" t="str">
        <f t="shared" si="29"/>
        <v/>
      </c>
      <c r="P394" s="262" t="str">
        <f t="shared" si="30"/>
        <v/>
      </c>
      <c r="Q394" s="297"/>
      <c r="R394" s="611"/>
      <c r="S394" s="611"/>
      <c r="T394" s="709"/>
      <c r="U394" s="570"/>
      <c r="V394" s="570"/>
      <c r="W394" s="570"/>
      <c r="X394" s="570"/>
      <c r="Y394" s="570"/>
      <c r="Z394" s="570"/>
      <c r="AA394" s="570"/>
      <c r="AB394" s="570"/>
      <c r="AC394" s="570"/>
      <c r="AD394" s="570"/>
      <c r="AE394" s="570"/>
      <c r="AF394" s="570"/>
      <c r="AG394" s="570"/>
      <c r="AH394" s="570"/>
      <c r="AI394" s="570"/>
      <c r="AJ394" s="570"/>
      <c r="AK394" s="570"/>
      <c r="AL394" s="570"/>
      <c r="AM394" s="570"/>
      <c r="AN394" s="570"/>
      <c r="AO394" s="570"/>
      <c r="AP394" s="570"/>
      <c r="AQ394" s="570"/>
      <c r="AR394" s="570"/>
      <c r="AS394" s="570"/>
      <c r="AT394" s="570"/>
      <c r="AU394" s="570"/>
      <c r="AV394" s="588"/>
    </row>
    <row r="395" x14ac:dyDescent="0.3">
      <c r="A395" s="704"/>
      <c r="B395" s="570"/>
      <c r="C395" s="570"/>
      <c r="D395" s="708"/>
      <c r="E395" s="829"/>
      <c r="F395" s="709"/>
      <c r="G395" s="570"/>
      <c r="H395" s="292"/>
      <c r="I395" s="1262">
        <f t="shared" si="26"/>
        <v>9</v>
      </c>
      <c r="J395" s="202" t="str">
        <f t="shared" si="27"/>
        <v/>
      </c>
      <c r="K395" s="1269" t="str">
        <f>IF('I. Stream &amp; Compound Data'!H270&lt;&gt;"",'I. Stream &amp; Compound Data'!H270,"")</f>
        <v/>
      </c>
      <c r="L395" s="1208" t="str">
        <f t="shared" si="28"/>
        <v/>
      </c>
      <c r="M395" s="1208" t="str">
        <f t="shared" si="31"/>
        <v/>
      </c>
      <c r="N395" s="1208" t="str">
        <f>IF('I. Stream &amp; Compound Data'!P270&lt;&gt;"",'I. Stream &amp; Compound Data'!P270,"")</f>
        <v/>
      </c>
      <c r="O395" s="202" t="str">
        <f t="shared" si="29"/>
        <v/>
      </c>
      <c r="P395" s="262" t="str">
        <f t="shared" si="30"/>
        <v/>
      </c>
      <c r="Q395" s="297"/>
      <c r="R395" s="611"/>
      <c r="S395" s="611"/>
      <c r="T395" s="709"/>
      <c r="U395" s="570"/>
      <c r="V395" s="570"/>
      <c r="W395" s="570"/>
      <c r="X395" s="570"/>
      <c r="Y395" s="570"/>
      <c r="Z395" s="570"/>
      <c r="AA395" s="570"/>
      <c r="AB395" s="570"/>
      <c r="AC395" s="570"/>
      <c r="AD395" s="570"/>
      <c r="AE395" s="570"/>
      <c r="AF395" s="570"/>
      <c r="AG395" s="570"/>
      <c r="AH395" s="570"/>
      <c r="AI395" s="570"/>
      <c r="AJ395" s="570"/>
      <c r="AK395" s="570"/>
      <c r="AL395" s="570"/>
      <c r="AM395" s="570"/>
      <c r="AN395" s="570"/>
      <c r="AO395" s="570"/>
      <c r="AP395" s="570"/>
      <c r="AQ395" s="570"/>
      <c r="AR395" s="570"/>
      <c r="AS395" s="570"/>
      <c r="AT395" s="570"/>
      <c r="AU395" s="570"/>
      <c r="AV395" s="588"/>
    </row>
    <row r="396" x14ac:dyDescent="0.3">
      <c r="A396" s="704"/>
      <c r="B396" s="570"/>
      <c r="C396" s="570"/>
      <c r="D396" s="708"/>
      <c r="E396" s="829"/>
      <c r="F396" s="709"/>
      <c r="G396" s="570"/>
      <c r="H396" s="292"/>
      <c r="I396" s="1262">
        <f t="shared" si="26"/>
        <v>10</v>
      </c>
      <c r="J396" s="202" t="str">
        <f t="shared" si="27"/>
        <v/>
      </c>
      <c r="K396" s="1269" t="str">
        <f>IF('I. Stream &amp; Compound Data'!H271&lt;&gt;"",'I. Stream &amp; Compound Data'!H271,"")</f>
        <v/>
      </c>
      <c r="L396" s="1208" t="str">
        <f t="shared" si="28"/>
        <v/>
      </c>
      <c r="M396" s="1208" t="str">
        <f t="shared" si="31"/>
        <v/>
      </c>
      <c r="N396" s="1208" t="str">
        <f>IF('I. Stream &amp; Compound Data'!P271&lt;&gt;"",'I. Stream &amp; Compound Data'!P271,"")</f>
        <v/>
      </c>
      <c r="O396" s="202" t="str">
        <f t="shared" si="29"/>
        <v/>
      </c>
      <c r="P396" s="262" t="str">
        <f t="shared" si="30"/>
        <v/>
      </c>
      <c r="Q396" s="297"/>
      <c r="R396" s="611"/>
      <c r="S396" s="611"/>
      <c r="T396" s="709"/>
      <c r="U396" s="570"/>
      <c r="V396" s="570"/>
      <c r="W396" s="570"/>
      <c r="X396" s="570"/>
      <c r="Y396" s="570"/>
      <c r="Z396" s="570"/>
      <c r="AA396" s="570"/>
      <c r="AB396" s="570"/>
      <c r="AC396" s="570"/>
      <c r="AD396" s="570"/>
      <c r="AE396" s="570"/>
      <c r="AF396" s="570"/>
      <c r="AG396" s="570"/>
      <c r="AH396" s="570"/>
      <c r="AI396" s="570"/>
      <c r="AJ396" s="570"/>
      <c r="AK396" s="570"/>
      <c r="AL396" s="570"/>
      <c r="AM396" s="570"/>
      <c r="AN396" s="570"/>
      <c r="AO396" s="570"/>
      <c r="AP396" s="570"/>
      <c r="AQ396" s="570"/>
      <c r="AR396" s="570"/>
      <c r="AS396" s="570"/>
      <c r="AT396" s="570"/>
      <c r="AU396" s="570"/>
      <c r="AV396" s="588"/>
    </row>
    <row r="397" x14ac:dyDescent="0.3">
      <c r="A397" s="704"/>
      <c r="B397" s="570"/>
      <c r="C397" s="570"/>
      <c r="D397" s="708"/>
      <c r="E397" s="829"/>
      <c r="F397" s="709"/>
      <c r="G397" s="570"/>
      <c r="H397" s="292"/>
      <c r="I397" s="1262">
        <f t="shared" si="26"/>
        <v>11</v>
      </c>
      <c r="J397" s="202" t="str">
        <f t="shared" si="27"/>
        <v/>
      </c>
      <c r="K397" s="1269" t="str">
        <f>IF('I. Stream &amp; Compound Data'!H272&lt;&gt;"",'I. Stream &amp; Compound Data'!H272,"")</f>
        <v/>
      </c>
      <c r="L397" s="1208" t="str">
        <f t="shared" si="28"/>
        <v/>
      </c>
      <c r="M397" s="1208" t="str">
        <f t="shared" si="31"/>
        <v/>
      </c>
      <c r="N397" s="1208" t="str">
        <f>IF('I. Stream &amp; Compound Data'!P272&lt;&gt;"",'I. Stream &amp; Compound Data'!P272,"")</f>
        <v/>
      </c>
      <c r="O397" s="202" t="str">
        <f t="shared" si="29"/>
        <v/>
      </c>
      <c r="P397" s="262" t="str">
        <f t="shared" si="30"/>
        <v/>
      </c>
      <c r="Q397" s="297"/>
      <c r="R397" s="611"/>
      <c r="S397" s="611"/>
      <c r="T397" s="709"/>
      <c r="U397" s="570"/>
      <c r="V397" s="570"/>
      <c r="W397" s="570"/>
      <c r="X397" s="570"/>
      <c r="Y397" s="570"/>
      <c r="Z397" s="570"/>
      <c r="AA397" s="570"/>
      <c r="AB397" s="570"/>
      <c r="AC397" s="570"/>
      <c r="AD397" s="570"/>
      <c r="AE397" s="570"/>
      <c r="AF397" s="570"/>
      <c r="AG397" s="570"/>
      <c r="AH397" s="570"/>
      <c r="AI397" s="570"/>
      <c r="AJ397" s="570"/>
      <c r="AK397" s="570"/>
      <c r="AL397" s="570"/>
      <c r="AM397" s="570"/>
      <c r="AN397" s="570"/>
      <c r="AO397" s="570"/>
      <c r="AP397" s="570"/>
      <c r="AQ397" s="570"/>
      <c r="AR397" s="570"/>
      <c r="AS397" s="570"/>
      <c r="AT397" s="570"/>
      <c r="AU397" s="570"/>
      <c r="AV397" s="588"/>
    </row>
    <row r="398" x14ac:dyDescent="0.3">
      <c r="A398" s="704"/>
      <c r="B398" s="570"/>
      <c r="C398" s="570"/>
      <c r="D398" s="708"/>
      <c r="E398" s="829"/>
      <c r="F398" s="709"/>
      <c r="G398" s="570"/>
      <c r="H398" s="292"/>
      <c r="I398" s="1262">
        <f t="shared" si="26"/>
        <v>12</v>
      </c>
      <c r="J398" s="202" t="str">
        <f t="shared" si="27"/>
        <v/>
      </c>
      <c r="K398" s="1269" t="str">
        <f>IF('I. Stream &amp; Compound Data'!H273&lt;&gt;"",'I. Stream &amp; Compound Data'!H273,"")</f>
        <v/>
      </c>
      <c r="L398" s="1208" t="str">
        <f t="shared" si="28"/>
        <v/>
      </c>
      <c r="M398" s="1208" t="str">
        <f t="shared" si="31"/>
        <v/>
      </c>
      <c r="N398" s="1208" t="str">
        <f>IF('I. Stream &amp; Compound Data'!P273&lt;&gt;"",'I. Stream &amp; Compound Data'!P273,"")</f>
        <v/>
      </c>
      <c r="O398" s="202" t="str">
        <f t="shared" si="29"/>
        <v/>
      </c>
      <c r="P398" s="262" t="str">
        <f t="shared" si="30"/>
        <v/>
      </c>
      <c r="Q398" s="297"/>
      <c r="R398" s="611"/>
      <c r="S398" s="611"/>
      <c r="T398" s="709"/>
      <c r="U398" s="570"/>
      <c r="V398" s="570"/>
      <c r="W398" s="570"/>
      <c r="X398" s="570"/>
      <c r="Y398" s="570"/>
      <c r="Z398" s="570"/>
      <c r="AA398" s="570"/>
      <c r="AB398" s="570"/>
      <c r="AC398" s="570"/>
      <c r="AD398" s="570"/>
      <c r="AE398" s="570"/>
      <c r="AF398" s="570"/>
      <c r="AG398" s="570"/>
      <c r="AH398" s="570"/>
      <c r="AI398" s="570"/>
      <c r="AJ398" s="570"/>
      <c r="AK398" s="570"/>
      <c r="AL398" s="570"/>
      <c r="AM398" s="570"/>
      <c r="AN398" s="570"/>
      <c r="AO398" s="570"/>
      <c r="AP398" s="570"/>
      <c r="AQ398" s="570"/>
      <c r="AR398" s="570"/>
      <c r="AS398" s="570"/>
      <c r="AT398" s="570"/>
      <c r="AU398" s="570"/>
      <c r="AV398" s="588"/>
    </row>
    <row r="399" x14ac:dyDescent="0.3">
      <c r="A399" s="704"/>
      <c r="B399" s="570"/>
      <c r="C399" s="570"/>
      <c r="D399" s="708"/>
      <c r="E399" s="829"/>
      <c r="F399" s="709"/>
      <c r="G399" s="570"/>
      <c r="H399" s="292"/>
      <c r="I399" s="1262">
        <f t="shared" si="26"/>
        <v>13</v>
      </c>
      <c r="J399" s="202" t="str">
        <f t="shared" si="27"/>
        <v/>
      </c>
      <c r="K399" s="1269" t="str">
        <f>IF('I. Stream &amp; Compound Data'!H274&lt;&gt;"",'I. Stream &amp; Compound Data'!H274,"")</f>
        <v/>
      </c>
      <c r="L399" s="1208" t="str">
        <f t="shared" si="28"/>
        <v/>
      </c>
      <c r="M399" s="1208" t="str">
        <f t="shared" si="31"/>
        <v/>
      </c>
      <c r="N399" s="1208" t="str">
        <f>IF('I. Stream &amp; Compound Data'!P274&lt;&gt;"",'I. Stream &amp; Compound Data'!P274,"")</f>
        <v/>
      </c>
      <c r="O399" s="202" t="str">
        <f t="shared" si="29"/>
        <v/>
      </c>
      <c r="P399" s="262" t="str">
        <f t="shared" si="30"/>
        <v/>
      </c>
      <c r="Q399" s="297"/>
      <c r="R399" s="611"/>
      <c r="S399" s="611"/>
      <c r="T399" s="709"/>
      <c r="U399" s="570"/>
      <c r="V399" s="570"/>
      <c r="W399" s="570"/>
      <c r="X399" s="570"/>
      <c r="Y399" s="570"/>
      <c r="Z399" s="570"/>
      <c r="AA399" s="570"/>
      <c r="AB399" s="570"/>
      <c r="AC399" s="570"/>
      <c r="AD399" s="570"/>
      <c r="AE399" s="570"/>
      <c r="AF399" s="570"/>
      <c r="AG399" s="570"/>
      <c r="AH399" s="570"/>
      <c r="AI399" s="570"/>
      <c r="AJ399" s="570"/>
      <c r="AK399" s="570"/>
      <c r="AL399" s="570"/>
      <c r="AM399" s="570"/>
      <c r="AN399" s="570"/>
      <c r="AO399" s="570"/>
      <c r="AP399" s="570"/>
      <c r="AQ399" s="570"/>
      <c r="AR399" s="570"/>
      <c r="AS399" s="570"/>
      <c r="AT399" s="570"/>
      <c r="AU399" s="570"/>
      <c r="AV399" s="588"/>
    </row>
    <row r="400" x14ac:dyDescent="0.3">
      <c r="A400" s="704"/>
      <c r="B400" s="570"/>
      <c r="C400" s="570"/>
      <c r="D400" s="708"/>
      <c r="E400" s="829"/>
      <c r="F400" s="709"/>
      <c r="G400" s="570"/>
      <c r="H400" s="292"/>
      <c r="I400" s="1262">
        <f t="shared" si="26"/>
        <v>14</v>
      </c>
      <c r="J400" s="202" t="str">
        <f t="shared" si="27"/>
        <v/>
      </c>
      <c r="K400" s="1269" t="str">
        <f>IF('I. Stream &amp; Compound Data'!H275&lt;&gt;"",'I. Stream &amp; Compound Data'!H275,"")</f>
        <v/>
      </c>
      <c r="L400" s="1208" t="str">
        <f t="shared" si="28"/>
        <v/>
      </c>
      <c r="M400" s="1208" t="str">
        <f t="shared" si="31"/>
        <v/>
      </c>
      <c r="N400" s="1208" t="str">
        <f>IF('I. Stream &amp; Compound Data'!P275&lt;&gt;"",'I. Stream &amp; Compound Data'!P275,"")</f>
        <v/>
      </c>
      <c r="O400" s="202" t="str">
        <f t="shared" si="29"/>
        <v/>
      </c>
      <c r="P400" s="262" t="str">
        <f t="shared" si="30"/>
        <v/>
      </c>
      <c r="Q400" s="297"/>
      <c r="R400" s="611"/>
      <c r="S400" s="611"/>
      <c r="T400" s="709"/>
      <c r="U400" s="570"/>
      <c r="V400" s="570"/>
      <c r="W400" s="570"/>
      <c r="X400" s="570"/>
      <c r="Y400" s="570"/>
      <c r="Z400" s="570"/>
      <c r="AA400" s="570"/>
      <c r="AB400" s="570"/>
      <c r="AC400" s="570"/>
      <c r="AD400" s="570"/>
      <c r="AE400" s="570"/>
      <c r="AF400" s="570"/>
      <c r="AG400" s="570"/>
      <c r="AH400" s="570"/>
      <c r="AI400" s="570"/>
      <c r="AJ400" s="570"/>
      <c r="AK400" s="570"/>
      <c r="AL400" s="570"/>
      <c r="AM400" s="570"/>
      <c r="AN400" s="570"/>
      <c r="AO400" s="570"/>
      <c r="AP400" s="570"/>
      <c r="AQ400" s="570"/>
      <c r="AR400" s="570"/>
      <c r="AS400" s="570"/>
      <c r="AT400" s="570"/>
      <c r="AU400" s="570"/>
      <c r="AV400" s="588"/>
    </row>
    <row r="401" x14ac:dyDescent="0.3">
      <c r="A401" s="704"/>
      <c r="B401" s="570"/>
      <c r="C401" s="570"/>
      <c r="D401" s="708"/>
      <c r="E401" s="829"/>
      <c r="F401" s="709"/>
      <c r="G401" s="570"/>
      <c r="H401" s="292"/>
      <c r="I401" s="1262">
        <f t="shared" si="26"/>
        <v>15</v>
      </c>
      <c r="J401" s="202" t="str">
        <f t="shared" si="27"/>
        <v/>
      </c>
      <c r="K401" s="1269" t="str">
        <f>IF('I. Stream &amp; Compound Data'!H276&lt;&gt;"",'I. Stream &amp; Compound Data'!H276,"")</f>
        <v/>
      </c>
      <c r="L401" s="1208" t="str">
        <f t="shared" si="28"/>
        <v/>
      </c>
      <c r="M401" s="1208" t="str">
        <f t="shared" si="31"/>
        <v/>
      </c>
      <c r="N401" s="1208" t="str">
        <f>IF('I. Stream &amp; Compound Data'!P276&lt;&gt;"",'I. Stream &amp; Compound Data'!P276,"")</f>
        <v/>
      </c>
      <c r="O401" s="202" t="str">
        <f t="shared" si="29"/>
        <v/>
      </c>
      <c r="P401" s="262" t="str">
        <f t="shared" si="30"/>
        <v/>
      </c>
      <c r="Q401" s="297"/>
      <c r="R401" s="611"/>
      <c r="S401" s="611"/>
      <c r="T401" s="709"/>
      <c r="U401" s="570"/>
      <c r="V401" s="570"/>
      <c r="W401" s="570"/>
      <c r="X401" s="570"/>
      <c r="Y401" s="570"/>
      <c r="Z401" s="570"/>
      <c r="AA401" s="570"/>
      <c r="AB401" s="570"/>
      <c r="AC401" s="570"/>
      <c r="AD401" s="570"/>
      <c r="AE401" s="570"/>
      <c r="AF401" s="570"/>
      <c r="AG401" s="570"/>
      <c r="AH401" s="570"/>
      <c r="AI401" s="570"/>
      <c r="AJ401" s="570"/>
      <c r="AK401" s="570"/>
      <c r="AL401" s="570"/>
      <c r="AM401" s="570"/>
      <c r="AN401" s="570"/>
      <c r="AO401" s="570"/>
      <c r="AP401" s="570"/>
      <c r="AQ401" s="570"/>
      <c r="AR401" s="570"/>
      <c r="AS401" s="570"/>
      <c r="AT401" s="570"/>
      <c r="AU401" s="570"/>
      <c r="AV401" s="588"/>
    </row>
    <row r="402" x14ac:dyDescent="0.3">
      <c r="A402" s="704"/>
      <c r="B402" s="570"/>
      <c r="C402" s="570"/>
      <c r="D402" s="708"/>
      <c r="E402" s="829"/>
      <c r="F402" s="709"/>
      <c r="G402" s="570"/>
      <c r="H402" s="292"/>
      <c r="I402" s="1262">
        <f t="shared" si="26"/>
        <v>16</v>
      </c>
      <c r="J402" s="202" t="str">
        <f t="shared" si="27"/>
        <v/>
      </c>
      <c r="K402" s="1269" t="str">
        <f>IF('I. Stream &amp; Compound Data'!H277&lt;&gt;"",'I. Stream &amp; Compound Data'!H277,"")</f>
        <v/>
      </c>
      <c r="L402" s="1208" t="str">
        <f t="shared" si="28"/>
        <v/>
      </c>
      <c r="M402" s="1208" t="str">
        <f t="shared" si="31"/>
        <v/>
      </c>
      <c r="N402" s="1208" t="str">
        <f>IF('I. Stream &amp; Compound Data'!P277&lt;&gt;"",'I. Stream &amp; Compound Data'!P277,"")</f>
        <v/>
      </c>
      <c r="O402" s="202" t="str">
        <f t="shared" si="29"/>
        <v/>
      </c>
      <c r="P402" s="262" t="str">
        <f t="shared" si="30"/>
        <v/>
      </c>
      <c r="Q402" s="297"/>
      <c r="R402" s="611"/>
      <c r="S402" s="611"/>
      <c r="T402" s="709"/>
      <c r="U402" s="570"/>
      <c r="V402" s="570"/>
      <c r="W402" s="570"/>
      <c r="X402" s="570"/>
      <c r="Y402" s="570"/>
      <c r="Z402" s="570"/>
      <c r="AA402" s="570"/>
      <c r="AB402" s="570"/>
      <c r="AC402" s="570"/>
      <c r="AD402" s="570"/>
      <c r="AE402" s="570"/>
      <c r="AF402" s="570"/>
      <c r="AG402" s="570"/>
      <c r="AH402" s="570"/>
      <c r="AI402" s="570"/>
      <c r="AJ402" s="570"/>
      <c r="AK402" s="570"/>
      <c r="AL402" s="570"/>
      <c r="AM402" s="570"/>
      <c r="AN402" s="570"/>
      <c r="AO402" s="570"/>
      <c r="AP402" s="570"/>
      <c r="AQ402" s="570"/>
      <c r="AR402" s="570"/>
      <c r="AS402" s="570"/>
      <c r="AT402" s="570"/>
      <c r="AU402" s="570"/>
      <c r="AV402" s="588"/>
    </row>
    <row r="403" x14ac:dyDescent="0.3">
      <c r="A403" s="704"/>
      <c r="B403" s="570"/>
      <c r="C403" s="570"/>
      <c r="D403" s="708"/>
      <c r="E403" s="829"/>
      <c r="F403" s="709"/>
      <c r="G403" s="570"/>
      <c r="H403" s="292"/>
      <c r="I403" s="1262">
        <f t="shared" si="26"/>
        <v>17</v>
      </c>
      <c r="J403" s="202" t="str">
        <f t="shared" si="27"/>
        <v/>
      </c>
      <c r="K403" s="1269" t="str">
        <f>IF('I. Stream &amp; Compound Data'!H278&lt;&gt;"",'I. Stream &amp; Compound Data'!H278,"")</f>
        <v/>
      </c>
      <c r="L403" s="1208" t="str">
        <f t="shared" si="28"/>
        <v/>
      </c>
      <c r="M403" s="1208" t="str">
        <f t="shared" si="31"/>
        <v/>
      </c>
      <c r="N403" s="1208" t="str">
        <f>IF('I. Stream &amp; Compound Data'!P278&lt;&gt;"",'I. Stream &amp; Compound Data'!P278,"")</f>
        <v/>
      </c>
      <c r="O403" s="202" t="str">
        <f t="shared" si="29"/>
        <v/>
      </c>
      <c r="P403" s="262" t="str">
        <f t="shared" si="30"/>
        <v/>
      </c>
      <c r="Q403" s="297"/>
      <c r="R403" s="611"/>
      <c r="S403" s="611"/>
      <c r="T403" s="709"/>
      <c r="U403" s="570"/>
      <c r="V403" s="570"/>
      <c r="W403" s="570"/>
      <c r="X403" s="570"/>
      <c r="Y403" s="570"/>
      <c r="Z403" s="570"/>
      <c r="AA403" s="570"/>
      <c r="AB403" s="570"/>
      <c r="AC403" s="570"/>
      <c r="AD403" s="570"/>
      <c r="AE403" s="570"/>
      <c r="AF403" s="570"/>
      <c r="AG403" s="570"/>
      <c r="AH403" s="570"/>
      <c r="AI403" s="570"/>
      <c r="AJ403" s="570"/>
      <c r="AK403" s="570"/>
      <c r="AL403" s="570"/>
      <c r="AM403" s="570"/>
      <c r="AN403" s="570"/>
      <c r="AO403" s="570"/>
      <c r="AP403" s="570"/>
      <c r="AQ403" s="570"/>
      <c r="AR403" s="570"/>
      <c r="AS403" s="570"/>
      <c r="AT403" s="570"/>
      <c r="AU403" s="570"/>
      <c r="AV403" s="588"/>
    </row>
    <row r="404" x14ac:dyDescent="0.3">
      <c r="A404" s="704"/>
      <c r="B404" s="570"/>
      <c r="C404" s="570"/>
      <c r="D404" s="708"/>
      <c r="E404" s="829"/>
      <c r="F404" s="709"/>
      <c r="G404" s="570"/>
      <c r="H404" s="292"/>
      <c r="I404" s="1262">
        <f t="shared" si="26"/>
        <v>18</v>
      </c>
      <c r="J404" s="202" t="str">
        <f t="shared" si="27"/>
        <v/>
      </c>
      <c r="K404" s="1269" t="str">
        <f>IF('I. Stream &amp; Compound Data'!H279&lt;&gt;"",'I. Stream &amp; Compound Data'!H279,"")</f>
        <v/>
      </c>
      <c r="L404" s="1208" t="str">
        <f t="shared" si="28"/>
        <v/>
      </c>
      <c r="M404" s="1208" t="str">
        <f t="shared" si="31"/>
        <v/>
      </c>
      <c r="N404" s="1208" t="str">
        <f>IF('I. Stream &amp; Compound Data'!P279&lt;&gt;"",'I. Stream &amp; Compound Data'!P279,"")</f>
        <v/>
      </c>
      <c r="O404" s="202" t="str">
        <f t="shared" si="29"/>
        <v/>
      </c>
      <c r="P404" s="262" t="str">
        <f t="shared" si="30"/>
        <v/>
      </c>
      <c r="Q404" s="297"/>
      <c r="R404" s="611"/>
      <c r="S404" s="611"/>
      <c r="T404" s="709"/>
      <c r="U404" s="570"/>
      <c r="V404" s="570"/>
      <c r="W404" s="570"/>
      <c r="X404" s="570"/>
      <c r="Y404" s="570"/>
      <c r="Z404" s="570"/>
      <c r="AA404" s="570"/>
      <c r="AB404" s="570"/>
      <c r="AC404" s="570"/>
      <c r="AD404" s="570"/>
      <c r="AE404" s="570"/>
      <c r="AF404" s="570"/>
      <c r="AG404" s="570"/>
      <c r="AH404" s="570"/>
      <c r="AI404" s="570"/>
      <c r="AJ404" s="570"/>
      <c r="AK404" s="570"/>
      <c r="AL404" s="570"/>
      <c r="AM404" s="570"/>
      <c r="AN404" s="570"/>
      <c r="AO404" s="570"/>
      <c r="AP404" s="570"/>
      <c r="AQ404" s="570"/>
      <c r="AR404" s="570"/>
      <c r="AS404" s="570"/>
      <c r="AT404" s="570"/>
      <c r="AU404" s="570"/>
      <c r="AV404" s="588"/>
    </row>
    <row r="405" x14ac:dyDescent="0.3">
      <c r="A405" s="704"/>
      <c r="B405" s="570"/>
      <c r="C405" s="570"/>
      <c r="D405" s="708"/>
      <c r="E405" s="829"/>
      <c r="F405" s="709"/>
      <c r="G405" s="570"/>
      <c r="H405" s="292"/>
      <c r="I405" s="1262">
        <f t="shared" si="26"/>
        <v>19</v>
      </c>
      <c r="J405" s="202" t="str">
        <f t="shared" si="27"/>
        <v/>
      </c>
      <c r="K405" s="1269" t="str">
        <f>IF('I. Stream &amp; Compound Data'!H280&lt;&gt;"",'I. Stream &amp; Compound Data'!H280,"")</f>
        <v/>
      </c>
      <c r="L405" s="1208" t="str">
        <f t="shared" si="28"/>
        <v/>
      </c>
      <c r="M405" s="1208" t="str">
        <f t="shared" si="31"/>
        <v/>
      </c>
      <c r="N405" s="1208" t="str">
        <f>IF('I. Stream &amp; Compound Data'!P280&lt;&gt;"",'I. Stream &amp; Compound Data'!P280,"")</f>
        <v/>
      </c>
      <c r="O405" s="202" t="str">
        <f t="shared" si="29"/>
        <v/>
      </c>
      <c r="P405" s="262" t="str">
        <f t="shared" si="30"/>
        <v/>
      </c>
      <c r="Q405" s="297"/>
      <c r="R405" s="611"/>
      <c r="S405" s="611"/>
      <c r="T405" s="709"/>
      <c r="U405" s="570"/>
      <c r="V405" s="570"/>
      <c r="W405" s="570"/>
      <c r="X405" s="570"/>
      <c r="Y405" s="570"/>
      <c r="Z405" s="570"/>
      <c r="AA405" s="570"/>
      <c r="AB405" s="570"/>
      <c r="AC405" s="570"/>
      <c r="AD405" s="570"/>
      <c r="AE405" s="570"/>
      <c r="AF405" s="570"/>
      <c r="AG405" s="570"/>
      <c r="AH405" s="570"/>
      <c r="AI405" s="570"/>
      <c r="AJ405" s="570"/>
      <c r="AK405" s="570"/>
      <c r="AL405" s="570"/>
      <c r="AM405" s="570"/>
      <c r="AN405" s="570"/>
      <c r="AO405" s="570"/>
      <c r="AP405" s="570"/>
      <c r="AQ405" s="570"/>
      <c r="AR405" s="570"/>
      <c r="AS405" s="570"/>
      <c r="AT405" s="570"/>
      <c r="AU405" s="570"/>
      <c r="AV405" s="588"/>
    </row>
    <row r="406" x14ac:dyDescent="0.3">
      <c r="A406" s="704"/>
      <c r="B406" s="570"/>
      <c r="C406" s="570"/>
      <c r="D406" s="708"/>
      <c r="E406" s="829"/>
      <c r="F406" s="709"/>
      <c r="G406" s="570"/>
      <c r="H406" s="292"/>
      <c r="I406" s="1262">
        <f t="shared" si="26"/>
        <v>20</v>
      </c>
      <c r="J406" s="202" t="str">
        <f t="shared" si="27"/>
        <v/>
      </c>
      <c r="K406" s="1269" t="str">
        <f>IF('I. Stream &amp; Compound Data'!H281&lt;&gt;"",'I. Stream &amp; Compound Data'!H281,"")</f>
        <v/>
      </c>
      <c r="L406" s="1208" t="str">
        <f t="shared" si="28"/>
        <v/>
      </c>
      <c r="M406" s="1208" t="str">
        <f t="shared" ref="M406:M436" si="32">IF(R217&lt;&gt;"",R217,"")</f>
        <v/>
      </c>
      <c r="N406" s="1208" t="str">
        <f>IF('I. Stream &amp; Compound Data'!P281&lt;&gt;"",'I. Stream &amp; Compound Data'!P281,"")</f>
        <v/>
      </c>
      <c r="O406" s="202" t="str">
        <f t="shared" ref="O406:O436" si="33">S217</f>
        <v/>
      </c>
      <c r="P406" s="262" t="str">
        <f t="shared" ref="P406:P436" si="34">T217</f>
        <v/>
      </c>
      <c r="Q406" s="297"/>
      <c r="R406" s="611"/>
      <c r="S406" s="611"/>
      <c r="T406" s="709"/>
      <c r="U406" s="570"/>
      <c r="V406" s="570"/>
      <c r="W406" s="570"/>
      <c r="X406" s="570"/>
      <c r="Y406" s="570"/>
      <c r="Z406" s="570"/>
      <c r="AA406" s="570"/>
      <c r="AB406" s="570"/>
      <c r="AC406" s="570"/>
      <c r="AD406" s="570"/>
      <c r="AE406" s="570"/>
      <c r="AF406" s="570"/>
      <c r="AG406" s="570"/>
      <c r="AH406" s="570"/>
      <c r="AI406" s="570"/>
      <c r="AJ406" s="570"/>
      <c r="AK406" s="570"/>
      <c r="AL406" s="570"/>
      <c r="AM406" s="570"/>
      <c r="AN406" s="570"/>
      <c r="AO406" s="570"/>
      <c r="AP406" s="570"/>
      <c r="AQ406" s="570"/>
      <c r="AR406" s="570"/>
      <c r="AS406" s="570"/>
      <c r="AT406" s="570"/>
      <c r="AU406" s="570"/>
      <c r="AV406" s="588"/>
    </row>
    <row r="407" x14ac:dyDescent="0.3">
      <c r="A407" s="704"/>
      <c r="B407" s="570"/>
      <c r="C407" s="570"/>
      <c r="D407" s="708"/>
      <c r="E407" s="829"/>
      <c r="F407" s="709"/>
      <c r="G407" s="570"/>
      <c r="H407" s="292"/>
      <c r="I407" s="1262">
        <f t="shared" si="26"/>
        <v>21</v>
      </c>
      <c r="J407" s="202" t="str">
        <f t="shared" si="27"/>
        <v/>
      </c>
      <c r="K407" s="1269" t="str">
        <f>IF('I. Stream &amp; Compound Data'!H282&lt;&gt;"",'I. Stream &amp; Compound Data'!H282,"")</f>
        <v/>
      </c>
      <c r="L407" s="1208" t="str">
        <f t="shared" si="28"/>
        <v/>
      </c>
      <c r="M407" s="1208" t="str">
        <f t="shared" si="32"/>
        <v/>
      </c>
      <c r="N407" s="1208" t="str">
        <f>IF('I. Stream &amp; Compound Data'!P282&lt;&gt;"",'I. Stream &amp; Compound Data'!P282,"")</f>
        <v/>
      </c>
      <c r="O407" s="202" t="str">
        <f t="shared" si="33"/>
        <v/>
      </c>
      <c r="P407" s="262" t="str">
        <f t="shared" si="34"/>
        <v/>
      </c>
      <c r="Q407" s="297"/>
      <c r="R407" s="611"/>
      <c r="S407" s="611"/>
      <c r="T407" s="709"/>
      <c r="U407" s="570"/>
      <c r="V407" s="570"/>
      <c r="W407" s="570"/>
      <c r="X407" s="570"/>
      <c r="Y407" s="570"/>
      <c r="Z407" s="570"/>
      <c r="AA407" s="570"/>
      <c r="AB407" s="570"/>
      <c r="AC407" s="570"/>
      <c r="AD407" s="570"/>
      <c r="AE407" s="570"/>
      <c r="AF407" s="570"/>
      <c r="AG407" s="570"/>
      <c r="AH407" s="570"/>
      <c r="AI407" s="570"/>
      <c r="AJ407" s="570"/>
      <c r="AK407" s="570"/>
      <c r="AL407" s="570"/>
      <c r="AM407" s="570"/>
      <c r="AN407" s="570"/>
      <c r="AO407" s="570"/>
      <c r="AP407" s="570"/>
      <c r="AQ407" s="570"/>
      <c r="AR407" s="570"/>
      <c r="AS407" s="570"/>
      <c r="AT407" s="570"/>
      <c r="AU407" s="570"/>
      <c r="AV407" s="588"/>
    </row>
    <row r="408" x14ac:dyDescent="0.3">
      <c r="A408" s="704"/>
      <c r="B408" s="570"/>
      <c r="C408" s="570"/>
      <c r="D408" s="708"/>
      <c r="E408" s="829"/>
      <c r="F408" s="709"/>
      <c r="G408" s="570"/>
      <c r="H408" s="292"/>
      <c r="I408" s="1262">
        <f t="shared" si="26"/>
        <v>22</v>
      </c>
      <c r="J408" s="202" t="str">
        <f t="shared" si="27"/>
        <v/>
      </c>
      <c r="K408" s="1269" t="str">
        <f>IF('I. Stream &amp; Compound Data'!H283&lt;&gt;"",'I. Stream &amp; Compound Data'!H283,"")</f>
        <v/>
      </c>
      <c r="L408" s="1208" t="str">
        <f t="shared" si="28"/>
        <v/>
      </c>
      <c r="M408" s="1208" t="str">
        <f t="shared" si="32"/>
        <v/>
      </c>
      <c r="N408" s="1208" t="str">
        <f>IF('I. Stream &amp; Compound Data'!P283&lt;&gt;"",'I. Stream &amp; Compound Data'!P283,"")</f>
        <v/>
      </c>
      <c r="O408" s="202" t="str">
        <f t="shared" si="33"/>
        <v/>
      </c>
      <c r="P408" s="262" t="str">
        <f t="shared" si="34"/>
        <v/>
      </c>
      <c r="Q408" s="297"/>
      <c r="R408" s="611"/>
      <c r="S408" s="611"/>
      <c r="T408" s="709"/>
      <c r="U408" s="570"/>
      <c r="V408" s="570"/>
      <c r="W408" s="570"/>
      <c r="X408" s="570"/>
      <c r="Y408" s="570"/>
      <c r="Z408" s="570"/>
      <c r="AA408" s="570"/>
      <c r="AB408" s="570"/>
      <c r="AC408" s="570"/>
      <c r="AD408" s="570"/>
      <c r="AE408" s="570"/>
      <c r="AF408" s="570"/>
      <c r="AG408" s="570"/>
      <c r="AH408" s="570"/>
      <c r="AI408" s="570"/>
      <c r="AJ408" s="570"/>
      <c r="AK408" s="570"/>
      <c r="AL408" s="570"/>
      <c r="AM408" s="570"/>
      <c r="AN408" s="570"/>
      <c r="AO408" s="570"/>
      <c r="AP408" s="570"/>
      <c r="AQ408" s="570"/>
      <c r="AR408" s="570"/>
      <c r="AS408" s="570"/>
      <c r="AT408" s="570"/>
      <c r="AU408" s="570"/>
      <c r="AV408" s="588"/>
    </row>
    <row r="409" x14ac:dyDescent="0.3">
      <c r="A409" s="704"/>
      <c r="B409" s="570"/>
      <c r="C409" s="570"/>
      <c r="D409" s="708"/>
      <c r="E409" s="829"/>
      <c r="F409" s="709"/>
      <c r="G409" s="570"/>
      <c r="H409" s="292"/>
      <c r="I409" s="1262">
        <f t="shared" si="26"/>
        <v>23</v>
      </c>
      <c r="J409" s="202" t="str">
        <f t="shared" si="27"/>
        <v/>
      </c>
      <c r="K409" s="1269" t="str">
        <f>IF('I. Stream &amp; Compound Data'!H284&lt;&gt;"",'I. Stream &amp; Compound Data'!H284,"")</f>
        <v/>
      </c>
      <c r="L409" s="1208" t="str">
        <f t="shared" si="28"/>
        <v/>
      </c>
      <c r="M409" s="1208" t="str">
        <f t="shared" si="32"/>
        <v/>
      </c>
      <c r="N409" s="1208" t="str">
        <f>IF('I. Stream &amp; Compound Data'!P284&lt;&gt;"",'I. Stream &amp; Compound Data'!P284,"")</f>
        <v/>
      </c>
      <c r="O409" s="202" t="str">
        <f t="shared" si="33"/>
        <v/>
      </c>
      <c r="P409" s="262" t="str">
        <f t="shared" si="34"/>
        <v/>
      </c>
      <c r="Q409" s="297"/>
      <c r="R409" s="611"/>
      <c r="S409" s="611"/>
      <c r="T409" s="709"/>
      <c r="U409" s="570"/>
      <c r="V409" s="570"/>
      <c r="W409" s="570"/>
      <c r="X409" s="570"/>
      <c r="Y409" s="570"/>
      <c r="Z409" s="570"/>
      <c r="AA409" s="570"/>
      <c r="AB409" s="570"/>
      <c r="AC409" s="570"/>
      <c r="AD409" s="570"/>
      <c r="AE409" s="570"/>
      <c r="AF409" s="570"/>
      <c r="AG409" s="570"/>
      <c r="AH409" s="570"/>
      <c r="AI409" s="570"/>
      <c r="AJ409" s="570"/>
      <c r="AK409" s="570"/>
      <c r="AL409" s="570"/>
      <c r="AM409" s="570"/>
      <c r="AN409" s="570"/>
      <c r="AO409" s="570"/>
      <c r="AP409" s="570"/>
      <c r="AQ409" s="570"/>
      <c r="AR409" s="570"/>
      <c r="AS409" s="570"/>
      <c r="AT409" s="570"/>
      <c r="AU409" s="570"/>
      <c r="AV409" s="588"/>
    </row>
    <row r="410" x14ac:dyDescent="0.3">
      <c r="A410" s="704"/>
      <c r="B410" s="570"/>
      <c r="C410" s="570"/>
      <c r="D410" s="708"/>
      <c r="E410" s="829"/>
      <c r="F410" s="709"/>
      <c r="G410" s="570"/>
      <c r="H410" s="292"/>
      <c r="I410" s="1262">
        <f t="shared" si="26"/>
        <v>24</v>
      </c>
      <c r="J410" s="202" t="str">
        <f t="shared" si="27"/>
        <v/>
      </c>
      <c r="K410" s="1269" t="str">
        <f>IF('I. Stream &amp; Compound Data'!H285&lt;&gt;"",'I. Stream &amp; Compound Data'!H285,"")</f>
        <v/>
      </c>
      <c r="L410" s="1208" t="str">
        <f t="shared" si="28"/>
        <v/>
      </c>
      <c r="M410" s="1208" t="str">
        <f t="shared" si="32"/>
        <v/>
      </c>
      <c r="N410" s="1208" t="str">
        <f>IF('I. Stream &amp; Compound Data'!P285&lt;&gt;"",'I. Stream &amp; Compound Data'!P285,"")</f>
        <v/>
      </c>
      <c r="O410" s="202" t="str">
        <f t="shared" si="33"/>
        <v/>
      </c>
      <c r="P410" s="262" t="str">
        <f t="shared" si="34"/>
        <v/>
      </c>
      <c r="Q410" s="297"/>
      <c r="R410" s="611"/>
      <c r="S410" s="611"/>
      <c r="T410" s="709"/>
      <c r="U410" s="570"/>
      <c r="V410" s="570"/>
      <c r="W410" s="570"/>
      <c r="X410" s="570"/>
      <c r="Y410" s="570"/>
      <c r="Z410" s="570"/>
      <c r="AA410" s="570"/>
      <c r="AB410" s="570"/>
      <c r="AC410" s="570"/>
      <c r="AD410" s="570"/>
      <c r="AE410" s="570"/>
      <c r="AF410" s="570"/>
      <c r="AG410" s="570"/>
      <c r="AH410" s="570"/>
      <c r="AI410" s="570"/>
      <c r="AJ410" s="570"/>
      <c r="AK410" s="570"/>
      <c r="AL410" s="570"/>
      <c r="AM410" s="570"/>
      <c r="AN410" s="570"/>
      <c r="AO410" s="570"/>
      <c r="AP410" s="570"/>
      <c r="AQ410" s="570"/>
      <c r="AR410" s="570"/>
      <c r="AS410" s="570"/>
      <c r="AT410" s="570"/>
      <c r="AU410" s="570"/>
      <c r="AV410" s="588"/>
    </row>
    <row r="411" x14ac:dyDescent="0.3">
      <c r="A411" s="704"/>
      <c r="B411" s="570"/>
      <c r="C411" s="570"/>
      <c r="D411" s="708"/>
      <c r="E411" s="829"/>
      <c r="F411" s="709"/>
      <c r="G411" s="570"/>
      <c r="H411" s="292"/>
      <c r="I411" s="1262">
        <f t="shared" si="26"/>
        <v>25</v>
      </c>
      <c r="J411" s="202" t="str">
        <f t="shared" si="27"/>
        <v/>
      </c>
      <c r="K411" s="1269" t="str">
        <f>IF('I. Stream &amp; Compound Data'!H286&lt;&gt;"",'I. Stream &amp; Compound Data'!H286,"")</f>
        <v/>
      </c>
      <c r="L411" s="1208" t="str">
        <f t="shared" si="28"/>
        <v/>
      </c>
      <c r="M411" s="1208" t="str">
        <f t="shared" si="32"/>
        <v/>
      </c>
      <c r="N411" s="1208" t="str">
        <f>IF('I. Stream &amp; Compound Data'!P286&lt;&gt;"",'I. Stream &amp; Compound Data'!P286,"")</f>
        <v/>
      </c>
      <c r="O411" s="202" t="str">
        <f t="shared" si="33"/>
        <v/>
      </c>
      <c r="P411" s="262" t="str">
        <f t="shared" si="34"/>
        <v/>
      </c>
      <c r="Q411" s="297"/>
      <c r="R411" s="611"/>
      <c r="S411" s="611"/>
      <c r="T411" s="709"/>
      <c r="U411" s="570"/>
      <c r="V411" s="570"/>
      <c r="W411" s="570"/>
      <c r="X411" s="570"/>
      <c r="Y411" s="570"/>
      <c r="Z411" s="570"/>
      <c r="AA411" s="570"/>
      <c r="AB411" s="570"/>
      <c r="AC411" s="570"/>
      <c r="AD411" s="570"/>
      <c r="AE411" s="570"/>
      <c r="AF411" s="570"/>
      <c r="AG411" s="570"/>
      <c r="AH411" s="570"/>
      <c r="AI411" s="570"/>
      <c r="AJ411" s="570"/>
      <c r="AK411" s="570"/>
      <c r="AL411" s="570"/>
      <c r="AM411" s="570"/>
      <c r="AN411" s="570"/>
      <c r="AO411" s="570"/>
      <c r="AP411" s="570"/>
      <c r="AQ411" s="570"/>
      <c r="AR411" s="570"/>
      <c r="AS411" s="570"/>
      <c r="AT411" s="570"/>
      <c r="AU411" s="570"/>
      <c r="AV411" s="588"/>
    </row>
    <row r="412" x14ac:dyDescent="0.3">
      <c r="A412" s="704"/>
      <c r="B412" s="570"/>
      <c r="C412" s="570"/>
      <c r="D412" s="708"/>
      <c r="E412" s="829"/>
      <c r="F412" s="709"/>
      <c r="G412" s="570"/>
      <c r="H412" s="292"/>
      <c r="I412" s="1262">
        <f t="shared" si="26"/>
        <v>26</v>
      </c>
      <c r="J412" s="202" t="str">
        <f t="shared" si="27"/>
        <v/>
      </c>
      <c r="K412" s="1269" t="str">
        <f>IF('I. Stream &amp; Compound Data'!H287&lt;&gt;"",'I. Stream &amp; Compound Data'!H287,"")</f>
        <v/>
      </c>
      <c r="L412" s="1208" t="str">
        <f t="shared" si="28"/>
        <v/>
      </c>
      <c r="M412" s="1208" t="str">
        <f t="shared" si="32"/>
        <v/>
      </c>
      <c r="N412" s="1208" t="str">
        <f>IF('I. Stream &amp; Compound Data'!P287&lt;&gt;"",'I. Stream &amp; Compound Data'!P287,"")</f>
        <v/>
      </c>
      <c r="O412" s="202" t="str">
        <f t="shared" si="33"/>
        <v/>
      </c>
      <c r="P412" s="262" t="str">
        <f t="shared" si="34"/>
        <v/>
      </c>
      <c r="Q412" s="297"/>
      <c r="R412" s="611"/>
      <c r="S412" s="611"/>
      <c r="T412" s="709"/>
      <c r="U412" s="570"/>
      <c r="V412" s="570"/>
      <c r="W412" s="570"/>
      <c r="X412" s="570"/>
      <c r="Y412" s="570"/>
      <c r="Z412" s="570"/>
      <c r="AA412" s="570"/>
      <c r="AB412" s="570"/>
      <c r="AC412" s="570"/>
      <c r="AD412" s="570"/>
      <c r="AE412" s="570"/>
      <c r="AF412" s="570"/>
      <c r="AG412" s="570"/>
      <c r="AH412" s="570"/>
      <c r="AI412" s="570"/>
      <c r="AJ412" s="570"/>
      <c r="AK412" s="570"/>
      <c r="AL412" s="570"/>
      <c r="AM412" s="570"/>
      <c r="AN412" s="570"/>
      <c r="AO412" s="570"/>
      <c r="AP412" s="570"/>
      <c r="AQ412" s="570"/>
      <c r="AR412" s="570"/>
      <c r="AS412" s="570"/>
      <c r="AT412" s="570"/>
      <c r="AU412" s="570"/>
      <c r="AV412" s="588"/>
    </row>
    <row r="413" x14ac:dyDescent="0.3">
      <c r="A413" s="704"/>
      <c r="B413" s="570"/>
      <c r="C413" s="570"/>
      <c r="D413" s="708"/>
      <c r="E413" s="829"/>
      <c r="F413" s="709"/>
      <c r="G413" s="570"/>
      <c r="H413" s="292"/>
      <c r="I413" s="1262">
        <f t="shared" si="26"/>
        <v>27</v>
      </c>
      <c r="J413" s="202" t="str">
        <f t="shared" si="27"/>
        <v/>
      </c>
      <c r="K413" s="1269" t="str">
        <f>IF('I. Stream &amp; Compound Data'!H288&lt;&gt;"",'I. Stream &amp; Compound Data'!H288,"")</f>
        <v/>
      </c>
      <c r="L413" s="1208" t="str">
        <f t="shared" si="28"/>
        <v/>
      </c>
      <c r="M413" s="1208" t="str">
        <f t="shared" si="32"/>
        <v/>
      </c>
      <c r="N413" s="1208" t="str">
        <f>IF('I. Stream &amp; Compound Data'!P288&lt;&gt;"",'I. Stream &amp; Compound Data'!P288,"")</f>
        <v/>
      </c>
      <c r="O413" s="202" t="str">
        <f t="shared" si="33"/>
        <v/>
      </c>
      <c r="P413" s="262" t="str">
        <f t="shared" si="34"/>
        <v/>
      </c>
      <c r="Q413" s="297"/>
      <c r="R413" s="611"/>
      <c r="S413" s="611"/>
      <c r="T413" s="709"/>
      <c r="U413" s="570"/>
      <c r="V413" s="570"/>
      <c r="W413" s="570"/>
      <c r="X413" s="570"/>
      <c r="Y413" s="570"/>
      <c r="Z413" s="570"/>
      <c r="AA413" s="570"/>
      <c r="AB413" s="570"/>
      <c r="AC413" s="570"/>
      <c r="AD413" s="570"/>
      <c r="AE413" s="570"/>
      <c r="AF413" s="570"/>
      <c r="AG413" s="570"/>
      <c r="AH413" s="570"/>
      <c r="AI413" s="570"/>
      <c r="AJ413" s="570"/>
      <c r="AK413" s="570"/>
      <c r="AL413" s="570"/>
      <c r="AM413" s="570"/>
      <c r="AN413" s="570"/>
      <c r="AO413" s="570"/>
      <c r="AP413" s="570"/>
      <c r="AQ413" s="570"/>
      <c r="AR413" s="570"/>
      <c r="AS413" s="570"/>
      <c r="AT413" s="570"/>
      <c r="AU413" s="570"/>
      <c r="AV413" s="588"/>
    </row>
    <row r="414" x14ac:dyDescent="0.3">
      <c r="A414" s="704"/>
      <c r="B414" s="570"/>
      <c r="C414" s="570"/>
      <c r="D414" s="708"/>
      <c r="E414" s="829"/>
      <c r="F414" s="709"/>
      <c r="G414" s="570"/>
      <c r="H414" s="292"/>
      <c r="I414" s="1262">
        <f t="shared" si="26"/>
        <v>28</v>
      </c>
      <c r="J414" s="202" t="str">
        <f t="shared" si="27"/>
        <v/>
      </c>
      <c r="K414" s="1269" t="str">
        <f>IF('I. Stream &amp; Compound Data'!H289&lt;&gt;"",'I. Stream &amp; Compound Data'!H289,"")</f>
        <v/>
      </c>
      <c r="L414" s="1208" t="str">
        <f t="shared" si="28"/>
        <v/>
      </c>
      <c r="M414" s="1208" t="str">
        <f t="shared" si="32"/>
        <v/>
      </c>
      <c r="N414" s="1208" t="str">
        <f>IF('I. Stream &amp; Compound Data'!P289&lt;&gt;"",'I. Stream &amp; Compound Data'!P289,"")</f>
        <v/>
      </c>
      <c r="O414" s="202" t="str">
        <f t="shared" si="33"/>
        <v/>
      </c>
      <c r="P414" s="262" t="str">
        <f t="shared" si="34"/>
        <v/>
      </c>
      <c r="Q414" s="297"/>
      <c r="R414" s="611"/>
      <c r="S414" s="611"/>
      <c r="T414" s="709"/>
      <c r="U414" s="570"/>
      <c r="V414" s="570"/>
      <c r="W414" s="570"/>
      <c r="X414" s="570"/>
      <c r="Y414" s="570"/>
      <c r="Z414" s="570"/>
      <c r="AA414" s="570"/>
      <c r="AB414" s="570"/>
      <c r="AC414" s="570"/>
      <c r="AD414" s="570"/>
      <c r="AE414" s="570"/>
      <c r="AF414" s="570"/>
      <c r="AG414" s="570"/>
      <c r="AH414" s="570"/>
      <c r="AI414" s="570"/>
      <c r="AJ414" s="570"/>
      <c r="AK414" s="570"/>
      <c r="AL414" s="570"/>
      <c r="AM414" s="570"/>
      <c r="AN414" s="570"/>
      <c r="AO414" s="570"/>
      <c r="AP414" s="570"/>
      <c r="AQ414" s="570"/>
      <c r="AR414" s="570"/>
      <c r="AS414" s="570"/>
      <c r="AT414" s="570"/>
      <c r="AU414" s="570"/>
      <c r="AV414" s="588"/>
    </row>
    <row r="415" x14ac:dyDescent="0.3">
      <c r="A415" s="704"/>
      <c r="B415" s="570"/>
      <c r="C415" s="570"/>
      <c r="D415" s="708"/>
      <c r="E415" s="829"/>
      <c r="F415" s="709"/>
      <c r="G415" s="570"/>
      <c r="H415" s="292"/>
      <c r="I415" s="1262">
        <f t="shared" si="26"/>
        <v>29</v>
      </c>
      <c r="J415" s="202" t="str">
        <f t="shared" si="27"/>
        <v/>
      </c>
      <c r="K415" s="1269" t="str">
        <f>IF('I. Stream &amp; Compound Data'!H290&lt;&gt;"",'I. Stream &amp; Compound Data'!H290,"")</f>
        <v/>
      </c>
      <c r="L415" s="1208" t="str">
        <f t="shared" si="28"/>
        <v/>
      </c>
      <c r="M415" s="1208" t="str">
        <f t="shared" si="32"/>
        <v/>
      </c>
      <c r="N415" s="1208" t="str">
        <f>IF('I. Stream &amp; Compound Data'!P290&lt;&gt;"",'I. Stream &amp; Compound Data'!P290,"")</f>
        <v/>
      </c>
      <c r="O415" s="202" t="str">
        <f t="shared" si="33"/>
        <v/>
      </c>
      <c r="P415" s="262" t="str">
        <f t="shared" si="34"/>
        <v/>
      </c>
      <c r="Q415" s="297"/>
      <c r="R415" s="611"/>
      <c r="S415" s="611"/>
      <c r="T415" s="709"/>
      <c r="U415" s="570"/>
      <c r="V415" s="570"/>
      <c r="W415" s="570"/>
      <c r="X415" s="570"/>
      <c r="Y415" s="570"/>
      <c r="Z415" s="570"/>
      <c r="AA415" s="570"/>
      <c r="AB415" s="570"/>
      <c r="AC415" s="570"/>
      <c r="AD415" s="570"/>
      <c r="AE415" s="570"/>
      <c r="AF415" s="570"/>
      <c r="AG415" s="570"/>
      <c r="AH415" s="570"/>
      <c r="AI415" s="570"/>
      <c r="AJ415" s="570"/>
      <c r="AK415" s="570"/>
      <c r="AL415" s="570"/>
      <c r="AM415" s="570"/>
      <c r="AN415" s="570"/>
      <c r="AO415" s="570"/>
      <c r="AP415" s="570"/>
      <c r="AQ415" s="570"/>
      <c r="AR415" s="570"/>
      <c r="AS415" s="570"/>
      <c r="AT415" s="570"/>
      <c r="AU415" s="570"/>
      <c r="AV415" s="588"/>
    </row>
    <row r="416" x14ac:dyDescent="0.3">
      <c r="A416" s="704"/>
      <c r="B416" s="570"/>
      <c r="C416" s="570"/>
      <c r="D416" s="708"/>
      <c r="E416" s="829"/>
      <c r="F416" s="709"/>
      <c r="G416" s="570"/>
      <c r="H416" s="292"/>
      <c r="I416" s="1262">
        <f t="shared" si="26"/>
        <v>30</v>
      </c>
      <c r="J416" s="202" t="str">
        <f t="shared" si="27"/>
        <v/>
      </c>
      <c r="K416" s="1269" t="str">
        <f>IF('I. Stream &amp; Compound Data'!H291&lt;&gt;"",'I. Stream &amp; Compound Data'!H291,"")</f>
        <v/>
      </c>
      <c r="L416" s="1208" t="str">
        <f t="shared" si="28"/>
        <v/>
      </c>
      <c r="M416" s="1208" t="str">
        <f t="shared" si="32"/>
        <v/>
      </c>
      <c r="N416" s="1208" t="str">
        <f>IF('I. Stream &amp; Compound Data'!P291&lt;&gt;"",'I. Stream &amp; Compound Data'!P291,"")</f>
        <v/>
      </c>
      <c r="O416" s="202" t="str">
        <f t="shared" si="33"/>
        <v/>
      </c>
      <c r="P416" s="262" t="str">
        <f t="shared" si="34"/>
        <v/>
      </c>
      <c r="Q416" s="297"/>
      <c r="R416" s="611"/>
      <c r="S416" s="611"/>
      <c r="T416" s="709"/>
      <c r="U416" s="570"/>
      <c r="V416" s="570"/>
      <c r="W416" s="570"/>
      <c r="X416" s="570"/>
      <c r="Y416" s="570"/>
      <c r="Z416" s="570"/>
      <c r="AA416" s="570"/>
      <c r="AB416" s="570"/>
      <c r="AC416" s="570"/>
      <c r="AD416" s="570"/>
      <c r="AE416" s="570"/>
      <c r="AF416" s="570"/>
      <c r="AG416" s="570"/>
      <c r="AH416" s="570"/>
      <c r="AI416" s="570"/>
      <c r="AJ416" s="570"/>
      <c r="AK416" s="570"/>
      <c r="AL416" s="570"/>
      <c r="AM416" s="570"/>
      <c r="AN416" s="570"/>
      <c r="AO416" s="570"/>
      <c r="AP416" s="570"/>
      <c r="AQ416" s="570"/>
      <c r="AR416" s="570"/>
      <c r="AS416" s="570"/>
      <c r="AT416" s="570"/>
      <c r="AU416" s="570"/>
      <c r="AV416" s="588"/>
    </row>
    <row r="417" x14ac:dyDescent="0.3">
      <c r="A417" s="704"/>
      <c r="B417" s="570"/>
      <c r="C417" s="570"/>
      <c r="D417" s="708"/>
      <c r="E417" s="829"/>
      <c r="F417" s="709"/>
      <c r="G417" s="570"/>
      <c r="H417" s="292"/>
      <c r="I417" s="1262">
        <f t="shared" si="26"/>
        <v>31</v>
      </c>
      <c r="J417" s="202" t="str">
        <f t="shared" si="27"/>
        <v/>
      </c>
      <c r="K417" s="1269" t="str">
        <f>IF('I. Stream &amp; Compound Data'!H292&lt;&gt;"",'I. Stream &amp; Compound Data'!H292,"")</f>
        <v/>
      </c>
      <c r="L417" s="1208" t="str">
        <f t="shared" si="28"/>
        <v/>
      </c>
      <c r="M417" s="1208" t="str">
        <f t="shared" si="32"/>
        <v/>
      </c>
      <c r="N417" s="1208" t="str">
        <f>IF('I. Stream &amp; Compound Data'!P292&lt;&gt;"",'I. Stream &amp; Compound Data'!P292,"")</f>
        <v/>
      </c>
      <c r="O417" s="202" t="str">
        <f t="shared" si="33"/>
        <v/>
      </c>
      <c r="P417" s="262" t="str">
        <f t="shared" si="34"/>
        <v/>
      </c>
      <c r="Q417" s="297"/>
      <c r="R417" s="611"/>
      <c r="S417" s="611"/>
      <c r="T417" s="709"/>
      <c r="U417" s="570"/>
      <c r="V417" s="570"/>
      <c r="W417" s="570"/>
      <c r="X417" s="570"/>
      <c r="Y417" s="570"/>
      <c r="Z417" s="570"/>
      <c r="AA417" s="570"/>
      <c r="AB417" s="570"/>
      <c r="AC417" s="570"/>
      <c r="AD417" s="570"/>
      <c r="AE417" s="570"/>
      <c r="AF417" s="570"/>
      <c r="AG417" s="570"/>
      <c r="AH417" s="570"/>
      <c r="AI417" s="570"/>
      <c r="AJ417" s="570"/>
      <c r="AK417" s="570"/>
      <c r="AL417" s="570"/>
      <c r="AM417" s="570"/>
      <c r="AN417" s="570"/>
      <c r="AO417" s="570"/>
      <c r="AP417" s="570"/>
      <c r="AQ417" s="570"/>
      <c r="AR417" s="570"/>
      <c r="AS417" s="570"/>
      <c r="AT417" s="570"/>
      <c r="AU417" s="570"/>
      <c r="AV417" s="588"/>
    </row>
    <row r="418" x14ac:dyDescent="0.3">
      <c r="A418" s="704"/>
      <c r="B418" s="570"/>
      <c r="C418" s="570"/>
      <c r="D418" s="708"/>
      <c r="E418" s="829"/>
      <c r="F418" s="709"/>
      <c r="G418" s="570"/>
      <c r="H418" s="292"/>
      <c r="I418" s="1262">
        <f t="shared" si="26"/>
        <v>32</v>
      </c>
      <c r="J418" s="202" t="str">
        <f t="shared" si="27"/>
        <v/>
      </c>
      <c r="K418" s="1269" t="str">
        <f>IF('I. Stream &amp; Compound Data'!H293&lt;&gt;"",'I. Stream &amp; Compound Data'!H293,"")</f>
        <v/>
      </c>
      <c r="L418" s="1208" t="str">
        <f t="shared" si="28"/>
        <v/>
      </c>
      <c r="M418" s="1208" t="str">
        <f t="shared" si="32"/>
        <v/>
      </c>
      <c r="N418" s="1208" t="str">
        <f>IF('I. Stream &amp; Compound Data'!P293&lt;&gt;"",'I. Stream &amp; Compound Data'!P293,"")</f>
        <v/>
      </c>
      <c r="O418" s="202" t="str">
        <f t="shared" si="33"/>
        <v/>
      </c>
      <c r="P418" s="262" t="str">
        <f t="shared" si="34"/>
        <v/>
      </c>
      <c r="Q418" s="297"/>
      <c r="R418" s="611"/>
      <c r="S418" s="611"/>
      <c r="T418" s="709"/>
      <c r="U418" s="570"/>
      <c r="V418" s="570"/>
      <c r="W418" s="570"/>
      <c r="X418" s="570"/>
      <c r="Y418" s="570"/>
      <c r="Z418" s="570"/>
      <c r="AA418" s="570"/>
      <c r="AB418" s="570"/>
      <c r="AC418" s="570"/>
      <c r="AD418" s="570"/>
      <c r="AE418" s="570"/>
      <c r="AF418" s="570"/>
      <c r="AG418" s="570"/>
      <c r="AH418" s="570"/>
      <c r="AI418" s="570"/>
      <c r="AJ418" s="570"/>
      <c r="AK418" s="570"/>
      <c r="AL418" s="570"/>
      <c r="AM418" s="570"/>
      <c r="AN418" s="570"/>
      <c r="AO418" s="570"/>
      <c r="AP418" s="570"/>
      <c r="AQ418" s="570"/>
      <c r="AR418" s="570"/>
      <c r="AS418" s="570"/>
      <c r="AT418" s="570"/>
      <c r="AU418" s="570"/>
      <c r="AV418" s="588"/>
    </row>
    <row r="419" x14ac:dyDescent="0.3">
      <c r="A419" s="704"/>
      <c r="B419" s="570"/>
      <c r="C419" s="570"/>
      <c r="D419" s="708"/>
      <c r="E419" s="829"/>
      <c r="F419" s="709"/>
      <c r="G419" s="570"/>
      <c r="H419" s="292"/>
      <c r="I419" s="1262">
        <f t="shared" si="26"/>
        <v>33</v>
      </c>
      <c r="J419" s="202" t="str">
        <f t="shared" si="27"/>
        <v/>
      </c>
      <c r="K419" s="1269" t="str">
        <f>IF('I. Stream &amp; Compound Data'!H294&lt;&gt;"",'I. Stream &amp; Compound Data'!H294,"")</f>
        <v/>
      </c>
      <c r="L419" s="1208" t="str">
        <f t="shared" si="28"/>
        <v/>
      </c>
      <c r="M419" s="1208" t="str">
        <f t="shared" si="32"/>
        <v/>
      </c>
      <c r="N419" s="1208" t="str">
        <f>IF('I. Stream &amp; Compound Data'!P294&lt;&gt;"",'I. Stream &amp; Compound Data'!P294,"")</f>
        <v/>
      </c>
      <c r="O419" s="202" t="str">
        <f t="shared" si="33"/>
        <v/>
      </c>
      <c r="P419" s="262" t="str">
        <f t="shared" si="34"/>
        <v/>
      </c>
      <c r="Q419" s="297"/>
      <c r="R419" s="611"/>
      <c r="S419" s="611"/>
      <c r="T419" s="709"/>
      <c r="U419" s="570"/>
      <c r="V419" s="570"/>
      <c r="W419" s="570"/>
      <c r="X419" s="570"/>
      <c r="Y419" s="570"/>
      <c r="Z419" s="570"/>
      <c r="AA419" s="570"/>
      <c r="AB419" s="570"/>
      <c r="AC419" s="570"/>
      <c r="AD419" s="570"/>
      <c r="AE419" s="570"/>
      <c r="AF419" s="570"/>
      <c r="AG419" s="570"/>
      <c r="AH419" s="570"/>
      <c r="AI419" s="570"/>
      <c r="AJ419" s="570"/>
      <c r="AK419" s="570"/>
      <c r="AL419" s="570"/>
      <c r="AM419" s="570"/>
      <c r="AN419" s="570"/>
      <c r="AO419" s="570"/>
      <c r="AP419" s="570"/>
      <c r="AQ419" s="570"/>
      <c r="AR419" s="570"/>
      <c r="AS419" s="570"/>
      <c r="AT419" s="570"/>
      <c r="AU419" s="570"/>
      <c r="AV419" s="588"/>
    </row>
    <row r="420" x14ac:dyDescent="0.3">
      <c r="A420" s="704"/>
      <c r="B420" s="570"/>
      <c r="C420" s="570"/>
      <c r="D420" s="708"/>
      <c r="E420" s="829"/>
      <c r="F420" s="709"/>
      <c r="G420" s="570"/>
      <c r="H420" s="292"/>
      <c r="I420" s="1262">
        <f t="shared" si="26"/>
        <v>34</v>
      </c>
      <c r="J420" s="202" t="str">
        <f t="shared" si="27"/>
        <v/>
      </c>
      <c r="K420" s="1269" t="str">
        <f>IF('I. Stream &amp; Compound Data'!H295&lt;&gt;"",'I. Stream &amp; Compound Data'!H295,"")</f>
        <v/>
      </c>
      <c r="L420" s="1208" t="str">
        <f t="shared" si="28"/>
        <v/>
      </c>
      <c r="M420" s="1208" t="str">
        <f t="shared" si="32"/>
        <v/>
      </c>
      <c r="N420" s="1208" t="str">
        <f>IF('I. Stream &amp; Compound Data'!P295&lt;&gt;"",'I. Stream &amp; Compound Data'!P295,"")</f>
        <v/>
      </c>
      <c r="O420" s="202" t="str">
        <f t="shared" si="33"/>
        <v/>
      </c>
      <c r="P420" s="262" t="str">
        <f t="shared" si="34"/>
        <v/>
      </c>
      <c r="Q420" s="297"/>
      <c r="R420" s="611"/>
      <c r="S420" s="611"/>
      <c r="T420" s="709"/>
      <c r="U420" s="570"/>
      <c r="V420" s="570"/>
      <c r="W420" s="570"/>
      <c r="X420" s="570"/>
      <c r="Y420" s="570"/>
      <c r="Z420" s="570"/>
      <c r="AA420" s="570"/>
      <c r="AB420" s="570"/>
      <c r="AC420" s="570"/>
      <c r="AD420" s="570"/>
      <c r="AE420" s="570"/>
      <c r="AF420" s="570"/>
      <c r="AG420" s="570"/>
      <c r="AH420" s="570"/>
      <c r="AI420" s="570"/>
      <c r="AJ420" s="570"/>
      <c r="AK420" s="570"/>
      <c r="AL420" s="570"/>
      <c r="AM420" s="570"/>
      <c r="AN420" s="570"/>
      <c r="AO420" s="570"/>
      <c r="AP420" s="570"/>
      <c r="AQ420" s="570"/>
      <c r="AR420" s="570"/>
      <c r="AS420" s="570"/>
      <c r="AT420" s="570"/>
      <c r="AU420" s="570"/>
      <c r="AV420" s="588"/>
    </row>
    <row r="421" x14ac:dyDescent="0.3">
      <c r="A421" s="704"/>
      <c r="B421" s="570"/>
      <c r="C421" s="570"/>
      <c r="D421" s="708"/>
      <c r="E421" s="829"/>
      <c r="F421" s="709"/>
      <c r="G421" s="570"/>
      <c r="H421" s="292"/>
      <c r="I421" s="1262">
        <f t="shared" si="26"/>
        <v>35</v>
      </c>
      <c r="J421" s="202" t="str">
        <f t="shared" si="27"/>
        <v/>
      </c>
      <c r="K421" s="1269" t="str">
        <f>IF('I. Stream &amp; Compound Data'!H296&lt;&gt;"",'I. Stream &amp; Compound Data'!H296,"")</f>
        <v/>
      </c>
      <c r="L421" s="1208" t="str">
        <f t="shared" si="28"/>
        <v/>
      </c>
      <c r="M421" s="1208" t="str">
        <f t="shared" si="32"/>
        <v/>
      </c>
      <c r="N421" s="1208" t="str">
        <f>IF('I. Stream &amp; Compound Data'!P296&lt;&gt;"",'I. Stream &amp; Compound Data'!P296,"")</f>
        <v/>
      </c>
      <c r="O421" s="202" t="str">
        <f t="shared" si="33"/>
        <v/>
      </c>
      <c r="P421" s="262" t="str">
        <f t="shared" si="34"/>
        <v/>
      </c>
      <c r="Q421" s="297"/>
      <c r="R421" s="611"/>
      <c r="S421" s="611"/>
      <c r="T421" s="709"/>
      <c r="U421" s="570"/>
      <c r="V421" s="570"/>
      <c r="W421" s="570"/>
      <c r="X421" s="570"/>
      <c r="Y421" s="570"/>
      <c r="Z421" s="570"/>
      <c r="AA421" s="570"/>
      <c r="AB421" s="570"/>
      <c r="AC421" s="570"/>
      <c r="AD421" s="570"/>
      <c r="AE421" s="570"/>
      <c r="AF421" s="570"/>
      <c r="AG421" s="570"/>
      <c r="AH421" s="570"/>
      <c r="AI421" s="570"/>
      <c r="AJ421" s="570"/>
      <c r="AK421" s="570"/>
      <c r="AL421" s="570"/>
      <c r="AM421" s="570"/>
      <c r="AN421" s="570"/>
      <c r="AO421" s="570"/>
      <c r="AP421" s="570"/>
      <c r="AQ421" s="570"/>
      <c r="AR421" s="570"/>
      <c r="AS421" s="570"/>
      <c r="AT421" s="570"/>
      <c r="AU421" s="570"/>
      <c r="AV421" s="588"/>
    </row>
    <row r="422" x14ac:dyDescent="0.3">
      <c r="A422" s="704"/>
      <c r="B422" s="570"/>
      <c r="C422" s="570"/>
      <c r="D422" s="708"/>
      <c r="E422" s="829"/>
      <c r="F422" s="709"/>
      <c r="G422" s="570"/>
      <c r="H422" s="292"/>
      <c r="I422" s="1262">
        <f t="shared" si="26"/>
        <v>36</v>
      </c>
      <c r="J422" s="202" t="str">
        <f t="shared" si="27"/>
        <v/>
      </c>
      <c r="K422" s="1269" t="str">
        <f>IF('I. Stream &amp; Compound Data'!H297&lt;&gt;"",'I. Stream &amp; Compound Data'!H297,"")</f>
        <v/>
      </c>
      <c r="L422" s="1208" t="str">
        <f t="shared" si="28"/>
        <v/>
      </c>
      <c r="M422" s="1208" t="str">
        <f t="shared" si="32"/>
        <v/>
      </c>
      <c r="N422" s="1208" t="str">
        <f>IF('I. Stream &amp; Compound Data'!P297&lt;&gt;"",'I. Stream &amp; Compound Data'!P297,"")</f>
        <v/>
      </c>
      <c r="O422" s="202" t="str">
        <f t="shared" si="33"/>
        <v/>
      </c>
      <c r="P422" s="262" t="str">
        <f t="shared" si="34"/>
        <v/>
      </c>
      <c r="Q422" s="297"/>
      <c r="R422" s="611"/>
      <c r="S422" s="611"/>
      <c r="T422" s="709"/>
      <c r="U422" s="570"/>
      <c r="V422" s="570"/>
      <c r="W422" s="570"/>
      <c r="X422" s="570"/>
      <c r="Y422" s="570"/>
      <c r="Z422" s="570"/>
      <c r="AA422" s="570"/>
      <c r="AB422" s="570"/>
      <c r="AC422" s="570"/>
      <c r="AD422" s="570"/>
      <c r="AE422" s="570"/>
      <c r="AF422" s="570"/>
      <c r="AG422" s="570"/>
      <c r="AH422" s="570"/>
      <c r="AI422" s="570"/>
      <c r="AJ422" s="570"/>
      <c r="AK422" s="570"/>
      <c r="AL422" s="570"/>
      <c r="AM422" s="570"/>
      <c r="AN422" s="570"/>
      <c r="AO422" s="570"/>
      <c r="AP422" s="570"/>
      <c r="AQ422" s="570"/>
      <c r="AR422" s="570"/>
      <c r="AS422" s="570"/>
      <c r="AT422" s="570"/>
      <c r="AU422" s="570"/>
      <c r="AV422" s="588"/>
    </row>
    <row r="423" x14ac:dyDescent="0.3">
      <c r="A423" s="704"/>
      <c r="B423" s="570"/>
      <c r="C423" s="570"/>
      <c r="D423" s="708"/>
      <c r="E423" s="829"/>
      <c r="F423" s="709"/>
      <c r="G423" s="570"/>
      <c r="H423" s="292"/>
      <c r="I423" s="1262">
        <f t="shared" si="26"/>
        <v>37</v>
      </c>
      <c r="J423" s="202" t="str">
        <f t="shared" si="27"/>
        <v/>
      </c>
      <c r="K423" s="1269" t="str">
        <f>IF('I. Stream &amp; Compound Data'!H298&lt;&gt;"",'I. Stream &amp; Compound Data'!H298,"")</f>
        <v/>
      </c>
      <c r="L423" s="1208" t="str">
        <f t="shared" si="28"/>
        <v/>
      </c>
      <c r="M423" s="1208" t="str">
        <f t="shared" si="32"/>
        <v/>
      </c>
      <c r="N423" s="1208" t="str">
        <f>IF('I. Stream &amp; Compound Data'!P298&lt;&gt;"",'I. Stream &amp; Compound Data'!P298,"")</f>
        <v/>
      </c>
      <c r="O423" s="202" t="str">
        <f t="shared" si="33"/>
        <v/>
      </c>
      <c r="P423" s="262" t="str">
        <f t="shared" si="34"/>
        <v/>
      </c>
      <c r="Q423" s="297"/>
      <c r="R423" s="611"/>
      <c r="S423" s="611"/>
      <c r="T423" s="709"/>
      <c r="U423" s="570"/>
      <c r="V423" s="570"/>
      <c r="W423" s="570"/>
      <c r="X423" s="570"/>
      <c r="Y423" s="570"/>
      <c r="Z423" s="570"/>
      <c r="AA423" s="570"/>
      <c r="AB423" s="570"/>
      <c r="AC423" s="570"/>
      <c r="AD423" s="570"/>
      <c r="AE423" s="570"/>
      <c r="AF423" s="570"/>
      <c r="AG423" s="570"/>
      <c r="AH423" s="570"/>
      <c r="AI423" s="570"/>
      <c r="AJ423" s="570"/>
      <c r="AK423" s="570"/>
      <c r="AL423" s="570"/>
      <c r="AM423" s="570"/>
      <c r="AN423" s="570"/>
      <c r="AO423" s="570"/>
      <c r="AP423" s="570"/>
      <c r="AQ423" s="570"/>
      <c r="AR423" s="570"/>
      <c r="AS423" s="570"/>
      <c r="AT423" s="570"/>
      <c r="AU423" s="570"/>
      <c r="AV423" s="588"/>
    </row>
    <row r="424" x14ac:dyDescent="0.3">
      <c r="A424" s="704"/>
      <c r="B424" s="570"/>
      <c r="C424" s="570"/>
      <c r="D424" s="708"/>
      <c r="E424" s="829"/>
      <c r="F424" s="709"/>
      <c r="G424" s="570"/>
      <c r="H424" s="292"/>
      <c r="I424" s="1262">
        <f t="shared" si="26"/>
        <v>38</v>
      </c>
      <c r="J424" s="202" t="str">
        <f t="shared" si="27"/>
        <v/>
      </c>
      <c r="K424" s="1269" t="str">
        <f>IF('I. Stream &amp; Compound Data'!H299&lt;&gt;"",'I. Stream &amp; Compound Data'!H299,"")</f>
        <v/>
      </c>
      <c r="L424" s="1208" t="str">
        <f t="shared" si="28"/>
        <v/>
      </c>
      <c r="M424" s="1208" t="str">
        <f t="shared" si="32"/>
        <v/>
      </c>
      <c r="N424" s="1208" t="str">
        <f>IF('I. Stream &amp; Compound Data'!P299&lt;&gt;"",'I. Stream &amp; Compound Data'!P299,"")</f>
        <v/>
      </c>
      <c r="O424" s="202" t="str">
        <f t="shared" si="33"/>
        <v/>
      </c>
      <c r="P424" s="262" t="str">
        <f t="shared" si="34"/>
        <v/>
      </c>
      <c r="Q424" s="297"/>
      <c r="R424" s="611"/>
      <c r="S424" s="611"/>
      <c r="T424" s="709"/>
      <c r="U424" s="570"/>
      <c r="V424" s="570"/>
      <c r="W424" s="570"/>
      <c r="X424" s="570"/>
      <c r="Y424" s="570"/>
      <c r="Z424" s="570"/>
      <c r="AA424" s="570"/>
      <c r="AB424" s="570"/>
      <c r="AC424" s="570"/>
      <c r="AD424" s="570"/>
      <c r="AE424" s="570"/>
      <c r="AF424" s="570"/>
      <c r="AG424" s="570"/>
      <c r="AH424" s="570"/>
      <c r="AI424" s="570"/>
      <c r="AJ424" s="570"/>
      <c r="AK424" s="570"/>
      <c r="AL424" s="570"/>
      <c r="AM424" s="570"/>
      <c r="AN424" s="570"/>
      <c r="AO424" s="570"/>
      <c r="AP424" s="570"/>
      <c r="AQ424" s="570"/>
      <c r="AR424" s="570"/>
      <c r="AS424" s="570"/>
      <c r="AT424" s="570"/>
      <c r="AU424" s="570"/>
      <c r="AV424" s="588"/>
    </row>
    <row r="425" x14ac:dyDescent="0.3">
      <c r="A425" s="704"/>
      <c r="B425" s="570"/>
      <c r="C425" s="570"/>
      <c r="D425" s="708"/>
      <c r="E425" s="829"/>
      <c r="F425" s="709"/>
      <c r="G425" s="570"/>
      <c r="H425" s="292"/>
      <c r="I425" s="1262">
        <f t="shared" si="26"/>
        <v>39</v>
      </c>
      <c r="J425" s="202" t="str">
        <f t="shared" si="27"/>
        <v/>
      </c>
      <c r="K425" s="1269" t="str">
        <f>IF('I. Stream &amp; Compound Data'!H300&lt;&gt;"",'I. Stream &amp; Compound Data'!H300,"")</f>
        <v/>
      </c>
      <c r="L425" s="1208" t="str">
        <f t="shared" si="28"/>
        <v/>
      </c>
      <c r="M425" s="1208" t="str">
        <f t="shared" si="32"/>
        <v/>
      </c>
      <c r="N425" s="1208" t="str">
        <f>IF('I. Stream &amp; Compound Data'!P300&lt;&gt;"",'I. Stream &amp; Compound Data'!P300,"")</f>
        <v/>
      </c>
      <c r="O425" s="202" t="str">
        <f t="shared" si="33"/>
        <v/>
      </c>
      <c r="P425" s="262" t="str">
        <f t="shared" si="34"/>
        <v/>
      </c>
      <c r="Q425" s="297"/>
      <c r="R425" s="611"/>
      <c r="S425" s="611"/>
      <c r="T425" s="709"/>
      <c r="U425" s="570"/>
      <c r="V425" s="570"/>
      <c r="W425" s="570"/>
      <c r="X425" s="570"/>
      <c r="Y425" s="570"/>
      <c r="Z425" s="570"/>
      <c r="AA425" s="570"/>
      <c r="AB425" s="570"/>
      <c r="AC425" s="570"/>
      <c r="AD425" s="570"/>
      <c r="AE425" s="570"/>
      <c r="AF425" s="570"/>
      <c r="AG425" s="570"/>
      <c r="AH425" s="570"/>
      <c r="AI425" s="570"/>
      <c r="AJ425" s="570"/>
      <c r="AK425" s="570"/>
      <c r="AL425" s="570"/>
      <c r="AM425" s="570"/>
      <c r="AN425" s="570"/>
      <c r="AO425" s="570"/>
      <c r="AP425" s="570"/>
      <c r="AQ425" s="570"/>
      <c r="AR425" s="570"/>
      <c r="AS425" s="570"/>
      <c r="AT425" s="570"/>
      <c r="AU425" s="570"/>
      <c r="AV425" s="588"/>
    </row>
    <row r="426" x14ac:dyDescent="0.3">
      <c r="A426" s="704"/>
      <c r="B426" s="570"/>
      <c r="C426" s="570"/>
      <c r="D426" s="708"/>
      <c r="E426" s="829"/>
      <c r="F426" s="709"/>
      <c r="G426" s="570"/>
      <c r="H426" s="292"/>
      <c r="I426" s="1262">
        <f t="shared" si="26"/>
        <v>40</v>
      </c>
      <c r="J426" s="202" t="str">
        <f t="shared" si="27"/>
        <v/>
      </c>
      <c r="K426" s="1269" t="str">
        <f>IF('I. Stream &amp; Compound Data'!H301&lt;&gt;"",'I. Stream &amp; Compound Data'!H301,"")</f>
        <v/>
      </c>
      <c r="L426" s="1208" t="str">
        <f t="shared" si="28"/>
        <v/>
      </c>
      <c r="M426" s="1208" t="str">
        <f t="shared" si="32"/>
        <v/>
      </c>
      <c r="N426" s="1208" t="str">
        <f>IF('I. Stream &amp; Compound Data'!P301&lt;&gt;"",'I. Stream &amp; Compound Data'!P301,"")</f>
        <v/>
      </c>
      <c r="O426" s="202" t="str">
        <f t="shared" si="33"/>
        <v/>
      </c>
      <c r="P426" s="262" t="str">
        <f t="shared" si="34"/>
        <v/>
      </c>
      <c r="Q426" s="297"/>
      <c r="R426" s="611"/>
      <c r="S426" s="611"/>
      <c r="T426" s="709"/>
      <c r="U426" s="570"/>
      <c r="V426" s="570"/>
      <c r="W426" s="570"/>
      <c r="X426" s="570"/>
      <c r="Y426" s="570"/>
      <c r="Z426" s="570"/>
      <c r="AA426" s="570"/>
      <c r="AB426" s="570"/>
      <c r="AC426" s="570"/>
      <c r="AD426" s="570"/>
      <c r="AE426" s="570"/>
      <c r="AF426" s="570"/>
      <c r="AG426" s="570"/>
      <c r="AH426" s="570"/>
      <c r="AI426" s="570"/>
      <c r="AJ426" s="570"/>
      <c r="AK426" s="570"/>
      <c r="AL426" s="570"/>
      <c r="AM426" s="570"/>
      <c r="AN426" s="570"/>
      <c r="AO426" s="570"/>
      <c r="AP426" s="570"/>
      <c r="AQ426" s="570"/>
      <c r="AR426" s="570"/>
      <c r="AS426" s="570"/>
      <c r="AT426" s="570"/>
      <c r="AU426" s="570"/>
      <c r="AV426" s="588"/>
    </row>
    <row r="427" x14ac:dyDescent="0.3">
      <c r="A427" s="704"/>
      <c r="B427" s="570"/>
      <c r="C427" s="570"/>
      <c r="D427" s="708"/>
      <c r="E427" s="829"/>
      <c r="F427" s="709"/>
      <c r="G427" s="570"/>
      <c r="H427" s="292"/>
      <c r="I427" s="1262">
        <f t="shared" si="26"/>
        <v>41</v>
      </c>
      <c r="J427" s="202" t="str">
        <f t="shared" si="27"/>
        <v/>
      </c>
      <c r="K427" s="1269" t="str">
        <f>IF('I. Stream &amp; Compound Data'!H302&lt;&gt;"",'I. Stream &amp; Compound Data'!H302,"")</f>
        <v/>
      </c>
      <c r="L427" s="1208" t="str">
        <f t="shared" si="28"/>
        <v/>
      </c>
      <c r="M427" s="1208" t="str">
        <f t="shared" si="32"/>
        <v/>
      </c>
      <c r="N427" s="1208" t="str">
        <f>IF('I. Stream &amp; Compound Data'!P302&lt;&gt;"",'I. Stream &amp; Compound Data'!P302,"")</f>
        <v/>
      </c>
      <c r="O427" s="202" t="str">
        <f t="shared" si="33"/>
        <v/>
      </c>
      <c r="P427" s="262" t="str">
        <f t="shared" si="34"/>
        <v/>
      </c>
      <c r="Q427" s="297"/>
      <c r="R427" s="611"/>
      <c r="S427" s="611"/>
      <c r="T427" s="709"/>
      <c r="U427" s="570"/>
      <c r="V427" s="570"/>
      <c r="W427" s="570"/>
      <c r="X427" s="570"/>
      <c r="Y427" s="570"/>
      <c r="Z427" s="570"/>
      <c r="AA427" s="570"/>
      <c r="AB427" s="570"/>
      <c r="AC427" s="570"/>
      <c r="AD427" s="570"/>
      <c r="AE427" s="570"/>
      <c r="AF427" s="570"/>
      <c r="AG427" s="570"/>
      <c r="AH427" s="570"/>
      <c r="AI427" s="570"/>
      <c r="AJ427" s="570"/>
      <c r="AK427" s="570"/>
      <c r="AL427" s="570"/>
      <c r="AM427" s="570"/>
      <c r="AN427" s="570"/>
      <c r="AO427" s="570"/>
      <c r="AP427" s="570"/>
      <c r="AQ427" s="570"/>
      <c r="AR427" s="570"/>
      <c r="AS427" s="570"/>
      <c r="AT427" s="570"/>
      <c r="AU427" s="570"/>
      <c r="AV427" s="588"/>
    </row>
    <row r="428" x14ac:dyDescent="0.3">
      <c r="A428" s="704"/>
      <c r="B428" s="570"/>
      <c r="C428" s="570"/>
      <c r="D428" s="708"/>
      <c r="E428" s="829"/>
      <c r="F428" s="709"/>
      <c r="G428" s="570"/>
      <c r="H428" s="292"/>
      <c r="I428" s="1262">
        <f t="shared" si="26"/>
        <v>42</v>
      </c>
      <c r="J428" s="202" t="str">
        <f t="shared" si="27"/>
        <v/>
      </c>
      <c r="K428" s="1269" t="str">
        <f>IF('I. Stream &amp; Compound Data'!H303&lt;&gt;"",'I. Stream &amp; Compound Data'!H303,"")</f>
        <v/>
      </c>
      <c r="L428" s="1208" t="str">
        <f t="shared" si="28"/>
        <v/>
      </c>
      <c r="M428" s="1208" t="str">
        <f t="shared" si="32"/>
        <v/>
      </c>
      <c r="N428" s="1208" t="str">
        <f>IF('I. Stream &amp; Compound Data'!P303&lt;&gt;"",'I. Stream &amp; Compound Data'!P303,"")</f>
        <v/>
      </c>
      <c r="O428" s="202" t="str">
        <f t="shared" si="33"/>
        <v/>
      </c>
      <c r="P428" s="262" t="str">
        <f t="shared" si="34"/>
        <v/>
      </c>
      <c r="Q428" s="297"/>
      <c r="R428" s="611"/>
      <c r="S428" s="611"/>
      <c r="T428" s="709"/>
      <c r="U428" s="570"/>
      <c r="V428" s="570"/>
      <c r="W428" s="570"/>
      <c r="X428" s="570"/>
      <c r="Y428" s="570"/>
      <c r="Z428" s="570"/>
      <c r="AA428" s="570"/>
      <c r="AB428" s="570"/>
      <c r="AC428" s="570"/>
      <c r="AD428" s="570"/>
      <c r="AE428" s="570"/>
      <c r="AF428" s="570"/>
      <c r="AG428" s="570"/>
      <c r="AH428" s="570"/>
      <c r="AI428" s="570"/>
      <c r="AJ428" s="570"/>
      <c r="AK428" s="570"/>
      <c r="AL428" s="570"/>
      <c r="AM428" s="570"/>
      <c r="AN428" s="570"/>
      <c r="AO428" s="570"/>
      <c r="AP428" s="570"/>
      <c r="AQ428" s="570"/>
      <c r="AR428" s="570"/>
      <c r="AS428" s="570"/>
      <c r="AT428" s="570"/>
      <c r="AU428" s="570"/>
      <c r="AV428" s="588"/>
    </row>
    <row r="429" x14ac:dyDescent="0.3">
      <c r="A429" s="704"/>
      <c r="B429" s="570"/>
      <c r="C429" s="570"/>
      <c r="D429" s="708"/>
      <c r="E429" s="829"/>
      <c r="F429" s="709"/>
      <c r="G429" s="570"/>
      <c r="H429" s="292"/>
      <c r="I429" s="1262">
        <f t="shared" si="26"/>
        <v>43</v>
      </c>
      <c r="J429" s="202" t="str">
        <f t="shared" si="27"/>
        <v/>
      </c>
      <c r="K429" s="1269" t="str">
        <f>IF('I. Stream &amp; Compound Data'!H304&lt;&gt;"",'I. Stream &amp; Compound Data'!H304,"")</f>
        <v/>
      </c>
      <c r="L429" s="1208" t="str">
        <f t="shared" si="28"/>
        <v/>
      </c>
      <c r="M429" s="1208" t="str">
        <f t="shared" si="32"/>
        <v/>
      </c>
      <c r="N429" s="1208" t="str">
        <f>IF('I. Stream &amp; Compound Data'!P304&lt;&gt;"",'I. Stream &amp; Compound Data'!P304,"")</f>
        <v/>
      </c>
      <c r="O429" s="202" t="str">
        <f t="shared" si="33"/>
        <v/>
      </c>
      <c r="P429" s="262" t="str">
        <f t="shared" si="34"/>
        <v/>
      </c>
      <c r="Q429" s="297"/>
      <c r="R429" s="611"/>
      <c r="S429" s="611"/>
      <c r="T429" s="709"/>
      <c r="U429" s="570"/>
      <c r="V429" s="570"/>
      <c r="W429" s="570"/>
      <c r="X429" s="570"/>
      <c r="Y429" s="570"/>
      <c r="Z429" s="570"/>
      <c r="AA429" s="570"/>
      <c r="AB429" s="570"/>
      <c r="AC429" s="570"/>
      <c r="AD429" s="570"/>
      <c r="AE429" s="570"/>
      <c r="AF429" s="570"/>
      <c r="AG429" s="570"/>
      <c r="AH429" s="570"/>
      <c r="AI429" s="570"/>
      <c r="AJ429" s="570"/>
      <c r="AK429" s="570"/>
      <c r="AL429" s="570"/>
      <c r="AM429" s="570"/>
      <c r="AN429" s="570"/>
      <c r="AO429" s="570"/>
      <c r="AP429" s="570"/>
      <c r="AQ429" s="570"/>
      <c r="AR429" s="570"/>
      <c r="AS429" s="570"/>
      <c r="AT429" s="570"/>
      <c r="AU429" s="570"/>
      <c r="AV429" s="588"/>
    </row>
    <row r="430" x14ac:dyDescent="0.3">
      <c r="A430" s="704"/>
      <c r="B430" s="570"/>
      <c r="C430" s="570"/>
      <c r="D430" s="708"/>
      <c r="E430" s="829"/>
      <c r="F430" s="709"/>
      <c r="G430" s="570"/>
      <c r="H430" s="292"/>
      <c r="I430" s="1262">
        <f t="shared" si="26"/>
        <v>44</v>
      </c>
      <c r="J430" s="202" t="str">
        <f t="shared" si="27"/>
        <v/>
      </c>
      <c r="K430" s="1269" t="str">
        <f>IF('I. Stream &amp; Compound Data'!H305&lt;&gt;"",'I. Stream &amp; Compound Data'!H305,"")</f>
        <v/>
      </c>
      <c r="L430" s="1208" t="str">
        <f t="shared" si="28"/>
        <v/>
      </c>
      <c r="M430" s="1208" t="str">
        <f t="shared" si="32"/>
        <v/>
      </c>
      <c r="N430" s="1208" t="str">
        <f>IF('I. Stream &amp; Compound Data'!P305&lt;&gt;"",'I. Stream &amp; Compound Data'!P305,"")</f>
        <v/>
      </c>
      <c r="O430" s="202" t="str">
        <f t="shared" si="33"/>
        <v/>
      </c>
      <c r="P430" s="262" t="str">
        <f t="shared" si="34"/>
        <v/>
      </c>
      <c r="Q430" s="297"/>
      <c r="R430" s="611"/>
      <c r="S430" s="611"/>
      <c r="T430" s="709"/>
      <c r="U430" s="570"/>
      <c r="V430" s="570"/>
      <c r="W430" s="570"/>
      <c r="X430" s="570"/>
      <c r="Y430" s="570"/>
      <c r="Z430" s="570"/>
      <c r="AA430" s="570"/>
      <c r="AB430" s="570"/>
      <c r="AC430" s="570"/>
      <c r="AD430" s="570"/>
      <c r="AE430" s="570"/>
      <c r="AF430" s="570"/>
      <c r="AG430" s="570"/>
      <c r="AH430" s="570"/>
      <c r="AI430" s="570"/>
      <c r="AJ430" s="570"/>
      <c r="AK430" s="570"/>
      <c r="AL430" s="570"/>
      <c r="AM430" s="570"/>
      <c r="AN430" s="570"/>
      <c r="AO430" s="570"/>
      <c r="AP430" s="570"/>
      <c r="AQ430" s="570"/>
      <c r="AR430" s="570"/>
      <c r="AS430" s="570"/>
      <c r="AT430" s="570"/>
      <c r="AU430" s="570"/>
      <c r="AV430" s="588"/>
    </row>
    <row r="431" x14ac:dyDescent="0.3">
      <c r="A431" s="704"/>
      <c r="B431" s="570"/>
      <c r="C431" s="570"/>
      <c r="D431" s="708"/>
      <c r="E431" s="829"/>
      <c r="F431" s="709"/>
      <c r="G431" s="570"/>
      <c r="H431" s="292"/>
      <c r="I431" s="1262">
        <f t="shared" si="26"/>
        <v>45</v>
      </c>
      <c r="J431" s="202" t="str">
        <f t="shared" si="27"/>
        <v/>
      </c>
      <c r="K431" s="1269" t="str">
        <f>IF('I. Stream &amp; Compound Data'!H306&lt;&gt;"",'I. Stream &amp; Compound Data'!H306,"")</f>
        <v/>
      </c>
      <c r="L431" s="1208" t="str">
        <f t="shared" si="28"/>
        <v/>
      </c>
      <c r="M431" s="1208" t="str">
        <f t="shared" si="32"/>
        <v/>
      </c>
      <c r="N431" s="1208" t="str">
        <f>IF('I. Stream &amp; Compound Data'!P306&lt;&gt;"",'I. Stream &amp; Compound Data'!P306,"")</f>
        <v/>
      </c>
      <c r="O431" s="202" t="str">
        <f t="shared" si="33"/>
        <v/>
      </c>
      <c r="P431" s="262" t="str">
        <f t="shared" si="34"/>
        <v/>
      </c>
      <c r="Q431" s="297"/>
      <c r="R431" s="611"/>
      <c r="S431" s="611"/>
      <c r="T431" s="709"/>
      <c r="U431" s="570"/>
      <c r="V431" s="570"/>
      <c r="W431" s="570"/>
      <c r="X431" s="570"/>
      <c r="Y431" s="570"/>
      <c r="Z431" s="570"/>
      <c r="AA431" s="570"/>
      <c r="AB431" s="570"/>
      <c r="AC431" s="570"/>
      <c r="AD431" s="570"/>
      <c r="AE431" s="570"/>
      <c r="AF431" s="570"/>
      <c r="AG431" s="570"/>
      <c r="AH431" s="570"/>
      <c r="AI431" s="570"/>
      <c r="AJ431" s="570"/>
      <c r="AK431" s="570"/>
      <c r="AL431" s="570"/>
      <c r="AM431" s="570"/>
      <c r="AN431" s="570"/>
      <c r="AO431" s="570"/>
      <c r="AP431" s="570"/>
      <c r="AQ431" s="570"/>
      <c r="AR431" s="570"/>
      <c r="AS431" s="570"/>
      <c r="AT431" s="570"/>
      <c r="AU431" s="570"/>
      <c r="AV431" s="588"/>
    </row>
    <row r="432" x14ac:dyDescent="0.3">
      <c r="A432" s="704"/>
      <c r="B432" s="570"/>
      <c r="C432" s="570"/>
      <c r="D432" s="708"/>
      <c r="E432" s="829"/>
      <c r="F432" s="709"/>
      <c r="G432" s="570"/>
      <c r="H432" s="292"/>
      <c r="I432" s="1262">
        <f t="shared" si="26"/>
        <v>46</v>
      </c>
      <c r="J432" s="202" t="str">
        <f t="shared" si="27"/>
        <v/>
      </c>
      <c r="K432" s="1269" t="str">
        <f>IF('I. Stream &amp; Compound Data'!H307&lt;&gt;"",'I. Stream &amp; Compound Data'!H307,"")</f>
        <v/>
      </c>
      <c r="L432" s="1208" t="str">
        <f t="shared" si="28"/>
        <v/>
      </c>
      <c r="M432" s="1208" t="str">
        <f t="shared" si="32"/>
        <v/>
      </c>
      <c r="N432" s="1208" t="str">
        <f>IF('I. Stream &amp; Compound Data'!P307&lt;&gt;"",'I. Stream &amp; Compound Data'!P307,"")</f>
        <v/>
      </c>
      <c r="O432" s="202" t="str">
        <f t="shared" si="33"/>
        <v/>
      </c>
      <c r="P432" s="262" t="str">
        <f t="shared" si="34"/>
        <v/>
      </c>
      <c r="Q432" s="297"/>
      <c r="R432" s="611"/>
      <c r="S432" s="611"/>
      <c r="T432" s="709"/>
      <c r="U432" s="570"/>
      <c r="V432" s="570"/>
      <c r="W432" s="570"/>
      <c r="X432" s="570"/>
      <c r="Y432" s="570"/>
      <c r="Z432" s="570"/>
      <c r="AA432" s="570"/>
      <c r="AB432" s="570"/>
      <c r="AC432" s="570"/>
      <c r="AD432" s="570"/>
      <c r="AE432" s="570"/>
      <c r="AF432" s="570"/>
      <c r="AG432" s="570"/>
      <c r="AH432" s="570"/>
      <c r="AI432" s="570"/>
      <c r="AJ432" s="570"/>
      <c r="AK432" s="570"/>
      <c r="AL432" s="570"/>
      <c r="AM432" s="570"/>
      <c r="AN432" s="570"/>
      <c r="AO432" s="570"/>
      <c r="AP432" s="570"/>
      <c r="AQ432" s="570"/>
      <c r="AR432" s="570"/>
      <c r="AS432" s="570"/>
      <c r="AT432" s="570"/>
      <c r="AU432" s="570"/>
      <c r="AV432" s="588"/>
    </row>
    <row r="433" x14ac:dyDescent="0.3">
      <c r="A433" s="704"/>
      <c r="B433" s="570"/>
      <c r="C433" s="570"/>
      <c r="D433" s="708"/>
      <c r="E433" s="829"/>
      <c r="F433" s="709"/>
      <c r="G433" s="570"/>
      <c r="H433" s="292"/>
      <c r="I433" s="1262">
        <f t="shared" si="26"/>
        <v>47</v>
      </c>
      <c r="J433" s="202" t="str">
        <f t="shared" si="27"/>
        <v/>
      </c>
      <c r="K433" s="1269" t="str">
        <f>IF('I. Stream &amp; Compound Data'!H308&lt;&gt;"",'I. Stream &amp; Compound Data'!H308,"")</f>
        <v/>
      </c>
      <c r="L433" s="1208" t="str">
        <f t="shared" si="28"/>
        <v/>
      </c>
      <c r="M433" s="1208" t="str">
        <f t="shared" si="32"/>
        <v/>
      </c>
      <c r="N433" s="1208" t="str">
        <f>IF('I. Stream &amp; Compound Data'!P308&lt;&gt;"",'I. Stream &amp; Compound Data'!P308,"")</f>
        <v/>
      </c>
      <c r="O433" s="202" t="str">
        <f t="shared" si="33"/>
        <v/>
      </c>
      <c r="P433" s="262" t="str">
        <f t="shared" si="34"/>
        <v/>
      </c>
      <c r="Q433" s="297"/>
      <c r="R433" s="611"/>
      <c r="S433" s="611"/>
      <c r="T433" s="709"/>
      <c r="U433" s="570"/>
      <c r="V433" s="570"/>
      <c r="W433" s="570"/>
      <c r="X433" s="570"/>
      <c r="Y433" s="570"/>
      <c r="Z433" s="570"/>
      <c r="AA433" s="570"/>
      <c r="AB433" s="570"/>
      <c r="AC433" s="570"/>
      <c r="AD433" s="570"/>
      <c r="AE433" s="570"/>
      <c r="AF433" s="570"/>
      <c r="AG433" s="570"/>
      <c r="AH433" s="570"/>
      <c r="AI433" s="570"/>
      <c r="AJ433" s="570"/>
      <c r="AK433" s="570"/>
      <c r="AL433" s="570"/>
      <c r="AM433" s="570"/>
      <c r="AN433" s="570"/>
      <c r="AO433" s="570"/>
      <c r="AP433" s="570"/>
      <c r="AQ433" s="570"/>
      <c r="AR433" s="570"/>
      <c r="AS433" s="570"/>
      <c r="AT433" s="570"/>
      <c r="AU433" s="570"/>
      <c r="AV433" s="588"/>
    </row>
    <row r="434" x14ac:dyDescent="0.3">
      <c r="A434" s="704"/>
      <c r="B434" s="570"/>
      <c r="C434" s="570"/>
      <c r="D434" s="708"/>
      <c r="E434" s="829"/>
      <c r="F434" s="709"/>
      <c r="G434" s="570"/>
      <c r="H434" s="292"/>
      <c r="I434" s="1262">
        <f t="shared" si="26"/>
        <v>48</v>
      </c>
      <c r="J434" s="202" t="str">
        <f t="shared" si="27"/>
        <v/>
      </c>
      <c r="K434" s="1269" t="str">
        <f>IF('I. Stream &amp; Compound Data'!H309&lt;&gt;"",'I. Stream &amp; Compound Data'!H309,"")</f>
        <v/>
      </c>
      <c r="L434" s="1208" t="str">
        <f t="shared" si="28"/>
        <v/>
      </c>
      <c r="M434" s="1208" t="str">
        <f t="shared" si="32"/>
        <v/>
      </c>
      <c r="N434" s="1208" t="str">
        <f>IF('I. Stream &amp; Compound Data'!P309&lt;&gt;"",'I. Stream &amp; Compound Data'!P309,"")</f>
        <v/>
      </c>
      <c r="O434" s="202" t="str">
        <f t="shared" si="33"/>
        <v/>
      </c>
      <c r="P434" s="262" t="str">
        <f t="shared" si="34"/>
        <v/>
      </c>
      <c r="Q434" s="297"/>
      <c r="R434" s="611"/>
      <c r="S434" s="611"/>
      <c r="T434" s="709"/>
      <c r="U434" s="570"/>
      <c r="V434" s="570"/>
      <c r="W434" s="570"/>
      <c r="X434" s="570"/>
      <c r="Y434" s="570"/>
      <c r="Z434" s="570"/>
      <c r="AA434" s="570"/>
      <c r="AB434" s="570"/>
      <c r="AC434" s="570"/>
      <c r="AD434" s="570"/>
      <c r="AE434" s="570"/>
      <c r="AF434" s="570"/>
      <c r="AG434" s="570"/>
      <c r="AH434" s="570"/>
      <c r="AI434" s="570"/>
      <c r="AJ434" s="570"/>
      <c r="AK434" s="570"/>
      <c r="AL434" s="570"/>
      <c r="AM434" s="570"/>
      <c r="AN434" s="570"/>
      <c r="AO434" s="570"/>
      <c r="AP434" s="570"/>
      <c r="AQ434" s="570"/>
      <c r="AR434" s="570"/>
      <c r="AS434" s="570"/>
      <c r="AT434" s="570"/>
      <c r="AU434" s="570"/>
      <c r="AV434" s="588"/>
    </row>
    <row r="435" x14ac:dyDescent="0.3">
      <c r="A435" s="704"/>
      <c r="B435" s="570"/>
      <c r="C435" s="570"/>
      <c r="D435" s="708"/>
      <c r="E435" s="829"/>
      <c r="F435" s="709"/>
      <c r="G435" s="570"/>
      <c r="H435" s="292"/>
      <c r="I435" s="1262">
        <f t="shared" si="26"/>
        <v>49</v>
      </c>
      <c r="J435" s="202" t="str">
        <f t="shared" si="27"/>
        <v/>
      </c>
      <c r="K435" s="1269" t="str">
        <f>IF('I. Stream &amp; Compound Data'!H310&lt;&gt;"",'I. Stream &amp; Compound Data'!H310,"")</f>
        <v/>
      </c>
      <c r="L435" s="1208" t="str">
        <f t="shared" si="28"/>
        <v/>
      </c>
      <c r="M435" s="1208" t="str">
        <f t="shared" si="32"/>
        <v/>
      </c>
      <c r="N435" s="1208" t="str">
        <f>IF('I. Stream &amp; Compound Data'!P310&lt;&gt;"",'I. Stream &amp; Compound Data'!P310,"")</f>
        <v/>
      </c>
      <c r="O435" s="202" t="str">
        <f t="shared" si="33"/>
        <v/>
      </c>
      <c r="P435" s="262" t="str">
        <f t="shared" si="34"/>
        <v/>
      </c>
      <c r="Q435" s="297"/>
      <c r="R435" s="611"/>
      <c r="S435" s="611"/>
      <c r="T435" s="709"/>
      <c r="U435" s="570"/>
      <c r="V435" s="570"/>
      <c r="W435" s="570"/>
      <c r="X435" s="570"/>
      <c r="Y435" s="570"/>
      <c r="Z435" s="570"/>
      <c r="AA435" s="570"/>
      <c r="AB435" s="570"/>
      <c r="AC435" s="570"/>
      <c r="AD435" s="570"/>
      <c r="AE435" s="570"/>
      <c r="AF435" s="570"/>
      <c r="AG435" s="570"/>
      <c r="AH435" s="570"/>
      <c r="AI435" s="570"/>
      <c r="AJ435" s="570"/>
      <c r="AK435" s="570"/>
      <c r="AL435" s="570"/>
      <c r="AM435" s="570"/>
      <c r="AN435" s="570"/>
      <c r="AO435" s="570"/>
      <c r="AP435" s="570"/>
      <c r="AQ435" s="570"/>
      <c r="AR435" s="570"/>
      <c r="AS435" s="570"/>
      <c r="AT435" s="570"/>
      <c r="AU435" s="570"/>
      <c r="AV435" s="588"/>
    </row>
    <row r="436" ht="16.2" thickBot="true" x14ac:dyDescent="0.35">
      <c r="A436" s="704"/>
      <c r="B436" s="570"/>
      <c r="C436" s="570"/>
      <c r="D436" s="708"/>
      <c r="E436" s="829"/>
      <c r="F436" s="709"/>
      <c r="G436" s="570"/>
      <c r="H436" s="292"/>
      <c r="I436" s="1263">
        <f t="shared" si="26"/>
        <v>50</v>
      </c>
      <c r="J436" s="263" t="str">
        <f t="shared" si="27"/>
        <v/>
      </c>
      <c r="K436" s="1271" t="str">
        <f>IF('I. Stream &amp; Compound Data'!H311&lt;&gt;"",'I. Stream &amp; Compound Data'!H311,"")</f>
        <v/>
      </c>
      <c r="L436" s="1272" t="str">
        <f t="shared" si="28"/>
        <v/>
      </c>
      <c r="M436" s="1272" t="str">
        <f t="shared" si="32"/>
        <v/>
      </c>
      <c r="N436" s="1272" t="str">
        <f>IF('I. Stream &amp; Compound Data'!P311&lt;&gt;"",'I. Stream &amp; Compound Data'!P311,"")</f>
        <v/>
      </c>
      <c r="O436" s="263" t="str">
        <f t="shared" si="33"/>
        <v/>
      </c>
      <c r="P436" s="1227" t="str">
        <f t="shared" si="34"/>
        <v/>
      </c>
      <c r="Q436" s="297"/>
      <c r="R436" s="611"/>
      <c r="S436" s="611"/>
      <c r="T436" s="709"/>
      <c r="U436" s="570"/>
      <c r="V436" s="570"/>
      <c r="W436" s="570"/>
      <c r="X436" s="570"/>
      <c r="Y436" s="570"/>
      <c r="Z436" s="570"/>
      <c r="AA436" s="570"/>
      <c r="AB436" s="570"/>
      <c r="AC436" s="570"/>
      <c r="AD436" s="570"/>
      <c r="AE436" s="570"/>
      <c r="AF436" s="570"/>
      <c r="AG436" s="570"/>
      <c r="AH436" s="570"/>
      <c r="AI436" s="570"/>
      <c r="AJ436" s="570"/>
      <c r="AK436" s="570"/>
      <c r="AL436" s="570"/>
      <c r="AM436" s="570"/>
      <c r="AN436" s="570"/>
      <c r="AO436" s="570"/>
      <c r="AP436" s="570"/>
      <c r="AQ436" s="570"/>
      <c r="AR436" s="570"/>
      <c r="AS436" s="570"/>
      <c r="AT436" s="570"/>
      <c r="AU436" s="570"/>
      <c r="AV436" s="588"/>
    </row>
    <row r="437" ht="16.2" thickBot="true" x14ac:dyDescent="0.35">
      <c r="A437" s="704"/>
      <c r="B437" s="570"/>
      <c r="C437" s="570"/>
      <c r="D437" s="716"/>
      <c r="E437" s="717"/>
      <c r="F437" s="718"/>
      <c r="G437" s="591"/>
      <c r="H437" s="719"/>
      <c r="I437" s="720"/>
      <c r="J437" s="591"/>
      <c r="K437" s="719"/>
      <c r="L437" s="721"/>
      <c r="M437" s="722"/>
      <c r="N437" s="591"/>
      <c r="O437" s="591"/>
      <c r="P437" s="378"/>
      <c r="Q437" s="723"/>
      <c r="R437" s="724"/>
      <c r="S437" s="724"/>
      <c r="T437" s="718"/>
      <c r="U437" s="591"/>
      <c r="V437" s="591"/>
      <c r="W437" s="591"/>
      <c r="X437" s="591"/>
      <c r="Y437" s="591"/>
      <c r="Z437" s="591"/>
      <c r="AA437" s="591"/>
      <c r="AB437" s="591"/>
      <c r="AC437" s="591"/>
      <c r="AD437" s="591"/>
      <c r="AE437" s="591"/>
      <c r="AF437" s="591"/>
      <c r="AG437" s="591"/>
      <c r="AH437" s="591"/>
      <c r="AI437" s="591"/>
      <c r="AJ437" s="591"/>
      <c r="AK437" s="591"/>
      <c r="AL437" s="591"/>
      <c r="AM437" s="591"/>
      <c r="AN437" s="591"/>
      <c r="AO437" s="591"/>
      <c r="AP437" s="591"/>
      <c r="AQ437" s="591"/>
      <c r="AR437" s="591"/>
      <c r="AS437" s="591"/>
      <c r="AT437" s="591"/>
      <c r="AU437" s="591"/>
      <c r="AV437" s="606"/>
    </row>
    <row r="438" x14ac:dyDescent="0.3">
      <c r="B438" s="139"/>
      <c r="C438" s="139"/>
    </row>
  </sheetData>
  <sheetProtection sheet="true" objects="true" scenarios="true"/>
  <mergeCells count="122">
    <mergeCell ref="E371:H371"/>
    <mergeCell ref="E378:H378"/>
    <mergeCell ref="E385:H385"/>
    <mergeCell ref="E390:G390"/>
    <mergeCell ref="E195:G195"/>
    <mergeCell ref="F36:G36"/>
    <mergeCell ref="F44:G44"/>
    <mergeCell ref="E54:F54"/>
    <mergeCell ref="E70:F70"/>
    <mergeCell ref="E147:F147"/>
    <mergeCell ref="E166:G166"/>
    <mergeCell ref="E252:G252"/>
    <mergeCell ref="E308:G308"/>
    <mergeCell ref="E364:G364"/>
    <mergeCell ref="E257:G257"/>
    <mergeCell ref="E196:G196"/>
    <mergeCell ref="E197:G197"/>
    <mergeCell ref="E253:G253"/>
    <mergeCell ref="E254:G254"/>
    <mergeCell ref="E186:G186"/>
    <mergeCell ref="E187:G187"/>
    <mergeCell ref="E190:G190"/>
    <mergeCell ref="E189:G189"/>
    <mergeCell ref="E188:G188"/>
    <mergeCell ref="E161:G161"/>
    <mergeCell ref="E256:G256"/>
    <mergeCell ref="N4:Q4"/>
    <mergeCell ref="E389:G389"/>
    <mergeCell ref="E388:G388"/>
    <mergeCell ref="E387:G387"/>
    <mergeCell ref="E379:G379"/>
    <mergeCell ref="E380:G380"/>
    <mergeCell ref="E386:G386"/>
    <mergeCell ref="E372:G372"/>
    <mergeCell ref="E373:G373"/>
    <mergeCell ref="E177:G177"/>
    <mergeCell ref="E178:G178"/>
    <mergeCell ref="E183:G183"/>
    <mergeCell ref="E184:G184"/>
    <mergeCell ref="E185:G185"/>
    <mergeCell ref="E167:G167"/>
    <mergeCell ref="E168:G168"/>
    <mergeCell ref="E169:G169"/>
    <mergeCell ref="E176:G176"/>
    <mergeCell ref="E175:G175"/>
    <mergeCell ref="E174:G174"/>
    <mergeCell ref="E255:G255"/>
    <mergeCell ref="E312:G312"/>
    <mergeCell ref="E159:G159"/>
    <mergeCell ref="E160:G160"/>
    <mergeCell ref="E148:G148"/>
    <mergeCell ref="E149:G149"/>
    <mergeCell ref="E150:G150"/>
    <mergeCell ref="E151:G151"/>
    <mergeCell ref="E152:G152"/>
    <mergeCell ref="E74:G74"/>
    <mergeCell ref="E76:G76"/>
    <mergeCell ref="E77:G77"/>
    <mergeCell ref="E75:G75"/>
    <mergeCell ref="E78:G78"/>
    <mergeCell ref="E80:G80"/>
    <mergeCell ref="E153:G153"/>
    <mergeCell ref="E154:G154"/>
    <mergeCell ref="E71:G71"/>
    <mergeCell ref="E72:G72"/>
    <mergeCell ref="E73:G73"/>
    <mergeCell ref="E63:G63"/>
    <mergeCell ref="E62:G62"/>
    <mergeCell ref="E64:G64"/>
    <mergeCell ref="E65:G65"/>
    <mergeCell ref="E66:G66"/>
    <mergeCell ref="E55:G55"/>
    <mergeCell ref="E56:G56"/>
    <mergeCell ref="E57:G57"/>
    <mergeCell ref="E60:G60"/>
    <mergeCell ref="E61:G61"/>
    <mergeCell ref="E58:G58"/>
    <mergeCell ref="F40:G40"/>
    <mergeCell ref="F46:G46"/>
    <mergeCell ref="F47:G47"/>
    <mergeCell ref="F48:G48"/>
    <mergeCell ref="E59:G59"/>
    <mergeCell ref="E30:G30"/>
    <mergeCell ref="E17:G17"/>
    <mergeCell ref="E25:G25"/>
    <mergeCell ref="E26:G26"/>
    <mergeCell ref="E23:G23"/>
    <mergeCell ref="E24:G24"/>
    <mergeCell ref="E19:G19"/>
    <mergeCell ref="E18:G18"/>
    <mergeCell ref="E21:G21"/>
    <mergeCell ref="E20:G20"/>
    <mergeCell ref="E22:G22"/>
    <mergeCell ref="E27:G27"/>
    <mergeCell ref="E28:G28"/>
    <mergeCell ref="F37:G37"/>
    <mergeCell ref="F45:G45"/>
    <mergeCell ref="B35:I35"/>
    <mergeCell ref="U4:AI4"/>
    <mergeCell ref="E16:G16"/>
    <mergeCell ref="E365:G365"/>
    <mergeCell ref="E366:G366"/>
    <mergeCell ref="E309:G309"/>
    <mergeCell ref="E310:G310"/>
    <mergeCell ref="E311:G311"/>
    <mergeCell ref="N3:O3"/>
    <mergeCell ref="E11:G11"/>
    <mergeCell ref="E15:G15"/>
    <mergeCell ref="E10:G10"/>
    <mergeCell ref="E12:G12"/>
    <mergeCell ref="E6:G6"/>
    <mergeCell ref="E7:G7"/>
    <mergeCell ref="E8:G8"/>
    <mergeCell ref="E9:G9"/>
    <mergeCell ref="E13:G13"/>
    <mergeCell ref="E14:G14"/>
    <mergeCell ref="F38:G38"/>
    <mergeCell ref="F39:G39"/>
    <mergeCell ref="E31:G31"/>
    <mergeCell ref="D5:G5"/>
    <mergeCell ref="E29:G29"/>
    <mergeCell ref="F49:G49"/>
  </mergeCells>
  <phoneticPr fontId="32" type="noConversion"/>
  <conditionalFormatting sqref="R6:R35">
    <cfRule type="colorScale" priority="2">
      <colorScale>
        <cfvo type="num" val="0"/>
        <cfvo type="num" val="100"/>
        <color rgb="FFFF0000"/>
        <color rgb="FF21FF85"/>
      </colorScale>
    </cfRule>
  </conditionalFormatting>
  <pageMargins left="0.75" right="0.75" top="1" bottom="1" header="0.5" footer="0.5"/>
  <pageSetup orientation="portrait" r:id="rId1"/>
  <headerFooter alignWithMargins="false"/>
  <drawing r:id="rId2"/>
  <legacyDrawing r:id="rId3"/>
  <oleObjects>
    <mc:AlternateContent xmlns:mc="http://schemas.openxmlformats.org/markup-compatibility/2006">
      <mc:Choice Requires="x14">
        <oleObject progId="Equation.DSMT4" shapeId="2120" r:id="rId4">
          <objectPr defaultSize="0" autoPict="0" r:id="rId5">
            <anchor moveWithCells="1" sizeWithCells="1">
              <from>
                <xdr:col>9</xdr:col>
                <xdr:colOff>1211580</xdr:colOff>
                <xdr:row>17</xdr:row>
                <xdr:rowOff>289560</xdr:rowOff>
              </from>
              <to>
                <xdr:col>9</xdr:col>
                <xdr:colOff>4008120</xdr:colOff>
                <xdr:row>17</xdr:row>
                <xdr:rowOff>1303020</xdr:rowOff>
              </to>
            </anchor>
          </objectPr>
        </oleObject>
      </mc:Choice>
      <mc:Fallback>
        <oleObject progId="Equation.DSMT4" shapeId="2120" r:id="rId4"/>
      </mc:Fallback>
    </mc:AlternateContent>
  </oleObjec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B2:CN2829"/>
  <sheetViews>
    <sheetView zoomScale="55" zoomScaleNormal="55" workbookViewId="0">
      <selection activeCell="E27" sqref="E27:O27"/>
    </sheetView>
  </sheetViews>
  <sheetFormatPr defaultColWidth="9.109375" defaultRowHeight="15.6" x14ac:dyDescent="0.3"/>
  <cols>
    <col min="1" max="1" width="9.109375" style="73"/>
    <col min="2" max="2" width="13.88671875" style="73" customWidth="true"/>
    <col min="3" max="3" width="9.109375" style="73" customWidth="true"/>
    <col min="4" max="4" width="8.88671875" style="69" customWidth="true"/>
    <col min="5" max="5" width="23.44140625" style="59" customWidth="true"/>
    <col min="6" max="6" width="17" style="59" customWidth="true"/>
    <col min="7" max="7" width="20.109375" style="59" customWidth="true"/>
    <col min="8" max="8" width="26.88671875" style="69" customWidth="true"/>
    <col min="9" max="9" width="56" style="75" customWidth="true"/>
    <col min="10" max="10" width="75.109375" style="73" customWidth="true"/>
    <col min="11" max="11" width="28.88671875" style="69" customWidth="true"/>
    <col min="12" max="12" width="42.33203125" style="70" customWidth="true"/>
    <col min="13" max="13" width="32.6640625" style="59" customWidth="true"/>
    <col min="14" max="14" width="25" style="71" customWidth="true"/>
    <col min="15" max="15" width="23.6640625" style="72" customWidth="true"/>
    <col min="16" max="16" width="24.44140625" style="69" customWidth="true"/>
    <col min="17" max="17" width="24.88671875" style="73" customWidth="true"/>
    <col min="18" max="18" width="25.88671875" style="74" customWidth="true"/>
    <col min="19" max="19" width="25.109375" style="76" customWidth="true"/>
    <col min="20" max="20" width="24.109375" style="76" customWidth="true"/>
    <col min="21" max="21" width="24.5546875" style="82" customWidth="true"/>
    <col min="22" max="51" width="20.6640625" style="73" customWidth="true"/>
    <col min="52" max="16384" width="9.109375" style="73"/>
  </cols>
  <sheetData>
    <row r="2" ht="16.2" thickBot="true" x14ac:dyDescent="0.35"/>
    <row r="3" ht="33" customHeight="true" thickBot="true" x14ac:dyDescent="0.35">
      <c r="B3" s="668" t="s">
        <v>2362</v>
      </c>
      <c r="C3" s="428"/>
      <c r="D3" s="387"/>
      <c r="E3" s="429"/>
      <c r="F3" s="429"/>
      <c r="G3" s="430"/>
      <c r="H3" s="431"/>
      <c r="I3" s="432"/>
      <c r="J3" s="433"/>
      <c r="K3" s="387"/>
      <c r="L3" s="434"/>
      <c r="M3" s="429"/>
      <c r="N3" s="386"/>
      <c r="O3" s="387"/>
      <c r="P3" s="387"/>
      <c r="Q3" s="428"/>
      <c r="R3" s="435"/>
      <c r="S3" s="435"/>
      <c r="T3" s="437"/>
      <c r="U3" s="438"/>
      <c r="V3" s="428"/>
      <c r="W3" s="428"/>
      <c r="X3" s="437"/>
      <c r="Y3" s="437"/>
      <c r="Z3" s="437"/>
      <c r="AA3" s="428"/>
      <c r="AB3" s="428"/>
      <c r="AC3" s="428"/>
      <c r="AD3" s="428"/>
      <c r="AE3" s="428"/>
      <c r="AF3" s="428"/>
      <c r="AG3" s="428"/>
      <c r="AH3" s="428"/>
      <c r="AI3" s="428"/>
      <c r="AJ3" s="428"/>
      <c r="AK3" s="428"/>
      <c r="AL3" s="428"/>
      <c r="AM3" s="428"/>
      <c r="AN3" s="428"/>
      <c r="AO3" s="428"/>
      <c r="AP3" s="428"/>
      <c r="AQ3" s="428"/>
      <c r="AR3" s="428"/>
      <c r="AS3" s="428"/>
      <c r="AT3" s="428"/>
      <c r="AU3" s="428"/>
      <c r="AV3" s="428"/>
      <c r="AW3" s="428"/>
      <c r="AX3" s="428"/>
      <c r="AY3" s="428"/>
      <c r="AZ3" s="428"/>
      <c r="BA3" s="428"/>
      <c r="BB3" s="428"/>
      <c r="BC3" s="428"/>
      <c r="BD3" s="428"/>
      <c r="BE3" s="428"/>
      <c r="BF3" s="428"/>
      <c r="BG3" s="428"/>
      <c r="BH3" s="428"/>
      <c r="BI3" s="428"/>
      <c r="BJ3" s="428"/>
      <c r="BK3" s="428"/>
      <c r="BL3" s="428"/>
      <c r="BM3" s="428"/>
      <c r="BN3" s="428"/>
      <c r="BO3" s="428"/>
      <c r="BP3" s="428"/>
      <c r="BQ3" s="428"/>
      <c r="BR3" s="428"/>
      <c r="BS3" s="428"/>
      <c r="BT3" s="428"/>
      <c r="BU3" s="428"/>
      <c r="BV3" s="428"/>
      <c r="BW3" s="428"/>
      <c r="BX3" s="428"/>
      <c r="BY3" s="428"/>
      <c r="BZ3" s="428"/>
      <c r="CA3" s="428"/>
      <c r="CB3" s="428"/>
      <c r="CC3" s="428"/>
      <c r="CD3" s="428"/>
      <c r="CE3" s="428"/>
      <c r="CF3" s="428"/>
      <c r="CG3" s="428"/>
      <c r="CH3" s="428"/>
      <c r="CI3" s="428"/>
      <c r="CJ3" s="428"/>
      <c r="CK3" s="428"/>
      <c r="CL3" s="428"/>
      <c r="CM3" s="428"/>
      <c r="CN3" s="439"/>
    </row>
    <row r="4" ht="21.75" customHeight="true" thickBot="true" x14ac:dyDescent="0.4">
      <c r="B4" s="436"/>
      <c r="C4" s="391"/>
      <c r="D4" s="72"/>
      <c r="E4" s="421"/>
      <c r="F4" s="421"/>
      <c r="G4" s="421"/>
      <c r="H4" s="72"/>
      <c r="I4" s="422"/>
      <c r="J4" s="391"/>
      <c r="K4" s="72"/>
      <c r="L4" s="423"/>
      <c r="M4" s="421"/>
      <c r="N4" s="1934" t="s">
        <v>27</v>
      </c>
      <c r="O4" s="1935"/>
      <c r="P4" s="1935"/>
      <c r="Q4" s="1936"/>
      <c r="R4" s="669"/>
      <c r="S4" s="440"/>
      <c r="T4" s="440"/>
      <c r="U4" s="441"/>
      <c r="V4" s="440"/>
      <c r="W4" s="440"/>
      <c r="X4" s="442"/>
      <c r="Y4" s="442"/>
      <c r="Z4" s="442"/>
      <c r="AA4" s="391"/>
      <c r="AB4" s="391"/>
      <c r="AC4" s="391"/>
      <c r="AD4" s="391"/>
      <c r="AE4" s="391"/>
      <c r="AF4" s="391"/>
      <c r="AG4" s="391"/>
      <c r="AH4" s="391"/>
      <c r="AI4" s="391"/>
      <c r="AJ4" s="391"/>
      <c r="AK4" s="391"/>
      <c r="AL4" s="391"/>
      <c r="AM4" s="391"/>
      <c r="AN4" s="391"/>
      <c r="AO4" s="391"/>
      <c r="AP4" s="391"/>
      <c r="AQ4" s="391"/>
      <c r="AR4" s="391"/>
      <c r="AS4" s="391"/>
      <c r="AT4" s="391"/>
      <c r="AU4" s="391"/>
      <c r="AV4" s="391"/>
      <c r="AW4" s="391"/>
      <c r="AX4" s="391"/>
      <c r="AY4" s="391"/>
      <c r="AZ4" s="391"/>
      <c r="BA4" s="391"/>
      <c r="BB4" s="391"/>
      <c r="BC4" s="391"/>
      <c r="BD4" s="391"/>
      <c r="BE4" s="391"/>
      <c r="BF4" s="391"/>
      <c r="BG4" s="391"/>
      <c r="BH4" s="391"/>
      <c r="BI4" s="391"/>
      <c r="BJ4" s="391"/>
      <c r="BK4" s="391"/>
      <c r="BL4" s="391"/>
      <c r="BM4" s="391"/>
      <c r="BN4" s="391"/>
      <c r="BO4" s="391"/>
      <c r="BP4" s="391"/>
      <c r="BQ4" s="391"/>
      <c r="BR4" s="391"/>
      <c r="BS4" s="391"/>
      <c r="BT4" s="391"/>
      <c r="BU4" s="391"/>
      <c r="BV4" s="391"/>
      <c r="BW4" s="391"/>
      <c r="BX4" s="391"/>
      <c r="BY4" s="391"/>
      <c r="BZ4" s="391"/>
      <c r="CA4" s="391"/>
      <c r="CB4" s="391"/>
      <c r="CC4" s="391"/>
      <c r="CD4" s="391"/>
      <c r="CE4" s="391"/>
      <c r="CF4" s="391"/>
      <c r="CG4" s="391"/>
      <c r="CH4" s="391"/>
      <c r="CI4" s="391"/>
      <c r="CJ4" s="391"/>
      <c r="CK4" s="391"/>
      <c r="CL4" s="391"/>
      <c r="CM4" s="391"/>
      <c r="CN4" s="443"/>
    </row>
    <row r="5" s="78" customFormat="true" ht="84" customHeight="true" thickBot="true" x14ac:dyDescent="0.3">
      <c r="B5" s="424"/>
      <c r="C5" s="425"/>
      <c r="D5" s="1937" t="s">
        <v>24</v>
      </c>
      <c r="E5" s="1938"/>
      <c r="F5" s="1938"/>
      <c r="G5" s="1939"/>
      <c r="H5" s="1193" t="s">
        <v>44</v>
      </c>
      <c r="I5" s="426" t="s">
        <v>42</v>
      </c>
      <c r="J5" s="1193" t="s">
        <v>39</v>
      </c>
      <c r="K5" s="1193" t="s">
        <v>29</v>
      </c>
      <c r="L5" s="1193" t="s">
        <v>30</v>
      </c>
      <c r="M5" s="1193" t="s">
        <v>31</v>
      </c>
      <c r="N5" s="427" t="s">
        <v>73</v>
      </c>
      <c r="O5" s="47" t="s">
        <v>2260</v>
      </c>
      <c r="P5" s="427" t="s">
        <v>74</v>
      </c>
      <c r="Q5" s="77" t="s">
        <v>2261</v>
      </c>
      <c r="R5" s="670" t="s">
        <v>97</v>
      </c>
      <c r="S5" s="425"/>
      <c r="T5" s="425"/>
      <c r="U5" s="425"/>
      <c r="V5" s="425"/>
      <c r="W5" s="425"/>
      <c r="X5" s="425"/>
      <c r="Y5" s="425"/>
      <c r="Z5" s="425"/>
      <c r="AA5" s="425"/>
      <c r="AB5" s="425"/>
      <c r="AC5" s="425"/>
      <c r="AD5" s="425"/>
      <c r="AE5" s="425"/>
      <c r="AF5" s="425"/>
      <c r="AG5" s="425"/>
      <c r="AH5" s="425"/>
      <c r="AI5" s="425"/>
      <c r="AJ5" s="425"/>
      <c r="AK5" s="425"/>
      <c r="AL5" s="425"/>
      <c r="AM5" s="425"/>
      <c r="AN5" s="425"/>
      <c r="AO5" s="425"/>
      <c r="AP5" s="425"/>
      <c r="AQ5" s="425"/>
      <c r="AR5" s="425"/>
      <c r="AS5" s="425"/>
      <c r="AT5" s="425"/>
      <c r="AU5" s="425"/>
      <c r="AV5" s="425"/>
      <c r="AW5" s="425"/>
      <c r="AX5" s="425"/>
      <c r="AY5" s="425"/>
      <c r="AZ5" s="425"/>
      <c r="BA5" s="425"/>
      <c r="BB5" s="425"/>
      <c r="BC5" s="425"/>
      <c r="BD5" s="425"/>
      <c r="BE5" s="425"/>
      <c r="BF5" s="425"/>
      <c r="BG5" s="425"/>
      <c r="BH5" s="425"/>
      <c r="BI5" s="425"/>
      <c r="BJ5" s="425"/>
      <c r="BK5" s="425"/>
      <c r="BL5" s="425"/>
      <c r="BM5" s="425"/>
      <c r="BN5" s="425"/>
      <c r="BO5" s="425"/>
      <c r="BP5" s="425"/>
      <c r="BQ5" s="425"/>
      <c r="BR5" s="425"/>
      <c r="BS5" s="425"/>
      <c r="BT5" s="425"/>
      <c r="BU5" s="425"/>
      <c r="BV5" s="425"/>
      <c r="BW5" s="425"/>
      <c r="BX5" s="425"/>
      <c r="BY5" s="425"/>
      <c r="BZ5" s="425"/>
      <c r="CA5" s="425"/>
      <c r="CB5" s="425"/>
      <c r="CC5" s="425"/>
      <c r="CD5" s="425"/>
      <c r="CE5" s="425"/>
      <c r="CF5" s="425"/>
      <c r="CG5" s="425"/>
      <c r="CH5" s="425"/>
      <c r="CI5" s="425"/>
      <c r="CJ5" s="425"/>
      <c r="CK5" s="425"/>
      <c r="CL5" s="425"/>
      <c r="CM5" s="425"/>
      <c r="CN5" s="444"/>
    </row>
    <row r="6" ht="69" customHeight="true" x14ac:dyDescent="0.25">
      <c r="B6" s="390"/>
      <c r="C6" s="391"/>
      <c r="D6" s="1273">
        <f>1</f>
        <v>1</v>
      </c>
      <c r="E6" s="1969" t="s">
        <v>99</v>
      </c>
      <c r="F6" s="1969"/>
      <c r="G6" s="1969"/>
      <c r="H6" s="392" t="s">
        <v>1661</v>
      </c>
      <c r="I6" s="393" t="s">
        <v>101</v>
      </c>
      <c r="J6" s="394" t="s">
        <v>190</v>
      </c>
      <c r="K6" s="1274">
        <f>IFERROR(SUMIF(L86:L135,"&gt;=2",P86:P135),"missing data")</f>
        <v>0</v>
      </c>
      <c r="L6" s="395" t="s">
        <v>2289</v>
      </c>
      <c r="M6" s="396" t="s">
        <v>41</v>
      </c>
      <c r="N6" s="79">
        <v>0</v>
      </c>
      <c r="O6" s="1131">
        <f>N6</f>
        <v>0</v>
      </c>
      <c r="P6" s="79">
        <f>COUNTIF(L86:L135,"&gt;=2")</f>
        <v>2</v>
      </c>
      <c r="Q6" s="1132">
        <f>P6</f>
        <v>2</v>
      </c>
      <c r="R6" s="1275">
        <f>IFERROR(IF(ROUND((K6- IF(Q6&lt;&gt;"",Q6,P6))/(IF(O6&lt;&gt;"",O6,N6)- IF(Q6&lt;&gt;"",Q6,P6))*100,2)&lt;0,0,IF(ROUND((K6- IF(Q6&lt;&gt;"",Q6,P6))/(IF(O6&lt;&gt;"",O6,N6)- IF(Q6&lt;&gt;"",Q6,P6))*100,2)&gt;100,100,ROUND((K6- IF(Q6&lt;&gt;"",Q6,P6))/(IF(O6&lt;&gt;"",O6,N6)- IF(Q6&lt;&gt;"",Q6,P6))*100,2))),"")</f>
        <v>100</v>
      </c>
      <c r="S6" s="440"/>
      <c r="T6" s="440"/>
      <c r="U6" s="1933" t="s">
        <v>2363</v>
      </c>
      <c r="V6" s="1933"/>
      <c r="W6" s="1933"/>
      <c r="X6" s="1933"/>
      <c r="Y6" s="1933"/>
      <c r="Z6" s="1933"/>
      <c r="AA6" s="1933"/>
      <c r="AB6" s="1933"/>
      <c r="AC6" s="1933"/>
      <c r="AD6" s="1933"/>
      <c r="AE6" s="1933"/>
      <c r="AF6" s="1933"/>
      <c r="AG6" s="1933"/>
      <c r="AH6" s="1933"/>
      <c r="AI6" s="1933"/>
      <c r="AJ6" s="1933"/>
      <c r="AK6" s="1933"/>
      <c r="AL6" s="1933"/>
      <c r="AM6" s="1933"/>
      <c r="AN6" s="1933"/>
      <c r="AO6" s="1933"/>
      <c r="AP6" s="1933"/>
      <c r="AQ6" s="1933"/>
      <c r="AR6" s="1933"/>
      <c r="AS6" s="1933"/>
      <c r="AT6" s="1933"/>
      <c r="AU6" s="1933"/>
      <c r="AV6" s="1933"/>
      <c r="AW6" s="1933"/>
      <c r="AX6" s="1933"/>
      <c r="AY6" s="1933"/>
      <c r="AZ6" s="1933"/>
      <c r="BA6" s="1933"/>
      <c r="BB6" s="1933"/>
      <c r="BC6" s="1933"/>
      <c r="BD6" s="1933"/>
      <c r="BE6" s="1933"/>
      <c r="BF6" s="1933"/>
      <c r="BG6" s="1933"/>
      <c r="BH6" s="1933"/>
      <c r="BI6" s="1933"/>
      <c r="BJ6" s="1933"/>
      <c r="BK6" s="1933"/>
      <c r="BL6" s="1933"/>
      <c r="BM6" s="1933"/>
      <c r="BN6" s="1933"/>
      <c r="BO6" s="1933"/>
      <c r="BP6" s="1933"/>
      <c r="BQ6" s="1933"/>
      <c r="BR6" s="1933"/>
      <c r="BS6" s="1933"/>
      <c r="BT6" s="1933"/>
      <c r="BU6" s="1933"/>
      <c r="BV6" s="1933"/>
      <c r="BW6" s="1933"/>
      <c r="BX6" s="1933"/>
      <c r="BY6" s="1933"/>
      <c r="BZ6" s="1933"/>
      <c r="CA6" s="1933"/>
      <c r="CB6" s="1933"/>
      <c r="CC6" s="1933"/>
      <c r="CD6" s="1933"/>
      <c r="CE6" s="1933"/>
      <c r="CF6" s="1933"/>
      <c r="CG6" s="391"/>
      <c r="CH6" s="391"/>
      <c r="CI6" s="391"/>
      <c r="CJ6" s="391"/>
      <c r="CK6" s="391"/>
      <c r="CL6" s="391"/>
      <c r="CM6" s="391"/>
      <c r="CN6" s="443"/>
    </row>
    <row r="7" ht="90.75" customHeight="true" x14ac:dyDescent="0.3">
      <c r="B7" s="390"/>
      <c r="C7" s="391"/>
      <c r="D7" s="1276">
        <f>D6+1</f>
        <v>2</v>
      </c>
      <c r="E7" s="1948" t="s">
        <v>100</v>
      </c>
      <c r="F7" s="1948"/>
      <c r="G7" s="1948"/>
      <c r="H7" s="397" t="s">
        <v>1662</v>
      </c>
      <c r="I7" s="1181" t="s">
        <v>104</v>
      </c>
      <c r="J7" s="242"/>
      <c r="K7" s="1277">
        <f>IFERROR(SUMPRODUCT(K86:K135,P86:P135),"missing data")</f>
        <v>0</v>
      </c>
      <c r="L7" s="398" t="s">
        <v>196</v>
      </c>
      <c r="M7" s="399" t="s">
        <v>36</v>
      </c>
      <c r="N7" s="80">
        <v>0</v>
      </c>
      <c r="O7" s="1131">
        <f t="shared" ref="O7:O70" si="0">N7</f>
        <v>0</v>
      </c>
      <c r="P7" s="80">
        <f>G77</f>
        <v>6778.7792000553327</v>
      </c>
      <c r="Q7" s="1132">
        <f t="shared" ref="Q7:Q70" si="1">P7</f>
        <v>6778.7792000553327</v>
      </c>
      <c r="R7" s="1275">
        <f t="shared" ref="R7:R70" si="2">IFERROR(IF(ROUND((K7- IF(Q7&lt;&gt;"",Q7,P7))/(IF(O7&lt;&gt;"",O7,N7)- IF(Q7&lt;&gt;"",Q7,P7))*100,2)&lt;0,0,IF(ROUND((K7- IF(Q7&lt;&gt;"",Q7,P7))/(IF(O7&lt;&gt;"",O7,N7)- IF(Q7&lt;&gt;"",Q7,P7))*100,2)&gt;100,100,ROUND((K7- IF(Q7&lt;&gt;"",Q7,P7))/(IF(O7&lt;&gt;"",O7,N7)- IF(Q7&lt;&gt;"",Q7,P7))*100,2))),"")</f>
        <v>100</v>
      </c>
      <c r="S7" s="440"/>
      <c r="T7" s="440"/>
      <c r="U7" s="1933"/>
      <c r="V7" s="1933"/>
      <c r="W7" s="1933"/>
      <c r="X7" s="1933"/>
      <c r="Y7" s="1933"/>
      <c r="Z7" s="1933"/>
      <c r="AA7" s="1933"/>
      <c r="AB7" s="1933"/>
      <c r="AC7" s="1933"/>
      <c r="AD7" s="1933"/>
      <c r="AE7" s="1933"/>
      <c r="AF7" s="1933"/>
      <c r="AG7" s="1933"/>
      <c r="AH7" s="1933"/>
      <c r="AI7" s="1933"/>
      <c r="AJ7" s="1933"/>
      <c r="AK7" s="1933"/>
      <c r="AL7" s="1933"/>
      <c r="AM7" s="1933"/>
      <c r="AN7" s="1933"/>
      <c r="AO7" s="1933"/>
      <c r="AP7" s="1933"/>
      <c r="AQ7" s="1933"/>
      <c r="AR7" s="1933"/>
      <c r="AS7" s="1933"/>
      <c r="AT7" s="1933"/>
      <c r="AU7" s="1933"/>
      <c r="AV7" s="1933"/>
      <c r="AW7" s="1933"/>
      <c r="AX7" s="1933"/>
      <c r="AY7" s="1933"/>
      <c r="AZ7" s="1933"/>
      <c r="BA7" s="1933"/>
      <c r="BB7" s="1933"/>
      <c r="BC7" s="1933"/>
      <c r="BD7" s="1933"/>
      <c r="BE7" s="1933"/>
      <c r="BF7" s="1933"/>
      <c r="BG7" s="1933"/>
      <c r="BH7" s="1933"/>
      <c r="BI7" s="1933"/>
      <c r="BJ7" s="1933"/>
      <c r="BK7" s="1933"/>
      <c r="BL7" s="1933"/>
      <c r="BM7" s="1933"/>
      <c r="BN7" s="1933"/>
      <c r="BO7" s="1933"/>
      <c r="BP7" s="1933"/>
      <c r="BQ7" s="1933"/>
      <c r="BR7" s="1933"/>
      <c r="BS7" s="1933"/>
      <c r="BT7" s="1933"/>
      <c r="BU7" s="1933"/>
      <c r="BV7" s="1933"/>
      <c r="BW7" s="1933"/>
      <c r="BX7" s="1933"/>
      <c r="BY7" s="1933"/>
      <c r="BZ7" s="1933"/>
      <c r="CA7" s="1933"/>
      <c r="CB7" s="1933"/>
      <c r="CC7" s="1933"/>
      <c r="CD7" s="1933"/>
      <c r="CE7" s="1933"/>
      <c r="CF7" s="1933"/>
      <c r="CG7" s="391"/>
      <c r="CH7" s="391"/>
      <c r="CI7" s="391"/>
      <c r="CJ7" s="391"/>
      <c r="CK7" s="391"/>
      <c r="CL7" s="391"/>
      <c r="CM7" s="391"/>
      <c r="CN7" s="443"/>
    </row>
    <row r="8" ht="93" customHeight="true" x14ac:dyDescent="0.25">
      <c r="B8" s="390"/>
      <c r="C8" s="391"/>
      <c r="D8" s="1276">
        <f>D7+1</f>
        <v>3</v>
      </c>
      <c r="E8" s="1948" t="s">
        <v>98</v>
      </c>
      <c r="F8" s="1948"/>
      <c r="G8" s="1948"/>
      <c r="H8" s="397" t="s">
        <v>1663</v>
      </c>
      <c r="I8" s="1181" t="s">
        <v>105</v>
      </c>
      <c r="J8" s="400"/>
      <c r="K8" s="1277">
        <f>IFERROR((SUMPRODUCT(K86:K135,P86:P135))/G78,"missing data")</f>
        <v>0</v>
      </c>
      <c r="L8" s="1177" t="s">
        <v>2290</v>
      </c>
      <c r="M8" s="401" t="s">
        <v>197</v>
      </c>
      <c r="N8" s="80">
        <v>0</v>
      </c>
      <c r="O8" s="1131">
        <f t="shared" si="0"/>
        <v>0</v>
      </c>
      <c r="P8" s="80">
        <f>ROUND(G77/(G78),4)</f>
        <v>1.5024</v>
      </c>
      <c r="Q8" s="1132">
        <f t="shared" si="1"/>
        <v>1.5024</v>
      </c>
      <c r="R8" s="1275">
        <f t="shared" si="2"/>
        <v>100</v>
      </c>
      <c r="S8" s="440"/>
      <c r="T8" s="440"/>
      <c r="U8" s="441"/>
      <c r="V8" s="441"/>
      <c r="W8" s="441"/>
      <c r="X8" s="441"/>
      <c r="Y8" s="391"/>
      <c r="Z8" s="391"/>
      <c r="AA8" s="391"/>
      <c r="AB8" s="391"/>
      <c r="AC8" s="391"/>
      <c r="AD8" s="391"/>
      <c r="AE8" s="391"/>
      <c r="AF8" s="391"/>
      <c r="AG8" s="391"/>
      <c r="AH8" s="391"/>
      <c r="AI8" s="391"/>
      <c r="AJ8" s="391"/>
      <c r="AK8" s="391"/>
      <c r="AL8" s="391"/>
      <c r="AM8" s="391"/>
      <c r="AN8" s="391"/>
      <c r="AO8" s="391"/>
      <c r="AP8" s="391"/>
      <c r="AQ8" s="391"/>
      <c r="AR8" s="391"/>
      <c r="AS8" s="391"/>
      <c r="AT8" s="391"/>
      <c r="AU8" s="391"/>
      <c r="AV8" s="391"/>
      <c r="AW8" s="391"/>
      <c r="AX8" s="391"/>
      <c r="AY8" s="391"/>
      <c r="AZ8" s="391"/>
      <c r="BA8" s="391"/>
      <c r="BB8" s="391"/>
      <c r="BC8" s="391"/>
      <c r="BD8" s="391"/>
      <c r="BE8" s="391"/>
      <c r="BF8" s="391"/>
      <c r="BG8" s="391"/>
      <c r="BH8" s="391"/>
      <c r="BI8" s="391"/>
      <c r="BJ8" s="391"/>
      <c r="BK8" s="391"/>
      <c r="BL8" s="391"/>
      <c r="BM8" s="391"/>
      <c r="BN8" s="391"/>
      <c r="BO8" s="391"/>
      <c r="BP8" s="391"/>
      <c r="BQ8" s="391"/>
      <c r="BR8" s="391"/>
      <c r="BS8" s="391"/>
      <c r="BT8" s="391"/>
      <c r="BU8" s="391"/>
      <c r="BV8" s="391"/>
      <c r="BW8" s="391"/>
      <c r="BX8" s="391"/>
      <c r="BY8" s="391"/>
      <c r="BZ8" s="391"/>
      <c r="CA8" s="391"/>
      <c r="CB8" s="391"/>
      <c r="CC8" s="391"/>
      <c r="CD8" s="391"/>
      <c r="CE8" s="391"/>
      <c r="CF8" s="391"/>
      <c r="CG8" s="391"/>
      <c r="CH8" s="391"/>
      <c r="CI8" s="391"/>
      <c r="CJ8" s="391"/>
      <c r="CK8" s="391"/>
      <c r="CL8" s="391"/>
      <c r="CM8" s="391"/>
      <c r="CN8" s="443"/>
    </row>
    <row r="9" ht="68.25" customHeight="true" x14ac:dyDescent="0.25">
      <c r="B9" s="390"/>
      <c r="C9" s="391"/>
      <c r="D9" s="1276">
        <f>D8+1</f>
        <v>4</v>
      </c>
      <c r="E9" s="1948" t="s">
        <v>103</v>
      </c>
      <c r="F9" s="1948"/>
      <c r="G9" s="1948"/>
      <c r="H9" s="397" t="s">
        <v>1664</v>
      </c>
      <c r="I9" s="1181" t="s">
        <v>102</v>
      </c>
      <c r="J9" s="400"/>
      <c r="K9" s="1277">
        <f>IFERROR(SUMPRODUCT(K86:K135,Q86:Q135),"missing data")</f>
        <v>0</v>
      </c>
      <c r="L9" s="398" t="s">
        <v>199</v>
      </c>
      <c r="M9" s="399" t="s">
        <v>36</v>
      </c>
      <c r="N9" s="80">
        <v>0</v>
      </c>
      <c r="O9" s="1131">
        <f t="shared" si="0"/>
        <v>0</v>
      </c>
      <c r="P9" s="80">
        <f>G77</f>
        <v>6778.7792000553327</v>
      </c>
      <c r="Q9" s="1132">
        <f t="shared" si="1"/>
        <v>6778.7792000553327</v>
      </c>
      <c r="R9" s="1275">
        <f t="shared" si="2"/>
        <v>100</v>
      </c>
      <c r="S9" s="440"/>
      <c r="T9" s="440"/>
      <c r="U9" s="441"/>
      <c r="V9" s="441"/>
      <c r="W9" s="441"/>
      <c r="X9" s="441"/>
      <c r="Y9" s="391"/>
      <c r="Z9" s="391"/>
      <c r="AA9" s="391"/>
      <c r="AB9" s="391"/>
      <c r="AC9" s="391"/>
      <c r="AD9" s="391"/>
      <c r="AE9" s="391"/>
      <c r="AF9" s="391"/>
      <c r="AG9" s="391"/>
      <c r="AH9" s="391"/>
      <c r="AI9" s="391"/>
      <c r="AJ9" s="391"/>
      <c r="AK9" s="391"/>
      <c r="AL9" s="391"/>
      <c r="AM9" s="391"/>
      <c r="AN9" s="391"/>
      <c r="AO9" s="391"/>
      <c r="AP9" s="391"/>
      <c r="AQ9" s="391"/>
      <c r="AR9" s="391"/>
      <c r="AS9" s="391"/>
      <c r="AT9" s="391"/>
      <c r="AU9" s="391"/>
      <c r="AV9" s="391"/>
      <c r="AW9" s="391"/>
      <c r="AX9" s="391"/>
      <c r="AY9" s="391"/>
      <c r="AZ9" s="391"/>
      <c r="BA9" s="391"/>
      <c r="BB9" s="391"/>
      <c r="BC9" s="391"/>
      <c r="BD9" s="391"/>
      <c r="BE9" s="391"/>
      <c r="BF9" s="391"/>
      <c r="BG9" s="391"/>
      <c r="BH9" s="391"/>
      <c r="BI9" s="391"/>
      <c r="BJ9" s="391"/>
      <c r="BK9" s="391"/>
      <c r="BL9" s="391"/>
      <c r="BM9" s="391"/>
      <c r="BN9" s="391"/>
      <c r="BO9" s="391"/>
      <c r="BP9" s="391"/>
      <c r="BQ9" s="391"/>
      <c r="BR9" s="391"/>
      <c r="BS9" s="391"/>
      <c r="BT9" s="391"/>
      <c r="BU9" s="391"/>
      <c r="BV9" s="391"/>
      <c r="BW9" s="391"/>
      <c r="BX9" s="391"/>
      <c r="BY9" s="391"/>
      <c r="BZ9" s="391"/>
      <c r="CA9" s="391"/>
      <c r="CB9" s="391"/>
      <c r="CC9" s="391"/>
      <c r="CD9" s="391"/>
      <c r="CE9" s="391"/>
      <c r="CF9" s="391"/>
      <c r="CG9" s="391"/>
      <c r="CH9" s="391"/>
      <c r="CI9" s="391"/>
      <c r="CJ9" s="391"/>
      <c r="CK9" s="391"/>
      <c r="CL9" s="391"/>
      <c r="CM9" s="391"/>
      <c r="CN9" s="443"/>
    </row>
    <row r="10" ht="409.5" customHeight="true" x14ac:dyDescent="0.25">
      <c r="B10" s="390"/>
      <c r="C10" s="391"/>
      <c r="D10" s="1276">
        <f>D9+1</f>
        <v>5</v>
      </c>
      <c r="E10" s="1948" t="s">
        <v>107</v>
      </c>
      <c r="F10" s="1948"/>
      <c r="G10" s="1948"/>
      <c r="H10" s="402" t="s">
        <v>1665</v>
      </c>
      <c r="I10" s="1181" t="s">
        <v>108</v>
      </c>
      <c r="J10" s="239"/>
      <c r="K10" s="1278" t="str">
        <f>IFERROR(MAX('V. Environmental'!J1640,'V. Environmental'!J1660),"missing data")</f>
        <v>missing data</v>
      </c>
      <c r="L10" s="1181" t="s">
        <v>238</v>
      </c>
      <c r="M10" s="399" t="s">
        <v>41</v>
      </c>
      <c r="N10" s="80">
        <v>0</v>
      </c>
      <c r="O10" s="1131">
        <f t="shared" si="0"/>
        <v>0</v>
      </c>
      <c r="P10" s="80">
        <v>1000</v>
      </c>
      <c r="Q10" s="1132">
        <f t="shared" si="1"/>
        <v>1000</v>
      </c>
      <c r="R10" s="1275" t="str">
        <f t="shared" si="2"/>
        <v/>
      </c>
      <c r="S10" s="440"/>
      <c r="T10" s="440"/>
      <c r="U10" s="441"/>
      <c r="V10" s="441"/>
      <c r="W10" s="441"/>
      <c r="X10" s="441"/>
      <c r="Y10" s="391"/>
      <c r="Z10" s="391"/>
      <c r="AA10" s="391"/>
      <c r="AB10" s="391"/>
      <c r="AC10" s="391"/>
      <c r="AD10" s="391"/>
      <c r="AE10" s="391"/>
      <c r="AF10" s="391"/>
      <c r="AG10" s="391"/>
      <c r="AH10" s="391"/>
      <c r="AI10" s="391"/>
      <c r="AJ10" s="391"/>
      <c r="AK10" s="391"/>
      <c r="AL10" s="391"/>
      <c r="AM10" s="391"/>
      <c r="AN10" s="391"/>
      <c r="AO10" s="391"/>
      <c r="AP10" s="391"/>
      <c r="AQ10" s="391"/>
      <c r="AR10" s="391"/>
      <c r="AS10" s="391"/>
      <c r="AT10" s="391"/>
      <c r="AU10" s="391"/>
      <c r="AV10" s="391"/>
      <c r="AW10" s="391"/>
      <c r="AX10" s="391"/>
      <c r="AY10" s="391"/>
      <c r="AZ10" s="391"/>
      <c r="BA10" s="391"/>
      <c r="BB10" s="391"/>
      <c r="BC10" s="391"/>
      <c r="BD10" s="391"/>
      <c r="BE10" s="391"/>
      <c r="BF10" s="391"/>
      <c r="BG10" s="391"/>
      <c r="BH10" s="391"/>
      <c r="BI10" s="391"/>
      <c r="BJ10" s="391"/>
      <c r="BK10" s="391"/>
      <c r="BL10" s="391"/>
      <c r="BM10" s="391"/>
      <c r="BN10" s="391"/>
      <c r="BO10" s="391"/>
      <c r="BP10" s="391"/>
      <c r="BQ10" s="391"/>
      <c r="BR10" s="391"/>
      <c r="BS10" s="391"/>
      <c r="BT10" s="391"/>
      <c r="BU10" s="391"/>
      <c r="BV10" s="391"/>
      <c r="BW10" s="391"/>
      <c r="BX10" s="391"/>
      <c r="BY10" s="391"/>
      <c r="BZ10" s="391"/>
      <c r="CA10" s="391"/>
      <c r="CB10" s="391"/>
      <c r="CC10" s="391"/>
      <c r="CD10" s="391"/>
      <c r="CE10" s="391"/>
      <c r="CF10" s="391"/>
      <c r="CG10" s="391"/>
      <c r="CH10" s="391"/>
      <c r="CI10" s="391"/>
      <c r="CJ10" s="391"/>
      <c r="CK10" s="391"/>
      <c r="CL10" s="391"/>
      <c r="CM10" s="391"/>
      <c r="CN10" s="443"/>
    </row>
    <row r="11" ht="409.5" customHeight="true" x14ac:dyDescent="0.25">
      <c r="B11" s="390"/>
      <c r="C11" s="391"/>
      <c r="D11" s="1276">
        <f t="shared" ref="D11:D19" si="3">D10+1</f>
        <v>6</v>
      </c>
      <c r="E11" s="1948" t="s">
        <v>109</v>
      </c>
      <c r="F11" s="1948"/>
      <c r="G11" s="1948"/>
      <c r="H11" s="402" t="s">
        <v>1666</v>
      </c>
      <c r="I11" s="1181" t="s">
        <v>2183</v>
      </c>
      <c r="J11" s="239"/>
      <c r="K11" s="1277">
        <f>IFERROR(X192/G78,"missing data")</f>
        <v>47509.55332715674</v>
      </c>
      <c r="L11" s="1181" t="s">
        <v>258</v>
      </c>
      <c r="M11" s="399" t="s">
        <v>257</v>
      </c>
      <c r="N11" s="81">
        <v>0</v>
      </c>
      <c r="O11" s="1131">
        <f t="shared" si="0"/>
        <v>0</v>
      </c>
      <c r="P11" s="403">
        <v>1000000</v>
      </c>
      <c r="Q11" s="1132">
        <f t="shared" si="1"/>
        <v>1000000</v>
      </c>
      <c r="R11" s="1275">
        <f t="shared" si="2"/>
        <v>95.25</v>
      </c>
      <c r="S11" s="440"/>
      <c r="T11" s="440"/>
      <c r="U11" s="441"/>
      <c r="V11" s="391"/>
      <c r="W11" s="391"/>
      <c r="X11" s="391"/>
      <c r="Y11" s="391"/>
      <c r="Z11" s="391"/>
      <c r="AA11" s="391"/>
      <c r="AB11" s="391"/>
      <c r="AC11" s="391"/>
      <c r="AD11" s="391"/>
      <c r="AE11" s="391"/>
      <c r="AF11" s="391"/>
      <c r="AG11" s="391"/>
      <c r="AH11" s="391"/>
      <c r="AI11" s="391"/>
      <c r="AJ11" s="391"/>
      <c r="AK11" s="391"/>
      <c r="AL11" s="391"/>
      <c r="AM11" s="391"/>
      <c r="AN11" s="391"/>
      <c r="AO11" s="391"/>
      <c r="AP11" s="391"/>
      <c r="AQ11" s="391"/>
      <c r="AR11" s="391"/>
      <c r="AS11" s="391"/>
      <c r="AT11" s="391"/>
      <c r="AU11" s="391"/>
      <c r="AV11" s="391"/>
      <c r="AW11" s="391"/>
      <c r="AX11" s="391"/>
      <c r="AY11" s="391"/>
      <c r="AZ11" s="391"/>
      <c r="BA11" s="391"/>
      <c r="BB11" s="391"/>
      <c r="BC11" s="391"/>
      <c r="BD11" s="391"/>
      <c r="BE11" s="391"/>
      <c r="BF11" s="391"/>
      <c r="BG11" s="391"/>
      <c r="BH11" s="391"/>
      <c r="BI11" s="391"/>
      <c r="BJ11" s="391"/>
      <c r="BK11" s="391"/>
      <c r="BL11" s="391"/>
      <c r="BM11" s="391"/>
      <c r="BN11" s="391"/>
      <c r="BO11" s="391"/>
      <c r="BP11" s="391"/>
      <c r="BQ11" s="391"/>
      <c r="BR11" s="391"/>
      <c r="BS11" s="391"/>
      <c r="BT11" s="391"/>
      <c r="BU11" s="391"/>
      <c r="BV11" s="391"/>
      <c r="BW11" s="391"/>
      <c r="BX11" s="391"/>
      <c r="BY11" s="391"/>
      <c r="BZ11" s="391"/>
      <c r="CA11" s="391"/>
      <c r="CB11" s="391"/>
      <c r="CC11" s="391"/>
      <c r="CD11" s="391"/>
      <c r="CE11" s="391"/>
      <c r="CF11" s="391"/>
      <c r="CG11" s="391"/>
      <c r="CH11" s="391"/>
      <c r="CI11" s="391"/>
      <c r="CJ11" s="391"/>
      <c r="CK11" s="391"/>
      <c r="CL11" s="391"/>
      <c r="CM11" s="391"/>
      <c r="CN11" s="443"/>
    </row>
    <row r="12" ht="391.5" customHeight="true" x14ac:dyDescent="0.25">
      <c r="B12" s="390"/>
      <c r="C12" s="391"/>
      <c r="D12" s="1276">
        <f t="shared" si="3"/>
        <v>7</v>
      </c>
      <c r="E12" s="1948" t="s">
        <v>110</v>
      </c>
      <c r="F12" s="1948"/>
      <c r="G12" s="1948"/>
      <c r="H12" s="402" t="s">
        <v>1667</v>
      </c>
      <c r="I12" s="1181" t="s">
        <v>2184</v>
      </c>
      <c r="J12" s="239"/>
      <c r="K12" s="1277">
        <f>IFERROR(T250/G78,"missing data")</f>
        <v>640214.916489303</v>
      </c>
      <c r="L12" s="1181" t="s">
        <v>259</v>
      </c>
      <c r="M12" s="399" t="s">
        <v>257</v>
      </c>
      <c r="N12" s="80">
        <v>0</v>
      </c>
      <c r="O12" s="1131">
        <f t="shared" si="0"/>
        <v>0</v>
      </c>
      <c r="P12" s="83">
        <v>10000000</v>
      </c>
      <c r="Q12" s="1132">
        <f t="shared" si="1"/>
        <v>10000000</v>
      </c>
      <c r="R12" s="1275">
        <f t="shared" si="2"/>
        <v>93.6</v>
      </c>
      <c r="S12" s="440"/>
      <c r="T12" s="440"/>
      <c r="U12" s="441"/>
      <c r="V12" s="391"/>
      <c r="W12" s="391"/>
      <c r="X12" s="391"/>
      <c r="Y12" s="391"/>
      <c r="Z12" s="391"/>
      <c r="AA12" s="391"/>
      <c r="AB12" s="391"/>
      <c r="AC12" s="391"/>
      <c r="AD12" s="391"/>
      <c r="AE12" s="391"/>
      <c r="AF12" s="391"/>
      <c r="AG12" s="391"/>
      <c r="AH12" s="391"/>
      <c r="AI12" s="391"/>
      <c r="AJ12" s="391"/>
      <c r="AK12" s="391"/>
      <c r="AL12" s="391"/>
      <c r="AM12" s="391"/>
      <c r="AN12" s="391"/>
      <c r="AO12" s="391"/>
      <c r="AP12" s="391"/>
      <c r="AQ12" s="391"/>
      <c r="AR12" s="391"/>
      <c r="AS12" s="391"/>
      <c r="AT12" s="391"/>
      <c r="AU12" s="391"/>
      <c r="AV12" s="391"/>
      <c r="AW12" s="391"/>
      <c r="AX12" s="391"/>
      <c r="AY12" s="391"/>
      <c r="AZ12" s="391"/>
      <c r="BA12" s="391"/>
      <c r="BB12" s="391"/>
      <c r="BC12" s="391"/>
      <c r="BD12" s="391"/>
      <c r="BE12" s="391"/>
      <c r="BF12" s="391"/>
      <c r="BG12" s="391"/>
      <c r="BH12" s="391"/>
      <c r="BI12" s="391"/>
      <c r="BJ12" s="391"/>
      <c r="BK12" s="391"/>
      <c r="BL12" s="391"/>
      <c r="BM12" s="391"/>
      <c r="BN12" s="391"/>
      <c r="BO12" s="391"/>
      <c r="BP12" s="391"/>
      <c r="BQ12" s="391"/>
      <c r="BR12" s="391"/>
      <c r="BS12" s="391"/>
      <c r="BT12" s="391"/>
      <c r="BU12" s="391"/>
      <c r="BV12" s="391"/>
      <c r="BW12" s="391"/>
      <c r="BX12" s="391"/>
      <c r="BY12" s="391"/>
      <c r="BZ12" s="391"/>
      <c r="CA12" s="391"/>
      <c r="CB12" s="391"/>
      <c r="CC12" s="391"/>
      <c r="CD12" s="391"/>
      <c r="CE12" s="391"/>
      <c r="CF12" s="391"/>
      <c r="CG12" s="391"/>
      <c r="CH12" s="391"/>
      <c r="CI12" s="391"/>
      <c r="CJ12" s="391"/>
      <c r="CK12" s="391"/>
      <c r="CL12" s="391"/>
      <c r="CM12" s="391"/>
      <c r="CN12" s="443"/>
    </row>
    <row r="13" ht="320.25" customHeight="true" x14ac:dyDescent="0.25">
      <c r="B13" s="390"/>
      <c r="C13" s="391"/>
      <c r="D13" s="1276">
        <f t="shared" si="3"/>
        <v>8</v>
      </c>
      <c r="E13" s="1948" t="s">
        <v>111</v>
      </c>
      <c r="F13" s="1948"/>
      <c r="G13" s="1948"/>
      <c r="H13" s="402" t="s">
        <v>1668</v>
      </c>
      <c r="I13" s="1181" t="s">
        <v>0</v>
      </c>
      <c r="J13" s="239"/>
      <c r="K13" s="1277">
        <f>IFERROR(P309/G78,"missing data")</f>
        <v>6.6062511327088114</v>
      </c>
      <c r="L13" s="1181" t="s">
        <v>265</v>
      </c>
      <c r="M13" s="399" t="s">
        <v>35</v>
      </c>
      <c r="N13" s="80">
        <v>1E-4</v>
      </c>
      <c r="O13" s="1131">
        <f t="shared" si="0"/>
        <v>1E-4</v>
      </c>
      <c r="P13" s="80">
        <v>10</v>
      </c>
      <c r="Q13" s="1132">
        <f t="shared" si="1"/>
        <v>10</v>
      </c>
      <c r="R13" s="1275">
        <f t="shared" si="2"/>
        <v>33.94</v>
      </c>
      <c r="S13" s="440"/>
      <c r="T13" s="440"/>
      <c r="U13" s="441"/>
      <c r="V13" s="391"/>
      <c r="W13" s="391"/>
      <c r="X13" s="391"/>
      <c r="Y13" s="391"/>
      <c r="Z13" s="391"/>
      <c r="AA13" s="391"/>
      <c r="AB13" s="391"/>
      <c r="AC13" s="391"/>
      <c r="AD13" s="391"/>
      <c r="AE13" s="391"/>
      <c r="AF13" s="391"/>
      <c r="AG13" s="391"/>
      <c r="AH13" s="391"/>
      <c r="AI13" s="391"/>
      <c r="AJ13" s="391"/>
      <c r="AK13" s="391"/>
      <c r="AL13" s="391"/>
      <c r="AM13" s="391"/>
      <c r="AN13" s="391"/>
      <c r="AO13" s="391"/>
      <c r="AP13" s="391"/>
      <c r="AQ13" s="391"/>
      <c r="AR13" s="391"/>
      <c r="AS13" s="391"/>
      <c r="AT13" s="391"/>
      <c r="AU13" s="391"/>
      <c r="AV13" s="391"/>
      <c r="AW13" s="391"/>
      <c r="AX13" s="391"/>
      <c r="AY13" s="391"/>
      <c r="AZ13" s="391"/>
      <c r="BA13" s="391"/>
      <c r="BB13" s="391"/>
      <c r="BC13" s="391"/>
      <c r="BD13" s="391"/>
      <c r="BE13" s="391"/>
      <c r="BF13" s="391"/>
      <c r="BG13" s="391"/>
      <c r="BH13" s="391"/>
      <c r="BI13" s="391"/>
      <c r="BJ13" s="391"/>
      <c r="BK13" s="391"/>
      <c r="BL13" s="391"/>
      <c r="BM13" s="391"/>
      <c r="BN13" s="391"/>
      <c r="BO13" s="391"/>
      <c r="BP13" s="391"/>
      <c r="BQ13" s="391"/>
      <c r="BR13" s="391"/>
      <c r="BS13" s="391"/>
      <c r="BT13" s="391"/>
      <c r="BU13" s="391"/>
      <c r="BV13" s="391"/>
      <c r="BW13" s="391"/>
      <c r="BX13" s="391"/>
      <c r="BY13" s="391"/>
      <c r="BZ13" s="391"/>
      <c r="CA13" s="391"/>
      <c r="CB13" s="391"/>
      <c r="CC13" s="391"/>
      <c r="CD13" s="391"/>
      <c r="CE13" s="391"/>
      <c r="CF13" s="391"/>
      <c r="CG13" s="391"/>
      <c r="CH13" s="391"/>
      <c r="CI13" s="391"/>
      <c r="CJ13" s="391"/>
      <c r="CK13" s="391"/>
      <c r="CL13" s="391"/>
      <c r="CM13" s="391"/>
      <c r="CN13" s="443"/>
    </row>
    <row r="14" ht="309.75" customHeight="true" x14ac:dyDescent="0.25">
      <c r="B14" s="390"/>
      <c r="C14" s="391"/>
      <c r="D14" s="1276">
        <f t="shared" si="3"/>
        <v>9</v>
      </c>
      <c r="E14" s="1948" t="s">
        <v>112</v>
      </c>
      <c r="F14" s="1948"/>
      <c r="G14" s="1948"/>
      <c r="H14" s="402" t="s">
        <v>1669</v>
      </c>
      <c r="I14" s="1181" t="s">
        <v>1</v>
      </c>
      <c r="J14" s="239"/>
      <c r="K14" s="1277">
        <f>IFERROR(ABS(S369)/G78,"missing data")</f>
        <v>0</v>
      </c>
      <c r="L14" s="1181" t="s">
        <v>270</v>
      </c>
      <c r="M14" s="399" t="s">
        <v>269</v>
      </c>
      <c r="N14" s="80">
        <v>0</v>
      </c>
      <c r="O14" s="1131">
        <f t="shared" si="0"/>
        <v>0</v>
      </c>
      <c r="P14" s="80">
        <f>ABS(T369)</f>
        <v>0</v>
      </c>
      <c r="Q14" s="1132">
        <f t="shared" si="1"/>
        <v>0</v>
      </c>
      <c r="R14" s="1275" t="str">
        <f t="shared" si="2"/>
        <v/>
      </c>
      <c r="S14" s="440"/>
      <c r="T14" s="440"/>
      <c r="U14" s="441"/>
      <c r="V14" s="391"/>
      <c r="W14" s="391"/>
      <c r="X14" s="391"/>
      <c r="Y14" s="391"/>
      <c r="Z14" s="391"/>
      <c r="AA14" s="391"/>
      <c r="AB14" s="391"/>
      <c r="AC14" s="391"/>
      <c r="AD14" s="391"/>
      <c r="AE14" s="391"/>
      <c r="AF14" s="391"/>
      <c r="AG14" s="391"/>
      <c r="AH14" s="391"/>
      <c r="AI14" s="391"/>
      <c r="AJ14" s="391"/>
      <c r="AK14" s="391"/>
      <c r="AL14" s="391"/>
      <c r="AM14" s="391"/>
      <c r="AN14" s="391"/>
      <c r="AO14" s="391"/>
      <c r="AP14" s="391"/>
      <c r="AQ14" s="391"/>
      <c r="AR14" s="391"/>
      <c r="AS14" s="391"/>
      <c r="AT14" s="391"/>
      <c r="AU14" s="391"/>
      <c r="AV14" s="391"/>
      <c r="AW14" s="391"/>
      <c r="AX14" s="391"/>
      <c r="AY14" s="391"/>
      <c r="AZ14" s="391"/>
      <c r="BA14" s="391"/>
      <c r="BB14" s="391"/>
      <c r="BC14" s="391"/>
      <c r="BD14" s="391"/>
      <c r="BE14" s="391"/>
      <c r="BF14" s="391"/>
      <c r="BG14" s="391"/>
      <c r="BH14" s="391"/>
      <c r="BI14" s="391"/>
      <c r="BJ14" s="391"/>
      <c r="BK14" s="391"/>
      <c r="BL14" s="391"/>
      <c r="BM14" s="391"/>
      <c r="BN14" s="391"/>
      <c r="BO14" s="391"/>
      <c r="BP14" s="391"/>
      <c r="BQ14" s="391"/>
      <c r="BR14" s="391"/>
      <c r="BS14" s="391"/>
      <c r="BT14" s="391"/>
      <c r="BU14" s="391"/>
      <c r="BV14" s="391"/>
      <c r="BW14" s="391"/>
      <c r="BX14" s="391"/>
      <c r="BY14" s="391"/>
      <c r="BZ14" s="391"/>
      <c r="CA14" s="391"/>
      <c r="CB14" s="391"/>
      <c r="CC14" s="391"/>
      <c r="CD14" s="391"/>
      <c r="CE14" s="391"/>
      <c r="CF14" s="391"/>
      <c r="CG14" s="391"/>
      <c r="CH14" s="391"/>
      <c r="CI14" s="391"/>
      <c r="CJ14" s="391"/>
      <c r="CK14" s="391"/>
      <c r="CL14" s="391"/>
      <c r="CM14" s="391"/>
      <c r="CN14" s="443"/>
    </row>
    <row r="15" ht="251.25" customHeight="true" x14ac:dyDescent="0.25">
      <c r="B15" s="390"/>
      <c r="C15" s="391"/>
      <c r="D15" s="1276">
        <f t="shared" si="3"/>
        <v>10</v>
      </c>
      <c r="E15" s="1948" t="s">
        <v>114</v>
      </c>
      <c r="F15" s="1948"/>
      <c r="G15" s="1948"/>
      <c r="H15" s="402" t="s">
        <v>1670</v>
      </c>
      <c r="I15" s="1181" t="s">
        <v>2</v>
      </c>
      <c r="J15" s="239"/>
      <c r="K15" s="1277">
        <f>IFERROR(Q428,"missing data")</f>
        <v>0.15</v>
      </c>
      <c r="L15" s="1177" t="s">
        <v>276</v>
      </c>
      <c r="M15" s="399">
        <v>1</v>
      </c>
      <c r="N15" s="80">
        <v>0</v>
      </c>
      <c r="O15" s="1131">
        <f t="shared" si="0"/>
        <v>0</v>
      </c>
      <c r="P15" s="80">
        <v>1</v>
      </c>
      <c r="Q15" s="1132">
        <f t="shared" si="1"/>
        <v>1</v>
      </c>
      <c r="R15" s="1275">
        <f t="shared" si="2"/>
        <v>85</v>
      </c>
      <c r="S15" s="440"/>
      <c r="T15" s="440"/>
      <c r="U15" s="441"/>
      <c r="V15" s="391"/>
      <c r="W15" s="391"/>
      <c r="X15" s="391"/>
      <c r="Y15" s="391"/>
      <c r="Z15" s="391"/>
      <c r="AA15" s="391"/>
      <c r="AB15" s="391"/>
      <c r="AC15" s="391"/>
      <c r="AD15" s="391"/>
      <c r="AE15" s="391"/>
      <c r="AF15" s="391"/>
      <c r="AG15" s="391"/>
      <c r="AH15" s="391"/>
      <c r="AI15" s="391"/>
      <c r="AJ15" s="391"/>
      <c r="AK15" s="391"/>
      <c r="AL15" s="391"/>
      <c r="AM15" s="391"/>
      <c r="AN15" s="391"/>
      <c r="AO15" s="391"/>
      <c r="AP15" s="391"/>
      <c r="AQ15" s="391"/>
      <c r="AR15" s="391"/>
      <c r="AS15" s="391"/>
      <c r="AT15" s="391"/>
      <c r="AU15" s="391"/>
      <c r="AV15" s="391"/>
      <c r="AW15" s="391"/>
      <c r="AX15" s="391"/>
      <c r="AY15" s="391"/>
      <c r="AZ15" s="391"/>
      <c r="BA15" s="391"/>
      <c r="BB15" s="391"/>
      <c r="BC15" s="391"/>
      <c r="BD15" s="391"/>
      <c r="BE15" s="391"/>
      <c r="BF15" s="391"/>
      <c r="BG15" s="391"/>
      <c r="BH15" s="391"/>
      <c r="BI15" s="391"/>
      <c r="BJ15" s="391"/>
      <c r="BK15" s="391"/>
      <c r="BL15" s="391"/>
      <c r="BM15" s="391"/>
      <c r="BN15" s="391"/>
      <c r="BO15" s="391"/>
      <c r="BP15" s="391"/>
      <c r="BQ15" s="391"/>
      <c r="BR15" s="391"/>
      <c r="BS15" s="391"/>
      <c r="BT15" s="391"/>
      <c r="BU15" s="391"/>
      <c r="BV15" s="391"/>
      <c r="BW15" s="391"/>
      <c r="BX15" s="391"/>
      <c r="BY15" s="391"/>
      <c r="BZ15" s="391"/>
      <c r="CA15" s="391"/>
      <c r="CB15" s="391"/>
      <c r="CC15" s="391"/>
      <c r="CD15" s="391"/>
      <c r="CE15" s="391"/>
      <c r="CF15" s="391"/>
      <c r="CG15" s="391"/>
      <c r="CH15" s="391"/>
      <c r="CI15" s="391"/>
      <c r="CJ15" s="391"/>
      <c r="CK15" s="391"/>
      <c r="CL15" s="391"/>
      <c r="CM15" s="391"/>
      <c r="CN15" s="443"/>
    </row>
    <row r="16" ht="318" customHeight="true" x14ac:dyDescent="0.25">
      <c r="B16" s="390"/>
      <c r="C16" s="391"/>
      <c r="D16" s="1276">
        <f t="shared" si="3"/>
        <v>11</v>
      </c>
      <c r="E16" s="1948" t="s">
        <v>113</v>
      </c>
      <c r="F16" s="1948"/>
      <c r="G16" s="1948"/>
      <c r="H16" s="402" t="s">
        <v>1671</v>
      </c>
      <c r="I16" s="1181" t="s">
        <v>2</v>
      </c>
      <c r="J16" s="239"/>
      <c r="K16" s="1277">
        <f>IFERROR(S486/G78,"missing data")</f>
        <v>0</v>
      </c>
      <c r="L16" s="1181" t="s">
        <v>284</v>
      </c>
      <c r="M16" s="399" t="s">
        <v>269</v>
      </c>
      <c r="N16" s="80">
        <v>0</v>
      </c>
      <c r="O16" s="1131">
        <f t="shared" si="0"/>
        <v>0</v>
      </c>
      <c r="P16" s="80">
        <f>T486/G78</f>
        <v>0</v>
      </c>
      <c r="Q16" s="1132">
        <f t="shared" si="1"/>
        <v>0</v>
      </c>
      <c r="R16" s="1275" t="str">
        <f t="shared" si="2"/>
        <v/>
      </c>
      <c r="S16" s="440"/>
      <c r="T16" s="440"/>
      <c r="U16" s="441"/>
      <c r="V16" s="391"/>
      <c r="W16" s="391"/>
      <c r="X16" s="391"/>
      <c r="Y16" s="391"/>
      <c r="Z16" s="391"/>
      <c r="AA16" s="391"/>
      <c r="AB16" s="391"/>
      <c r="AC16" s="391"/>
      <c r="AD16" s="391"/>
      <c r="AE16" s="391"/>
      <c r="AF16" s="391"/>
      <c r="AG16" s="391"/>
      <c r="AH16" s="391"/>
      <c r="AI16" s="391"/>
      <c r="AJ16" s="391"/>
      <c r="AK16" s="391"/>
      <c r="AL16" s="391"/>
      <c r="AM16" s="391"/>
      <c r="AN16" s="391"/>
      <c r="AO16" s="391"/>
      <c r="AP16" s="391"/>
      <c r="AQ16" s="391"/>
      <c r="AR16" s="391"/>
      <c r="AS16" s="391"/>
      <c r="AT16" s="391"/>
      <c r="AU16" s="391"/>
      <c r="AV16" s="391"/>
      <c r="AW16" s="391"/>
      <c r="AX16" s="391"/>
      <c r="AY16" s="391"/>
      <c r="AZ16" s="391"/>
      <c r="BA16" s="391"/>
      <c r="BB16" s="391"/>
      <c r="BC16" s="391"/>
      <c r="BD16" s="391"/>
      <c r="BE16" s="391"/>
      <c r="BF16" s="391"/>
      <c r="BG16" s="391"/>
      <c r="BH16" s="391"/>
      <c r="BI16" s="391"/>
      <c r="BJ16" s="391"/>
      <c r="BK16" s="391"/>
      <c r="BL16" s="391"/>
      <c r="BM16" s="391"/>
      <c r="BN16" s="391"/>
      <c r="BO16" s="391"/>
      <c r="BP16" s="391"/>
      <c r="BQ16" s="391"/>
      <c r="BR16" s="391"/>
      <c r="BS16" s="391"/>
      <c r="BT16" s="391"/>
      <c r="BU16" s="391"/>
      <c r="BV16" s="391"/>
      <c r="BW16" s="391"/>
      <c r="BX16" s="391"/>
      <c r="BY16" s="391"/>
      <c r="BZ16" s="391"/>
      <c r="CA16" s="391"/>
      <c r="CB16" s="391"/>
      <c r="CC16" s="391"/>
      <c r="CD16" s="391"/>
      <c r="CE16" s="391"/>
      <c r="CF16" s="391"/>
      <c r="CG16" s="391"/>
      <c r="CH16" s="391"/>
      <c r="CI16" s="391"/>
      <c r="CJ16" s="391"/>
      <c r="CK16" s="391"/>
      <c r="CL16" s="391"/>
      <c r="CM16" s="391"/>
      <c r="CN16" s="443"/>
    </row>
    <row r="17" ht="409.5" customHeight="true" x14ac:dyDescent="0.25">
      <c r="B17" s="390"/>
      <c r="C17" s="391"/>
      <c r="D17" s="1276">
        <f t="shared" si="3"/>
        <v>12</v>
      </c>
      <c r="E17" s="1948" t="s">
        <v>115</v>
      </c>
      <c r="F17" s="1948"/>
      <c r="G17" s="1948"/>
      <c r="H17" s="402" t="s">
        <v>1672</v>
      </c>
      <c r="I17" s="1181" t="s">
        <v>3</v>
      </c>
      <c r="J17" s="239"/>
      <c r="K17" s="1277">
        <f>IFERROR(V544/G78,"missing data")</f>
        <v>25250.920142013423</v>
      </c>
      <c r="L17" s="1177" t="s">
        <v>287</v>
      </c>
      <c r="M17" s="399" t="s">
        <v>257</v>
      </c>
      <c r="N17" s="80">
        <v>0</v>
      </c>
      <c r="O17" s="1131">
        <f t="shared" si="0"/>
        <v>0</v>
      </c>
      <c r="P17" s="83">
        <v>100000</v>
      </c>
      <c r="Q17" s="1132">
        <f t="shared" si="1"/>
        <v>100000</v>
      </c>
      <c r="R17" s="1275">
        <f t="shared" si="2"/>
        <v>74.75</v>
      </c>
      <c r="S17" s="440"/>
      <c r="T17" s="440"/>
      <c r="U17" s="441"/>
      <c r="V17" s="391"/>
      <c r="W17" s="391"/>
      <c r="X17" s="391"/>
      <c r="Y17" s="391"/>
      <c r="Z17" s="391"/>
      <c r="AA17" s="391"/>
      <c r="AB17" s="391"/>
      <c r="AC17" s="391"/>
      <c r="AD17" s="391"/>
      <c r="AE17" s="391"/>
      <c r="AF17" s="391"/>
      <c r="AG17" s="391"/>
      <c r="AH17" s="391"/>
      <c r="AI17" s="391"/>
      <c r="AJ17" s="391"/>
      <c r="AK17" s="391"/>
      <c r="AL17" s="391"/>
      <c r="AM17" s="391"/>
      <c r="AN17" s="391"/>
      <c r="AO17" s="391"/>
      <c r="AP17" s="391"/>
      <c r="AQ17" s="391"/>
      <c r="AR17" s="391"/>
      <c r="AS17" s="391"/>
      <c r="AT17" s="391"/>
      <c r="AU17" s="391"/>
      <c r="AV17" s="391"/>
      <c r="AW17" s="391"/>
      <c r="AX17" s="391"/>
      <c r="AY17" s="391"/>
      <c r="AZ17" s="391"/>
      <c r="BA17" s="391"/>
      <c r="BB17" s="391"/>
      <c r="BC17" s="391"/>
      <c r="BD17" s="391"/>
      <c r="BE17" s="391"/>
      <c r="BF17" s="391"/>
      <c r="BG17" s="391"/>
      <c r="BH17" s="391"/>
      <c r="BI17" s="391"/>
      <c r="BJ17" s="391"/>
      <c r="BK17" s="391"/>
      <c r="BL17" s="391"/>
      <c r="BM17" s="391"/>
      <c r="BN17" s="391"/>
      <c r="BO17" s="391"/>
      <c r="BP17" s="391"/>
      <c r="BQ17" s="391"/>
      <c r="BR17" s="391"/>
      <c r="BS17" s="391"/>
      <c r="BT17" s="391"/>
      <c r="BU17" s="391"/>
      <c r="BV17" s="391"/>
      <c r="BW17" s="391"/>
      <c r="BX17" s="391"/>
      <c r="BY17" s="391"/>
      <c r="BZ17" s="391"/>
      <c r="CA17" s="391"/>
      <c r="CB17" s="391"/>
      <c r="CC17" s="391"/>
      <c r="CD17" s="391"/>
      <c r="CE17" s="391"/>
      <c r="CF17" s="391"/>
      <c r="CG17" s="391"/>
      <c r="CH17" s="391"/>
      <c r="CI17" s="391"/>
      <c r="CJ17" s="391"/>
      <c r="CK17" s="391"/>
      <c r="CL17" s="391"/>
      <c r="CM17" s="391"/>
      <c r="CN17" s="443"/>
    </row>
    <row r="18" ht="69.75" customHeight="true" x14ac:dyDescent="0.25">
      <c r="B18" s="390"/>
      <c r="C18" s="391"/>
      <c r="D18" s="1276">
        <f t="shared" si="3"/>
        <v>13</v>
      </c>
      <c r="E18" s="1948" t="s">
        <v>116</v>
      </c>
      <c r="F18" s="1948"/>
      <c r="G18" s="1948"/>
      <c r="H18" s="402" t="s">
        <v>1673</v>
      </c>
      <c r="I18" s="1181" t="s">
        <v>2185</v>
      </c>
      <c r="J18" s="400"/>
      <c r="K18" s="1277">
        <f>IFERROR(G82,"missing data")</f>
        <v>0.5</v>
      </c>
      <c r="L18" s="398"/>
      <c r="M18" s="399"/>
      <c r="N18" s="80">
        <v>0</v>
      </c>
      <c r="O18" s="1131">
        <f t="shared" si="0"/>
        <v>0</v>
      </c>
      <c r="P18" s="80">
        <v>1</v>
      </c>
      <c r="Q18" s="1132">
        <f t="shared" si="1"/>
        <v>1</v>
      </c>
      <c r="R18" s="1275">
        <f t="shared" si="2"/>
        <v>50</v>
      </c>
      <c r="S18" s="440"/>
      <c r="T18" s="440"/>
      <c r="U18" s="441"/>
      <c r="V18" s="391"/>
      <c r="W18" s="391"/>
      <c r="X18" s="391"/>
      <c r="Y18" s="391"/>
      <c r="Z18" s="391"/>
      <c r="AA18" s="391"/>
      <c r="AB18" s="391"/>
      <c r="AC18" s="391"/>
      <c r="AD18" s="391"/>
      <c r="AE18" s="391"/>
      <c r="AF18" s="391"/>
      <c r="AG18" s="391"/>
      <c r="AH18" s="391"/>
      <c r="AI18" s="391"/>
      <c r="AJ18" s="391"/>
      <c r="AK18" s="391"/>
      <c r="AL18" s="391"/>
      <c r="AM18" s="391"/>
      <c r="AN18" s="391"/>
      <c r="AO18" s="391"/>
      <c r="AP18" s="391"/>
      <c r="AQ18" s="391"/>
      <c r="AR18" s="391"/>
      <c r="AS18" s="391"/>
      <c r="AT18" s="391"/>
      <c r="AU18" s="391"/>
      <c r="AV18" s="391"/>
      <c r="AW18" s="391"/>
      <c r="AX18" s="391"/>
      <c r="AY18" s="391"/>
      <c r="AZ18" s="391"/>
      <c r="BA18" s="391"/>
      <c r="BB18" s="391"/>
      <c r="BC18" s="391"/>
      <c r="BD18" s="391"/>
      <c r="BE18" s="391"/>
      <c r="BF18" s="391"/>
      <c r="BG18" s="391"/>
      <c r="BH18" s="391"/>
      <c r="BI18" s="391"/>
      <c r="BJ18" s="391"/>
      <c r="BK18" s="391"/>
      <c r="BL18" s="391"/>
      <c r="BM18" s="391"/>
      <c r="BN18" s="391"/>
      <c r="BO18" s="391"/>
      <c r="BP18" s="391"/>
      <c r="BQ18" s="391"/>
      <c r="BR18" s="391"/>
      <c r="BS18" s="391"/>
      <c r="BT18" s="391"/>
      <c r="BU18" s="391"/>
      <c r="BV18" s="391"/>
      <c r="BW18" s="391"/>
      <c r="BX18" s="391"/>
      <c r="BY18" s="391"/>
      <c r="BZ18" s="391"/>
      <c r="CA18" s="391"/>
      <c r="CB18" s="391"/>
      <c r="CC18" s="391"/>
      <c r="CD18" s="391"/>
      <c r="CE18" s="391"/>
      <c r="CF18" s="391"/>
      <c r="CG18" s="391"/>
      <c r="CH18" s="391"/>
      <c r="CI18" s="391"/>
      <c r="CJ18" s="391"/>
      <c r="CK18" s="391"/>
      <c r="CL18" s="391"/>
      <c r="CM18" s="391"/>
      <c r="CN18" s="443"/>
    </row>
    <row r="19" ht="105.75" customHeight="true" x14ac:dyDescent="0.25">
      <c r="B19" s="390"/>
      <c r="C19" s="391"/>
      <c r="D19" s="1276">
        <f t="shared" si="3"/>
        <v>14</v>
      </c>
      <c r="E19" s="1948" t="s">
        <v>117</v>
      </c>
      <c r="F19" s="1948"/>
      <c r="G19" s="1948"/>
      <c r="H19" s="402" t="s">
        <v>1674</v>
      </c>
      <c r="I19" s="1964" t="s">
        <v>2186</v>
      </c>
      <c r="J19" s="400"/>
      <c r="K19" s="1277">
        <f>IFERROR(K602/G78,"missing data")</f>
        <v>0</v>
      </c>
      <c r="L19" s="398" t="s">
        <v>32</v>
      </c>
      <c r="M19" s="401" t="s">
        <v>35</v>
      </c>
      <c r="N19" s="80">
        <v>0</v>
      </c>
      <c r="O19" s="1131">
        <f t="shared" si="0"/>
        <v>0</v>
      </c>
      <c r="P19" s="80">
        <f>L602/G78</f>
        <v>0.66062510303155364</v>
      </c>
      <c r="Q19" s="1132">
        <f t="shared" si="1"/>
        <v>0.66062510303155364</v>
      </c>
      <c r="R19" s="1275">
        <f t="shared" si="2"/>
        <v>100</v>
      </c>
      <c r="S19" s="440"/>
      <c r="T19" s="440"/>
      <c r="U19" s="441"/>
      <c r="V19" s="441"/>
      <c r="W19" s="441"/>
      <c r="X19" s="441"/>
      <c r="Y19" s="391"/>
      <c r="Z19" s="391"/>
      <c r="AA19" s="391"/>
      <c r="AB19" s="391"/>
      <c r="AC19" s="391"/>
      <c r="AD19" s="391"/>
      <c r="AE19" s="391"/>
      <c r="AF19" s="391"/>
      <c r="AG19" s="391"/>
      <c r="AH19" s="391"/>
      <c r="AI19" s="391"/>
      <c r="AJ19" s="391"/>
      <c r="AK19" s="391"/>
      <c r="AL19" s="391"/>
      <c r="AM19" s="391"/>
      <c r="AN19" s="391"/>
      <c r="AO19" s="391"/>
      <c r="AP19" s="391"/>
      <c r="AQ19" s="391"/>
      <c r="AR19" s="391"/>
      <c r="AS19" s="391"/>
      <c r="AT19" s="391"/>
      <c r="AU19" s="391"/>
      <c r="AV19" s="391"/>
      <c r="AW19" s="391"/>
      <c r="AX19" s="391"/>
      <c r="AY19" s="391"/>
      <c r="AZ19" s="391"/>
      <c r="BA19" s="391"/>
      <c r="BB19" s="391"/>
      <c r="BC19" s="391"/>
      <c r="BD19" s="391"/>
      <c r="BE19" s="391"/>
      <c r="BF19" s="391"/>
      <c r="BG19" s="391"/>
      <c r="BH19" s="391"/>
      <c r="BI19" s="391"/>
      <c r="BJ19" s="391"/>
      <c r="BK19" s="391"/>
      <c r="BL19" s="391"/>
      <c r="BM19" s="391"/>
      <c r="BN19" s="391"/>
      <c r="BO19" s="391"/>
      <c r="BP19" s="391"/>
      <c r="BQ19" s="391"/>
      <c r="BR19" s="391"/>
      <c r="BS19" s="391"/>
      <c r="BT19" s="391"/>
      <c r="BU19" s="391"/>
      <c r="BV19" s="391"/>
      <c r="BW19" s="391"/>
      <c r="BX19" s="391"/>
      <c r="BY19" s="391"/>
      <c r="BZ19" s="391"/>
      <c r="CA19" s="391"/>
      <c r="CB19" s="391"/>
      <c r="CC19" s="391"/>
      <c r="CD19" s="391"/>
      <c r="CE19" s="391"/>
      <c r="CF19" s="391"/>
      <c r="CG19" s="391"/>
      <c r="CH19" s="391"/>
      <c r="CI19" s="391"/>
      <c r="CJ19" s="391"/>
      <c r="CK19" s="391"/>
      <c r="CL19" s="391"/>
      <c r="CM19" s="391"/>
      <c r="CN19" s="443"/>
    </row>
    <row r="20" ht="105.75" customHeight="true" x14ac:dyDescent="0.3">
      <c r="B20" s="390"/>
      <c r="C20" s="391"/>
      <c r="D20" s="1276">
        <f t="shared" ref="D20:D27" si="4">D19+1</f>
        <v>15</v>
      </c>
      <c r="E20" s="1948" t="s">
        <v>118</v>
      </c>
      <c r="F20" s="1948"/>
      <c r="G20" s="1948"/>
      <c r="H20" s="402" t="s">
        <v>1675</v>
      </c>
      <c r="I20" s="1964"/>
      <c r="J20" s="404"/>
      <c r="K20" s="1277">
        <f>IFERROR(ROUND(K602/(G80),4),"missing data")</f>
        <v>0</v>
      </c>
      <c r="L20" s="1177" t="s">
        <v>293</v>
      </c>
      <c r="M20" s="401" t="s">
        <v>43</v>
      </c>
      <c r="N20" s="80">
        <v>0</v>
      </c>
      <c r="O20" s="1131">
        <f t="shared" si="0"/>
        <v>0</v>
      </c>
      <c r="P20" s="80">
        <f>ROUND(L602/(G80),4)</f>
        <v>0.66059999999999997</v>
      </c>
      <c r="Q20" s="1132">
        <f t="shared" si="1"/>
        <v>0.66059999999999997</v>
      </c>
      <c r="R20" s="1275">
        <f t="shared" si="2"/>
        <v>100</v>
      </c>
      <c r="S20" s="440"/>
      <c r="T20" s="440"/>
      <c r="U20" s="441"/>
      <c r="V20" s="441"/>
      <c r="W20" s="441"/>
      <c r="X20" s="441"/>
      <c r="Y20" s="391"/>
      <c r="Z20" s="391"/>
      <c r="AA20" s="391"/>
      <c r="AB20" s="391"/>
      <c r="AC20" s="391"/>
      <c r="AD20" s="391"/>
      <c r="AE20" s="391"/>
      <c r="AF20" s="391"/>
      <c r="AG20" s="391"/>
      <c r="AH20" s="391"/>
      <c r="AI20" s="391"/>
      <c r="AJ20" s="391"/>
      <c r="AK20" s="391"/>
      <c r="AL20" s="391"/>
      <c r="AM20" s="391"/>
      <c r="AN20" s="391"/>
      <c r="AO20" s="391"/>
      <c r="AP20" s="391"/>
      <c r="AQ20" s="391"/>
      <c r="AR20" s="391"/>
      <c r="AS20" s="391"/>
      <c r="AT20" s="391"/>
      <c r="AU20" s="391"/>
      <c r="AV20" s="391"/>
      <c r="AW20" s="391"/>
      <c r="AX20" s="391"/>
      <c r="AY20" s="391"/>
      <c r="AZ20" s="391"/>
      <c r="BA20" s="391"/>
      <c r="BB20" s="391"/>
      <c r="BC20" s="391"/>
      <c r="BD20" s="391"/>
      <c r="BE20" s="391"/>
      <c r="BF20" s="391"/>
      <c r="BG20" s="391"/>
      <c r="BH20" s="391"/>
      <c r="BI20" s="391"/>
      <c r="BJ20" s="391"/>
      <c r="BK20" s="391"/>
      <c r="BL20" s="391"/>
      <c r="BM20" s="391"/>
      <c r="BN20" s="391"/>
      <c r="BO20" s="391"/>
      <c r="BP20" s="391"/>
      <c r="BQ20" s="391"/>
      <c r="BR20" s="391"/>
      <c r="BS20" s="391"/>
      <c r="BT20" s="391"/>
      <c r="BU20" s="391"/>
      <c r="BV20" s="391"/>
      <c r="BW20" s="391"/>
      <c r="BX20" s="391"/>
      <c r="BY20" s="391"/>
      <c r="BZ20" s="391"/>
      <c r="CA20" s="391"/>
      <c r="CB20" s="391"/>
      <c r="CC20" s="391"/>
      <c r="CD20" s="391"/>
      <c r="CE20" s="391"/>
      <c r="CF20" s="391"/>
      <c r="CG20" s="391"/>
      <c r="CH20" s="391"/>
      <c r="CI20" s="391"/>
      <c r="CJ20" s="391"/>
      <c r="CK20" s="391"/>
      <c r="CL20" s="391"/>
      <c r="CM20" s="391"/>
      <c r="CN20" s="443"/>
    </row>
    <row r="21" ht="135" customHeight="true" x14ac:dyDescent="0.25">
      <c r="B21" s="390"/>
      <c r="C21" s="391"/>
      <c r="D21" s="1276">
        <f t="shared" si="4"/>
        <v>16</v>
      </c>
      <c r="E21" s="1948" t="s">
        <v>1650</v>
      </c>
      <c r="F21" s="1948"/>
      <c r="G21" s="1948"/>
      <c r="H21" s="402" t="s">
        <v>1676</v>
      </c>
      <c r="I21" s="405" t="s">
        <v>182</v>
      </c>
      <c r="J21" s="400"/>
      <c r="K21" s="1277">
        <f>IFERROR(M1589/G78,"missing data")</f>
        <v>330.31255151577682</v>
      </c>
      <c r="L21" s="1177" t="s">
        <v>1624</v>
      </c>
      <c r="M21" s="401" t="s">
        <v>278</v>
      </c>
      <c r="N21" s="80">
        <v>0</v>
      </c>
      <c r="O21" s="1131">
        <f t="shared" si="0"/>
        <v>0</v>
      </c>
      <c r="P21" s="80">
        <f>39*500</f>
        <v>19500</v>
      </c>
      <c r="Q21" s="1132">
        <f t="shared" si="1"/>
        <v>19500</v>
      </c>
      <c r="R21" s="1275">
        <f t="shared" si="2"/>
        <v>98.31</v>
      </c>
      <c r="S21" s="440"/>
      <c r="T21" s="440"/>
      <c r="U21" s="441"/>
      <c r="V21" s="441"/>
      <c r="W21" s="441"/>
      <c r="X21" s="441"/>
      <c r="Y21" s="391"/>
      <c r="Z21" s="391"/>
      <c r="AA21" s="391"/>
      <c r="AB21" s="391"/>
      <c r="AC21" s="391"/>
      <c r="AD21" s="391"/>
      <c r="AE21" s="391"/>
      <c r="AF21" s="391"/>
      <c r="AG21" s="391"/>
      <c r="AH21" s="391"/>
      <c r="AI21" s="391"/>
      <c r="AJ21" s="391"/>
      <c r="AK21" s="391"/>
      <c r="AL21" s="391"/>
      <c r="AM21" s="391"/>
      <c r="AN21" s="391"/>
      <c r="AO21" s="391"/>
      <c r="AP21" s="391"/>
      <c r="AQ21" s="391"/>
      <c r="AR21" s="391"/>
      <c r="AS21" s="391"/>
      <c r="AT21" s="391"/>
      <c r="AU21" s="391"/>
      <c r="AV21" s="391"/>
      <c r="AW21" s="391"/>
      <c r="AX21" s="391"/>
      <c r="AY21" s="391"/>
      <c r="AZ21" s="391"/>
      <c r="BA21" s="391"/>
      <c r="BB21" s="391"/>
      <c r="BC21" s="391"/>
      <c r="BD21" s="391"/>
      <c r="BE21" s="391"/>
      <c r="BF21" s="391"/>
      <c r="BG21" s="391"/>
      <c r="BH21" s="391"/>
      <c r="BI21" s="391"/>
      <c r="BJ21" s="391"/>
      <c r="BK21" s="391"/>
      <c r="BL21" s="391"/>
      <c r="BM21" s="391"/>
      <c r="BN21" s="391"/>
      <c r="BO21" s="391"/>
      <c r="BP21" s="391"/>
      <c r="BQ21" s="391"/>
      <c r="BR21" s="391"/>
      <c r="BS21" s="391"/>
      <c r="BT21" s="391"/>
      <c r="BU21" s="391"/>
      <c r="BV21" s="391"/>
      <c r="BW21" s="391"/>
      <c r="BX21" s="391"/>
      <c r="BY21" s="391"/>
      <c r="BZ21" s="391"/>
      <c r="CA21" s="391"/>
      <c r="CB21" s="391"/>
      <c r="CC21" s="391"/>
      <c r="CD21" s="391"/>
      <c r="CE21" s="391"/>
      <c r="CF21" s="391"/>
      <c r="CG21" s="391"/>
      <c r="CH21" s="391"/>
      <c r="CI21" s="391"/>
      <c r="CJ21" s="391"/>
      <c r="CK21" s="391"/>
      <c r="CL21" s="391"/>
      <c r="CM21" s="391"/>
      <c r="CN21" s="443"/>
    </row>
    <row r="22" ht="99.75" customHeight="true" x14ac:dyDescent="0.3">
      <c r="B22" s="390"/>
      <c r="C22" s="391"/>
      <c r="D22" s="1276">
        <f t="shared" si="4"/>
        <v>17</v>
      </c>
      <c r="E22" s="1948" t="s">
        <v>119</v>
      </c>
      <c r="F22" s="1948"/>
      <c r="G22" s="1948"/>
      <c r="H22" s="402" t="s">
        <v>1677</v>
      </c>
      <c r="I22" s="1181" t="s">
        <v>1597</v>
      </c>
      <c r="J22" s="404"/>
      <c r="K22" s="1277">
        <f>IFERROR(ROUND(K660/G80,4),"missing data")</f>
        <v>0</v>
      </c>
      <c r="L22" s="1177" t="s">
        <v>411</v>
      </c>
      <c r="M22" s="401" t="s">
        <v>43</v>
      </c>
      <c r="N22" s="80">
        <v>0</v>
      </c>
      <c r="O22" s="1131">
        <f t="shared" si="0"/>
        <v>0</v>
      </c>
      <c r="P22" s="80">
        <f>ROUND(L660/(G80),4)</f>
        <v>0.66059999999999997</v>
      </c>
      <c r="Q22" s="1132">
        <f t="shared" si="1"/>
        <v>0.66059999999999997</v>
      </c>
      <c r="R22" s="1275">
        <f t="shared" si="2"/>
        <v>100</v>
      </c>
      <c r="S22" s="440"/>
      <c r="T22" s="440"/>
      <c r="U22" s="441"/>
      <c r="V22" s="441"/>
      <c r="W22" s="441"/>
      <c r="X22" s="441"/>
      <c r="Y22" s="391"/>
      <c r="Z22" s="391"/>
      <c r="AA22" s="391"/>
      <c r="AB22" s="391"/>
      <c r="AC22" s="391"/>
      <c r="AD22" s="391"/>
      <c r="AE22" s="391"/>
      <c r="AF22" s="391"/>
      <c r="AG22" s="391"/>
      <c r="AH22" s="391"/>
      <c r="AI22" s="391"/>
      <c r="AJ22" s="391"/>
      <c r="AK22" s="391"/>
      <c r="AL22" s="391"/>
      <c r="AM22" s="391"/>
      <c r="AN22" s="391"/>
      <c r="AO22" s="391"/>
      <c r="AP22" s="391"/>
      <c r="AQ22" s="391"/>
      <c r="AR22" s="391"/>
      <c r="AS22" s="391"/>
      <c r="AT22" s="391"/>
      <c r="AU22" s="391"/>
      <c r="AV22" s="391"/>
      <c r="AW22" s="391"/>
      <c r="AX22" s="391"/>
      <c r="AY22" s="391"/>
      <c r="AZ22" s="391"/>
      <c r="BA22" s="391"/>
      <c r="BB22" s="391"/>
      <c r="BC22" s="391"/>
      <c r="BD22" s="391"/>
      <c r="BE22" s="391"/>
      <c r="BF22" s="391"/>
      <c r="BG22" s="391"/>
      <c r="BH22" s="391"/>
      <c r="BI22" s="391"/>
      <c r="BJ22" s="391"/>
      <c r="BK22" s="391"/>
      <c r="BL22" s="391"/>
      <c r="BM22" s="391"/>
      <c r="BN22" s="391"/>
      <c r="BO22" s="391"/>
      <c r="BP22" s="391"/>
      <c r="BQ22" s="391"/>
      <c r="BR22" s="391"/>
      <c r="BS22" s="391"/>
      <c r="BT22" s="391"/>
      <c r="BU22" s="391"/>
      <c r="BV22" s="391"/>
      <c r="BW22" s="391"/>
      <c r="BX22" s="391"/>
      <c r="BY22" s="391"/>
      <c r="BZ22" s="391"/>
      <c r="CA22" s="391"/>
      <c r="CB22" s="391"/>
      <c r="CC22" s="391"/>
      <c r="CD22" s="391"/>
      <c r="CE22" s="391"/>
      <c r="CF22" s="391"/>
      <c r="CG22" s="391"/>
      <c r="CH22" s="391"/>
      <c r="CI22" s="391"/>
      <c r="CJ22" s="391"/>
      <c r="CK22" s="391"/>
      <c r="CL22" s="391"/>
      <c r="CM22" s="391"/>
      <c r="CN22" s="443"/>
    </row>
    <row r="23" ht="276.75" customHeight="true" x14ac:dyDescent="0.25">
      <c r="B23" s="390"/>
      <c r="C23" s="391"/>
      <c r="D23" s="1276">
        <f t="shared" si="4"/>
        <v>18</v>
      </c>
      <c r="E23" s="1948" t="s">
        <v>121</v>
      </c>
      <c r="F23" s="1948"/>
      <c r="G23" s="1948"/>
      <c r="H23" s="402" t="s">
        <v>1678</v>
      </c>
      <c r="I23" s="1181" t="s">
        <v>1596</v>
      </c>
      <c r="J23" s="239"/>
      <c r="K23" s="1277">
        <f>IFERROR(P718/G78,"missing data")</f>
        <v>0.66062510303155364</v>
      </c>
      <c r="L23" s="1177" t="s">
        <v>391</v>
      </c>
      <c r="M23" s="401" t="s">
        <v>35</v>
      </c>
      <c r="N23" s="80">
        <v>0</v>
      </c>
      <c r="O23" s="1131">
        <f t="shared" si="0"/>
        <v>0</v>
      </c>
      <c r="P23" s="80">
        <v>1</v>
      </c>
      <c r="Q23" s="1132">
        <f t="shared" si="1"/>
        <v>1</v>
      </c>
      <c r="R23" s="1275">
        <f t="shared" si="2"/>
        <v>33.94</v>
      </c>
      <c r="S23" s="440"/>
      <c r="T23" s="440"/>
      <c r="U23" s="441"/>
      <c r="V23" s="441"/>
      <c r="W23" s="441"/>
      <c r="X23" s="441"/>
      <c r="Y23" s="391"/>
      <c r="Z23" s="391"/>
      <c r="AA23" s="391"/>
      <c r="AB23" s="391"/>
      <c r="AC23" s="391"/>
      <c r="AD23" s="391"/>
      <c r="AE23" s="391"/>
      <c r="AF23" s="391"/>
      <c r="AG23" s="391"/>
      <c r="AH23" s="391"/>
      <c r="AI23" s="391"/>
      <c r="AJ23" s="391"/>
      <c r="AK23" s="391"/>
      <c r="AL23" s="391"/>
      <c r="AM23" s="391"/>
      <c r="AN23" s="391"/>
      <c r="AO23" s="391"/>
      <c r="AP23" s="391"/>
      <c r="AQ23" s="391"/>
      <c r="AR23" s="391"/>
      <c r="AS23" s="391"/>
      <c r="AT23" s="391"/>
      <c r="AU23" s="391"/>
      <c r="AV23" s="391"/>
      <c r="AW23" s="391"/>
      <c r="AX23" s="391"/>
      <c r="AY23" s="391"/>
      <c r="AZ23" s="391"/>
      <c r="BA23" s="391"/>
      <c r="BB23" s="391"/>
      <c r="BC23" s="391"/>
      <c r="BD23" s="391"/>
      <c r="BE23" s="391"/>
      <c r="BF23" s="391"/>
      <c r="BG23" s="391"/>
      <c r="BH23" s="391"/>
      <c r="BI23" s="391"/>
      <c r="BJ23" s="391"/>
      <c r="BK23" s="391"/>
      <c r="BL23" s="391"/>
      <c r="BM23" s="391"/>
      <c r="BN23" s="391"/>
      <c r="BO23" s="391"/>
      <c r="BP23" s="391"/>
      <c r="BQ23" s="391"/>
      <c r="BR23" s="391"/>
      <c r="BS23" s="391"/>
      <c r="BT23" s="391"/>
      <c r="BU23" s="391"/>
      <c r="BV23" s="391"/>
      <c r="BW23" s="391"/>
      <c r="BX23" s="391"/>
      <c r="BY23" s="391"/>
      <c r="BZ23" s="391"/>
      <c r="CA23" s="391"/>
      <c r="CB23" s="391"/>
      <c r="CC23" s="391"/>
      <c r="CD23" s="391"/>
      <c r="CE23" s="391"/>
      <c r="CF23" s="391"/>
      <c r="CG23" s="391"/>
      <c r="CH23" s="391"/>
      <c r="CI23" s="391"/>
      <c r="CJ23" s="391"/>
      <c r="CK23" s="391"/>
      <c r="CL23" s="391"/>
      <c r="CM23" s="391"/>
      <c r="CN23" s="443"/>
    </row>
    <row r="24" ht="128.25" customHeight="true" x14ac:dyDescent="0.25">
      <c r="B24" s="390"/>
      <c r="C24" s="391"/>
      <c r="D24" s="1276">
        <f t="shared" si="4"/>
        <v>19</v>
      </c>
      <c r="E24" s="1948" t="s">
        <v>120</v>
      </c>
      <c r="F24" s="1948"/>
      <c r="G24" s="1948"/>
      <c r="H24" s="402" t="s">
        <v>1679</v>
      </c>
      <c r="I24" s="1181" t="s">
        <v>4</v>
      </c>
      <c r="J24" s="400"/>
      <c r="K24" s="1277">
        <f>IFERROR(T250/G78,"missing data")</f>
        <v>640214.916489303</v>
      </c>
      <c r="L24" s="406" t="s">
        <v>392</v>
      </c>
      <c r="M24" s="399" t="str">
        <f>M12</f>
        <v>m^3/kg</v>
      </c>
      <c r="N24" s="80">
        <v>0</v>
      </c>
      <c r="O24" s="1131">
        <f t="shared" si="0"/>
        <v>0</v>
      </c>
      <c r="P24" s="80">
        <f>P12</f>
        <v>10000000</v>
      </c>
      <c r="Q24" s="1132">
        <f t="shared" si="1"/>
        <v>10000000</v>
      </c>
      <c r="R24" s="1275">
        <f t="shared" si="2"/>
        <v>93.6</v>
      </c>
      <c r="S24" s="440"/>
      <c r="T24" s="440"/>
      <c r="U24" s="441"/>
      <c r="V24" s="441"/>
      <c r="W24" s="441"/>
      <c r="X24" s="441"/>
      <c r="Y24" s="391"/>
      <c r="Z24" s="391"/>
      <c r="AA24" s="391"/>
      <c r="AB24" s="391"/>
      <c r="AC24" s="391"/>
      <c r="AD24" s="391"/>
      <c r="AE24" s="391"/>
      <c r="AF24" s="391"/>
      <c r="AG24" s="391"/>
      <c r="AH24" s="391"/>
      <c r="AI24" s="391"/>
      <c r="AJ24" s="391"/>
      <c r="AK24" s="391"/>
      <c r="AL24" s="391"/>
      <c r="AM24" s="391"/>
      <c r="AN24" s="391"/>
      <c r="AO24" s="391"/>
      <c r="AP24" s="391"/>
      <c r="AQ24" s="391"/>
      <c r="AR24" s="391"/>
      <c r="AS24" s="391"/>
      <c r="AT24" s="391"/>
      <c r="AU24" s="391"/>
      <c r="AV24" s="391"/>
      <c r="AW24" s="391"/>
      <c r="AX24" s="391"/>
      <c r="AY24" s="391"/>
      <c r="AZ24" s="391"/>
      <c r="BA24" s="391"/>
      <c r="BB24" s="391"/>
      <c r="BC24" s="391"/>
      <c r="BD24" s="391"/>
      <c r="BE24" s="391"/>
      <c r="BF24" s="391"/>
      <c r="BG24" s="391"/>
      <c r="BH24" s="391"/>
      <c r="BI24" s="391"/>
      <c r="BJ24" s="391"/>
      <c r="BK24" s="391"/>
      <c r="BL24" s="391"/>
      <c r="BM24" s="391"/>
      <c r="BN24" s="391"/>
      <c r="BO24" s="391"/>
      <c r="BP24" s="391"/>
      <c r="BQ24" s="391"/>
      <c r="BR24" s="391"/>
      <c r="BS24" s="391"/>
      <c r="BT24" s="391"/>
      <c r="BU24" s="391"/>
      <c r="BV24" s="391"/>
      <c r="BW24" s="391"/>
      <c r="BX24" s="391"/>
      <c r="BY24" s="391"/>
      <c r="BZ24" s="391"/>
      <c r="CA24" s="391"/>
      <c r="CB24" s="391"/>
      <c r="CC24" s="391"/>
      <c r="CD24" s="391"/>
      <c r="CE24" s="391"/>
      <c r="CF24" s="391"/>
      <c r="CG24" s="391"/>
      <c r="CH24" s="391"/>
      <c r="CI24" s="391"/>
      <c r="CJ24" s="391"/>
      <c r="CK24" s="391"/>
      <c r="CL24" s="391"/>
      <c r="CM24" s="391"/>
      <c r="CN24" s="443"/>
    </row>
    <row r="25" ht="366" customHeight="true" x14ac:dyDescent="0.25">
      <c r="B25" s="390"/>
      <c r="C25" s="391"/>
      <c r="D25" s="1276">
        <f t="shared" si="4"/>
        <v>20</v>
      </c>
      <c r="E25" s="1948" t="s">
        <v>122</v>
      </c>
      <c r="F25" s="1948"/>
      <c r="G25" s="1948"/>
      <c r="H25" s="402" t="s">
        <v>1680</v>
      </c>
      <c r="I25" s="1181" t="s">
        <v>184</v>
      </c>
      <c r="J25" s="239"/>
      <c r="K25" s="1277">
        <f>IFERROR(R776/G78,"missing data")</f>
        <v>18363.483639116592</v>
      </c>
      <c r="L25" s="1177" t="s">
        <v>397</v>
      </c>
      <c r="M25" s="399" t="str">
        <f>M13</f>
        <v>kg/kg prod</v>
      </c>
      <c r="N25" s="84">
        <v>0</v>
      </c>
      <c r="O25" s="1131">
        <f t="shared" si="0"/>
        <v>0</v>
      </c>
      <c r="P25" s="83">
        <v>100000</v>
      </c>
      <c r="Q25" s="1132">
        <f t="shared" si="1"/>
        <v>100000</v>
      </c>
      <c r="R25" s="1275">
        <f t="shared" si="2"/>
        <v>81.64</v>
      </c>
      <c r="S25" s="440"/>
      <c r="T25" s="440"/>
      <c r="U25" s="441"/>
      <c r="V25" s="441"/>
      <c r="W25" s="441"/>
      <c r="X25" s="441"/>
      <c r="Y25" s="391"/>
      <c r="Z25" s="391"/>
      <c r="AA25" s="391"/>
      <c r="AB25" s="391"/>
      <c r="AC25" s="391"/>
      <c r="AD25" s="391"/>
      <c r="AE25" s="391"/>
      <c r="AF25" s="391"/>
      <c r="AG25" s="391"/>
      <c r="AH25" s="391"/>
      <c r="AI25" s="391"/>
      <c r="AJ25" s="391"/>
      <c r="AK25" s="391"/>
      <c r="AL25" s="391"/>
      <c r="AM25" s="391"/>
      <c r="AN25" s="391"/>
      <c r="AO25" s="391"/>
      <c r="AP25" s="391"/>
      <c r="AQ25" s="391"/>
      <c r="AR25" s="391"/>
      <c r="AS25" s="391"/>
      <c r="AT25" s="391"/>
      <c r="AU25" s="391"/>
      <c r="AV25" s="391"/>
      <c r="AW25" s="391"/>
      <c r="AX25" s="391"/>
      <c r="AY25" s="391"/>
      <c r="AZ25" s="391"/>
      <c r="BA25" s="391"/>
      <c r="BB25" s="391"/>
      <c r="BC25" s="391"/>
      <c r="BD25" s="391"/>
      <c r="BE25" s="391"/>
      <c r="BF25" s="391"/>
      <c r="BG25" s="391"/>
      <c r="BH25" s="391"/>
      <c r="BI25" s="391"/>
      <c r="BJ25" s="391"/>
      <c r="BK25" s="391"/>
      <c r="BL25" s="391"/>
      <c r="BM25" s="391"/>
      <c r="BN25" s="391"/>
      <c r="BO25" s="391"/>
      <c r="BP25" s="391"/>
      <c r="BQ25" s="391"/>
      <c r="BR25" s="391"/>
      <c r="BS25" s="391"/>
      <c r="BT25" s="391"/>
      <c r="BU25" s="391"/>
      <c r="BV25" s="391"/>
      <c r="BW25" s="391"/>
      <c r="BX25" s="391"/>
      <c r="BY25" s="391"/>
      <c r="BZ25" s="391"/>
      <c r="CA25" s="391"/>
      <c r="CB25" s="391"/>
      <c r="CC25" s="391"/>
      <c r="CD25" s="391"/>
      <c r="CE25" s="391"/>
      <c r="CF25" s="391"/>
      <c r="CG25" s="391"/>
      <c r="CH25" s="391"/>
      <c r="CI25" s="391"/>
      <c r="CJ25" s="391"/>
      <c r="CK25" s="391"/>
      <c r="CL25" s="391"/>
      <c r="CM25" s="391"/>
      <c r="CN25" s="443"/>
    </row>
    <row r="26" ht="105.75" customHeight="true" x14ac:dyDescent="0.25">
      <c r="B26" s="390"/>
      <c r="C26" s="391"/>
      <c r="D26" s="1276">
        <f t="shared" si="4"/>
        <v>21</v>
      </c>
      <c r="E26" s="1948" t="s">
        <v>123</v>
      </c>
      <c r="F26" s="1948"/>
      <c r="G26" s="1948"/>
      <c r="H26" s="402" t="s">
        <v>1681</v>
      </c>
      <c r="I26" s="1181" t="s">
        <v>185</v>
      </c>
      <c r="J26" s="407"/>
      <c r="K26" s="1277">
        <f>IFERROR(Q834/G78,"missing data")</f>
        <v>0</v>
      </c>
      <c r="L26" s="398" t="s">
        <v>403</v>
      </c>
      <c r="M26" s="399" t="s">
        <v>35</v>
      </c>
      <c r="N26" s="84">
        <v>0</v>
      </c>
      <c r="O26" s="1131">
        <f t="shared" si="0"/>
        <v>0</v>
      </c>
      <c r="P26" s="80">
        <v>1</v>
      </c>
      <c r="Q26" s="1132">
        <f t="shared" si="1"/>
        <v>1</v>
      </c>
      <c r="R26" s="1275">
        <f t="shared" si="2"/>
        <v>100</v>
      </c>
      <c r="S26" s="440"/>
      <c r="T26" s="440"/>
      <c r="U26" s="441"/>
      <c r="V26" s="441"/>
      <c r="W26" s="441"/>
      <c r="X26" s="441"/>
      <c r="Y26" s="391"/>
      <c r="Z26" s="391"/>
      <c r="AA26" s="391"/>
      <c r="AB26" s="391"/>
      <c r="AC26" s="391"/>
      <c r="AD26" s="391"/>
      <c r="AE26" s="391"/>
      <c r="AF26" s="391"/>
      <c r="AG26" s="391"/>
      <c r="AH26" s="391"/>
      <c r="AI26" s="391"/>
      <c r="AJ26" s="391"/>
      <c r="AK26" s="391"/>
      <c r="AL26" s="391"/>
      <c r="AM26" s="391"/>
      <c r="AN26" s="391"/>
      <c r="AO26" s="391"/>
      <c r="AP26" s="391"/>
      <c r="AQ26" s="391"/>
      <c r="AR26" s="391"/>
      <c r="AS26" s="391"/>
      <c r="AT26" s="391"/>
      <c r="AU26" s="391"/>
      <c r="AV26" s="391"/>
      <c r="AW26" s="391"/>
      <c r="AX26" s="391"/>
      <c r="AY26" s="391"/>
      <c r="AZ26" s="391"/>
      <c r="BA26" s="391"/>
      <c r="BB26" s="391"/>
      <c r="BC26" s="391"/>
      <c r="BD26" s="391"/>
      <c r="BE26" s="391"/>
      <c r="BF26" s="391"/>
      <c r="BG26" s="391"/>
      <c r="BH26" s="391"/>
      <c r="BI26" s="391"/>
      <c r="BJ26" s="391"/>
      <c r="BK26" s="391"/>
      <c r="BL26" s="391"/>
      <c r="BM26" s="391"/>
      <c r="BN26" s="391"/>
      <c r="BO26" s="391"/>
      <c r="BP26" s="391"/>
      <c r="BQ26" s="391"/>
      <c r="BR26" s="391"/>
      <c r="BS26" s="391"/>
      <c r="BT26" s="391"/>
      <c r="BU26" s="391"/>
      <c r="BV26" s="391"/>
      <c r="BW26" s="391"/>
      <c r="BX26" s="391"/>
      <c r="BY26" s="391"/>
      <c r="BZ26" s="391"/>
      <c r="CA26" s="391"/>
      <c r="CB26" s="391"/>
      <c r="CC26" s="391"/>
      <c r="CD26" s="391"/>
      <c r="CE26" s="391"/>
      <c r="CF26" s="391"/>
      <c r="CG26" s="391"/>
      <c r="CH26" s="391"/>
      <c r="CI26" s="391"/>
      <c r="CJ26" s="391"/>
      <c r="CK26" s="391"/>
      <c r="CL26" s="391"/>
      <c r="CM26" s="391"/>
      <c r="CN26" s="443"/>
    </row>
    <row r="27" ht="409.5" customHeight="true" x14ac:dyDescent="0.25">
      <c r="B27" s="390"/>
      <c r="C27" s="391"/>
      <c r="D27" s="1276">
        <f t="shared" si="4"/>
        <v>22</v>
      </c>
      <c r="E27" s="1948" t="s">
        <v>124</v>
      </c>
      <c r="F27" s="1948"/>
      <c r="G27" s="1948"/>
      <c r="H27" s="402" t="s">
        <v>1682</v>
      </c>
      <c r="I27" s="1181" t="s">
        <v>5</v>
      </c>
      <c r="J27" s="239"/>
      <c r="K27" s="1277" t="str">
        <f>IFERROR(R892/G78,"missing data")</f>
        <v>missing data</v>
      </c>
      <c r="L27" s="1177" t="s">
        <v>406</v>
      </c>
      <c r="M27" s="399" t="s">
        <v>35</v>
      </c>
      <c r="N27" s="84">
        <v>0</v>
      </c>
      <c r="O27" s="1131">
        <f t="shared" si="0"/>
        <v>0</v>
      </c>
      <c r="P27" s="80">
        <v>100</v>
      </c>
      <c r="Q27" s="1132">
        <f t="shared" si="1"/>
        <v>100</v>
      </c>
      <c r="R27" s="1275" t="str">
        <f t="shared" si="2"/>
        <v/>
      </c>
      <c r="S27" s="440"/>
      <c r="T27" s="440"/>
      <c r="U27" s="441"/>
      <c r="V27" s="441"/>
      <c r="W27" s="441"/>
      <c r="X27" s="441"/>
      <c r="Y27" s="391"/>
      <c r="Z27" s="391"/>
      <c r="AA27" s="391"/>
      <c r="AB27" s="391"/>
      <c r="AC27" s="391"/>
      <c r="AD27" s="391"/>
      <c r="AE27" s="391"/>
      <c r="AF27" s="391"/>
      <c r="AG27" s="391"/>
      <c r="AH27" s="391"/>
      <c r="AI27" s="391"/>
      <c r="AJ27" s="391"/>
      <c r="AK27" s="391"/>
      <c r="AL27" s="391"/>
      <c r="AM27" s="391"/>
      <c r="AN27" s="391"/>
      <c r="AO27" s="391"/>
      <c r="AP27" s="391"/>
      <c r="AQ27" s="391"/>
      <c r="AR27" s="391"/>
      <c r="AS27" s="391"/>
      <c r="AT27" s="391"/>
      <c r="AU27" s="391"/>
      <c r="AV27" s="391"/>
      <c r="AW27" s="391"/>
      <c r="AX27" s="391"/>
      <c r="AY27" s="391"/>
      <c r="AZ27" s="391"/>
      <c r="BA27" s="391"/>
      <c r="BB27" s="391"/>
      <c r="BC27" s="391"/>
      <c r="BD27" s="391"/>
      <c r="BE27" s="391"/>
      <c r="BF27" s="391"/>
      <c r="BG27" s="391"/>
      <c r="BH27" s="391"/>
      <c r="BI27" s="391"/>
      <c r="BJ27" s="391"/>
      <c r="BK27" s="391"/>
      <c r="BL27" s="391"/>
      <c r="BM27" s="391"/>
      <c r="BN27" s="391"/>
      <c r="BO27" s="391"/>
      <c r="BP27" s="391"/>
      <c r="BQ27" s="391"/>
      <c r="BR27" s="391"/>
      <c r="BS27" s="391"/>
      <c r="BT27" s="391"/>
      <c r="BU27" s="391"/>
      <c r="BV27" s="391"/>
      <c r="BW27" s="391"/>
      <c r="BX27" s="391"/>
      <c r="BY27" s="391"/>
      <c r="BZ27" s="391"/>
      <c r="CA27" s="391"/>
      <c r="CB27" s="391"/>
      <c r="CC27" s="391"/>
      <c r="CD27" s="391"/>
      <c r="CE27" s="391"/>
      <c r="CF27" s="391"/>
      <c r="CG27" s="391"/>
      <c r="CH27" s="391"/>
      <c r="CI27" s="391"/>
      <c r="CJ27" s="391"/>
      <c r="CK27" s="391"/>
      <c r="CL27" s="391"/>
      <c r="CM27" s="391"/>
      <c r="CN27" s="443"/>
    </row>
    <row r="28" ht="119.25" customHeight="true" x14ac:dyDescent="0.25">
      <c r="B28" s="390"/>
      <c r="C28" s="391"/>
      <c r="D28" s="1276">
        <f t="shared" ref="D28:D54" si="5">D27+1</f>
        <v>23</v>
      </c>
      <c r="E28" s="1948" t="s">
        <v>125</v>
      </c>
      <c r="F28" s="1948"/>
      <c r="G28" s="1948"/>
      <c r="H28" s="402" t="s">
        <v>1683</v>
      </c>
      <c r="I28" s="1964" t="s">
        <v>18</v>
      </c>
      <c r="J28" s="400"/>
      <c r="K28" s="1277">
        <f>IFERROR(K950/G78,"missing data")</f>
        <v>0.66062510303155364</v>
      </c>
      <c r="L28" s="1177" t="s">
        <v>413</v>
      </c>
      <c r="M28" s="399" t="s">
        <v>410</v>
      </c>
      <c r="N28" s="84">
        <v>0</v>
      </c>
      <c r="O28" s="1131">
        <f t="shared" si="0"/>
        <v>0</v>
      </c>
      <c r="P28" s="80">
        <f>L950/G78</f>
        <v>0.66062510303155364</v>
      </c>
      <c r="Q28" s="1132">
        <f t="shared" si="1"/>
        <v>0.66062510303155364</v>
      </c>
      <c r="R28" s="1275">
        <f t="shared" si="2"/>
        <v>0</v>
      </c>
      <c r="S28" s="440"/>
      <c r="T28" s="440"/>
      <c r="U28" s="441"/>
      <c r="V28" s="441"/>
      <c r="W28" s="441"/>
      <c r="X28" s="441"/>
      <c r="Y28" s="391"/>
      <c r="Z28" s="391"/>
      <c r="AA28" s="391"/>
      <c r="AB28" s="391"/>
      <c r="AC28" s="391"/>
      <c r="AD28" s="391"/>
      <c r="AE28" s="391"/>
      <c r="AF28" s="391"/>
      <c r="AG28" s="391"/>
      <c r="AH28" s="391"/>
      <c r="AI28" s="391"/>
      <c r="AJ28" s="391"/>
      <c r="AK28" s="391"/>
      <c r="AL28" s="391"/>
      <c r="AM28" s="391"/>
      <c r="AN28" s="391"/>
      <c r="AO28" s="391"/>
      <c r="AP28" s="391"/>
      <c r="AQ28" s="391"/>
      <c r="AR28" s="391"/>
      <c r="AS28" s="391"/>
      <c r="AT28" s="391"/>
      <c r="AU28" s="391"/>
      <c r="AV28" s="391"/>
      <c r="AW28" s="391"/>
      <c r="AX28" s="391"/>
      <c r="AY28" s="391"/>
      <c r="AZ28" s="391"/>
      <c r="BA28" s="391"/>
      <c r="BB28" s="391"/>
      <c r="BC28" s="391"/>
      <c r="BD28" s="391"/>
      <c r="BE28" s="391"/>
      <c r="BF28" s="391"/>
      <c r="BG28" s="391"/>
      <c r="BH28" s="391"/>
      <c r="BI28" s="391"/>
      <c r="BJ28" s="391"/>
      <c r="BK28" s="391"/>
      <c r="BL28" s="391"/>
      <c r="BM28" s="391"/>
      <c r="BN28" s="391"/>
      <c r="BO28" s="391"/>
      <c r="BP28" s="391"/>
      <c r="BQ28" s="391"/>
      <c r="BR28" s="391"/>
      <c r="BS28" s="391"/>
      <c r="BT28" s="391"/>
      <c r="BU28" s="391"/>
      <c r="BV28" s="391"/>
      <c r="BW28" s="391"/>
      <c r="BX28" s="391"/>
      <c r="BY28" s="391"/>
      <c r="BZ28" s="391"/>
      <c r="CA28" s="391"/>
      <c r="CB28" s="391"/>
      <c r="CC28" s="391"/>
      <c r="CD28" s="391"/>
      <c r="CE28" s="391"/>
      <c r="CF28" s="391"/>
      <c r="CG28" s="391"/>
      <c r="CH28" s="391"/>
      <c r="CI28" s="391"/>
      <c r="CJ28" s="391"/>
      <c r="CK28" s="391"/>
      <c r="CL28" s="391"/>
      <c r="CM28" s="391"/>
      <c r="CN28" s="443"/>
    </row>
    <row r="29" ht="117" customHeight="true" x14ac:dyDescent="0.25">
      <c r="B29" s="390"/>
      <c r="C29" s="391"/>
      <c r="D29" s="1276">
        <f t="shared" si="5"/>
        <v>24</v>
      </c>
      <c r="E29" s="1948" t="s">
        <v>126</v>
      </c>
      <c r="F29" s="1948"/>
      <c r="G29" s="1948"/>
      <c r="H29" s="402" t="s">
        <v>1684</v>
      </c>
      <c r="I29" s="1964"/>
      <c r="J29" s="407"/>
      <c r="K29" s="1277">
        <f>IFERROR(ROUND(K950/G80,4),"missing data")</f>
        <v>0.66059999999999997</v>
      </c>
      <c r="L29" s="1177" t="s">
        <v>412</v>
      </c>
      <c r="M29" s="399" t="s">
        <v>414</v>
      </c>
      <c r="N29" s="84">
        <v>0</v>
      </c>
      <c r="O29" s="1131">
        <f t="shared" si="0"/>
        <v>0</v>
      </c>
      <c r="P29" s="80">
        <f>ROUND(L950/G80,4)</f>
        <v>0.66059999999999997</v>
      </c>
      <c r="Q29" s="1132">
        <f t="shared" si="1"/>
        <v>0.66059999999999997</v>
      </c>
      <c r="R29" s="1275">
        <f t="shared" si="2"/>
        <v>0</v>
      </c>
      <c r="S29" s="440"/>
      <c r="T29" s="440"/>
      <c r="U29" s="441"/>
      <c r="V29" s="441"/>
      <c r="W29" s="441"/>
      <c r="X29" s="441"/>
      <c r="Y29" s="391"/>
      <c r="Z29" s="391"/>
      <c r="AA29" s="391"/>
      <c r="AB29" s="391"/>
      <c r="AC29" s="391"/>
      <c r="AD29" s="391"/>
      <c r="AE29" s="391"/>
      <c r="AF29" s="391"/>
      <c r="AG29" s="391"/>
      <c r="AH29" s="391"/>
      <c r="AI29" s="391"/>
      <c r="AJ29" s="391"/>
      <c r="AK29" s="391"/>
      <c r="AL29" s="391"/>
      <c r="AM29" s="391"/>
      <c r="AN29" s="391"/>
      <c r="AO29" s="391"/>
      <c r="AP29" s="391"/>
      <c r="AQ29" s="391"/>
      <c r="AR29" s="391"/>
      <c r="AS29" s="391"/>
      <c r="AT29" s="391"/>
      <c r="AU29" s="391"/>
      <c r="AV29" s="391"/>
      <c r="AW29" s="391"/>
      <c r="AX29" s="391"/>
      <c r="AY29" s="391"/>
      <c r="AZ29" s="391"/>
      <c r="BA29" s="391"/>
      <c r="BB29" s="391"/>
      <c r="BC29" s="391"/>
      <c r="BD29" s="391"/>
      <c r="BE29" s="391"/>
      <c r="BF29" s="391"/>
      <c r="BG29" s="391"/>
      <c r="BH29" s="391"/>
      <c r="BI29" s="391"/>
      <c r="BJ29" s="391"/>
      <c r="BK29" s="391"/>
      <c r="BL29" s="391"/>
      <c r="BM29" s="391"/>
      <c r="BN29" s="391"/>
      <c r="BO29" s="391"/>
      <c r="BP29" s="391"/>
      <c r="BQ29" s="391"/>
      <c r="BR29" s="391"/>
      <c r="BS29" s="391"/>
      <c r="BT29" s="391"/>
      <c r="BU29" s="391"/>
      <c r="BV29" s="391"/>
      <c r="BW29" s="391"/>
      <c r="BX29" s="391"/>
      <c r="BY29" s="391"/>
      <c r="BZ29" s="391"/>
      <c r="CA29" s="391"/>
      <c r="CB29" s="391"/>
      <c r="CC29" s="391"/>
      <c r="CD29" s="391"/>
      <c r="CE29" s="391"/>
      <c r="CF29" s="391"/>
      <c r="CG29" s="391"/>
      <c r="CH29" s="391"/>
      <c r="CI29" s="391"/>
      <c r="CJ29" s="391"/>
      <c r="CK29" s="391"/>
      <c r="CL29" s="391"/>
      <c r="CM29" s="391"/>
      <c r="CN29" s="443"/>
    </row>
    <row r="30" ht="107.25" customHeight="true" x14ac:dyDescent="0.25">
      <c r="B30" s="390"/>
      <c r="C30" s="391"/>
      <c r="D30" s="1276">
        <f t="shared" si="5"/>
        <v>25</v>
      </c>
      <c r="E30" s="1948" t="s">
        <v>127</v>
      </c>
      <c r="F30" s="1948"/>
      <c r="G30" s="1948"/>
      <c r="H30" s="402" t="s">
        <v>1685</v>
      </c>
      <c r="I30" s="1964" t="s">
        <v>6</v>
      </c>
      <c r="J30" s="400"/>
      <c r="K30" s="1277">
        <f>IFERROR(K1008/G78,"missing data")</f>
        <v>0</v>
      </c>
      <c r="L30" s="1177" t="s">
        <v>420</v>
      </c>
      <c r="M30" s="399" t="s">
        <v>422</v>
      </c>
      <c r="N30" s="84">
        <v>0</v>
      </c>
      <c r="O30" s="1131">
        <f t="shared" si="0"/>
        <v>0</v>
      </c>
      <c r="P30" s="80">
        <f>L1008/G78</f>
        <v>0.66062510303155364</v>
      </c>
      <c r="Q30" s="1132">
        <f t="shared" si="1"/>
        <v>0.66062510303155364</v>
      </c>
      <c r="R30" s="1275">
        <f t="shared" si="2"/>
        <v>100</v>
      </c>
      <c r="S30" s="440"/>
      <c r="T30" s="440"/>
      <c r="U30" s="441"/>
      <c r="V30" s="441"/>
      <c r="W30" s="441"/>
      <c r="X30" s="441"/>
      <c r="Y30" s="391"/>
      <c r="Z30" s="391"/>
      <c r="AA30" s="391"/>
      <c r="AB30" s="391"/>
      <c r="AC30" s="391"/>
      <c r="AD30" s="391"/>
      <c r="AE30" s="391"/>
      <c r="AF30" s="391"/>
      <c r="AG30" s="391"/>
      <c r="AH30" s="391"/>
      <c r="AI30" s="391"/>
      <c r="AJ30" s="391"/>
      <c r="AK30" s="391"/>
      <c r="AL30" s="391"/>
      <c r="AM30" s="391"/>
      <c r="AN30" s="391"/>
      <c r="AO30" s="391"/>
      <c r="AP30" s="391"/>
      <c r="AQ30" s="391"/>
      <c r="AR30" s="391"/>
      <c r="AS30" s="391"/>
      <c r="AT30" s="391"/>
      <c r="AU30" s="391"/>
      <c r="AV30" s="391"/>
      <c r="AW30" s="391"/>
      <c r="AX30" s="391"/>
      <c r="AY30" s="391"/>
      <c r="AZ30" s="391"/>
      <c r="BA30" s="391"/>
      <c r="BB30" s="391"/>
      <c r="BC30" s="391"/>
      <c r="BD30" s="391"/>
      <c r="BE30" s="391"/>
      <c r="BF30" s="391"/>
      <c r="BG30" s="391"/>
      <c r="BH30" s="391"/>
      <c r="BI30" s="391"/>
      <c r="BJ30" s="391"/>
      <c r="BK30" s="391"/>
      <c r="BL30" s="391"/>
      <c r="BM30" s="391"/>
      <c r="BN30" s="391"/>
      <c r="BO30" s="391"/>
      <c r="BP30" s="391"/>
      <c r="BQ30" s="391"/>
      <c r="BR30" s="391"/>
      <c r="BS30" s="391"/>
      <c r="BT30" s="391"/>
      <c r="BU30" s="391"/>
      <c r="BV30" s="391"/>
      <c r="BW30" s="391"/>
      <c r="BX30" s="391"/>
      <c r="BY30" s="391"/>
      <c r="BZ30" s="391"/>
      <c r="CA30" s="391"/>
      <c r="CB30" s="391"/>
      <c r="CC30" s="391"/>
      <c r="CD30" s="391"/>
      <c r="CE30" s="391"/>
      <c r="CF30" s="391"/>
      <c r="CG30" s="391"/>
      <c r="CH30" s="391"/>
      <c r="CI30" s="391"/>
      <c r="CJ30" s="391"/>
      <c r="CK30" s="391"/>
      <c r="CL30" s="391"/>
      <c r="CM30" s="391"/>
      <c r="CN30" s="443"/>
    </row>
    <row r="31" ht="107.25" customHeight="true" x14ac:dyDescent="0.25">
      <c r="B31" s="390"/>
      <c r="C31" s="391"/>
      <c r="D31" s="1276">
        <f t="shared" si="5"/>
        <v>26</v>
      </c>
      <c r="E31" s="1948" t="s">
        <v>128</v>
      </c>
      <c r="F31" s="1948"/>
      <c r="G31" s="1948"/>
      <c r="H31" s="402" t="s">
        <v>1686</v>
      </c>
      <c r="I31" s="1964"/>
      <c r="J31" s="407"/>
      <c r="K31" s="1277">
        <f>IFERROR(ROUND(K1008/G80,4),"missing data")</f>
        <v>0</v>
      </c>
      <c r="L31" s="1177" t="s">
        <v>421</v>
      </c>
      <c r="M31" s="399" t="s">
        <v>423</v>
      </c>
      <c r="N31" s="84">
        <v>0</v>
      </c>
      <c r="O31" s="1131">
        <f t="shared" si="0"/>
        <v>0</v>
      </c>
      <c r="P31" s="80">
        <f>ROUND(L1008/G80,4)</f>
        <v>0.66059999999999997</v>
      </c>
      <c r="Q31" s="1132">
        <f t="shared" si="1"/>
        <v>0.66059999999999997</v>
      </c>
      <c r="R31" s="1275">
        <f t="shared" si="2"/>
        <v>100</v>
      </c>
      <c r="S31" s="440"/>
      <c r="T31" s="440"/>
      <c r="U31" s="441"/>
      <c r="V31" s="441"/>
      <c r="W31" s="441"/>
      <c r="X31" s="441"/>
      <c r="Y31" s="391"/>
      <c r="Z31" s="391"/>
      <c r="AA31" s="391"/>
      <c r="AB31" s="391"/>
      <c r="AC31" s="391"/>
      <c r="AD31" s="391"/>
      <c r="AE31" s="391"/>
      <c r="AF31" s="391"/>
      <c r="AG31" s="391"/>
      <c r="AH31" s="391"/>
      <c r="AI31" s="391"/>
      <c r="AJ31" s="391"/>
      <c r="AK31" s="391"/>
      <c r="AL31" s="391"/>
      <c r="AM31" s="391"/>
      <c r="AN31" s="391"/>
      <c r="AO31" s="391"/>
      <c r="AP31" s="391"/>
      <c r="AQ31" s="391"/>
      <c r="AR31" s="391"/>
      <c r="AS31" s="391"/>
      <c r="AT31" s="391"/>
      <c r="AU31" s="391"/>
      <c r="AV31" s="391"/>
      <c r="AW31" s="391"/>
      <c r="AX31" s="391"/>
      <c r="AY31" s="391"/>
      <c r="AZ31" s="391"/>
      <c r="BA31" s="391"/>
      <c r="BB31" s="391"/>
      <c r="BC31" s="391"/>
      <c r="BD31" s="391"/>
      <c r="BE31" s="391"/>
      <c r="BF31" s="391"/>
      <c r="BG31" s="391"/>
      <c r="BH31" s="391"/>
      <c r="BI31" s="391"/>
      <c r="BJ31" s="391"/>
      <c r="BK31" s="391"/>
      <c r="BL31" s="391"/>
      <c r="BM31" s="391"/>
      <c r="BN31" s="391"/>
      <c r="BO31" s="391"/>
      <c r="BP31" s="391"/>
      <c r="BQ31" s="391"/>
      <c r="BR31" s="391"/>
      <c r="BS31" s="391"/>
      <c r="BT31" s="391"/>
      <c r="BU31" s="391"/>
      <c r="BV31" s="391"/>
      <c r="BW31" s="391"/>
      <c r="BX31" s="391"/>
      <c r="BY31" s="391"/>
      <c r="BZ31" s="391"/>
      <c r="CA31" s="391"/>
      <c r="CB31" s="391"/>
      <c r="CC31" s="391"/>
      <c r="CD31" s="391"/>
      <c r="CE31" s="391"/>
      <c r="CF31" s="391"/>
      <c r="CG31" s="391"/>
      <c r="CH31" s="391"/>
      <c r="CI31" s="391"/>
      <c r="CJ31" s="391"/>
      <c r="CK31" s="391"/>
      <c r="CL31" s="391"/>
      <c r="CM31" s="391"/>
      <c r="CN31" s="443"/>
    </row>
    <row r="32" ht="110.25" customHeight="true" x14ac:dyDescent="0.25">
      <c r="B32" s="390"/>
      <c r="C32" s="391"/>
      <c r="D32" s="1276">
        <f t="shared" si="5"/>
        <v>27</v>
      </c>
      <c r="E32" s="1948" t="s">
        <v>129</v>
      </c>
      <c r="F32" s="1948"/>
      <c r="G32" s="1948"/>
      <c r="H32" s="402" t="s">
        <v>1687</v>
      </c>
      <c r="I32" s="1964" t="s">
        <v>7</v>
      </c>
      <c r="J32" s="400"/>
      <c r="K32" s="399">
        <f>IFERROR(K1066/G78,"missing data")</f>
        <v>0</v>
      </c>
      <c r="L32" s="1177" t="s">
        <v>628</v>
      </c>
      <c r="M32" s="399" t="s">
        <v>629</v>
      </c>
      <c r="N32" s="84">
        <v>0</v>
      </c>
      <c r="O32" s="1131">
        <f t="shared" si="0"/>
        <v>0</v>
      </c>
      <c r="P32" s="80">
        <f>L1066/G78</f>
        <v>0.66062510303155364</v>
      </c>
      <c r="Q32" s="1132">
        <f t="shared" si="1"/>
        <v>0.66062510303155364</v>
      </c>
      <c r="R32" s="1275">
        <f t="shared" si="2"/>
        <v>100</v>
      </c>
      <c r="S32" s="440"/>
      <c r="T32" s="440"/>
      <c r="U32" s="441"/>
      <c r="V32" s="441"/>
      <c r="W32" s="441"/>
      <c r="X32" s="441"/>
      <c r="Y32" s="391"/>
      <c r="Z32" s="391"/>
      <c r="AA32" s="391"/>
      <c r="AB32" s="391"/>
      <c r="AC32" s="391"/>
      <c r="AD32" s="391"/>
      <c r="AE32" s="391"/>
      <c r="AF32" s="391"/>
      <c r="AG32" s="391"/>
      <c r="AH32" s="391"/>
      <c r="AI32" s="391"/>
      <c r="AJ32" s="391"/>
      <c r="AK32" s="391"/>
      <c r="AL32" s="391"/>
      <c r="AM32" s="391"/>
      <c r="AN32" s="391"/>
      <c r="AO32" s="391"/>
      <c r="AP32" s="391"/>
      <c r="AQ32" s="391"/>
      <c r="AR32" s="391"/>
      <c r="AS32" s="391"/>
      <c r="AT32" s="391"/>
      <c r="AU32" s="391"/>
      <c r="AV32" s="391"/>
      <c r="AW32" s="391"/>
      <c r="AX32" s="391"/>
      <c r="AY32" s="391"/>
      <c r="AZ32" s="391"/>
      <c r="BA32" s="391"/>
      <c r="BB32" s="391"/>
      <c r="BC32" s="391"/>
      <c r="BD32" s="391"/>
      <c r="BE32" s="391"/>
      <c r="BF32" s="391"/>
      <c r="BG32" s="391"/>
      <c r="BH32" s="391"/>
      <c r="BI32" s="391"/>
      <c r="BJ32" s="391"/>
      <c r="BK32" s="391"/>
      <c r="BL32" s="391"/>
      <c r="BM32" s="391"/>
      <c r="BN32" s="391"/>
      <c r="BO32" s="391"/>
      <c r="BP32" s="391"/>
      <c r="BQ32" s="391"/>
      <c r="BR32" s="391"/>
      <c r="BS32" s="391"/>
      <c r="BT32" s="391"/>
      <c r="BU32" s="391"/>
      <c r="BV32" s="391"/>
      <c r="BW32" s="391"/>
      <c r="BX32" s="391"/>
      <c r="BY32" s="391"/>
      <c r="BZ32" s="391"/>
      <c r="CA32" s="391"/>
      <c r="CB32" s="391"/>
      <c r="CC32" s="391"/>
      <c r="CD32" s="391"/>
      <c r="CE32" s="391"/>
      <c r="CF32" s="391"/>
      <c r="CG32" s="391"/>
      <c r="CH32" s="391"/>
      <c r="CI32" s="391"/>
      <c r="CJ32" s="391"/>
      <c r="CK32" s="391"/>
      <c r="CL32" s="391"/>
      <c r="CM32" s="391"/>
      <c r="CN32" s="443"/>
    </row>
    <row r="33" ht="110.25" customHeight="true" x14ac:dyDescent="0.25">
      <c r="B33" s="390"/>
      <c r="C33" s="391"/>
      <c r="D33" s="1276">
        <f t="shared" si="5"/>
        <v>28</v>
      </c>
      <c r="E33" s="1948" t="s">
        <v>130</v>
      </c>
      <c r="F33" s="1948"/>
      <c r="G33" s="1948"/>
      <c r="H33" s="402" t="s">
        <v>1688</v>
      </c>
      <c r="I33" s="1964"/>
      <c r="J33" s="407"/>
      <c r="K33" s="399">
        <f>IFERROR(ROUND(K1066/G80,4),"missing data")</f>
        <v>0</v>
      </c>
      <c r="L33" s="1177" t="s">
        <v>627</v>
      </c>
      <c r="M33" s="399" t="s">
        <v>630</v>
      </c>
      <c r="N33" s="84">
        <v>0</v>
      </c>
      <c r="O33" s="1131">
        <f t="shared" si="0"/>
        <v>0</v>
      </c>
      <c r="P33" s="80">
        <f>ROUND(L1066/G80,4)</f>
        <v>0.66059999999999997</v>
      </c>
      <c r="Q33" s="1132">
        <f t="shared" si="1"/>
        <v>0.66059999999999997</v>
      </c>
      <c r="R33" s="1275">
        <f t="shared" si="2"/>
        <v>100</v>
      </c>
      <c r="S33" s="440"/>
      <c r="T33" s="440"/>
      <c r="U33" s="441"/>
      <c r="V33" s="391"/>
      <c r="W33" s="391"/>
      <c r="X33" s="391"/>
      <c r="Y33" s="391"/>
      <c r="Z33" s="391"/>
      <c r="AA33" s="391"/>
      <c r="AB33" s="391"/>
      <c r="AC33" s="391"/>
      <c r="AD33" s="391"/>
      <c r="AE33" s="391"/>
      <c r="AF33" s="391"/>
      <c r="AG33" s="391"/>
      <c r="AH33" s="391"/>
      <c r="AI33" s="391"/>
      <c r="AJ33" s="391"/>
      <c r="AK33" s="391"/>
      <c r="AL33" s="391"/>
      <c r="AM33" s="391"/>
      <c r="AN33" s="391"/>
      <c r="AO33" s="391"/>
      <c r="AP33" s="391"/>
      <c r="AQ33" s="391"/>
      <c r="AR33" s="391"/>
      <c r="AS33" s="391"/>
      <c r="AT33" s="391"/>
      <c r="AU33" s="391"/>
      <c r="AV33" s="391"/>
      <c r="AW33" s="391"/>
      <c r="AX33" s="391"/>
      <c r="AY33" s="391"/>
      <c r="AZ33" s="391"/>
      <c r="BA33" s="391"/>
      <c r="BB33" s="391"/>
      <c r="BC33" s="391"/>
      <c r="BD33" s="391"/>
      <c r="BE33" s="391"/>
      <c r="BF33" s="391"/>
      <c r="BG33" s="391"/>
      <c r="BH33" s="391"/>
      <c r="BI33" s="391"/>
      <c r="BJ33" s="391"/>
      <c r="BK33" s="391"/>
      <c r="BL33" s="391"/>
      <c r="BM33" s="391"/>
      <c r="BN33" s="391"/>
      <c r="BO33" s="391"/>
      <c r="BP33" s="391"/>
      <c r="BQ33" s="391"/>
      <c r="BR33" s="391"/>
      <c r="BS33" s="391"/>
      <c r="BT33" s="391"/>
      <c r="BU33" s="391"/>
      <c r="BV33" s="391"/>
      <c r="BW33" s="391"/>
      <c r="BX33" s="391"/>
      <c r="BY33" s="391"/>
      <c r="BZ33" s="391"/>
      <c r="CA33" s="391"/>
      <c r="CB33" s="391"/>
      <c r="CC33" s="391"/>
      <c r="CD33" s="391"/>
      <c r="CE33" s="391"/>
      <c r="CF33" s="391"/>
      <c r="CG33" s="391"/>
      <c r="CH33" s="391"/>
      <c r="CI33" s="391"/>
      <c r="CJ33" s="391"/>
      <c r="CK33" s="391"/>
      <c r="CL33" s="391"/>
      <c r="CM33" s="391"/>
      <c r="CN33" s="443"/>
    </row>
    <row r="34" ht="123.75" customHeight="true" x14ac:dyDescent="0.25">
      <c r="B34" s="390"/>
      <c r="C34" s="391"/>
      <c r="D34" s="1276">
        <f t="shared" si="5"/>
        <v>29</v>
      </c>
      <c r="E34" s="1968" t="s">
        <v>131</v>
      </c>
      <c r="F34" s="1968"/>
      <c r="G34" s="1968"/>
      <c r="H34" s="402" t="s">
        <v>1689</v>
      </c>
      <c r="I34" s="1964" t="s">
        <v>8</v>
      </c>
      <c r="J34" s="407"/>
      <c r="K34" s="399">
        <f>IFERROR(K1124/G78,"missing data")</f>
        <v>0</v>
      </c>
      <c r="L34" s="1177" t="s">
        <v>646</v>
      </c>
      <c r="M34" s="399" t="s">
        <v>191</v>
      </c>
      <c r="N34" s="85">
        <v>0</v>
      </c>
      <c r="O34" s="1131">
        <f t="shared" si="0"/>
        <v>0</v>
      </c>
      <c r="P34" s="80">
        <f>L1124/G78</f>
        <v>0.66062510303155364</v>
      </c>
      <c r="Q34" s="1132">
        <f t="shared" si="1"/>
        <v>0.66062510303155364</v>
      </c>
      <c r="R34" s="1275">
        <f t="shared" si="2"/>
        <v>100</v>
      </c>
      <c r="S34" s="440"/>
      <c r="T34" s="440"/>
      <c r="U34" s="441"/>
      <c r="V34" s="391"/>
      <c r="W34" s="391"/>
      <c r="X34" s="391"/>
      <c r="Y34" s="391"/>
      <c r="Z34" s="391"/>
      <c r="AA34" s="391"/>
      <c r="AB34" s="391"/>
      <c r="AC34" s="391"/>
      <c r="AD34" s="391"/>
      <c r="AE34" s="391"/>
      <c r="AF34" s="391"/>
      <c r="AG34" s="391"/>
      <c r="AH34" s="391"/>
      <c r="AI34" s="391"/>
      <c r="AJ34" s="391"/>
      <c r="AK34" s="391"/>
      <c r="AL34" s="391"/>
      <c r="AM34" s="391"/>
      <c r="AN34" s="391"/>
      <c r="AO34" s="391"/>
      <c r="AP34" s="391"/>
      <c r="AQ34" s="391"/>
      <c r="AR34" s="391"/>
      <c r="AS34" s="391"/>
      <c r="AT34" s="391"/>
      <c r="AU34" s="391"/>
      <c r="AV34" s="391"/>
      <c r="AW34" s="391"/>
      <c r="AX34" s="391"/>
      <c r="AY34" s="391"/>
      <c r="AZ34" s="391"/>
      <c r="BA34" s="391"/>
      <c r="BB34" s="391"/>
      <c r="BC34" s="391"/>
      <c r="BD34" s="391"/>
      <c r="BE34" s="391"/>
      <c r="BF34" s="391"/>
      <c r="BG34" s="391"/>
      <c r="BH34" s="391"/>
      <c r="BI34" s="391"/>
      <c r="BJ34" s="391"/>
      <c r="BK34" s="391"/>
      <c r="BL34" s="391"/>
      <c r="BM34" s="391"/>
      <c r="BN34" s="391"/>
      <c r="BO34" s="391"/>
      <c r="BP34" s="391"/>
      <c r="BQ34" s="391"/>
      <c r="BR34" s="391"/>
      <c r="BS34" s="391"/>
      <c r="BT34" s="391"/>
      <c r="BU34" s="391"/>
      <c r="BV34" s="391"/>
      <c r="BW34" s="391"/>
      <c r="BX34" s="391"/>
      <c r="BY34" s="391"/>
      <c r="BZ34" s="391"/>
      <c r="CA34" s="391"/>
      <c r="CB34" s="391"/>
      <c r="CC34" s="391"/>
      <c r="CD34" s="391"/>
      <c r="CE34" s="391"/>
      <c r="CF34" s="391"/>
      <c r="CG34" s="391"/>
      <c r="CH34" s="391"/>
      <c r="CI34" s="391"/>
      <c r="CJ34" s="391"/>
      <c r="CK34" s="391"/>
      <c r="CL34" s="391"/>
      <c r="CM34" s="391"/>
      <c r="CN34" s="443"/>
    </row>
    <row r="35" ht="123.75" customHeight="true" x14ac:dyDescent="0.25">
      <c r="B35" s="390"/>
      <c r="C35" s="391"/>
      <c r="D35" s="1276">
        <f t="shared" si="5"/>
        <v>30</v>
      </c>
      <c r="E35" s="1948" t="s">
        <v>132</v>
      </c>
      <c r="F35" s="1948"/>
      <c r="G35" s="1948"/>
      <c r="H35" s="402" t="s">
        <v>1690</v>
      </c>
      <c r="I35" s="1964"/>
      <c r="J35" s="407"/>
      <c r="K35" s="399">
        <f>IFERROR(ROUND(K1124/G80,4),"missing data")</f>
        <v>0</v>
      </c>
      <c r="L35" s="1177" t="s">
        <v>647</v>
      </c>
      <c r="M35" s="399" t="s">
        <v>648</v>
      </c>
      <c r="N35" s="85">
        <v>0</v>
      </c>
      <c r="O35" s="1131">
        <f t="shared" si="0"/>
        <v>0</v>
      </c>
      <c r="P35" s="80">
        <f>ROUND(L1124/G80,4)</f>
        <v>0.66059999999999997</v>
      </c>
      <c r="Q35" s="1132">
        <f t="shared" si="1"/>
        <v>0.66059999999999997</v>
      </c>
      <c r="R35" s="1275">
        <f t="shared" si="2"/>
        <v>100</v>
      </c>
      <c r="S35" s="440"/>
      <c r="T35" s="440"/>
      <c r="U35" s="441"/>
      <c r="V35" s="391"/>
      <c r="W35" s="391"/>
      <c r="X35" s="391"/>
      <c r="Y35" s="391"/>
      <c r="Z35" s="391"/>
      <c r="AA35" s="391"/>
      <c r="AB35" s="391"/>
      <c r="AC35" s="391"/>
      <c r="AD35" s="391"/>
      <c r="AE35" s="391"/>
      <c r="AF35" s="391"/>
      <c r="AG35" s="391"/>
      <c r="AH35" s="391"/>
      <c r="AI35" s="391"/>
      <c r="AJ35" s="391"/>
      <c r="AK35" s="391"/>
      <c r="AL35" s="391"/>
      <c r="AM35" s="391"/>
      <c r="AN35" s="391"/>
      <c r="AO35" s="391"/>
      <c r="AP35" s="391"/>
      <c r="AQ35" s="391"/>
      <c r="AR35" s="391"/>
      <c r="AS35" s="391"/>
      <c r="AT35" s="391"/>
      <c r="AU35" s="391"/>
      <c r="AV35" s="391"/>
      <c r="AW35" s="391"/>
      <c r="AX35" s="391"/>
      <c r="AY35" s="391"/>
      <c r="AZ35" s="391"/>
      <c r="BA35" s="391"/>
      <c r="BB35" s="391"/>
      <c r="BC35" s="391"/>
      <c r="BD35" s="391"/>
      <c r="BE35" s="391"/>
      <c r="BF35" s="391"/>
      <c r="BG35" s="391"/>
      <c r="BH35" s="391"/>
      <c r="BI35" s="391"/>
      <c r="BJ35" s="391"/>
      <c r="BK35" s="391"/>
      <c r="BL35" s="391"/>
      <c r="BM35" s="391"/>
      <c r="BN35" s="391"/>
      <c r="BO35" s="391"/>
      <c r="BP35" s="391"/>
      <c r="BQ35" s="391"/>
      <c r="BR35" s="391"/>
      <c r="BS35" s="391"/>
      <c r="BT35" s="391"/>
      <c r="BU35" s="391"/>
      <c r="BV35" s="391"/>
      <c r="BW35" s="391"/>
      <c r="BX35" s="391"/>
      <c r="BY35" s="391"/>
      <c r="BZ35" s="391"/>
      <c r="CA35" s="391"/>
      <c r="CB35" s="391"/>
      <c r="CC35" s="391"/>
      <c r="CD35" s="391"/>
      <c r="CE35" s="391"/>
      <c r="CF35" s="391"/>
      <c r="CG35" s="391"/>
      <c r="CH35" s="391"/>
      <c r="CI35" s="391"/>
      <c r="CJ35" s="391"/>
      <c r="CK35" s="391"/>
      <c r="CL35" s="391"/>
      <c r="CM35" s="391"/>
      <c r="CN35" s="443"/>
    </row>
    <row r="36" ht="110.25" customHeight="true" x14ac:dyDescent="0.25">
      <c r="B36" s="390"/>
      <c r="C36" s="391"/>
      <c r="D36" s="1276">
        <f t="shared" si="5"/>
        <v>31</v>
      </c>
      <c r="E36" s="1948" t="s">
        <v>133</v>
      </c>
      <c r="F36" s="1948"/>
      <c r="G36" s="1948"/>
      <c r="H36" s="402" t="s">
        <v>1691</v>
      </c>
      <c r="I36" s="1964" t="s">
        <v>16</v>
      </c>
      <c r="J36" s="407"/>
      <c r="K36" s="1277">
        <f>IFERROR(K1182/G78,"missing data")</f>
        <v>0</v>
      </c>
      <c r="L36" s="1177" t="s">
        <v>654</v>
      </c>
      <c r="M36" s="399" t="s">
        <v>655</v>
      </c>
      <c r="N36" s="84">
        <v>0</v>
      </c>
      <c r="O36" s="1131">
        <f t="shared" si="0"/>
        <v>0</v>
      </c>
      <c r="P36" s="80">
        <f>L1182/G78</f>
        <v>0.66062510303155364</v>
      </c>
      <c r="Q36" s="1132">
        <f t="shared" si="1"/>
        <v>0.66062510303155364</v>
      </c>
      <c r="R36" s="1275">
        <f t="shared" si="2"/>
        <v>100</v>
      </c>
      <c r="S36" s="440"/>
      <c r="T36" s="440"/>
      <c r="U36" s="441"/>
      <c r="V36" s="391"/>
      <c r="W36" s="391"/>
      <c r="X36" s="391"/>
      <c r="Y36" s="391"/>
      <c r="Z36" s="391"/>
      <c r="AA36" s="391"/>
      <c r="AB36" s="391"/>
      <c r="AC36" s="391"/>
      <c r="AD36" s="391"/>
      <c r="AE36" s="391"/>
      <c r="AF36" s="391"/>
      <c r="AG36" s="391"/>
      <c r="AH36" s="391"/>
      <c r="AI36" s="391"/>
      <c r="AJ36" s="391"/>
      <c r="AK36" s="391"/>
      <c r="AL36" s="391"/>
      <c r="AM36" s="391"/>
      <c r="AN36" s="391"/>
      <c r="AO36" s="391"/>
      <c r="AP36" s="391"/>
      <c r="AQ36" s="391"/>
      <c r="AR36" s="391"/>
      <c r="AS36" s="391"/>
      <c r="AT36" s="391"/>
      <c r="AU36" s="391"/>
      <c r="AV36" s="391"/>
      <c r="AW36" s="391"/>
      <c r="AX36" s="391"/>
      <c r="AY36" s="391"/>
      <c r="AZ36" s="391"/>
      <c r="BA36" s="391"/>
      <c r="BB36" s="391"/>
      <c r="BC36" s="391"/>
      <c r="BD36" s="391"/>
      <c r="BE36" s="391"/>
      <c r="BF36" s="391"/>
      <c r="BG36" s="391"/>
      <c r="BH36" s="391"/>
      <c r="BI36" s="391"/>
      <c r="BJ36" s="391"/>
      <c r="BK36" s="391"/>
      <c r="BL36" s="391"/>
      <c r="BM36" s="391"/>
      <c r="BN36" s="391"/>
      <c r="BO36" s="391"/>
      <c r="BP36" s="391"/>
      <c r="BQ36" s="391"/>
      <c r="BR36" s="391"/>
      <c r="BS36" s="391"/>
      <c r="BT36" s="391"/>
      <c r="BU36" s="391"/>
      <c r="BV36" s="391"/>
      <c r="BW36" s="391"/>
      <c r="BX36" s="391"/>
      <c r="BY36" s="391"/>
      <c r="BZ36" s="391"/>
      <c r="CA36" s="391"/>
      <c r="CB36" s="391"/>
      <c r="CC36" s="391"/>
      <c r="CD36" s="391"/>
      <c r="CE36" s="391"/>
      <c r="CF36" s="391"/>
      <c r="CG36" s="391"/>
      <c r="CH36" s="391"/>
      <c r="CI36" s="391"/>
      <c r="CJ36" s="391"/>
      <c r="CK36" s="391"/>
      <c r="CL36" s="391"/>
      <c r="CM36" s="391"/>
      <c r="CN36" s="443"/>
    </row>
    <row r="37" ht="110.25" customHeight="true" x14ac:dyDescent="0.25">
      <c r="B37" s="390"/>
      <c r="C37" s="391"/>
      <c r="D37" s="1276">
        <f t="shared" si="5"/>
        <v>32</v>
      </c>
      <c r="E37" s="1948" t="s">
        <v>134</v>
      </c>
      <c r="F37" s="1948"/>
      <c r="G37" s="1948"/>
      <c r="H37" s="402" t="s">
        <v>1692</v>
      </c>
      <c r="I37" s="1964"/>
      <c r="J37" s="407"/>
      <c r="K37" s="1277">
        <f>IFERROR(ROUND(K1182/G80,4),"missing data")</f>
        <v>0</v>
      </c>
      <c r="L37" s="1177" t="s">
        <v>654</v>
      </c>
      <c r="M37" s="399" t="s">
        <v>656</v>
      </c>
      <c r="N37" s="84">
        <v>0</v>
      </c>
      <c r="O37" s="1131">
        <f t="shared" si="0"/>
        <v>0</v>
      </c>
      <c r="P37" s="80">
        <f>ROUND(L1182/G80,4)</f>
        <v>0.66059999999999997</v>
      </c>
      <c r="Q37" s="1132">
        <f t="shared" si="1"/>
        <v>0.66059999999999997</v>
      </c>
      <c r="R37" s="1275">
        <f t="shared" si="2"/>
        <v>100</v>
      </c>
      <c r="S37" s="440"/>
      <c r="T37" s="440"/>
      <c r="U37" s="441"/>
      <c r="V37" s="391"/>
      <c r="W37" s="391"/>
      <c r="X37" s="391"/>
      <c r="Y37" s="391"/>
      <c r="Z37" s="391"/>
      <c r="AA37" s="391"/>
      <c r="AB37" s="391"/>
      <c r="AC37" s="391"/>
      <c r="AD37" s="391"/>
      <c r="AE37" s="391"/>
      <c r="AF37" s="391"/>
      <c r="AG37" s="391"/>
      <c r="AH37" s="391"/>
      <c r="AI37" s="391"/>
      <c r="AJ37" s="391"/>
      <c r="AK37" s="391"/>
      <c r="AL37" s="391"/>
      <c r="AM37" s="391"/>
      <c r="AN37" s="391"/>
      <c r="AO37" s="391"/>
      <c r="AP37" s="391"/>
      <c r="AQ37" s="391"/>
      <c r="AR37" s="391"/>
      <c r="AS37" s="391"/>
      <c r="AT37" s="391"/>
      <c r="AU37" s="391"/>
      <c r="AV37" s="391"/>
      <c r="AW37" s="391"/>
      <c r="AX37" s="391"/>
      <c r="AY37" s="391"/>
      <c r="AZ37" s="391"/>
      <c r="BA37" s="391"/>
      <c r="BB37" s="391"/>
      <c r="BC37" s="391"/>
      <c r="BD37" s="391"/>
      <c r="BE37" s="391"/>
      <c r="BF37" s="391"/>
      <c r="BG37" s="391"/>
      <c r="BH37" s="391"/>
      <c r="BI37" s="391"/>
      <c r="BJ37" s="391"/>
      <c r="BK37" s="391"/>
      <c r="BL37" s="391"/>
      <c r="BM37" s="391"/>
      <c r="BN37" s="391"/>
      <c r="BO37" s="391"/>
      <c r="BP37" s="391"/>
      <c r="BQ37" s="391"/>
      <c r="BR37" s="391"/>
      <c r="BS37" s="391"/>
      <c r="BT37" s="391"/>
      <c r="BU37" s="391"/>
      <c r="BV37" s="391"/>
      <c r="BW37" s="391"/>
      <c r="BX37" s="391"/>
      <c r="BY37" s="391"/>
      <c r="BZ37" s="391"/>
      <c r="CA37" s="391"/>
      <c r="CB37" s="391"/>
      <c r="CC37" s="391"/>
      <c r="CD37" s="391"/>
      <c r="CE37" s="391"/>
      <c r="CF37" s="391"/>
      <c r="CG37" s="391"/>
      <c r="CH37" s="391"/>
      <c r="CI37" s="391"/>
      <c r="CJ37" s="391"/>
      <c r="CK37" s="391"/>
      <c r="CL37" s="391"/>
      <c r="CM37" s="391"/>
      <c r="CN37" s="443"/>
    </row>
    <row r="38" ht="113.25" customHeight="true" x14ac:dyDescent="0.25">
      <c r="B38" s="390"/>
      <c r="C38" s="391"/>
      <c r="D38" s="1276">
        <f t="shared" si="5"/>
        <v>33</v>
      </c>
      <c r="E38" s="1948" t="s">
        <v>135</v>
      </c>
      <c r="F38" s="1948"/>
      <c r="G38" s="1948"/>
      <c r="H38" s="402" t="s">
        <v>1693</v>
      </c>
      <c r="I38" s="1964" t="s">
        <v>17</v>
      </c>
      <c r="J38" s="407"/>
      <c r="K38" s="1201">
        <f>IFERROR(K1240/G78,"missing data")</f>
        <v>0</v>
      </c>
      <c r="L38" s="1177" t="s">
        <v>663</v>
      </c>
      <c r="M38" s="399" t="s">
        <v>26</v>
      </c>
      <c r="N38" s="84">
        <v>0</v>
      </c>
      <c r="O38" s="1131">
        <f t="shared" si="0"/>
        <v>0</v>
      </c>
      <c r="P38" s="80">
        <f>L1240/G78</f>
        <v>0.66062510303155364</v>
      </c>
      <c r="Q38" s="1132">
        <f t="shared" si="1"/>
        <v>0.66062510303155364</v>
      </c>
      <c r="R38" s="1275">
        <f t="shared" si="2"/>
        <v>100</v>
      </c>
      <c r="S38" s="440"/>
      <c r="T38" s="440"/>
      <c r="U38" s="441"/>
      <c r="V38" s="391"/>
      <c r="W38" s="391"/>
      <c r="X38" s="391"/>
      <c r="Y38" s="391"/>
      <c r="Z38" s="391"/>
      <c r="AA38" s="391"/>
      <c r="AB38" s="391"/>
      <c r="AC38" s="391"/>
      <c r="AD38" s="391"/>
      <c r="AE38" s="391"/>
      <c r="AF38" s="391"/>
      <c r="AG38" s="391"/>
      <c r="AH38" s="391"/>
      <c r="AI38" s="391"/>
      <c r="AJ38" s="391"/>
      <c r="AK38" s="391"/>
      <c r="AL38" s="391"/>
      <c r="AM38" s="391"/>
      <c r="AN38" s="391"/>
      <c r="AO38" s="391"/>
      <c r="AP38" s="391"/>
      <c r="AQ38" s="391"/>
      <c r="AR38" s="391"/>
      <c r="AS38" s="391"/>
      <c r="AT38" s="391"/>
      <c r="AU38" s="391"/>
      <c r="AV38" s="391"/>
      <c r="AW38" s="391"/>
      <c r="AX38" s="391"/>
      <c r="AY38" s="391"/>
      <c r="AZ38" s="391"/>
      <c r="BA38" s="391"/>
      <c r="BB38" s="391"/>
      <c r="BC38" s="391"/>
      <c r="BD38" s="391"/>
      <c r="BE38" s="391"/>
      <c r="BF38" s="391"/>
      <c r="BG38" s="391"/>
      <c r="BH38" s="391"/>
      <c r="BI38" s="391"/>
      <c r="BJ38" s="391"/>
      <c r="BK38" s="391"/>
      <c r="BL38" s="391"/>
      <c r="BM38" s="391"/>
      <c r="BN38" s="391"/>
      <c r="BO38" s="391"/>
      <c r="BP38" s="391"/>
      <c r="BQ38" s="391"/>
      <c r="BR38" s="391"/>
      <c r="BS38" s="391"/>
      <c r="BT38" s="391"/>
      <c r="BU38" s="391"/>
      <c r="BV38" s="391"/>
      <c r="BW38" s="391"/>
      <c r="BX38" s="391"/>
      <c r="BY38" s="391"/>
      <c r="BZ38" s="391"/>
      <c r="CA38" s="391"/>
      <c r="CB38" s="391"/>
      <c r="CC38" s="391"/>
      <c r="CD38" s="391"/>
      <c r="CE38" s="391"/>
      <c r="CF38" s="391"/>
      <c r="CG38" s="391"/>
      <c r="CH38" s="391"/>
      <c r="CI38" s="391"/>
      <c r="CJ38" s="391"/>
      <c r="CK38" s="391"/>
      <c r="CL38" s="391"/>
      <c r="CM38" s="391"/>
      <c r="CN38" s="443"/>
    </row>
    <row r="39" ht="113.25" customHeight="true" x14ac:dyDescent="0.25">
      <c r="B39" s="390"/>
      <c r="C39" s="391"/>
      <c r="D39" s="1276">
        <f t="shared" si="5"/>
        <v>34</v>
      </c>
      <c r="E39" s="1948" t="s">
        <v>136</v>
      </c>
      <c r="F39" s="1948"/>
      <c r="G39" s="1948"/>
      <c r="H39" s="402" t="s">
        <v>1694</v>
      </c>
      <c r="I39" s="1964"/>
      <c r="J39" s="407"/>
      <c r="K39" s="1201">
        <f>IFERROR(ROUND(K1240/G80,4),"missing data")</f>
        <v>0</v>
      </c>
      <c r="L39" s="1177" t="s">
        <v>663</v>
      </c>
      <c r="M39" s="399" t="s">
        <v>669</v>
      </c>
      <c r="N39" s="84">
        <v>0</v>
      </c>
      <c r="O39" s="1131">
        <f t="shared" si="0"/>
        <v>0</v>
      </c>
      <c r="P39" s="80">
        <f>ROUND(L1240/G80,4)</f>
        <v>0.66059999999999997</v>
      </c>
      <c r="Q39" s="1132">
        <f t="shared" si="1"/>
        <v>0.66059999999999997</v>
      </c>
      <c r="R39" s="1275">
        <f t="shared" si="2"/>
        <v>100</v>
      </c>
      <c r="S39" s="440"/>
      <c r="T39" s="440"/>
      <c r="U39" s="441"/>
      <c r="V39" s="391"/>
      <c r="W39" s="391"/>
      <c r="X39" s="391"/>
      <c r="Y39" s="391"/>
      <c r="Z39" s="391"/>
      <c r="AA39" s="391"/>
      <c r="AB39" s="391"/>
      <c r="AC39" s="391"/>
      <c r="AD39" s="391"/>
      <c r="AE39" s="391"/>
      <c r="AF39" s="391"/>
      <c r="AG39" s="391"/>
      <c r="AH39" s="391"/>
      <c r="AI39" s="391"/>
      <c r="AJ39" s="391"/>
      <c r="AK39" s="391"/>
      <c r="AL39" s="391"/>
      <c r="AM39" s="391"/>
      <c r="AN39" s="391"/>
      <c r="AO39" s="391"/>
      <c r="AP39" s="391"/>
      <c r="AQ39" s="391"/>
      <c r="AR39" s="391"/>
      <c r="AS39" s="391"/>
      <c r="AT39" s="391"/>
      <c r="AU39" s="391"/>
      <c r="AV39" s="391"/>
      <c r="AW39" s="391"/>
      <c r="AX39" s="391"/>
      <c r="AY39" s="391"/>
      <c r="AZ39" s="391"/>
      <c r="BA39" s="391"/>
      <c r="BB39" s="391"/>
      <c r="BC39" s="391"/>
      <c r="BD39" s="391"/>
      <c r="BE39" s="391"/>
      <c r="BF39" s="391"/>
      <c r="BG39" s="391"/>
      <c r="BH39" s="391"/>
      <c r="BI39" s="391"/>
      <c r="BJ39" s="391"/>
      <c r="BK39" s="391"/>
      <c r="BL39" s="391"/>
      <c r="BM39" s="391"/>
      <c r="BN39" s="391"/>
      <c r="BO39" s="391"/>
      <c r="BP39" s="391"/>
      <c r="BQ39" s="391"/>
      <c r="BR39" s="391"/>
      <c r="BS39" s="391"/>
      <c r="BT39" s="391"/>
      <c r="BU39" s="391"/>
      <c r="BV39" s="391"/>
      <c r="BW39" s="391"/>
      <c r="BX39" s="391"/>
      <c r="BY39" s="391"/>
      <c r="BZ39" s="391"/>
      <c r="CA39" s="391"/>
      <c r="CB39" s="391"/>
      <c r="CC39" s="391"/>
      <c r="CD39" s="391"/>
      <c r="CE39" s="391"/>
      <c r="CF39" s="391"/>
      <c r="CG39" s="391"/>
      <c r="CH39" s="391"/>
      <c r="CI39" s="391"/>
      <c r="CJ39" s="391"/>
      <c r="CK39" s="391"/>
      <c r="CL39" s="391"/>
      <c r="CM39" s="391"/>
      <c r="CN39" s="443"/>
    </row>
    <row r="40" ht="132" customHeight="true" x14ac:dyDescent="0.25">
      <c r="B40" s="390"/>
      <c r="C40" s="391"/>
      <c r="D40" s="1276">
        <f t="shared" si="5"/>
        <v>35</v>
      </c>
      <c r="E40" s="1948" t="s">
        <v>137</v>
      </c>
      <c r="F40" s="1948"/>
      <c r="G40" s="1948"/>
      <c r="H40" s="402" t="s">
        <v>1695</v>
      </c>
      <c r="I40" s="1964" t="s">
        <v>19</v>
      </c>
      <c r="J40" s="407"/>
      <c r="K40" s="1201">
        <f>IFERROR(K1298/G78,"missing data")</f>
        <v>0</v>
      </c>
      <c r="L40" s="1177" t="s">
        <v>668</v>
      </c>
      <c r="M40" s="401" t="s">
        <v>670</v>
      </c>
      <c r="N40" s="84">
        <v>0</v>
      </c>
      <c r="O40" s="1131">
        <f t="shared" si="0"/>
        <v>0</v>
      </c>
      <c r="P40" s="80">
        <f>L1298/G78</f>
        <v>0.66062510303155364</v>
      </c>
      <c r="Q40" s="1132">
        <f t="shared" si="1"/>
        <v>0.66062510303155364</v>
      </c>
      <c r="R40" s="1275">
        <f t="shared" si="2"/>
        <v>100</v>
      </c>
      <c r="S40" s="440"/>
      <c r="T40" s="440"/>
      <c r="U40" s="441"/>
      <c r="V40" s="391"/>
      <c r="W40" s="391"/>
      <c r="X40" s="391"/>
      <c r="Y40" s="391"/>
      <c r="Z40" s="391"/>
      <c r="AA40" s="391"/>
      <c r="AB40" s="391"/>
      <c r="AC40" s="391"/>
      <c r="AD40" s="391"/>
      <c r="AE40" s="391"/>
      <c r="AF40" s="391"/>
      <c r="AG40" s="391"/>
      <c r="AH40" s="391"/>
      <c r="AI40" s="391"/>
      <c r="AJ40" s="391"/>
      <c r="AK40" s="391"/>
      <c r="AL40" s="391"/>
      <c r="AM40" s="391"/>
      <c r="AN40" s="391"/>
      <c r="AO40" s="391"/>
      <c r="AP40" s="391"/>
      <c r="AQ40" s="391"/>
      <c r="AR40" s="391"/>
      <c r="AS40" s="391"/>
      <c r="AT40" s="391"/>
      <c r="AU40" s="391"/>
      <c r="AV40" s="391"/>
      <c r="AW40" s="391"/>
      <c r="AX40" s="391"/>
      <c r="AY40" s="391"/>
      <c r="AZ40" s="391"/>
      <c r="BA40" s="391"/>
      <c r="BB40" s="391"/>
      <c r="BC40" s="391"/>
      <c r="BD40" s="391"/>
      <c r="BE40" s="391"/>
      <c r="BF40" s="391"/>
      <c r="BG40" s="391"/>
      <c r="BH40" s="391"/>
      <c r="BI40" s="391"/>
      <c r="BJ40" s="391"/>
      <c r="BK40" s="391"/>
      <c r="BL40" s="391"/>
      <c r="BM40" s="391"/>
      <c r="BN40" s="391"/>
      <c r="BO40" s="391"/>
      <c r="BP40" s="391"/>
      <c r="BQ40" s="391"/>
      <c r="BR40" s="391"/>
      <c r="BS40" s="391"/>
      <c r="BT40" s="391"/>
      <c r="BU40" s="391"/>
      <c r="BV40" s="391"/>
      <c r="BW40" s="391"/>
      <c r="BX40" s="391"/>
      <c r="BY40" s="391"/>
      <c r="BZ40" s="391"/>
      <c r="CA40" s="391"/>
      <c r="CB40" s="391"/>
      <c r="CC40" s="391"/>
      <c r="CD40" s="391"/>
      <c r="CE40" s="391"/>
      <c r="CF40" s="391"/>
      <c r="CG40" s="391"/>
      <c r="CH40" s="391"/>
      <c r="CI40" s="391"/>
      <c r="CJ40" s="391"/>
      <c r="CK40" s="391"/>
      <c r="CL40" s="391"/>
      <c r="CM40" s="391"/>
      <c r="CN40" s="443"/>
    </row>
    <row r="41" ht="132" customHeight="true" x14ac:dyDescent="0.25">
      <c r="B41" s="390"/>
      <c r="C41" s="391"/>
      <c r="D41" s="1276">
        <f t="shared" si="5"/>
        <v>36</v>
      </c>
      <c r="E41" s="1948" t="s">
        <v>138</v>
      </c>
      <c r="F41" s="1948"/>
      <c r="G41" s="1948"/>
      <c r="H41" s="402" t="s">
        <v>1696</v>
      </c>
      <c r="I41" s="1964"/>
      <c r="J41" s="407"/>
      <c r="K41" s="1201">
        <f>IFERROR(ROUND(K1298/G80,4),"missing data")</f>
        <v>0</v>
      </c>
      <c r="L41" s="1177" t="s">
        <v>668</v>
      </c>
      <c r="M41" s="401" t="s">
        <v>671</v>
      </c>
      <c r="N41" s="84">
        <v>0</v>
      </c>
      <c r="O41" s="1131">
        <f t="shared" si="0"/>
        <v>0</v>
      </c>
      <c r="P41" s="80">
        <f>ROUND(L1298/G80,4)</f>
        <v>0.66059999999999997</v>
      </c>
      <c r="Q41" s="1132">
        <f t="shared" si="1"/>
        <v>0.66059999999999997</v>
      </c>
      <c r="R41" s="1275">
        <f t="shared" si="2"/>
        <v>100</v>
      </c>
      <c r="S41" s="440"/>
      <c r="T41" s="440"/>
      <c r="U41" s="441"/>
      <c r="V41" s="391"/>
      <c r="W41" s="391"/>
      <c r="X41" s="391"/>
      <c r="Y41" s="391"/>
      <c r="Z41" s="391"/>
      <c r="AA41" s="391"/>
      <c r="AB41" s="391"/>
      <c r="AC41" s="391"/>
      <c r="AD41" s="391"/>
      <c r="AE41" s="391"/>
      <c r="AF41" s="391"/>
      <c r="AG41" s="391"/>
      <c r="AH41" s="391"/>
      <c r="AI41" s="391"/>
      <c r="AJ41" s="391"/>
      <c r="AK41" s="391"/>
      <c r="AL41" s="391"/>
      <c r="AM41" s="391"/>
      <c r="AN41" s="391"/>
      <c r="AO41" s="391"/>
      <c r="AP41" s="391"/>
      <c r="AQ41" s="391"/>
      <c r="AR41" s="391"/>
      <c r="AS41" s="391"/>
      <c r="AT41" s="391"/>
      <c r="AU41" s="391"/>
      <c r="AV41" s="391"/>
      <c r="AW41" s="391"/>
      <c r="AX41" s="391"/>
      <c r="AY41" s="391"/>
      <c r="AZ41" s="391"/>
      <c r="BA41" s="391"/>
      <c r="BB41" s="391"/>
      <c r="BC41" s="391"/>
      <c r="BD41" s="391"/>
      <c r="BE41" s="391"/>
      <c r="BF41" s="391"/>
      <c r="BG41" s="391"/>
      <c r="BH41" s="391"/>
      <c r="BI41" s="391"/>
      <c r="BJ41" s="391"/>
      <c r="BK41" s="391"/>
      <c r="BL41" s="391"/>
      <c r="BM41" s="391"/>
      <c r="BN41" s="391"/>
      <c r="BO41" s="391"/>
      <c r="BP41" s="391"/>
      <c r="BQ41" s="391"/>
      <c r="BR41" s="391"/>
      <c r="BS41" s="391"/>
      <c r="BT41" s="391"/>
      <c r="BU41" s="391"/>
      <c r="BV41" s="391"/>
      <c r="BW41" s="391"/>
      <c r="BX41" s="391"/>
      <c r="BY41" s="391"/>
      <c r="BZ41" s="391"/>
      <c r="CA41" s="391"/>
      <c r="CB41" s="391"/>
      <c r="CC41" s="391"/>
      <c r="CD41" s="391"/>
      <c r="CE41" s="391"/>
      <c r="CF41" s="391"/>
      <c r="CG41" s="391"/>
      <c r="CH41" s="391"/>
      <c r="CI41" s="391"/>
      <c r="CJ41" s="391"/>
      <c r="CK41" s="391"/>
      <c r="CL41" s="391"/>
      <c r="CM41" s="391"/>
      <c r="CN41" s="443"/>
    </row>
    <row r="42" ht="154.5" customHeight="true" x14ac:dyDescent="0.25">
      <c r="B42" s="390"/>
      <c r="C42" s="391"/>
      <c r="D42" s="1276">
        <f t="shared" si="5"/>
        <v>37</v>
      </c>
      <c r="E42" s="1948" t="s">
        <v>139</v>
      </c>
      <c r="F42" s="1948"/>
      <c r="G42" s="1948"/>
      <c r="H42" s="402" t="s">
        <v>1697</v>
      </c>
      <c r="I42" s="1964" t="s">
        <v>20</v>
      </c>
      <c r="J42" s="407"/>
      <c r="K42" s="1201">
        <f>IFERROR(K1356/G78,"missing data")</f>
        <v>0</v>
      </c>
      <c r="L42" s="1177" t="s">
        <v>704</v>
      </c>
      <c r="M42" s="399" t="s">
        <v>192</v>
      </c>
      <c r="N42" s="84">
        <v>0</v>
      </c>
      <c r="O42" s="1131">
        <f t="shared" si="0"/>
        <v>0</v>
      </c>
      <c r="P42" s="80">
        <f>L1356/G78</f>
        <v>0.66062510303155364</v>
      </c>
      <c r="Q42" s="1132">
        <f t="shared" si="1"/>
        <v>0.66062510303155364</v>
      </c>
      <c r="R42" s="1275">
        <f t="shared" si="2"/>
        <v>100</v>
      </c>
      <c r="S42" s="440"/>
      <c r="T42" s="440"/>
      <c r="U42" s="441"/>
      <c r="V42" s="391"/>
      <c r="W42" s="391"/>
      <c r="X42" s="391"/>
      <c r="Y42" s="391"/>
      <c r="Z42" s="391"/>
      <c r="AA42" s="391"/>
      <c r="AB42" s="391"/>
      <c r="AC42" s="391"/>
      <c r="AD42" s="391"/>
      <c r="AE42" s="391"/>
      <c r="AF42" s="391"/>
      <c r="AG42" s="391"/>
      <c r="AH42" s="391"/>
      <c r="AI42" s="391"/>
      <c r="AJ42" s="391"/>
      <c r="AK42" s="391"/>
      <c r="AL42" s="391"/>
      <c r="AM42" s="391"/>
      <c r="AN42" s="391"/>
      <c r="AO42" s="391"/>
      <c r="AP42" s="391"/>
      <c r="AQ42" s="391"/>
      <c r="AR42" s="391"/>
      <c r="AS42" s="391"/>
      <c r="AT42" s="391"/>
      <c r="AU42" s="391"/>
      <c r="AV42" s="391"/>
      <c r="AW42" s="391"/>
      <c r="AX42" s="391"/>
      <c r="AY42" s="391"/>
      <c r="AZ42" s="391"/>
      <c r="BA42" s="391"/>
      <c r="BB42" s="391"/>
      <c r="BC42" s="391"/>
      <c r="BD42" s="391"/>
      <c r="BE42" s="391"/>
      <c r="BF42" s="391"/>
      <c r="BG42" s="391"/>
      <c r="BH42" s="391"/>
      <c r="BI42" s="391"/>
      <c r="BJ42" s="391"/>
      <c r="BK42" s="391"/>
      <c r="BL42" s="391"/>
      <c r="BM42" s="391"/>
      <c r="BN42" s="391"/>
      <c r="BO42" s="391"/>
      <c r="BP42" s="391"/>
      <c r="BQ42" s="391"/>
      <c r="BR42" s="391"/>
      <c r="BS42" s="391"/>
      <c r="BT42" s="391"/>
      <c r="BU42" s="391"/>
      <c r="BV42" s="391"/>
      <c r="BW42" s="391"/>
      <c r="BX42" s="391"/>
      <c r="BY42" s="391"/>
      <c r="BZ42" s="391"/>
      <c r="CA42" s="391"/>
      <c r="CB42" s="391"/>
      <c r="CC42" s="391"/>
      <c r="CD42" s="391"/>
      <c r="CE42" s="391"/>
      <c r="CF42" s="391"/>
      <c r="CG42" s="391"/>
      <c r="CH42" s="391"/>
      <c r="CI42" s="391"/>
      <c r="CJ42" s="391"/>
      <c r="CK42" s="391"/>
      <c r="CL42" s="391"/>
      <c r="CM42" s="391"/>
      <c r="CN42" s="443"/>
    </row>
    <row r="43" ht="154.5" customHeight="true" x14ac:dyDescent="0.25">
      <c r="B43" s="390"/>
      <c r="C43" s="391"/>
      <c r="D43" s="1276">
        <f t="shared" si="5"/>
        <v>38</v>
      </c>
      <c r="E43" s="1948" t="s">
        <v>140</v>
      </c>
      <c r="F43" s="1948"/>
      <c r="G43" s="1948"/>
      <c r="H43" s="402" t="s">
        <v>1698</v>
      </c>
      <c r="I43" s="1964"/>
      <c r="J43" s="407"/>
      <c r="K43" s="1201">
        <f>IFERROR(ROUND(K1356/G80,4),"missing data")</f>
        <v>0</v>
      </c>
      <c r="L43" s="1177" t="s">
        <v>704</v>
      </c>
      <c r="M43" s="399" t="s">
        <v>705</v>
      </c>
      <c r="N43" s="84">
        <v>0</v>
      </c>
      <c r="O43" s="1131">
        <f t="shared" si="0"/>
        <v>0</v>
      </c>
      <c r="P43" s="80">
        <f>ROUND(L1356/G80,4)</f>
        <v>0.66059999999999997</v>
      </c>
      <c r="Q43" s="1132">
        <f t="shared" si="1"/>
        <v>0.66059999999999997</v>
      </c>
      <c r="R43" s="1275">
        <f t="shared" si="2"/>
        <v>100</v>
      </c>
      <c r="S43" s="440"/>
      <c r="T43" s="440"/>
      <c r="U43" s="441"/>
      <c r="V43" s="391"/>
      <c r="W43" s="391"/>
      <c r="X43" s="391"/>
      <c r="Y43" s="391"/>
      <c r="Z43" s="391"/>
      <c r="AA43" s="391"/>
      <c r="AB43" s="391"/>
      <c r="AC43" s="391"/>
      <c r="AD43" s="391"/>
      <c r="AE43" s="391"/>
      <c r="AF43" s="391"/>
      <c r="AG43" s="391"/>
      <c r="AH43" s="391"/>
      <c r="AI43" s="391"/>
      <c r="AJ43" s="391"/>
      <c r="AK43" s="391"/>
      <c r="AL43" s="391"/>
      <c r="AM43" s="391"/>
      <c r="AN43" s="391"/>
      <c r="AO43" s="391"/>
      <c r="AP43" s="391"/>
      <c r="AQ43" s="391"/>
      <c r="AR43" s="391"/>
      <c r="AS43" s="391"/>
      <c r="AT43" s="391"/>
      <c r="AU43" s="391"/>
      <c r="AV43" s="391"/>
      <c r="AW43" s="391"/>
      <c r="AX43" s="391"/>
      <c r="AY43" s="391"/>
      <c r="AZ43" s="391"/>
      <c r="BA43" s="391"/>
      <c r="BB43" s="391"/>
      <c r="BC43" s="391"/>
      <c r="BD43" s="391"/>
      <c r="BE43" s="391"/>
      <c r="BF43" s="391"/>
      <c r="BG43" s="391"/>
      <c r="BH43" s="391"/>
      <c r="BI43" s="391"/>
      <c r="BJ43" s="391"/>
      <c r="BK43" s="391"/>
      <c r="BL43" s="391"/>
      <c r="BM43" s="391"/>
      <c r="BN43" s="391"/>
      <c r="BO43" s="391"/>
      <c r="BP43" s="391"/>
      <c r="BQ43" s="391"/>
      <c r="BR43" s="391"/>
      <c r="BS43" s="391"/>
      <c r="BT43" s="391"/>
      <c r="BU43" s="391"/>
      <c r="BV43" s="391"/>
      <c r="BW43" s="391"/>
      <c r="BX43" s="391"/>
      <c r="BY43" s="391"/>
      <c r="BZ43" s="391"/>
      <c r="CA43" s="391"/>
      <c r="CB43" s="391"/>
      <c r="CC43" s="391"/>
      <c r="CD43" s="391"/>
      <c r="CE43" s="391"/>
      <c r="CF43" s="391"/>
      <c r="CG43" s="391"/>
      <c r="CH43" s="391"/>
      <c r="CI43" s="391"/>
      <c r="CJ43" s="391"/>
      <c r="CK43" s="391"/>
      <c r="CL43" s="391"/>
      <c r="CM43" s="391"/>
      <c r="CN43" s="443"/>
    </row>
    <row r="44" ht="149.25" customHeight="true" x14ac:dyDescent="0.25">
      <c r="B44" s="390"/>
      <c r="C44" s="391"/>
      <c r="D44" s="1276">
        <f t="shared" si="5"/>
        <v>39</v>
      </c>
      <c r="E44" s="1948" t="s">
        <v>141</v>
      </c>
      <c r="F44" s="1948"/>
      <c r="G44" s="1948"/>
      <c r="H44" s="402" t="s">
        <v>1699</v>
      </c>
      <c r="I44" s="1964" t="s">
        <v>2187</v>
      </c>
      <c r="J44" s="407"/>
      <c r="K44" s="1201">
        <f>IFERROR(K1414/G78,"missing data")</f>
        <v>0</v>
      </c>
      <c r="L44" s="1177" t="s">
        <v>966</v>
      </c>
      <c r="M44" s="401" t="s">
        <v>967</v>
      </c>
      <c r="N44" s="84">
        <v>0</v>
      </c>
      <c r="O44" s="1131">
        <f t="shared" si="0"/>
        <v>0</v>
      </c>
      <c r="P44" s="80">
        <f>L1414/G78</f>
        <v>0.66062510303155364</v>
      </c>
      <c r="Q44" s="1132">
        <f t="shared" si="1"/>
        <v>0.66062510303155364</v>
      </c>
      <c r="R44" s="1275">
        <f t="shared" si="2"/>
        <v>100</v>
      </c>
      <c r="S44" s="440"/>
      <c r="T44" s="440"/>
      <c r="U44" s="441"/>
      <c r="V44" s="391"/>
      <c r="W44" s="391"/>
      <c r="X44" s="391"/>
      <c r="Y44" s="391"/>
      <c r="Z44" s="391"/>
      <c r="AA44" s="391"/>
      <c r="AB44" s="391"/>
      <c r="AC44" s="391"/>
      <c r="AD44" s="391"/>
      <c r="AE44" s="391"/>
      <c r="AF44" s="391"/>
      <c r="AG44" s="391"/>
      <c r="AH44" s="391"/>
      <c r="AI44" s="391"/>
      <c r="AJ44" s="391"/>
      <c r="AK44" s="391"/>
      <c r="AL44" s="391"/>
      <c r="AM44" s="391"/>
      <c r="AN44" s="391"/>
      <c r="AO44" s="391"/>
      <c r="AP44" s="391"/>
      <c r="AQ44" s="391"/>
      <c r="AR44" s="391"/>
      <c r="AS44" s="391"/>
      <c r="AT44" s="391"/>
      <c r="AU44" s="391"/>
      <c r="AV44" s="391"/>
      <c r="AW44" s="391"/>
      <c r="AX44" s="391"/>
      <c r="AY44" s="391"/>
      <c r="AZ44" s="391"/>
      <c r="BA44" s="391"/>
      <c r="BB44" s="391"/>
      <c r="BC44" s="391"/>
      <c r="BD44" s="391"/>
      <c r="BE44" s="391"/>
      <c r="BF44" s="391"/>
      <c r="BG44" s="391"/>
      <c r="BH44" s="391"/>
      <c r="BI44" s="391"/>
      <c r="BJ44" s="391"/>
      <c r="BK44" s="391"/>
      <c r="BL44" s="391"/>
      <c r="BM44" s="391"/>
      <c r="BN44" s="391"/>
      <c r="BO44" s="391"/>
      <c r="BP44" s="391"/>
      <c r="BQ44" s="391"/>
      <c r="BR44" s="391"/>
      <c r="BS44" s="391"/>
      <c r="BT44" s="391"/>
      <c r="BU44" s="391"/>
      <c r="BV44" s="391"/>
      <c r="BW44" s="391"/>
      <c r="BX44" s="391"/>
      <c r="BY44" s="391"/>
      <c r="BZ44" s="391"/>
      <c r="CA44" s="391"/>
      <c r="CB44" s="391"/>
      <c r="CC44" s="391"/>
      <c r="CD44" s="391"/>
      <c r="CE44" s="391"/>
      <c r="CF44" s="391"/>
      <c r="CG44" s="391"/>
      <c r="CH44" s="391"/>
      <c r="CI44" s="391"/>
      <c r="CJ44" s="391"/>
      <c r="CK44" s="391"/>
      <c r="CL44" s="391"/>
      <c r="CM44" s="391"/>
      <c r="CN44" s="443"/>
    </row>
    <row r="45" ht="149.25" customHeight="true" x14ac:dyDescent="0.25">
      <c r="B45" s="390"/>
      <c r="C45" s="391"/>
      <c r="D45" s="1276">
        <f t="shared" si="5"/>
        <v>40</v>
      </c>
      <c r="E45" s="1948" t="s">
        <v>142</v>
      </c>
      <c r="F45" s="1948"/>
      <c r="G45" s="1948"/>
      <c r="H45" s="402" t="s">
        <v>1700</v>
      </c>
      <c r="I45" s="1964"/>
      <c r="J45" s="407"/>
      <c r="K45" s="1201">
        <f>IFERROR(ROUND(K1414/G80,4),"missing data")</f>
        <v>0</v>
      </c>
      <c r="L45" s="1177" t="s">
        <v>966</v>
      </c>
      <c r="M45" s="401" t="s">
        <v>968</v>
      </c>
      <c r="N45" s="84">
        <v>0</v>
      </c>
      <c r="O45" s="1131">
        <f t="shared" si="0"/>
        <v>0</v>
      </c>
      <c r="P45" s="80">
        <f>ROUND(L1414/G80,4)</f>
        <v>0.66059999999999997</v>
      </c>
      <c r="Q45" s="1132">
        <f t="shared" si="1"/>
        <v>0.66059999999999997</v>
      </c>
      <c r="R45" s="1275">
        <f t="shared" si="2"/>
        <v>100</v>
      </c>
      <c r="S45" s="440"/>
      <c r="T45" s="440"/>
      <c r="U45" s="441"/>
      <c r="V45" s="391"/>
      <c r="W45" s="391"/>
      <c r="X45" s="391"/>
      <c r="Y45" s="391"/>
      <c r="Z45" s="391"/>
      <c r="AA45" s="391"/>
      <c r="AB45" s="391"/>
      <c r="AC45" s="391"/>
      <c r="AD45" s="391"/>
      <c r="AE45" s="391"/>
      <c r="AF45" s="391"/>
      <c r="AG45" s="391"/>
      <c r="AH45" s="391"/>
      <c r="AI45" s="391"/>
      <c r="AJ45" s="391"/>
      <c r="AK45" s="391"/>
      <c r="AL45" s="391"/>
      <c r="AM45" s="391"/>
      <c r="AN45" s="391"/>
      <c r="AO45" s="391"/>
      <c r="AP45" s="391"/>
      <c r="AQ45" s="391"/>
      <c r="AR45" s="391"/>
      <c r="AS45" s="391"/>
      <c r="AT45" s="391"/>
      <c r="AU45" s="391"/>
      <c r="AV45" s="391"/>
      <c r="AW45" s="391"/>
      <c r="AX45" s="391"/>
      <c r="AY45" s="391"/>
      <c r="AZ45" s="391"/>
      <c r="BA45" s="391"/>
      <c r="BB45" s="391"/>
      <c r="BC45" s="391"/>
      <c r="BD45" s="391"/>
      <c r="BE45" s="391"/>
      <c r="BF45" s="391"/>
      <c r="BG45" s="391"/>
      <c r="BH45" s="391"/>
      <c r="BI45" s="391"/>
      <c r="BJ45" s="391"/>
      <c r="BK45" s="391"/>
      <c r="BL45" s="391"/>
      <c r="BM45" s="391"/>
      <c r="BN45" s="391"/>
      <c r="BO45" s="391"/>
      <c r="BP45" s="391"/>
      <c r="BQ45" s="391"/>
      <c r="BR45" s="391"/>
      <c r="BS45" s="391"/>
      <c r="BT45" s="391"/>
      <c r="BU45" s="391"/>
      <c r="BV45" s="391"/>
      <c r="BW45" s="391"/>
      <c r="BX45" s="391"/>
      <c r="BY45" s="391"/>
      <c r="BZ45" s="391"/>
      <c r="CA45" s="391"/>
      <c r="CB45" s="391"/>
      <c r="CC45" s="391"/>
      <c r="CD45" s="391"/>
      <c r="CE45" s="391"/>
      <c r="CF45" s="391"/>
      <c r="CG45" s="391"/>
      <c r="CH45" s="391"/>
      <c r="CI45" s="391"/>
      <c r="CJ45" s="391"/>
      <c r="CK45" s="391"/>
      <c r="CL45" s="391"/>
      <c r="CM45" s="391"/>
      <c r="CN45" s="443"/>
    </row>
    <row r="46" ht="119.25" customHeight="true" x14ac:dyDescent="0.25">
      <c r="B46" s="390"/>
      <c r="C46" s="391"/>
      <c r="D46" s="1276">
        <f t="shared" si="5"/>
        <v>41</v>
      </c>
      <c r="E46" s="1948" t="s">
        <v>143</v>
      </c>
      <c r="F46" s="1948"/>
      <c r="G46" s="1948"/>
      <c r="H46" s="402" t="s">
        <v>1701</v>
      </c>
      <c r="I46" s="1964" t="s">
        <v>21</v>
      </c>
      <c r="J46" s="400"/>
      <c r="K46" s="1201">
        <f>IFERROR(K1472/G78,"missing data")</f>
        <v>0</v>
      </c>
      <c r="L46" s="1177" t="s">
        <v>973</v>
      </c>
      <c r="M46" s="399" t="s">
        <v>974</v>
      </c>
      <c r="N46" s="84">
        <v>0</v>
      </c>
      <c r="O46" s="1131">
        <f t="shared" si="0"/>
        <v>0</v>
      </c>
      <c r="P46" s="80">
        <f>L1472/G78</f>
        <v>0.66062510303155364</v>
      </c>
      <c r="Q46" s="1132">
        <f t="shared" si="1"/>
        <v>0.66062510303155364</v>
      </c>
      <c r="R46" s="1275">
        <f t="shared" si="2"/>
        <v>100</v>
      </c>
      <c r="S46" s="440"/>
      <c r="T46" s="440"/>
      <c r="U46" s="441"/>
      <c r="V46" s="391"/>
      <c r="W46" s="391"/>
      <c r="X46" s="391"/>
      <c r="Y46" s="391"/>
      <c r="Z46" s="391"/>
      <c r="AA46" s="391"/>
      <c r="AB46" s="391"/>
      <c r="AC46" s="391"/>
      <c r="AD46" s="391"/>
      <c r="AE46" s="391"/>
      <c r="AF46" s="391"/>
      <c r="AG46" s="391"/>
      <c r="AH46" s="391"/>
      <c r="AI46" s="391"/>
      <c r="AJ46" s="391"/>
      <c r="AK46" s="391"/>
      <c r="AL46" s="391"/>
      <c r="AM46" s="391"/>
      <c r="AN46" s="391"/>
      <c r="AO46" s="391"/>
      <c r="AP46" s="391"/>
      <c r="AQ46" s="391"/>
      <c r="AR46" s="391"/>
      <c r="AS46" s="391"/>
      <c r="AT46" s="391"/>
      <c r="AU46" s="391"/>
      <c r="AV46" s="391"/>
      <c r="AW46" s="391"/>
      <c r="AX46" s="391"/>
      <c r="AY46" s="391"/>
      <c r="AZ46" s="391"/>
      <c r="BA46" s="391"/>
      <c r="BB46" s="391"/>
      <c r="BC46" s="391"/>
      <c r="BD46" s="391"/>
      <c r="BE46" s="391"/>
      <c r="BF46" s="391"/>
      <c r="BG46" s="391"/>
      <c r="BH46" s="391"/>
      <c r="BI46" s="391"/>
      <c r="BJ46" s="391"/>
      <c r="BK46" s="391"/>
      <c r="BL46" s="391"/>
      <c r="BM46" s="391"/>
      <c r="BN46" s="391"/>
      <c r="BO46" s="391"/>
      <c r="BP46" s="391"/>
      <c r="BQ46" s="391"/>
      <c r="BR46" s="391"/>
      <c r="BS46" s="391"/>
      <c r="BT46" s="391"/>
      <c r="BU46" s="391"/>
      <c r="BV46" s="391"/>
      <c r="BW46" s="391"/>
      <c r="BX46" s="391"/>
      <c r="BY46" s="391"/>
      <c r="BZ46" s="391"/>
      <c r="CA46" s="391"/>
      <c r="CB46" s="391"/>
      <c r="CC46" s="391"/>
      <c r="CD46" s="391"/>
      <c r="CE46" s="391"/>
      <c r="CF46" s="391"/>
      <c r="CG46" s="391"/>
      <c r="CH46" s="391"/>
      <c r="CI46" s="391"/>
      <c r="CJ46" s="391"/>
      <c r="CK46" s="391"/>
      <c r="CL46" s="391"/>
      <c r="CM46" s="391"/>
      <c r="CN46" s="443"/>
    </row>
    <row r="47" ht="123.75" customHeight="true" x14ac:dyDescent="0.25">
      <c r="B47" s="390"/>
      <c r="C47" s="391"/>
      <c r="D47" s="1276">
        <f t="shared" si="5"/>
        <v>42</v>
      </c>
      <c r="E47" s="1948" t="s">
        <v>144</v>
      </c>
      <c r="F47" s="1948"/>
      <c r="G47" s="1948"/>
      <c r="H47" s="402" t="s">
        <v>1702</v>
      </c>
      <c r="I47" s="1964"/>
      <c r="J47" s="400"/>
      <c r="K47" s="1201">
        <f>IFERROR(ROUND(K1472/G80,4),"missing data")</f>
        <v>0</v>
      </c>
      <c r="L47" s="1177" t="s">
        <v>973</v>
      </c>
      <c r="M47" s="399" t="s">
        <v>974</v>
      </c>
      <c r="N47" s="84">
        <v>0</v>
      </c>
      <c r="O47" s="1131">
        <f t="shared" si="0"/>
        <v>0</v>
      </c>
      <c r="P47" s="80">
        <f>ROUND(L1472/G80,4)</f>
        <v>0.66059999999999997</v>
      </c>
      <c r="Q47" s="1132">
        <f t="shared" si="1"/>
        <v>0.66059999999999997</v>
      </c>
      <c r="R47" s="1275">
        <f t="shared" si="2"/>
        <v>100</v>
      </c>
      <c r="S47" s="440"/>
      <c r="T47" s="440"/>
      <c r="U47" s="441"/>
      <c r="V47" s="391"/>
      <c r="W47" s="391"/>
      <c r="X47" s="391"/>
      <c r="Y47" s="391"/>
      <c r="Z47" s="391"/>
      <c r="AA47" s="391"/>
      <c r="AB47" s="391"/>
      <c r="AC47" s="391"/>
      <c r="AD47" s="391"/>
      <c r="AE47" s="391"/>
      <c r="AF47" s="391"/>
      <c r="AG47" s="391"/>
      <c r="AH47" s="391"/>
      <c r="AI47" s="391"/>
      <c r="AJ47" s="391"/>
      <c r="AK47" s="391"/>
      <c r="AL47" s="391"/>
      <c r="AM47" s="391"/>
      <c r="AN47" s="391"/>
      <c r="AO47" s="391"/>
      <c r="AP47" s="391"/>
      <c r="AQ47" s="391"/>
      <c r="AR47" s="391"/>
      <c r="AS47" s="391"/>
      <c r="AT47" s="391"/>
      <c r="AU47" s="391"/>
      <c r="AV47" s="391"/>
      <c r="AW47" s="391"/>
      <c r="AX47" s="391"/>
      <c r="AY47" s="391"/>
      <c r="AZ47" s="391"/>
      <c r="BA47" s="391"/>
      <c r="BB47" s="391"/>
      <c r="BC47" s="391"/>
      <c r="BD47" s="391"/>
      <c r="BE47" s="391"/>
      <c r="BF47" s="391"/>
      <c r="BG47" s="391"/>
      <c r="BH47" s="391"/>
      <c r="BI47" s="391"/>
      <c r="BJ47" s="391"/>
      <c r="BK47" s="391"/>
      <c r="BL47" s="391"/>
      <c r="BM47" s="391"/>
      <c r="BN47" s="391"/>
      <c r="BO47" s="391"/>
      <c r="BP47" s="391"/>
      <c r="BQ47" s="391"/>
      <c r="BR47" s="391"/>
      <c r="BS47" s="391"/>
      <c r="BT47" s="391"/>
      <c r="BU47" s="391"/>
      <c r="BV47" s="391"/>
      <c r="BW47" s="391"/>
      <c r="BX47" s="391"/>
      <c r="BY47" s="391"/>
      <c r="BZ47" s="391"/>
      <c r="CA47" s="391"/>
      <c r="CB47" s="391"/>
      <c r="CC47" s="391"/>
      <c r="CD47" s="391"/>
      <c r="CE47" s="391"/>
      <c r="CF47" s="391"/>
      <c r="CG47" s="391"/>
      <c r="CH47" s="391"/>
      <c r="CI47" s="391"/>
      <c r="CJ47" s="391"/>
      <c r="CK47" s="391"/>
      <c r="CL47" s="391"/>
      <c r="CM47" s="391"/>
      <c r="CN47" s="443"/>
    </row>
    <row r="48" ht="114" customHeight="true" x14ac:dyDescent="0.25">
      <c r="B48" s="390"/>
      <c r="C48" s="391"/>
      <c r="D48" s="1276">
        <f t="shared" si="5"/>
        <v>43</v>
      </c>
      <c r="E48" s="1948" t="s">
        <v>145</v>
      </c>
      <c r="F48" s="1948"/>
      <c r="G48" s="1948"/>
      <c r="H48" s="402" t="s">
        <v>1703</v>
      </c>
      <c r="I48" s="1964" t="s">
        <v>22</v>
      </c>
      <c r="J48" s="1206"/>
      <c r="K48" s="1201">
        <f>IFERROR(K1530/G78,"missing data")</f>
        <v>0</v>
      </c>
      <c r="L48" s="1177" t="s">
        <v>1020</v>
      </c>
      <c r="M48" s="399" t="s">
        <v>193</v>
      </c>
      <c r="N48" s="84">
        <v>0</v>
      </c>
      <c r="O48" s="1131">
        <f t="shared" si="0"/>
        <v>0</v>
      </c>
      <c r="P48" s="80">
        <f>L1530/G78</f>
        <v>0.66062510303155364</v>
      </c>
      <c r="Q48" s="1132">
        <f t="shared" si="1"/>
        <v>0.66062510303155364</v>
      </c>
      <c r="R48" s="1275">
        <f t="shared" si="2"/>
        <v>100</v>
      </c>
      <c r="S48" s="440"/>
      <c r="T48" s="440"/>
      <c r="U48" s="441"/>
      <c r="V48" s="391"/>
      <c r="W48" s="391"/>
      <c r="X48" s="391"/>
      <c r="Y48" s="391"/>
      <c r="Z48" s="391"/>
      <c r="AA48" s="391"/>
      <c r="AB48" s="391"/>
      <c r="AC48" s="391"/>
      <c r="AD48" s="391"/>
      <c r="AE48" s="391"/>
      <c r="AF48" s="391"/>
      <c r="AG48" s="391"/>
      <c r="AH48" s="391"/>
      <c r="AI48" s="391"/>
      <c r="AJ48" s="391"/>
      <c r="AK48" s="391"/>
      <c r="AL48" s="391"/>
      <c r="AM48" s="391"/>
      <c r="AN48" s="391"/>
      <c r="AO48" s="391"/>
      <c r="AP48" s="391"/>
      <c r="AQ48" s="391"/>
      <c r="AR48" s="391"/>
      <c r="AS48" s="391"/>
      <c r="AT48" s="391"/>
      <c r="AU48" s="391"/>
      <c r="AV48" s="391"/>
      <c r="AW48" s="391"/>
      <c r="AX48" s="391"/>
      <c r="AY48" s="391"/>
      <c r="AZ48" s="391"/>
      <c r="BA48" s="391"/>
      <c r="BB48" s="391"/>
      <c r="BC48" s="391"/>
      <c r="BD48" s="391"/>
      <c r="BE48" s="391"/>
      <c r="BF48" s="391"/>
      <c r="BG48" s="391"/>
      <c r="BH48" s="391"/>
      <c r="BI48" s="391"/>
      <c r="BJ48" s="391"/>
      <c r="BK48" s="391"/>
      <c r="BL48" s="391"/>
      <c r="BM48" s="391"/>
      <c r="BN48" s="391"/>
      <c r="BO48" s="391"/>
      <c r="BP48" s="391"/>
      <c r="BQ48" s="391"/>
      <c r="BR48" s="391"/>
      <c r="BS48" s="391"/>
      <c r="BT48" s="391"/>
      <c r="BU48" s="391"/>
      <c r="BV48" s="391"/>
      <c r="BW48" s="391"/>
      <c r="BX48" s="391"/>
      <c r="BY48" s="391"/>
      <c r="BZ48" s="391"/>
      <c r="CA48" s="391"/>
      <c r="CB48" s="391"/>
      <c r="CC48" s="391"/>
      <c r="CD48" s="391"/>
      <c r="CE48" s="391"/>
      <c r="CF48" s="391"/>
      <c r="CG48" s="391"/>
      <c r="CH48" s="391"/>
      <c r="CI48" s="391"/>
      <c r="CJ48" s="391"/>
      <c r="CK48" s="391"/>
      <c r="CL48" s="391"/>
      <c r="CM48" s="391"/>
      <c r="CN48" s="443"/>
    </row>
    <row r="49" ht="114" customHeight="true" x14ac:dyDescent="0.25">
      <c r="B49" s="390"/>
      <c r="C49" s="391"/>
      <c r="D49" s="1276">
        <f t="shared" si="5"/>
        <v>44</v>
      </c>
      <c r="E49" s="1948" t="s">
        <v>146</v>
      </c>
      <c r="F49" s="1948"/>
      <c r="G49" s="1948"/>
      <c r="H49" s="402" t="s">
        <v>1704</v>
      </c>
      <c r="I49" s="1964"/>
      <c r="J49" s="1206"/>
      <c r="K49" s="1201">
        <f>IFERROR(ROUND(K1530/G80,4),"missing data")</f>
        <v>0</v>
      </c>
      <c r="L49" s="1177" t="s">
        <v>999</v>
      </c>
      <c r="M49" s="399" t="s">
        <v>1000</v>
      </c>
      <c r="N49" s="84">
        <v>0</v>
      </c>
      <c r="O49" s="1131">
        <f t="shared" si="0"/>
        <v>0</v>
      </c>
      <c r="P49" s="80">
        <f>ROUND(L1530/G80,4)</f>
        <v>0.66059999999999997</v>
      </c>
      <c r="Q49" s="1132">
        <f t="shared" si="1"/>
        <v>0.66059999999999997</v>
      </c>
      <c r="R49" s="1275">
        <f t="shared" si="2"/>
        <v>100</v>
      </c>
      <c r="S49" s="440"/>
      <c r="T49" s="440"/>
      <c r="U49" s="441"/>
      <c r="V49" s="391"/>
      <c r="W49" s="391"/>
      <c r="X49" s="391"/>
      <c r="Y49" s="391"/>
      <c r="Z49" s="391"/>
      <c r="AA49" s="391"/>
      <c r="AB49" s="391"/>
      <c r="AC49" s="391"/>
      <c r="AD49" s="391"/>
      <c r="AE49" s="391"/>
      <c r="AF49" s="391"/>
      <c r="AG49" s="391"/>
      <c r="AH49" s="391"/>
      <c r="AI49" s="391"/>
      <c r="AJ49" s="391"/>
      <c r="AK49" s="391"/>
      <c r="AL49" s="391"/>
      <c r="AM49" s="391"/>
      <c r="AN49" s="391"/>
      <c r="AO49" s="391"/>
      <c r="AP49" s="391"/>
      <c r="AQ49" s="391"/>
      <c r="AR49" s="391"/>
      <c r="AS49" s="391"/>
      <c r="AT49" s="391"/>
      <c r="AU49" s="391"/>
      <c r="AV49" s="391"/>
      <c r="AW49" s="391"/>
      <c r="AX49" s="391"/>
      <c r="AY49" s="391"/>
      <c r="AZ49" s="391"/>
      <c r="BA49" s="391"/>
      <c r="BB49" s="391"/>
      <c r="BC49" s="391"/>
      <c r="BD49" s="391"/>
      <c r="BE49" s="391"/>
      <c r="BF49" s="391"/>
      <c r="BG49" s="391"/>
      <c r="BH49" s="391"/>
      <c r="BI49" s="391"/>
      <c r="BJ49" s="391"/>
      <c r="BK49" s="391"/>
      <c r="BL49" s="391"/>
      <c r="BM49" s="391"/>
      <c r="BN49" s="391"/>
      <c r="BO49" s="391"/>
      <c r="BP49" s="391"/>
      <c r="BQ49" s="391"/>
      <c r="BR49" s="391"/>
      <c r="BS49" s="391"/>
      <c r="BT49" s="391"/>
      <c r="BU49" s="391"/>
      <c r="BV49" s="391"/>
      <c r="BW49" s="391"/>
      <c r="BX49" s="391"/>
      <c r="BY49" s="391"/>
      <c r="BZ49" s="391"/>
      <c r="CA49" s="391"/>
      <c r="CB49" s="391"/>
      <c r="CC49" s="391"/>
      <c r="CD49" s="391"/>
      <c r="CE49" s="391"/>
      <c r="CF49" s="391"/>
      <c r="CG49" s="391"/>
      <c r="CH49" s="391"/>
      <c r="CI49" s="391"/>
      <c r="CJ49" s="391"/>
      <c r="CK49" s="391"/>
      <c r="CL49" s="391"/>
      <c r="CM49" s="391"/>
      <c r="CN49" s="443"/>
    </row>
    <row r="50" ht="128.25" customHeight="true" x14ac:dyDescent="0.25">
      <c r="B50" s="390"/>
      <c r="C50" s="391"/>
      <c r="D50" s="1276">
        <f t="shared" si="5"/>
        <v>45</v>
      </c>
      <c r="E50" s="1948" t="s">
        <v>147</v>
      </c>
      <c r="F50" s="1948"/>
      <c r="G50" s="1948"/>
      <c r="H50" s="402" t="s">
        <v>1705</v>
      </c>
      <c r="I50" s="1964" t="s">
        <v>23</v>
      </c>
      <c r="J50" s="239"/>
      <c r="K50" s="1279">
        <f>IFERROR((Emergy!E110+Emergy!E109)/G78,"missing data")</f>
        <v>24971.628894592726</v>
      </c>
      <c r="L50" s="241" t="s">
        <v>194</v>
      </c>
      <c r="M50" s="399" t="s">
        <v>1457</v>
      </c>
      <c r="N50" s="83">
        <f>Emergy!E108/G78</f>
        <v>0</v>
      </c>
      <c r="O50" s="1131">
        <f t="shared" si="0"/>
        <v>0</v>
      </c>
      <c r="P50" s="83">
        <f>10*Emergy!E108/G78</f>
        <v>0</v>
      </c>
      <c r="Q50" s="1132">
        <f t="shared" si="1"/>
        <v>0</v>
      </c>
      <c r="R50" s="1275" t="str">
        <f t="shared" si="2"/>
        <v/>
      </c>
      <c r="S50" s="440"/>
      <c r="T50" s="440"/>
      <c r="U50" s="441"/>
      <c r="V50" s="391"/>
      <c r="W50" s="391"/>
      <c r="X50" s="391"/>
      <c r="Y50" s="391"/>
      <c r="Z50" s="391"/>
      <c r="AA50" s="391"/>
      <c r="AB50" s="391"/>
      <c r="AC50" s="391"/>
      <c r="AD50" s="391"/>
      <c r="AE50" s="391"/>
      <c r="AF50" s="391"/>
      <c r="AG50" s="391"/>
      <c r="AH50" s="391"/>
      <c r="AI50" s="391"/>
      <c r="AJ50" s="391"/>
      <c r="AK50" s="391"/>
      <c r="AL50" s="391"/>
      <c r="AM50" s="391"/>
      <c r="AN50" s="391"/>
      <c r="AO50" s="391"/>
      <c r="AP50" s="391"/>
      <c r="AQ50" s="391"/>
      <c r="AR50" s="391"/>
      <c r="AS50" s="391"/>
      <c r="AT50" s="391"/>
      <c r="AU50" s="391"/>
      <c r="AV50" s="391"/>
      <c r="AW50" s="391"/>
      <c r="AX50" s="391"/>
      <c r="AY50" s="391"/>
      <c r="AZ50" s="391"/>
      <c r="BA50" s="391"/>
      <c r="BB50" s="391"/>
      <c r="BC50" s="391"/>
      <c r="BD50" s="391"/>
      <c r="BE50" s="391"/>
      <c r="BF50" s="391"/>
      <c r="BG50" s="391"/>
      <c r="BH50" s="391"/>
      <c r="BI50" s="391"/>
      <c r="BJ50" s="391"/>
      <c r="BK50" s="391"/>
      <c r="BL50" s="391"/>
      <c r="BM50" s="391"/>
      <c r="BN50" s="391"/>
      <c r="BO50" s="391"/>
      <c r="BP50" s="391"/>
      <c r="BQ50" s="391"/>
      <c r="BR50" s="391"/>
      <c r="BS50" s="391"/>
      <c r="BT50" s="391"/>
      <c r="BU50" s="391"/>
      <c r="BV50" s="391"/>
      <c r="BW50" s="391"/>
      <c r="BX50" s="391"/>
      <c r="BY50" s="391"/>
      <c r="BZ50" s="391"/>
      <c r="CA50" s="391"/>
      <c r="CB50" s="391"/>
      <c r="CC50" s="391"/>
      <c r="CD50" s="391"/>
      <c r="CE50" s="391"/>
      <c r="CF50" s="391"/>
      <c r="CG50" s="391"/>
      <c r="CH50" s="391"/>
      <c r="CI50" s="391"/>
      <c r="CJ50" s="391"/>
      <c r="CK50" s="391"/>
      <c r="CL50" s="391"/>
      <c r="CM50" s="391"/>
      <c r="CN50" s="443"/>
    </row>
    <row r="51" ht="128.25" customHeight="true" x14ac:dyDescent="0.25">
      <c r="B51" s="390"/>
      <c r="C51" s="391"/>
      <c r="D51" s="1276">
        <f t="shared" si="5"/>
        <v>46</v>
      </c>
      <c r="E51" s="1948" t="s">
        <v>148</v>
      </c>
      <c r="F51" s="1948"/>
      <c r="G51" s="1948"/>
      <c r="H51" s="402" t="s">
        <v>1706</v>
      </c>
      <c r="I51" s="1964"/>
      <c r="J51" s="239"/>
      <c r="K51" s="1279">
        <f>IFERROR((Emergy!E110+Emergy!E109)/G80,"missing data")</f>
        <v>24971.628894592726</v>
      </c>
      <c r="L51" s="1177" t="s">
        <v>1595</v>
      </c>
      <c r="M51" s="399" t="s">
        <v>1458</v>
      </c>
      <c r="N51" s="83">
        <f>Emergy!E108/G80</f>
        <v>0</v>
      </c>
      <c r="O51" s="1131">
        <f t="shared" si="0"/>
        <v>0</v>
      </c>
      <c r="P51" s="83">
        <f>10*Emergy!E108/(G80)</f>
        <v>0</v>
      </c>
      <c r="Q51" s="1132">
        <f t="shared" si="1"/>
        <v>0</v>
      </c>
      <c r="R51" s="1275" t="str">
        <f t="shared" si="2"/>
        <v/>
      </c>
      <c r="S51" s="440"/>
      <c r="T51" s="440"/>
      <c r="U51" s="441"/>
      <c r="V51" s="391"/>
      <c r="W51" s="391"/>
      <c r="X51" s="391"/>
      <c r="Y51" s="391"/>
      <c r="Z51" s="391"/>
      <c r="AA51" s="391"/>
      <c r="AB51" s="391"/>
      <c r="AC51" s="391"/>
      <c r="AD51" s="391"/>
      <c r="AE51" s="391"/>
      <c r="AF51" s="391"/>
      <c r="AG51" s="391"/>
      <c r="AH51" s="391"/>
      <c r="AI51" s="391"/>
      <c r="AJ51" s="391"/>
      <c r="AK51" s="391"/>
      <c r="AL51" s="391"/>
      <c r="AM51" s="391"/>
      <c r="AN51" s="391"/>
      <c r="AO51" s="391"/>
      <c r="AP51" s="391"/>
      <c r="AQ51" s="391"/>
      <c r="AR51" s="391"/>
      <c r="AS51" s="391"/>
      <c r="AT51" s="391"/>
      <c r="AU51" s="391"/>
      <c r="AV51" s="391"/>
      <c r="AW51" s="391"/>
      <c r="AX51" s="391"/>
      <c r="AY51" s="391"/>
      <c r="AZ51" s="391"/>
      <c r="BA51" s="391"/>
      <c r="BB51" s="391"/>
      <c r="BC51" s="391"/>
      <c r="BD51" s="391"/>
      <c r="BE51" s="391"/>
      <c r="BF51" s="391"/>
      <c r="BG51" s="391"/>
      <c r="BH51" s="391"/>
      <c r="BI51" s="391"/>
      <c r="BJ51" s="391"/>
      <c r="BK51" s="391"/>
      <c r="BL51" s="391"/>
      <c r="BM51" s="391"/>
      <c r="BN51" s="391"/>
      <c r="BO51" s="391"/>
      <c r="BP51" s="391"/>
      <c r="BQ51" s="391"/>
      <c r="BR51" s="391"/>
      <c r="BS51" s="391"/>
      <c r="BT51" s="391"/>
      <c r="BU51" s="391"/>
      <c r="BV51" s="391"/>
      <c r="BW51" s="391"/>
      <c r="BX51" s="391"/>
      <c r="BY51" s="391"/>
      <c r="BZ51" s="391"/>
      <c r="CA51" s="391"/>
      <c r="CB51" s="391"/>
      <c r="CC51" s="391"/>
      <c r="CD51" s="391"/>
      <c r="CE51" s="391"/>
      <c r="CF51" s="391"/>
      <c r="CG51" s="391"/>
      <c r="CH51" s="391"/>
      <c r="CI51" s="391"/>
      <c r="CJ51" s="391"/>
      <c r="CK51" s="391"/>
      <c r="CL51" s="391"/>
      <c r="CM51" s="391"/>
      <c r="CN51" s="443"/>
    </row>
    <row r="52" ht="151.5" customHeight="true" x14ac:dyDescent="0.25">
      <c r="B52" s="390"/>
      <c r="C52" s="391"/>
      <c r="D52" s="1276">
        <f t="shared" si="5"/>
        <v>47</v>
      </c>
      <c r="E52" s="1948" t="s">
        <v>149</v>
      </c>
      <c r="F52" s="1948"/>
      <c r="G52" s="1948"/>
      <c r="H52" s="402" t="s">
        <v>1707</v>
      </c>
      <c r="I52" s="1181" t="s">
        <v>169</v>
      </c>
      <c r="J52" s="239"/>
      <c r="K52" s="1279" t="str">
        <f>IFERROR(Emergy!E112/Emergy!E111,"missing data")</f>
        <v>missing data</v>
      </c>
      <c r="L52" s="1177" t="s">
        <v>1595</v>
      </c>
      <c r="M52" s="399" t="s">
        <v>1459</v>
      </c>
      <c r="N52" s="80">
        <v>2</v>
      </c>
      <c r="O52" s="1131">
        <f t="shared" si="0"/>
        <v>2</v>
      </c>
      <c r="P52" s="80">
        <v>10</v>
      </c>
      <c r="Q52" s="1132">
        <f t="shared" si="1"/>
        <v>10</v>
      </c>
      <c r="R52" s="1275" t="str">
        <f t="shared" si="2"/>
        <v/>
      </c>
      <c r="S52" s="440"/>
      <c r="T52" s="440"/>
      <c r="U52" s="441"/>
      <c r="V52" s="391"/>
      <c r="W52" s="391"/>
      <c r="X52" s="391"/>
      <c r="Y52" s="391"/>
      <c r="Z52" s="391"/>
      <c r="AA52" s="391"/>
      <c r="AB52" s="391"/>
      <c r="AC52" s="391"/>
      <c r="AD52" s="391"/>
      <c r="AE52" s="391"/>
      <c r="AF52" s="391"/>
      <c r="AG52" s="391"/>
      <c r="AH52" s="391"/>
      <c r="AI52" s="391"/>
      <c r="AJ52" s="391"/>
      <c r="AK52" s="391"/>
      <c r="AL52" s="391"/>
      <c r="AM52" s="391"/>
      <c r="AN52" s="391"/>
      <c r="AO52" s="391"/>
      <c r="AP52" s="391"/>
      <c r="AQ52" s="391"/>
      <c r="AR52" s="391"/>
      <c r="AS52" s="391"/>
      <c r="AT52" s="391"/>
      <c r="AU52" s="391"/>
      <c r="AV52" s="391"/>
      <c r="AW52" s="391"/>
      <c r="AX52" s="391"/>
      <c r="AY52" s="391"/>
      <c r="AZ52" s="391"/>
      <c r="BA52" s="391"/>
      <c r="BB52" s="391"/>
      <c r="BC52" s="391"/>
      <c r="BD52" s="391"/>
      <c r="BE52" s="391"/>
      <c r="BF52" s="391"/>
      <c r="BG52" s="391"/>
      <c r="BH52" s="391"/>
      <c r="BI52" s="391"/>
      <c r="BJ52" s="391"/>
      <c r="BK52" s="391"/>
      <c r="BL52" s="391"/>
      <c r="BM52" s="391"/>
      <c r="BN52" s="391"/>
      <c r="BO52" s="391"/>
      <c r="BP52" s="391"/>
      <c r="BQ52" s="391"/>
      <c r="BR52" s="391"/>
      <c r="BS52" s="391"/>
      <c r="BT52" s="391"/>
      <c r="BU52" s="391"/>
      <c r="BV52" s="391"/>
      <c r="BW52" s="391"/>
      <c r="BX52" s="391"/>
      <c r="BY52" s="391"/>
      <c r="BZ52" s="391"/>
      <c r="CA52" s="391"/>
      <c r="CB52" s="391"/>
      <c r="CC52" s="391"/>
      <c r="CD52" s="391"/>
      <c r="CE52" s="391"/>
      <c r="CF52" s="391"/>
      <c r="CG52" s="391"/>
      <c r="CH52" s="391"/>
      <c r="CI52" s="391"/>
      <c r="CJ52" s="391"/>
      <c r="CK52" s="391"/>
      <c r="CL52" s="391"/>
      <c r="CM52" s="391"/>
      <c r="CN52" s="443"/>
    </row>
    <row r="53" ht="114" customHeight="true" x14ac:dyDescent="0.25">
      <c r="B53" s="390"/>
      <c r="C53" s="391"/>
      <c r="D53" s="1276">
        <f t="shared" si="5"/>
        <v>48</v>
      </c>
      <c r="E53" s="1948" t="s">
        <v>150</v>
      </c>
      <c r="F53" s="1948"/>
      <c r="G53" s="1948"/>
      <c r="H53" s="402" t="s">
        <v>1708</v>
      </c>
      <c r="I53" s="1181" t="s">
        <v>2188</v>
      </c>
      <c r="J53" s="400"/>
      <c r="K53" s="1279" t="str">
        <f>IFERROR(Emergy!E108/(Emergy!E110),"missing data")</f>
        <v>missing data</v>
      </c>
      <c r="L53" s="408" t="s">
        <v>195</v>
      </c>
      <c r="M53" s="399" t="s">
        <v>37</v>
      </c>
      <c r="N53" s="80">
        <v>1</v>
      </c>
      <c r="O53" s="1131">
        <f t="shared" si="0"/>
        <v>1</v>
      </c>
      <c r="P53" s="80">
        <v>0</v>
      </c>
      <c r="Q53" s="1132">
        <f t="shared" si="1"/>
        <v>0</v>
      </c>
      <c r="R53" s="1275" t="str">
        <f t="shared" si="2"/>
        <v/>
      </c>
      <c r="S53" s="440"/>
      <c r="T53" s="440"/>
      <c r="U53" s="441"/>
      <c r="V53" s="391"/>
      <c r="W53" s="391"/>
      <c r="X53" s="391"/>
      <c r="Y53" s="391"/>
      <c r="Z53" s="391"/>
      <c r="AA53" s="391"/>
      <c r="AB53" s="391"/>
      <c r="AC53" s="391"/>
      <c r="AD53" s="391"/>
      <c r="AE53" s="391"/>
      <c r="AF53" s="391"/>
      <c r="AG53" s="391"/>
      <c r="AH53" s="391"/>
      <c r="AI53" s="391"/>
      <c r="AJ53" s="391"/>
      <c r="AK53" s="391"/>
      <c r="AL53" s="391"/>
      <c r="AM53" s="391"/>
      <c r="AN53" s="391"/>
      <c r="AO53" s="391"/>
      <c r="AP53" s="391"/>
      <c r="AQ53" s="391"/>
      <c r="AR53" s="391"/>
      <c r="AS53" s="391"/>
      <c r="AT53" s="391"/>
      <c r="AU53" s="391"/>
      <c r="AV53" s="391"/>
      <c r="AW53" s="391"/>
      <c r="AX53" s="391"/>
      <c r="AY53" s="391"/>
      <c r="AZ53" s="391"/>
      <c r="BA53" s="391"/>
      <c r="BB53" s="391"/>
      <c r="BC53" s="391"/>
      <c r="BD53" s="391"/>
      <c r="BE53" s="391"/>
      <c r="BF53" s="391"/>
      <c r="BG53" s="391"/>
      <c r="BH53" s="391"/>
      <c r="BI53" s="391"/>
      <c r="BJ53" s="391"/>
      <c r="BK53" s="391"/>
      <c r="BL53" s="391"/>
      <c r="BM53" s="391"/>
      <c r="BN53" s="391"/>
      <c r="BO53" s="391"/>
      <c r="BP53" s="391"/>
      <c r="BQ53" s="391"/>
      <c r="BR53" s="391"/>
      <c r="BS53" s="391"/>
      <c r="BT53" s="391"/>
      <c r="BU53" s="391"/>
      <c r="BV53" s="391"/>
      <c r="BW53" s="391"/>
      <c r="BX53" s="391"/>
      <c r="BY53" s="391"/>
      <c r="BZ53" s="391"/>
      <c r="CA53" s="391"/>
      <c r="CB53" s="391"/>
      <c r="CC53" s="391"/>
      <c r="CD53" s="391"/>
      <c r="CE53" s="391"/>
      <c r="CF53" s="391"/>
      <c r="CG53" s="391"/>
      <c r="CH53" s="391"/>
      <c r="CI53" s="391"/>
      <c r="CJ53" s="391"/>
      <c r="CK53" s="391"/>
      <c r="CL53" s="391"/>
      <c r="CM53" s="391"/>
      <c r="CN53" s="443"/>
    </row>
    <row r="54" ht="117" customHeight="true" x14ac:dyDescent="0.25">
      <c r="B54" s="390"/>
      <c r="C54" s="391"/>
      <c r="D54" s="1276">
        <f t="shared" si="5"/>
        <v>49</v>
      </c>
      <c r="E54" s="1948" t="s">
        <v>151</v>
      </c>
      <c r="F54" s="1948"/>
      <c r="G54" s="1948"/>
      <c r="H54" s="402" t="s">
        <v>1709</v>
      </c>
      <c r="I54" s="1181" t="s">
        <v>25</v>
      </c>
      <c r="J54" s="239"/>
      <c r="K54" s="1279" t="str">
        <f>IFERROR((Emergy!E108/(Emergy!E110))/(Emergy!E112/Emergy!E111),"missing data")</f>
        <v>missing data</v>
      </c>
      <c r="L54" s="1177" t="s">
        <v>1595</v>
      </c>
      <c r="M54" s="399" t="s">
        <v>34</v>
      </c>
      <c r="N54" s="80">
        <v>5</v>
      </c>
      <c r="O54" s="1131">
        <f t="shared" si="0"/>
        <v>5</v>
      </c>
      <c r="P54" s="80">
        <v>1</v>
      </c>
      <c r="Q54" s="1132">
        <f t="shared" si="1"/>
        <v>1</v>
      </c>
      <c r="R54" s="1275" t="str">
        <f t="shared" si="2"/>
        <v/>
      </c>
      <c r="S54" s="445"/>
      <c r="T54" s="391"/>
      <c r="U54" s="441"/>
      <c r="V54" s="391"/>
      <c r="W54" s="391"/>
      <c r="X54" s="391"/>
      <c r="Y54" s="391"/>
      <c r="Z54" s="391"/>
      <c r="AA54" s="391"/>
      <c r="AB54" s="391"/>
      <c r="AC54" s="391"/>
      <c r="AD54" s="391"/>
      <c r="AE54" s="391"/>
      <c r="AF54" s="391"/>
      <c r="AG54" s="391"/>
      <c r="AH54" s="391"/>
      <c r="AI54" s="391"/>
      <c r="AJ54" s="391"/>
      <c r="AK54" s="391"/>
      <c r="AL54" s="391"/>
      <c r="AM54" s="391"/>
      <c r="AN54" s="391"/>
      <c r="AO54" s="391"/>
      <c r="AP54" s="391"/>
      <c r="AQ54" s="391"/>
      <c r="AR54" s="391"/>
      <c r="AS54" s="391"/>
      <c r="AT54" s="391"/>
      <c r="AU54" s="391"/>
      <c r="AV54" s="391"/>
      <c r="AW54" s="391"/>
      <c r="AX54" s="391"/>
      <c r="AY54" s="391"/>
      <c r="AZ54" s="391"/>
      <c r="BA54" s="391"/>
      <c r="BB54" s="391"/>
      <c r="BC54" s="391"/>
      <c r="BD54" s="391"/>
      <c r="BE54" s="391"/>
      <c r="BF54" s="391"/>
      <c r="BG54" s="391"/>
      <c r="BH54" s="391"/>
      <c r="BI54" s="391"/>
      <c r="BJ54" s="391"/>
      <c r="BK54" s="391"/>
      <c r="BL54" s="391"/>
      <c r="BM54" s="391"/>
      <c r="BN54" s="391"/>
      <c r="BO54" s="391"/>
      <c r="BP54" s="391"/>
      <c r="BQ54" s="391"/>
      <c r="BR54" s="391"/>
      <c r="BS54" s="391"/>
      <c r="BT54" s="391"/>
      <c r="BU54" s="391"/>
      <c r="BV54" s="391"/>
      <c r="BW54" s="391"/>
      <c r="BX54" s="391"/>
      <c r="BY54" s="391"/>
      <c r="BZ54" s="391"/>
      <c r="CA54" s="391"/>
      <c r="CB54" s="391"/>
      <c r="CC54" s="391"/>
      <c r="CD54" s="391"/>
      <c r="CE54" s="391"/>
      <c r="CF54" s="391"/>
      <c r="CG54" s="391"/>
      <c r="CH54" s="391"/>
      <c r="CI54" s="391"/>
      <c r="CJ54" s="391"/>
      <c r="CK54" s="391"/>
      <c r="CL54" s="391"/>
      <c r="CM54" s="391"/>
      <c r="CN54" s="443"/>
    </row>
    <row r="55" ht="126.75" customHeight="true" x14ac:dyDescent="0.25">
      <c r="B55" s="390"/>
      <c r="C55" s="391"/>
      <c r="D55" s="1276">
        <f t="shared" ref="D55:D71" si="6">D54+1</f>
        <v>50</v>
      </c>
      <c r="E55" s="1948" t="s">
        <v>152</v>
      </c>
      <c r="F55" s="1948"/>
      <c r="G55" s="1948"/>
      <c r="H55" s="402" t="s">
        <v>1710</v>
      </c>
      <c r="I55" s="1181" t="s">
        <v>181</v>
      </c>
      <c r="J55" s="400"/>
      <c r="K55" s="1279" t="str">
        <f>IFERROR(Emergy!E108/Emergy!E112,"missing data")</f>
        <v>missing data</v>
      </c>
      <c r="L55" s="1177" t="s">
        <v>1595</v>
      </c>
      <c r="M55" s="399" t="s">
        <v>33</v>
      </c>
      <c r="N55" s="80">
        <v>10</v>
      </c>
      <c r="O55" s="1131">
        <f t="shared" si="0"/>
        <v>10</v>
      </c>
      <c r="P55" s="80">
        <v>0</v>
      </c>
      <c r="Q55" s="1132">
        <f t="shared" si="1"/>
        <v>0</v>
      </c>
      <c r="R55" s="1275" t="str">
        <f t="shared" si="2"/>
        <v/>
      </c>
      <c r="S55" s="440"/>
      <c r="T55" s="440"/>
      <c r="U55" s="441"/>
      <c r="V55" s="391"/>
      <c r="W55" s="391"/>
      <c r="X55" s="391"/>
      <c r="Y55" s="391"/>
      <c r="Z55" s="391"/>
      <c r="AA55" s="391"/>
      <c r="AB55" s="391"/>
      <c r="AC55" s="391"/>
      <c r="AD55" s="391"/>
      <c r="AE55" s="391"/>
      <c r="AF55" s="391"/>
      <c r="AG55" s="391"/>
      <c r="AH55" s="391"/>
      <c r="AI55" s="391"/>
      <c r="AJ55" s="391"/>
      <c r="AK55" s="391"/>
      <c r="AL55" s="391"/>
      <c r="AM55" s="391"/>
      <c r="AN55" s="391"/>
      <c r="AO55" s="391"/>
      <c r="AP55" s="391"/>
      <c r="AQ55" s="391"/>
      <c r="AR55" s="391"/>
      <c r="AS55" s="391"/>
      <c r="AT55" s="391"/>
      <c r="AU55" s="391"/>
      <c r="AV55" s="391"/>
      <c r="AW55" s="391"/>
      <c r="AX55" s="391"/>
      <c r="AY55" s="391"/>
      <c r="AZ55" s="391"/>
      <c r="BA55" s="391"/>
      <c r="BB55" s="391"/>
      <c r="BC55" s="391"/>
      <c r="BD55" s="391"/>
      <c r="BE55" s="391"/>
      <c r="BF55" s="391"/>
      <c r="BG55" s="391"/>
      <c r="BH55" s="391"/>
      <c r="BI55" s="391"/>
      <c r="BJ55" s="391"/>
      <c r="BK55" s="391"/>
      <c r="BL55" s="391"/>
      <c r="BM55" s="391"/>
      <c r="BN55" s="391"/>
      <c r="BO55" s="391"/>
      <c r="BP55" s="391"/>
      <c r="BQ55" s="391"/>
      <c r="BR55" s="391"/>
      <c r="BS55" s="391"/>
      <c r="BT55" s="391"/>
      <c r="BU55" s="391"/>
      <c r="BV55" s="391"/>
      <c r="BW55" s="391"/>
      <c r="BX55" s="391"/>
      <c r="BY55" s="391"/>
      <c r="BZ55" s="391"/>
      <c r="CA55" s="391"/>
      <c r="CB55" s="391"/>
      <c r="CC55" s="391"/>
      <c r="CD55" s="391"/>
      <c r="CE55" s="391"/>
      <c r="CF55" s="391"/>
      <c r="CG55" s="391"/>
      <c r="CH55" s="391"/>
      <c r="CI55" s="391"/>
      <c r="CJ55" s="391"/>
      <c r="CK55" s="391"/>
      <c r="CL55" s="391"/>
      <c r="CM55" s="391"/>
      <c r="CN55" s="443"/>
    </row>
    <row r="56" ht="135.75" customHeight="true" x14ac:dyDescent="0.25">
      <c r="B56" s="390"/>
      <c r="C56" s="391"/>
      <c r="D56" s="1276">
        <f t="shared" si="6"/>
        <v>51</v>
      </c>
      <c r="E56" s="1948" t="s">
        <v>153</v>
      </c>
      <c r="F56" s="1948"/>
      <c r="G56" s="1948"/>
      <c r="H56" s="402" t="s">
        <v>1711</v>
      </c>
      <c r="I56" s="1181" t="s">
        <v>183</v>
      </c>
      <c r="J56" s="239"/>
      <c r="K56" s="1279" t="str">
        <f>IFERROR(Emergy!E111/Emergy!E110,"missing data")</f>
        <v>missing data</v>
      </c>
      <c r="L56" s="1177" t="s">
        <v>1595</v>
      </c>
      <c r="M56" s="399" t="s">
        <v>33</v>
      </c>
      <c r="N56" s="80">
        <v>1</v>
      </c>
      <c r="O56" s="1131">
        <f t="shared" si="0"/>
        <v>1</v>
      </c>
      <c r="P56" s="86">
        <v>0</v>
      </c>
      <c r="Q56" s="1132">
        <f t="shared" si="1"/>
        <v>0</v>
      </c>
      <c r="R56" s="1275" t="str">
        <f t="shared" si="2"/>
        <v/>
      </c>
      <c r="S56" s="440"/>
      <c r="T56" s="440"/>
      <c r="U56" s="441"/>
      <c r="V56" s="391"/>
      <c r="W56" s="391"/>
      <c r="X56" s="391"/>
      <c r="Y56" s="391"/>
      <c r="Z56" s="391"/>
      <c r="AA56" s="391"/>
      <c r="AB56" s="391"/>
      <c r="AC56" s="391"/>
      <c r="AD56" s="391"/>
      <c r="AE56" s="391"/>
      <c r="AF56" s="391"/>
      <c r="AG56" s="391"/>
      <c r="AH56" s="391"/>
      <c r="AI56" s="391"/>
      <c r="AJ56" s="391"/>
      <c r="AK56" s="391"/>
      <c r="AL56" s="391"/>
      <c r="AM56" s="391"/>
      <c r="AN56" s="391"/>
      <c r="AO56" s="391"/>
      <c r="AP56" s="391"/>
      <c r="AQ56" s="391"/>
      <c r="AR56" s="391"/>
      <c r="AS56" s="391"/>
      <c r="AT56" s="391"/>
      <c r="AU56" s="391"/>
      <c r="AV56" s="391"/>
      <c r="AW56" s="391"/>
      <c r="AX56" s="391"/>
      <c r="AY56" s="391"/>
      <c r="AZ56" s="391"/>
      <c r="BA56" s="391"/>
      <c r="BB56" s="391"/>
      <c r="BC56" s="391"/>
      <c r="BD56" s="391"/>
      <c r="BE56" s="391"/>
      <c r="BF56" s="391"/>
      <c r="BG56" s="391"/>
      <c r="BH56" s="391"/>
      <c r="BI56" s="391"/>
      <c r="BJ56" s="391"/>
      <c r="BK56" s="391"/>
      <c r="BL56" s="391"/>
      <c r="BM56" s="391"/>
      <c r="BN56" s="391"/>
      <c r="BO56" s="391"/>
      <c r="BP56" s="391"/>
      <c r="BQ56" s="391"/>
      <c r="BR56" s="391"/>
      <c r="BS56" s="391"/>
      <c r="BT56" s="391"/>
      <c r="BU56" s="391"/>
      <c r="BV56" s="391"/>
      <c r="BW56" s="391"/>
      <c r="BX56" s="391"/>
      <c r="BY56" s="391"/>
      <c r="BZ56" s="391"/>
      <c r="CA56" s="391"/>
      <c r="CB56" s="391"/>
      <c r="CC56" s="391"/>
      <c r="CD56" s="391"/>
      <c r="CE56" s="391"/>
      <c r="CF56" s="391"/>
      <c r="CG56" s="391"/>
      <c r="CH56" s="391"/>
      <c r="CI56" s="391"/>
      <c r="CJ56" s="391"/>
      <c r="CK56" s="391"/>
      <c r="CL56" s="391"/>
      <c r="CM56" s="391"/>
      <c r="CN56" s="443"/>
    </row>
    <row r="57" ht="75" customHeight="true" x14ac:dyDescent="0.25">
      <c r="B57" s="390"/>
      <c r="C57" s="391"/>
      <c r="D57" s="1276">
        <f t="shared" si="6"/>
        <v>52</v>
      </c>
      <c r="E57" s="1948" t="s">
        <v>154</v>
      </c>
      <c r="F57" s="1948"/>
      <c r="G57" s="1948"/>
      <c r="H57" s="402" t="s">
        <v>1712</v>
      </c>
      <c r="I57" s="1181" t="s">
        <v>170</v>
      </c>
      <c r="J57" s="400"/>
      <c r="K57" s="1201">
        <f>IFERROR('Solid Estimation'!Q55,"missing data")</f>
        <v>0</v>
      </c>
      <c r="L57" s="1177" t="s">
        <v>1009</v>
      </c>
      <c r="M57" s="399" t="s">
        <v>70</v>
      </c>
      <c r="N57" s="86">
        <v>0</v>
      </c>
      <c r="O57" s="1131">
        <f t="shared" si="0"/>
        <v>0</v>
      </c>
      <c r="P57" s="86">
        <f>'Solid Estimation'!R55</f>
        <v>0</v>
      </c>
      <c r="Q57" s="1132">
        <f t="shared" si="1"/>
        <v>0</v>
      </c>
      <c r="R57" s="1275" t="str">
        <f t="shared" si="2"/>
        <v/>
      </c>
      <c r="S57" s="440"/>
      <c r="T57" s="440"/>
      <c r="U57" s="441"/>
      <c r="V57" s="391"/>
      <c r="W57" s="391"/>
      <c r="X57" s="391"/>
      <c r="Y57" s="391"/>
      <c r="Z57" s="391"/>
      <c r="AA57" s="391"/>
      <c r="AB57" s="391"/>
      <c r="AC57" s="391"/>
      <c r="AD57" s="391"/>
      <c r="AE57" s="391"/>
      <c r="AF57" s="391"/>
      <c r="AG57" s="391"/>
      <c r="AH57" s="391"/>
      <c r="AI57" s="391"/>
      <c r="AJ57" s="391"/>
      <c r="AK57" s="391"/>
      <c r="AL57" s="391"/>
      <c r="AM57" s="391"/>
      <c r="AN57" s="391"/>
      <c r="AO57" s="391"/>
      <c r="AP57" s="391"/>
      <c r="AQ57" s="391"/>
      <c r="AR57" s="391"/>
      <c r="AS57" s="391"/>
      <c r="AT57" s="391"/>
      <c r="AU57" s="391"/>
      <c r="AV57" s="391"/>
      <c r="AW57" s="391"/>
      <c r="AX57" s="391"/>
      <c r="AY57" s="391"/>
      <c r="AZ57" s="391"/>
      <c r="BA57" s="391"/>
      <c r="BB57" s="391"/>
      <c r="BC57" s="391"/>
      <c r="BD57" s="391"/>
      <c r="BE57" s="391"/>
      <c r="BF57" s="391"/>
      <c r="BG57" s="391"/>
      <c r="BH57" s="391"/>
      <c r="BI57" s="391"/>
      <c r="BJ57" s="391"/>
      <c r="BK57" s="391"/>
      <c r="BL57" s="391"/>
      <c r="BM57" s="391"/>
      <c r="BN57" s="391"/>
      <c r="BO57" s="391"/>
      <c r="BP57" s="391"/>
      <c r="BQ57" s="391"/>
      <c r="BR57" s="391"/>
      <c r="BS57" s="391"/>
      <c r="BT57" s="391"/>
      <c r="BU57" s="391"/>
      <c r="BV57" s="391"/>
      <c r="BW57" s="391"/>
      <c r="BX57" s="391"/>
      <c r="BY57" s="391"/>
      <c r="BZ57" s="391"/>
      <c r="CA57" s="391"/>
      <c r="CB57" s="391"/>
      <c r="CC57" s="391"/>
      <c r="CD57" s="391"/>
      <c r="CE57" s="391"/>
      <c r="CF57" s="391"/>
      <c r="CG57" s="391"/>
      <c r="CH57" s="391"/>
      <c r="CI57" s="391"/>
      <c r="CJ57" s="391"/>
      <c r="CK57" s="391"/>
      <c r="CL57" s="391"/>
      <c r="CM57" s="391"/>
      <c r="CN57" s="443"/>
    </row>
    <row r="58" ht="87" customHeight="true" x14ac:dyDescent="0.3">
      <c r="B58" s="390"/>
      <c r="C58" s="391"/>
      <c r="D58" s="1276">
        <f t="shared" si="6"/>
        <v>53</v>
      </c>
      <c r="E58" s="1948" t="s">
        <v>155</v>
      </c>
      <c r="F58" s="1948"/>
      <c r="G58" s="1948"/>
      <c r="H58" s="402" t="s">
        <v>1713</v>
      </c>
      <c r="I58" s="1181" t="s">
        <v>2189</v>
      </c>
      <c r="J58" s="404"/>
      <c r="K58" s="1201">
        <f>IFERROR('Solid Estimation'!Q55/G78,"missing data")</f>
        <v>0</v>
      </c>
      <c r="L58" s="1177" t="s">
        <v>1010</v>
      </c>
      <c r="M58" s="399" t="s">
        <v>35</v>
      </c>
      <c r="N58" s="86">
        <v>0</v>
      </c>
      <c r="O58" s="1131">
        <f t="shared" si="0"/>
        <v>0</v>
      </c>
      <c r="P58" s="86">
        <f>'Solid Estimation'!R55/G78</f>
        <v>0</v>
      </c>
      <c r="Q58" s="1132">
        <f t="shared" si="1"/>
        <v>0</v>
      </c>
      <c r="R58" s="1275" t="str">
        <f t="shared" si="2"/>
        <v/>
      </c>
      <c r="S58" s="440"/>
      <c r="T58" s="440"/>
      <c r="U58" s="441"/>
      <c r="V58" s="391"/>
      <c r="W58" s="391"/>
      <c r="X58" s="391"/>
      <c r="Y58" s="391"/>
      <c r="Z58" s="391"/>
      <c r="AA58" s="391"/>
      <c r="AB58" s="391"/>
      <c r="AC58" s="391"/>
      <c r="AD58" s="391"/>
      <c r="AE58" s="391"/>
      <c r="AF58" s="391"/>
      <c r="AG58" s="391"/>
      <c r="AH58" s="391"/>
      <c r="AI58" s="391"/>
      <c r="AJ58" s="391"/>
      <c r="AK58" s="391"/>
      <c r="AL58" s="391"/>
      <c r="AM58" s="391"/>
      <c r="AN58" s="391"/>
      <c r="AO58" s="391"/>
      <c r="AP58" s="391"/>
      <c r="AQ58" s="391"/>
      <c r="AR58" s="391"/>
      <c r="AS58" s="391"/>
      <c r="AT58" s="391"/>
      <c r="AU58" s="391"/>
      <c r="AV58" s="391"/>
      <c r="AW58" s="391"/>
      <c r="AX58" s="391"/>
      <c r="AY58" s="391"/>
      <c r="AZ58" s="391"/>
      <c r="BA58" s="391"/>
      <c r="BB58" s="391"/>
      <c r="BC58" s="391"/>
      <c r="BD58" s="391"/>
      <c r="BE58" s="391"/>
      <c r="BF58" s="391"/>
      <c r="BG58" s="391"/>
      <c r="BH58" s="391"/>
      <c r="BI58" s="391"/>
      <c r="BJ58" s="391"/>
      <c r="BK58" s="391"/>
      <c r="BL58" s="391"/>
      <c r="BM58" s="391"/>
      <c r="BN58" s="391"/>
      <c r="BO58" s="391"/>
      <c r="BP58" s="391"/>
      <c r="BQ58" s="391"/>
      <c r="BR58" s="391"/>
      <c r="BS58" s="391"/>
      <c r="BT58" s="391"/>
      <c r="BU58" s="391"/>
      <c r="BV58" s="391"/>
      <c r="BW58" s="391"/>
      <c r="BX58" s="391"/>
      <c r="BY58" s="391"/>
      <c r="BZ58" s="391"/>
      <c r="CA58" s="391"/>
      <c r="CB58" s="391"/>
      <c r="CC58" s="391"/>
      <c r="CD58" s="391"/>
      <c r="CE58" s="391"/>
      <c r="CF58" s="391"/>
      <c r="CG58" s="391"/>
      <c r="CH58" s="391"/>
      <c r="CI58" s="391"/>
      <c r="CJ58" s="391"/>
      <c r="CK58" s="391"/>
      <c r="CL58" s="391"/>
      <c r="CM58" s="391"/>
      <c r="CN58" s="443"/>
    </row>
    <row r="59" ht="84" customHeight="true" x14ac:dyDescent="0.25">
      <c r="B59" s="390"/>
      <c r="C59" s="391"/>
      <c r="D59" s="1276">
        <f t="shared" si="6"/>
        <v>54</v>
      </c>
      <c r="E59" s="1948" t="s">
        <v>156</v>
      </c>
      <c r="F59" s="1948"/>
      <c r="G59" s="1948"/>
      <c r="H59" s="402" t="s">
        <v>1714</v>
      </c>
      <c r="I59" s="1181" t="s">
        <v>2190</v>
      </c>
      <c r="J59" s="400"/>
      <c r="K59" s="1201">
        <f>IFERROR('Solid Estimation'!L113,"missing data")</f>
        <v>0</v>
      </c>
      <c r="L59" s="1177" t="s">
        <v>1011</v>
      </c>
      <c r="M59" s="399" t="s">
        <v>70</v>
      </c>
      <c r="N59" s="80">
        <f>'Solid Estimation'!N113</f>
        <v>0</v>
      </c>
      <c r="O59" s="1131">
        <f t="shared" si="0"/>
        <v>0</v>
      </c>
      <c r="P59" s="80">
        <v>0</v>
      </c>
      <c r="Q59" s="1132">
        <f t="shared" si="1"/>
        <v>0</v>
      </c>
      <c r="R59" s="1275" t="str">
        <f t="shared" si="2"/>
        <v/>
      </c>
      <c r="S59" s="445"/>
      <c r="T59" s="391"/>
      <c r="U59" s="441"/>
      <c r="V59" s="391"/>
      <c r="W59" s="391"/>
      <c r="X59" s="391"/>
      <c r="Y59" s="391"/>
      <c r="Z59" s="391"/>
      <c r="AA59" s="391"/>
      <c r="AB59" s="391"/>
      <c r="AC59" s="391"/>
      <c r="AD59" s="391"/>
      <c r="AE59" s="391"/>
      <c r="AF59" s="391"/>
      <c r="AG59" s="391"/>
      <c r="AH59" s="391"/>
      <c r="AI59" s="391"/>
      <c r="AJ59" s="391"/>
      <c r="AK59" s="391"/>
      <c r="AL59" s="391"/>
      <c r="AM59" s="391"/>
      <c r="AN59" s="391"/>
      <c r="AO59" s="391"/>
      <c r="AP59" s="391"/>
      <c r="AQ59" s="391"/>
      <c r="AR59" s="391"/>
      <c r="AS59" s="391"/>
      <c r="AT59" s="391"/>
      <c r="AU59" s="391"/>
      <c r="AV59" s="391"/>
      <c r="AW59" s="391"/>
      <c r="AX59" s="391"/>
      <c r="AY59" s="391"/>
      <c r="AZ59" s="391"/>
      <c r="BA59" s="391"/>
      <c r="BB59" s="391"/>
      <c r="BC59" s="391"/>
      <c r="BD59" s="391"/>
      <c r="BE59" s="391"/>
      <c r="BF59" s="391"/>
      <c r="BG59" s="391"/>
      <c r="BH59" s="391"/>
      <c r="BI59" s="391"/>
      <c r="BJ59" s="391"/>
      <c r="BK59" s="391"/>
      <c r="BL59" s="391"/>
      <c r="BM59" s="391"/>
      <c r="BN59" s="391"/>
      <c r="BO59" s="391"/>
      <c r="BP59" s="391"/>
      <c r="BQ59" s="391"/>
      <c r="BR59" s="391"/>
      <c r="BS59" s="391"/>
      <c r="BT59" s="391"/>
      <c r="BU59" s="391"/>
      <c r="BV59" s="391"/>
      <c r="BW59" s="391"/>
      <c r="BX59" s="391"/>
      <c r="BY59" s="391"/>
      <c r="BZ59" s="391"/>
      <c r="CA59" s="391"/>
      <c r="CB59" s="391"/>
      <c r="CC59" s="391"/>
      <c r="CD59" s="391"/>
      <c r="CE59" s="391"/>
      <c r="CF59" s="391"/>
      <c r="CG59" s="391"/>
      <c r="CH59" s="391"/>
      <c r="CI59" s="391"/>
      <c r="CJ59" s="391"/>
      <c r="CK59" s="391"/>
      <c r="CL59" s="391"/>
      <c r="CM59" s="391"/>
      <c r="CN59" s="443"/>
    </row>
    <row r="60" ht="82.5" customHeight="true" x14ac:dyDescent="0.25">
      <c r="B60" s="390"/>
      <c r="C60" s="391"/>
      <c r="D60" s="1276">
        <f t="shared" si="6"/>
        <v>55</v>
      </c>
      <c r="E60" s="1948" t="s">
        <v>157</v>
      </c>
      <c r="F60" s="1948"/>
      <c r="G60" s="1948"/>
      <c r="H60" s="402" t="s">
        <v>1715</v>
      </c>
      <c r="I60" s="1181" t="s">
        <v>1007</v>
      </c>
      <c r="J60" s="400"/>
      <c r="K60" s="1201">
        <f>IFERROR('Solid Estimation'!M113,"missing data")</f>
        <v>0</v>
      </c>
      <c r="L60" s="1177" t="s">
        <v>1011</v>
      </c>
      <c r="M60" s="399" t="s">
        <v>70</v>
      </c>
      <c r="N60" s="80">
        <v>0</v>
      </c>
      <c r="O60" s="1131">
        <f t="shared" si="0"/>
        <v>0</v>
      </c>
      <c r="P60" s="80">
        <f>'Solid Estimation'!N113</f>
        <v>0</v>
      </c>
      <c r="Q60" s="1132">
        <f t="shared" si="1"/>
        <v>0</v>
      </c>
      <c r="R60" s="1275" t="str">
        <f t="shared" si="2"/>
        <v/>
      </c>
      <c r="S60" s="440"/>
      <c r="T60" s="440"/>
      <c r="U60" s="441"/>
      <c r="V60" s="391"/>
      <c r="W60" s="391"/>
      <c r="X60" s="391"/>
      <c r="Y60" s="391"/>
      <c r="Z60" s="391"/>
      <c r="AA60" s="391"/>
      <c r="AB60" s="391"/>
      <c r="AC60" s="391"/>
      <c r="AD60" s="391"/>
      <c r="AE60" s="391"/>
      <c r="AF60" s="391"/>
      <c r="AG60" s="391"/>
      <c r="AH60" s="391"/>
      <c r="AI60" s="391"/>
      <c r="AJ60" s="391"/>
      <c r="AK60" s="391"/>
      <c r="AL60" s="391"/>
      <c r="AM60" s="391"/>
      <c r="AN60" s="391"/>
      <c r="AO60" s="391"/>
      <c r="AP60" s="391"/>
      <c r="AQ60" s="391"/>
      <c r="AR60" s="391"/>
      <c r="AS60" s="391"/>
      <c r="AT60" s="391"/>
      <c r="AU60" s="391"/>
      <c r="AV60" s="391"/>
      <c r="AW60" s="391"/>
      <c r="AX60" s="391"/>
      <c r="AY60" s="391"/>
      <c r="AZ60" s="391"/>
      <c r="BA60" s="391"/>
      <c r="BB60" s="391"/>
      <c r="BC60" s="391"/>
      <c r="BD60" s="391"/>
      <c r="BE60" s="391"/>
      <c r="BF60" s="391"/>
      <c r="BG60" s="391"/>
      <c r="BH60" s="391"/>
      <c r="BI60" s="391"/>
      <c r="BJ60" s="391"/>
      <c r="BK60" s="391"/>
      <c r="BL60" s="391"/>
      <c r="BM60" s="391"/>
      <c r="BN60" s="391"/>
      <c r="BO60" s="391"/>
      <c r="BP60" s="391"/>
      <c r="BQ60" s="391"/>
      <c r="BR60" s="391"/>
      <c r="BS60" s="391"/>
      <c r="BT60" s="391"/>
      <c r="BU60" s="391"/>
      <c r="BV60" s="391"/>
      <c r="BW60" s="391"/>
      <c r="BX60" s="391"/>
      <c r="BY60" s="391"/>
      <c r="BZ60" s="391"/>
      <c r="CA60" s="391"/>
      <c r="CB60" s="391"/>
      <c r="CC60" s="391"/>
      <c r="CD60" s="391"/>
      <c r="CE60" s="391"/>
      <c r="CF60" s="391"/>
      <c r="CG60" s="391"/>
      <c r="CH60" s="391"/>
      <c r="CI60" s="391"/>
      <c r="CJ60" s="391"/>
      <c r="CK60" s="391"/>
      <c r="CL60" s="391"/>
      <c r="CM60" s="391"/>
      <c r="CN60" s="443"/>
    </row>
    <row r="61" ht="117" customHeight="true" x14ac:dyDescent="0.25">
      <c r="B61" s="390"/>
      <c r="C61" s="391"/>
      <c r="D61" s="1276">
        <f t="shared" si="6"/>
        <v>56</v>
      </c>
      <c r="E61" s="1948" t="s">
        <v>158</v>
      </c>
      <c r="F61" s="1948"/>
      <c r="G61" s="1948"/>
      <c r="H61" s="402" t="s">
        <v>1716</v>
      </c>
      <c r="I61" s="1181" t="s">
        <v>171</v>
      </c>
      <c r="J61" s="400"/>
      <c r="K61" s="1201" t="str">
        <f>IFERROR('Solid Estimation'!L113/'Solid Estimation'!N113,"missing data")</f>
        <v>missing data</v>
      </c>
      <c r="L61" s="1177" t="s">
        <v>1011</v>
      </c>
      <c r="M61" s="399" t="s">
        <v>1023</v>
      </c>
      <c r="N61" s="80">
        <v>1</v>
      </c>
      <c r="O61" s="1131">
        <f t="shared" si="0"/>
        <v>1</v>
      </c>
      <c r="P61" s="80">
        <v>0</v>
      </c>
      <c r="Q61" s="1132">
        <f t="shared" si="1"/>
        <v>0</v>
      </c>
      <c r="R61" s="1275" t="str">
        <f t="shared" si="2"/>
        <v/>
      </c>
      <c r="S61" s="440"/>
      <c r="T61" s="440"/>
      <c r="U61" s="441"/>
      <c r="V61" s="391"/>
      <c r="W61" s="391"/>
      <c r="X61" s="391"/>
      <c r="Y61" s="391"/>
      <c r="Z61" s="391"/>
      <c r="AA61" s="391"/>
      <c r="AB61" s="391"/>
      <c r="AC61" s="391"/>
      <c r="AD61" s="391"/>
      <c r="AE61" s="391"/>
      <c r="AF61" s="391"/>
      <c r="AG61" s="391"/>
      <c r="AH61" s="391"/>
      <c r="AI61" s="391"/>
      <c r="AJ61" s="391"/>
      <c r="AK61" s="391"/>
      <c r="AL61" s="391"/>
      <c r="AM61" s="391"/>
      <c r="AN61" s="391"/>
      <c r="AO61" s="391"/>
      <c r="AP61" s="391"/>
      <c r="AQ61" s="391"/>
      <c r="AR61" s="391"/>
      <c r="AS61" s="391"/>
      <c r="AT61" s="391"/>
      <c r="AU61" s="391"/>
      <c r="AV61" s="391"/>
      <c r="AW61" s="391"/>
      <c r="AX61" s="391"/>
      <c r="AY61" s="391"/>
      <c r="AZ61" s="391"/>
      <c r="BA61" s="391"/>
      <c r="BB61" s="391"/>
      <c r="BC61" s="391"/>
      <c r="BD61" s="391"/>
      <c r="BE61" s="391"/>
      <c r="BF61" s="391"/>
      <c r="BG61" s="391"/>
      <c r="BH61" s="391"/>
      <c r="BI61" s="391"/>
      <c r="BJ61" s="391"/>
      <c r="BK61" s="391"/>
      <c r="BL61" s="391"/>
      <c r="BM61" s="391"/>
      <c r="BN61" s="391"/>
      <c r="BO61" s="391"/>
      <c r="BP61" s="391"/>
      <c r="BQ61" s="391"/>
      <c r="BR61" s="391"/>
      <c r="BS61" s="391"/>
      <c r="BT61" s="391"/>
      <c r="BU61" s="391"/>
      <c r="BV61" s="391"/>
      <c r="BW61" s="391"/>
      <c r="BX61" s="391"/>
      <c r="BY61" s="391"/>
      <c r="BZ61" s="391"/>
      <c r="CA61" s="391"/>
      <c r="CB61" s="391"/>
      <c r="CC61" s="391"/>
      <c r="CD61" s="391"/>
      <c r="CE61" s="391"/>
      <c r="CF61" s="391"/>
      <c r="CG61" s="391"/>
      <c r="CH61" s="391"/>
      <c r="CI61" s="391"/>
      <c r="CJ61" s="391"/>
      <c r="CK61" s="391"/>
      <c r="CL61" s="391"/>
      <c r="CM61" s="391"/>
      <c r="CN61" s="443"/>
    </row>
    <row r="62" ht="117.75" customHeight="true" x14ac:dyDescent="0.25">
      <c r="B62" s="390"/>
      <c r="C62" s="391"/>
      <c r="D62" s="1276">
        <f t="shared" si="6"/>
        <v>57</v>
      </c>
      <c r="E62" s="1948" t="s">
        <v>159</v>
      </c>
      <c r="F62" s="1948"/>
      <c r="G62" s="1948"/>
      <c r="H62" s="402" t="s">
        <v>1717</v>
      </c>
      <c r="I62" s="1181" t="s">
        <v>172</v>
      </c>
      <c r="J62" s="400"/>
      <c r="K62" s="1201" t="str">
        <f>IFERROR('Solid Estimation'!M113/'Solid Estimation'!N113,"missing data")</f>
        <v>missing data</v>
      </c>
      <c r="L62" s="1177" t="s">
        <v>1011</v>
      </c>
      <c r="M62" s="399" t="s">
        <v>1023</v>
      </c>
      <c r="N62" s="80">
        <v>0</v>
      </c>
      <c r="O62" s="1131">
        <f t="shared" si="0"/>
        <v>0</v>
      </c>
      <c r="P62" s="80">
        <v>1</v>
      </c>
      <c r="Q62" s="1132">
        <f t="shared" si="1"/>
        <v>1</v>
      </c>
      <c r="R62" s="1275" t="str">
        <f t="shared" si="2"/>
        <v/>
      </c>
      <c r="S62" s="440"/>
      <c r="T62" s="440"/>
      <c r="U62" s="441"/>
      <c r="V62" s="391"/>
      <c r="W62" s="391"/>
      <c r="X62" s="391"/>
      <c r="Y62" s="391"/>
      <c r="Z62" s="391"/>
      <c r="AA62" s="391"/>
      <c r="AB62" s="391"/>
      <c r="AC62" s="391"/>
      <c r="AD62" s="391"/>
      <c r="AE62" s="391"/>
      <c r="AF62" s="391"/>
      <c r="AG62" s="391"/>
      <c r="AH62" s="391"/>
      <c r="AI62" s="391"/>
      <c r="AJ62" s="391"/>
      <c r="AK62" s="391"/>
      <c r="AL62" s="391"/>
      <c r="AM62" s="391"/>
      <c r="AN62" s="391"/>
      <c r="AO62" s="391"/>
      <c r="AP62" s="391"/>
      <c r="AQ62" s="391"/>
      <c r="AR62" s="391"/>
      <c r="AS62" s="391"/>
      <c r="AT62" s="391"/>
      <c r="AU62" s="391"/>
      <c r="AV62" s="391"/>
      <c r="AW62" s="391"/>
      <c r="AX62" s="391"/>
      <c r="AY62" s="391"/>
      <c r="AZ62" s="391"/>
      <c r="BA62" s="391"/>
      <c r="BB62" s="391"/>
      <c r="BC62" s="391"/>
      <c r="BD62" s="391"/>
      <c r="BE62" s="391"/>
      <c r="BF62" s="391"/>
      <c r="BG62" s="391"/>
      <c r="BH62" s="391"/>
      <c r="BI62" s="391"/>
      <c r="BJ62" s="391"/>
      <c r="BK62" s="391"/>
      <c r="BL62" s="391"/>
      <c r="BM62" s="391"/>
      <c r="BN62" s="391"/>
      <c r="BO62" s="391"/>
      <c r="BP62" s="391"/>
      <c r="BQ62" s="391"/>
      <c r="BR62" s="391"/>
      <c r="BS62" s="391"/>
      <c r="BT62" s="391"/>
      <c r="BU62" s="391"/>
      <c r="BV62" s="391"/>
      <c r="BW62" s="391"/>
      <c r="BX62" s="391"/>
      <c r="BY62" s="391"/>
      <c r="BZ62" s="391"/>
      <c r="CA62" s="391"/>
      <c r="CB62" s="391"/>
      <c r="CC62" s="391"/>
      <c r="CD62" s="391"/>
      <c r="CE62" s="391"/>
      <c r="CF62" s="391"/>
      <c r="CG62" s="391"/>
      <c r="CH62" s="391"/>
      <c r="CI62" s="391"/>
      <c r="CJ62" s="391"/>
      <c r="CK62" s="391"/>
      <c r="CL62" s="391"/>
      <c r="CM62" s="391"/>
      <c r="CN62" s="443"/>
    </row>
    <row r="63" ht="141.75" customHeight="true" x14ac:dyDescent="0.3">
      <c r="B63" s="390"/>
      <c r="C63" s="391"/>
      <c r="D63" s="1276">
        <f t="shared" si="6"/>
        <v>58</v>
      </c>
      <c r="E63" s="1948" t="s">
        <v>160</v>
      </c>
      <c r="F63" s="1948"/>
      <c r="G63" s="1948"/>
      <c r="H63" s="402" t="s">
        <v>1718</v>
      </c>
      <c r="I63" s="1181" t="s">
        <v>173</v>
      </c>
      <c r="J63" s="242"/>
      <c r="K63" s="1206" t="str">
        <f>IFERROR('Solid Estimation'!P113/('Solid Estimation'!L113+'Solid Estimation'!M113),"missing data")</f>
        <v>missing data</v>
      </c>
      <c r="L63" s="1177" t="s">
        <v>1008</v>
      </c>
      <c r="M63" s="401" t="s">
        <v>1016</v>
      </c>
      <c r="N63" s="80">
        <v>0</v>
      </c>
      <c r="O63" s="1131">
        <f t="shared" si="0"/>
        <v>0</v>
      </c>
      <c r="P63" s="80">
        <v>1</v>
      </c>
      <c r="Q63" s="1132">
        <f t="shared" si="1"/>
        <v>1</v>
      </c>
      <c r="R63" s="1275" t="str">
        <f t="shared" si="2"/>
        <v/>
      </c>
      <c r="S63" s="440"/>
      <c r="T63" s="440"/>
      <c r="U63" s="441"/>
      <c r="V63" s="391"/>
      <c r="W63" s="391"/>
      <c r="X63" s="391"/>
      <c r="Y63" s="391"/>
      <c r="Z63" s="391"/>
      <c r="AA63" s="391"/>
      <c r="AB63" s="391"/>
      <c r="AC63" s="391"/>
      <c r="AD63" s="391"/>
      <c r="AE63" s="391"/>
      <c r="AF63" s="391"/>
      <c r="AG63" s="391"/>
      <c r="AH63" s="391"/>
      <c r="AI63" s="391"/>
      <c r="AJ63" s="391"/>
      <c r="AK63" s="391"/>
      <c r="AL63" s="391"/>
      <c r="AM63" s="391"/>
      <c r="AN63" s="391"/>
      <c r="AO63" s="391"/>
      <c r="AP63" s="391"/>
      <c r="AQ63" s="391"/>
      <c r="AR63" s="391"/>
      <c r="AS63" s="391"/>
      <c r="AT63" s="391"/>
      <c r="AU63" s="391"/>
      <c r="AV63" s="391"/>
      <c r="AW63" s="391"/>
      <c r="AX63" s="391"/>
      <c r="AY63" s="391"/>
      <c r="AZ63" s="391"/>
      <c r="BA63" s="391"/>
      <c r="BB63" s="391"/>
      <c r="BC63" s="391"/>
      <c r="BD63" s="391"/>
      <c r="BE63" s="391"/>
      <c r="BF63" s="391"/>
      <c r="BG63" s="391"/>
      <c r="BH63" s="391"/>
      <c r="BI63" s="391"/>
      <c r="BJ63" s="391"/>
      <c r="BK63" s="391"/>
      <c r="BL63" s="391"/>
      <c r="BM63" s="391"/>
      <c r="BN63" s="391"/>
      <c r="BO63" s="391"/>
      <c r="BP63" s="391"/>
      <c r="BQ63" s="391"/>
      <c r="BR63" s="391"/>
      <c r="BS63" s="391"/>
      <c r="BT63" s="391"/>
      <c r="BU63" s="391"/>
      <c r="BV63" s="391"/>
      <c r="BW63" s="391"/>
      <c r="BX63" s="391"/>
      <c r="BY63" s="391"/>
      <c r="BZ63" s="391"/>
      <c r="CA63" s="391"/>
      <c r="CB63" s="391"/>
      <c r="CC63" s="391"/>
      <c r="CD63" s="391"/>
      <c r="CE63" s="391"/>
      <c r="CF63" s="391"/>
      <c r="CG63" s="391"/>
      <c r="CH63" s="391"/>
      <c r="CI63" s="391"/>
      <c r="CJ63" s="391"/>
      <c r="CK63" s="391"/>
      <c r="CL63" s="391"/>
      <c r="CM63" s="391"/>
      <c r="CN63" s="443"/>
    </row>
    <row r="64" ht="78.75" customHeight="true" x14ac:dyDescent="0.25">
      <c r="B64" s="390"/>
      <c r="C64" s="391"/>
      <c r="D64" s="1276">
        <f t="shared" si="6"/>
        <v>59</v>
      </c>
      <c r="E64" s="1948" t="s">
        <v>161</v>
      </c>
      <c r="F64" s="1948"/>
      <c r="G64" s="1948"/>
      <c r="H64" s="402" t="s">
        <v>1719</v>
      </c>
      <c r="I64" s="1181" t="s">
        <v>174</v>
      </c>
      <c r="J64" s="400"/>
      <c r="K64" s="1201">
        <f>IFERROR('Solid Estimation'!Q113,"missing data")</f>
        <v>0</v>
      </c>
      <c r="L64" s="1177" t="s">
        <v>1008</v>
      </c>
      <c r="M64" s="399" t="s">
        <v>1024</v>
      </c>
      <c r="N64" s="80">
        <v>0</v>
      </c>
      <c r="O64" s="1131">
        <f t="shared" si="0"/>
        <v>0</v>
      </c>
      <c r="P64" s="80">
        <f>'Solid Estimation'!P113</f>
        <v>0</v>
      </c>
      <c r="Q64" s="1132">
        <f t="shared" si="1"/>
        <v>0</v>
      </c>
      <c r="R64" s="1275" t="str">
        <f t="shared" si="2"/>
        <v/>
      </c>
      <c r="S64" s="440"/>
      <c r="T64" s="440"/>
      <c r="U64" s="441"/>
      <c r="V64" s="391"/>
      <c r="W64" s="391"/>
      <c r="X64" s="391"/>
      <c r="Y64" s="391"/>
      <c r="Z64" s="391"/>
      <c r="AA64" s="391"/>
      <c r="AB64" s="391"/>
      <c r="AC64" s="391"/>
      <c r="AD64" s="391"/>
      <c r="AE64" s="391"/>
      <c r="AF64" s="391"/>
      <c r="AG64" s="391"/>
      <c r="AH64" s="391"/>
      <c r="AI64" s="391"/>
      <c r="AJ64" s="391"/>
      <c r="AK64" s="391"/>
      <c r="AL64" s="391"/>
      <c r="AM64" s="391"/>
      <c r="AN64" s="391"/>
      <c r="AO64" s="391"/>
      <c r="AP64" s="391"/>
      <c r="AQ64" s="391"/>
      <c r="AR64" s="391"/>
      <c r="AS64" s="391"/>
      <c r="AT64" s="391"/>
      <c r="AU64" s="391"/>
      <c r="AV64" s="391"/>
      <c r="AW64" s="391"/>
      <c r="AX64" s="391"/>
      <c r="AY64" s="391"/>
      <c r="AZ64" s="391"/>
      <c r="BA64" s="391"/>
      <c r="BB64" s="391"/>
      <c r="BC64" s="391"/>
      <c r="BD64" s="391"/>
      <c r="BE64" s="391"/>
      <c r="BF64" s="391"/>
      <c r="BG64" s="391"/>
      <c r="BH64" s="391"/>
      <c r="BI64" s="391"/>
      <c r="BJ64" s="391"/>
      <c r="BK64" s="391"/>
      <c r="BL64" s="391"/>
      <c r="BM64" s="391"/>
      <c r="BN64" s="391"/>
      <c r="BO64" s="391"/>
      <c r="BP64" s="391"/>
      <c r="BQ64" s="391"/>
      <c r="BR64" s="391"/>
      <c r="BS64" s="391"/>
      <c r="BT64" s="391"/>
      <c r="BU64" s="391"/>
      <c r="BV64" s="391"/>
      <c r="BW64" s="391"/>
      <c r="BX64" s="391"/>
      <c r="BY64" s="391"/>
      <c r="BZ64" s="391"/>
      <c r="CA64" s="391"/>
      <c r="CB64" s="391"/>
      <c r="CC64" s="391"/>
      <c r="CD64" s="391"/>
      <c r="CE64" s="391"/>
      <c r="CF64" s="391"/>
      <c r="CG64" s="391"/>
      <c r="CH64" s="391"/>
      <c r="CI64" s="391"/>
      <c r="CJ64" s="391"/>
      <c r="CK64" s="391"/>
      <c r="CL64" s="391"/>
      <c r="CM64" s="391"/>
      <c r="CN64" s="443"/>
    </row>
    <row r="65" ht="104.25" customHeight="true" x14ac:dyDescent="0.3">
      <c r="B65" s="390"/>
      <c r="C65" s="391"/>
      <c r="D65" s="1276">
        <f t="shared" si="6"/>
        <v>60</v>
      </c>
      <c r="E65" s="1948" t="s">
        <v>162</v>
      </c>
      <c r="F65" s="1948"/>
      <c r="G65" s="1948"/>
      <c r="H65" s="402" t="s">
        <v>1720</v>
      </c>
      <c r="I65" s="1181" t="s">
        <v>2191</v>
      </c>
      <c r="J65" s="242"/>
      <c r="K65" s="1206">
        <f>IFERROR('Solid Estimation'!Q113/G78,"missing data")</f>
        <v>0</v>
      </c>
      <c r="L65" s="1177" t="s">
        <v>1015</v>
      </c>
      <c r="M65" s="399" t="s">
        <v>1017</v>
      </c>
      <c r="N65" s="80">
        <v>0</v>
      </c>
      <c r="O65" s="1131">
        <f t="shared" si="0"/>
        <v>0</v>
      </c>
      <c r="P65" s="80">
        <f>'Solid Estimation'!P113/G78</f>
        <v>0</v>
      </c>
      <c r="Q65" s="1132">
        <f t="shared" si="1"/>
        <v>0</v>
      </c>
      <c r="R65" s="1275" t="str">
        <f t="shared" si="2"/>
        <v/>
      </c>
      <c r="S65" s="440"/>
      <c r="T65" s="440"/>
      <c r="U65" s="441"/>
      <c r="V65" s="391"/>
      <c r="W65" s="391"/>
      <c r="X65" s="391"/>
      <c r="Y65" s="441"/>
      <c r="Z65" s="391"/>
      <c r="AA65" s="391"/>
      <c r="AB65" s="391"/>
      <c r="AC65" s="391"/>
      <c r="AD65" s="391"/>
      <c r="AE65" s="391"/>
      <c r="AF65" s="391"/>
      <c r="AG65" s="391"/>
      <c r="AH65" s="391"/>
      <c r="AI65" s="391"/>
      <c r="AJ65" s="391"/>
      <c r="AK65" s="391"/>
      <c r="AL65" s="391"/>
      <c r="AM65" s="391"/>
      <c r="AN65" s="391"/>
      <c r="AO65" s="391"/>
      <c r="AP65" s="391"/>
      <c r="AQ65" s="391"/>
      <c r="AR65" s="391"/>
      <c r="AS65" s="391"/>
      <c r="AT65" s="391"/>
      <c r="AU65" s="391"/>
      <c r="AV65" s="391"/>
      <c r="AW65" s="391"/>
      <c r="AX65" s="391"/>
      <c r="AY65" s="391"/>
      <c r="AZ65" s="391"/>
      <c r="BA65" s="391"/>
      <c r="BB65" s="391"/>
      <c r="BC65" s="391"/>
      <c r="BD65" s="391"/>
      <c r="BE65" s="391"/>
      <c r="BF65" s="391"/>
      <c r="BG65" s="391"/>
      <c r="BH65" s="391"/>
      <c r="BI65" s="391"/>
      <c r="BJ65" s="391"/>
      <c r="BK65" s="391"/>
      <c r="BL65" s="391"/>
      <c r="BM65" s="391"/>
      <c r="BN65" s="391"/>
      <c r="BO65" s="391"/>
      <c r="BP65" s="391"/>
      <c r="BQ65" s="391"/>
      <c r="BR65" s="391"/>
      <c r="BS65" s="391"/>
      <c r="BT65" s="391"/>
      <c r="BU65" s="391"/>
      <c r="BV65" s="391"/>
      <c r="BW65" s="391"/>
      <c r="BX65" s="391"/>
      <c r="BY65" s="391"/>
      <c r="BZ65" s="391"/>
      <c r="CA65" s="391"/>
      <c r="CB65" s="391"/>
      <c r="CC65" s="391"/>
      <c r="CD65" s="391"/>
      <c r="CE65" s="391"/>
      <c r="CF65" s="391"/>
      <c r="CG65" s="391"/>
      <c r="CH65" s="391"/>
      <c r="CI65" s="391"/>
      <c r="CJ65" s="391"/>
      <c r="CK65" s="391"/>
      <c r="CL65" s="391"/>
      <c r="CM65" s="391"/>
      <c r="CN65" s="443"/>
    </row>
    <row r="66" ht="95.25" customHeight="true" x14ac:dyDescent="0.25">
      <c r="B66" s="390"/>
      <c r="C66" s="391"/>
      <c r="D66" s="1276">
        <f t="shared" si="6"/>
        <v>61</v>
      </c>
      <c r="E66" s="1948" t="s">
        <v>163</v>
      </c>
      <c r="F66" s="1948"/>
      <c r="G66" s="1948"/>
      <c r="H66" s="402" t="s">
        <v>1721</v>
      </c>
      <c r="I66" s="1181" t="s">
        <v>178</v>
      </c>
      <c r="J66" s="400"/>
      <c r="K66" s="1277">
        <f>IFERROR('Solid Estimation'!M113-'Solid Estimation'!P113,"missing data")</f>
        <v>0</v>
      </c>
      <c r="L66" s="1177" t="s">
        <v>1008</v>
      </c>
      <c r="M66" s="399" t="s">
        <v>1018</v>
      </c>
      <c r="N66" s="80">
        <f>'Solid Estimation'!M113</f>
        <v>0</v>
      </c>
      <c r="O66" s="1131">
        <f t="shared" si="0"/>
        <v>0</v>
      </c>
      <c r="P66" s="80">
        <v>0</v>
      </c>
      <c r="Q66" s="1132">
        <f t="shared" si="1"/>
        <v>0</v>
      </c>
      <c r="R66" s="1275" t="str">
        <f t="shared" si="2"/>
        <v/>
      </c>
      <c r="S66" s="440"/>
      <c r="T66" s="440"/>
      <c r="U66" s="441"/>
      <c r="V66" s="391"/>
      <c r="W66" s="391"/>
      <c r="X66" s="391"/>
      <c r="Y66" s="391"/>
      <c r="Z66" s="391"/>
      <c r="AA66" s="391"/>
      <c r="AB66" s="391"/>
      <c r="AC66" s="391"/>
      <c r="AD66" s="391"/>
      <c r="AE66" s="391"/>
      <c r="AF66" s="391"/>
      <c r="AG66" s="391"/>
      <c r="AH66" s="391"/>
      <c r="AI66" s="391"/>
      <c r="AJ66" s="391"/>
      <c r="AK66" s="391"/>
      <c r="AL66" s="391"/>
      <c r="AM66" s="391"/>
      <c r="AN66" s="391"/>
      <c r="AO66" s="391"/>
      <c r="AP66" s="391"/>
      <c r="AQ66" s="391"/>
      <c r="AR66" s="391"/>
      <c r="AS66" s="391"/>
      <c r="AT66" s="391"/>
      <c r="AU66" s="391"/>
      <c r="AV66" s="391"/>
      <c r="AW66" s="391"/>
      <c r="AX66" s="391"/>
      <c r="AY66" s="391"/>
      <c r="AZ66" s="391"/>
      <c r="BA66" s="391"/>
      <c r="BB66" s="391"/>
      <c r="BC66" s="391"/>
      <c r="BD66" s="391"/>
      <c r="BE66" s="391"/>
      <c r="BF66" s="391"/>
      <c r="BG66" s="391"/>
      <c r="BH66" s="391"/>
      <c r="BI66" s="391"/>
      <c r="BJ66" s="391"/>
      <c r="BK66" s="391"/>
      <c r="BL66" s="391"/>
      <c r="BM66" s="391"/>
      <c r="BN66" s="391"/>
      <c r="BO66" s="391"/>
      <c r="BP66" s="391"/>
      <c r="BQ66" s="391"/>
      <c r="BR66" s="391"/>
      <c r="BS66" s="391"/>
      <c r="BT66" s="391"/>
      <c r="BU66" s="391"/>
      <c r="BV66" s="391"/>
      <c r="BW66" s="391"/>
      <c r="BX66" s="391"/>
      <c r="BY66" s="391"/>
      <c r="BZ66" s="391"/>
      <c r="CA66" s="391"/>
      <c r="CB66" s="391"/>
      <c r="CC66" s="391"/>
      <c r="CD66" s="391"/>
      <c r="CE66" s="391"/>
      <c r="CF66" s="391"/>
      <c r="CG66" s="391"/>
      <c r="CH66" s="391"/>
      <c r="CI66" s="391"/>
      <c r="CJ66" s="391"/>
      <c r="CK66" s="391"/>
      <c r="CL66" s="391"/>
      <c r="CM66" s="391"/>
      <c r="CN66" s="443"/>
    </row>
    <row r="67" ht="123" customHeight="true" x14ac:dyDescent="0.25">
      <c r="B67" s="390"/>
      <c r="C67" s="391"/>
      <c r="D67" s="1276">
        <f t="shared" si="6"/>
        <v>62</v>
      </c>
      <c r="E67" s="1948" t="s">
        <v>164</v>
      </c>
      <c r="F67" s="1948"/>
      <c r="G67" s="1948"/>
      <c r="H67" s="402" t="s">
        <v>1722</v>
      </c>
      <c r="I67" s="1181" t="s">
        <v>175</v>
      </c>
      <c r="J67" s="400"/>
      <c r="K67" s="99">
        <f>IFERROR(('Solid Estimation'!M113-'Solid Estimation'!P113)/G80,"missing data")</f>
        <v>0</v>
      </c>
      <c r="L67" s="1177" t="s">
        <v>1021</v>
      </c>
      <c r="M67" s="399" t="s">
        <v>1019</v>
      </c>
      <c r="N67" s="80">
        <f>'Solid Estimation'!M113/G80</f>
        <v>0</v>
      </c>
      <c r="O67" s="1131">
        <f t="shared" si="0"/>
        <v>0</v>
      </c>
      <c r="P67" s="80">
        <v>0</v>
      </c>
      <c r="Q67" s="1132">
        <f t="shared" si="1"/>
        <v>0</v>
      </c>
      <c r="R67" s="1275" t="str">
        <f t="shared" si="2"/>
        <v/>
      </c>
      <c r="S67" s="440"/>
      <c r="T67" s="440"/>
      <c r="U67" s="441"/>
      <c r="V67" s="391"/>
      <c r="W67" s="391"/>
      <c r="X67" s="391"/>
      <c r="Y67" s="391"/>
      <c r="Z67" s="391"/>
      <c r="AA67" s="391"/>
      <c r="AB67" s="391"/>
      <c r="AC67" s="391"/>
      <c r="AD67" s="391"/>
      <c r="AE67" s="391"/>
      <c r="AF67" s="391"/>
      <c r="AG67" s="391"/>
      <c r="AH67" s="391"/>
      <c r="AI67" s="391"/>
      <c r="AJ67" s="391"/>
      <c r="AK67" s="391"/>
      <c r="AL67" s="391"/>
      <c r="AM67" s="391"/>
      <c r="AN67" s="391"/>
      <c r="AO67" s="391"/>
      <c r="AP67" s="391"/>
      <c r="AQ67" s="391"/>
      <c r="AR67" s="391"/>
      <c r="AS67" s="391"/>
      <c r="AT67" s="391"/>
      <c r="AU67" s="391"/>
      <c r="AV67" s="391"/>
      <c r="AW67" s="391"/>
      <c r="AX67" s="391"/>
      <c r="AY67" s="391"/>
      <c r="AZ67" s="391"/>
      <c r="BA67" s="391"/>
      <c r="BB67" s="391"/>
      <c r="BC67" s="391"/>
      <c r="BD67" s="391"/>
      <c r="BE67" s="391"/>
      <c r="BF67" s="391"/>
      <c r="BG67" s="391"/>
      <c r="BH67" s="391"/>
      <c r="BI67" s="391"/>
      <c r="BJ67" s="391"/>
      <c r="BK67" s="391"/>
      <c r="BL67" s="391"/>
      <c r="BM67" s="391"/>
      <c r="BN67" s="391"/>
      <c r="BO67" s="391"/>
      <c r="BP67" s="391"/>
      <c r="BQ67" s="391"/>
      <c r="BR67" s="391"/>
      <c r="BS67" s="391"/>
      <c r="BT67" s="391"/>
      <c r="BU67" s="391"/>
      <c r="BV67" s="391"/>
      <c r="BW67" s="391"/>
      <c r="BX67" s="391"/>
      <c r="BY67" s="391"/>
      <c r="BZ67" s="391"/>
      <c r="CA67" s="391"/>
      <c r="CB67" s="391"/>
      <c r="CC67" s="391"/>
      <c r="CD67" s="391"/>
      <c r="CE67" s="391"/>
      <c r="CF67" s="391"/>
      <c r="CG67" s="391"/>
      <c r="CH67" s="391"/>
      <c r="CI67" s="391"/>
      <c r="CJ67" s="391"/>
      <c r="CK67" s="391"/>
      <c r="CL67" s="391"/>
      <c r="CM67" s="391"/>
      <c r="CN67" s="443"/>
    </row>
    <row r="68" ht="91.5" customHeight="true" x14ac:dyDescent="0.25">
      <c r="B68" s="390"/>
      <c r="C68" s="391"/>
      <c r="D68" s="1276">
        <f t="shared" si="6"/>
        <v>63</v>
      </c>
      <c r="E68" s="1948" t="s">
        <v>165</v>
      </c>
      <c r="F68" s="1948"/>
      <c r="G68" s="1948"/>
      <c r="H68" s="402" t="s">
        <v>1723</v>
      </c>
      <c r="I68" s="1181" t="s">
        <v>176</v>
      </c>
      <c r="J68" s="400"/>
      <c r="K68" s="1277">
        <f>IFERROR('Solid Estimation'!G181,"missing data")</f>
        <v>0</v>
      </c>
      <c r="L68" s="1177" t="s">
        <v>1029</v>
      </c>
      <c r="M68" s="399" t="s">
        <v>1593</v>
      </c>
      <c r="N68" s="80">
        <v>0</v>
      </c>
      <c r="O68" s="1131">
        <f t="shared" si="0"/>
        <v>0</v>
      </c>
      <c r="P68" s="80">
        <f>'Solid Estimation'!G186</f>
        <v>1656.8929704280156</v>
      </c>
      <c r="Q68" s="1132">
        <f t="shared" si="1"/>
        <v>1656.8929704280156</v>
      </c>
      <c r="R68" s="1275">
        <f t="shared" si="2"/>
        <v>100</v>
      </c>
      <c r="S68" s="440"/>
      <c r="T68" s="440"/>
      <c r="U68" s="441"/>
      <c r="V68" s="391"/>
      <c r="W68" s="391"/>
      <c r="X68" s="391"/>
      <c r="Y68" s="391"/>
      <c r="Z68" s="391"/>
      <c r="AA68" s="391"/>
      <c r="AB68" s="391"/>
      <c r="AC68" s="391"/>
      <c r="AD68" s="391"/>
      <c r="AE68" s="391"/>
      <c r="AF68" s="391"/>
      <c r="AG68" s="391"/>
      <c r="AH68" s="391"/>
      <c r="AI68" s="391"/>
      <c r="AJ68" s="391"/>
      <c r="AK68" s="391"/>
      <c r="AL68" s="391"/>
      <c r="AM68" s="391"/>
      <c r="AN68" s="391"/>
      <c r="AO68" s="391"/>
      <c r="AP68" s="391"/>
      <c r="AQ68" s="391"/>
      <c r="AR68" s="391"/>
      <c r="AS68" s="391"/>
      <c r="AT68" s="391"/>
      <c r="AU68" s="391"/>
      <c r="AV68" s="391"/>
      <c r="AW68" s="391"/>
      <c r="AX68" s="391"/>
      <c r="AY68" s="391"/>
      <c r="AZ68" s="391"/>
      <c r="BA68" s="391"/>
      <c r="BB68" s="391"/>
      <c r="BC68" s="391"/>
      <c r="BD68" s="391"/>
      <c r="BE68" s="391"/>
      <c r="BF68" s="391"/>
      <c r="BG68" s="391"/>
      <c r="BH68" s="391"/>
      <c r="BI68" s="391"/>
      <c r="BJ68" s="391"/>
      <c r="BK68" s="391"/>
      <c r="BL68" s="391"/>
      <c r="BM68" s="391"/>
      <c r="BN68" s="391"/>
      <c r="BO68" s="391"/>
      <c r="BP68" s="391"/>
      <c r="BQ68" s="391"/>
      <c r="BR68" s="391"/>
      <c r="BS68" s="391"/>
      <c r="BT68" s="391"/>
      <c r="BU68" s="391"/>
      <c r="BV68" s="391"/>
      <c r="BW68" s="391"/>
      <c r="BX68" s="391"/>
      <c r="BY68" s="391"/>
      <c r="BZ68" s="391"/>
      <c r="CA68" s="391"/>
      <c r="CB68" s="391"/>
      <c r="CC68" s="391"/>
      <c r="CD68" s="391"/>
      <c r="CE68" s="391"/>
      <c r="CF68" s="391"/>
      <c r="CG68" s="391"/>
      <c r="CH68" s="391"/>
      <c r="CI68" s="391"/>
      <c r="CJ68" s="391"/>
      <c r="CK68" s="391"/>
      <c r="CL68" s="391"/>
      <c r="CM68" s="391"/>
      <c r="CN68" s="443"/>
    </row>
    <row r="69" ht="79.5" customHeight="true" x14ac:dyDescent="0.25">
      <c r="B69" s="390"/>
      <c r="C69" s="391"/>
      <c r="D69" s="1276">
        <f t="shared" si="6"/>
        <v>64</v>
      </c>
      <c r="E69" s="1948" t="s">
        <v>166</v>
      </c>
      <c r="F69" s="1948"/>
      <c r="G69" s="1948"/>
      <c r="H69" s="402" t="s">
        <v>1724</v>
      </c>
      <c r="I69" s="1181" t="s">
        <v>177</v>
      </c>
      <c r="J69" s="400"/>
      <c r="K69" s="1277">
        <f>IFERROR('Solid Estimation'!G181/G78,"missing data")</f>
        <v>0</v>
      </c>
      <c r="L69" s="1177" t="s">
        <v>1030</v>
      </c>
      <c r="M69" s="399" t="s">
        <v>1031</v>
      </c>
      <c r="N69" s="80">
        <v>0</v>
      </c>
      <c r="O69" s="1131">
        <f t="shared" si="0"/>
        <v>0</v>
      </c>
      <c r="P69" s="80">
        <f>'Solid Estimation'!G186/G78</f>
        <v>0.36721795610425445</v>
      </c>
      <c r="Q69" s="1132">
        <f t="shared" si="1"/>
        <v>0.36721795610425445</v>
      </c>
      <c r="R69" s="1275">
        <f t="shared" si="2"/>
        <v>100</v>
      </c>
      <c r="S69" s="440"/>
      <c r="T69" s="440"/>
      <c r="U69" s="441"/>
      <c r="V69" s="391"/>
      <c r="W69" s="391"/>
      <c r="X69" s="391"/>
      <c r="Y69" s="391"/>
      <c r="Z69" s="391"/>
      <c r="AA69" s="391"/>
      <c r="AB69" s="391"/>
      <c r="AC69" s="391"/>
      <c r="AD69" s="391"/>
      <c r="AE69" s="391"/>
      <c r="AF69" s="391"/>
      <c r="AG69" s="391"/>
      <c r="AH69" s="391"/>
      <c r="AI69" s="391"/>
      <c r="AJ69" s="391"/>
      <c r="AK69" s="391"/>
      <c r="AL69" s="391"/>
      <c r="AM69" s="391"/>
      <c r="AN69" s="391"/>
      <c r="AO69" s="391"/>
      <c r="AP69" s="391"/>
      <c r="AQ69" s="391"/>
      <c r="AR69" s="391"/>
      <c r="AS69" s="391"/>
      <c r="AT69" s="391"/>
      <c r="AU69" s="391"/>
      <c r="AV69" s="391"/>
      <c r="AW69" s="391"/>
      <c r="AX69" s="391"/>
      <c r="AY69" s="391"/>
      <c r="AZ69" s="391"/>
      <c r="BA69" s="391"/>
      <c r="BB69" s="391"/>
      <c r="BC69" s="391"/>
      <c r="BD69" s="391"/>
      <c r="BE69" s="391"/>
      <c r="BF69" s="391"/>
      <c r="BG69" s="391"/>
      <c r="BH69" s="391"/>
      <c r="BI69" s="391"/>
      <c r="BJ69" s="391"/>
      <c r="BK69" s="391"/>
      <c r="BL69" s="391"/>
      <c r="BM69" s="391"/>
      <c r="BN69" s="391"/>
      <c r="BO69" s="391"/>
      <c r="BP69" s="391"/>
      <c r="BQ69" s="391"/>
      <c r="BR69" s="391"/>
      <c r="BS69" s="391"/>
      <c r="BT69" s="391"/>
      <c r="BU69" s="391"/>
      <c r="BV69" s="391"/>
      <c r="BW69" s="391"/>
      <c r="BX69" s="391"/>
      <c r="BY69" s="391"/>
      <c r="BZ69" s="391"/>
      <c r="CA69" s="391"/>
      <c r="CB69" s="391"/>
      <c r="CC69" s="391"/>
      <c r="CD69" s="391"/>
      <c r="CE69" s="391"/>
      <c r="CF69" s="391"/>
      <c r="CG69" s="391"/>
      <c r="CH69" s="391"/>
      <c r="CI69" s="391"/>
      <c r="CJ69" s="391"/>
      <c r="CK69" s="391"/>
      <c r="CL69" s="391"/>
      <c r="CM69" s="391"/>
      <c r="CN69" s="443"/>
    </row>
    <row r="70" ht="124.5" customHeight="true" x14ac:dyDescent="0.25">
      <c r="B70" s="390"/>
      <c r="C70" s="391"/>
      <c r="D70" s="1276">
        <f t="shared" si="6"/>
        <v>65</v>
      </c>
      <c r="E70" s="1948" t="s">
        <v>167</v>
      </c>
      <c r="F70" s="1948"/>
      <c r="G70" s="1948"/>
      <c r="H70" s="402" t="s">
        <v>1725</v>
      </c>
      <c r="I70" s="1181" t="s">
        <v>180</v>
      </c>
      <c r="J70" s="400"/>
      <c r="K70" s="1277">
        <f>IFERROR('Solid Estimation'!G182,"missing data")</f>
        <v>0</v>
      </c>
      <c r="L70" s="1177" t="s">
        <v>1030</v>
      </c>
      <c r="M70" s="399" t="s">
        <v>1028</v>
      </c>
      <c r="N70" s="80">
        <f>'Solid Estimation'!G181</f>
        <v>0</v>
      </c>
      <c r="O70" s="1131">
        <f t="shared" si="0"/>
        <v>0</v>
      </c>
      <c r="P70" s="80">
        <v>0</v>
      </c>
      <c r="Q70" s="1132">
        <f t="shared" si="1"/>
        <v>0</v>
      </c>
      <c r="R70" s="1275" t="str">
        <f t="shared" si="2"/>
        <v/>
      </c>
      <c r="S70" s="440"/>
      <c r="T70" s="440"/>
      <c r="U70" s="441"/>
      <c r="V70" s="391"/>
      <c r="W70" s="391"/>
      <c r="X70" s="391"/>
      <c r="Y70" s="391"/>
      <c r="Z70" s="391"/>
      <c r="AA70" s="391"/>
      <c r="AB70" s="391"/>
      <c r="AC70" s="391"/>
      <c r="AD70" s="391"/>
      <c r="AE70" s="391"/>
      <c r="AF70" s="391"/>
      <c r="AG70" s="391"/>
      <c r="AH70" s="391"/>
      <c r="AI70" s="391"/>
      <c r="AJ70" s="391"/>
      <c r="AK70" s="391"/>
      <c r="AL70" s="391"/>
      <c r="AM70" s="391"/>
      <c r="AN70" s="391"/>
      <c r="AO70" s="391"/>
      <c r="AP70" s="391"/>
      <c r="AQ70" s="391"/>
      <c r="AR70" s="391"/>
      <c r="AS70" s="391"/>
      <c r="AT70" s="391"/>
      <c r="AU70" s="391"/>
      <c r="AV70" s="391"/>
      <c r="AW70" s="391"/>
      <c r="AX70" s="391"/>
      <c r="AY70" s="391"/>
      <c r="AZ70" s="391"/>
      <c r="BA70" s="391"/>
      <c r="BB70" s="391"/>
      <c r="BC70" s="391"/>
      <c r="BD70" s="391"/>
      <c r="BE70" s="391"/>
      <c r="BF70" s="391"/>
      <c r="BG70" s="391"/>
      <c r="BH70" s="391"/>
      <c r="BI70" s="391"/>
      <c r="BJ70" s="391"/>
      <c r="BK70" s="391"/>
      <c r="BL70" s="391"/>
      <c r="BM70" s="391"/>
      <c r="BN70" s="391"/>
      <c r="BO70" s="391"/>
      <c r="BP70" s="391"/>
      <c r="BQ70" s="391"/>
      <c r="BR70" s="391"/>
      <c r="BS70" s="391"/>
      <c r="BT70" s="391"/>
      <c r="BU70" s="391"/>
      <c r="BV70" s="391"/>
      <c r="BW70" s="391"/>
      <c r="BX70" s="391"/>
      <c r="BY70" s="391"/>
      <c r="BZ70" s="391"/>
      <c r="CA70" s="391"/>
      <c r="CB70" s="391"/>
      <c r="CC70" s="391"/>
      <c r="CD70" s="391"/>
      <c r="CE70" s="391"/>
      <c r="CF70" s="391"/>
      <c r="CG70" s="391"/>
      <c r="CH70" s="391"/>
      <c r="CI70" s="391"/>
      <c r="CJ70" s="391"/>
      <c r="CK70" s="391"/>
      <c r="CL70" s="391"/>
      <c r="CM70" s="391"/>
      <c r="CN70" s="443"/>
    </row>
    <row r="71" ht="110.25" customHeight="true" thickBot="true" x14ac:dyDescent="0.3">
      <c r="B71" s="390"/>
      <c r="C71" s="391"/>
      <c r="D71" s="1280">
        <f t="shared" si="6"/>
        <v>66</v>
      </c>
      <c r="E71" s="1967" t="s">
        <v>168</v>
      </c>
      <c r="F71" s="1967"/>
      <c r="G71" s="1967"/>
      <c r="H71" s="409" t="s">
        <v>1726</v>
      </c>
      <c r="I71" s="410" t="s">
        <v>179</v>
      </c>
      <c r="J71" s="411"/>
      <c r="K71" s="1281">
        <f>IFERROR('Solid Estimation'!G183,"missing data")</f>
        <v>0</v>
      </c>
      <c r="L71" s="248" t="s">
        <v>1030</v>
      </c>
      <c r="M71" s="412" t="s">
        <v>1028</v>
      </c>
      <c r="N71" s="87">
        <v>0</v>
      </c>
      <c r="O71" s="1131">
        <f t="shared" ref="O71" si="7">N71</f>
        <v>0</v>
      </c>
      <c r="P71" s="87">
        <f>'Solid Estimation'!G181</f>
        <v>0</v>
      </c>
      <c r="Q71" s="1132">
        <f t="shared" ref="Q71" si="8">P71</f>
        <v>0</v>
      </c>
      <c r="R71" s="1282" t="str">
        <f>IFERROR(IF(ROUND((K71- IF(Q71&lt;&gt;"",Q71,P71))/(IF(O71&lt;&gt;"",O71,N71)- IF(Q71&lt;&gt;"",Q71,P71))*100,2)&lt;0,0,IF(ROUND((K71- IF(Q71&lt;&gt;"",Q71,P71))/(IF(O71&lt;&gt;"",O71,N71)- IF(Q71&lt;&gt;"",Q71,P71))*100,2)&gt;100,100,ROUND((K71- IF(Q71&lt;&gt;"",Q71,P71))/(IF(O71&lt;&gt;"",O71,N71)- IF(Q71&lt;&gt;"",Q71,P71))*100,2))),"")</f>
        <v/>
      </c>
      <c r="S71" s="440"/>
      <c r="T71" s="440"/>
      <c r="U71" s="441"/>
      <c r="V71" s="391"/>
      <c r="W71" s="391"/>
      <c r="X71" s="391"/>
      <c r="Y71" s="391"/>
      <c r="Z71" s="391"/>
      <c r="AA71" s="391"/>
      <c r="AB71" s="391"/>
      <c r="AC71" s="391"/>
      <c r="AD71" s="391"/>
      <c r="AE71" s="391"/>
      <c r="AF71" s="391"/>
      <c r="AG71" s="391"/>
      <c r="AH71" s="391"/>
      <c r="AI71" s="391"/>
      <c r="AJ71" s="391"/>
      <c r="AK71" s="391"/>
      <c r="AL71" s="391"/>
      <c r="AM71" s="391"/>
      <c r="AN71" s="391"/>
      <c r="AO71" s="391"/>
      <c r="AP71" s="391"/>
      <c r="AQ71" s="391"/>
      <c r="AR71" s="391"/>
      <c r="AS71" s="391"/>
      <c r="AT71" s="391"/>
      <c r="AU71" s="391"/>
      <c r="AV71" s="391"/>
      <c r="AW71" s="391"/>
      <c r="AX71" s="391"/>
      <c r="AY71" s="391"/>
      <c r="AZ71" s="391"/>
      <c r="BA71" s="391"/>
      <c r="BB71" s="391"/>
      <c r="BC71" s="391"/>
      <c r="BD71" s="391"/>
      <c r="BE71" s="391"/>
      <c r="BF71" s="391"/>
      <c r="BG71" s="391"/>
      <c r="BH71" s="391"/>
      <c r="BI71" s="391"/>
      <c r="BJ71" s="391"/>
      <c r="BK71" s="391"/>
      <c r="BL71" s="391"/>
      <c r="BM71" s="391"/>
      <c r="BN71" s="391"/>
      <c r="BO71" s="391"/>
      <c r="BP71" s="391"/>
      <c r="BQ71" s="391"/>
      <c r="BR71" s="391"/>
      <c r="BS71" s="391"/>
      <c r="BT71" s="391"/>
      <c r="BU71" s="391"/>
      <c r="BV71" s="391"/>
      <c r="BW71" s="391"/>
      <c r="BX71" s="391"/>
      <c r="BY71" s="391"/>
      <c r="BZ71" s="391"/>
      <c r="CA71" s="391"/>
      <c r="CB71" s="391"/>
      <c r="CC71" s="391"/>
      <c r="CD71" s="391"/>
      <c r="CE71" s="391"/>
      <c r="CF71" s="391"/>
      <c r="CG71" s="391"/>
      <c r="CH71" s="391"/>
      <c r="CI71" s="391"/>
      <c r="CJ71" s="391"/>
      <c r="CK71" s="391"/>
      <c r="CL71" s="391"/>
      <c r="CM71" s="391"/>
      <c r="CN71" s="443"/>
    </row>
    <row r="72" ht="29.25" customHeight="true" thickBot="true" x14ac:dyDescent="0.35">
      <c r="B72" s="389"/>
      <c r="C72" s="413"/>
      <c r="D72" s="414"/>
      <c r="E72" s="415"/>
      <c r="F72" s="415"/>
      <c r="G72" s="415"/>
      <c r="H72" s="416"/>
      <c r="I72" s="417"/>
      <c r="J72" s="413"/>
      <c r="K72" s="418"/>
      <c r="L72" s="257"/>
      <c r="M72" s="419"/>
      <c r="N72" s="255"/>
      <c r="O72" s="255"/>
      <c r="P72" s="420"/>
      <c r="Q72" s="413"/>
      <c r="R72" s="388"/>
      <c r="S72" s="446"/>
      <c r="T72" s="446"/>
      <c r="U72" s="447"/>
      <c r="V72" s="413"/>
      <c r="W72" s="413"/>
      <c r="X72" s="413"/>
      <c r="Y72" s="413"/>
      <c r="Z72" s="413"/>
      <c r="AA72" s="413"/>
      <c r="AB72" s="413"/>
      <c r="AC72" s="413"/>
      <c r="AD72" s="413"/>
      <c r="AE72" s="413"/>
      <c r="AF72" s="413"/>
      <c r="AG72" s="413"/>
      <c r="AH72" s="413"/>
      <c r="AI72" s="413"/>
      <c r="AJ72" s="413"/>
      <c r="AK72" s="413"/>
      <c r="AL72" s="413"/>
      <c r="AM72" s="413"/>
      <c r="AN72" s="413"/>
      <c r="AO72" s="413"/>
      <c r="AP72" s="413"/>
      <c r="AQ72" s="413"/>
      <c r="AR72" s="413"/>
      <c r="AS72" s="413"/>
      <c r="AT72" s="413"/>
      <c r="AU72" s="413"/>
      <c r="AV72" s="413"/>
      <c r="AW72" s="413"/>
      <c r="AX72" s="413"/>
      <c r="AY72" s="413"/>
      <c r="AZ72" s="413"/>
      <c r="BA72" s="413"/>
      <c r="BB72" s="413"/>
      <c r="BC72" s="413"/>
      <c r="BD72" s="413"/>
      <c r="BE72" s="413"/>
      <c r="BF72" s="413"/>
      <c r="BG72" s="413"/>
      <c r="BH72" s="413"/>
      <c r="BI72" s="413"/>
      <c r="BJ72" s="413"/>
      <c r="BK72" s="413"/>
      <c r="BL72" s="413"/>
      <c r="BM72" s="413"/>
      <c r="BN72" s="413"/>
      <c r="BO72" s="413"/>
      <c r="BP72" s="413"/>
      <c r="BQ72" s="413"/>
      <c r="BR72" s="413"/>
      <c r="BS72" s="413"/>
      <c r="BT72" s="413"/>
      <c r="BU72" s="413"/>
      <c r="BV72" s="413"/>
      <c r="BW72" s="413"/>
      <c r="BX72" s="413"/>
      <c r="BY72" s="413"/>
      <c r="BZ72" s="413"/>
      <c r="CA72" s="413"/>
      <c r="CB72" s="413"/>
      <c r="CC72" s="413"/>
      <c r="CD72" s="413"/>
      <c r="CE72" s="413"/>
      <c r="CF72" s="413"/>
      <c r="CG72" s="413"/>
      <c r="CH72" s="413"/>
      <c r="CI72" s="413"/>
      <c r="CJ72" s="413"/>
      <c r="CK72" s="413"/>
      <c r="CL72" s="413"/>
      <c r="CM72" s="413"/>
      <c r="CN72" s="448"/>
    </row>
    <row r="73" ht="21.75" customHeight="true" x14ac:dyDescent="0.3">
      <c r="D73" s="88"/>
      <c r="E73" s="89"/>
      <c r="F73" s="89"/>
      <c r="G73" s="89"/>
      <c r="H73" s="90"/>
      <c r="L73" s="91"/>
      <c r="N73" s="92"/>
      <c r="O73" s="92"/>
      <c r="P73" s="93"/>
    </row>
    <row r="74" ht="21.75" customHeight="true" thickBot="true" x14ac:dyDescent="0.35">
      <c r="D74" s="88"/>
      <c r="E74" s="89"/>
      <c r="F74" s="89"/>
      <c r="G74" s="89"/>
      <c r="H74" s="90"/>
      <c r="L74" s="91"/>
      <c r="N74" s="92"/>
      <c r="O74" s="92"/>
      <c r="P74" s="93"/>
      <c r="AZ74" s="380"/>
      <c r="BA74" s="380"/>
      <c r="BB74" s="380"/>
      <c r="BC74" s="380"/>
      <c r="BD74" s="380"/>
      <c r="BE74" s="380"/>
      <c r="BF74" s="380"/>
      <c r="BG74" s="380"/>
      <c r="BH74" s="380"/>
      <c r="BI74" s="380"/>
      <c r="BJ74" s="380"/>
      <c r="BK74" s="380"/>
      <c r="BL74" s="380"/>
      <c r="BM74" s="380"/>
      <c r="BN74" s="380"/>
      <c r="BO74" s="380"/>
      <c r="BP74" s="380"/>
      <c r="BQ74" s="380"/>
      <c r="BR74" s="380"/>
      <c r="BS74" s="380"/>
      <c r="BT74" s="380"/>
      <c r="BU74" s="380"/>
      <c r="BV74" s="380"/>
      <c r="BW74" s="380"/>
      <c r="BX74" s="380"/>
      <c r="BY74" s="380"/>
      <c r="BZ74" s="380"/>
      <c r="CA74" s="380"/>
      <c r="CB74" s="380"/>
      <c r="CC74" s="380"/>
      <c r="CD74" s="380"/>
      <c r="CE74" s="380"/>
      <c r="CF74" s="380"/>
      <c r="CG74" s="380"/>
      <c r="CH74" s="380"/>
      <c r="CI74" s="380"/>
      <c r="CJ74" s="380"/>
      <c r="CK74" s="380"/>
      <c r="CL74" s="380"/>
      <c r="CM74" s="380"/>
      <c r="CN74" s="380"/>
    </row>
    <row r="75" ht="30" customHeight="true" thickBot="true" x14ac:dyDescent="0.35">
      <c r="B75" s="1959" t="s">
        <v>2360</v>
      </c>
      <c r="C75" s="1882"/>
      <c r="D75" s="1882"/>
      <c r="E75" s="1882"/>
      <c r="F75" s="1882"/>
      <c r="G75" s="1882"/>
      <c r="H75" s="1882"/>
      <c r="I75" s="1883"/>
      <c r="J75" s="355"/>
      <c r="K75" s="355"/>
      <c r="L75" s="356"/>
      <c r="M75" s="357"/>
      <c r="N75" s="355"/>
      <c r="O75" s="356"/>
      <c r="P75" s="356"/>
      <c r="Q75" s="355"/>
      <c r="R75" s="358"/>
      <c r="S75" s="359"/>
      <c r="T75" s="359"/>
      <c r="U75" s="360"/>
      <c r="V75" s="355"/>
      <c r="W75" s="355"/>
      <c r="X75" s="355"/>
      <c r="Y75" s="355"/>
      <c r="Z75" s="355"/>
      <c r="AA75" s="355"/>
      <c r="AB75" s="355"/>
      <c r="AC75" s="355"/>
      <c r="AD75" s="355"/>
      <c r="AE75" s="355"/>
      <c r="AF75" s="355"/>
      <c r="AG75" s="355"/>
      <c r="AH75" s="355"/>
      <c r="AI75" s="355"/>
      <c r="AJ75" s="355"/>
      <c r="AK75" s="355"/>
      <c r="AL75" s="355"/>
      <c r="AM75" s="355"/>
      <c r="AN75" s="355"/>
      <c r="AO75" s="355"/>
      <c r="AP75" s="355"/>
      <c r="AQ75" s="355"/>
      <c r="AR75" s="355"/>
      <c r="AS75" s="355"/>
      <c r="AT75" s="355"/>
      <c r="AU75" s="355"/>
      <c r="AV75" s="355"/>
      <c r="AW75" s="355"/>
      <c r="AX75" s="355"/>
      <c r="AY75" s="355"/>
      <c r="AZ75" s="355"/>
      <c r="BA75" s="279"/>
      <c r="BB75" s="279"/>
      <c r="BC75" s="279"/>
      <c r="BD75" s="279"/>
      <c r="BE75" s="279"/>
      <c r="BF75" s="279"/>
      <c r="BG75" s="279"/>
      <c r="BH75" s="279"/>
      <c r="BI75" s="279"/>
      <c r="BJ75" s="279"/>
      <c r="BK75" s="279"/>
      <c r="BL75" s="279"/>
      <c r="BM75" s="279"/>
      <c r="BN75" s="279"/>
      <c r="BO75" s="279"/>
      <c r="BP75" s="279"/>
      <c r="BQ75" s="279"/>
      <c r="BR75" s="279"/>
      <c r="BS75" s="279"/>
      <c r="BT75" s="279"/>
      <c r="BU75" s="279"/>
      <c r="BV75" s="279"/>
      <c r="BW75" s="279"/>
      <c r="BX75" s="279"/>
      <c r="BY75" s="279"/>
      <c r="BZ75" s="279"/>
      <c r="CA75" s="279"/>
      <c r="CB75" s="279"/>
      <c r="CC75" s="279"/>
      <c r="CD75" s="279"/>
      <c r="CE75" s="279"/>
      <c r="CF75" s="279"/>
      <c r="CG75" s="279"/>
      <c r="CH75" s="279"/>
      <c r="CI75" s="279"/>
      <c r="CJ75" s="279"/>
      <c r="CK75" s="279"/>
      <c r="CL75" s="279"/>
      <c r="CM75" s="279"/>
      <c r="CN75" s="381"/>
    </row>
    <row r="76" ht="21.75" customHeight="true" thickBot="true" x14ac:dyDescent="0.35">
      <c r="B76" s="361"/>
      <c r="C76" s="279"/>
      <c r="D76" s="279"/>
      <c r="E76" s="279"/>
      <c r="F76" s="279"/>
      <c r="G76" s="279"/>
      <c r="H76" s="279"/>
      <c r="I76" s="286"/>
      <c r="J76" s="279"/>
      <c r="K76" s="279"/>
      <c r="L76" s="280"/>
      <c r="M76" s="286"/>
      <c r="N76" s="279"/>
      <c r="O76" s="280"/>
      <c r="P76" s="280"/>
      <c r="Q76" s="279"/>
      <c r="R76" s="297"/>
      <c r="S76" s="298"/>
      <c r="T76" s="298"/>
      <c r="U76" s="299"/>
      <c r="V76" s="279"/>
      <c r="W76" s="279"/>
      <c r="X76" s="279"/>
      <c r="Y76" s="279"/>
      <c r="Z76" s="279"/>
      <c r="AA76" s="279"/>
      <c r="AB76" s="279"/>
      <c r="AC76" s="279"/>
      <c r="AD76" s="279"/>
      <c r="AE76" s="279"/>
      <c r="AF76" s="279"/>
      <c r="AG76" s="279"/>
      <c r="AH76" s="279"/>
      <c r="AI76" s="279"/>
      <c r="AJ76" s="279"/>
      <c r="AK76" s="279"/>
      <c r="AL76" s="279"/>
      <c r="AM76" s="279"/>
      <c r="AN76" s="279"/>
      <c r="AO76" s="279"/>
      <c r="AP76" s="279"/>
      <c r="AQ76" s="279"/>
      <c r="AR76" s="279"/>
      <c r="AS76" s="279"/>
      <c r="AT76" s="279"/>
      <c r="AU76" s="279"/>
      <c r="AV76" s="279"/>
      <c r="AW76" s="279"/>
      <c r="AX76" s="279"/>
      <c r="AY76" s="279"/>
      <c r="AZ76" s="279"/>
      <c r="BA76" s="279"/>
      <c r="BB76" s="279"/>
      <c r="BC76" s="279"/>
      <c r="BD76" s="279"/>
      <c r="BE76" s="279"/>
      <c r="BF76" s="279"/>
      <c r="BG76" s="279"/>
      <c r="BH76" s="279"/>
      <c r="BI76" s="279"/>
      <c r="BJ76" s="279"/>
      <c r="BK76" s="279"/>
      <c r="BL76" s="279"/>
      <c r="BM76" s="279"/>
      <c r="BN76" s="279"/>
      <c r="BO76" s="279"/>
      <c r="BP76" s="279"/>
      <c r="BQ76" s="279"/>
      <c r="BR76" s="279"/>
      <c r="BS76" s="279"/>
      <c r="BT76" s="279"/>
      <c r="BU76" s="279"/>
      <c r="BV76" s="279"/>
      <c r="BW76" s="279"/>
      <c r="BX76" s="279"/>
      <c r="BY76" s="279"/>
      <c r="BZ76" s="279"/>
      <c r="CA76" s="279"/>
      <c r="CB76" s="279"/>
      <c r="CC76" s="279"/>
      <c r="CD76" s="279"/>
      <c r="CE76" s="279"/>
      <c r="CF76" s="279"/>
      <c r="CG76" s="279"/>
      <c r="CH76" s="279"/>
      <c r="CI76" s="279"/>
      <c r="CJ76" s="279"/>
      <c r="CK76" s="279"/>
      <c r="CL76" s="279"/>
      <c r="CM76" s="279"/>
      <c r="CN76" s="382"/>
    </row>
    <row r="77" ht="21.75" customHeight="true" x14ac:dyDescent="0.3">
      <c r="B77" s="361"/>
      <c r="C77" s="279"/>
      <c r="D77" s="1891" t="s">
        <v>1522</v>
      </c>
      <c r="E77" s="1892"/>
      <c r="F77" s="1892"/>
      <c r="G77" s="1238">
        <f>'IV. Material Efficiency'!H175</f>
        <v>6778.7792000553327</v>
      </c>
      <c r="H77" s="279"/>
      <c r="I77" s="286"/>
      <c r="J77" s="279"/>
      <c r="K77" s="279"/>
      <c r="L77" s="280"/>
      <c r="M77" s="286"/>
      <c r="N77" s="279"/>
      <c r="O77" s="280"/>
      <c r="P77" s="280"/>
      <c r="Q77" s="279"/>
      <c r="R77" s="297"/>
      <c r="S77" s="298"/>
      <c r="T77" s="298"/>
      <c r="U77" s="299"/>
      <c r="V77" s="279"/>
      <c r="W77" s="279"/>
      <c r="X77" s="279"/>
      <c r="Y77" s="279"/>
      <c r="Z77" s="279"/>
      <c r="AA77" s="279"/>
      <c r="AB77" s="279"/>
      <c r="AC77" s="279"/>
      <c r="AD77" s="279"/>
      <c r="AE77" s="279"/>
      <c r="AF77" s="279"/>
      <c r="AG77" s="279"/>
      <c r="AH77" s="279"/>
      <c r="AI77" s="279"/>
      <c r="AJ77" s="279"/>
      <c r="AK77" s="279"/>
      <c r="AL77" s="279"/>
      <c r="AM77" s="279"/>
      <c r="AN77" s="279"/>
      <c r="AO77" s="279"/>
      <c r="AP77" s="279"/>
      <c r="AQ77" s="279"/>
      <c r="AR77" s="279"/>
      <c r="AS77" s="279"/>
      <c r="AT77" s="279"/>
      <c r="AU77" s="279"/>
      <c r="AV77" s="279"/>
      <c r="AW77" s="279"/>
      <c r="AX77" s="279"/>
      <c r="AY77" s="279"/>
      <c r="AZ77" s="279"/>
      <c r="BA77" s="279"/>
      <c r="BB77" s="279"/>
      <c r="BC77" s="279"/>
      <c r="BD77" s="279"/>
      <c r="BE77" s="279"/>
      <c r="BF77" s="279"/>
      <c r="BG77" s="279"/>
      <c r="BH77" s="279"/>
      <c r="BI77" s="279"/>
      <c r="BJ77" s="279"/>
      <c r="BK77" s="279"/>
      <c r="BL77" s="279"/>
      <c r="BM77" s="279"/>
      <c r="BN77" s="279"/>
      <c r="BO77" s="279"/>
      <c r="BP77" s="279"/>
      <c r="BQ77" s="279"/>
      <c r="BR77" s="279"/>
      <c r="BS77" s="279"/>
      <c r="BT77" s="279"/>
      <c r="BU77" s="279"/>
      <c r="BV77" s="279"/>
      <c r="BW77" s="279"/>
      <c r="BX77" s="279"/>
      <c r="BY77" s="279"/>
      <c r="BZ77" s="279"/>
      <c r="CA77" s="279"/>
      <c r="CB77" s="279"/>
      <c r="CC77" s="279"/>
      <c r="CD77" s="279"/>
      <c r="CE77" s="279"/>
      <c r="CF77" s="279"/>
      <c r="CG77" s="279"/>
      <c r="CH77" s="279"/>
      <c r="CI77" s="279"/>
      <c r="CJ77" s="279"/>
      <c r="CK77" s="279"/>
      <c r="CL77" s="279"/>
      <c r="CM77" s="279"/>
      <c r="CN77" s="382"/>
    </row>
    <row r="78" ht="21.75" customHeight="true" x14ac:dyDescent="0.3">
      <c r="B78" s="361"/>
      <c r="C78" s="279"/>
      <c r="D78" s="1902" t="s">
        <v>1525</v>
      </c>
      <c r="E78" s="1903"/>
      <c r="F78" s="1903"/>
      <c r="G78" s="1235">
        <f>'IV. Material Efficiency'!H176</f>
        <v>4512.0151204088124</v>
      </c>
      <c r="H78" s="279"/>
      <c r="I78" s="286"/>
      <c r="J78" s="279"/>
      <c r="K78" s="279"/>
      <c r="L78" s="280"/>
      <c r="M78" s="286"/>
      <c r="N78" s="279"/>
      <c r="O78" s="280"/>
      <c r="P78" s="280"/>
      <c r="Q78" s="279"/>
      <c r="R78" s="297"/>
      <c r="S78" s="298"/>
      <c r="T78" s="298"/>
      <c r="U78" s="299"/>
      <c r="V78" s="279"/>
      <c r="W78" s="279"/>
      <c r="X78" s="279"/>
      <c r="Y78" s="279"/>
      <c r="Z78" s="279"/>
      <c r="AA78" s="279"/>
      <c r="AB78" s="279"/>
      <c r="AC78" s="279"/>
      <c r="AD78" s="279"/>
      <c r="AE78" s="279"/>
      <c r="AF78" s="279"/>
      <c r="AG78" s="279"/>
      <c r="AH78" s="279"/>
      <c r="AI78" s="279"/>
      <c r="AJ78" s="279"/>
      <c r="AK78" s="279"/>
      <c r="AL78" s="279"/>
      <c r="AM78" s="279"/>
      <c r="AN78" s="279"/>
      <c r="AO78" s="279"/>
      <c r="AP78" s="279"/>
      <c r="AQ78" s="279"/>
      <c r="AR78" s="279"/>
      <c r="AS78" s="279"/>
      <c r="AT78" s="279"/>
      <c r="AU78" s="279"/>
      <c r="AV78" s="279"/>
      <c r="AW78" s="279"/>
      <c r="AX78" s="279"/>
      <c r="AY78" s="279"/>
      <c r="AZ78" s="279"/>
      <c r="BA78" s="279"/>
      <c r="BB78" s="279"/>
      <c r="BC78" s="279"/>
      <c r="BD78" s="279"/>
      <c r="BE78" s="279"/>
      <c r="BF78" s="279"/>
      <c r="BG78" s="279"/>
      <c r="BH78" s="279"/>
      <c r="BI78" s="279"/>
      <c r="BJ78" s="279"/>
      <c r="BK78" s="279"/>
      <c r="BL78" s="279"/>
      <c r="BM78" s="279"/>
      <c r="BN78" s="279"/>
      <c r="BO78" s="279"/>
      <c r="BP78" s="279"/>
      <c r="BQ78" s="279"/>
      <c r="BR78" s="279"/>
      <c r="BS78" s="279"/>
      <c r="BT78" s="279"/>
      <c r="BU78" s="279"/>
      <c r="BV78" s="279"/>
      <c r="BW78" s="279"/>
      <c r="BX78" s="279"/>
      <c r="BY78" s="279"/>
      <c r="BZ78" s="279"/>
      <c r="CA78" s="279"/>
      <c r="CB78" s="279"/>
      <c r="CC78" s="279"/>
      <c r="CD78" s="279"/>
      <c r="CE78" s="279"/>
      <c r="CF78" s="279"/>
      <c r="CG78" s="279"/>
      <c r="CH78" s="279"/>
      <c r="CI78" s="279"/>
      <c r="CJ78" s="279"/>
      <c r="CK78" s="279"/>
      <c r="CL78" s="279"/>
      <c r="CM78" s="279"/>
      <c r="CN78" s="382"/>
    </row>
    <row r="79" ht="21.75" customHeight="true" x14ac:dyDescent="0.3">
      <c r="B79" s="361"/>
      <c r="C79" s="279"/>
      <c r="D79" s="1902" t="s">
        <v>1523</v>
      </c>
      <c r="E79" s="1903"/>
      <c r="F79" s="1903"/>
      <c r="G79" s="1283">
        <f>'IV. Material Efficiency'!H168</f>
        <v>39552324.545503646</v>
      </c>
      <c r="H79" s="279"/>
      <c r="I79" s="286"/>
      <c r="J79" s="279"/>
      <c r="K79" s="279"/>
      <c r="L79" s="280"/>
      <c r="M79" s="286"/>
      <c r="N79" s="279"/>
      <c r="O79" s="280"/>
      <c r="P79" s="280"/>
      <c r="Q79" s="279"/>
      <c r="R79" s="297"/>
      <c r="S79" s="298"/>
      <c r="T79" s="298"/>
      <c r="U79" s="299"/>
      <c r="V79" s="279"/>
      <c r="W79" s="279"/>
      <c r="X79" s="279"/>
      <c r="Y79" s="279"/>
      <c r="Z79" s="279"/>
      <c r="AA79" s="279"/>
      <c r="AB79" s="279"/>
      <c r="AC79" s="279"/>
      <c r="AD79" s="279"/>
      <c r="AE79" s="279"/>
      <c r="AF79" s="279"/>
      <c r="AG79" s="279"/>
      <c r="AH79" s="279"/>
      <c r="AI79" s="279"/>
      <c r="AJ79" s="279"/>
      <c r="AK79" s="279"/>
      <c r="AL79" s="279"/>
      <c r="AM79" s="279"/>
      <c r="AN79" s="279"/>
      <c r="AO79" s="279"/>
      <c r="AP79" s="279"/>
      <c r="AQ79" s="279"/>
      <c r="AR79" s="279"/>
      <c r="AS79" s="279"/>
      <c r="AT79" s="279"/>
      <c r="AU79" s="279"/>
      <c r="AV79" s="279"/>
      <c r="AW79" s="279"/>
      <c r="AX79" s="279"/>
      <c r="AY79" s="279"/>
      <c r="AZ79" s="279"/>
      <c r="BA79" s="279"/>
      <c r="BB79" s="279"/>
      <c r="BC79" s="279"/>
      <c r="BD79" s="279"/>
      <c r="BE79" s="279"/>
      <c r="BF79" s="279"/>
      <c r="BG79" s="279"/>
      <c r="BH79" s="279"/>
      <c r="BI79" s="279"/>
      <c r="BJ79" s="279"/>
      <c r="BK79" s="279"/>
      <c r="BL79" s="279"/>
      <c r="BM79" s="279"/>
      <c r="BN79" s="279"/>
      <c r="BO79" s="279"/>
      <c r="BP79" s="279"/>
      <c r="BQ79" s="279"/>
      <c r="BR79" s="279"/>
      <c r="BS79" s="279"/>
      <c r="BT79" s="279"/>
      <c r="BU79" s="279"/>
      <c r="BV79" s="279"/>
      <c r="BW79" s="279"/>
      <c r="BX79" s="279"/>
      <c r="BY79" s="279"/>
      <c r="BZ79" s="279"/>
      <c r="CA79" s="279"/>
      <c r="CB79" s="279"/>
      <c r="CC79" s="279"/>
      <c r="CD79" s="279"/>
      <c r="CE79" s="279"/>
      <c r="CF79" s="279"/>
      <c r="CG79" s="279"/>
      <c r="CH79" s="279"/>
      <c r="CI79" s="279"/>
      <c r="CJ79" s="279"/>
      <c r="CK79" s="279"/>
      <c r="CL79" s="279"/>
      <c r="CM79" s="279"/>
      <c r="CN79" s="382"/>
    </row>
    <row r="80" ht="21.75" customHeight="true" thickBot="true" x14ac:dyDescent="0.35">
      <c r="B80" s="361"/>
      <c r="C80" s="279"/>
      <c r="D80" s="1895" t="s">
        <v>1524</v>
      </c>
      <c r="E80" s="1896"/>
      <c r="F80" s="1896"/>
      <c r="G80" s="1284">
        <f>'IV. Material Efficiency'!H169</f>
        <v>4512.0151204088124</v>
      </c>
      <c r="H80" s="279"/>
      <c r="I80" s="286"/>
      <c r="J80" s="279"/>
      <c r="K80" s="279"/>
      <c r="L80" s="280"/>
      <c r="M80" s="286"/>
      <c r="N80" s="279"/>
      <c r="O80" s="280"/>
      <c r="P80" s="280"/>
      <c r="Q80" s="279"/>
      <c r="R80" s="297"/>
      <c r="S80" s="298"/>
      <c r="T80" s="298"/>
      <c r="U80" s="299"/>
      <c r="V80" s="279"/>
      <c r="W80" s="279"/>
      <c r="X80" s="279"/>
      <c r="Y80" s="279"/>
      <c r="Z80" s="279"/>
      <c r="AA80" s="279"/>
      <c r="AB80" s="279"/>
      <c r="AC80" s="279"/>
      <c r="AD80" s="279"/>
      <c r="AE80" s="279"/>
      <c r="AF80" s="279"/>
      <c r="AG80" s="279"/>
      <c r="AH80" s="279"/>
      <c r="AI80" s="279"/>
      <c r="AJ80" s="279"/>
      <c r="AK80" s="279"/>
      <c r="AL80" s="279"/>
      <c r="AM80" s="279"/>
      <c r="AN80" s="279"/>
      <c r="AO80" s="279"/>
      <c r="AP80" s="279"/>
      <c r="AQ80" s="279"/>
      <c r="AR80" s="279"/>
      <c r="AS80" s="279"/>
      <c r="AT80" s="279"/>
      <c r="AU80" s="279"/>
      <c r="AV80" s="279"/>
      <c r="AW80" s="279"/>
      <c r="AX80" s="279"/>
      <c r="AY80" s="279"/>
      <c r="AZ80" s="279"/>
      <c r="BA80" s="279"/>
      <c r="BB80" s="279"/>
      <c r="BC80" s="279"/>
      <c r="BD80" s="279"/>
      <c r="BE80" s="279"/>
      <c r="BF80" s="279"/>
      <c r="BG80" s="279"/>
      <c r="BH80" s="279"/>
      <c r="BI80" s="279"/>
      <c r="BJ80" s="279"/>
      <c r="BK80" s="279"/>
      <c r="BL80" s="279"/>
      <c r="BM80" s="279"/>
      <c r="BN80" s="279"/>
      <c r="BO80" s="279"/>
      <c r="BP80" s="279"/>
      <c r="BQ80" s="279"/>
      <c r="BR80" s="279"/>
      <c r="BS80" s="279"/>
      <c r="BT80" s="279"/>
      <c r="BU80" s="279"/>
      <c r="BV80" s="279"/>
      <c r="BW80" s="279"/>
      <c r="BX80" s="279"/>
      <c r="BY80" s="279"/>
      <c r="BZ80" s="279"/>
      <c r="CA80" s="279"/>
      <c r="CB80" s="279"/>
      <c r="CC80" s="279"/>
      <c r="CD80" s="279"/>
      <c r="CE80" s="279"/>
      <c r="CF80" s="279"/>
      <c r="CG80" s="279"/>
      <c r="CH80" s="279"/>
      <c r="CI80" s="279"/>
      <c r="CJ80" s="279"/>
      <c r="CK80" s="279"/>
      <c r="CL80" s="279"/>
      <c r="CM80" s="279"/>
      <c r="CN80" s="382"/>
    </row>
    <row r="81" ht="21.75" customHeight="true" thickBot="true" x14ac:dyDescent="0.35">
      <c r="B81" s="361"/>
      <c r="C81" s="279"/>
      <c r="D81" s="279"/>
      <c r="E81" s="829"/>
      <c r="F81" s="829"/>
      <c r="G81" s="829"/>
      <c r="H81" s="281"/>
      <c r="I81" s="286"/>
      <c r="J81" s="279"/>
      <c r="K81" s="279"/>
      <c r="L81" s="280"/>
      <c r="M81" s="286"/>
      <c r="N81" s="279"/>
      <c r="O81" s="280"/>
      <c r="P81" s="280"/>
      <c r="Q81" s="279"/>
      <c r="R81" s="297"/>
      <c r="S81" s="298"/>
      <c r="T81" s="298"/>
      <c r="U81" s="299"/>
      <c r="V81" s="279"/>
      <c r="W81" s="279"/>
      <c r="X81" s="279"/>
      <c r="Y81" s="279"/>
      <c r="Z81" s="279"/>
      <c r="AA81" s="279"/>
      <c r="AB81" s="279"/>
      <c r="AC81" s="279"/>
      <c r="AD81" s="279"/>
      <c r="AE81" s="279"/>
      <c r="AF81" s="279"/>
      <c r="AG81" s="279"/>
      <c r="AH81" s="279"/>
      <c r="AI81" s="279"/>
      <c r="AJ81" s="279"/>
      <c r="AK81" s="279"/>
      <c r="AL81" s="279"/>
      <c r="AM81" s="279"/>
      <c r="AN81" s="279"/>
      <c r="AO81" s="279"/>
      <c r="AP81" s="279"/>
      <c r="AQ81" s="279"/>
      <c r="AR81" s="279"/>
      <c r="AS81" s="279"/>
      <c r="AT81" s="279"/>
      <c r="AU81" s="279"/>
      <c r="AV81" s="279"/>
      <c r="AW81" s="279"/>
      <c r="AX81" s="279"/>
      <c r="AY81" s="279"/>
      <c r="AZ81" s="279"/>
      <c r="BA81" s="279"/>
      <c r="BB81" s="279"/>
      <c r="BC81" s="279"/>
      <c r="BD81" s="279"/>
      <c r="BE81" s="279"/>
      <c r="BF81" s="279"/>
      <c r="BG81" s="279"/>
      <c r="BH81" s="279"/>
      <c r="BI81" s="279"/>
      <c r="BJ81" s="279"/>
      <c r="BK81" s="279"/>
      <c r="BL81" s="279"/>
      <c r="BM81" s="279"/>
      <c r="BN81" s="279"/>
      <c r="BO81" s="279"/>
      <c r="BP81" s="279"/>
      <c r="BQ81" s="279"/>
      <c r="BR81" s="279"/>
      <c r="BS81" s="279"/>
      <c r="BT81" s="279"/>
      <c r="BU81" s="279"/>
      <c r="BV81" s="279"/>
      <c r="BW81" s="279"/>
      <c r="BX81" s="279"/>
      <c r="BY81" s="279"/>
      <c r="BZ81" s="279"/>
      <c r="CA81" s="279"/>
      <c r="CB81" s="279"/>
      <c r="CC81" s="279"/>
      <c r="CD81" s="279"/>
      <c r="CE81" s="279"/>
      <c r="CF81" s="279"/>
      <c r="CG81" s="279"/>
      <c r="CH81" s="279"/>
      <c r="CI81" s="279"/>
      <c r="CJ81" s="279"/>
      <c r="CK81" s="279"/>
      <c r="CL81" s="279"/>
      <c r="CM81" s="279"/>
      <c r="CN81" s="382"/>
    </row>
    <row r="82" ht="21.75" customHeight="true" thickBot="true" x14ac:dyDescent="0.35">
      <c r="B82" s="361"/>
      <c r="C82" s="279"/>
      <c r="D82" s="1965" t="s">
        <v>1594</v>
      </c>
      <c r="E82" s="1966"/>
      <c r="F82" s="1966"/>
      <c r="G82" s="1285">
        <f>'II. Equipment &amp; Cost Data'!G169</f>
        <v>0.5</v>
      </c>
      <c r="H82" s="281"/>
      <c r="I82" s="286"/>
      <c r="J82" s="279"/>
      <c r="K82" s="279"/>
      <c r="L82" s="280"/>
      <c r="M82" s="286"/>
      <c r="N82" s="279"/>
      <c r="O82" s="280"/>
      <c r="P82" s="280"/>
      <c r="Q82" s="279"/>
      <c r="R82" s="297"/>
      <c r="S82" s="298"/>
      <c r="T82" s="298"/>
      <c r="U82" s="299"/>
      <c r="V82" s="279"/>
      <c r="W82" s="279"/>
      <c r="X82" s="279"/>
      <c r="Y82" s="279"/>
      <c r="Z82" s="279"/>
      <c r="AA82" s="279"/>
      <c r="AB82" s="279"/>
      <c r="AC82" s="279"/>
      <c r="AD82" s="279"/>
      <c r="AE82" s="279"/>
      <c r="AF82" s="279"/>
      <c r="AG82" s="279"/>
      <c r="AH82" s="279"/>
      <c r="AI82" s="279"/>
      <c r="AJ82" s="279"/>
      <c r="AK82" s="279"/>
      <c r="AL82" s="279"/>
      <c r="AM82" s="279"/>
      <c r="AN82" s="279"/>
      <c r="AO82" s="279"/>
      <c r="AP82" s="279"/>
      <c r="AQ82" s="279"/>
      <c r="AR82" s="279"/>
      <c r="AS82" s="279"/>
      <c r="AT82" s="279"/>
      <c r="AU82" s="279"/>
      <c r="AV82" s="279"/>
      <c r="AW82" s="279"/>
      <c r="AX82" s="279"/>
      <c r="AY82" s="279"/>
      <c r="AZ82" s="279"/>
      <c r="BA82" s="279"/>
      <c r="BB82" s="279"/>
      <c r="BC82" s="279"/>
      <c r="BD82" s="279"/>
      <c r="BE82" s="279"/>
      <c r="BF82" s="279"/>
      <c r="BG82" s="279"/>
      <c r="BH82" s="279"/>
      <c r="BI82" s="279"/>
      <c r="BJ82" s="279"/>
      <c r="BK82" s="279"/>
      <c r="BL82" s="279"/>
      <c r="BM82" s="279"/>
      <c r="BN82" s="279"/>
      <c r="BO82" s="279"/>
      <c r="BP82" s="279"/>
      <c r="BQ82" s="279"/>
      <c r="BR82" s="279"/>
      <c r="BS82" s="279"/>
      <c r="BT82" s="279"/>
      <c r="BU82" s="279"/>
      <c r="BV82" s="279"/>
      <c r="BW82" s="279"/>
      <c r="BX82" s="279"/>
      <c r="BY82" s="279"/>
      <c r="BZ82" s="279"/>
      <c r="CA82" s="279"/>
      <c r="CB82" s="279"/>
      <c r="CC82" s="279"/>
      <c r="CD82" s="279"/>
      <c r="CE82" s="279"/>
      <c r="CF82" s="279"/>
      <c r="CG82" s="279"/>
      <c r="CH82" s="279"/>
      <c r="CI82" s="279"/>
      <c r="CJ82" s="279"/>
      <c r="CK82" s="279"/>
      <c r="CL82" s="279"/>
      <c r="CM82" s="279"/>
      <c r="CN82" s="382"/>
    </row>
    <row r="83" ht="21.75" customHeight="true" x14ac:dyDescent="0.3">
      <c r="B83" s="361"/>
      <c r="C83" s="279"/>
      <c r="D83" s="279"/>
      <c r="E83" s="829"/>
      <c r="F83" s="829"/>
      <c r="G83" s="829"/>
      <c r="H83" s="281"/>
      <c r="I83" s="286"/>
      <c r="J83" s="279"/>
      <c r="K83" s="279"/>
      <c r="L83" s="280"/>
      <c r="M83" s="286"/>
      <c r="N83" s="279"/>
      <c r="O83" s="280"/>
      <c r="P83" s="280"/>
      <c r="Q83" s="279"/>
      <c r="R83" s="297"/>
      <c r="S83" s="298"/>
      <c r="T83" s="298"/>
      <c r="U83" s="299"/>
      <c r="V83" s="279"/>
      <c r="W83" s="279"/>
      <c r="X83" s="279"/>
      <c r="Y83" s="279"/>
      <c r="Z83" s="279"/>
      <c r="AA83" s="279"/>
      <c r="AB83" s="279"/>
      <c r="AC83" s="279"/>
      <c r="AD83" s="279"/>
      <c r="AE83" s="279"/>
      <c r="AF83" s="279"/>
      <c r="AG83" s="279"/>
      <c r="AH83" s="279"/>
      <c r="AI83" s="279"/>
      <c r="AJ83" s="279"/>
      <c r="AK83" s="279"/>
      <c r="AL83" s="279"/>
      <c r="AM83" s="279"/>
      <c r="AN83" s="279"/>
      <c r="AO83" s="279"/>
      <c r="AP83" s="279"/>
      <c r="AQ83" s="279"/>
      <c r="AR83" s="279"/>
      <c r="AS83" s="279"/>
      <c r="AT83" s="279"/>
      <c r="AU83" s="279"/>
      <c r="AV83" s="279"/>
      <c r="AW83" s="279"/>
      <c r="AX83" s="279"/>
      <c r="AY83" s="279"/>
      <c r="AZ83" s="279"/>
      <c r="BA83" s="279"/>
      <c r="BB83" s="279"/>
      <c r="BC83" s="279"/>
      <c r="BD83" s="279"/>
      <c r="BE83" s="279"/>
      <c r="BF83" s="279"/>
      <c r="BG83" s="279"/>
      <c r="BH83" s="279"/>
      <c r="BI83" s="279"/>
      <c r="BJ83" s="279"/>
      <c r="BK83" s="279"/>
      <c r="BL83" s="279"/>
      <c r="BM83" s="279"/>
      <c r="BN83" s="279"/>
      <c r="BO83" s="279"/>
      <c r="BP83" s="279"/>
      <c r="BQ83" s="279"/>
      <c r="BR83" s="279"/>
      <c r="BS83" s="279"/>
      <c r="BT83" s="279"/>
      <c r="BU83" s="279"/>
      <c r="BV83" s="279"/>
      <c r="BW83" s="279"/>
      <c r="BX83" s="279"/>
      <c r="BY83" s="279"/>
      <c r="BZ83" s="279"/>
      <c r="CA83" s="279"/>
      <c r="CB83" s="279"/>
      <c r="CC83" s="279"/>
      <c r="CD83" s="279"/>
      <c r="CE83" s="279"/>
      <c r="CF83" s="279"/>
      <c r="CG83" s="279"/>
      <c r="CH83" s="279"/>
      <c r="CI83" s="279"/>
      <c r="CJ83" s="279"/>
      <c r="CK83" s="279"/>
      <c r="CL83" s="279"/>
      <c r="CM83" s="279"/>
      <c r="CN83" s="382"/>
    </row>
    <row r="84" ht="21.75" customHeight="true" thickBot="true" x14ac:dyDescent="0.35">
      <c r="B84" s="361"/>
      <c r="C84" s="279"/>
      <c r="D84" s="279"/>
      <c r="E84" s="829"/>
      <c r="F84" s="829"/>
      <c r="G84" s="829"/>
      <c r="H84" s="281"/>
      <c r="I84" s="286"/>
      <c r="J84" s="279"/>
      <c r="K84" s="279"/>
      <c r="L84" s="280"/>
      <c r="M84" s="286"/>
      <c r="N84" s="279"/>
      <c r="O84" s="280"/>
      <c r="P84" s="280"/>
      <c r="Q84" s="279"/>
      <c r="R84" s="297"/>
      <c r="S84" s="298"/>
      <c r="T84" s="298"/>
      <c r="U84" s="299"/>
      <c r="V84" s="279"/>
      <c r="W84" s="279"/>
      <c r="X84" s="279"/>
      <c r="Y84" s="279"/>
      <c r="Z84" s="279"/>
      <c r="AA84" s="279"/>
      <c r="AB84" s="279"/>
      <c r="AC84" s="279"/>
      <c r="AD84" s="279"/>
      <c r="AE84" s="279"/>
      <c r="AF84" s="279"/>
      <c r="AG84" s="279"/>
      <c r="AH84" s="279"/>
      <c r="AI84" s="279"/>
      <c r="AJ84" s="279"/>
      <c r="AK84" s="279"/>
      <c r="AL84" s="279"/>
      <c r="AM84" s="279"/>
      <c r="AN84" s="279"/>
      <c r="AO84" s="279"/>
      <c r="AP84" s="279"/>
      <c r="AQ84" s="279"/>
      <c r="AR84" s="279"/>
      <c r="AS84" s="279"/>
      <c r="AT84" s="279"/>
      <c r="AU84" s="279"/>
      <c r="AV84" s="279"/>
      <c r="AW84" s="279"/>
      <c r="AX84" s="279"/>
      <c r="AY84" s="279"/>
      <c r="AZ84" s="279"/>
      <c r="BA84" s="279"/>
      <c r="BB84" s="279"/>
      <c r="BC84" s="279"/>
      <c r="BD84" s="279"/>
      <c r="BE84" s="279"/>
      <c r="BF84" s="279"/>
      <c r="BG84" s="279"/>
      <c r="BH84" s="279"/>
      <c r="BI84" s="279"/>
      <c r="BJ84" s="279"/>
      <c r="BK84" s="279"/>
      <c r="BL84" s="279"/>
      <c r="BM84" s="279"/>
      <c r="BN84" s="279"/>
      <c r="BO84" s="279"/>
      <c r="BP84" s="279"/>
      <c r="BQ84" s="279"/>
      <c r="BR84" s="279"/>
      <c r="BS84" s="279"/>
      <c r="BT84" s="279"/>
      <c r="BU84" s="279"/>
      <c r="BV84" s="279"/>
      <c r="BW84" s="279"/>
      <c r="BX84" s="279"/>
      <c r="BY84" s="279"/>
      <c r="BZ84" s="279"/>
      <c r="CA84" s="279"/>
      <c r="CB84" s="279"/>
      <c r="CC84" s="279"/>
      <c r="CD84" s="279"/>
      <c r="CE84" s="279"/>
      <c r="CF84" s="279"/>
      <c r="CG84" s="279"/>
      <c r="CH84" s="279"/>
      <c r="CI84" s="279"/>
      <c r="CJ84" s="279"/>
      <c r="CK84" s="279"/>
      <c r="CL84" s="279"/>
      <c r="CM84" s="279"/>
      <c r="CN84" s="382"/>
    </row>
    <row r="85" ht="63" customHeight="true" x14ac:dyDescent="0.3">
      <c r="B85" s="361"/>
      <c r="C85" s="279"/>
      <c r="D85" s="279"/>
      <c r="E85" s="829"/>
      <c r="F85" s="829"/>
      <c r="G85" s="829"/>
      <c r="H85" s="282" t="s">
        <v>1469</v>
      </c>
      <c r="I85" s="283" t="s">
        <v>252</v>
      </c>
      <c r="J85" s="283" t="str">
        <f>'I. Stream &amp; Compound Data'!H260</f>
        <v>CAS Number</v>
      </c>
      <c r="K85" s="283" t="s">
        <v>1575</v>
      </c>
      <c r="L85" s="1196" t="s">
        <v>2317</v>
      </c>
      <c r="M85" s="267" t="s">
        <v>289</v>
      </c>
      <c r="N85" s="181" t="s">
        <v>1004</v>
      </c>
      <c r="O85" s="181" t="s">
        <v>1022</v>
      </c>
      <c r="P85" s="181" t="s">
        <v>187</v>
      </c>
      <c r="Q85" s="284" t="s">
        <v>198</v>
      </c>
      <c r="R85" s="297"/>
      <c r="S85" s="298"/>
      <c r="T85" s="298"/>
      <c r="U85" s="299"/>
      <c r="V85" s="279"/>
      <c r="W85" s="279"/>
      <c r="X85" s="279"/>
      <c r="Y85" s="279"/>
      <c r="Z85" s="279"/>
      <c r="AA85" s="279"/>
      <c r="AB85" s="279"/>
      <c r="AC85" s="279"/>
      <c r="AD85" s="279"/>
      <c r="AE85" s="279"/>
      <c r="AF85" s="279"/>
      <c r="AG85" s="279"/>
      <c r="AH85" s="279"/>
      <c r="AI85" s="279"/>
      <c r="AJ85" s="279"/>
      <c r="AK85" s="279"/>
      <c r="AL85" s="279"/>
      <c r="AM85" s="279"/>
      <c r="AN85" s="279"/>
      <c r="AO85" s="279"/>
      <c r="AP85" s="279"/>
      <c r="AQ85" s="279"/>
      <c r="AR85" s="279"/>
      <c r="AS85" s="279"/>
      <c r="AT85" s="279"/>
      <c r="AU85" s="279"/>
      <c r="AV85" s="279"/>
      <c r="AW85" s="279"/>
      <c r="AX85" s="279"/>
      <c r="AY85" s="279"/>
      <c r="AZ85" s="279"/>
      <c r="BA85" s="279"/>
      <c r="BB85" s="279"/>
      <c r="BC85" s="279"/>
      <c r="BD85" s="279"/>
      <c r="BE85" s="279"/>
      <c r="BF85" s="279"/>
      <c r="BG85" s="279"/>
      <c r="BH85" s="279"/>
      <c r="BI85" s="279"/>
      <c r="BJ85" s="279"/>
      <c r="BK85" s="279"/>
      <c r="BL85" s="279"/>
      <c r="BM85" s="279"/>
      <c r="BN85" s="279"/>
      <c r="BO85" s="279"/>
      <c r="BP85" s="279"/>
      <c r="BQ85" s="279"/>
      <c r="BR85" s="279"/>
      <c r="BS85" s="279"/>
      <c r="BT85" s="279"/>
      <c r="BU85" s="279"/>
      <c r="BV85" s="279"/>
      <c r="BW85" s="279"/>
      <c r="BX85" s="279"/>
      <c r="BY85" s="279"/>
      <c r="BZ85" s="279"/>
      <c r="CA85" s="279"/>
      <c r="CB85" s="279"/>
      <c r="CC85" s="279"/>
      <c r="CD85" s="279"/>
      <c r="CE85" s="279"/>
      <c r="CF85" s="279"/>
      <c r="CG85" s="279"/>
      <c r="CH85" s="279"/>
      <c r="CI85" s="279"/>
      <c r="CJ85" s="279"/>
      <c r="CK85" s="279"/>
      <c r="CL85" s="279"/>
      <c r="CM85" s="279"/>
      <c r="CN85" s="382"/>
    </row>
    <row r="86" ht="21.75" customHeight="true" x14ac:dyDescent="0.3">
      <c r="B86" s="361"/>
      <c r="C86" s="279"/>
      <c r="D86" s="279"/>
      <c r="E86" s="829"/>
      <c r="F86" s="829"/>
      <c r="G86" s="829"/>
      <c r="H86" s="285">
        <v>1</v>
      </c>
      <c r="I86" s="1286" t="str">
        <f>'I. Stream &amp; Compound Data'!G262</f>
        <v>Carbon Dioxide</v>
      </c>
      <c r="J86" s="1287" t="str">
        <f>'I. Stream &amp; Compound Data'!H262</f>
        <v>124-38-9</v>
      </c>
      <c r="K86" s="1287">
        <f>'I. Stream &amp; Compound Data'!L262</f>
        <v>0</v>
      </c>
      <c r="L86" s="1287">
        <f>IF('I. Stream &amp; Compound Data'!K262="","",'I. Stream &amp; Compound Data'!K262)</f>
        <v>1</v>
      </c>
      <c r="M86" s="1287">
        <f>'I. Stream &amp; Compound Data'!M262</f>
        <v>2980.7504537999998</v>
      </c>
      <c r="N86" s="1287">
        <f>'I. Stream &amp; Compound Data'!P262</f>
        <v>2980.7504537999998</v>
      </c>
      <c r="O86" s="1287">
        <f>'I. Stream &amp; Compound Data'!Q262</f>
        <v>0</v>
      </c>
      <c r="P86" s="1287">
        <f>IF('I. Stream &amp; Compound Data'!AM262="","",'I. Stream &amp; Compound Data'!AM262)</f>
        <v>1</v>
      </c>
      <c r="Q86" s="1149">
        <f>IF('I. Stream &amp; Compound Data'!AO262="","",'I. Stream &amp; Compound Data'!AO262)</f>
        <v>0</v>
      </c>
      <c r="R86" s="297"/>
      <c r="S86" s="298"/>
      <c r="T86" s="298"/>
      <c r="U86" s="299"/>
      <c r="V86" s="279"/>
      <c r="W86" s="279"/>
      <c r="X86" s="279"/>
      <c r="Y86" s="279"/>
      <c r="Z86" s="279"/>
      <c r="AA86" s="279"/>
      <c r="AB86" s="279"/>
      <c r="AC86" s="279"/>
      <c r="AD86" s="279"/>
      <c r="AE86" s="279"/>
      <c r="AF86" s="279"/>
      <c r="AG86" s="279"/>
      <c r="AH86" s="279"/>
      <c r="AI86" s="279"/>
      <c r="AJ86" s="279"/>
      <c r="AK86" s="279"/>
      <c r="AL86" s="279"/>
      <c r="AM86" s="279"/>
      <c r="AN86" s="279"/>
      <c r="AO86" s="279"/>
      <c r="AP86" s="279"/>
      <c r="AQ86" s="279"/>
      <c r="AR86" s="279"/>
      <c r="AS86" s="279"/>
      <c r="AT86" s="279"/>
      <c r="AU86" s="279"/>
      <c r="AV86" s="279"/>
      <c r="AW86" s="279"/>
      <c r="AX86" s="279"/>
      <c r="AY86" s="279"/>
      <c r="AZ86" s="279"/>
      <c r="BA86" s="279"/>
      <c r="BB86" s="279"/>
      <c r="BC86" s="279"/>
      <c r="BD86" s="279"/>
      <c r="BE86" s="279"/>
      <c r="BF86" s="279"/>
      <c r="BG86" s="279"/>
      <c r="BH86" s="279"/>
      <c r="BI86" s="279"/>
      <c r="BJ86" s="279"/>
      <c r="BK86" s="279"/>
      <c r="BL86" s="279"/>
      <c r="BM86" s="279"/>
      <c r="BN86" s="279"/>
      <c r="BO86" s="279"/>
      <c r="BP86" s="279"/>
      <c r="BQ86" s="279"/>
      <c r="BR86" s="279"/>
      <c r="BS86" s="279"/>
      <c r="BT86" s="279"/>
      <c r="BU86" s="279"/>
      <c r="BV86" s="279"/>
      <c r="BW86" s="279"/>
      <c r="BX86" s="279"/>
      <c r="BY86" s="279"/>
      <c r="BZ86" s="279"/>
      <c r="CA86" s="279"/>
      <c r="CB86" s="279"/>
      <c r="CC86" s="279"/>
      <c r="CD86" s="279"/>
      <c r="CE86" s="279"/>
      <c r="CF86" s="279"/>
      <c r="CG86" s="279"/>
      <c r="CH86" s="279"/>
      <c r="CI86" s="279"/>
      <c r="CJ86" s="279"/>
      <c r="CK86" s="279"/>
      <c r="CL86" s="279"/>
      <c r="CM86" s="279"/>
      <c r="CN86" s="382"/>
    </row>
    <row r="87" ht="21.75" customHeight="true" x14ac:dyDescent="0.3">
      <c r="B87" s="361"/>
      <c r="C87" s="279"/>
      <c r="D87" s="279"/>
      <c r="E87" s="829"/>
      <c r="F87" s="829"/>
      <c r="G87" s="829"/>
      <c r="H87" s="285">
        <f>1+H86</f>
        <v>2</v>
      </c>
      <c r="I87" s="1286" t="str">
        <f>'I. Stream &amp; Compound Data'!G263</f>
        <v>Water</v>
      </c>
      <c r="J87" s="1287" t="str">
        <f>'I. Stream &amp; Compound Data'!H263</f>
        <v>7732-18-5</v>
      </c>
      <c r="K87" s="1287">
        <f>'I. Stream &amp; Compound Data'!L263</f>
        <v>0</v>
      </c>
      <c r="L87" s="1287">
        <f>IF('I. Stream &amp; Compound Data'!K263="","",'I. Stream &amp; Compound Data'!K263)</f>
        <v>5</v>
      </c>
      <c r="M87" s="1287">
        <f>'I. Stream &amp; Compound Data'!M263</f>
        <v>0</v>
      </c>
      <c r="N87" s="1287">
        <f>'I. Stream &amp; Compound Data'!P263</f>
        <v>0</v>
      </c>
      <c r="O87" s="1287">
        <f>'I. Stream &amp; Compound Data'!Q263</f>
        <v>0</v>
      </c>
      <c r="P87" s="1287">
        <f>IF('I. Stream &amp; Compound Data'!AM263="","",'I. Stream &amp; Compound Data'!AM263)</f>
        <v>0</v>
      </c>
      <c r="Q87" s="1149">
        <f>IF('I. Stream &amp; Compound Data'!AO263="","",'I. Stream &amp; Compound Data'!AO263)</f>
        <v>0</v>
      </c>
      <c r="R87" s="297"/>
      <c r="S87" s="298"/>
      <c r="T87" s="298"/>
      <c r="U87" s="299"/>
      <c r="V87" s="279"/>
      <c r="W87" s="279"/>
      <c r="X87" s="279"/>
      <c r="Y87" s="279"/>
      <c r="Z87" s="279"/>
      <c r="AA87" s="279"/>
      <c r="AB87" s="279"/>
      <c r="AC87" s="279"/>
      <c r="AD87" s="279"/>
      <c r="AE87" s="279"/>
      <c r="AF87" s="279"/>
      <c r="AG87" s="279"/>
      <c r="AH87" s="279"/>
      <c r="AI87" s="279"/>
      <c r="AJ87" s="279"/>
      <c r="AK87" s="279"/>
      <c r="AL87" s="279"/>
      <c r="AM87" s="279"/>
      <c r="AN87" s="279"/>
      <c r="AO87" s="279"/>
      <c r="AP87" s="279"/>
      <c r="AQ87" s="279"/>
      <c r="AR87" s="279"/>
      <c r="AS87" s="279"/>
      <c r="AT87" s="279"/>
      <c r="AU87" s="279"/>
      <c r="AV87" s="279"/>
      <c r="AW87" s="279"/>
      <c r="AX87" s="279"/>
      <c r="AY87" s="279"/>
      <c r="AZ87" s="279"/>
      <c r="BA87" s="279"/>
      <c r="BB87" s="279"/>
      <c r="BC87" s="279"/>
      <c r="BD87" s="279"/>
      <c r="BE87" s="279"/>
      <c r="BF87" s="279"/>
      <c r="BG87" s="279"/>
      <c r="BH87" s="279"/>
      <c r="BI87" s="279"/>
      <c r="BJ87" s="279"/>
      <c r="BK87" s="279"/>
      <c r="BL87" s="279"/>
      <c r="BM87" s="279"/>
      <c r="BN87" s="279"/>
      <c r="BO87" s="279"/>
      <c r="BP87" s="279"/>
      <c r="BQ87" s="279"/>
      <c r="BR87" s="279"/>
      <c r="BS87" s="279"/>
      <c r="BT87" s="279"/>
      <c r="BU87" s="279"/>
      <c r="BV87" s="279"/>
      <c r="BW87" s="279"/>
      <c r="BX87" s="279"/>
      <c r="BY87" s="279"/>
      <c r="BZ87" s="279"/>
      <c r="CA87" s="279"/>
      <c r="CB87" s="279"/>
      <c r="CC87" s="279"/>
      <c r="CD87" s="279"/>
      <c r="CE87" s="279"/>
      <c r="CF87" s="279"/>
      <c r="CG87" s="279"/>
      <c r="CH87" s="279"/>
      <c r="CI87" s="279"/>
      <c r="CJ87" s="279"/>
      <c r="CK87" s="279"/>
      <c r="CL87" s="279"/>
      <c r="CM87" s="279"/>
      <c r="CN87" s="382"/>
    </row>
    <row r="88" ht="21.75" customHeight="true" x14ac:dyDescent="0.3">
      <c r="B88" s="361"/>
      <c r="C88" s="279"/>
      <c r="D88" s="279"/>
      <c r="E88" s="829"/>
      <c r="F88" s="829"/>
      <c r="G88" s="829"/>
      <c r="H88" s="285">
        <f t="shared" ref="H88:H135" si="9">1+H87</f>
        <v>3</v>
      </c>
      <c r="I88" s="1286" t="str">
        <f>'I. Stream &amp; Compound Data'!G264</f>
        <v>Calcium Oxide</v>
      </c>
      <c r="J88" s="1287" t="str">
        <f>'I. Stream &amp; Compound Data'!H264</f>
        <v>1305-78-8</v>
      </c>
      <c r="K88" s="1287">
        <f>'I. Stream &amp; Compound Data'!L264</f>
        <v>0</v>
      </c>
      <c r="L88" s="1287">
        <f>IF('I. Stream &amp; Compound Data'!K264="","",'I. Stream &amp; Compound Data'!K264)</f>
        <v>1</v>
      </c>
      <c r="M88" s="1287">
        <f>'I. Stream &amp; Compound Data'!M264</f>
        <v>2888.3362910273868</v>
      </c>
      <c r="N88" s="1287">
        <f>'I. Stream &amp; Compound Data'!P264</f>
        <v>0</v>
      </c>
      <c r="O88" s="1287">
        <f>'I. Stream &amp; Compound Data'!Q264</f>
        <v>2888.3362910273868</v>
      </c>
      <c r="P88" s="1287">
        <f>IF('I. Stream &amp; Compound Data'!AM264="","",'I. Stream &amp; Compound Data'!AM264)</f>
        <v>1</v>
      </c>
      <c r="Q88" s="1149">
        <f>IF('I. Stream &amp; Compound Data'!AO264="","",'I. Stream &amp; Compound Data'!AO264)</f>
        <v>0</v>
      </c>
      <c r="R88" s="297"/>
      <c r="S88" s="298"/>
      <c r="T88" s="298"/>
      <c r="U88" s="299"/>
      <c r="V88" s="279"/>
      <c r="W88" s="279"/>
      <c r="X88" s="279"/>
      <c r="Y88" s="279"/>
      <c r="Z88" s="279"/>
      <c r="AA88" s="279"/>
      <c r="AB88" s="279"/>
      <c r="AC88" s="279"/>
      <c r="AD88" s="279"/>
      <c r="AE88" s="279"/>
      <c r="AF88" s="279"/>
      <c r="AG88" s="279"/>
      <c r="AH88" s="279"/>
      <c r="AI88" s="279"/>
      <c r="AJ88" s="279"/>
      <c r="AK88" s="279"/>
      <c r="AL88" s="279"/>
      <c r="AM88" s="279"/>
      <c r="AN88" s="279"/>
      <c r="AO88" s="279"/>
      <c r="AP88" s="279"/>
      <c r="AQ88" s="279"/>
      <c r="AR88" s="279"/>
      <c r="AS88" s="279"/>
      <c r="AT88" s="279"/>
      <c r="AU88" s="279"/>
      <c r="AV88" s="279"/>
      <c r="AW88" s="279"/>
      <c r="AX88" s="279"/>
      <c r="AY88" s="279"/>
      <c r="AZ88" s="279"/>
      <c r="BA88" s="279"/>
      <c r="BB88" s="279"/>
      <c r="BC88" s="279"/>
      <c r="BD88" s="279"/>
      <c r="BE88" s="279"/>
      <c r="BF88" s="279"/>
      <c r="BG88" s="279"/>
      <c r="BH88" s="279"/>
      <c r="BI88" s="279"/>
      <c r="BJ88" s="279"/>
      <c r="BK88" s="279"/>
      <c r="BL88" s="279"/>
      <c r="BM88" s="279"/>
      <c r="BN88" s="279"/>
      <c r="BO88" s="279"/>
      <c r="BP88" s="279"/>
      <c r="BQ88" s="279"/>
      <c r="BR88" s="279"/>
      <c r="BS88" s="279"/>
      <c r="BT88" s="279"/>
      <c r="BU88" s="279"/>
      <c r="BV88" s="279"/>
      <c r="BW88" s="279"/>
      <c r="BX88" s="279"/>
      <c r="BY88" s="279"/>
      <c r="BZ88" s="279"/>
      <c r="CA88" s="279"/>
      <c r="CB88" s="279"/>
      <c r="CC88" s="279"/>
      <c r="CD88" s="279"/>
      <c r="CE88" s="279"/>
      <c r="CF88" s="279"/>
      <c r="CG88" s="279"/>
      <c r="CH88" s="279"/>
      <c r="CI88" s="279"/>
      <c r="CJ88" s="279"/>
      <c r="CK88" s="279"/>
      <c r="CL88" s="279"/>
      <c r="CM88" s="279"/>
      <c r="CN88" s="382"/>
    </row>
    <row r="89" ht="21.75" customHeight="true" x14ac:dyDescent="0.3">
      <c r="B89" s="361"/>
      <c r="C89" s="279"/>
      <c r="D89" s="279"/>
      <c r="E89" s="829"/>
      <c r="F89" s="829"/>
      <c r="G89" s="829"/>
      <c r="H89" s="285">
        <f t="shared" si="9"/>
        <v>4</v>
      </c>
      <c r="I89" s="1286" t="str">
        <f>'I. Stream &amp; Compound Data'!G265</f>
        <v>Calcium Carbonate</v>
      </c>
      <c r="J89" s="1287" t="str">
        <f>'I. Stream &amp; Compound Data'!H265</f>
        <v>471-34-1</v>
      </c>
      <c r="K89" s="1287">
        <f>'I. Stream &amp; Compound Data'!L265</f>
        <v>6778.7792000553327</v>
      </c>
      <c r="L89" s="1287">
        <f>IF('I. Stream &amp; Compound Data'!K265="","",'I. Stream &amp; Compound Data'!K265)</f>
        <v>2</v>
      </c>
      <c r="M89" s="1287">
        <f>'I. Stream &amp; Compound Data'!M265</f>
        <v>1623.6788293814257</v>
      </c>
      <c r="N89" s="1287">
        <f>'I. Stream &amp; Compound Data'!P265</f>
        <v>0</v>
      </c>
      <c r="O89" s="1287">
        <f>'I. Stream &amp; Compound Data'!Q265</f>
        <v>1623.6788293814257</v>
      </c>
      <c r="P89" s="1287">
        <f>IF('I. Stream &amp; Compound Data'!AM265="","",'I. Stream &amp; Compound Data'!AM265)</f>
        <v>0</v>
      </c>
      <c r="Q89" s="1149">
        <f>IF('I. Stream &amp; Compound Data'!AO265="","",'I. Stream &amp; Compound Data'!AO265)</f>
        <v>0</v>
      </c>
      <c r="R89" s="297"/>
      <c r="S89" s="298"/>
      <c r="T89" s="298"/>
      <c r="U89" s="299"/>
      <c r="V89" s="279"/>
      <c r="W89" s="279"/>
      <c r="X89" s="279"/>
      <c r="Y89" s="279"/>
      <c r="Z89" s="279"/>
      <c r="AA89" s="279"/>
      <c r="AB89" s="279"/>
      <c r="AC89" s="279"/>
      <c r="AD89" s="279"/>
      <c r="AE89" s="279"/>
      <c r="AF89" s="279"/>
      <c r="AG89" s="279"/>
      <c r="AH89" s="279"/>
      <c r="AI89" s="279"/>
      <c r="AJ89" s="279"/>
      <c r="AK89" s="279"/>
      <c r="AL89" s="279"/>
      <c r="AM89" s="279"/>
      <c r="AN89" s="279"/>
      <c r="AO89" s="279"/>
      <c r="AP89" s="279"/>
      <c r="AQ89" s="279"/>
      <c r="AR89" s="279"/>
      <c r="AS89" s="279"/>
      <c r="AT89" s="279"/>
      <c r="AU89" s="279"/>
      <c r="AV89" s="279"/>
      <c r="AW89" s="279"/>
      <c r="AX89" s="279"/>
      <c r="AY89" s="279"/>
      <c r="AZ89" s="279"/>
      <c r="BA89" s="279"/>
      <c r="BB89" s="279"/>
      <c r="BC89" s="279"/>
      <c r="BD89" s="279"/>
      <c r="BE89" s="279"/>
      <c r="BF89" s="279"/>
      <c r="BG89" s="279"/>
      <c r="BH89" s="279"/>
      <c r="BI89" s="279"/>
      <c r="BJ89" s="279"/>
      <c r="BK89" s="279"/>
      <c r="BL89" s="279"/>
      <c r="BM89" s="279"/>
      <c r="BN89" s="279"/>
      <c r="BO89" s="279"/>
      <c r="BP89" s="279"/>
      <c r="BQ89" s="279"/>
      <c r="BR89" s="279"/>
      <c r="BS89" s="279"/>
      <c r="BT89" s="279"/>
      <c r="BU89" s="279"/>
      <c r="BV89" s="279"/>
      <c r="BW89" s="279"/>
      <c r="BX89" s="279"/>
      <c r="BY89" s="279"/>
      <c r="BZ89" s="279"/>
      <c r="CA89" s="279"/>
      <c r="CB89" s="279"/>
      <c r="CC89" s="279"/>
      <c r="CD89" s="279"/>
      <c r="CE89" s="279"/>
      <c r="CF89" s="279"/>
      <c r="CG89" s="279"/>
      <c r="CH89" s="279"/>
      <c r="CI89" s="279"/>
      <c r="CJ89" s="279"/>
      <c r="CK89" s="279"/>
      <c r="CL89" s="279"/>
      <c r="CM89" s="279"/>
      <c r="CN89" s="382"/>
    </row>
    <row r="90" ht="21.75" customHeight="true" x14ac:dyDescent="0.3">
      <c r="B90" s="361"/>
      <c r="C90" s="279"/>
      <c r="D90" s="279"/>
      <c r="E90" s="829"/>
      <c r="F90" s="829"/>
      <c r="G90" s="829"/>
      <c r="H90" s="285">
        <f t="shared" si="9"/>
        <v>5</v>
      </c>
      <c r="I90" s="1286" t="str">
        <f>'I. Stream &amp; Compound Data'!G266</f>
        <v/>
      </c>
      <c r="J90" s="1287" t="str">
        <f>'I. Stream &amp; Compound Data'!H266</f>
        <v/>
      </c>
      <c r="K90" s="1287" t="str">
        <f>'I. Stream &amp; Compound Data'!L266</f>
        <v/>
      </c>
      <c r="L90" s="1287" t="str">
        <f>IF('I. Stream &amp; Compound Data'!K266="","",'I. Stream &amp; Compound Data'!K266)</f>
        <v/>
      </c>
      <c r="M90" s="1287" t="str">
        <f>'I. Stream &amp; Compound Data'!M266</f>
        <v/>
      </c>
      <c r="N90" s="1287" t="str">
        <f>'I. Stream &amp; Compound Data'!P266</f>
        <v/>
      </c>
      <c r="O90" s="1287" t="str">
        <f>'I. Stream &amp; Compound Data'!Q266</f>
        <v/>
      </c>
      <c r="P90" s="1287" t="str">
        <f>IF('I. Stream &amp; Compound Data'!AM266="","",'I. Stream &amp; Compound Data'!AM266)</f>
        <v/>
      </c>
      <c r="Q90" s="1149" t="str">
        <f>IF('I. Stream &amp; Compound Data'!AO266="","",'I. Stream &amp; Compound Data'!AO266)</f>
        <v/>
      </c>
      <c r="R90" s="297"/>
      <c r="S90" s="298"/>
      <c r="T90" s="298"/>
      <c r="U90" s="299"/>
      <c r="V90" s="279"/>
      <c r="W90" s="279"/>
      <c r="X90" s="279"/>
      <c r="Y90" s="279"/>
      <c r="Z90" s="279"/>
      <c r="AA90" s="279"/>
      <c r="AB90" s="279"/>
      <c r="AC90" s="279"/>
      <c r="AD90" s="279"/>
      <c r="AE90" s="279"/>
      <c r="AF90" s="279"/>
      <c r="AG90" s="279"/>
      <c r="AH90" s="279"/>
      <c r="AI90" s="279"/>
      <c r="AJ90" s="279"/>
      <c r="AK90" s="279"/>
      <c r="AL90" s="279"/>
      <c r="AM90" s="279"/>
      <c r="AN90" s="279"/>
      <c r="AO90" s="279"/>
      <c r="AP90" s="279"/>
      <c r="AQ90" s="279"/>
      <c r="AR90" s="279"/>
      <c r="AS90" s="279"/>
      <c r="AT90" s="279"/>
      <c r="AU90" s="279"/>
      <c r="AV90" s="279"/>
      <c r="AW90" s="279"/>
      <c r="AX90" s="279"/>
      <c r="AY90" s="279"/>
      <c r="AZ90" s="279"/>
      <c r="BA90" s="279"/>
      <c r="BB90" s="279"/>
      <c r="BC90" s="279"/>
      <c r="BD90" s="279"/>
      <c r="BE90" s="279"/>
      <c r="BF90" s="279"/>
      <c r="BG90" s="279"/>
      <c r="BH90" s="279"/>
      <c r="BI90" s="279"/>
      <c r="BJ90" s="279"/>
      <c r="BK90" s="279"/>
      <c r="BL90" s="279"/>
      <c r="BM90" s="279"/>
      <c r="BN90" s="279"/>
      <c r="BO90" s="279"/>
      <c r="BP90" s="279"/>
      <c r="BQ90" s="279"/>
      <c r="BR90" s="279"/>
      <c r="BS90" s="279"/>
      <c r="BT90" s="279"/>
      <c r="BU90" s="279"/>
      <c r="BV90" s="279"/>
      <c r="BW90" s="279"/>
      <c r="BX90" s="279"/>
      <c r="BY90" s="279"/>
      <c r="BZ90" s="279"/>
      <c r="CA90" s="279"/>
      <c r="CB90" s="279"/>
      <c r="CC90" s="279"/>
      <c r="CD90" s="279"/>
      <c r="CE90" s="279"/>
      <c r="CF90" s="279"/>
      <c r="CG90" s="279"/>
      <c r="CH90" s="279"/>
      <c r="CI90" s="279"/>
      <c r="CJ90" s="279"/>
      <c r="CK90" s="279"/>
      <c r="CL90" s="279"/>
      <c r="CM90" s="279"/>
      <c r="CN90" s="382"/>
    </row>
    <row r="91" ht="21.75" customHeight="true" x14ac:dyDescent="0.3">
      <c r="B91" s="361"/>
      <c r="C91" s="279"/>
      <c r="D91" s="279"/>
      <c r="E91" s="829"/>
      <c r="F91" s="829"/>
      <c r="G91" s="829"/>
      <c r="H91" s="285">
        <f t="shared" si="9"/>
        <v>6</v>
      </c>
      <c r="I91" s="1286" t="str">
        <f>'I. Stream &amp; Compound Data'!G267</f>
        <v/>
      </c>
      <c r="J91" s="1287" t="str">
        <f>'I. Stream &amp; Compound Data'!H267</f>
        <v/>
      </c>
      <c r="K91" s="1287" t="str">
        <f>'I. Stream &amp; Compound Data'!L267</f>
        <v/>
      </c>
      <c r="L91" s="1287" t="str">
        <f>IF('I. Stream &amp; Compound Data'!K267="","",'I. Stream &amp; Compound Data'!K267)</f>
        <v/>
      </c>
      <c r="M91" s="1287" t="str">
        <f>'I. Stream &amp; Compound Data'!M267</f>
        <v/>
      </c>
      <c r="N91" s="1287" t="str">
        <f>'I. Stream &amp; Compound Data'!P267</f>
        <v/>
      </c>
      <c r="O91" s="1287" t="str">
        <f>'I. Stream &amp; Compound Data'!Q267</f>
        <v/>
      </c>
      <c r="P91" s="1287" t="str">
        <f>IF('I. Stream &amp; Compound Data'!AM267="","",'I. Stream &amp; Compound Data'!AM267)</f>
        <v/>
      </c>
      <c r="Q91" s="1149" t="str">
        <f>IF('I. Stream &amp; Compound Data'!AO267="","",'I. Stream &amp; Compound Data'!AO267)</f>
        <v/>
      </c>
      <c r="R91" s="297"/>
      <c r="S91" s="298"/>
      <c r="T91" s="298"/>
      <c r="U91" s="299"/>
      <c r="V91" s="279"/>
      <c r="W91" s="279"/>
      <c r="X91" s="279"/>
      <c r="Y91" s="279"/>
      <c r="Z91" s="279"/>
      <c r="AA91" s="279"/>
      <c r="AB91" s="279"/>
      <c r="AC91" s="279"/>
      <c r="AD91" s="279"/>
      <c r="AE91" s="279"/>
      <c r="AF91" s="279"/>
      <c r="AG91" s="279"/>
      <c r="AH91" s="279"/>
      <c r="AI91" s="279"/>
      <c r="AJ91" s="279"/>
      <c r="AK91" s="279"/>
      <c r="AL91" s="279"/>
      <c r="AM91" s="279"/>
      <c r="AN91" s="279"/>
      <c r="AO91" s="279"/>
      <c r="AP91" s="279"/>
      <c r="AQ91" s="279"/>
      <c r="AR91" s="279"/>
      <c r="AS91" s="279"/>
      <c r="AT91" s="279"/>
      <c r="AU91" s="279"/>
      <c r="AV91" s="279"/>
      <c r="AW91" s="279"/>
      <c r="AX91" s="279"/>
      <c r="AY91" s="279"/>
      <c r="AZ91" s="279"/>
      <c r="BA91" s="279"/>
      <c r="BB91" s="279"/>
      <c r="BC91" s="279"/>
      <c r="BD91" s="279"/>
      <c r="BE91" s="279"/>
      <c r="BF91" s="279"/>
      <c r="BG91" s="279"/>
      <c r="BH91" s="279"/>
      <c r="BI91" s="279"/>
      <c r="BJ91" s="279"/>
      <c r="BK91" s="279"/>
      <c r="BL91" s="279"/>
      <c r="BM91" s="279"/>
      <c r="BN91" s="279"/>
      <c r="BO91" s="279"/>
      <c r="BP91" s="279"/>
      <c r="BQ91" s="279"/>
      <c r="BR91" s="279"/>
      <c r="BS91" s="279"/>
      <c r="BT91" s="279"/>
      <c r="BU91" s="279"/>
      <c r="BV91" s="279"/>
      <c r="BW91" s="279"/>
      <c r="BX91" s="279"/>
      <c r="BY91" s="279"/>
      <c r="BZ91" s="279"/>
      <c r="CA91" s="279"/>
      <c r="CB91" s="279"/>
      <c r="CC91" s="279"/>
      <c r="CD91" s="279"/>
      <c r="CE91" s="279"/>
      <c r="CF91" s="279"/>
      <c r="CG91" s="279"/>
      <c r="CH91" s="279"/>
      <c r="CI91" s="279"/>
      <c r="CJ91" s="279"/>
      <c r="CK91" s="279"/>
      <c r="CL91" s="279"/>
      <c r="CM91" s="279"/>
      <c r="CN91" s="382"/>
    </row>
    <row r="92" ht="21.75" customHeight="true" x14ac:dyDescent="0.3">
      <c r="B92" s="361"/>
      <c r="C92" s="279"/>
      <c r="D92" s="279"/>
      <c r="E92" s="829"/>
      <c r="F92" s="829"/>
      <c r="G92" s="829"/>
      <c r="H92" s="285">
        <f t="shared" si="9"/>
        <v>7</v>
      </c>
      <c r="I92" s="1286" t="str">
        <f>'I. Stream &amp; Compound Data'!G268</f>
        <v/>
      </c>
      <c r="J92" s="1287" t="str">
        <f>'I. Stream &amp; Compound Data'!H268</f>
        <v/>
      </c>
      <c r="K92" s="1287" t="str">
        <f>'I. Stream &amp; Compound Data'!L268</f>
        <v/>
      </c>
      <c r="L92" s="1287" t="str">
        <f>IF('I. Stream &amp; Compound Data'!K268="","",'I. Stream &amp; Compound Data'!K268)</f>
        <v/>
      </c>
      <c r="M92" s="1287" t="str">
        <f>'I. Stream &amp; Compound Data'!M268</f>
        <v/>
      </c>
      <c r="N92" s="1287" t="str">
        <f>'I. Stream &amp; Compound Data'!P268</f>
        <v/>
      </c>
      <c r="O92" s="1287" t="str">
        <f>'I. Stream &amp; Compound Data'!Q268</f>
        <v/>
      </c>
      <c r="P92" s="1287" t="str">
        <f>IF('I. Stream &amp; Compound Data'!AM268="","",'I. Stream &amp; Compound Data'!AM268)</f>
        <v/>
      </c>
      <c r="Q92" s="1149" t="str">
        <f>IF('I. Stream &amp; Compound Data'!AO268="","",'I. Stream &amp; Compound Data'!AO268)</f>
        <v/>
      </c>
      <c r="R92" s="297"/>
      <c r="S92" s="298"/>
      <c r="T92" s="298"/>
      <c r="U92" s="299"/>
      <c r="V92" s="279"/>
      <c r="W92" s="279"/>
      <c r="X92" s="279"/>
      <c r="Y92" s="279"/>
      <c r="Z92" s="279"/>
      <c r="AA92" s="279"/>
      <c r="AB92" s="279"/>
      <c r="AC92" s="279"/>
      <c r="AD92" s="279"/>
      <c r="AE92" s="279"/>
      <c r="AF92" s="279"/>
      <c r="AG92" s="279"/>
      <c r="AH92" s="279"/>
      <c r="AI92" s="279"/>
      <c r="AJ92" s="279"/>
      <c r="AK92" s="279"/>
      <c r="AL92" s="279"/>
      <c r="AM92" s="279"/>
      <c r="AN92" s="279"/>
      <c r="AO92" s="279"/>
      <c r="AP92" s="279"/>
      <c r="AQ92" s="279"/>
      <c r="AR92" s="279"/>
      <c r="AS92" s="279"/>
      <c r="AT92" s="279"/>
      <c r="AU92" s="279"/>
      <c r="AV92" s="279"/>
      <c r="AW92" s="279"/>
      <c r="AX92" s="279"/>
      <c r="AY92" s="279"/>
      <c r="AZ92" s="279"/>
      <c r="BA92" s="279"/>
      <c r="BB92" s="279"/>
      <c r="BC92" s="279"/>
      <c r="BD92" s="279"/>
      <c r="BE92" s="279"/>
      <c r="BF92" s="279"/>
      <c r="BG92" s="279"/>
      <c r="BH92" s="279"/>
      <c r="BI92" s="279"/>
      <c r="BJ92" s="279"/>
      <c r="BK92" s="279"/>
      <c r="BL92" s="279"/>
      <c r="BM92" s="279"/>
      <c r="BN92" s="279"/>
      <c r="BO92" s="279"/>
      <c r="BP92" s="279"/>
      <c r="BQ92" s="279"/>
      <c r="BR92" s="279"/>
      <c r="BS92" s="279"/>
      <c r="BT92" s="279"/>
      <c r="BU92" s="279"/>
      <c r="BV92" s="279"/>
      <c r="BW92" s="279"/>
      <c r="BX92" s="279"/>
      <c r="BY92" s="279"/>
      <c r="BZ92" s="279"/>
      <c r="CA92" s="279"/>
      <c r="CB92" s="279"/>
      <c r="CC92" s="279"/>
      <c r="CD92" s="279"/>
      <c r="CE92" s="279"/>
      <c r="CF92" s="279"/>
      <c r="CG92" s="279"/>
      <c r="CH92" s="279"/>
      <c r="CI92" s="279"/>
      <c r="CJ92" s="279"/>
      <c r="CK92" s="279"/>
      <c r="CL92" s="279"/>
      <c r="CM92" s="279"/>
      <c r="CN92" s="382"/>
    </row>
    <row r="93" ht="21.75" customHeight="true" x14ac:dyDescent="0.3">
      <c r="B93" s="361"/>
      <c r="C93" s="279"/>
      <c r="D93" s="279"/>
      <c r="E93" s="829"/>
      <c r="F93" s="829"/>
      <c r="G93" s="829"/>
      <c r="H93" s="285">
        <f t="shared" si="9"/>
        <v>8</v>
      </c>
      <c r="I93" s="1286" t="str">
        <f>'I. Stream &amp; Compound Data'!G269</f>
        <v/>
      </c>
      <c r="J93" s="1287" t="str">
        <f>'I. Stream &amp; Compound Data'!H269</f>
        <v/>
      </c>
      <c r="K93" s="1287" t="str">
        <f>'I. Stream &amp; Compound Data'!L269</f>
        <v/>
      </c>
      <c r="L93" s="1287" t="str">
        <f>IF('I. Stream &amp; Compound Data'!K269="","",'I. Stream &amp; Compound Data'!K269)</f>
        <v/>
      </c>
      <c r="M93" s="1287" t="str">
        <f>'I. Stream &amp; Compound Data'!M269</f>
        <v/>
      </c>
      <c r="N93" s="1287" t="str">
        <f>'I. Stream &amp; Compound Data'!P269</f>
        <v/>
      </c>
      <c r="O93" s="1287" t="str">
        <f>'I. Stream &amp; Compound Data'!Q269</f>
        <v/>
      </c>
      <c r="P93" s="1287" t="str">
        <f>IF('I. Stream &amp; Compound Data'!AM269="","",'I. Stream &amp; Compound Data'!AM269)</f>
        <v/>
      </c>
      <c r="Q93" s="1149" t="str">
        <f>IF('I. Stream &amp; Compound Data'!AO269="","",'I. Stream &amp; Compound Data'!AO269)</f>
        <v/>
      </c>
      <c r="R93" s="297"/>
      <c r="S93" s="298"/>
      <c r="T93" s="298"/>
      <c r="U93" s="299"/>
      <c r="V93" s="279"/>
      <c r="W93" s="279"/>
      <c r="X93" s="279"/>
      <c r="Y93" s="279"/>
      <c r="Z93" s="279"/>
      <c r="AA93" s="279"/>
      <c r="AB93" s="279"/>
      <c r="AC93" s="279"/>
      <c r="AD93" s="279"/>
      <c r="AE93" s="279"/>
      <c r="AF93" s="279"/>
      <c r="AG93" s="279"/>
      <c r="AH93" s="279"/>
      <c r="AI93" s="279"/>
      <c r="AJ93" s="279"/>
      <c r="AK93" s="279"/>
      <c r="AL93" s="279"/>
      <c r="AM93" s="279"/>
      <c r="AN93" s="279"/>
      <c r="AO93" s="279"/>
      <c r="AP93" s="279"/>
      <c r="AQ93" s="279"/>
      <c r="AR93" s="279"/>
      <c r="AS93" s="279"/>
      <c r="AT93" s="279"/>
      <c r="AU93" s="279"/>
      <c r="AV93" s="279"/>
      <c r="AW93" s="279"/>
      <c r="AX93" s="279"/>
      <c r="AY93" s="279"/>
      <c r="AZ93" s="279"/>
      <c r="BA93" s="279"/>
      <c r="BB93" s="279"/>
      <c r="BC93" s="279"/>
      <c r="BD93" s="279"/>
      <c r="BE93" s="279"/>
      <c r="BF93" s="279"/>
      <c r="BG93" s="279"/>
      <c r="BH93" s="279"/>
      <c r="BI93" s="279"/>
      <c r="BJ93" s="279"/>
      <c r="BK93" s="279"/>
      <c r="BL93" s="279"/>
      <c r="BM93" s="279"/>
      <c r="BN93" s="279"/>
      <c r="BO93" s="279"/>
      <c r="BP93" s="279"/>
      <c r="BQ93" s="279"/>
      <c r="BR93" s="279"/>
      <c r="BS93" s="279"/>
      <c r="BT93" s="279"/>
      <c r="BU93" s="279"/>
      <c r="BV93" s="279"/>
      <c r="BW93" s="279"/>
      <c r="BX93" s="279"/>
      <c r="BY93" s="279"/>
      <c r="BZ93" s="279"/>
      <c r="CA93" s="279"/>
      <c r="CB93" s="279"/>
      <c r="CC93" s="279"/>
      <c r="CD93" s="279"/>
      <c r="CE93" s="279"/>
      <c r="CF93" s="279"/>
      <c r="CG93" s="279"/>
      <c r="CH93" s="279"/>
      <c r="CI93" s="279"/>
      <c r="CJ93" s="279"/>
      <c r="CK93" s="279"/>
      <c r="CL93" s="279"/>
      <c r="CM93" s="279"/>
      <c r="CN93" s="382"/>
    </row>
    <row r="94" ht="21.75" customHeight="true" x14ac:dyDescent="0.3">
      <c r="B94" s="361"/>
      <c r="C94" s="279"/>
      <c r="D94" s="279"/>
      <c r="E94" s="829"/>
      <c r="F94" s="829"/>
      <c r="G94" s="829"/>
      <c r="H94" s="285">
        <f t="shared" si="9"/>
        <v>9</v>
      </c>
      <c r="I94" s="1286" t="str">
        <f>'I. Stream &amp; Compound Data'!G270</f>
        <v/>
      </c>
      <c r="J94" s="1287" t="str">
        <f>'I. Stream &amp; Compound Data'!H270</f>
        <v/>
      </c>
      <c r="K94" s="1287" t="str">
        <f>'I. Stream &amp; Compound Data'!L270</f>
        <v/>
      </c>
      <c r="L94" s="1287" t="str">
        <f>IF('I. Stream &amp; Compound Data'!K270="","",'I. Stream &amp; Compound Data'!K270)</f>
        <v/>
      </c>
      <c r="M94" s="1287" t="str">
        <f>'I. Stream &amp; Compound Data'!M270</f>
        <v/>
      </c>
      <c r="N94" s="1287" t="str">
        <f>'I. Stream &amp; Compound Data'!P270</f>
        <v/>
      </c>
      <c r="O94" s="1287" t="str">
        <f>'I. Stream &amp; Compound Data'!Q270</f>
        <v/>
      </c>
      <c r="P94" s="1287" t="str">
        <f>IF('I. Stream &amp; Compound Data'!AM270="","",'I. Stream &amp; Compound Data'!AM270)</f>
        <v/>
      </c>
      <c r="Q94" s="1149" t="str">
        <f>IF('I. Stream &amp; Compound Data'!AO270="","",'I. Stream &amp; Compound Data'!AO270)</f>
        <v/>
      </c>
      <c r="R94" s="297"/>
      <c r="S94" s="298"/>
      <c r="T94" s="298"/>
      <c r="U94" s="299"/>
      <c r="V94" s="279"/>
      <c r="W94" s="279"/>
      <c r="X94" s="279"/>
      <c r="Y94" s="279"/>
      <c r="Z94" s="279"/>
      <c r="AA94" s="279"/>
      <c r="AB94" s="279"/>
      <c r="AC94" s="279"/>
      <c r="AD94" s="279"/>
      <c r="AE94" s="279"/>
      <c r="AF94" s="279"/>
      <c r="AG94" s="279"/>
      <c r="AH94" s="279"/>
      <c r="AI94" s="279"/>
      <c r="AJ94" s="279"/>
      <c r="AK94" s="279"/>
      <c r="AL94" s="279"/>
      <c r="AM94" s="279"/>
      <c r="AN94" s="279"/>
      <c r="AO94" s="279"/>
      <c r="AP94" s="279"/>
      <c r="AQ94" s="279"/>
      <c r="AR94" s="279"/>
      <c r="AS94" s="279"/>
      <c r="AT94" s="279"/>
      <c r="AU94" s="279"/>
      <c r="AV94" s="279"/>
      <c r="AW94" s="279"/>
      <c r="AX94" s="279"/>
      <c r="AY94" s="279"/>
      <c r="AZ94" s="279"/>
      <c r="BA94" s="279"/>
      <c r="BB94" s="279"/>
      <c r="BC94" s="279"/>
      <c r="BD94" s="279"/>
      <c r="BE94" s="279"/>
      <c r="BF94" s="279"/>
      <c r="BG94" s="279"/>
      <c r="BH94" s="279"/>
      <c r="BI94" s="279"/>
      <c r="BJ94" s="279"/>
      <c r="BK94" s="279"/>
      <c r="BL94" s="279"/>
      <c r="BM94" s="279"/>
      <c r="BN94" s="279"/>
      <c r="BO94" s="279"/>
      <c r="BP94" s="279"/>
      <c r="BQ94" s="279"/>
      <c r="BR94" s="279"/>
      <c r="BS94" s="279"/>
      <c r="BT94" s="279"/>
      <c r="BU94" s="279"/>
      <c r="BV94" s="279"/>
      <c r="BW94" s="279"/>
      <c r="BX94" s="279"/>
      <c r="BY94" s="279"/>
      <c r="BZ94" s="279"/>
      <c r="CA94" s="279"/>
      <c r="CB94" s="279"/>
      <c r="CC94" s="279"/>
      <c r="CD94" s="279"/>
      <c r="CE94" s="279"/>
      <c r="CF94" s="279"/>
      <c r="CG94" s="279"/>
      <c r="CH94" s="279"/>
      <c r="CI94" s="279"/>
      <c r="CJ94" s="279"/>
      <c r="CK94" s="279"/>
      <c r="CL94" s="279"/>
      <c r="CM94" s="279"/>
      <c r="CN94" s="382"/>
    </row>
    <row r="95" ht="21.75" customHeight="true" x14ac:dyDescent="0.3">
      <c r="B95" s="361"/>
      <c r="C95" s="279"/>
      <c r="D95" s="279"/>
      <c r="E95" s="829"/>
      <c r="F95" s="829"/>
      <c r="G95" s="829"/>
      <c r="H95" s="285">
        <f t="shared" si="9"/>
        <v>10</v>
      </c>
      <c r="I95" s="1286" t="str">
        <f>'I. Stream &amp; Compound Data'!G271</f>
        <v/>
      </c>
      <c r="J95" s="1287" t="str">
        <f>'I. Stream &amp; Compound Data'!H271</f>
        <v/>
      </c>
      <c r="K95" s="1287" t="str">
        <f>'I. Stream &amp; Compound Data'!L271</f>
        <v/>
      </c>
      <c r="L95" s="1287" t="str">
        <f>IF('I. Stream &amp; Compound Data'!K271="","",'I. Stream &amp; Compound Data'!K271)</f>
        <v/>
      </c>
      <c r="M95" s="1287" t="str">
        <f>'I. Stream &amp; Compound Data'!M271</f>
        <v/>
      </c>
      <c r="N95" s="1287" t="str">
        <f>'I. Stream &amp; Compound Data'!P271</f>
        <v/>
      </c>
      <c r="O95" s="1287" t="str">
        <f>'I. Stream &amp; Compound Data'!Q271</f>
        <v/>
      </c>
      <c r="P95" s="1287" t="str">
        <f>IF('I. Stream &amp; Compound Data'!AM271="","",'I. Stream &amp; Compound Data'!AM271)</f>
        <v/>
      </c>
      <c r="Q95" s="1149" t="str">
        <f>IF('I. Stream &amp; Compound Data'!AO271="","",'I. Stream &amp; Compound Data'!AO271)</f>
        <v/>
      </c>
      <c r="R95" s="297"/>
      <c r="S95" s="298"/>
      <c r="T95" s="298"/>
      <c r="U95" s="299"/>
      <c r="V95" s="279"/>
      <c r="W95" s="279"/>
      <c r="X95" s="279"/>
      <c r="Y95" s="279"/>
      <c r="Z95" s="279"/>
      <c r="AA95" s="279"/>
      <c r="AB95" s="279"/>
      <c r="AC95" s="279"/>
      <c r="AD95" s="279"/>
      <c r="AE95" s="279"/>
      <c r="AF95" s="279"/>
      <c r="AG95" s="279"/>
      <c r="AH95" s="279"/>
      <c r="AI95" s="279"/>
      <c r="AJ95" s="279"/>
      <c r="AK95" s="279"/>
      <c r="AL95" s="279"/>
      <c r="AM95" s="279"/>
      <c r="AN95" s="279"/>
      <c r="AO95" s="279"/>
      <c r="AP95" s="279"/>
      <c r="AQ95" s="279"/>
      <c r="AR95" s="279"/>
      <c r="AS95" s="279"/>
      <c r="AT95" s="279"/>
      <c r="AU95" s="279"/>
      <c r="AV95" s="279"/>
      <c r="AW95" s="279"/>
      <c r="AX95" s="279"/>
      <c r="AY95" s="279"/>
      <c r="AZ95" s="279"/>
      <c r="BA95" s="279"/>
      <c r="BB95" s="279"/>
      <c r="BC95" s="279"/>
      <c r="BD95" s="279"/>
      <c r="BE95" s="279"/>
      <c r="BF95" s="279"/>
      <c r="BG95" s="279"/>
      <c r="BH95" s="279"/>
      <c r="BI95" s="279"/>
      <c r="BJ95" s="279"/>
      <c r="BK95" s="279"/>
      <c r="BL95" s="279"/>
      <c r="BM95" s="279"/>
      <c r="BN95" s="279"/>
      <c r="BO95" s="279"/>
      <c r="BP95" s="279"/>
      <c r="BQ95" s="279"/>
      <c r="BR95" s="279"/>
      <c r="BS95" s="279"/>
      <c r="BT95" s="279"/>
      <c r="BU95" s="279"/>
      <c r="BV95" s="279"/>
      <c r="BW95" s="279"/>
      <c r="BX95" s="279"/>
      <c r="BY95" s="279"/>
      <c r="BZ95" s="279"/>
      <c r="CA95" s="279"/>
      <c r="CB95" s="279"/>
      <c r="CC95" s="279"/>
      <c r="CD95" s="279"/>
      <c r="CE95" s="279"/>
      <c r="CF95" s="279"/>
      <c r="CG95" s="279"/>
      <c r="CH95" s="279"/>
      <c r="CI95" s="279"/>
      <c r="CJ95" s="279"/>
      <c r="CK95" s="279"/>
      <c r="CL95" s="279"/>
      <c r="CM95" s="279"/>
      <c r="CN95" s="382"/>
    </row>
    <row r="96" ht="21.75" customHeight="true" x14ac:dyDescent="0.3">
      <c r="B96" s="361"/>
      <c r="C96" s="279"/>
      <c r="D96" s="279"/>
      <c r="E96" s="829"/>
      <c r="F96" s="829"/>
      <c r="G96" s="829"/>
      <c r="H96" s="285">
        <f t="shared" si="9"/>
        <v>11</v>
      </c>
      <c r="I96" s="1286" t="str">
        <f>'I. Stream &amp; Compound Data'!G272</f>
        <v/>
      </c>
      <c r="J96" s="1287" t="str">
        <f>'I. Stream &amp; Compound Data'!H272</f>
        <v/>
      </c>
      <c r="K96" s="1287" t="str">
        <f>'I. Stream &amp; Compound Data'!L272</f>
        <v/>
      </c>
      <c r="L96" s="1287" t="str">
        <f>IF('I. Stream &amp; Compound Data'!K272="","",'I. Stream &amp; Compound Data'!K272)</f>
        <v/>
      </c>
      <c r="M96" s="1287" t="str">
        <f>'I. Stream &amp; Compound Data'!M272</f>
        <v/>
      </c>
      <c r="N96" s="1287" t="str">
        <f>'I. Stream &amp; Compound Data'!P272</f>
        <v/>
      </c>
      <c r="O96" s="1287" t="str">
        <f>'I. Stream &amp; Compound Data'!Q272</f>
        <v/>
      </c>
      <c r="P96" s="1287" t="str">
        <f>IF('I. Stream &amp; Compound Data'!AM272="","",'I. Stream &amp; Compound Data'!AM272)</f>
        <v/>
      </c>
      <c r="Q96" s="1149" t="str">
        <f>IF('I. Stream &amp; Compound Data'!AO272="","",'I. Stream &amp; Compound Data'!AO272)</f>
        <v/>
      </c>
      <c r="R96" s="297"/>
      <c r="S96" s="298"/>
      <c r="T96" s="298"/>
      <c r="U96" s="299"/>
      <c r="V96" s="279"/>
      <c r="W96" s="279"/>
      <c r="X96" s="279"/>
      <c r="Y96" s="279"/>
      <c r="Z96" s="279"/>
      <c r="AA96" s="279"/>
      <c r="AB96" s="279"/>
      <c r="AC96" s="279"/>
      <c r="AD96" s="279"/>
      <c r="AE96" s="279"/>
      <c r="AF96" s="279"/>
      <c r="AG96" s="279"/>
      <c r="AH96" s="279"/>
      <c r="AI96" s="279"/>
      <c r="AJ96" s="279"/>
      <c r="AK96" s="279"/>
      <c r="AL96" s="279"/>
      <c r="AM96" s="279"/>
      <c r="AN96" s="279"/>
      <c r="AO96" s="279"/>
      <c r="AP96" s="279"/>
      <c r="AQ96" s="279"/>
      <c r="AR96" s="279"/>
      <c r="AS96" s="279"/>
      <c r="AT96" s="279"/>
      <c r="AU96" s="279"/>
      <c r="AV96" s="279"/>
      <c r="AW96" s="279"/>
      <c r="AX96" s="279"/>
      <c r="AY96" s="279"/>
      <c r="AZ96" s="279"/>
      <c r="BA96" s="279"/>
      <c r="BB96" s="279"/>
      <c r="BC96" s="279"/>
      <c r="BD96" s="279"/>
      <c r="BE96" s="279"/>
      <c r="BF96" s="279"/>
      <c r="BG96" s="279"/>
      <c r="BH96" s="279"/>
      <c r="BI96" s="279"/>
      <c r="BJ96" s="279"/>
      <c r="BK96" s="279"/>
      <c r="BL96" s="279"/>
      <c r="BM96" s="279"/>
      <c r="BN96" s="279"/>
      <c r="BO96" s="279"/>
      <c r="BP96" s="279"/>
      <c r="BQ96" s="279"/>
      <c r="BR96" s="279"/>
      <c r="BS96" s="279"/>
      <c r="BT96" s="279"/>
      <c r="BU96" s="279"/>
      <c r="BV96" s="279"/>
      <c r="BW96" s="279"/>
      <c r="BX96" s="279"/>
      <c r="BY96" s="279"/>
      <c r="BZ96" s="279"/>
      <c r="CA96" s="279"/>
      <c r="CB96" s="279"/>
      <c r="CC96" s="279"/>
      <c r="CD96" s="279"/>
      <c r="CE96" s="279"/>
      <c r="CF96" s="279"/>
      <c r="CG96" s="279"/>
      <c r="CH96" s="279"/>
      <c r="CI96" s="279"/>
      <c r="CJ96" s="279"/>
      <c r="CK96" s="279"/>
      <c r="CL96" s="279"/>
      <c r="CM96" s="279"/>
      <c r="CN96" s="382"/>
    </row>
    <row r="97" ht="21.75" customHeight="true" x14ac:dyDescent="0.3">
      <c r="B97" s="361"/>
      <c r="C97" s="279"/>
      <c r="D97" s="279"/>
      <c r="E97" s="829"/>
      <c r="F97" s="829"/>
      <c r="G97" s="829"/>
      <c r="H97" s="285">
        <f t="shared" si="9"/>
        <v>12</v>
      </c>
      <c r="I97" s="1286" t="str">
        <f>'I. Stream &amp; Compound Data'!G273</f>
        <v/>
      </c>
      <c r="J97" s="1287" t="str">
        <f>'I. Stream &amp; Compound Data'!H273</f>
        <v/>
      </c>
      <c r="K97" s="1287" t="str">
        <f>'I. Stream &amp; Compound Data'!L273</f>
        <v/>
      </c>
      <c r="L97" s="1287" t="str">
        <f>IF('I. Stream &amp; Compound Data'!K273="","",'I. Stream &amp; Compound Data'!K273)</f>
        <v/>
      </c>
      <c r="M97" s="1287" t="str">
        <f>'I. Stream &amp; Compound Data'!M273</f>
        <v/>
      </c>
      <c r="N97" s="1287" t="str">
        <f>'I. Stream &amp; Compound Data'!P273</f>
        <v/>
      </c>
      <c r="O97" s="1287" t="str">
        <f>'I. Stream &amp; Compound Data'!Q273</f>
        <v/>
      </c>
      <c r="P97" s="1287" t="str">
        <f>IF('I. Stream &amp; Compound Data'!AM273="","",'I. Stream &amp; Compound Data'!AM273)</f>
        <v/>
      </c>
      <c r="Q97" s="1149" t="str">
        <f>IF('I. Stream &amp; Compound Data'!AO273="","",'I. Stream &amp; Compound Data'!AO273)</f>
        <v/>
      </c>
      <c r="R97" s="297"/>
      <c r="S97" s="298"/>
      <c r="T97" s="298"/>
      <c r="U97" s="299"/>
      <c r="V97" s="279"/>
      <c r="W97" s="279"/>
      <c r="X97" s="279"/>
      <c r="Y97" s="279"/>
      <c r="Z97" s="279"/>
      <c r="AA97" s="279"/>
      <c r="AB97" s="279"/>
      <c r="AC97" s="279"/>
      <c r="AD97" s="279"/>
      <c r="AE97" s="279"/>
      <c r="AF97" s="279"/>
      <c r="AG97" s="279"/>
      <c r="AH97" s="279"/>
      <c r="AI97" s="279"/>
      <c r="AJ97" s="279"/>
      <c r="AK97" s="279"/>
      <c r="AL97" s="279"/>
      <c r="AM97" s="279"/>
      <c r="AN97" s="279"/>
      <c r="AO97" s="279"/>
      <c r="AP97" s="279"/>
      <c r="AQ97" s="279"/>
      <c r="AR97" s="279"/>
      <c r="AS97" s="279"/>
      <c r="AT97" s="279"/>
      <c r="AU97" s="279"/>
      <c r="AV97" s="279"/>
      <c r="AW97" s="279"/>
      <c r="AX97" s="279"/>
      <c r="AY97" s="279"/>
      <c r="AZ97" s="279"/>
      <c r="BA97" s="279"/>
      <c r="BB97" s="279"/>
      <c r="BC97" s="279"/>
      <c r="BD97" s="279"/>
      <c r="BE97" s="279"/>
      <c r="BF97" s="279"/>
      <c r="BG97" s="279"/>
      <c r="BH97" s="279"/>
      <c r="BI97" s="279"/>
      <c r="BJ97" s="279"/>
      <c r="BK97" s="279"/>
      <c r="BL97" s="279"/>
      <c r="BM97" s="279"/>
      <c r="BN97" s="279"/>
      <c r="BO97" s="279"/>
      <c r="BP97" s="279"/>
      <c r="BQ97" s="279"/>
      <c r="BR97" s="279"/>
      <c r="BS97" s="279"/>
      <c r="BT97" s="279"/>
      <c r="BU97" s="279"/>
      <c r="BV97" s="279"/>
      <c r="BW97" s="279"/>
      <c r="BX97" s="279"/>
      <c r="BY97" s="279"/>
      <c r="BZ97" s="279"/>
      <c r="CA97" s="279"/>
      <c r="CB97" s="279"/>
      <c r="CC97" s="279"/>
      <c r="CD97" s="279"/>
      <c r="CE97" s="279"/>
      <c r="CF97" s="279"/>
      <c r="CG97" s="279"/>
      <c r="CH97" s="279"/>
      <c r="CI97" s="279"/>
      <c r="CJ97" s="279"/>
      <c r="CK97" s="279"/>
      <c r="CL97" s="279"/>
      <c r="CM97" s="279"/>
      <c r="CN97" s="382"/>
    </row>
    <row r="98" ht="21.75" customHeight="true" x14ac:dyDescent="0.3">
      <c r="B98" s="361"/>
      <c r="C98" s="279"/>
      <c r="D98" s="279"/>
      <c r="E98" s="829"/>
      <c r="F98" s="829"/>
      <c r="G98" s="829"/>
      <c r="H98" s="285">
        <f t="shared" si="9"/>
        <v>13</v>
      </c>
      <c r="I98" s="1286" t="str">
        <f>'I. Stream &amp; Compound Data'!G274</f>
        <v/>
      </c>
      <c r="J98" s="1287" t="str">
        <f>'I. Stream &amp; Compound Data'!H274</f>
        <v/>
      </c>
      <c r="K98" s="1287" t="str">
        <f>'I. Stream &amp; Compound Data'!L274</f>
        <v/>
      </c>
      <c r="L98" s="1287" t="str">
        <f>IF('I. Stream &amp; Compound Data'!K274="","",'I. Stream &amp; Compound Data'!K274)</f>
        <v/>
      </c>
      <c r="M98" s="1287" t="str">
        <f>'I. Stream &amp; Compound Data'!M274</f>
        <v/>
      </c>
      <c r="N98" s="1287" t="str">
        <f>'I. Stream &amp; Compound Data'!P274</f>
        <v/>
      </c>
      <c r="O98" s="1287" t="str">
        <f>'I. Stream &amp; Compound Data'!Q274</f>
        <v/>
      </c>
      <c r="P98" s="1287" t="str">
        <f>IF('I. Stream &amp; Compound Data'!AM274="","",'I. Stream &amp; Compound Data'!AM274)</f>
        <v/>
      </c>
      <c r="Q98" s="1149" t="str">
        <f>IF('I. Stream &amp; Compound Data'!AO274="","",'I. Stream &amp; Compound Data'!AO274)</f>
        <v/>
      </c>
      <c r="R98" s="297"/>
      <c r="S98" s="298"/>
      <c r="T98" s="298"/>
      <c r="U98" s="299"/>
      <c r="V98" s="279"/>
      <c r="W98" s="279"/>
      <c r="X98" s="279"/>
      <c r="Y98" s="279"/>
      <c r="Z98" s="279"/>
      <c r="AA98" s="279"/>
      <c r="AB98" s="279"/>
      <c r="AC98" s="279"/>
      <c r="AD98" s="279"/>
      <c r="AE98" s="279"/>
      <c r="AF98" s="279"/>
      <c r="AG98" s="279"/>
      <c r="AH98" s="279"/>
      <c r="AI98" s="279"/>
      <c r="AJ98" s="279"/>
      <c r="AK98" s="279"/>
      <c r="AL98" s="279"/>
      <c r="AM98" s="279"/>
      <c r="AN98" s="279"/>
      <c r="AO98" s="279"/>
      <c r="AP98" s="279"/>
      <c r="AQ98" s="279"/>
      <c r="AR98" s="279"/>
      <c r="AS98" s="279"/>
      <c r="AT98" s="279"/>
      <c r="AU98" s="279"/>
      <c r="AV98" s="279"/>
      <c r="AW98" s="279"/>
      <c r="AX98" s="279"/>
      <c r="AY98" s="279"/>
      <c r="AZ98" s="279"/>
      <c r="BA98" s="279"/>
      <c r="BB98" s="279"/>
      <c r="BC98" s="279"/>
      <c r="BD98" s="279"/>
      <c r="BE98" s="279"/>
      <c r="BF98" s="279"/>
      <c r="BG98" s="279"/>
      <c r="BH98" s="279"/>
      <c r="BI98" s="279"/>
      <c r="BJ98" s="279"/>
      <c r="BK98" s="279"/>
      <c r="BL98" s="279"/>
      <c r="BM98" s="279"/>
      <c r="BN98" s="279"/>
      <c r="BO98" s="279"/>
      <c r="BP98" s="279"/>
      <c r="BQ98" s="279"/>
      <c r="BR98" s="279"/>
      <c r="BS98" s="279"/>
      <c r="BT98" s="279"/>
      <c r="BU98" s="279"/>
      <c r="BV98" s="279"/>
      <c r="BW98" s="279"/>
      <c r="BX98" s="279"/>
      <c r="BY98" s="279"/>
      <c r="BZ98" s="279"/>
      <c r="CA98" s="279"/>
      <c r="CB98" s="279"/>
      <c r="CC98" s="279"/>
      <c r="CD98" s="279"/>
      <c r="CE98" s="279"/>
      <c r="CF98" s="279"/>
      <c r="CG98" s="279"/>
      <c r="CH98" s="279"/>
      <c r="CI98" s="279"/>
      <c r="CJ98" s="279"/>
      <c r="CK98" s="279"/>
      <c r="CL98" s="279"/>
      <c r="CM98" s="279"/>
      <c r="CN98" s="382"/>
    </row>
    <row r="99" ht="21.75" customHeight="true" x14ac:dyDescent="0.3">
      <c r="B99" s="361"/>
      <c r="C99" s="279"/>
      <c r="D99" s="279"/>
      <c r="E99" s="829"/>
      <c r="F99" s="829"/>
      <c r="G99" s="829"/>
      <c r="H99" s="285">
        <f t="shared" si="9"/>
        <v>14</v>
      </c>
      <c r="I99" s="1286" t="str">
        <f>'I. Stream &amp; Compound Data'!G275</f>
        <v/>
      </c>
      <c r="J99" s="1287" t="str">
        <f>'I. Stream &amp; Compound Data'!H275</f>
        <v/>
      </c>
      <c r="K99" s="1287" t="str">
        <f>'I. Stream &amp; Compound Data'!L275</f>
        <v/>
      </c>
      <c r="L99" s="1287" t="str">
        <f>IF('I. Stream &amp; Compound Data'!K275="","",'I. Stream &amp; Compound Data'!K275)</f>
        <v/>
      </c>
      <c r="M99" s="1287" t="str">
        <f>'I. Stream &amp; Compound Data'!M275</f>
        <v/>
      </c>
      <c r="N99" s="1287" t="str">
        <f>'I. Stream &amp; Compound Data'!P275</f>
        <v/>
      </c>
      <c r="O99" s="1287" t="str">
        <f>'I. Stream &amp; Compound Data'!Q275</f>
        <v/>
      </c>
      <c r="P99" s="1287" t="str">
        <f>IF('I. Stream &amp; Compound Data'!AM275="","",'I. Stream &amp; Compound Data'!AM275)</f>
        <v/>
      </c>
      <c r="Q99" s="1149" t="str">
        <f>IF('I. Stream &amp; Compound Data'!AO275="","",'I. Stream &amp; Compound Data'!AO275)</f>
        <v/>
      </c>
      <c r="R99" s="297"/>
      <c r="S99" s="298"/>
      <c r="T99" s="298"/>
      <c r="U99" s="299"/>
      <c r="V99" s="279"/>
      <c r="W99" s="279"/>
      <c r="X99" s="279"/>
      <c r="Y99" s="279"/>
      <c r="Z99" s="279"/>
      <c r="AA99" s="279"/>
      <c r="AB99" s="279"/>
      <c r="AC99" s="279"/>
      <c r="AD99" s="279"/>
      <c r="AE99" s="279"/>
      <c r="AF99" s="279"/>
      <c r="AG99" s="279"/>
      <c r="AH99" s="279"/>
      <c r="AI99" s="279"/>
      <c r="AJ99" s="279"/>
      <c r="AK99" s="279"/>
      <c r="AL99" s="279"/>
      <c r="AM99" s="279"/>
      <c r="AN99" s="279"/>
      <c r="AO99" s="279"/>
      <c r="AP99" s="279"/>
      <c r="AQ99" s="279"/>
      <c r="AR99" s="279"/>
      <c r="AS99" s="279"/>
      <c r="AT99" s="279"/>
      <c r="AU99" s="279"/>
      <c r="AV99" s="279"/>
      <c r="AW99" s="279"/>
      <c r="AX99" s="279"/>
      <c r="AY99" s="279"/>
      <c r="AZ99" s="279"/>
      <c r="BA99" s="279"/>
      <c r="BB99" s="279"/>
      <c r="BC99" s="279"/>
      <c r="BD99" s="279"/>
      <c r="BE99" s="279"/>
      <c r="BF99" s="279"/>
      <c r="BG99" s="279"/>
      <c r="BH99" s="279"/>
      <c r="BI99" s="279"/>
      <c r="BJ99" s="279"/>
      <c r="BK99" s="279"/>
      <c r="BL99" s="279"/>
      <c r="BM99" s="279"/>
      <c r="BN99" s="279"/>
      <c r="BO99" s="279"/>
      <c r="BP99" s="279"/>
      <c r="BQ99" s="279"/>
      <c r="BR99" s="279"/>
      <c r="BS99" s="279"/>
      <c r="BT99" s="279"/>
      <c r="BU99" s="279"/>
      <c r="BV99" s="279"/>
      <c r="BW99" s="279"/>
      <c r="BX99" s="279"/>
      <c r="BY99" s="279"/>
      <c r="BZ99" s="279"/>
      <c r="CA99" s="279"/>
      <c r="CB99" s="279"/>
      <c r="CC99" s="279"/>
      <c r="CD99" s="279"/>
      <c r="CE99" s="279"/>
      <c r="CF99" s="279"/>
      <c r="CG99" s="279"/>
      <c r="CH99" s="279"/>
      <c r="CI99" s="279"/>
      <c r="CJ99" s="279"/>
      <c r="CK99" s="279"/>
      <c r="CL99" s="279"/>
      <c r="CM99" s="279"/>
      <c r="CN99" s="382"/>
    </row>
    <row r="100" ht="21.75" customHeight="true" x14ac:dyDescent="0.3">
      <c r="B100" s="361"/>
      <c r="C100" s="279"/>
      <c r="D100" s="279"/>
      <c r="E100" s="829"/>
      <c r="F100" s="829"/>
      <c r="G100" s="829"/>
      <c r="H100" s="285">
        <f t="shared" si="9"/>
        <v>15</v>
      </c>
      <c r="I100" s="1286" t="str">
        <f>'I. Stream &amp; Compound Data'!G276</f>
        <v/>
      </c>
      <c r="J100" s="1287" t="str">
        <f>'I. Stream &amp; Compound Data'!H276</f>
        <v/>
      </c>
      <c r="K100" s="1287" t="str">
        <f>'I. Stream &amp; Compound Data'!L276</f>
        <v/>
      </c>
      <c r="L100" s="1287" t="str">
        <f>IF('I. Stream &amp; Compound Data'!K276="","",'I. Stream &amp; Compound Data'!K276)</f>
        <v/>
      </c>
      <c r="M100" s="1287" t="str">
        <f>'I. Stream &amp; Compound Data'!M276</f>
        <v/>
      </c>
      <c r="N100" s="1287" t="str">
        <f>'I. Stream &amp; Compound Data'!P276</f>
        <v/>
      </c>
      <c r="O100" s="1287" t="str">
        <f>'I. Stream &amp; Compound Data'!Q276</f>
        <v/>
      </c>
      <c r="P100" s="1287" t="str">
        <f>IF('I. Stream &amp; Compound Data'!AM276="","",'I. Stream &amp; Compound Data'!AM276)</f>
        <v/>
      </c>
      <c r="Q100" s="1149" t="str">
        <f>IF('I. Stream &amp; Compound Data'!AO276="","",'I. Stream &amp; Compound Data'!AO276)</f>
        <v/>
      </c>
      <c r="R100" s="297"/>
      <c r="S100" s="298"/>
      <c r="T100" s="298"/>
      <c r="U100" s="299"/>
      <c r="V100" s="279"/>
      <c r="W100" s="279"/>
      <c r="X100" s="279"/>
      <c r="Y100" s="279"/>
      <c r="Z100" s="279"/>
      <c r="AA100" s="279"/>
      <c r="AB100" s="279"/>
      <c r="AC100" s="279"/>
      <c r="AD100" s="279"/>
      <c r="AE100" s="279"/>
      <c r="AF100" s="279"/>
      <c r="AG100" s="279"/>
      <c r="AH100" s="279"/>
      <c r="AI100" s="279"/>
      <c r="AJ100" s="279"/>
      <c r="AK100" s="279"/>
      <c r="AL100" s="279"/>
      <c r="AM100" s="279"/>
      <c r="AN100" s="279"/>
      <c r="AO100" s="279"/>
      <c r="AP100" s="279"/>
      <c r="AQ100" s="279"/>
      <c r="AR100" s="279"/>
      <c r="AS100" s="279"/>
      <c r="AT100" s="279"/>
      <c r="AU100" s="279"/>
      <c r="AV100" s="279"/>
      <c r="AW100" s="279"/>
      <c r="AX100" s="279"/>
      <c r="AY100" s="279"/>
      <c r="AZ100" s="279"/>
      <c r="BA100" s="279"/>
      <c r="BB100" s="279"/>
      <c r="BC100" s="279"/>
      <c r="BD100" s="279"/>
      <c r="BE100" s="279"/>
      <c r="BF100" s="279"/>
      <c r="BG100" s="279"/>
      <c r="BH100" s="279"/>
      <c r="BI100" s="279"/>
      <c r="BJ100" s="279"/>
      <c r="BK100" s="279"/>
      <c r="BL100" s="279"/>
      <c r="BM100" s="279"/>
      <c r="BN100" s="279"/>
      <c r="BO100" s="279"/>
      <c r="BP100" s="279"/>
      <c r="BQ100" s="279"/>
      <c r="BR100" s="279"/>
      <c r="BS100" s="279"/>
      <c r="BT100" s="279"/>
      <c r="BU100" s="279"/>
      <c r="BV100" s="279"/>
      <c r="BW100" s="279"/>
      <c r="BX100" s="279"/>
      <c r="BY100" s="279"/>
      <c r="BZ100" s="279"/>
      <c r="CA100" s="279"/>
      <c r="CB100" s="279"/>
      <c r="CC100" s="279"/>
      <c r="CD100" s="279"/>
      <c r="CE100" s="279"/>
      <c r="CF100" s="279"/>
      <c r="CG100" s="279"/>
      <c r="CH100" s="279"/>
      <c r="CI100" s="279"/>
      <c r="CJ100" s="279"/>
      <c r="CK100" s="279"/>
      <c r="CL100" s="279"/>
      <c r="CM100" s="279"/>
      <c r="CN100" s="382"/>
    </row>
    <row r="101" ht="21.75" customHeight="true" x14ac:dyDescent="0.3">
      <c r="B101" s="361"/>
      <c r="C101" s="279"/>
      <c r="D101" s="279"/>
      <c r="E101" s="829"/>
      <c r="F101" s="829"/>
      <c r="G101" s="829"/>
      <c r="H101" s="285">
        <f t="shared" si="9"/>
        <v>16</v>
      </c>
      <c r="I101" s="1286" t="str">
        <f>'I. Stream &amp; Compound Data'!G277</f>
        <v/>
      </c>
      <c r="J101" s="1287" t="str">
        <f>'I. Stream &amp; Compound Data'!H277</f>
        <v/>
      </c>
      <c r="K101" s="1287" t="str">
        <f>'I. Stream &amp; Compound Data'!L277</f>
        <v/>
      </c>
      <c r="L101" s="1287" t="str">
        <f>IF('I. Stream &amp; Compound Data'!K277="","",'I. Stream &amp; Compound Data'!K277)</f>
        <v/>
      </c>
      <c r="M101" s="1287" t="str">
        <f>'I. Stream &amp; Compound Data'!M277</f>
        <v/>
      </c>
      <c r="N101" s="1287" t="str">
        <f>'I. Stream &amp; Compound Data'!P277</f>
        <v/>
      </c>
      <c r="O101" s="1287" t="str">
        <f>'I. Stream &amp; Compound Data'!Q277</f>
        <v/>
      </c>
      <c r="P101" s="1287" t="str">
        <f>IF('I. Stream &amp; Compound Data'!AM277="","",'I. Stream &amp; Compound Data'!AM277)</f>
        <v/>
      </c>
      <c r="Q101" s="1149" t="str">
        <f>IF('I. Stream &amp; Compound Data'!AO277="","",'I. Stream &amp; Compound Data'!AO277)</f>
        <v/>
      </c>
      <c r="R101" s="297"/>
      <c r="S101" s="298"/>
      <c r="T101" s="298"/>
      <c r="U101" s="299"/>
      <c r="V101" s="279"/>
      <c r="W101" s="279"/>
      <c r="X101" s="279"/>
      <c r="Y101" s="279"/>
      <c r="Z101" s="279"/>
      <c r="AA101" s="279"/>
      <c r="AB101" s="279"/>
      <c r="AC101" s="279"/>
      <c r="AD101" s="279"/>
      <c r="AE101" s="279"/>
      <c r="AF101" s="279"/>
      <c r="AG101" s="279"/>
      <c r="AH101" s="279"/>
      <c r="AI101" s="279"/>
      <c r="AJ101" s="279"/>
      <c r="AK101" s="279"/>
      <c r="AL101" s="279"/>
      <c r="AM101" s="279"/>
      <c r="AN101" s="279"/>
      <c r="AO101" s="279"/>
      <c r="AP101" s="279"/>
      <c r="AQ101" s="279"/>
      <c r="AR101" s="279"/>
      <c r="AS101" s="279"/>
      <c r="AT101" s="279"/>
      <c r="AU101" s="279"/>
      <c r="AV101" s="279"/>
      <c r="AW101" s="279"/>
      <c r="AX101" s="279"/>
      <c r="AY101" s="279"/>
      <c r="AZ101" s="279"/>
      <c r="BA101" s="279"/>
      <c r="BB101" s="279"/>
      <c r="BC101" s="279"/>
      <c r="BD101" s="279"/>
      <c r="BE101" s="279"/>
      <c r="BF101" s="279"/>
      <c r="BG101" s="279"/>
      <c r="BH101" s="279"/>
      <c r="BI101" s="279"/>
      <c r="BJ101" s="279"/>
      <c r="BK101" s="279"/>
      <c r="BL101" s="279"/>
      <c r="BM101" s="279"/>
      <c r="BN101" s="279"/>
      <c r="BO101" s="279"/>
      <c r="BP101" s="279"/>
      <c r="BQ101" s="279"/>
      <c r="BR101" s="279"/>
      <c r="BS101" s="279"/>
      <c r="BT101" s="279"/>
      <c r="BU101" s="279"/>
      <c r="BV101" s="279"/>
      <c r="BW101" s="279"/>
      <c r="BX101" s="279"/>
      <c r="BY101" s="279"/>
      <c r="BZ101" s="279"/>
      <c r="CA101" s="279"/>
      <c r="CB101" s="279"/>
      <c r="CC101" s="279"/>
      <c r="CD101" s="279"/>
      <c r="CE101" s="279"/>
      <c r="CF101" s="279"/>
      <c r="CG101" s="279"/>
      <c r="CH101" s="279"/>
      <c r="CI101" s="279"/>
      <c r="CJ101" s="279"/>
      <c r="CK101" s="279"/>
      <c r="CL101" s="279"/>
      <c r="CM101" s="279"/>
      <c r="CN101" s="382"/>
    </row>
    <row r="102" ht="21.75" customHeight="true" x14ac:dyDescent="0.3">
      <c r="B102" s="361"/>
      <c r="C102" s="279"/>
      <c r="D102" s="279"/>
      <c r="E102" s="829"/>
      <c r="F102" s="829"/>
      <c r="G102" s="829"/>
      <c r="H102" s="285">
        <f t="shared" si="9"/>
        <v>17</v>
      </c>
      <c r="I102" s="1286" t="str">
        <f>'I. Stream &amp; Compound Data'!G278</f>
        <v/>
      </c>
      <c r="J102" s="1287" t="str">
        <f>'I. Stream &amp; Compound Data'!H278</f>
        <v/>
      </c>
      <c r="K102" s="1287" t="str">
        <f>'I. Stream &amp; Compound Data'!L278</f>
        <v/>
      </c>
      <c r="L102" s="1287" t="str">
        <f>IF('I. Stream &amp; Compound Data'!K278="","",'I. Stream &amp; Compound Data'!K278)</f>
        <v/>
      </c>
      <c r="M102" s="1287" t="str">
        <f>'I. Stream &amp; Compound Data'!M278</f>
        <v/>
      </c>
      <c r="N102" s="1287" t="str">
        <f>'I. Stream &amp; Compound Data'!P278</f>
        <v/>
      </c>
      <c r="O102" s="1287" t="str">
        <f>'I. Stream &amp; Compound Data'!Q278</f>
        <v/>
      </c>
      <c r="P102" s="1287" t="str">
        <f>IF('I. Stream &amp; Compound Data'!AM278="","",'I. Stream &amp; Compound Data'!AM278)</f>
        <v/>
      </c>
      <c r="Q102" s="1149" t="str">
        <f>IF('I. Stream &amp; Compound Data'!AO278="","",'I. Stream &amp; Compound Data'!AO278)</f>
        <v/>
      </c>
      <c r="R102" s="297"/>
      <c r="S102" s="298"/>
      <c r="T102" s="298"/>
      <c r="U102" s="299"/>
      <c r="V102" s="279"/>
      <c r="W102" s="279"/>
      <c r="X102" s="279"/>
      <c r="Y102" s="279"/>
      <c r="Z102" s="279"/>
      <c r="AA102" s="279"/>
      <c r="AB102" s="279"/>
      <c r="AC102" s="279"/>
      <c r="AD102" s="279"/>
      <c r="AE102" s="279"/>
      <c r="AF102" s="279"/>
      <c r="AG102" s="279"/>
      <c r="AH102" s="279"/>
      <c r="AI102" s="279"/>
      <c r="AJ102" s="279"/>
      <c r="AK102" s="279"/>
      <c r="AL102" s="279"/>
      <c r="AM102" s="279"/>
      <c r="AN102" s="279"/>
      <c r="AO102" s="279"/>
      <c r="AP102" s="279"/>
      <c r="AQ102" s="279"/>
      <c r="AR102" s="279"/>
      <c r="AS102" s="279"/>
      <c r="AT102" s="279"/>
      <c r="AU102" s="279"/>
      <c r="AV102" s="279"/>
      <c r="AW102" s="279"/>
      <c r="AX102" s="279"/>
      <c r="AY102" s="279"/>
      <c r="AZ102" s="279"/>
      <c r="BA102" s="279"/>
      <c r="BB102" s="279"/>
      <c r="BC102" s="279"/>
      <c r="BD102" s="279"/>
      <c r="BE102" s="279"/>
      <c r="BF102" s="279"/>
      <c r="BG102" s="279"/>
      <c r="BH102" s="279"/>
      <c r="BI102" s="279"/>
      <c r="BJ102" s="279"/>
      <c r="BK102" s="279"/>
      <c r="BL102" s="279"/>
      <c r="BM102" s="279"/>
      <c r="BN102" s="279"/>
      <c r="BO102" s="279"/>
      <c r="BP102" s="279"/>
      <c r="BQ102" s="279"/>
      <c r="BR102" s="279"/>
      <c r="BS102" s="279"/>
      <c r="BT102" s="279"/>
      <c r="BU102" s="279"/>
      <c r="BV102" s="279"/>
      <c r="BW102" s="279"/>
      <c r="BX102" s="279"/>
      <c r="BY102" s="279"/>
      <c r="BZ102" s="279"/>
      <c r="CA102" s="279"/>
      <c r="CB102" s="279"/>
      <c r="CC102" s="279"/>
      <c r="CD102" s="279"/>
      <c r="CE102" s="279"/>
      <c r="CF102" s="279"/>
      <c r="CG102" s="279"/>
      <c r="CH102" s="279"/>
      <c r="CI102" s="279"/>
      <c r="CJ102" s="279"/>
      <c r="CK102" s="279"/>
      <c r="CL102" s="279"/>
      <c r="CM102" s="279"/>
      <c r="CN102" s="382"/>
    </row>
    <row r="103" ht="21.75" customHeight="true" x14ac:dyDescent="0.3">
      <c r="B103" s="361"/>
      <c r="C103" s="279"/>
      <c r="D103" s="279"/>
      <c r="E103" s="829"/>
      <c r="F103" s="829"/>
      <c r="G103" s="829"/>
      <c r="H103" s="285">
        <f t="shared" si="9"/>
        <v>18</v>
      </c>
      <c r="I103" s="1286" t="str">
        <f>'I. Stream &amp; Compound Data'!G279</f>
        <v/>
      </c>
      <c r="J103" s="1287" t="str">
        <f>'I. Stream &amp; Compound Data'!H279</f>
        <v/>
      </c>
      <c r="K103" s="1287" t="str">
        <f>'I. Stream &amp; Compound Data'!L279</f>
        <v/>
      </c>
      <c r="L103" s="1287" t="str">
        <f>IF('I. Stream &amp; Compound Data'!K279="","",'I. Stream &amp; Compound Data'!K279)</f>
        <v/>
      </c>
      <c r="M103" s="1287" t="str">
        <f>'I. Stream &amp; Compound Data'!M279</f>
        <v/>
      </c>
      <c r="N103" s="1287" t="str">
        <f>'I. Stream &amp; Compound Data'!P279</f>
        <v/>
      </c>
      <c r="O103" s="1287" t="str">
        <f>'I. Stream &amp; Compound Data'!Q279</f>
        <v/>
      </c>
      <c r="P103" s="1287" t="str">
        <f>IF('I. Stream &amp; Compound Data'!AM279="","",'I. Stream &amp; Compound Data'!AM279)</f>
        <v/>
      </c>
      <c r="Q103" s="1149" t="str">
        <f>IF('I. Stream &amp; Compound Data'!AO279="","",'I. Stream &amp; Compound Data'!AO279)</f>
        <v/>
      </c>
      <c r="R103" s="297"/>
      <c r="S103" s="298"/>
      <c r="T103" s="298"/>
      <c r="U103" s="299"/>
      <c r="V103" s="279"/>
      <c r="W103" s="279"/>
      <c r="X103" s="279"/>
      <c r="Y103" s="279"/>
      <c r="Z103" s="279"/>
      <c r="AA103" s="279"/>
      <c r="AB103" s="279"/>
      <c r="AC103" s="279"/>
      <c r="AD103" s="279"/>
      <c r="AE103" s="279"/>
      <c r="AF103" s="279"/>
      <c r="AG103" s="279"/>
      <c r="AH103" s="279"/>
      <c r="AI103" s="279"/>
      <c r="AJ103" s="279"/>
      <c r="AK103" s="279"/>
      <c r="AL103" s="279"/>
      <c r="AM103" s="279"/>
      <c r="AN103" s="279"/>
      <c r="AO103" s="279"/>
      <c r="AP103" s="279"/>
      <c r="AQ103" s="279"/>
      <c r="AR103" s="279"/>
      <c r="AS103" s="279"/>
      <c r="AT103" s="279"/>
      <c r="AU103" s="279"/>
      <c r="AV103" s="279"/>
      <c r="AW103" s="279"/>
      <c r="AX103" s="279"/>
      <c r="AY103" s="279"/>
      <c r="AZ103" s="279"/>
      <c r="BA103" s="279"/>
      <c r="BB103" s="279"/>
      <c r="BC103" s="279"/>
      <c r="BD103" s="279"/>
      <c r="BE103" s="279"/>
      <c r="BF103" s="279"/>
      <c r="BG103" s="279"/>
      <c r="BH103" s="279"/>
      <c r="BI103" s="279"/>
      <c r="BJ103" s="279"/>
      <c r="BK103" s="279"/>
      <c r="BL103" s="279"/>
      <c r="BM103" s="279"/>
      <c r="BN103" s="279"/>
      <c r="BO103" s="279"/>
      <c r="BP103" s="279"/>
      <c r="BQ103" s="279"/>
      <c r="BR103" s="279"/>
      <c r="BS103" s="279"/>
      <c r="BT103" s="279"/>
      <c r="BU103" s="279"/>
      <c r="BV103" s="279"/>
      <c r="BW103" s="279"/>
      <c r="BX103" s="279"/>
      <c r="BY103" s="279"/>
      <c r="BZ103" s="279"/>
      <c r="CA103" s="279"/>
      <c r="CB103" s="279"/>
      <c r="CC103" s="279"/>
      <c r="CD103" s="279"/>
      <c r="CE103" s="279"/>
      <c r="CF103" s="279"/>
      <c r="CG103" s="279"/>
      <c r="CH103" s="279"/>
      <c r="CI103" s="279"/>
      <c r="CJ103" s="279"/>
      <c r="CK103" s="279"/>
      <c r="CL103" s="279"/>
      <c r="CM103" s="279"/>
      <c r="CN103" s="382"/>
    </row>
    <row r="104" ht="21.75" customHeight="true" x14ac:dyDescent="0.3">
      <c r="B104" s="361"/>
      <c r="C104" s="279"/>
      <c r="D104" s="279"/>
      <c r="E104" s="829"/>
      <c r="F104" s="829"/>
      <c r="G104" s="829"/>
      <c r="H104" s="285">
        <f t="shared" si="9"/>
        <v>19</v>
      </c>
      <c r="I104" s="1286" t="str">
        <f>'I. Stream &amp; Compound Data'!G280</f>
        <v/>
      </c>
      <c r="J104" s="1287" t="str">
        <f>'I. Stream &amp; Compound Data'!H280</f>
        <v/>
      </c>
      <c r="K104" s="1287" t="str">
        <f>'I. Stream &amp; Compound Data'!L280</f>
        <v/>
      </c>
      <c r="L104" s="1287" t="str">
        <f>IF('I. Stream &amp; Compound Data'!K280="","",'I. Stream &amp; Compound Data'!K280)</f>
        <v/>
      </c>
      <c r="M104" s="1287" t="str">
        <f>'I. Stream &amp; Compound Data'!M280</f>
        <v/>
      </c>
      <c r="N104" s="1287" t="str">
        <f>'I. Stream &amp; Compound Data'!P280</f>
        <v/>
      </c>
      <c r="O104" s="1287" t="str">
        <f>'I. Stream &amp; Compound Data'!Q280</f>
        <v/>
      </c>
      <c r="P104" s="1287" t="str">
        <f>IF('I. Stream &amp; Compound Data'!AM280="","",'I. Stream &amp; Compound Data'!AM280)</f>
        <v/>
      </c>
      <c r="Q104" s="1149" t="str">
        <f>IF('I. Stream &amp; Compound Data'!AO280="","",'I. Stream &amp; Compound Data'!AO280)</f>
        <v/>
      </c>
      <c r="R104" s="297"/>
      <c r="S104" s="298"/>
      <c r="T104" s="298"/>
      <c r="U104" s="299"/>
      <c r="V104" s="279"/>
      <c r="W104" s="279"/>
      <c r="X104" s="279"/>
      <c r="Y104" s="279"/>
      <c r="Z104" s="279"/>
      <c r="AA104" s="279"/>
      <c r="AB104" s="279"/>
      <c r="AC104" s="279"/>
      <c r="AD104" s="279"/>
      <c r="AE104" s="279"/>
      <c r="AF104" s="279"/>
      <c r="AG104" s="279"/>
      <c r="AH104" s="279"/>
      <c r="AI104" s="279"/>
      <c r="AJ104" s="279"/>
      <c r="AK104" s="279"/>
      <c r="AL104" s="279"/>
      <c r="AM104" s="279"/>
      <c r="AN104" s="279"/>
      <c r="AO104" s="279"/>
      <c r="AP104" s="279"/>
      <c r="AQ104" s="279"/>
      <c r="AR104" s="279"/>
      <c r="AS104" s="279"/>
      <c r="AT104" s="279"/>
      <c r="AU104" s="279"/>
      <c r="AV104" s="279"/>
      <c r="AW104" s="279"/>
      <c r="AX104" s="279"/>
      <c r="AY104" s="279"/>
      <c r="AZ104" s="279"/>
      <c r="BA104" s="279"/>
      <c r="BB104" s="279"/>
      <c r="BC104" s="279"/>
      <c r="BD104" s="279"/>
      <c r="BE104" s="279"/>
      <c r="BF104" s="279"/>
      <c r="BG104" s="279"/>
      <c r="BH104" s="279"/>
      <c r="BI104" s="279"/>
      <c r="BJ104" s="279"/>
      <c r="BK104" s="279"/>
      <c r="BL104" s="279"/>
      <c r="BM104" s="279"/>
      <c r="BN104" s="279"/>
      <c r="BO104" s="279"/>
      <c r="BP104" s="279"/>
      <c r="BQ104" s="279"/>
      <c r="BR104" s="279"/>
      <c r="BS104" s="279"/>
      <c r="BT104" s="279"/>
      <c r="BU104" s="279"/>
      <c r="BV104" s="279"/>
      <c r="BW104" s="279"/>
      <c r="BX104" s="279"/>
      <c r="BY104" s="279"/>
      <c r="BZ104" s="279"/>
      <c r="CA104" s="279"/>
      <c r="CB104" s="279"/>
      <c r="CC104" s="279"/>
      <c r="CD104" s="279"/>
      <c r="CE104" s="279"/>
      <c r="CF104" s="279"/>
      <c r="CG104" s="279"/>
      <c r="CH104" s="279"/>
      <c r="CI104" s="279"/>
      <c r="CJ104" s="279"/>
      <c r="CK104" s="279"/>
      <c r="CL104" s="279"/>
      <c r="CM104" s="279"/>
      <c r="CN104" s="382"/>
    </row>
    <row r="105" ht="21.75" customHeight="true" x14ac:dyDescent="0.3">
      <c r="B105" s="361"/>
      <c r="C105" s="279"/>
      <c r="D105" s="279"/>
      <c r="E105" s="829"/>
      <c r="F105" s="829"/>
      <c r="G105" s="829"/>
      <c r="H105" s="285">
        <f t="shared" si="9"/>
        <v>20</v>
      </c>
      <c r="I105" s="1286" t="str">
        <f>'I. Stream &amp; Compound Data'!G281</f>
        <v/>
      </c>
      <c r="J105" s="1287" t="str">
        <f>'I. Stream &amp; Compound Data'!H281</f>
        <v/>
      </c>
      <c r="K105" s="1287" t="str">
        <f>'I. Stream &amp; Compound Data'!L281</f>
        <v/>
      </c>
      <c r="L105" s="1287" t="str">
        <f>IF('I. Stream &amp; Compound Data'!K281="","",'I. Stream &amp; Compound Data'!K281)</f>
        <v/>
      </c>
      <c r="M105" s="1287" t="str">
        <f>'I. Stream &amp; Compound Data'!M281</f>
        <v/>
      </c>
      <c r="N105" s="1287" t="str">
        <f>'I. Stream &amp; Compound Data'!P281</f>
        <v/>
      </c>
      <c r="O105" s="1287" t="str">
        <f>'I. Stream &amp; Compound Data'!Q281</f>
        <v/>
      </c>
      <c r="P105" s="1287" t="str">
        <f>IF('I. Stream &amp; Compound Data'!AM281="","",'I. Stream &amp; Compound Data'!AM281)</f>
        <v/>
      </c>
      <c r="Q105" s="1149" t="str">
        <f>IF('I. Stream &amp; Compound Data'!AO281="","",'I. Stream &amp; Compound Data'!AO281)</f>
        <v/>
      </c>
      <c r="R105" s="297"/>
      <c r="S105" s="298"/>
      <c r="T105" s="298"/>
      <c r="U105" s="299"/>
      <c r="V105" s="279"/>
      <c r="W105" s="279"/>
      <c r="X105" s="279"/>
      <c r="Y105" s="279"/>
      <c r="Z105" s="279"/>
      <c r="AA105" s="279"/>
      <c r="AB105" s="279"/>
      <c r="AC105" s="279"/>
      <c r="AD105" s="279"/>
      <c r="AE105" s="279"/>
      <c r="AF105" s="279"/>
      <c r="AG105" s="279"/>
      <c r="AH105" s="279"/>
      <c r="AI105" s="279"/>
      <c r="AJ105" s="279"/>
      <c r="AK105" s="279"/>
      <c r="AL105" s="279"/>
      <c r="AM105" s="279"/>
      <c r="AN105" s="279"/>
      <c r="AO105" s="279"/>
      <c r="AP105" s="279"/>
      <c r="AQ105" s="279"/>
      <c r="AR105" s="279"/>
      <c r="AS105" s="279"/>
      <c r="AT105" s="279"/>
      <c r="AU105" s="279"/>
      <c r="AV105" s="279"/>
      <c r="AW105" s="279"/>
      <c r="AX105" s="279"/>
      <c r="AY105" s="279"/>
      <c r="AZ105" s="279"/>
      <c r="BA105" s="279"/>
      <c r="BB105" s="279"/>
      <c r="BC105" s="279"/>
      <c r="BD105" s="279"/>
      <c r="BE105" s="279"/>
      <c r="BF105" s="279"/>
      <c r="BG105" s="279"/>
      <c r="BH105" s="279"/>
      <c r="BI105" s="279"/>
      <c r="BJ105" s="279"/>
      <c r="BK105" s="279"/>
      <c r="BL105" s="279"/>
      <c r="BM105" s="279"/>
      <c r="BN105" s="279"/>
      <c r="BO105" s="279"/>
      <c r="BP105" s="279"/>
      <c r="BQ105" s="279"/>
      <c r="BR105" s="279"/>
      <c r="BS105" s="279"/>
      <c r="BT105" s="279"/>
      <c r="BU105" s="279"/>
      <c r="BV105" s="279"/>
      <c r="BW105" s="279"/>
      <c r="BX105" s="279"/>
      <c r="BY105" s="279"/>
      <c r="BZ105" s="279"/>
      <c r="CA105" s="279"/>
      <c r="CB105" s="279"/>
      <c r="CC105" s="279"/>
      <c r="CD105" s="279"/>
      <c r="CE105" s="279"/>
      <c r="CF105" s="279"/>
      <c r="CG105" s="279"/>
      <c r="CH105" s="279"/>
      <c r="CI105" s="279"/>
      <c r="CJ105" s="279"/>
      <c r="CK105" s="279"/>
      <c r="CL105" s="279"/>
      <c r="CM105" s="279"/>
      <c r="CN105" s="382"/>
    </row>
    <row r="106" ht="21.75" customHeight="true" x14ac:dyDescent="0.3">
      <c r="B106" s="361"/>
      <c r="C106" s="279"/>
      <c r="D106" s="279"/>
      <c r="E106" s="829"/>
      <c r="F106" s="829"/>
      <c r="G106" s="829"/>
      <c r="H106" s="285">
        <f t="shared" si="9"/>
        <v>21</v>
      </c>
      <c r="I106" s="1286" t="str">
        <f>'I. Stream &amp; Compound Data'!G282</f>
        <v/>
      </c>
      <c r="J106" s="1287" t="str">
        <f>'I. Stream &amp; Compound Data'!H282</f>
        <v/>
      </c>
      <c r="K106" s="1287" t="str">
        <f>'I. Stream &amp; Compound Data'!L282</f>
        <v/>
      </c>
      <c r="L106" s="1287" t="str">
        <f>IF('I. Stream &amp; Compound Data'!K282="","",'I. Stream &amp; Compound Data'!K282)</f>
        <v/>
      </c>
      <c r="M106" s="1287" t="str">
        <f>'I. Stream &amp; Compound Data'!M282</f>
        <v/>
      </c>
      <c r="N106" s="1287" t="str">
        <f>'I. Stream &amp; Compound Data'!P282</f>
        <v/>
      </c>
      <c r="O106" s="1287" t="str">
        <f>'I. Stream &amp; Compound Data'!Q282</f>
        <v/>
      </c>
      <c r="P106" s="1287" t="str">
        <f>IF('I. Stream &amp; Compound Data'!AM282="","",'I. Stream &amp; Compound Data'!AM282)</f>
        <v/>
      </c>
      <c r="Q106" s="1149" t="str">
        <f>IF('I. Stream &amp; Compound Data'!AO282="","",'I. Stream &amp; Compound Data'!AO282)</f>
        <v/>
      </c>
      <c r="R106" s="297"/>
      <c r="S106" s="298"/>
      <c r="T106" s="298"/>
      <c r="U106" s="299"/>
      <c r="V106" s="279"/>
      <c r="W106" s="279"/>
      <c r="X106" s="279"/>
      <c r="Y106" s="279"/>
      <c r="Z106" s="279"/>
      <c r="AA106" s="279"/>
      <c r="AB106" s="279"/>
      <c r="AC106" s="279"/>
      <c r="AD106" s="279"/>
      <c r="AE106" s="279"/>
      <c r="AF106" s="279"/>
      <c r="AG106" s="279"/>
      <c r="AH106" s="279"/>
      <c r="AI106" s="279"/>
      <c r="AJ106" s="279"/>
      <c r="AK106" s="279"/>
      <c r="AL106" s="279"/>
      <c r="AM106" s="279"/>
      <c r="AN106" s="279"/>
      <c r="AO106" s="279"/>
      <c r="AP106" s="279"/>
      <c r="AQ106" s="279"/>
      <c r="AR106" s="279"/>
      <c r="AS106" s="279"/>
      <c r="AT106" s="279"/>
      <c r="AU106" s="279"/>
      <c r="AV106" s="279"/>
      <c r="AW106" s="279"/>
      <c r="AX106" s="279"/>
      <c r="AY106" s="279"/>
      <c r="AZ106" s="279"/>
      <c r="BA106" s="279"/>
      <c r="BB106" s="279"/>
      <c r="BC106" s="279"/>
      <c r="BD106" s="279"/>
      <c r="BE106" s="279"/>
      <c r="BF106" s="279"/>
      <c r="BG106" s="279"/>
      <c r="BH106" s="279"/>
      <c r="BI106" s="279"/>
      <c r="BJ106" s="279"/>
      <c r="BK106" s="279"/>
      <c r="BL106" s="279"/>
      <c r="BM106" s="279"/>
      <c r="BN106" s="279"/>
      <c r="BO106" s="279"/>
      <c r="BP106" s="279"/>
      <c r="BQ106" s="279"/>
      <c r="BR106" s="279"/>
      <c r="BS106" s="279"/>
      <c r="BT106" s="279"/>
      <c r="BU106" s="279"/>
      <c r="BV106" s="279"/>
      <c r="BW106" s="279"/>
      <c r="BX106" s="279"/>
      <c r="BY106" s="279"/>
      <c r="BZ106" s="279"/>
      <c r="CA106" s="279"/>
      <c r="CB106" s="279"/>
      <c r="CC106" s="279"/>
      <c r="CD106" s="279"/>
      <c r="CE106" s="279"/>
      <c r="CF106" s="279"/>
      <c r="CG106" s="279"/>
      <c r="CH106" s="279"/>
      <c r="CI106" s="279"/>
      <c r="CJ106" s="279"/>
      <c r="CK106" s="279"/>
      <c r="CL106" s="279"/>
      <c r="CM106" s="279"/>
      <c r="CN106" s="382"/>
    </row>
    <row r="107" ht="21.75" customHeight="true" x14ac:dyDescent="0.3">
      <c r="B107" s="361"/>
      <c r="C107" s="279"/>
      <c r="D107" s="279"/>
      <c r="E107" s="829"/>
      <c r="F107" s="829"/>
      <c r="G107" s="829"/>
      <c r="H107" s="285">
        <f t="shared" si="9"/>
        <v>22</v>
      </c>
      <c r="I107" s="1286" t="str">
        <f>'I. Stream &amp; Compound Data'!G283</f>
        <v/>
      </c>
      <c r="J107" s="1287" t="str">
        <f>'I. Stream &amp; Compound Data'!H283</f>
        <v/>
      </c>
      <c r="K107" s="1287" t="str">
        <f>'I. Stream &amp; Compound Data'!L283</f>
        <v/>
      </c>
      <c r="L107" s="1287" t="str">
        <f>IF('I. Stream &amp; Compound Data'!K283="","",'I. Stream &amp; Compound Data'!K283)</f>
        <v/>
      </c>
      <c r="M107" s="1287" t="str">
        <f>'I. Stream &amp; Compound Data'!M283</f>
        <v/>
      </c>
      <c r="N107" s="1287" t="str">
        <f>'I. Stream &amp; Compound Data'!P283</f>
        <v/>
      </c>
      <c r="O107" s="1287" t="str">
        <f>'I. Stream &amp; Compound Data'!Q283</f>
        <v/>
      </c>
      <c r="P107" s="1287" t="str">
        <f>IF('I. Stream &amp; Compound Data'!AM283="","",'I. Stream &amp; Compound Data'!AM283)</f>
        <v/>
      </c>
      <c r="Q107" s="1149" t="str">
        <f>IF('I. Stream &amp; Compound Data'!AO283="","",'I. Stream &amp; Compound Data'!AO283)</f>
        <v/>
      </c>
      <c r="R107" s="297"/>
      <c r="S107" s="298"/>
      <c r="T107" s="298"/>
      <c r="U107" s="299"/>
      <c r="V107" s="279"/>
      <c r="W107" s="279"/>
      <c r="X107" s="279"/>
      <c r="Y107" s="279"/>
      <c r="Z107" s="279"/>
      <c r="AA107" s="279"/>
      <c r="AB107" s="279"/>
      <c r="AC107" s="279"/>
      <c r="AD107" s="279"/>
      <c r="AE107" s="279"/>
      <c r="AF107" s="279"/>
      <c r="AG107" s="279"/>
      <c r="AH107" s="279"/>
      <c r="AI107" s="279"/>
      <c r="AJ107" s="279"/>
      <c r="AK107" s="279"/>
      <c r="AL107" s="279"/>
      <c r="AM107" s="279"/>
      <c r="AN107" s="279"/>
      <c r="AO107" s="279"/>
      <c r="AP107" s="279"/>
      <c r="AQ107" s="279"/>
      <c r="AR107" s="279"/>
      <c r="AS107" s="279"/>
      <c r="AT107" s="279"/>
      <c r="AU107" s="279"/>
      <c r="AV107" s="279"/>
      <c r="AW107" s="279"/>
      <c r="AX107" s="279"/>
      <c r="AY107" s="279"/>
      <c r="AZ107" s="279"/>
      <c r="BA107" s="279"/>
      <c r="BB107" s="279"/>
      <c r="BC107" s="279"/>
      <c r="BD107" s="279"/>
      <c r="BE107" s="279"/>
      <c r="BF107" s="279"/>
      <c r="BG107" s="279"/>
      <c r="BH107" s="279"/>
      <c r="BI107" s="279"/>
      <c r="BJ107" s="279"/>
      <c r="BK107" s="279"/>
      <c r="BL107" s="279"/>
      <c r="BM107" s="279"/>
      <c r="BN107" s="279"/>
      <c r="BO107" s="279"/>
      <c r="BP107" s="279"/>
      <c r="BQ107" s="279"/>
      <c r="BR107" s="279"/>
      <c r="BS107" s="279"/>
      <c r="BT107" s="279"/>
      <c r="BU107" s="279"/>
      <c r="BV107" s="279"/>
      <c r="BW107" s="279"/>
      <c r="BX107" s="279"/>
      <c r="BY107" s="279"/>
      <c r="BZ107" s="279"/>
      <c r="CA107" s="279"/>
      <c r="CB107" s="279"/>
      <c r="CC107" s="279"/>
      <c r="CD107" s="279"/>
      <c r="CE107" s="279"/>
      <c r="CF107" s="279"/>
      <c r="CG107" s="279"/>
      <c r="CH107" s="279"/>
      <c r="CI107" s="279"/>
      <c r="CJ107" s="279"/>
      <c r="CK107" s="279"/>
      <c r="CL107" s="279"/>
      <c r="CM107" s="279"/>
      <c r="CN107" s="382"/>
    </row>
    <row r="108" ht="21.75" customHeight="true" x14ac:dyDescent="0.3">
      <c r="B108" s="361"/>
      <c r="C108" s="279"/>
      <c r="D108" s="279"/>
      <c r="E108" s="829"/>
      <c r="F108" s="829"/>
      <c r="G108" s="829"/>
      <c r="H108" s="285">
        <f t="shared" si="9"/>
        <v>23</v>
      </c>
      <c r="I108" s="1286" t="str">
        <f>'I. Stream &amp; Compound Data'!G284</f>
        <v/>
      </c>
      <c r="J108" s="1287" t="str">
        <f>'I. Stream &amp; Compound Data'!H284</f>
        <v/>
      </c>
      <c r="K108" s="1287" t="str">
        <f>'I. Stream &amp; Compound Data'!L284</f>
        <v/>
      </c>
      <c r="L108" s="1287" t="str">
        <f>IF('I. Stream &amp; Compound Data'!K284="","",'I. Stream &amp; Compound Data'!K284)</f>
        <v/>
      </c>
      <c r="M108" s="1287" t="str">
        <f>'I. Stream &amp; Compound Data'!M284</f>
        <v/>
      </c>
      <c r="N108" s="1287" t="str">
        <f>'I. Stream &amp; Compound Data'!P284</f>
        <v/>
      </c>
      <c r="O108" s="1287" t="str">
        <f>'I. Stream &amp; Compound Data'!Q284</f>
        <v/>
      </c>
      <c r="P108" s="1287" t="str">
        <f>IF('I. Stream &amp; Compound Data'!AM284="","",'I. Stream &amp; Compound Data'!AM284)</f>
        <v/>
      </c>
      <c r="Q108" s="1149" t="str">
        <f>IF('I. Stream &amp; Compound Data'!AO284="","",'I. Stream &amp; Compound Data'!AO284)</f>
        <v/>
      </c>
      <c r="R108" s="297"/>
      <c r="S108" s="298"/>
      <c r="T108" s="298"/>
      <c r="U108" s="299"/>
      <c r="V108" s="279"/>
      <c r="W108" s="279"/>
      <c r="X108" s="279"/>
      <c r="Y108" s="279"/>
      <c r="Z108" s="279"/>
      <c r="AA108" s="279"/>
      <c r="AB108" s="279"/>
      <c r="AC108" s="279"/>
      <c r="AD108" s="279"/>
      <c r="AE108" s="279"/>
      <c r="AF108" s="279"/>
      <c r="AG108" s="279"/>
      <c r="AH108" s="279"/>
      <c r="AI108" s="279"/>
      <c r="AJ108" s="279"/>
      <c r="AK108" s="279"/>
      <c r="AL108" s="279"/>
      <c r="AM108" s="279"/>
      <c r="AN108" s="279"/>
      <c r="AO108" s="279"/>
      <c r="AP108" s="279"/>
      <c r="AQ108" s="279"/>
      <c r="AR108" s="279"/>
      <c r="AS108" s="279"/>
      <c r="AT108" s="279"/>
      <c r="AU108" s="279"/>
      <c r="AV108" s="279"/>
      <c r="AW108" s="279"/>
      <c r="AX108" s="279"/>
      <c r="AY108" s="279"/>
      <c r="AZ108" s="279"/>
      <c r="BA108" s="279"/>
      <c r="BB108" s="279"/>
      <c r="BC108" s="279"/>
      <c r="BD108" s="279"/>
      <c r="BE108" s="279"/>
      <c r="BF108" s="279"/>
      <c r="BG108" s="279"/>
      <c r="BH108" s="279"/>
      <c r="BI108" s="279"/>
      <c r="BJ108" s="279"/>
      <c r="BK108" s="279"/>
      <c r="BL108" s="279"/>
      <c r="BM108" s="279"/>
      <c r="BN108" s="279"/>
      <c r="BO108" s="279"/>
      <c r="BP108" s="279"/>
      <c r="BQ108" s="279"/>
      <c r="BR108" s="279"/>
      <c r="BS108" s="279"/>
      <c r="BT108" s="279"/>
      <c r="BU108" s="279"/>
      <c r="BV108" s="279"/>
      <c r="BW108" s="279"/>
      <c r="BX108" s="279"/>
      <c r="BY108" s="279"/>
      <c r="BZ108" s="279"/>
      <c r="CA108" s="279"/>
      <c r="CB108" s="279"/>
      <c r="CC108" s="279"/>
      <c r="CD108" s="279"/>
      <c r="CE108" s="279"/>
      <c r="CF108" s="279"/>
      <c r="CG108" s="279"/>
      <c r="CH108" s="279"/>
      <c r="CI108" s="279"/>
      <c r="CJ108" s="279"/>
      <c r="CK108" s="279"/>
      <c r="CL108" s="279"/>
      <c r="CM108" s="279"/>
      <c r="CN108" s="382"/>
    </row>
    <row r="109" ht="21.75" customHeight="true" x14ac:dyDescent="0.3">
      <c r="B109" s="361"/>
      <c r="C109" s="279"/>
      <c r="D109" s="279"/>
      <c r="E109" s="829"/>
      <c r="F109" s="829"/>
      <c r="G109" s="829"/>
      <c r="H109" s="285">
        <f t="shared" si="9"/>
        <v>24</v>
      </c>
      <c r="I109" s="1286" t="str">
        <f>'I. Stream &amp; Compound Data'!G285</f>
        <v/>
      </c>
      <c r="J109" s="1287" t="str">
        <f>'I. Stream &amp; Compound Data'!H285</f>
        <v/>
      </c>
      <c r="K109" s="1287" t="str">
        <f>'I. Stream &amp; Compound Data'!L285</f>
        <v/>
      </c>
      <c r="L109" s="1287" t="str">
        <f>IF('I. Stream &amp; Compound Data'!K285="","",'I. Stream &amp; Compound Data'!K285)</f>
        <v/>
      </c>
      <c r="M109" s="1287" t="str">
        <f>'I. Stream &amp; Compound Data'!M285</f>
        <v/>
      </c>
      <c r="N109" s="1287" t="str">
        <f>'I. Stream &amp; Compound Data'!P285</f>
        <v/>
      </c>
      <c r="O109" s="1287" t="str">
        <f>'I. Stream &amp; Compound Data'!Q285</f>
        <v/>
      </c>
      <c r="P109" s="1287" t="str">
        <f>IF('I. Stream &amp; Compound Data'!AM285="","",'I. Stream &amp; Compound Data'!AM285)</f>
        <v/>
      </c>
      <c r="Q109" s="1149" t="str">
        <f>IF('I. Stream &amp; Compound Data'!AO285="","",'I. Stream &amp; Compound Data'!AO285)</f>
        <v/>
      </c>
      <c r="R109" s="297"/>
      <c r="S109" s="298"/>
      <c r="T109" s="298"/>
      <c r="U109" s="299"/>
      <c r="V109" s="279"/>
      <c r="W109" s="279"/>
      <c r="X109" s="279"/>
      <c r="Y109" s="279"/>
      <c r="Z109" s="279"/>
      <c r="AA109" s="279"/>
      <c r="AB109" s="279"/>
      <c r="AC109" s="279"/>
      <c r="AD109" s="279"/>
      <c r="AE109" s="279"/>
      <c r="AF109" s="279"/>
      <c r="AG109" s="279"/>
      <c r="AH109" s="279"/>
      <c r="AI109" s="279"/>
      <c r="AJ109" s="279"/>
      <c r="AK109" s="279"/>
      <c r="AL109" s="279"/>
      <c r="AM109" s="279"/>
      <c r="AN109" s="279"/>
      <c r="AO109" s="279"/>
      <c r="AP109" s="279"/>
      <c r="AQ109" s="279"/>
      <c r="AR109" s="279"/>
      <c r="AS109" s="279"/>
      <c r="AT109" s="279"/>
      <c r="AU109" s="279"/>
      <c r="AV109" s="279"/>
      <c r="AW109" s="279"/>
      <c r="AX109" s="279"/>
      <c r="AY109" s="279"/>
      <c r="AZ109" s="279"/>
      <c r="BA109" s="279"/>
      <c r="BB109" s="279"/>
      <c r="BC109" s="279"/>
      <c r="BD109" s="279"/>
      <c r="BE109" s="279"/>
      <c r="BF109" s="279"/>
      <c r="BG109" s="279"/>
      <c r="BH109" s="279"/>
      <c r="BI109" s="279"/>
      <c r="BJ109" s="279"/>
      <c r="BK109" s="279"/>
      <c r="BL109" s="279"/>
      <c r="BM109" s="279"/>
      <c r="BN109" s="279"/>
      <c r="BO109" s="279"/>
      <c r="BP109" s="279"/>
      <c r="BQ109" s="279"/>
      <c r="BR109" s="279"/>
      <c r="BS109" s="279"/>
      <c r="BT109" s="279"/>
      <c r="BU109" s="279"/>
      <c r="BV109" s="279"/>
      <c r="BW109" s="279"/>
      <c r="BX109" s="279"/>
      <c r="BY109" s="279"/>
      <c r="BZ109" s="279"/>
      <c r="CA109" s="279"/>
      <c r="CB109" s="279"/>
      <c r="CC109" s="279"/>
      <c r="CD109" s="279"/>
      <c r="CE109" s="279"/>
      <c r="CF109" s="279"/>
      <c r="CG109" s="279"/>
      <c r="CH109" s="279"/>
      <c r="CI109" s="279"/>
      <c r="CJ109" s="279"/>
      <c r="CK109" s="279"/>
      <c r="CL109" s="279"/>
      <c r="CM109" s="279"/>
      <c r="CN109" s="382"/>
    </row>
    <row r="110" ht="21.75" customHeight="true" x14ac:dyDescent="0.3">
      <c r="B110" s="361"/>
      <c r="C110" s="279"/>
      <c r="D110" s="279"/>
      <c r="E110" s="829"/>
      <c r="F110" s="829"/>
      <c r="G110" s="829"/>
      <c r="H110" s="285">
        <f t="shared" si="9"/>
        <v>25</v>
      </c>
      <c r="I110" s="1286" t="str">
        <f>'I. Stream &amp; Compound Data'!G286</f>
        <v/>
      </c>
      <c r="J110" s="1287" t="str">
        <f>'I. Stream &amp; Compound Data'!H286</f>
        <v/>
      </c>
      <c r="K110" s="1287" t="str">
        <f>'I. Stream &amp; Compound Data'!L286</f>
        <v/>
      </c>
      <c r="L110" s="1287" t="str">
        <f>IF('I. Stream &amp; Compound Data'!K286="","",'I. Stream &amp; Compound Data'!K286)</f>
        <v/>
      </c>
      <c r="M110" s="1287" t="str">
        <f>'I. Stream &amp; Compound Data'!M286</f>
        <v/>
      </c>
      <c r="N110" s="1287" t="str">
        <f>'I. Stream &amp; Compound Data'!P286</f>
        <v/>
      </c>
      <c r="O110" s="1287" t="str">
        <f>'I. Stream &amp; Compound Data'!Q286</f>
        <v/>
      </c>
      <c r="P110" s="1287" t="str">
        <f>IF('I. Stream &amp; Compound Data'!AM286="","",'I. Stream &amp; Compound Data'!AM286)</f>
        <v/>
      </c>
      <c r="Q110" s="1149" t="str">
        <f>IF('I. Stream &amp; Compound Data'!AO286="","",'I. Stream &amp; Compound Data'!AO286)</f>
        <v/>
      </c>
      <c r="R110" s="297"/>
      <c r="S110" s="298"/>
      <c r="T110" s="298"/>
      <c r="U110" s="299"/>
      <c r="V110" s="279"/>
      <c r="W110" s="279"/>
      <c r="X110" s="279"/>
      <c r="Y110" s="279"/>
      <c r="Z110" s="279"/>
      <c r="AA110" s="279"/>
      <c r="AB110" s="279"/>
      <c r="AC110" s="279"/>
      <c r="AD110" s="279"/>
      <c r="AE110" s="279"/>
      <c r="AF110" s="279"/>
      <c r="AG110" s="279"/>
      <c r="AH110" s="279"/>
      <c r="AI110" s="279"/>
      <c r="AJ110" s="279"/>
      <c r="AK110" s="279"/>
      <c r="AL110" s="279"/>
      <c r="AM110" s="279"/>
      <c r="AN110" s="279"/>
      <c r="AO110" s="279"/>
      <c r="AP110" s="279"/>
      <c r="AQ110" s="279"/>
      <c r="AR110" s="279"/>
      <c r="AS110" s="279"/>
      <c r="AT110" s="279"/>
      <c r="AU110" s="279"/>
      <c r="AV110" s="279"/>
      <c r="AW110" s="279"/>
      <c r="AX110" s="279"/>
      <c r="AY110" s="279"/>
      <c r="AZ110" s="279"/>
      <c r="BA110" s="279"/>
      <c r="BB110" s="279"/>
      <c r="BC110" s="279"/>
      <c r="BD110" s="279"/>
      <c r="BE110" s="279"/>
      <c r="BF110" s="279"/>
      <c r="BG110" s="279"/>
      <c r="BH110" s="279"/>
      <c r="BI110" s="279"/>
      <c r="BJ110" s="279"/>
      <c r="BK110" s="279"/>
      <c r="BL110" s="279"/>
      <c r="BM110" s="279"/>
      <c r="BN110" s="279"/>
      <c r="BO110" s="279"/>
      <c r="BP110" s="279"/>
      <c r="BQ110" s="279"/>
      <c r="BR110" s="279"/>
      <c r="BS110" s="279"/>
      <c r="BT110" s="279"/>
      <c r="BU110" s="279"/>
      <c r="BV110" s="279"/>
      <c r="BW110" s="279"/>
      <c r="BX110" s="279"/>
      <c r="BY110" s="279"/>
      <c r="BZ110" s="279"/>
      <c r="CA110" s="279"/>
      <c r="CB110" s="279"/>
      <c r="CC110" s="279"/>
      <c r="CD110" s="279"/>
      <c r="CE110" s="279"/>
      <c r="CF110" s="279"/>
      <c r="CG110" s="279"/>
      <c r="CH110" s="279"/>
      <c r="CI110" s="279"/>
      <c r="CJ110" s="279"/>
      <c r="CK110" s="279"/>
      <c r="CL110" s="279"/>
      <c r="CM110" s="279"/>
      <c r="CN110" s="382"/>
    </row>
    <row r="111" ht="21.75" customHeight="true" x14ac:dyDescent="0.3">
      <c r="B111" s="361"/>
      <c r="C111" s="279"/>
      <c r="D111" s="279"/>
      <c r="E111" s="829"/>
      <c r="F111" s="829"/>
      <c r="G111" s="829"/>
      <c r="H111" s="285">
        <f t="shared" si="9"/>
        <v>26</v>
      </c>
      <c r="I111" s="1286" t="str">
        <f>'I. Stream &amp; Compound Data'!G287</f>
        <v/>
      </c>
      <c r="J111" s="1287" t="str">
        <f>'I. Stream &amp; Compound Data'!H287</f>
        <v/>
      </c>
      <c r="K111" s="1287" t="str">
        <f>'I. Stream &amp; Compound Data'!L287</f>
        <v/>
      </c>
      <c r="L111" s="1287" t="str">
        <f>IF('I. Stream &amp; Compound Data'!K287="","",'I. Stream &amp; Compound Data'!K287)</f>
        <v/>
      </c>
      <c r="M111" s="1287" t="str">
        <f>'I. Stream &amp; Compound Data'!M287</f>
        <v/>
      </c>
      <c r="N111" s="1287" t="str">
        <f>'I. Stream &amp; Compound Data'!P287</f>
        <v/>
      </c>
      <c r="O111" s="1287" t="str">
        <f>'I. Stream &amp; Compound Data'!Q287</f>
        <v/>
      </c>
      <c r="P111" s="1287" t="str">
        <f>IF('I. Stream &amp; Compound Data'!AM287="","",'I. Stream &amp; Compound Data'!AM287)</f>
        <v/>
      </c>
      <c r="Q111" s="1149" t="str">
        <f>IF('I. Stream &amp; Compound Data'!AO287="","",'I. Stream &amp; Compound Data'!AO287)</f>
        <v/>
      </c>
      <c r="R111" s="297"/>
      <c r="S111" s="298"/>
      <c r="T111" s="298"/>
      <c r="U111" s="299"/>
      <c r="V111" s="279"/>
      <c r="W111" s="279"/>
      <c r="X111" s="279"/>
      <c r="Y111" s="279"/>
      <c r="Z111" s="279"/>
      <c r="AA111" s="279"/>
      <c r="AB111" s="279"/>
      <c r="AC111" s="279"/>
      <c r="AD111" s="279"/>
      <c r="AE111" s="279"/>
      <c r="AF111" s="279"/>
      <c r="AG111" s="279"/>
      <c r="AH111" s="279"/>
      <c r="AI111" s="279"/>
      <c r="AJ111" s="279"/>
      <c r="AK111" s="279"/>
      <c r="AL111" s="279"/>
      <c r="AM111" s="279"/>
      <c r="AN111" s="279"/>
      <c r="AO111" s="279"/>
      <c r="AP111" s="279"/>
      <c r="AQ111" s="279"/>
      <c r="AR111" s="279"/>
      <c r="AS111" s="279"/>
      <c r="AT111" s="279"/>
      <c r="AU111" s="279"/>
      <c r="AV111" s="279"/>
      <c r="AW111" s="279"/>
      <c r="AX111" s="279"/>
      <c r="AY111" s="279"/>
      <c r="AZ111" s="279"/>
      <c r="BA111" s="279"/>
      <c r="BB111" s="279"/>
      <c r="BC111" s="279"/>
      <c r="BD111" s="279"/>
      <c r="BE111" s="279"/>
      <c r="BF111" s="279"/>
      <c r="BG111" s="279"/>
      <c r="BH111" s="279"/>
      <c r="BI111" s="279"/>
      <c r="BJ111" s="279"/>
      <c r="BK111" s="279"/>
      <c r="BL111" s="279"/>
      <c r="BM111" s="279"/>
      <c r="BN111" s="279"/>
      <c r="BO111" s="279"/>
      <c r="BP111" s="279"/>
      <c r="BQ111" s="279"/>
      <c r="BR111" s="279"/>
      <c r="BS111" s="279"/>
      <c r="BT111" s="279"/>
      <c r="BU111" s="279"/>
      <c r="BV111" s="279"/>
      <c r="BW111" s="279"/>
      <c r="BX111" s="279"/>
      <c r="BY111" s="279"/>
      <c r="BZ111" s="279"/>
      <c r="CA111" s="279"/>
      <c r="CB111" s="279"/>
      <c r="CC111" s="279"/>
      <c r="CD111" s="279"/>
      <c r="CE111" s="279"/>
      <c r="CF111" s="279"/>
      <c r="CG111" s="279"/>
      <c r="CH111" s="279"/>
      <c r="CI111" s="279"/>
      <c r="CJ111" s="279"/>
      <c r="CK111" s="279"/>
      <c r="CL111" s="279"/>
      <c r="CM111" s="279"/>
      <c r="CN111" s="382"/>
    </row>
    <row r="112" ht="21.75" customHeight="true" x14ac:dyDescent="0.3">
      <c r="B112" s="361"/>
      <c r="C112" s="279"/>
      <c r="D112" s="279"/>
      <c r="E112" s="829"/>
      <c r="F112" s="829"/>
      <c r="G112" s="829"/>
      <c r="H112" s="285">
        <f t="shared" si="9"/>
        <v>27</v>
      </c>
      <c r="I112" s="1286" t="str">
        <f>'I. Stream &amp; Compound Data'!G288</f>
        <v/>
      </c>
      <c r="J112" s="1287" t="str">
        <f>'I. Stream &amp; Compound Data'!H288</f>
        <v/>
      </c>
      <c r="K112" s="1287" t="str">
        <f>'I. Stream &amp; Compound Data'!L288</f>
        <v/>
      </c>
      <c r="L112" s="1287" t="str">
        <f>IF('I. Stream &amp; Compound Data'!K288="","",'I. Stream &amp; Compound Data'!K288)</f>
        <v/>
      </c>
      <c r="M112" s="1287" t="str">
        <f>'I. Stream &amp; Compound Data'!M288</f>
        <v/>
      </c>
      <c r="N112" s="1287" t="str">
        <f>'I. Stream &amp; Compound Data'!P288</f>
        <v/>
      </c>
      <c r="O112" s="1287" t="str">
        <f>'I. Stream &amp; Compound Data'!Q288</f>
        <v/>
      </c>
      <c r="P112" s="1287" t="str">
        <f>IF('I. Stream &amp; Compound Data'!AM288="","",'I. Stream &amp; Compound Data'!AM288)</f>
        <v/>
      </c>
      <c r="Q112" s="1149" t="str">
        <f>IF('I. Stream &amp; Compound Data'!AO288="","",'I. Stream &amp; Compound Data'!AO288)</f>
        <v/>
      </c>
      <c r="R112" s="297"/>
      <c r="S112" s="298"/>
      <c r="T112" s="298"/>
      <c r="U112" s="299"/>
      <c r="V112" s="279"/>
      <c r="W112" s="279"/>
      <c r="X112" s="279"/>
      <c r="Y112" s="279"/>
      <c r="Z112" s="279"/>
      <c r="AA112" s="279"/>
      <c r="AB112" s="279"/>
      <c r="AC112" s="279"/>
      <c r="AD112" s="279"/>
      <c r="AE112" s="279"/>
      <c r="AF112" s="279"/>
      <c r="AG112" s="279"/>
      <c r="AH112" s="279"/>
      <c r="AI112" s="279"/>
      <c r="AJ112" s="279"/>
      <c r="AK112" s="279"/>
      <c r="AL112" s="279"/>
      <c r="AM112" s="279"/>
      <c r="AN112" s="279"/>
      <c r="AO112" s="279"/>
      <c r="AP112" s="279"/>
      <c r="AQ112" s="279"/>
      <c r="AR112" s="279"/>
      <c r="AS112" s="279"/>
      <c r="AT112" s="279"/>
      <c r="AU112" s="279"/>
      <c r="AV112" s="279"/>
      <c r="AW112" s="279"/>
      <c r="AX112" s="279"/>
      <c r="AY112" s="279"/>
      <c r="AZ112" s="279"/>
      <c r="BA112" s="279"/>
      <c r="BB112" s="279"/>
      <c r="BC112" s="279"/>
      <c r="BD112" s="279"/>
      <c r="BE112" s="279"/>
      <c r="BF112" s="279"/>
      <c r="BG112" s="279"/>
      <c r="BH112" s="279"/>
      <c r="BI112" s="279"/>
      <c r="BJ112" s="279"/>
      <c r="BK112" s="279"/>
      <c r="BL112" s="279"/>
      <c r="BM112" s="279"/>
      <c r="BN112" s="279"/>
      <c r="BO112" s="279"/>
      <c r="BP112" s="279"/>
      <c r="BQ112" s="279"/>
      <c r="BR112" s="279"/>
      <c r="BS112" s="279"/>
      <c r="BT112" s="279"/>
      <c r="BU112" s="279"/>
      <c r="BV112" s="279"/>
      <c r="BW112" s="279"/>
      <c r="BX112" s="279"/>
      <c r="BY112" s="279"/>
      <c r="BZ112" s="279"/>
      <c r="CA112" s="279"/>
      <c r="CB112" s="279"/>
      <c r="CC112" s="279"/>
      <c r="CD112" s="279"/>
      <c r="CE112" s="279"/>
      <c r="CF112" s="279"/>
      <c r="CG112" s="279"/>
      <c r="CH112" s="279"/>
      <c r="CI112" s="279"/>
      <c r="CJ112" s="279"/>
      <c r="CK112" s="279"/>
      <c r="CL112" s="279"/>
      <c r="CM112" s="279"/>
      <c r="CN112" s="382"/>
    </row>
    <row r="113" ht="21.75" customHeight="true" x14ac:dyDescent="0.3">
      <c r="B113" s="361"/>
      <c r="C113" s="279"/>
      <c r="D113" s="279"/>
      <c r="E113" s="829"/>
      <c r="F113" s="829"/>
      <c r="G113" s="829"/>
      <c r="H113" s="285">
        <f t="shared" si="9"/>
        <v>28</v>
      </c>
      <c r="I113" s="1286" t="str">
        <f>'I. Stream &amp; Compound Data'!G289</f>
        <v/>
      </c>
      <c r="J113" s="1287" t="str">
        <f>'I. Stream &amp; Compound Data'!H289</f>
        <v/>
      </c>
      <c r="K113" s="1287" t="str">
        <f>'I. Stream &amp; Compound Data'!L289</f>
        <v/>
      </c>
      <c r="L113" s="1287" t="str">
        <f>IF('I. Stream &amp; Compound Data'!K289="","",'I. Stream &amp; Compound Data'!K289)</f>
        <v/>
      </c>
      <c r="M113" s="1287" t="str">
        <f>'I. Stream &amp; Compound Data'!M289</f>
        <v/>
      </c>
      <c r="N113" s="1287" t="str">
        <f>'I. Stream &amp; Compound Data'!P289</f>
        <v/>
      </c>
      <c r="O113" s="1287" t="str">
        <f>'I. Stream &amp; Compound Data'!Q289</f>
        <v/>
      </c>
      <c r="P113" s="1287" t="str">
        <f>IF('I. Stream &amp; Compound Data'!AM289="","",'I. Stream &amp; Compound Data'!AM289)</f>
        <v/>
      </c>
      <c r="Q113" s="1149" t="str">
        <f>IF('I. Stream &amp; Compound Data'!AO289="","",'I. Stream &amp; Compound Data'!AO289)</f>
        <v/>
      </c>
      <c r="R113" s="297"/>
      <c r="S113" s="298"/>
      <c r="T113" s="298"/>
      <c r="U113" s="299"/>
      <c r="V113" s="279"/>
      <c r="W113" s="279"/>
      <c r="X113" s="279"/>
      <c r="Y113" s="279"/>
      <c r="Z113" s="279"/>
      <c r="AA113" s="279"/>
      <c r="AB113" s="279"/>
      <c r="AC113" s="279"/>
      <c r="AD113" s="279"/>
      <c r="AE113" s="279"/>
      <c r="AF113" s="279"/>
      <c r="AG113" s="279"/>
      <c r="AH113" s="279"/>
      <c r="AI113" s="279"/>
      <c r="AJ113" s="279"/>
      <c r="AK113" s="279"/>
      <c r="AL113" s="279"/>
      <c r="AM113" s="279"/>
      <c r="AN113" s="279"/>
      <c r="AO113" s="279"/>
      <c r="AP113" s="279"/>
      <c r="AQ113" s="279"/>
      <c r="AR113" s="279"/>
      <c r="AS113" s="279"/>
      <c r="AT113" s="279"/>
      <c r="AU113" s="279"/>
      <c r="AV113" s="279"/>
      <c r="AW113" s="279"/>
      <c r="AX113" s="279"/>
      <c r="AY113" s="279"/>
      <c r="AZ113" s="279"/>
      <c r="BA113" s="279"/>
      <c r="BB113" s="279"/>
      <c r="BC113" s="279"/>
      <c r="BD113" s="279"/>
      <c r="BE113" s="279"/>
      <c r="BF113" s="279"/>
      <c r="BG113" s="279"/>
      <c r="BH113" s="279"/>
      <c r="BI113" s="279"/>
      <c r="BJ113" s="279"/>
      <c r="BK113" s="279"/>
      <c r="BL113" s="279"/>
      <c r="BM113" s="279"/>
      <c r="BN113" s="279"/>
      <c r="BO113" s="279"/>
      <c r="BP113" s="279"/>
      <c r="BQ113" s="279"/>
      <c r="BR113" s="279"/>
      <c r="BS113" s="279"/>
      <c r="BT113" s="279"/>
      <c r="BU113" s="279"/>
      <c r="BV113" s="279"/>
      <c r="BW113" s="279"/>
      <c r="BX113" s="279"/>
      <c r="BY113" s="279"/>
      <c r="BZ113" s="279"/>
      <c r="CA113" s="279"/>
      <c r="CB113" s="279"/>
      <c r="CC113" s="279"/>
      <c r="CD113" s="279"/>
      <c r="CE113" s="279"/>
      <c r="CF113" s="279"/>
      <c r="CG113" s="279"/>
      <c r="CH113" s="279"/>
      <c r="CI113" s="279"/>
      <c r="CJ113" s="279"/>
      <c r="CK113" s="279"/>
      <c r="CL113" s="279"/>
      <c r="CM113" s="279"/>
      <c r="CN113" s="382"/>
    </row>
    <row r="114" ht="21.75" customHeight="true" x14ac:dyDescent="0.3">
      <c r="B114" s="361"/>
      <c r="C114" s="279"/>
      <c r="D114" s="279"/>
      <c r="E114" s="829"/>
      <c r="F114" s="829"/>
      <c r="G114" s="829"/>
      <c r="H114" s="285">
        <f t="shared" si="9"/>
        <v>29</v>
      </c>
      <c r="I114" s="1286" t="str">
        <f>'I. Stream &amp; Compound Data'!G290</f>
        <v/>
      </c>
      <c r="J114" s="1287" t="str">
        <f>'I. Stream &amp; Compound Data'!H290</f>
        <v/>
      </c>
      <c r="K114" s="1287" t="str">
        <f>'I. Stream &amp; Compound Data'!L290</f>
        <v/>
      </c>
      <c r="L114" s="1287" t="str">
        <f>IF('I. Stream &amp; Compound Data'!K290="","",'I. Stream &amp; Compound Data'!K290)</f>
        <v/>
      </c>
      <c r="M114" s="1287" t="str">
        <f>'I. Stream &amp; Compound Data'!M290</f>
        <v/>
      </c>
      <c r="N114" s="1287" t="str">
        <f>'I. Stream &amp; Compound Data'!P290</f>
        <v/>
      </c>
      <c r="O114" s="1287" t="str">
        <f>'I. Stream &amp; Compound Data'!Q290</f>
        <v/>
      </c>
      <c r="P114" s="1287" t="str">
        <f>IF('I. Stream &amp; Compound Data'!AM290="","",'I. Stream &amp; Compound Data'!AM290)</f>
        <v/>
      </c>
      <c r="Q114" s="1149" t="str">
        <f>IF('I. Stream &amp; Compound Data'!AO290="","",'I. Stream &amp; Compound Data'!AO290)</f>
        <v/>
      </c>
      <c r="R114" s="297"/>
      <c r="S114" s="298"/>
      <c r="T114" s="298"/>
      <c r="U114" s="299"/>
      <c r="V114" s="279"/>
      <c r="W114" s="279"/>
      <c r="X114" s="279"/>
      <c r="Y114" s="279"/>
      <c r="Z114" s="279"/>
      <c r="AA114" s="279"/>
      <c r="AB114" s="279"/>
      <c r="AC114" s="279"/>
      <c r="AD114" s="279"/>
      <c r="AE114" s="279"/>
      <c r="AF114" s="279"/>
      <c r="AG114" s="279"/>
      <c r="AH114" s="279"/>
      <c r="AI114" s="279"/>
      <c r="AJ114" s="279"/>
      <c r="AK114" s="279"/>
      <c r="AL114" s="279"/>
      <c r="AM114" s="279"/>
      <c r="AN114" s="279"/>
      <c r="AO114" s="279"/>
      <c r="AP114" s="279"/>
      <c r="AQ114" s="279"/>
      <c r="AR114" s="279"/>
      <c r="AS114" s="279"/>
      <c r="AT114" s="279"/>
      <c r="AU114" s="279"/>
      <c r="AV114" s="279"/>
      <c r="AW114" s="279"/>
      <c r="AX114" s="279"/>
      <c r="AY114" s="279"/>
      <c r="AZ114" s="279"/>
      <c r="BA114" s="279"/>
      <c r="BB114" s="279"/>
      <c r="BC114" s="279"/>
      <c r="BD114" s="279"/>
      <c r="BE114" s="279"/>
      <c r="BF114" s="279"/>
      <c r="BG114" s="279"/>
      <c r="BH114" s="279"/>
      <c r="BI114" s="279"/>
      <c r="BJ114" s="279"/>
      <c r="BK114" s="279"/>
      <c r="BL114" s="279"/>
      <c r="BM114" s="279"/>
      <c r="BN114" s="279"/>
      <c r="BO114" s="279"/>
      <c r="BP114" s="279"/>
      <c r="BQ114" s="279"/>
      <c r="BR114" s="279"/>
      <c r="BS114" s="279"/>
      <c r="BT114" s="279"/>
      <c r="BU114" s="279"/>
      <c r="BV114" s="279"/>
      <c r="BW114" s="279"/>
      <c r="BX114" s="279"/>
      <c r="BY114" s="279"/>
      <c r="BZ114" s="279"/>
      <c r="CA114" s="279"/>
      <c r="CB114" s="279"/>
      <c r="CC114" s="279"/>
      <c r="CD114" s="279"/>
      <c r="CE114" s="279"/>
      <c r="CF114" s="279"/>
      <c r="CG114" s="279"/>
      <c r="CH114" s="279"/>
      <c r="CI114" s="279"/>
      <c r="CJ114" s="279"/>
      <c r="CK114" s="279"/>
      <c r="CL114" s="279"/>
      <c r="CM114" s="279"/>
      <c r="CN114" s="382"/>
    </row>
    <row r="115" ht="21.75" customHeight="true" x14ac:dyDescent="0.3">
      <c r="B115" s="361"/>
      <c r="C115" s="279"/>
      <c r="D115" s="279"/>
      <c r="E115" s="829"/>
      <c r="F115" s="829"/>
      <c r="G115" s="829"/>
      <c r="H115" s="285">
        <f t="shared" si="9"/>
        <v>30</v>
      </c>
      <c r="I115" s="1286" t="str">
        <f>'I. Stream &amp; Compound Data'!G291</f>
        <v/>
      </c>
      <c r="J115" s="1287" t="str">
        <f>'I. Stream &amp; Compound Data'!H291</f>
        <v/>
      </c>
      <c r="K115" s="1287" t="str">
        <f>'I. Stream &amp; Compound Data'!L291</f>
        <v/>
      </c>
      <c r="L115" s="1287" t="str">
        <f>IF('I. Stream &amp; Compound Data'!K291="","",'I. Stream &amp; Compound Data'!K291)</f>
        <v/>
      </c>
      <c r="M115" s="1287" t="str">
        <f>'I. Stream &amp; Compound Data'!M291</f>
        <v/>
      </c>
      <c r="N115" s="1287" t="str">
        <f>'I. Stream &amp; Compound Data'!P291</f>
        <v/>
      </c>
      <c r="O115" s="1287" t="str">
        <f>'I. Stream &amp; Compound Data'!Q291</f>
        <v/>
      </c>
      <c r="P115" s="1287" t="str">
        <f>IF('I. Stream &amp; Compound Data'!AM291="","",'I. Stream &amp; Compound Data'!AM291)</f>
        <v/>
      </c>
      <c r="Q115" s="1149" t="str">
        <f>IF('I. Stream &amp; Compound Data'!AO291="","",'I. Stream &amp; Compound Data'!AO291)</f>
        <v/>
      </c>
      <c r="R115" s="297"/>
      <c r="S115" s="298"/>
      <c r="T115" s="298"/>
      <c r="U115" s="299"/>
      <c r="V115" s="279"/>
      <c r="W115" s="279"/>
      <c r="X115" s="279"/>
      <c r="Y115" s="279"/>
      <c r="Z115" s="279"/>
      <c r="AA115" s="279"/>
      <c r="AB115" s="279"/>
      <c r="AC115" s="279"/>
      <c r="AD115" s="279"/>
      <c r="AE115" s="279"/>
      <c r="AF115" s="279"/>
      <c r="AG115" s="279"/>
      <c r="AH115" s="279"/>
      <c r="AI115" s="279"/>
      <c r="AJ115" s="279"/>
      <c r="AK115" s="279"/>
      <c r="AL115" s="279"/>
      <c r="AM115" s="279"/>
      <c r="AN115" s="279"/>
      <c r="AO115" s="279"/>
      <c r="AP115" s="279"/>
      <c r="AQ115" s="279"/>
      <c r="AR115" s="279"/>
      <c r="AS115" s="279"/>
      <c r="AT115" s="279"/>
      <c r="AU115" s="279"/>
      <c r="AV115" s="279"/>
      <c r="AW115" s="279"/>
      <c r="AX115" s="279"/>
      <c r="AY115" s="279"/>
      <c r="AZ115" s="279"/>
      <c r="BA115" s="279"/>
      <c r="BB115" s="279"/>
      <c r="BC115" s="279"/>
      <c r="BD115" s="279"/>
      <c r="BE115" s="279"/>
      <c r="BF115" s="279"/>
      <c r="BG115" s="279"/>
      <c r="BH115" s="279"/>
      <c r="BI115" s="279"/>
      <c r="BJ115" s="279"/>
      <c r="BK115" s="279"/>
      <c r="BL115" s="279"/>
      <c r="BM115" s="279"/>
      <c r="BN115" s="279"/>
      <c r="BO115" s="279"/>
      <c r="BP115" s="279"/>
      <c r="BQ115" s="279"/>
      <c r="BR115" s="279"/>
      <c r="BS115" s="279"/>
      <c r="BT115" s="279"/>
      <c r="BU115" s="279"/>
      <c r="BV115" s="279"/>
      <c r="BW115" s="279"/>
      <c r="BX115" s="279"/>
      <c r="BY115" s="279"/>
      <c r="BZ115" s="279"/>
      <c r="CA115" s="279"/>
      <c r="CB115" s="279"/>
      <c r="CC115" s="279"/>
      <c r="CD115" s="279"/>
      <c r="CE115" s="279"/>
      <c r="CF115" s="279"/>
      <c r="CG115" s="279"/>
      <c r="CH115" s="279"/>
      <c r="CI115" s="279"/>
      <c r="CJ115" s="279"/>
      <c r="CK115" s="279"/>
      <c r="CL115" s="279"/>
      <c r="CM115" s="279"/>
      <c r="CN115" s="382"/>
    </row>
    <row r="116" ht="21.75" customHeight="true" x14ac:dyDescent="0.3">
      <c r="B116" s="361"/>
      <c r="C116" s="279"/>
      <c r="D116" s="279"/>
      <c r="E116" s="829"/>
      <c r="F116" s="829"/>
      <c r="G116" s="829"/>
      <c r="H116" s="285">
        <f t="shared" si="9"/>
        <v>31</v>
      </c>
      <c r="I116" s="1286" t="str">
        <f>'I. Stream &amp; Compound Data'!G292</f>
        <v/>
      </c>
      <c r="J116" s="1287" t="str">
        <f>'I. Stream &amp; Compound Data'!H292</f>
        <v/>
      </c>
      <c r="K116" s="1287" t="str">
        <f>'I. Stream &amp; Compound Data'!L292</f>
        <v/>
      </c>
      <c r="L116" s="1287" t="str">
        <f>IF('I. Stream &amp; Compound Data'!K292="","",'I. Stream &amp; Compound Data'!K292)</f>
        <v/>
      </c>
      <c r="M116" s="1287" t="str">
        <f>'I. Stream &amp; Compound Data'!M292</f>
        <v/>
      </c>
      <c r="N116" s="1287" t="str">
        <f>'I. Stream &amp; Compound Data'!P292</f>
        <v/>
      </c>
      <c r="O116" s="1287" t="str">
        <f>'I. Stream &amp; Compound Data'!Q292</f>
        <v/>
      </c>
      <c r="P116" s="1287" t="str">
        <f>IF('I. Stream &amp; Compound Data'!AM292="","",'I. Stream &amp; Compound Data'!AM292)</f>
        <v/>
      </c>
      <c r="Q116" s="1149" t="str">
        <f>IF('I. Stream &amp; Compound Data'!AO292="","",'I. Stream &amp; Compound Data'!AO292)</f>
        <v/>
      </c>
      <c r="R116" s="297"/>
      <c r="S116" s="298"/>
      <c r="T116" s="298"/>
      <c r="U116" s="299"/>
      <c r="V116" s="279"/>
      <c r="W116" s="279"/>
      <c r="X116" s="279"/>
      <c r="Y116" s="279"/>
      <c r="Z116" s="279"/>
      <c r="AA116" s="279"/>
      <c r="AB116" s="279"/>
      <c r="AC116" s="279"/>
      <c r="AD116" s="279"/>
      <c r="AE116" s="279"/>
      <c r="AF116" s="279"/>
      <c r="AG116" s="279"/>
      <c r="AH116" s="279"/>
      <c r="AI116" s="279"/>
      <c r="AJ116" s="279"/>
      <c r="AK116" s="279"/>
      <c r="AL116" s="279"/>
      <c r="AM116" s="279"/>
      <c r="AN116" s="279"/>
      <c r="AO116" s="279"/>
      <c r="AP116" s="279"/>
      <c r="AQ116" s="279"/>
      <c r="AR116" s="279"/>
      <c r="AS116" s="279"/>
      <c r="AT116" s="279"/>
      <c r="AU116" s="279"/>
      <c r="AV116" s="279"/>
      <c r="AW116" s="279"/>
      <c r="AX116" s="279"/>
      <c r="AY116" s="279"/>
      <c r="AZ116" s="279"/>
      <c r="BA116" s="279"/>
      <c r="BB116" s="279"/>
      <c r="BC116" s="279"/>
      <c r="BD116" s="279"/>
      <c r="BE116" s="279"/>
      <c r="BF116" s="279"/>
      <c r="BG116" s="279"/>
      <c r="BH116" s="279"/>
      <c r="BI116" s="279"/>
      <c r="BJ116" s="279"/>
      <c r="BK116" s="279"/>
      <c r="BL116" s="279"/>
      <c r="BM116" s="279"/>
      <c r="BN116" s="279"/>
      <c r="BO116" s="279"/>
      <c r="BP116" s="279"/>
      <c r="BQ116" s="279"/>
      <c r="BR116" s="279"/>
      <c r="BS116" s="279"/>
      <c r="BT116" s="279"/>
      <c r="BU116" s="279"/>
      <c r="BV116" s="279"/>
      <c r="BW116" s="279"/>
      <c r="BX116" s="279"/>
      <c r="BY116" s="279"/>
      <c r="BZ116" s="279"/>
      <c r="CA116" s="279"/>
      <c r="CB116" s="279"/>
      <c r="CC116" s="279"/>
      <c r="CD116" s="279"/>
      <c r="CE116" s="279"/>
      <c r="CF116" s="279"/>
      <c r="CG116" s="279"/>
      <c r="CH116" s="279"/>
      <c r="CI116" s="279"/>
      <c r="CJ116" s="279"/>
      <c r="CK116" s="279"/>
      <c r="CL116" s="279"/>
      <c r="CM116" s="279"/>
      <c r="CN116" s="382"/>
    </row>
    <row r="117" ht="21.75" customHeight="true" x14ac:dyDescent="0.3">
      <c r="B117" s="361"/>
      <c r="C117" s="279"/>
      <c r="D117" s="279"/>
      <c r="E117" s="829"/>
      <c r="F117" s="829"/>
      <c r="G117" s="829"/>
      <c r="H117" s="285">
        <f t="shared" si="9"/>
        <v>32</v>
      </c>
      <c r="I117" s="1286" t="str">
        <f>'I. Stream &amp; Compound Data'!G293</f>
        <v/>
      </c>
      <c r="J117" s="1287" t="str">
        <f>'I. Stream &amp; Compound Data'!H293</f>
        <v/>
      </c>
      <c r="K117" s="1287" t="str">
        <f>'I. Stream &amp; Compound Data'!L293</f>
        <v/>
      </c>
      <c r="L117" s="1287" t="str">
        <f>IF('I. Stream &amp; Compound Data'!K293="","",'I. Stream &amp; Compound Data'!K293)</f>
        <v/>
      </c>
      <c r="M117" s="1287" t="str">
        <f>'I. Stream &amp; Compound Data'!M293</f>
        <v/>
      </c>
      <c r="N117" s="1287" t="str">
        <f>'I. Stream &amp; Compound Data'!P293</f>
        <v/>
      </c>
      <c r="O117" s="1287" t="str">
        <f>'I. Stream &amp; Compound Data'!Q293</f>
        <v/>
      </c>
      <c r="P117" s="1287" t="str">
        <f>IF('I. Stream &amp; Compound Data'!AM293="","",'I. Stream &amp; Compound Data'!AM293)</f>
        <v/>
      </c>
      <c r="Q117" s="1149" t="str">
        <f>IF('I. Stream &amp; Compound Data'!AO293="","",'I. Stream &amp; Compound Data'!AO293)</f>
        <v/>
      </c>
      <c r="R117" s="297"/>
      <c r="S117" s="298"/>
      <c r="T117" s="298"/>
      <c r="U117" s="299"/>
      <c r="V117" s="279"/>
      <c r="W117" s="279"/>
      <c r="X117" s="279"/>
      <c r="Y117" s="279"/>
      <c r="Z117" s="279"/>
      <c r="AA117" s="279"/>
      <c r="AB117" s="279"/>
      <c r="AC117" s="279"/>
      <c r="AD117" s="279"/>
      <c r="AE117" s="279"/>
      <c r="AF117" s="279"/>
      <c r="AG117" s="279"/>
      <c r="AH117" s="279"/>
      <c r="AI117" s="279"/>
      <c r="AJ117" s="279"/>
      <c r="AK117" s="279"/>
      <c r="AL117" s="279"/>
      <c r="AM117" s="279"/>
      <c r="AN117" s="279"/>
      <c r="AO117" s="279"/>
      <c r="AP117" s="279"/>
      <c r="AQ117" s="279"/>
      <c r="AR117" s="279"/>
      <c r="AS117" s="279"/>
      <c r="AT117" s="279"/>
      <c r="AU117" s="279"/>
      <c r="AV117" s="279"/>
      <c r="AW117" s="279"/>
      <c r="AX117" s="279"/>
      <c r="AY117" s="279"/>
      <c r="AZ117" s="279"/>
      <c r="BA117" s="279"/>
      <c r="BB117" s="279"/>
      <c r="BC117" s="279"/>
      <c r="BD117" s="279"/>
      <c r="BE117" s="279"/>
      <c r="BF117" s="279"/>
      <c r="BG117" s="279"/>
      <c r="BH117" s="279"/>
      <c r="BI117" s="279"/>
      <c r="BJ117" s="279"/>
      <c r="BK117" s="279"/>
      <c r="BL117" s="279"/>
      <c r="BM117" s="279"/>
      <c r="BN117" s="279"/>
      <c r="BO117" s="279"/>
      <c r="BP117" s="279"/>
      <c r="BQ117" s="279"/>
      <c r="BR117" s="279"/>
      <c r="BS117" s="279"/>
      <c r="BT117" s="279"/>
      <c r="BU117" s="279"/>
      <c r="BV117" s="279"/>
      <c r="BW117" s="279"/>
      <c r="BX117" s="279"/>
      <c r="BY117" s="279"/>
      <c r="BZ117" s="279"/>
      <c r="CA117" s="279"/>
      <c r="CB117" s="279"/>
      <c r="CC117" s="279"/>
      <c r="CD117" s="279"/>
      <c r="CE117" s="279"/>
      <c r="CF117" s="279"/>
      <c r="CG117" s="279"/>
      <c r="CH117" s="279"/>
      <c r="CI117" s="279"/>
      <c r="CJ117" s="279"/>
      <c r="CK117" s="279"/>
      <c r="CL117" s="279"/>
      <c r="CM117" s="279"/>
      <c r="CN117" s="382"/>
    </row>
    <row r="118" ht="21.75" customHeight="true" x14ac:dyDescent="0.3">
      <c r="B118" s="361"/>
      <c r="C118" s="279"/>
      <c r="D118" s="279"/>
      <c r="E118" s="829"/>
      <c r="F118" s="829"/>
      <c r="G118" s="829"/>
      <c r="H118" s="285">
        <f t="shared" si="9"/>
        <v>33</v>
      </c>
      <c r="I118" s="1286" t="str">
        <f>'I. Stream &amp; Compound Data'!G294</f>
        <v/>
      </c>
      <c r="J118" s="1287" t="str">
        <f>'I. Stream &amp; Compound Data'!H294</f>
        <v/>
      </c>
      <c r="K118" s="1287" t="str">
        <f>'I. Stream &amp; Compound Data'!L294</f>
        <v/>
      </c>
      <c r="L118" s="1287" t="str">
        <f>IF('I. Stream &amp; Compound Data'!K294="","",'I. Stream &amp; Compound Data'!K294)</f>
        <v/>
      </c>
      <c r="M118" s="1287" t="str">
        <f>'I. Stream &amp; Compound Data'!M294</f>
        <v/>
      </c>
      <c r="N118" s="1287" t="str">
        <f>'I. Stream &amp; Compound Data'!P294</f>
        <v/>
      </c>
      <c r="O118" s="1287" t="str">
        <f>'I. Stream &amp; Compound Data'!Q294</f>
        <v/>
      </c>
      <c r="P118" s="1287" t="str">
        <f>IF('I. Stream &amp; Compound Data'!AM294="","",'I. Stream &amp; Compound Data'!AM294)</f>
        <v/>
      </c>
      <c r="Q118" s="1149" t="str">
        <f>IF('I. Stream &amp; Compound Data'!AO294="","",'I. Stream &amp; Compound Data'!AO294)</f>
        <v/>
      </c>
      <c r="R118" s="297"/>
      <c r="S118" s="298"/>
      <c r="T118" s="298"/>
      <c r="U118" s="299"/>
      <c r="V118" s="279"/>
      <c r="W118" s="279"/>
      <c r="X118" s="279"/>
      <c r="Y118" s="279"/>
      <c r="Z118" s="279"/>
      <c r="AA118" s="279"/>
      <c r="AB118" s="279"/>
      <c r="AC118" s="279"/>
      <c r="AD118" s="279"/>
      <c r="AE118" s="279"/>
      <c r="AF118" s="279"/>
      <c r="AG118" s="279"/>
      <c r="AH118" s="279"/>
      <c r="AI118" s="279"/>
      <c r="AJ118" s="279"/>
      <c r="AK118" s="279"/>
      <c r="AL118" s="279"/>
      <c r="AM118" s="279"/>
      <c r="AN118" s="279"/>
      <c r="AO118" s="279"/>
      <c r="AP118" s="279"/>
      <c r="AQ118" s="279"/>
      <c r="AR118" s="279"/>
      <c r="AS118" s="279"/>
      <c r="AT118" s="279"/>
      <c r="AU118" s="279"/>
      <c r="AV118" s="279"/>
      <c r="AW118" s="279"/>
      <c r="AX118" s="279"/>
      <c r="AY118" s="279"/>
      <c r="AZ118" s="279"/>
      <c r="BA118" s="279"/>
      <c r="BB118" s="279"/>
      <c r="BC118" s="279"/>
      <c r="BD118" s="279"/>
      <c r="BE118" s="279"/>
      <c r="BF118" s="279"/>
      <c r="BG118" s="279"/>
      <c r="BH118" s="279"/>
      <c r="BI118" s="279"/>
      <c r="BJ118" s="279"/>
      <c r="BK118" s="279"/>
      <c r="BL118" s="279"/>
      <c r="BM118" s="279"/>
      <c r="BN118" s="279"/>
      <c r="BO118" s="279"/>
      <c r="BP118" s="279"/>
      <c r="BQ118" s="279"/>
      <c r="BR118" s="279"/>
      <c r="BS118" s="279"/>
      <c r="BT118" s="279"/>
      <c r="BU118" s="279"/>
      <c r="BV118" s="279"/>
      <c r="BW118" s="279"/>
      <c r="BX118" s="279"/>
      <c r="BY118" s="279"/>
      <c r="BZ118" s="279"/>
      <c r="CA118" s="279"/>
      <c r="CB118" s="279"/>
      <c r="CC118" s="279"/>
      <c r="CD118" s="279"/>
      <c r="CE118" s="279"/>
      <c r="CF118" s="279"/>
      <c r="CG118" s="279"/>
      <c r="CH118" s="279"/>
      <c r="CI118" s="279"/>
      <c r="CJ118" s="279"/>
      <c r="CK118" s="279"/>
      <c r="CL118" s="279"/>
      <c r="CM118" s="279"/>
      <c r="CN118" s="382"/>
    </row>
    <row r="119" ht="21.75" customHeight="true" x14ac:dyDescent="0.3">
      <c r="B119" s="361"/>
      <c r="C119" s="279"/>
      <c r="D119" s="279"/>
      <c r="E119" s="829"/>
      <c r="F119" s="829"/>
      <c r="G119" s="829"/>
      <c r="H119" s="285">
        <f t="shared" si="9"/>
        <v>34</v>
      </c>
      <c r="I119" s="1286" t="str">
        <f>'I. Stream &amp; Compound Data'!G295</f>
        <v/>
      </c>
      <c r="J119" s="1287" t="str">
        <f>'I. Stream &amp; Compound Data'!H295</f>
        <v/>
      </c>
      <c r="K119" s="1287" t="str">
        <f>'I. Stream &amp; Compound Data'!L295</f>
        <v/>
      </c>
      <c r="L119" s="1287" t="str">
        <f>IF('I. Stream &amp; Compound Data'!K295="","",'I. Stream &amp; Compound Data'!K295)</f>
        <v/>
      </c>
      <c r="M119" s="1287" t="str">
        <f>'I. Stream &amp; Compound Data'!M295</f>
        <v/>
      </c>
      <c r="N119" s="1287" t="str">
        <f>'I. Stream &amp; Compound Data'!P295</f>
        <v/>
      </c>
      <c r="O119" s="1287" t="str">
        <f>'I. Stream &amp; Compound Data'!Q295</f>
        <v/>
      </c>
      <c r="P119" s="1287" t="str">
        <f>IF('I. Stream &amp; Compound Data'!AM295="","",'I. Stream &amp; Compound Data'!AM295)</f>
        <v/>
      </c>
      <c r="Q119" s="1149" t="str">
        <f>IF('I. Stream &amp; Compound Data'!AO295="","",'I. Stream &amp; Compound Data'!AO295)</f>
        <v/>
      </c>
      <c r="R119" s="297"/>
      <c r="S119" s="298"/>
      <c r="T119" s="298"/>
      <c r="U119" s="299"/>
      <c r="V119" s="279"/>
      <c r="W119" s="279"/>
      <c r="X119" s="279"/>
      <c r="Y119" s="279"/>
      <c r="Z119" s="279"/>
      <c r="AA119" s="279"/>
      <c r="AB119" s="279"/>
      <c r="AC119" s="279"/>
      <c r="AD119" s="279"/>
      <c r="AE119" s="279"/>
      <c r="AF119" s="279"/>
      <c r="AG119" s="279"/>
      <c r="AH119" s="279"/>
      <c r="AI119" s="279"/>
      <c r="AJ119" s="279"/>
      <c r="AK119" s="279"/>
      <c r="AL119" s="279"/>
      <c r="AM119" s="279"/>
      <c r="AN119" s="279"/>
      <c r="AO119" s="279"/>
      <c r="AP119" s="279"/>
      <c r="AQ119" s="279"/>
      <c r="AR119" s="279"/>
      <c r="AS119" s="279"/>
      <c r="AT119" s="279"/>
      <c r="AU119" s="279"/>
      <c r="AV119" s="279"/>
      <c r="AW119" s="279"/>
      <c r="AX119" s="279"/>
      <c r="AY119" s="279"/>
      <c r="AZ119" s="279"/>
      <c r="BA119" s="279"/>
      <c r="BB119" s="279"/>
      <c r="BC119" s="279"/>
      <c r="BD119" s="279"/>
      <c r="BE119" s="279"/>
      <c r="BF119" s="279"/>
      <c r="BG119" s="279"/>
      <c r="BH119" s="279"/>
      <c r="BI119" s="279"/>
      <c r="BJ119" s="279"/>
      <c r="BK119" s="279"/>
      <c r="BL119" s="279"/>
      <c r="BM119" s="279"/>
      <c r="BN119" s="279"/>
      <c r="BO119" s="279"/>
      <c r="BP119" s="279"/>
      <c r="BQ119" s="279"/>
      <c r="BR119" s="279"/>
      <c r="BS119" s="279"/>
      <c r="BT119" s="279"/>
      <c r="BU119" s="279"/>
      <c r="BV119" s="279"/>
      <c r="BW119" s="279"/>
      <c r="BX119" s="279"/>
      <c r="BY119" s="279"/>
      <c r="BZ119" s="279"/>
      <c r="CA119" s="279"/>
      <c r="CB119" s="279"/>
      <c r="CC119" s="279"/>
      <c r="CD119" s="279"/>
      <c r="CE119" s="279"/>
      <c r="CF119" s="279"/>
      <c r="CG119" s="279"/>
      <c r="CH119" s="279"/>
      <c r="CI119" s="279"/>
      <c r="CJ119" s="279"/>
      <c r="CK119" s="279"/>
      <c r="CL119" s="279"/>
      <c r="CM119" s="279"/>
      <c r="CN119" s="382"/>
    </row>
    <row r="120" ht="21.75" customHeight="true" x14ac:dyDescent="0.3">
      <c r="B120" s="361"/>
      <c r="C120" s="279"/>
      <c r="D120" s="279"/>
      <c r="E120" s="829"/>
      <c r="F120" s="829"/>
      <c r="G120" s="829"/>
      <c r="H120" s="285">
        <f t="shared" si="9"/>
        <v>35</v>
      </c>
      <c r="I120" s="1286" t="str">
        <f>'I. Stream &amp; Compound Data'!G296</f>
        <v/>
      </c>
      <c r="J120" s="1287" t="str">
        <f>'I. Stream &amp; Compound Data'!H296</f>
        <v/>
      </c>
      <c r="K120" s="1287" t="str">
        <f>'I. Stream &amp; Compound Data'!L296</f>
        <v/>
      </c>
      <c r="L120" s="1287" t="str">
        <f>IF('I. Stream &amp; Compound Data'!K296="","",'I. Stream &amp; Compound Data'!K296)</f>
        <v/>
      </c>
      <c r="M120" s="1287" t="str">
        <f>'I. Stream &amp; Compound Data'!M296</f>
        <v/>
      </c>
      <c r="N120" s="1287" t="str">
        <f>'I. Stream &amp; Compound Data'!P296</f>
        <v/>
      </c>
      <c r="O120" s="1287" t="str">
        <f>'I. Stream &amp; Compound Data'!Q296</f>
        <v/>
      </c>
      <c r="P120" s="1287" t="str">
        <f>IF('I. Stream &amp; Compound Data'!AM296="","",'I. Stream &amp; Compound Data'!AM296)</f>
        <v/>
      </c>
      <c r="Q120" s="1149" t="str">
        <f>IF('I. Stream &amp; Compound Data'!AO296="","",'I. Stream &amp; Compound Data'!AO296)</f>
        <v/>
      </c>
      <c r="R120" s="297"/>
      <c r="S120" s="298"/>
      <c r="T120" s="298"/>
      <c r="U120" s="299"/>
      <c r="V120" s="279"/>
      <c r="W120" s="279"/>
      <c r="X120" s="279"/>
      <c r="Y120" s="279"/>
      <c r="Z120" s="279"/>
      <c r="AA120" s="279"/>
      <c r="AB120" s="279"/>
      <c r="AC120" s="279"/>
      <c r="AD120" s="279"/>
      <c r="AE120" s="279"/>
      <c r="AF120" s="279"/>
      <c r="AG120" s="279"/>
      <c r="AH120" s="279"/>
      <c r="AI120" s="279"/>
      <c r="AJ120" s="279"/>
      <c r="AK120" s="279"/>
      <c r="AL120" s="279"/>
      <c r="AM120" s="279"/>
      <c r="AN120" s="279"/>
      <c r="AO120" s="279"/>
      <c r="AP120" s="279"/>
      <c r="AQ120" s="279"/>
      <c r="AR120" s="279"/>
      <c r="AS120" s="279"/>
      <c r="AT120" s="279"/>
      <c r="AU120" s="279"/>
      <c r="AV120" s="279"/>
      <c r="AW120" s="279"/>
      <c r="AX120" s="279"/>
      <c r="AY120" s="279"/>
      <c r="AZ120" s="279"/>
      <c r="BA120" s="279"/>
      <c r="BB120" s="279"/>
      <c r="BC120" s="279"/>
      <c r="BD120" s="279"/>
      <c r="BE120" s="279"/>
      <c r="BF120" s="279"/>
      <c r="BG120" s="279"/>
      <c r="BH120" s="279"/>
      <c r="BI120" s="279"/>
      <c r="BJ120" s="279"/>
      <c r="BK120" s="279"/>
      <c r="BL120" s="279"/>
      <c r="BM120" s="279"/>
      <c r="BN120" s="279"/>
      <c r="BO120" s="279"/>
      <c r="BP120" s="279"/>
      <c r="BQ120" s="279"/>
      <c r="BR120" s="279"/>
      <c r="BS120" s="279"/>
      <c r="BT120" s="279"/>
      <c r="BU120" s="279"/>
      <c r="BV120" s="279"/>
      <c r="BW120" s="279"/>
      <c r="BX120" s="279"/>
      <c r="BY120" s="279"/>
      <c r="BZ120" s="279"/>
      <c r="CA120" s="279"/>
      <c r="CB120" s="279"/>
      <c r="CC120" s="279"/>
      <c r="CD120" s="279"/>
      <c r="CE120" s="279"/>
      <c r="CF120" s="279"/>
      <c r="CG120" s="279"/>
      <c r="CH120" s="279"/>
      <c r="CI120" s="279"/>
      <c r="CJ120" s="279"/>
      <c r="CK120" s="279"/>
      <c r="CL120" s="279"/>
      <c r="CM120" s="279"/>
      <c r="CN120" s="382"/>
    </row>
    <row r="121" ht="21.75" customHeight="true" x14ac:dyDescent="0.3">
      <c r="B121" s="361"/>
      <c r="C121" s="279"/>
      <c r="D121" s="279"/>
      <c r="E121" s="829"/>
      <c r="F121" s="829"/>
      <c r="G121" s="829"/>
      <c r="H121" s="285">
        <f t="shared" si="9"/>
        <v>36</v>
      </c>
      <c r="I121" s="1286" t="str">
        <f>'I. Stream &amp; Compound Data'!G297</f>
        <v/>
      </c>
      <c r="J121" s="1287" t="str">
        <f>'I. Stream &amp; Compound Data'!H297</f>
        <v/>
      </c>
      <c r="K121" s="1287" t="str">
        <f>'I. Stream &amp; Compound Data'!L297</f>
        <v/>
      </c>
      <c r="L121" s="1287" t="str">
        <f>IF('I. Stream &amp; Compound Data'!K297="","",'I. Stream &amp; Compound Data'!K297)</f>
        <v/>
      </c>
      <c r="M121" s="1287" t="str">
        <f>'I. Stream &amp; Compound Data'!M297</f>
        <v/>
      </c>
      <c r="N121" s="1287" t="str">
        <f>'I. Stream &amp; Compound Data'!P297</f>
        <v/>
      </c>
      <c r="O121" s="1287" t="str">
        <f>'I. Stream &amp; Compound Data'!Q297</f>
        <v/>
      </c>
      <c r="P121" s="1287" t="str">
        <f>IF('I. Stream &amp; Compound Data'!AM297="","",'I. Stream &amp; Compound Data'!AM297)</f>
        <v/>
      </c>
      <c r="Q121" s="1149" t="str">
        <f>IF('I. Stream &amp; Compound Data'!AO297="","",'I. Stream &amp; Compound Data'!AO297)</f>
        <v/>
      </c>
      <c r="R121" s="297"/>
      <c r="S121" s="298"/>
      <c r="T121" s="298"/>
      <c r="U121" s="299"/>
      <c r="V121" s="279"/>
      <c r="W121" s="279"/>
      <c r="X121" s="279"/>
      <c r="Y121" s="279"/>
      <c r="Z121" s="279"/>
      <c r="AA121" s="279"/>
      <c r="AB121" s="279"/>
      <c r="AC121" s="279"/>
      <c r="AD121" s="279"/>
      <c r="AE121" s="279"/>
      <c r="AF121" s="279"/>
      <c r="AG121" s="279"/>
      <c r="AH121" s="279"/>
      <c r="AI121" s="279"/>
      <c r="AJ121" s="279"/>
      <c r="AK121" s="279"/>
      <c r="AL121" s="279"/>
      <c r="AM121" s="279"/>
      <c r="AN121" s="279"/>
      <c r="AO121" s="279"/>
      <c r="AP121" s="279"/>
      <c r="AQ121" s="279"/>
      <c r="AR121" s="279"/>
      <c r="AS121" s="279"/>
      <c r="AT121" s="279"/>
      <c r="AU121" s="279"/>
      <c r="AV121" s="279"/>
      <c r="AW121" s="279"/>
      <c r="AX121" s="279"/>
      <c r="AY121" s="279"/>
      <c r="AZ121" s="279"/>
      <c r="BA121" s="279"/>
      <c r="BB121" s="279"/>
      <c r="BC121" s="279"/>
      <c r="BD121" s="279"/>
      <c r="BE121" s="279"/>
      <c r="BF121" s="279"/>
      <c r="BG121" s="279"/>
      <c r="BH121" s="279"/>
      <c r="BI121" s="279"/>
      <c r="BJ121" s="279"/>
      <c r="BK121" s="279"/>
      <c r="BL121" s="279"/>
      <c r="BM121" s="279"/>
      <c r="BN121" s="279"/>
      <c r="BO121" s="279"/>
      <c r="BP121" s="279"/>
      <c r="BQ121" s="279"/>
      <c r="BR121" s="279"/>
      <c r="BS121" s="279"/>
      <c r="BT121" s="279"/>
      <c r="BU121" s="279"/>
      <c r="BV121" s="279"/>
      <c r="BW121" s="279"/>
      <c r="BX121" s="279"/>
      <c r="BY121" s="279"/>
      <c r="BZ121" s="279"/>
      <c r="CA121" s="279"/>
      <c r="CB121" s="279"/>
      <c r="CC121" s="279"/>
      <c r="CD121" s="279"/>
      <c r="CE121" s="279"/>
      <c r="CF121" s="279"/>
      <c r="CG121" s="279"/>
      <c r="CH121" s="279"/>
      <c r="CI121" s="279"/>
      <c r="CJ121" s="279"/>
      <c r="CK121" s="279"/>
      <c r="CL121" s="279"/>
      <c r="CM121" s="279"/>
      <c r="CN121" s="382"/>
    </row>
    <row r="122" ht="21.75" customHeight="true" x14ac:dyDescent="0.3">
      <c r="B122" s="361"/>
      <c r="C122" s="279"/>
      <c r="D122" s="279"/>
      <c r="E122" s="829"/>
      <c r="F122" s="829"/>
      <c r="G122" s="829"/>
      <c r="H122" s="285">
        <f t="shared" si="9"/>
        <v>37</v>
      </c>
      <c r="I122" s="1286" t="str">
        <f>'I. Stream &amp; Compound Data'!G298</f>
        <v/>
      </c>
      <c r="J122" s="1287" t="str">
        <f>'I. Stream &amp; Compound Data'!H298</f>
        <v/>
      </c>
      <c r="K122" s="1287" t="str">
        <f>'I. Stream &amp; Compound Data'!L298</f>
        <v/>
      </c>
      <c r="L122" s="1287" t="str">
        <f>IF('I. Stream &amp; Compound Data'!K298="","",'I. Stream &amp; Compound Data'!K298)</f>
        <v/>
      </c>
      <c r="M122" s="1287" t="str">
        <f>'I. Stream &amp; Compound Data'!M298</f>
        <v/>
      </c>
      <c r="N122" s="1287" t="str">
        <f>'I. Stream &amp; Compound Data'!P298</f>
        <v/>
      </c>
      <c r="O122" s="1287" t="str">
        <f>'I. Stream &amp; Compound Data'!Q298</f>
        <v/>
      </c>
      <c r="P122" s="1287" t="str">
        <f>IF('I. Stream &amp; Compound Data'!AM298="","",'I. Stream &amp; Compound Data'!AM298)</f>
        <v/>
      </c>
      <c r="Q122" s="1149" t="str">
        <f>IF('I. Stream &amp; Compound Data'!AO298="","",'I. Stream &amp; Compound Data'!AO298)</f>
        <v/>
      </c>
      <c r="R122" s="297"/>
      <c r="S122" s="298"/>
      <c r="T122" s="298"/>
      <c r="U122" s="299"/>
      <c r="V122" s="279"/>
      <c r="W122" s="279"/>
      <c r="X122" s="279"/>
      <c r="Y122" s="279"/>
      <c r="Z122" s="279"/>
      <c r="AA122" s="279"/>
      <c r="AB122" s="279"/>
      <c r="AC122" s="279"/>
      <c r="AD122" s="279"/>
      <c r="AE122" s="279"/>
      <c r="AF122" s="279"/>
      <c r="AG122" s="279"/>
      <c r="AH122" s="279"/>
      <c r="AI122" s="279"/>
      <c r="AJ122" s="279"/>
      <c r="AK122" s="279"/>
      <c r="AL122" s="279"/>
      <c r="AM122" s="279"/>
      <c r="AN122" s="279"/>
      <c r="AO122" s="279"/>
      <c r="AP122" s="279"/>
      <c r="AQ122" s="279"/>
      <c r="AR122" s="279"/>
      <c r="AS122" s="279"/>
      <c r="AT122" s="279"/>
      <c r="AU122" s="279"/>
      <c r="AV122" s="279"/>
      <c r="AW122" s="279"/>
      <c r="AX122" s="279"/>
      <c r="AY122" s="279"/>
      <c r="AZ122" s="279"/>
      <c r="BA122" s="279"/>
      <c r="BB122" s="279"/>
      <c r="BC122" s="279"/>
      <c r="BD122" s="279"/>
      <c r="BE122" s="279"/>
      <c r="BF122" s="279"/>
      <c r="BG122" s="279"/>
      <c r="BH122" s="279"/>
      <c r="BI122" s="279"/>
      <c r="BJ122" s="279"/>
      <c r="BK122" s="279"/>
      <c r="BL122" s="279"/>
      <c r="BM122" s="279"/>
      <c r="BN122" s="279"/>
      <c r="BO122" s="279"/>
      <c r="BP122" s="279"/>
      <c r="BQ122" s="279"/>
      <c r="BR122" s="279"/>
      <c r="BS122" s="279"/>
      <c r="BT122" s="279"/>
      <c r="BU122" s="279"/>
      <c r="BV122" s="279"/>
      <c r="BW122" s="279"/>
      <c r="BX122" s="279"/>
      <c r="BY122" s="279"/>
      <c r="BZ122" s="279"/>
      <c r="CA122" s="279"/>
      <c r="CB122" s="279"/>
      <c r="CC122" s="279"/>
      <c r="CD122" s="279"/>
      <c r="CE122" s="279"/>
      <c r="CF122" s="279"/>
      <c r="CG122" s="279"/>
      <c r="CH122" s="279"/>
      <c r="CI122" s="279"/>
      <c r="CJ122" s="279"/>
      <c r="CK122" s="279"/>
      <c r="CL122" s="279"/>
      <c r="CM122" s="279"/>
      <c r="CN122" s="382"/>
    </row>
    <row r="123" ht="21.75" customHeight="true" x14ac:dyDescent="0.3">
      <c r="B123" s="361"/>
      <c r="C123" s="279"/>
      <c r="D123" s="279"/>
      <c r="E123" s="829"/>
      <c r="F123" s="829"/>
      <c r="G123" s="829"/>
      <c r="H123" s="285">
        <f t="shared" si="9"/>
        <v>38</v>
      </c>
      <c r="I123" s="1286" t="str">
        <f>'I. Stream &amp; Compound Data'!G299</f>
        <v/>
      </c>
      <c r="J123" s="1287" t="str">
        <f>'I. Stream &amp; Compound Data'!H299</f>
        <v/>
      </c>
      <c r="K123" s="1287" t="str">
        <f>'I. Stream &amp; Compound Data'!L299</f>
        <v/>
      </c>
      <c r="L123" s="1287" t="str">
        <f>IF('I. Stream &amp; Compound Data'!K299="","",'I. Stream &amp; Compound Data'!K299)</f>
        <v/>
      </c>
      <c r="M123" s="1287" t="str">
        <f>'I. Stream &amp; Compound Data'!M299</f>
        <v/>
      </c>
      <c r="N123" s="1287" t="str">
        <f>'I. Stream &amp; Compound Data'!P299</f>
        <v/>
      </c>
      <c r="O123" s="1287" t="str">
        <f>'I. Stream &amp; Compound Data'!Q299</f>
        <v/>
      </c>
      <c r="P123" s="1287" t="str">
        <f>IF('I. Stream &amp; Compound Data'!AM299="","",'I. Stream &amp; Compound Data'!AM299)</f>
        <v/>
      </c>
      <c r="Q123" s="1149" t="str">
        <f>IF('I. Stream &amp; Compound Data'!AO299="","",'I. Stream &amp; Compound Data'!AO299)</f>
        <v/>
      </c>
      <c r="R123" s="297"/>
      <c r="S123" s="298"/>
      <c r="T123" s="298"/>
      <c r="U123" s="299"/>
      <c r="V123" s="279"/>
      <c r="W123" s="279"/>
      <c r="X123" s="279"/>
      <c r="Y123" s="279"/>
      <c r="Z123" s="279"/>
      <c r="AA123" s="279"/>
      <c r="AB123" s="279"/>
      <c r="AC123" s="279"/>
      <c r="AD123" s="279"/>
      <c r="AE123" s="279"/>
      <c r="AF123" s="279"/>
      <c r="AG123" s="279"/>
      <c r="AH123" s="279"/>
      <c r="AI123" s="279"/>
      <c r="AJ123" s="279"/>
      <c r="AK123" s="279"/>
      <c r="AL123" s="279"/>
      <c r="AM123" s="279"/>
      <c r="AN123" s="279"/>
      <c r="AO123" s="279"/>
      <c r="AP123" s="279"/>
      <c r="AQ123" s="279"/>
      <c r="AR123" s="279"/>
      <c r="AS123" s="279"/>
      <c r="AT123" s="279"/>
      <c r="AU123" s="279"/>
      <c r="AV123" s="279"/>
      <c r="AW123" s="279"/>
      <c r="AX123" s="279"/>
      <c r="AY123" s="279"/>
      <c r="AZ123" s="279"/>
      <c r="BA123" s="279"/>
      <c r="BB123" s="279"/>
      <c r="BC123" s="279"/>
      <c r="BD123" s="279"/>
      <c r="BE123" s="279"/>
      <c r="BF123" s="279"/>
      <c r="BG123" s="279"/>
      <c r="BH123" s="279"/>
      <c r="BI123" s="279"/>
      <c r="BJ123" s="279"/>
      <c r="BK123" s="279"/>
      <c r="BL123" s="279"/>
      <c r="BM123" s="279"/>
      <c r="BN123" s="279"/>
      <c r="BO123" s="279"/>
      <c r="BP123" s="279"/>
      <c r="BQ123" s="279"/>
      <c r="BR123" s="279"/>
      <c r="BS123" s="279"/>
      <c r="BT123" s="279"/>
      <c r="BU123" s="279"/>
      <c r="BV123" s="279"/>
      <c r="BW123" s="279"/>
      <c r="BX123" s="279"/>
      <c r="BY123" s="279"/>
      <c r="BZ123" s="279"/>
      <c r="CA123" s="279"/>
      <c r="CB123" s="279"/>
      <c r="CC123" s="279"/>
      <c r="CD123" s="279"/>
      <c r="CE123" s="279"/>
      <c r="CF123" s="279"/>
      <c r="CG123" s="279"/>
      <c r="CH123" s="279"/>
      <c r="CI123" s="279"/>
      <c r="CJ123" s="279"/>
      <c r="CK123" s="279"/>
      <c r="CL123" s="279"/>
      <c r="CM123" s="279"/>
      <c r="CN123" s="382"/>
    </row>
    <row r="124" ht="21.75" customHeight="true" x14ac:dyDescent="0.3">
      <c r="B124" s="361"/>
      <c r="C124" s="279"/>
      <c r="D124" s="279"/>
      <c r="E124" s="829"/>
      <c r="F124" s="829"/>
      <c r="G124" s="829"/>
      <c r="H124" s="285">
        <f t="shared" si="9"/>
        <v>39</v>
      </c>
      <c r="I124" s="1286" t="str">
        <f>'I. Stream &amp; Compound Data'!G300</f>
        <v/>
      </c>
      <c r="J124" s="1287" t="str">
        <f>'I. Stream &amp; Compound Data'!H300</f>
        <v/>
      </c>
      <c r="K124" s="1287" t="str">
        <f>'I. Stream &amp; Compound Data'!L300</f>
        <v/>
      </c>
      <c r="L124" s="1287" t="str">
        <f>IF('I. Stream &amp; Compound Data'!K300="","",'I. Stream &amp; Compound Data'!K300)</f>
        <v/>
      </c>
      <c r="M124" s="1287" t="str">
        <f>'I. Stream &amp; Compound Data'!M300</f>
        <v/>
      </c>
      <c r="N124" s="1287" t="str">
        <f>'I. Stream &amp; Compound Data'!P300</f>
        <v/>
      </c>
      <c r="O124" s="1287" t="str">
        <f>'I. Stream &amp; Compound Data'!Q300</f>
        <v/>
      </c>
      <c r="P124" s="1287" t="str">
        <f>IF('I. Stream &amp; Compound Data'!AM300="","",'I. Stream &amp; Compound Data'!AM300)</f>
        <v/>
      </c>
      <c r="Q124" s="1149" t="str">
        <f>IF('I. Stream &amp; Compound Data'!AO300="","",'I. Stream &amp; Compound Data'!AO300)</f>
        <v/>
      </c>
      <c r="R124" s="297"/>
      <c r="S124" s="298"/>
      <c r="T124" s="298"/>
      <c r="U124" s="299"/>
      <c r="V124" s="279"/>
      <c r="W124" s="279"/>
      <c r="X124" s="279"/>
      <c r="Y124" s="279"/>
      <c r="Z124" s="279"/>
      <c r="AA124" s="279"/>
      <c r="AB124" s="279"/>
      <c r="AC124" s="279"/>
      <c r="AD124" s="279"/>
      <c r="AE124" s="279"/>
      <c r="AF124" s="279"/>
      <c r="AG124" s="279"/>
      <c r="AH124" s="279"/>
      <c r="AI124" s="279"/>
      <c r="AJ124" s="279"/>
      <c r="AK124" s="279"/>
      <c r="AL124" s="279"/>
      <c r="AM124" s="279"/>
      <c r="AN124" s="279"/>
      <c r="AO124" s="279"/>
      <c r="AP124" s="279"/>
      <c r="AQ124" s="279"/>
      <c r="AR124" s="279"/>
      <c r="AS124" s="279"/>
      <c r="AT124" s="279"/>
      <c r="AU124" s="279"/>
      <c r="AV124" s="279"/>
      <c r="AW124" s="279"/>
      <c r="AX124" s="279"/>
      <c r="AY124" s="279"/>
      <c r="AZ124" s="279"/>
      <c r="BA124" s="279"/>
      <c r="BB124" s="279"/>
      <c r="BC124" s="279"/>
      <c r="BD124" s="279"/>
      <c r="BE124" s="279"/>
      <c r="BF124" s="279"/>
      <c r="BG124" s="279"/>
      <c r="BH124" s="279"/>
      <c r="BI124" s="279"/>
      <c r="BJ124" s="279"/>
      <c r="BK124" s="279"/>
      <c r="BL124" s="279"/>
      <c r="BM124" s="279"/>
      <c r="BN124" s="279"/>
      <c r="BO124" s="279"/>
      <c r="BP124" s="279"/>
      <c r="BQ124" s="279"/>
      <c r="BR124" s="279"/>
      <c r="BS124" s="279"/>
      <c r="BT124" s="279"/>
      <c r="BU124" s="279"/>
      <c r="BV124" s="279"/>
      <c r="BW124" s="279"/>
      <c r="BX124" s="279"/>
      <c r="BY124" s="279"/>
      <c r="BZ124" s="279"/>
      <c r="CA124" s="279"/>
      <c r="CB124" s="279"/>
      <c r="CC124" s="279"/>
      <c r="CD124" s="279"/>
      <c r="CE124" s="279"/>
      <c r="CF124" s="279"/>
      <c r="CG124" s="279"/>
      <c r="CH124" s="279"/>
      <c r="CI124" s="279"/>
      <c r="CJ124" s="279"/>
      <c r="CK124" s="279"/>
      <c r="CL124" s="279"/>
      <c r="CM124" s="279"/>
      <c r="CN124" s="382"/>
    </row>
    <row r="125" ht="21.75" customHeight="true" x14ac:dyDescent="0.3">
      <c r="B125" s="361"/>
      <c r="C125" s="279"/>
      <c r="D125" s="279"/>
      <c r="E125" s="829"/>
      <c r="F125" s="829"/>
      <c r="G125" s="829"/>
      <c r="H125" s="285">
        <f t="shared" si="9"/>
        <v>40</v>
      </c>
      <c r="I125" s="1286" t="str">
        <f>'I. Stream &amp; Compound Data'!G301</f>
        <v/>
      </c>
      <c r="J125" s="1287" t="str">
        <f>'I. Stream &amp; Compound Data'!H301</f>
        <v/>
      </c>
      <c r="K125" s="1287" t="str">
        <f>'I. Stream &amp; Compound Data'!L301</f>
        <v/>
      </c>
      <c r="L125" s="1287" t="str">
        <f>IF('I. Stream &amp; Compound Data'!K301="","",'I. Stream &amp; Compound Data'!K301)</f>
        <v/>
      </c>
      <c r="M125" s="1287" t="str">
        <f>'I. Stream &amp; Compound Data'!M301</f>
        <v/>
      </c>
      <c r="N125" s="1287" t="str">
        <f>'I. Stream &amp; Compound Data'!P301</f>
        <v/>
      </c>
      <c r="O125" s="1287" t="str">
        <f>'I. Stream &amp; Compound Data'!Q301</f>
        <v/>
      </c>
      <c r="P125" s="1287" t="str">
        <f>IF('I. Stream &amp; Compound Data'!AM301="","",'I. Stream &amp; Compound Data'!AM301)</f>
        <v/>
      </c>
      <c r="Q125" s="1149" t="str">
        <f>IF('I. Stream &amp; Compound Data'!AO301="","",'I. Stream &amp; Compound Data'!AO301)</f>
        <v/>
      </c>
      <c r="R125" s="297"/>
      <c r="S125" s="298"/>
      <c r="T125" s="298"/>
      <c r="U125" s="299"/>
      <c r="V125" s="279"/>
      <c r="W125" s="279"/>
      <c r="X125" s="279"/>
      <c r="Y125" s="279"/>
      <c r="Z125" s="279"/>
      <c r="AA125" s="279"/>
      <c r="AB125" s="279"/>
      <c r="AC125" s="279"/>
      <c r="AD125" s="279"/>
      <c r="AE125" s="279"/>
      <c r="AF125" s="279"/>
      <c r="AG125" s="279"/>
      <c r="AH125" s="279"/>
      <c r="AI125" s="279"/>
      <c r="AJ125" s="279"/>
      <c r="AK125" s="279"/>
      <c r="AL125" s="279"/>
      <c r="AM125" s="279"/>
      <c r="AN125" s="279"/>
      <c r="AO125" s="279"/>
      <c r="AP125" s="279"/>
      <c r="AQ125" s="279"/>
      <c r="AR125" s="279"/>
      <c r="AS125" s="279"/>
      <c r="AT125" s="279"/>
      <c r="AU125" s="279"/>
      <c r="AV125" s="279"/>
      <c r="AW125" s="279"/>
      <c r="AX125" s="279"/>
      <c r="AY125" s="279"/>
      <c r="AZ125" s="279"/>
      <c r="BA125" s="279"/>
      <c r="BB125" s="279"/>
      <c r="BC125" s="279"/>
      <c r="BD125" s="279"/>
      <c r="BE125" s="279"/>
      <c r="BF125" s="279"/>
      <c r="BG125" s="279"/>
      <c r="BH125" s="279"/>
      <c r="BI125" s="279"/>
      <c r="BJ125" s="279"/>
      <c r="BK125" s="279"/>
      <c r="BL125" s="279"/>
      <c r="BM125" s="279"/>
      <c r="BN125" s="279"/>
      <c r="BO125" s="279"/>
      <c r="BP125" s="279"/>
      <c r="BQ125" s="279"/>
      <c r="BR125" s="279"/>
      <c r="BS125" s="279"/>
      <c r="BT125" s="279"/>
      <c r="BU125" s="279"/>
      <c r="BV125" s="279"/>
      <c r="BW125" s="279"/>
      <c r="BX125" s="279"/>
      <c r="BY125" s="279"/>
      <c r="BZ125" s="279"/>
      <c r="CA125" s="279"/>
      <c r="CB125" s="279"/>
      <c r="CC125" s="279"/>
      <c r="CD125" s="279"/>
      <c r="CE125" s="279"/>
      <c r="CF125" s="279"/>
      <c r="CG125" s="279"/>
      <c r="CH125" s="279"/>
      <c r="CI125" s="279"/>
      <c r="CJ125" s="279"/>
      <c r="CK125" s="279"/>
      <c r="CL125" s="279"/>
      <c r="CM125" s="279"/>
      <c r="CN125" s="382"/>
    </row>
    <row r="126" ht="21.75" customHeight="true" x14ac:dyDescent="0.3">
      <c r="B126" s="361"/>
      <c r="C126" s="279"/>
      <c r="D126" s="279"/>
      <c r="E126" s="829"/>
      <c r="F126" s="829"/>
      <c r="G126" s="829"/>
      <c r="H126" s="285">
        <f t="shared" si="9"/>
        <v>41</v>
      </c>
      <c r="I126" s="1286" t="str">
        <f>'I. Stream &amp; Compound Data'!G302</f>
        <v/>
      </c>
      <c r="J126" s="1287" t="str">
        <f>'I. Stream &amp; Compound Data'!H302</f>
        <v/>
      </c>
      <c r="K126" s="1287" t="str">
        <f>'I. Stream &amp; Compound Data'!L302</f>
        <v/>
      </c>
      <c r="L126" s="1287" t="str">
        <f>IF('I. Stream &amp; Compound Data'!K302="","",'I. Stream &amp; Compound Data'!K302)</f>
        <v/>
      </c>
      <c r="M126" s="1287" t="str">
        <f>'I. Stream &amp; Compound Data'!M302</f>
        <v/>
      </c>
      <c r="N126" s="1287" t="str">
        <f>'I. Stream &amp; Compound Data'!P302</f>
        <v/>
      </c>
      <c r="O126" s="1287" t="str">
        <f>'I. Stream &amp; Compound Data'!Q302</f>
        <v/>
      </c>
      <c r="P126" s="1287" t="str">
        <f>IF('I. Stream &amp; Compound Data'!AM302="","",'I. Stream &amp; Compound Data'!AM302)</f>
        <v/>
      </c>
      <c r="Q126" s="1149" t="str">
        <f>IF('I. Stream &amp; Compound Data'!AO302="","",'I. Stream &amp; Compound Data'!AO302)</f>
        <v/>
      </c>
      <c r="R126" s="297"/>
      <c r="S126" s="298"/>
      <c r="T126" s="298"/>
      <c r="U126" s="299"/>
      <c r="V126" s="279"/>
      <c r="W126" s="279"/>
      <c r="X126" s="279"/>
      <c r="Y126" s="279"/>
      <c r="Z126" s="279"/>
      <c r="AA126" s="279"/>
      <c r="AB126" s="279"/>
      <c r="AC126" s="279"/>
      <c r="AD126" s="279"/>
      <c r="AE126" s="279"/>
      <c r="AF126" s="279"/>
      <c r="AG126" s="279"/>
      <c r="AH126" s="279"/>
      <c r="AI126" s="279"/>
      <c r="AJ126" s="279"/>
      <c r="AK126" s="279"/>
      <c r="AL126" s="279"/>
      <c r="AM126" s="279"/>
      <c r="AN126" s="279"/>
      <c r="AO126" s="279"/>
      <c r="AP126" s="279"/>
      <c r="AQ126" s="279"/>
      <c r="AR126" s="279"/>
      <c r="AS126" s="279"/>
      <c r="AT126" s="279"/>
      <c r="AU126" s="279"/>
      <c r="AV126" s="279"/>
      <c r="AW126" s="279"/>
      <c r="AX126" s="279"/>
      <c r="AY126" s="279"/>
      <c r="AZ126" s="279"/>
      <c r="BA126" s="279"/>
      <c r="BB126" s="279"/>
      <c r="BC126" s="279"/>
      <c r="BD126" s="279"/>
      <c r="BE126" s="279"/>
      <c r="BF126" s="279"/>
      <c r="BG126" s="279"/>
      <c r="BH126" s="279"/>
      <c r="BI126" s="279"/>
      <c r="BJ126" s="279"/>
      <c r="BK126" s="279"/>
      <c r="BL126" s="279"/>
      <c r="BM126" s="279"/>
      <c r="BN126" s="279"/>
      <c r="BO126" s="279"/>
      <c r="BP126" s="279"/>
      <c r="BQ126" s="279"/>
      <c r="BR126" s="279"/>
      <c r="BS126" s="279"/>
      <c r="BT126" s="279"/>
      <c r="BU126" s="279"/>
      <c r="BV126" s="279"/>
      <c r="BW126" s="279"/>
      <c r="BX126" s="279"/>
      <c r="BY126" s="279"/>
      <c r="BZ126" s="279"/>
      <c r="CA126" s="279"/>
      <c r="CB126" s="279"/>
      <c r="CC126" s="279"/>
      <c r="CD126" s="279"/>
      <c r="CE126" s="279"/>
      <c r="CF126" s="279"/>
      <c r="CG126" s="279"/>
      <c r="CH126" s="279"/>
      <c r="CI126" s="279"/>
      <c r="CJ126" s="279"/>
      <c r="CK126" s="279"/>
      <c r="CL126" s="279"/>
      <c r="CM126" s="279"/>
      <c r="CN126" s="382"/>
    </row>
    <row r="127" ht="21.75" customHeight="true" x14ac:dyDescent="0.3">
      <c r="B127" s="361"/>
      <c r="C127" s="279"/>
      <c r="D127" s="279"/>
      <c r="E127" s="829"/>
      <c r="F127" s="829"/>
      <c r="G127" s="829"/>
      <c r="H127" s="285">
        <f t="shared" si="9"/>
        <v>42</v>
      </c>
      <c r="I127" s="1286" t="str">
        <f>'I. Stream &amp; Compound Data'!G303</f>
        <v/>
      </c>
      <c r="J127" s="1287" t="str">
        <f>'I. Stream &amp; Compound Data'!H303</f>
        <v/>
      </c>
      <c r="K127" s="1287" t="str">
        <f>'I. Stream &amp; Compound Data'!L303</f>
        <v/>
      </c>
      <c r="L127" s="1287" t="str">
        <f>IF('I. Stream &amp; Compound Data'!K303="","",'I. Stream &amp; Compound Data'!K303)</f>
        <v/>
      </c>
      <c r="M127" s="1287" t="str">
        <f>'I. Stream &amp; Compound Data'!M303</f>
        <v/>
      </c>
      <c r="N127" s="1287" t="str">
        <f>'I. Stream &amp; Compound Data'!P303</f>
        <v/>
      </c>
      <c r="O127" s="1287" t="str">
        <f>'I. Stream &amp; Compound Data'!Q303</f>
        <v/>
      </c>
      <c r="P127" s="1287" t="str">
        <f>IF('I. Stream &amp; Compound Data'!AM303="","",'I. Stream &amp; Compound Data'!AM303)</f>
        <v/>
      </c>
      <c r="Q127" s="1149" t="str">
        <f>IF('I. Stream &amp; Compound Data'!AO303="","",'I. Stream &amp; Compound Data'!AO303)</f>
        <v/>
      </c>
      <c r="R127" s="297"/>
      <c r="S127" s="298"/>
      <c r="T127" s="298"/>
      <c r="U127" s="299"/>
      <c r="V127" s="279"/>
      <c r="W127" s="279"/>
      <c r="X127" s="279"/>
      <c r="Y127" s="279"/>
      <c r="Z127" s="279"/>
      <c r="AA127" s="279"/>
      <c r="AB127" s="279"/>
      <c r="AC127" s="279"/>
      <c r="AD127" s="279"/>
      <c r="AE127" s="279"/>
      <c r="AF127" s="279"/>
      <c r="AG127" s="279"/>
      <c r="AH127" s="279"/>
      <c r="AI127" s="279"/>
      <c r="AJ127" s="279"/>
      <c r="AK127" s="279"/>
      <c r="AL127" s="279"/>
      <c r="AM127" s="279"/>
      <c r="AN127" s="279"/>
      <c r="AO127" s="279"/>
      <c r="AP127" s="279"/>
      <c r="AQ127" s="279"/>
      <c r="AR127" s="279"/>
      <c r="AS127" s="279"/>
      <c r="AT127" s="279"/>
      <c r="AU127" s="279"/>
      <c r="AV127" s="279"/>
      <c r="AW127" s="279"/>
      <c r="AX127" s="279"/>
      <c r="AY127" s="279"/>
      <c r="AZ127" s="279"/>
      <c r="BA127" s="279"/>
      <c r="BB127" s="279"/>
      <c r="BC127" s="279"/>
      <c r="BD127" s="279"/>
      <c r="BE127" s="279"/>
      <c r="BF127" s="279"/>
      <c r="BG127" s="279"/>
      <c r="BH127" s="279"/>
      <c r="BI127" s="279"/>
      <c r="BJ127" s="279"/>
      <c r="BK127" s="279"/>
      <c r="BL127" s="279"/>
      <c r="BM127" s="279"/>
      <c r="BN127" s="279"/>
      <c r="BO127" s="279"/>
      <c r="BP127" s="279"/>
      <c r="BQ127" s="279"/>
      <c r="BR127" s="279"/>
      <c r="BS127" s="279"/>
      <c r="BT127" s="279"/>
      <c r="BU127" s="279"/>
      <c r="BV127" s="279"/>
      <c r="BW127" s="279"/>
      <c r="BX127" s="279"/>
      <c r="BY127" s="279"/>
      <c r="BZ127" s="279"/>
      <c r="CA127" s="279"/>
      <c r="CB127" s="279"/>
      <c r="CC127" s="279"/>
      <c r="CD127" s="279"/>
      <c r="CE127" s="279"/>
      <c r="CF127" s="279"/>
      <c r="CG127" s="279"/>
      <c r="CH127" s="279"/>
      <c r="CI127" s="279"/>
      <c r="CJ127" s="279"/>
      <c r="CK127" s="279"/>
      <c r="CL127" s="279"/>
      <c r="CM127" s="279"/>
      <c r="CN127" s="382"/>
    </row>
    <row r="128" ht="21.75" customHeight="true" x14ac:dyDescent="0.3">
      <c r="B128" s="361"/>
      <c r="C128" s="279"/>
      <c r="D128" s="279"/>
      <c r="E128" s="829"/>
      <c r="F128" s="829"/>
      <c r="G128" s="829"/>
      <c r="H128" s="285">
        <f t="shared" si="9"/>
        <v>43</v>
      </c>
      <c r="I128" s="1286" t="str">
        <f>'I. Stream &amp; Compound Data'!G304</f>
        <v/>
      </c>
      <c r="J128" s="1287" t="str">
        <f>'I. Stream &amp; Compound Data'!H304</f>
        <v/>
      </c>
      <c r="K128" s="1287" t="str">
        <f>'I. Stream &amp; Compound Data'!L304</f>
        <v/>
      </c>
      <c r="L128" s="1287" t="str">
        <f>IF('I. Stream &amp; Compound Data'!K304="","",'I. Stream &amp; Compound Data'!K304)</f>
        <v/>
      </c>
      <c r="M128" s="1287" t="str">
        <f>'I. Stream &amp; Compound Data'!M304</f>
        <v/>
      </c>
      <c r="N128" s="1287" t="str">
        <f>'I. Stream &amp; Compound Data'!P304</f>
        <v/>
      </c>
      <c r="O128" s="1287" t="str">
        <f>'I. Stream &amp; Compound Data'!Q304</f>
        <v/>
      </c>
      <c r="P128" s="1287" t="str">
        <f>IF('I. Stream &amp; Compound Data'!AM304="","",'I. Stream &amp; Compound Data'!AM304)</f>
        <v/>
      </c>
      <c r="Q128" s="1149" t="str">
        <f>IF('I. Stream &amp; Compound Data'!AO304="","",'I. Stream &amp; Compound Data'!AO304)</f>
        <v/>
      </c>
      <c r="R128" s="297"/>
      <c r="S128" s="298"/>
      <c r="T128" s="298"/>
      <c r="U128" s="299"/>
      <c r="V128" s="279"/>
      <c r="W128" s="279"/>
      <c r="X128" s="279"/>
      <c r="Y128" s="279"/>
      <c r="Z128" s="279"/>
      <c r="AA128" s="279"/>
      <c r="AB128" s="279"/>
      <c r="AC128" s="279"/>
      <c r="AD128" s="279"/>
      <c r="AE128" s="279"/>
      <c r="AF128" s="279"/>
      <c r="AG128" s="279"/>
      <c r="AH128" s="279"/>
      <c r="AI128" s="279"/>
      <c r="AJ128" s="279"/>
      <c r="AK128" s="279"/>
      <c r="AL128" s="279"/>
      <c r="AM128" s="279"/>
      <c r="AN128" s="279"/>
      <c r="AO128" s="279"/>
      <c r="AP128" s="279"/>
      <c r="AQ128" s="279"/>
      <c r="AR128" s="279"/>
      <c r="AS128" s="279"/>
      <c r="AT128" s="279"/>
      <c r="AU128" s="279"/>
      <c r="AV128" s="279"/>
      <c r="AW128" s="279"/>
      <c r="AX128" s="279"/>
      <c r="AY128" s="279"/>
      <c r="AZ128" s="279"/>
      <c r="BA128" s="279"/>
      <c r="BB128" s="279"/>
      <c r="BC128" s="279"/>
      <c r="BD128" s="279"/>
      <c r="BE128" s="279"/>
      <c r="BF128" s="279"/>
      <c r="BG128" s="279"/>
      <c r="BH128" s="279"/>
      <c r="BI128" s="279"/>
      <c r="BJ128" s="279"/>
      <c r="BK128" s="279"/>
      <c r="BL128" s="279"/>
      <c r="BM128" s="279"/>
      <c r="BN128" s="279"/>
      <c r="BO128" s="279"/>
      <c r="BP128" s="279"/>
      <c r="BQ128" s="279"/>
      <c r="BR128" s="279"/>
      <c r="BS128" s="279"/>
      <c r="BT128" s="279"/>
      <c r="BU128" s="279"/>
      <c r="BV128" s="279"/>
      <c r="BW128" s="279"/>
      <c r="BX128" s="279"/>
      <c r="BY128" s="279"/>
      <c r="BZ128" s="279"/>
      <c r="CA128" s="279"/>
      <c r="CB128" s="279"/>
      <c r="CC128" s="279"/>
      <c r="CD128" s="279"/>
      <c r="CE128" s="279"/>
      <c r="CF128" s="279"/>
      <c r="CG128" s="279"/>
      <c r="CH128" s="279"/>
      <c r="CI128" s="279"/>
      <c r="CJ128" s="279"/>
      <c r="CK128" s="279"/>
      <c r="CL128" s="279"/>
      <c r="CM128" s="279"/>
      <c r="CN128" s="382"/>
    </row>
    <row r="129" ht="21.75" customHeight="true" x14ac:dyDescent="0.3">
      <c r="B129" s="361"/>
      <c r="C129" s="279"/>
      <c r="D129" s="279"/>
      <c r="E129" s="829"/>
      <c r="F129" s="829"/>
      <c r="G129" s="829"/>
      <c r="H129" s="285">
        <f t="shared" si="9"/>
        <v>44</v>
      </c>
      <c r="I129" s="1286" t="str">
        <f>'I. Stream &amp; Compound Data'!G305</f>
        <v/>
      </c>
      <c r="J129" s="1287" t="str">
        <f>'I. Stream &amp; Compound Data'!H305</f>
        <v/>
      </c>
      <c r="K129" s="1287" t="str">
        <f>'I. Stream &amp; Compound Data'!L305</f>
        <v/>
      </c>
      <c r="L129" s="1287" t="str">
        <f>IF('I. Stream &amp; Compound Data'!K305="","",'I. Stream &amp; Compound Data'!K305)</f>
        <v/>
      </c>
      <c r="M129" s="1287" t="str">
        <f>'I. Stream &amp; Compound Data'!M305</f>
        <v/>
      </c>
      <c r="N129" s="1287" t="str">
        <f>'I. Stream &amp; Compound Data'!P305</f>
        <v/>
      </c>
      <c r="O129" s="1287" t="str">
        <f>'I. Stream &amp; Compound Data'!Q305</f>
        <v/>
      </c>
      <c r="P129" s="1287" t="str">
        <f>IF('I. Stream &amp; Compound Data'!AM305="","",'I. Stream &amp; Compound Data'!AM305)</f>
        <v/>
      </c>
      <c r="Q129" s="1149" t="str">
        <f>IF('I. Stream &amp; Compound Data'!AO305="","",'I. Stream &amp; Compound Data'!AO305)</f>
        <v/>
      </c>
      <c r="R129" s="297"/>
      <c r="S129" s="298"/>
      <c r="T129" s="298"/>
      <c r="U129" s="299"/>
      <c r="V129" s="279"/>
      <c r="W129" s="279"/>
      <c r="X129" s="279"/>
      <c r="Y129" s="279"/>
      <c r="Z129" s="279"/>
      <c r="AA129" s="279"/>
      <c r="AB129" s="279"/>
      <c r="AC129" s="279"/>
      <c r="AD129" s="279"/>
      <c r="AE129" s="279"/>
      <c r="AF129" s="279"/>
      <c r="AG129" s="279"/>
      <c r="AH129" s="279"/>
      <c r="AI129" s="279"/>
      <c r="AJ129" s="279"/>
      <c r="AK129" s="279"/>
      <c r="AL129" s="279"/>
      <c r="AM129" s="279"/>
      <c r="AN129" s="279"/>
      <c r="AO129" s="279"/>
      <c r="AP129" s="279"/>
      <c r="AQ129" s="279"/>
      <c r="AR129" s="279"/>
      <c r="AS129" s="279"/>
      <c r="AT129" s="279"/>
      <c r="AU129" s="279"/>
      <c r="AV129" s="279"/>
      <c r="AW129" s="279"/>
      <c r="AX129" s="279"/>
      <c r="AY129" s="279"/>
      <c r="AZ129" s="279"/>
      <c r="BA129" s="279"/>
      <c r="BB129" s="279"/>
      <c r="BC129" s="279"/>
      <c r="BD129" s="279"/>
      <c r="BE129" s="279"/>
      <c r="BF129" s="279"/>
      <c r="BG129" s="279"/>
      <c r="BH129" s="279"/>
      <c r="BI129" s="279"/>
      <c r="BJ129" s="279"/>
      <c r="BK129" s="279"/>
      <c r="BL129" s="279"/>
      <c r="BM129" s="279"/>
      <c r="BN129" s="279"/>
      <c r="BO129" s="279"/>
      <c r="BP129" s="279"/>
      <c r="BQ129" s="279"/>
      <c r="BR129" s="279"/>
      <c r="BS129" s="279"/>
      <c r="BT129" s="279"/>
      <c r="BU129" s="279"/>
      <c r="BV129" s="279"/>
      <c r="BW129" s="279"/>
      <c r="BX129" s="279"/>
      <c r="BY129" s="279"/>
      <c r="BZ129" s="279"/>
      <c r="CA129" s="279"/>
      <c r="CB129" s="279"/>
      <c r="CC129" s="279"/>
      <c r="CD129" s="279"/>
      <c r="CE129" s="279"/>
      <c r="CF129" s="279"/>
      <c r="CG129" s="279"/>
      <c r="CH129" s="279"/>
      <c r="CI129" s="279"/>
      <c r="CJ129" s="279"/>
      <c r="CK129" s="279"/>
      <c r="CL129" s="279"/>
      <c r="CM129" s="279"/>
      <c r="CN129" s="382"/>
    </row>
    <row r="130" ht="21.75" customHeight="true" x14ac:dyDescent="0.3">
      <c r="B130" s="361"/>
      <c r="C130" s="279"/>
      <c r="D130" s="279"/>
      <c r="E130" s="829"/>
      <c r="F130" s="829"/>
      <c r="G130" s="829"/>
      <c r="H130" s="285">
        <f t="shared" si="9"/>
        <v>45</v>
      </c>
      <c r="I130" s="1286" t="str">
        <f>'I. Stream &amp; Compound Data'!G306</f>
        <v/>
      </c>
      <c r="J130" s="1287" t="str">
        <f>'I. Stream &amp; Compound Data'!H306</f>
        <v/>
      </c>
      <c r="K130" s="1287" t="str">
        <f>'I. Stream &amp; Compound Data'!L306</f>
        <v/>
      </c>
      <c r="L130" s="1287" t="str">
        <f>IF('I. Stream &amp; Compound Data'!K306="","",'I. Stream &amp; Compound Data'!K306)</f>
        <v/>
      </c>
      <c r="M130" s="1287" t="str">
        <f>'I. Stream &amp; Compound Data'!M306</f>
        <v/>
      </c>
      <c r="N130" s="1287" t="str">
        <f>'I. Stream &amp; Compound Data'!P306</f>
        <v/>
      </c>
      <c r="O130" s="1287" t="str">
        <f>'I. Stream &amp; Compound Data'!Q306</f>
        <v/>
      </c>
      <c r="P130" s="1287" t="str">
        <f>IF('I. Stream &amp; Compound Data'!AM306="","",'I. Stream &amp; Compound Data'!AM306)</f>
        <v/>
      </c>
      <c r="Q130" s="1149" t="str">
        <f>IF('I. Stream &amp; Compound Data'!AO306="","",'I. Stream &amp; Compound Data'!AO306)</f>
        <v/>
      </c>
      <c r="R130" s="297"/>
      <c r="S130" s="298"/>
      <c r="T130" s="298"/>
      <c r="U130" s="299"/>
      <c r="V130" s="279"/>
      <c r="W130" s="279"/>
      <c r="X130" s="279"/>
      <c r="Y130" s="279"/>
      <c r="Z130" s="279"/>
      <c r="AA130" s="279"/>
      <c r="AB130" s="279"/>
      <c r="AC130" s="279"/>
      <c r="AD130" s="279"/>
      <c r="AE130" s="279"/>
      <c r="AF130" s="279"/>
      <c r="AG130" s="279"/>
      <c r="AH130" s="279"/>
      <c r="AI130" s="279"/>
      <c r="AJ130" s="279"/>
      <c r="AK130" s="279"/>
      <c r="AL130" s="279"/>
      <c r="AM130" s="279"/>
      <c r="AN130" s="279"/>
      <c r="AO130" s="279"/>
      <c r="AP130" s="279"/>
      <c r="AQ130" s="279"/>
      <c r="AR130" s="279"/>
      <c r="AS130" s="279"/>
      <c r="AT130" s="279"/>
      <c r="AU130" s="279"/>
      <c r="AV130" s="279"/>
      <c r="AW130" s="279"/>
      <c r="AX130" s="279"/>
      <c r="AY130" s="279"/>
      <c r="AZ130" s="279"/>
      <c r="BA130" s="279"/>
      <c r="BB130" s="279"/>
      <c r="BC130" s="279"/>
      <c r="BD130" s="279"/>
      <c r="BE130" s="279"/>
      <c r="BF130" s="279"/>
      <c r="BG130" s="279"/>
      <c r="BH130" s="279"/>
      <c r="BI130" s="279"/>
      <c r="BJ130" s="279"/>
      <c r="BK130" s="279"/>
      <c r="BL130" s="279"/>
      <c r="BM130" s="279"/>
      <c r="BN130" s="279"/>
      <c r="BO130" s="279"/>
      <c r="BP130" s="279"/>
      <c r="BQ130" s="279"/>
      <c r="BR130" s="279"/>
      <c r="BS130" s="279"/>
      <c r="BT130" s="279"/>
      <c r="BU130" s="279"/>
      <c r="BV130" s="279"/>
      <c r="BW130" s="279"/>
      <c r="BX130" s="279"/>
      <c r="BY130" s="279"/>
      <c r="BZ130" s="279"/>
      <c r="CA130" s="279"/>
      <c r="CB130" s="279"/>
      <c r="CC130" s="279"/>
      <c r="CD130" s="279"/>
      <c r="CE130" s="279"/>
      <c r="CF130" s="279"/>
      <c r="CG130" s="279"/>
      <c r="CH130" s="279"/>
      <c r="CI130" s="279"/>
      <c r="CJ130" s="279"/>
      <c r="CK130" s="279"/>
      <c r="CL130" s="279"/>
      <c r="CM130" s="279"/>
      <c r="CN130" s="382"/>
    </row>
    <row r="131" ht="21.75" customHeight="true" x14ac:dyDescent="0.3">
      <c r="B131" s="361"/>
      <c r="C131" s="279"/>
      <c r="D131" s="279"/>
      <c r="E131" s="829"/>
      <c r="F131" s="829"/>
      <c r="G131" s="829"/>
      <c r="H131" s="285">
        <f t="shared" si="9"/>
        <v>46</v>
      </c>
      <c r="I131" s="1286" t="str">
        <f>'I. Stream &amp; Compound Data'!G307</f>
        <v/>
      </c>
      <c r="J131" s="1287" t="str">
        <f>'I. Stream &amp; Compound Data'!H307</f>
        <v/>
      </c>
      <c r="K131" s="1287" t="str">
        <f>'I. Stream &amp; Compound Data'!L307</f>
        <v/>
      </c>
      <c r="L131" s="1287" t="str">
        <f>IF('I. Stream &amp; Compound Data'!K307="","",'I. Stream &amp; Compound Data'!K307)</f>
        <v/>
      </c>
      <c r="M131" s="1287" t="str">
        <f>'I. Stream &amp; Compound Data'!M307</f>
        <v/>
      </c>
      <c r="N131" s="1287" t="str">
        <f>'I. Stream &amp; Compound Data'!P307</f>
        <v/>
      </c>
      <c r="O131" s="1287" t="str">
        <f>'I. Stream &amp; Compound Data'!Q307</f>
        <v/>
      </c>
      <c r="P131" s="1287" t="str">
        <f>IF('I. Stream &amp; Compound Data'!AM307="","",'I. Stream &amp; Compound Data'!AM307)</f>
        <v/>
      </c>
      <c r="Q131" s="1149" t="str">
        <f>IF('I. Stream &amp; Compound Data'!AO307="","",'I. Stream &amp; Compound Data'!AO307)</f>
        <v/>
      </c>
      <c r="R131" s="297"/>
      <c r="S131" s="298"/>
      <c r="T131" s="298"/>
      <c r="U131" s="299"/>
      <c r="V131" s="279"/>
      <c r="W131" s="279"/>
      <c r="X131" s="279"/>
      <c r="Y131" s="279"/>
      <c r="Z131" s="279"/>
      <c r="AA131" s="279"/>
      <c r="AB131" s="279"/>
      <c r="AC131" s="279"/>
      <c r="AD131" s="279"/>
      <c r="AE131" s="279"/>
      <c r="AF131" s="279"/>
      <c r="AG131" s="279"/>
      <c r="AH131" s="279"/>
      <c r="AI131" s="279"/>
      <c r="AJ131" s="279"/>
      <c r="AK131" s="279"/>
      <c r="AL131" s="279"/>
      <c r="AM131" s="279"/>
      <c r="AN131" s="279"/>
      <c r="AO131" s="279"/>
      <c r="AP131" s="279"/>
      <c r="AQ131" s="279"/>
      <c r="AR131" s="279"/>
      <c r="AS131" s="279"/>
      <c r="AT131" s="279"/>
      <c r="AU131" s="279"/>
      <c r="AV131" s="279"/>
      <c r="AW131" s="279"/>
      <c r="AX131" s="279"/>
      <c r="AY131" s="279"/>
      <c r="AZ131" s="279"/>
      <c r="BA131" s="279"/>
      <c r="BB131" s="279"/>
      <c r="BC131" s="279"/>
      <c r="BD131" s="279"/>
      <c r="BE131" s="279"/>
      <c r="BF131" s="279"/>
      <c r="BG131" s="279"/>
      <c r="BH131" s="279"/>
      <c r="BI131" s="279"/>
      <c r="BJ131" s="279"/>
      <c r="BK131" s="279"/>
      <c r="BL131" s="279"/>
      <c r="BM131" s="279"/>
      <c r="BN131" s="279"/>
      <c r="BO131" s="279"/>
      <c r="BP131" s="279"/>
      <c r="BQ131" s="279"/>
      <c r="BR131" s="279"/>
      <c r="BS131" s="279"/>
      <c r="BT131" s="279"/>
      <c r="BU131" s="279"/>
      <c r="BV131" s="279"/>
      <c r="BW131" s="279"/>
      <c r="BX131" s="279"/>
      <c r="BY131" s="279"/>
      <c r="BZ131" s="279"/>
      <c r="CA131" s="279"/>
      <c r="CB131" s="279"/>
      <c r="CC131" s="279"/>
      <c r="CD131" s="279"/>
      <c r="CE131" s="279"/>
      <c r="CF131" s="279"/>
      <c r="CG131" s="279"/>
      <c r="CH131" s="279"/>
      <c r="CI131" s="279"/>
      <c r="CJ131" s="279"/>
      <c r="CK131" s="279"/>
      <c r="CL131" s="279"/>
      <c r="CM131" s="279"/>
      <c r="CN131" s="382"/>
    </row>
    <row r="132" ht="21.75" customHeight="true" x14ac:dyDescent="0.3">
      <c r="B132" s="361"/>
      <c r="C132" s="279"/>
      <c r="D132" s="279"/>
      <c r="E132" s="829"/>
      <c r="F132" s="829"/>
      <c r="G132" s="829"/>
      <c r="H132" s="285">
        <f t="shared" si="9"/>
        <v>47</v>
      </c>
      <c r="I132" s="1286" t="str">
        <f>'I. Stream &amp; Compound Data'!G308</f>
        <v/>
      </c>
      <c r="J132" s="1287" t="str">
        <f>'I. Stream &amp; Compound Data'!H308</f>
        <v/>
      </c>
      <c r="K132" s="1287" t="str">
        <f>'I. Stream &amp; Compound Data'!L308</f>
        <v/>
      </c>
      <c r="L132" s="1287" t="str">
        <f>IF('I. Stream &amp; Compound Data'!K308="","",'I. Stream &amp; Compound Data'!K308)</f>
        <v/>
      </c>
      <c r="M132" s="1287" t="str">
        <f>'I. Stream &amp; Compound Data'!M308</f>
        <v/>
      </c>
      <c r="N132" s="1287" t="str">
        <f>'I. Stream &amp; Compound Data'!P308</f>
        <v/>
      </c>
      <c r="O132" s="1287" t="str">
        <f>'I. Stream &amp; Compound Data'!Q308</f>
        <v/>
      </c>
      <c r="P132" s="1287" t="str">
        <f>IF('I. Stream &amp; Compound Data'!AM308="","",'I. Stream &amp; Compound Data'!AM308)</f>
        <v/>
      </c>
      <c r="Q132" s="1149" t="str">
        <f>IF('I. Stream &amp; Compound Data'!AO308="","",'I. Stream &amp; Compound Data'!AO308)</f>
        <v/>
      </c>
      <c r="R132" s="297"/>
      <c r="S132" s="298"/>
      <c r="T132" s="298"/>
      <c r="U132" s="299"/>
      <c r="V132" s="279"/>
      <c r="W132" s="279"/>
      <c r="X132" s="279"/>
      <c r="Y132" s="279"/>
      <c r="Z132" s="279"/>
      <c r="AA132" s="279"/>
      <c r="AB132" s="279"/>
      <c r="AC132" s="279"/>
      <c r="AD132" s="279"/>
      <c r="AE132" s="279"/>
      <c r="AF132" s="279"/>
      <c r="AG132" s="279"/>
      <c r="AH132" s="279"/>
      <c r="AI132" s="279"/>
      <c r="AJ132" s="279"/>
      <c r="AK132" s="279"/>
      <c r="AL132" s="279"/>
      <c r="AM132" s="279"/>
      <c r="AN132" s="279"/>
      <c r="AO132" s="279"/>
      <c r="AP132" s="279"/>
      <c r="AQ132" s="279"/>
      <c r="AR132" s="279"/>
      <c r="AS132" s="279"/>
      <c r="AT132" s="279"/>
      <c r="AU132" s="279"/>
      <c r="AV132" s="279"/>
      <c r="AW132" s="279"/>
      <c r="AX132" s="279"/>
      <c r="AY132" s="279"/>
      <c r="AZ132" s="279"/>
      <c r="BA132" s="279"/>
      <c r="BB132" s="279"/>
      <c r="BC132" s="279"/>
      <c r="BD132" s="279"/>
      <c r="BE132" s="279"/>
      <c r="BF132" s="279"/>
      <c r="BG132" s="279"/>
      <c r="BH132" s="279"/>
      <c r="BI132" s="279"/>
      <c r="BJ132" s="279"/>
      <c r="BK132" s="279"/>
      <c r="BL132" s="279"/>
      <c r="BM132" s="279"/>
      <c r="BN132" s="279"/>
      <c r="BO132" s="279"/>
      <c r="BP132" s="279"/>
      <c r="BQ132" s="279"/>
      <c r="BR132" s="279"/>
      <c r="BS132" s="279"/>
      <c r="BT132" s="279"/>
      <c r="BU132" s="279"/>
      <c r="BV132" s="279"/>
      <c r="BW132" s="279"/>
      <c r="BX132" s="279"/>
      <c r="BY132" s="279"/>
      <c r="BZ132" s="279"/>
      <c r="CA132" s="279"/>
      <c r="CB132" s="279"/>
      <c r="CC132" s="279"/>
      <c r="CD132" s="279"/>
      <c r="CE132" s="279"/>
      <c r="CF132" s="279"/>
      <c r="CG132" s="279"/>
      <c r="CH132" s="279"/>
      <c r="CI132" s="279"/>
      <c r="CJ132" s="279"/>
      <c r="CK132" s="279"/>
      <c r="CL132" s="279"/>
      <c r="CM132" s="279"/>
      <c r="CN132" s="382"/>
    </row>
    <row r="133" ht="21.75" customHeight="true" x14ac:dyDescent="0.3">
      <c r="B133" s="361"/>
      <c r="C133" s="279"/>
      <c r="D133" s="279"/>
      <c r="E133" s="829"/>
      <c r="F133" s="829"/>
      <c r="G133" s="829"/>
      <c r="H133" s="285">
        <f t="shared" si="9"/>
        <v>48</v>
      </c>
      <c r="I133" s="1286" t="str">
        <f>'I. Stream &amp; Compound Data'!G309</f>
        <v/>
      </c>
      <c r="J133" s="1287" t="str">
        <f>'I. Stream &amp; Compound Data'!H309</f>
        <v/>
      </c>
      <c r="K133" s="1287" t="str">
        <f>'I. Stream &amp; Compound Data'!L309</f>
        <v/>
      </c>
      <c r="L133" s="1287" t="str">
        <f>IF('I. Stream &amp; Compound Data'!K309="","",'I. Stream &amp; Compound Data'!K309)</f>
        <v/>
      </c>
      <c r="M133" s="1287" t="str">
        <f>'I. Stream &amp; Compound Data'!M309</f>
        <v/>
      </c>
      <c r="N133" s="1287" t="str">
        <f>'I. Stream &amp; Compound Data'!P309</f>
        <v/>
      </c>
      <c r="O133" s="1287" t="str">
        <f>'I. Stream &amp; Compound Data'!Q309</f>
        <v/>
      </c>
      <c r="P133" s="1287" t="str">
        <f>IF('I. Stream &amp; Compound Data'!AM309="","",'I. Stream &amp; Compound Data'!AM309)</f>
        <v/>
      </c>
      <c r="Q133" s="1149" t="str">
        <f>IF('I. Stream &amp; Compound Data'!AO309="","",'I. Stream &amp; Compound Data'!AO309)</f>
        <v/>
      </c>
      <c r="R133" s="297"/>
      <c r="S133" s="298"/>
      <c r="T133" s="298"/>
      <c r="U133" s="299"/>
      <c r="V133" s="279"/>
      <c r="W133" s="279"/>
      <c r="X133" s="279"/>
      <c r="Y133" s="279"/>
      <c r="Z133" s="279"/>
      <c r="AA133" s="279"/>
      <c r="AB133" s="279"/>
      <c r="AC133" s="279"/>
      <c r="AD133" s="279"/>
      <c r="AE133" s="279"/>
      <c r="AF133" s="279"/>
      <c r="AG133" s="279"/>
      <c r="AH133" s="279"/>
      <c r="AI133" s="279"/>
      <c r="AJ133" s="279"/>
      <c r="AK133" s="279"/>
      <c r="AL133" s="279"/>
      <c r="AM133" s="279"/>
      <c r="AN133" s="279"/>
      <c r="AO133" s="279"/>
      <c r="AP133" s="279"/>
      <c r="AQ133" s="279"/>
      <c r="AR133" s="279"/>
      <c r="AS133" s="279"/>
      <c r="AT133" s="279"/>
      <c r="AU133" s="279"/>
      <c r="AV133" s="279"/>
      <c r="AW133" s="279"/>
      <c r="AX133" s="279"/>
      <c r="AY133" s="279"/>
      <c r="AZ133" s="279"/>
      <c r="BA133" s="279"/>
      <c r="BB133" s="279"/>
      <c r="BC133" s="279"/>
      <c r="BD133" s="279"/>
      <c r="BE133" s="279"/>
      <c r="BF133" s="279"/>
      <c r="BG133" s="279"/>
      <c r="BH133" s="279"/>
      <c r="BI133" s="279"/>
      <c r="BJ133" s="279"/>
      <c r="BK133" s="279"/>
      <c r="BL133" s="279"/>
      <c r="BM133" s="279"/>
      <c r="BN133" s="279"/>
      <c r="BO133" s="279"/>
      <c r="BP133" s="279"/>
      <c r="BQ133" s="279"/>
      <c r="BR133" s="279"/>
      <c r="BS133" s="279"/>
      <c r="BT133" s="279"/>
      <c r="BU133" s="279"/>
      <c r="BV133" s="279"/>
      <c r="BW133" s="279"/>
      <c r="BX133" s="279"/>
      <c r="BY133" s="279"/>
      <c r="BZ133" s="279"/>
      <c r="CA133" s="279"/>
      <c r="CB133" s="279"/>
      <c r="CC133" s="279"/>
      <c r="CD133" s="279"/>
      <c r="CE133" s="279"/>
      <c r="CF133" s="279"/>
      <c r="CG133" s="279"/>
      <c r="CH133" s="279"/>
      <c r="CI133" s="279"/>
      <c r="CJ133" s="279"/>
      <c r="CK133" s="279"/>
      <c r="CL133" s="279"/>
      <c r="CM133" s="279"/>
      <c r="CN133" s="382"/>
    </row>
    <row r="134" ht="21.75" customHeight="true" x14ac:dyDescent="0.3">
      <c r="B134" s="361"/>
      <c r="C134" s="279"/>
      <c r="D134" s="279"/>
      <c r="E134" s="829"/>
      <c r="F134" s="829"/>
      <c r="G134" s="829"/>
      <c r="H134" s="285">
        <f t="shared" si="9"/>
        <v>49</v>
      </c>
      <c r="I134" s="1286" t="str">
        <f>'I. Stream &amp; Compound Data'!G310</f>
        <v/>
      </c>
      <c r="J134" s="1287" t="str">
        <f>'I. Stream &amp; Compound Data'!H310</f>
        <v/>
      </c>
      <c r="K134" s="1287" t="str">
        <f>'I. Stream &amp; Compound Data'!L310</f>
        <v/>
      </c>
      <c r="L134" s="1287" t="str">
        <f>IF('I. Stream &amp; Compound Data'!K310="","",'I. Stream &amp; Compound Data'!K310)</f>
        <v/>
      </c>
      <c r="M134" s="1287" t="str">
        <f>'I. Stream &amp; Compound Data'!M310</f>
        <v/>
      </c>
      <c r="N134" s="1287" t="str">
        <f>'I. Stream &amp; Compound Data'!P310</f>
        <v/>
      </c>
      <c r="O134" s="1287" t="str">
        <f>'I. Stream &amp; Compound Data'!Q310</f>
        <v/>
      </c>
      <c r="P134" s="1287" t="str">
        <f>IF('I. Stream &amp; Compound Data'!AM310="","",'I. Stream &amp; Compound Data'!AM310)</f>
        <v/>
      </c>
      <c r="Q134" s="1149" t="str">
        <f>IF('I. Stream &amp; Compound Data'!AO310="","",'I. Stream &amp; Compound Data'!AO310)</f>
        <v/>
      </c>
      <c r="R134" s="297"/>
      <c r="S134" s="298"/>
      <c r="T134" s="298"/>
      <c r="U134" s="299"/>
      <c r="V134" s="279"/>
      <c r="W134" s="279"/>
      <c r="X134" s="279"/>
      <c r="Y134" s="279"/>
      <c r="Z134" s="279"/>
      <c r="AA134" s="279"/>
      <c r="AB134" s="279"/>
      <c r="AC134" s="279"/>
      <c r="AD134" s="279"/>
      <c r="AE134" s="279"/>
      <c r="AF134" s="279"/>
      <c r="AG134" s="279"/>
      <c r="AH134" s="279"/>
      <c r="AI134" s="279"/>
      <c r="AJ134" s="279"/>
      <c r="AK134" s="279"/>
      <c r="AL134" s="279"/>
      <c r="AM134" s="279"/>
      <c r="AN134" s="279"/>
      <c r="AO134" s="279"/>
      <c r="AP134" s="279"/>
      <c r="AQ134" s="279"/>
      <c r="AR134" s="279"/>
      <c r="AS134" s="279"/>
      <c r="AT134" s="279"/>
      <c r="AU134" s="279"/>
      <c r="AV134" s="279"/>
      <c r="AW134" s="279"/>
      <c r="AX134" s="279"/>
      <c r="AY134" s="279"/>
      <c r="AZ134" s="279"/>
      <c r="BA134" s="279"/>
      <c r="BB134" s="279"/>
      <c r="BC134" s="279"/>
      <c r="BD134" s="279"/>
      <c r="BE134" s="279"/>
      <c r="BF134" s="279"/>
      <c r="BG134" s="279"/>
      <c r="BH134" s="279"/>
      <c r="BI134" s="279"/>
      <c r="BJ134" s="279"/>
      <c r="BK134" s="279"/>
      <c r="BL134" s="279"/>
      <c r="BM134" s="279"/>
      <c r="BN134" s="279"/>
      <c r="BO134" s="279"/>
      <c r="BP134" s="279"/>
      <c r="BQ134" s="279"/>
      <c r="BR134" s="279"/>
      <c r="BS134" s="279"/>
      <c r="BT134" s="279"/>
      <c r="BU134" s="279"/>
      <c r="BV134" s="279"/>
      <c r="BW134" s="279"/>
      <c r="BX134" s="279"/>
      <c r="BY134" s="279"/>
      <c r="BZ134" s="279"/>
      <c r="CA134" s="279"/>
      <c r="CB134" s="279"/>
      <c r="CC134" s="279"/>
      <c r="CD134" s="279"/>
      <c r="CE134" s="279"/>
      <c r="CF134" s="279"/>
      <c r="CG134" s="279"/>
      <c r="CH134" s="279"/>
      <c r="CI134" s="279"/>
      <c r="CJ134" s="279"/>
      <c r="CK134" s="279"/>
      <c r="CL134" s="279"/>
      <c r="CM134" s="279"/>
      <c r="CN134" s="382"/>
    </row>
    <row r="135" ht="21.75" customHeight="true" thickBot="true" x14ac:dyDescent="0.35">
      <c r="B135" s="361"/>
      <c r="C135" s="279"/>
      <c r="D135" s="279"/>
      <c r="E135" s="829"/>
      <c r="F135" s="829"/>
      <c r="G135" s="829"/>
      <c r="H135" s="1288">
        <f t="shared" si="9"/>
        <v>50</v>
      </c>
      <c r="I135" s="1289" t="str">
        <f>'I. Stream &amp; Compound Data'!G311</f>
        <v/>
      </c>
      <c r="J135" s="1290" t="str">
        <f>'I. Stream &amp; Compound Data'!H311</f>
        <v/>
      </c>
      <c r="K135" s="1290" t="str">
        <f>'I. Stream &amp; Compound Data'!L311</f>
        <v/>
      </c>
      <c r="L135" s="1290" t="str">
        <f>IF('I. Stream &amp; Compound Data'!K311="","",'I. Stream &amp; Compound Data'!K311)</f>
        <v/>
      </c>
      <c r="M135" s="1290" t="str">
        <f>'I. Stream &amp; Compound Data'!M311</f>
        <v/>
      </c>
      <c r="N135" s="1290" t="str">
        <f>'I. Stream &amp; Compound Data'!P311</f>
        <v/>
      </c>
      <c r="O135" s="1290" t="str">
        <f>'I. Stream &amp; Compound Data'!Q311</f>
        <v/>
      </c>
      <c r="P135" s="1290" t="str">
        <f>IF('I. Stream &amp; Compound Data'!AM311="","",'I. Stream &amp; Compound Data'!AM311)</f>
        <v/>
      </c>
      <c r="Q135" s="1291" t="str">
        <f>IF('I. Stream &amp; Compound Data'!AO311="","",'I. Stream &amp; Compound Data'!AO311)</f>
        <v/>
      </c>
      <c r="R135" s="297"/>
      <c r="S135" s="298"/>
      <c r="T135" s="298"/>
      <c r="U135" s="299"/>
      <c r="V135" s="279"/>
      <c r="W135" s="279"/>
      <c r="X135" s="279"/>
      <c r="Y135" s="279"/>
      <c r="Z135" s="279"/>
      <c r="AA135" s="279"/>
      <c r="AB135" s="279"/>
      <c r="AC135" s="279"/>
      <c r="AD135" s="279"/>
      <c r="AE135" s="279"/>
      <c r="AF135" s="279"/>
      <c r="AG135" s="279"/>
      <c r="AH135" s="279"/>
      <c r="AI135" s="279"/>
      <c r="AJ135" s="279"/>
      <c r="AK135" s="279"/>
      <c r="AL135" s="279"/>
      <c r="AM135" s="279"/>
      <c r="AN135" s="279"/>
      <c r="AO135" s="279"/>
      <c r="AP135" s="279"/>
      <c r="AQ135" s="279"/>
      <c r="AR135" s="279"/>
      <c r="AS135" s="279"/>
      <c r="AT135" s="279"/>
      <c r="AU135" s="279"/>
      <c r="AV135" s="279"/>
      <c r="AW135" s="279"/>
      <c r="AX135" s="279"/>
      <c r="AY135" s="279"/>
      <c r="AZ135" s="279"/>
      <c r="BA135" s="279"/>
      <c r="BB135" s="279"/>
      <c r="BC135" s="279"/>
      <c r="BD135" s="279"/>
      <c r="BE135" s="279"/>
      <c r="BF135" s="279"/>
      <c r="BG135" s="279"/>
      <c r="BH135" s="279"/>
      <c r="BI135" s="279"/>
      <c r="BJ135" s="279"/>
      <c r="BK135" s="279"/>
      <c r="BL135" s="279"/>
      <c r="BM135" s="279"/>
      <c r="BN135" s="279"/>
      <c r="BO135" s="279"/>
      <c r="BP135" s="279"/>
      <c r="BQ135" s="279"/>
      <c r="BR135" s="279"/>
      <c r="BS135" s="279"/>
      <c r="BT135" s="279"/>
      <c r="BU135" s="279"/>
      <c r="BV135" s="279"/>
      <c r="BW135" s="279"/>
      <c r="BX135" s="279"/>
      <c r="BY135" s="279"/>
      <c r="BZ135" s="279"/>
      <c r="CA135" s="279"/>
      <c r="CB135" s="279"/>
      <c r="CC135" s="279"/>
      <c r="CD135" s="279"/>
      <c r="CE135" s="279"/>
      <c r="CF135" s="279"/>
      <c r="CG135" s="279"/>
      <c r="CH135" s="279"/>
      <c r="CI135" s="279"/>
      <c r="CJ135" s="279"/>
      <c r="CK135" s="279"/>
      <c r="CL135" s="279"/>
      <c r="CM135" s="279"/>
      <c r="CN135" s="382"/>
    </row>
    <row r="136" ht="21.75" customHeight="true" x14ac:dyDescent="0.3">
      <c r="B136" s="361"/>
      <c r="C136" s="279"/>
      <c r="D136" s="279"/>
      <c r="E136" s="829"/>
      <c r="F136" s="829"/>
      <c r="G136" s="829"/>
      <c r="H136" s="281"/>
      <c r="I136" s="286"/>
      <c r="J136" s="279"/>
      <c r="K136" s="279"/>
      <c r="L136" s="280"/>
      <c r="M136" s="286"/>
      <c r="N136" s="279"/>
      <c r="O136" s="280"/>
      <c r="P136" s="280"/>
      <c r="Q136" s="279"/>
      <c r="R136" s="297"/>
      <c r="S136" s="298"/>
      <c r="T136" s="298"/>
      <c r="U136" s="299"/>
      <c r="V136" s="279"/>
      <c r="W136" s="279"/>
      <c r="X136" s="279"/>
      <c r="Y136" s="279"/>
      <c r="Z136" s="279"/>
      <c r="AA136" s="279"/>
      <c r="AB136" s="279"/>
      <c r="AC136" s="279"/>
      <c r="AD136" s="279"/>
      <c r="AE136" s="279"/>
      <c r="AF136" s="279"/>
      <c r="AG136" s="279"/>
      <c r="AH136" s="279"/>
      <c r="AI136" s="279"/>
      <c r="AJ136" s="279"/>
      <c r="AK136" s="279"/>
      <c r="AL136" s="279"/>
      <c r="AM136" s="279"/>
      <c r="AN136" s="279"/>
      <c r="AO136" s="279"/>
      <c r="AP136" s="279"/>
      <c r="AQ136" s="279"/>
      <c r="AR136" s="279"/>
      <c r="AS136" s="279"/>
      <c r="AT136" s="279"/>
      <c r="AU136" s="279"/>
      <c r="AV136" s="279"/>
      <c r="AW136" s="279"/>
      <c r="AX136" s="279"/>
      <c r="AY136" s="279"/>
      <c r="AZ136" s="279"/>
      <c r="BA136" s="279"/>
      <c r="BB136" s="279"/>
      <c r="BC136" s="279"/>
      <c r="BD136" s="279"/>
      <c r="BE136" s="279"/>
      <c r="BF136" s="279"/>
      <c r="BG136" s="279"/>
      <c r="BH136" s="279"/>
      <c r="BI136" s="279"/>
      <c r="BJ136" s="279"/>
      <c r="BK136" s="279"/>
      <c r="BL136" s="279"/>
      <c r="BM136" s="279"/>
      <c r="BN136" s="279"/>
      <c r="BO136" s="279"/>
      <c r="BP136" s="279"/>
      <c r="BQ136" s="279"/>
      <c r="BR136" s="279"/>
      <c r="BS136" s="279"/>
      <c r="BT136" s="279"/>
      <c r="BU136" s="279"/>
      <c r="BV136" s="279"/>
      <c r="BW136" s="279"/>
      <c r="BX136" s="279"/>
      <c r="BY136" s="279"/>
      <c r="BZ136" s="279"/>
      <c r="CA136" s="279"/>
      <c r="CB136" s="279"/>
      <c r="CC136" s="279"/>
      <c r="CD136" s="279"/>
      <c r="CE136" s="279"/>
      <c r="CF136" s="279"/>
      <c r="CG136" s="279"/>
      <c r="CH136" s="279"/>
      <c r="CI136" s="279"/>
      <c r="CJ136" s="279"/>
      <c r="CK136" s="279"/>
      <c r="CL136" s="279"/>
      <c r="CM136" s="279"/>
      <c r="CN136" s="382"/>
    </row>
    <row r="137" ht="21.75" customHeight="true" x14ac:dyDescent="0.3">
      <c r="B137" s="361"/>
      <c r="C137" s="279"/>
      <c r="D137" s="279"/>
      <c r="E137" s="829"/>
      <c r="F137" s="829"/>
      <c r="G137" s="829"/>
      <c r="H137" s="281"/>
      <c r="I137" s="286"/>
      <c r="J137" s="279"/>
      <c r="K137" s="279"/>
      <c r="L137" s="280"/>
      <c r="M137" s="286"/>
      <c r="N137" s="279"/>
      <c r="O137" s="280"/>
      <c r="P137" s="280"/>
      <c r="Q137" s="279"/>
      <c r="R137" s="297"/>
      <c r="S137" s="298"/>
      <c r="T137" s="298"/>
      <c r="U137" s="299"/>
      <c r="V137" s="279"/>
      <c r="W137" s="279"/>
      <c r="X137" s="279"/>
      <c r="Y137" s="279"/>
      <c r="Z137" s="279"/>
      <c r="AA137" s="279"/>
      <c r="AB137" s="279"/>
      <c r="AC137" s="279"/>
      <c r="AD137" s="279"/>
      <c r="AE137" s="279"/>
      <c r="AF137" s="279"/>
      <c r="AG137" s="279"/>
      <c r="AH137" s="279"/>
      <c r="AI137" s="279"/>
      <c r="AJ137" s="279"/>
      <c r="AK137" s="279"/>
      <c r="AL137" s="279"/>
      <c r="AM137" s="279"/>
      <c r="AN137" s="279"/>
      <c r="AO137" s="279"/>
      <c r="AP137" s="279"/>
      <c r="AQ137" s="279"/>
      <c r="AR137" s="279"/>
      <c r="AS137" s="279"/>
      <c r="AT137" s="279"/>
      <c r="AU137" s="279"/>
      <c r="AV137" s="279"/>
      <c r="AW137" s="279"/>
      <c r="AX137" s="279"/>
      <c r="AY137" s="279"/>
      <c r="AZ137" s="279"/>
      <c r="BA137" s="279"/>
      <c r="BB137" s="279"/>
      <c r="BC137" s="279"/>
      <c r="BD137" s="279"/>
      <c r="BE137" s="279"/>
      <c r="BF137" s="279"/>
      <c r="BG137" s="279"/>
      <c r="BH137" s="279"/>
      <c r="BI137" s="279"/>
      <c r="BJ137" s="279"/>
      <c r="BK137" s="279"/>
      <c r="BL137" s="279"/>
      <c r="BM137" s="279"/>
      <c r="BN137" s="279"/>
      <c r="BO137" s="279"/>
      <c r="BP137" s="279"/>
      <c r="BQ137" s="279"/>
      <c r="BR137" s="279"/>
      <c r="BS137" s="279"/>
      <c r="BT137" s="279"/>
      <c r="BU137" s="279"/>
      <c r="BV137" s="279"/>
      <c r="BW137" s="279"/>
      <c r="BX137" s="279"/>
      <c r="BY137" s="279"/>
      <c r="BZ137" s="279"/>
      <c r="CA137" s="279"/>
      <c r="CB137" s="279"/>
      <c r="CC137" s="279"/>
      <c r="CD137" s="279"/>
      <c r="CE137" s="279"/>
      <c r="CF137" s="279"/>
      <c r="CG137" s="279"/>
      <c r="CH137" s="279"/>
      <c r="CI137" s="279"/>
      <c r="CJ137" s="279"/>
      <c r="CK137" s="279"/>
      <c r="CL137" s="279"/>
      <c r="CM137" s="279"/>
      <c r="CN137" s="382"/>
    </row>
    <row r="138" ht="21.75" customHeight="true" x14ac:dyDescent="0.3">
      <c r="B138" s="361"/>
      <c r="C138" s="279"/>
      <c r="D138" s="279"/>
      <c r="E138" s="829"/>
      <c r="F138" s="829"/>
      <c r="G138" s="829"/>
      <c r="H138" s="281"/>
      <c r="I138" s="286"/>
      <c r="J138" s="279"/>
      <c r="K138" s="279"/>
      <c r="L138" s="280"/>
      <c r="M138" s="286"/>
      <c r="N138" s="279"/>
      <c r="O138" s="280"/>
      <c r="P138" s="280"/>
      <c r="Q138" s="279"/>
      <c r="R138" s="297"/>
      <c r="S138" s="298"/>
      <c r="T138" s="298"/>
      <c r="U138" s="299"/>
      <c r="V138" s="279"/>
      <c r="W138" s="279"/>
      <c r="X138" s="279"/>
      <c r="Y138" s="279"/>
      <c r="Z138" s="279"/>
      <c r="AA138" s="279"/>
      <c r="AB138" s="279"/>
      <c r="AC138" s="279"/>
      <c r="AD138" s="279"/>
      <c r="AE138" s="279"/>
      <c r="AF138" s="279"/>
      <c r="AG138" s="279"/>
      <c r="AH138" s="279"/>
      <c r="AI138" s="279"/>
      <c r="AJ138" s="279"/>
      <c r="AK138" s="279"/>
      <c r="AL138" s="279"/>
      <c r="AM138" s="279"/>
      <c r="AN138" s="279"/>
      <c r="AO138" s="279"/>
      <c r="AP138" s="279"/>
      <c r="AQ138" s="279"/>
      <c r="AR138" s="279"/>
      <c r="AS138" s="279"/>
      <c r="AT138" s="279"/>
      <c r="AU138" s="279"/>
      <c r="AV138" s="279"/>
      <c r="AW138" s="279"/>
      <c r="AX138" s="279"/>
      <c r="AY138" s="279"/>
      <c r="AZ138" s="279"/>
      <c r="BA138" s="279"/>
      <c r="BB138" s="279"/>
      <c r="BC138" s="279"/>
      <c r="BD138" s="279"/>
      <c r="BE138" s="279"/>
      <c r="BF138" s="279"/>
      <c r="BG138" s="279"/>
      <c r="BH138" s="279"/>
      <c r="BI138" s="279"/>
      <c r="BJ138" s="279"/>
      <c r="BK138" s="279"/>
      <c r="BL138" s="279"/>
      <c r="BM138" s="279"/>
      <c r="BN138" s="279"/>
      <c r="BO138" s="279"/>
      <c r="BP138" s="279"/>
      <c r="BQ138" s="279"/>
      <c r="BR138" s="279"/>
      <c r="BS138" s="279"/>
      <c r="BT138" s="279"/>
      <c r="BU138" s="279"/>
      <c r="BV138" s="279"/>
      <c r="BW138" s="279"/>
      <c r="BX138" s="279"/>
      <c r="BY138" s="279"/>
      <c r="BZ138" s="279"/>
      <c r="CA138" s="279"/>
      <c r="CB138" s="279"/>
      <c r="CC138" s="279"/>
      <c r="CD138" s="279"/>
      <c r="CE138" s="279"/>
      <c r="CF138" s="279"/>
      <c r="CG138" s="279"/>
      <c r="CH138" s="279"/>
      <c r="CI138" s="279"/>
      <c r="CJ138" s="279"/>
      <c r="CK138" s="279"/>
      <c r="CL138" s="279"/>
      <c r="CM138" s="279"/>
      <c r="CN138" s="382"/>
    </row>
    <row r="139" ht="21.75" customHeight="true" thickBot="true" x14ac:dyDescent="0.35">
      <c r="B139" s="361"/>
      <c r="C139" s="279"/>
      <c r="D139" s="279"/>
      <c r="E139" s="829"/>
      <c r="F139" s="829"/>
      <c r="G139" s="829"/>
      <c r="H139" s="281"/>
      <c r="I139" s="286"/>
      <c r="J139" s="279"/>
      <c r="K139" s="279"/>
      <c r="L139" s="280"/>
      <c r="M139" s="286"/>
      <c r="N139" s="279"/>
      <c r="O139" s="280"/>
      <c r="P139" s="280"/>
      <c r="Q139" s="279"/>
      <c r="R139" s="297"/>
      <c r="S139" s="298"/>
      <c r="T139" s="298"/>
      <c r="U139" s="299"/>
      <c r="V139" s="279"/>
      <c r="W139" s="279"/>
      <c r="X139" s="279"/>
      <c r="Y139" s="279"/>
      <c r="Z139" s="279"/>
      <c r="AA139" s="279"/>
      <c r="AB139" s="279"/>
      <c r="AC139" s="279"/>
      <c r="AD139" s="279"/>
      <c r="AE139" s="279"/>
      <c r="AF139" s="279"/>
      <c r="AG139" s="279"/>
      <c r="AH139" s="279"/>
      <c r="AI139" s="279"/>
      <c r="AJ139" s="279"/>
      <c r="AK139" s="279"/>
      <c r="AL139" s="279"/>
      <c r="AM139" s="279"/>
      <c r="AN139" s="279"/>
      <c r="AO139" s="279"/>
      <c r="AP139" s="279"/>
      <c r="AQ139" s="279"/>
      <c r="AR139" s="279"/>
      <c r="AS139" s="279"/>
      <c r="AT139" s="279"/>
      <c r="AU139" s="279"/>
      <c r="AV139" s="279"/>
      <c r="AW139" s="279"/>
      <c r="AX139" s="279"/>
      <c r="AY139" s="279"/>
      <c r="AZ139" s="279"/>
      <c r="BA139" s="279"/>
      <c r="BB139" s="279"/>
      <c r="BC139" s="279"/>
      <c r="BD139" s="279"/>
      <c r="BE139" s="279"/>
      <c r="BF139" s="279"/>
      <c r="BG139" s="279"/>
      <c r="BH139" s="279"/>
      <c r="BI139" s="279"/>
      <c r="BJ139" s="279"/>
      <c r="BK139" s="279"/>
      <c r="BL139" s="279"/>
      <c r="BM139" s="279"/>
      <c r="BN139" s="279"/>
      <c r="BO139" s="279"/>
      <c r="BP139" s="279"/>
      <c r="BQ139" s="279"/>
      <c r="BR139" s="279"/>
      <c r="BS139" s="279"/>
      <c r="BT139" s="279"/>
      <c r="BU139" s="279"/>
      <c r="BV139" s="279"/>
      <c r="BW139" s="279"/>
      <c r="BX139" s="279"/>
      <c r="BY139" s="279"/>
      <c r="BZ139" s="279"/>
      <c r="CA139" s="279"/>
      <c r="CB139" s="279"/>
      <c r="CC139" s="279"/>
      <c r="CD139" s="279"/>
      <c r="CE139" s="279"/>
      <c r="CF139" s="279"/>
      <c r="CG139" s="279"/>
      <c r="CH139" s="279"/>
      <c r="CI139" s="279"/>
      <c r="CJ139" s="279"/>
      <c r="CK139" s="279"/>
      <c r="CL139" s="279"/>
      <c r="CM139" s="279"/>
      <c r="CN139" s="382"/>
    </row>
    <row r="140" ht="28.5" customHeight="true" thickBot="true" x14ac:dyDescent="0.35">
      <c r="B140" s="361"/>
      <c r="C140" s="279"/>
      <c r="D140" s="279"/>
      <c r="E140" s="279"/>
      <c r="F140" s="279"/>
      <c r="G140" s="279"/>
      <c r="H140" s="1953" t="s">
        <v>251</v>
      </c>
      <c r="I140" s="1954"/>
      <c r="J140" s="1954"/>
      <c r="K140" s="1954"/>
      <c r="L140" s="1955"/>
      <c r="M140" s="287"/>
      <c r="N140" s="296"/>
      <c r="O140" s="280"/>
      <c r="P140" s="280"/>
      <c r="Q140" s="287"/>
      <c r="R140" s="296"/>
      <c r="S140" s="280"/>
      <c r="T140" s="280"/>
      <c r="U140" s="279"/>
      <c r="V140" s="297"/>
      <c r="W140" s="298"/>
      <c r="X140" s="298"/>
      <c r="Y140" s="279"/>
      <c r="Z140" s="279"/>
      <c r="AA140" s="279"/>
      <c r="AB140" s="279"/>
      <c r="AC140" s="279"/>
      <c r="AD140" s="279"/>
      <c r="AE140" s="279"/>
      <c r="AF140" s="279"/>
      <c r="AG140" s="279"/>
      <c r="AH140" s="279"/>
      <c r="AI140" s="279"/>
      <c r="AJ140" s="279"/>
      <c r="AK140" s="279"/>
      <c r="AL140" s="279"/>
      <c r="AM140" s="279"/>
      <c r="AN140" s="279"/>
      <c r="AO140" s="279"/>
      <c r="AP140" s="279"/>
      <c r="AQ140" s="279"/>
      <c r="AR140" s="279"/>
      <c r="AS140" s="279"/>
      <c r="AT140" s="279"/>
      <c r="AU140" s="279"/>
      <c r="AV140" s="279"/>
      <c r="AW140" s="279"/>
      <c r="AX140" s="279"/>
      <c r="AY140" s="279"/>
      <c r="AZ140" s="279"/>
      <c r="BA140" s="279"/>
      <c r="BB140" s="279"/>
      <c r="BC140" s="279"/>
      <c r="BD140" s="279"/>
      <c r="BE140" s="279"/>
      <c r="BF140" s="279"/>
      <c r="BG140" s="279"/>
      <c r="BH140" s="279"/>
      <c r="BI140" s="279"/>
      <c r="BJ140" s="279"/>
      <c r="BK140" s="279"/>
      <c r="BL140" s="279"/>
      <c r="BM140" s="279"/>
      <c r="BN140" s="279"/>
      <c r="BO140" s="279"/>
      <c r="BP140" s="279"/>
      <c r="BQ140" s="279"/>
      <c r="BR140" s="279"/>
      <c r="BS140" s="279"/>
      <c r="BT140" s="279"/>
      <c r="BU140" s="279"/>
      <c r="BV140" s="279"/>
      <c r="BW140" s="279"/>
      <c r="BX140" s="279"/>
      <c r="BY140" s="279"/>
      <c r="BZ140" s="279"/>
      <c r="CA140" s="279"/>
      <c r="CB140" s="279"/>
      <c r="CC140" s="279"/>
      <c r="CD140" s="279"/>
      <c r="CE140" s="279"/>
      <c r="CF140" s="279"/>
      <c r="CG140" s="279"/>
      <c r="CH140" s="279"/>
      <c r="CI140" s="279"/>
      <c r="CJ140" s="279"/>
      <c r="CK140" s="279"/>
      <c r="CL140" s="279"/>
      <c r="CM140" s="279"/>
      <c r="CN140" s="382"/>
    </row>
    <row r="141" ht="24" customHeight="true" x14ac:dyDescent="0.25">
      <c r="B141" s="361"/>
      <c r="C141" s="279"/>
      <c r="D141" s="280"/>
      <c r="E141" s="287"/>
      <c r="F141" s="287"/>
      <c r="G141" s="287"/>
      <c r="H141" s="282" t="s">
        <v>1469</v>
      </c>
      <c r="I141" s="282" t="s">
        <v>252</v>
      </c>
      <c r="J141" s="283" t="str">
        <f>'I. Stream &amp; Compound Data'!H260</f>
        <v>CAS Number</v>
      </c>
      <c r="K141" s="283" t="s">
        <v>1575</v>
      </c>
      <c r="L141" s="267" t="s">
        <v>289</v>
      </c>
      <c r="M141" s="1166" t="s">
        <v>239</v>
      </c>
      <c r="N141" s="1166" t="s">
        <v>205</v>
      </c>
      <c r="O141" s="1166" t="s">
        <v>243</v>
      </c>
      <c r="P141" s="181" t="s">
        <v>247</v>
      </c>
      <c r="Q141" s="1949" t="s">
        <v>254</v>
      </c>
      <c r="R141" s="1949"/>
      <c r="S141" s="1949"/>
      <c r="T141" s="1949"/>
      <c r="U141" s="288" t="s">
        <v>253</v>
      </c>
      <c r="V141" s="283" t="s">
        <v>396</v>
      </c>
      <c r="W141" s="283" t="s">
        <v>255</v>
      </c>
      <c r="X141" s="289" t="s">
        <v>256</v>
      </c>
      <c r="Y141" s="279"/>
      <c r="Z141" s="279"/>
      <c r="AA141" s="279"/>
      <c r="AB141" s="279"/>
      <c r="AC141" s="279"/>
      <c r="AD141" s="279"/>
      <c r="AE141" s="279"/>
      <c r="AF141" s="279"/>
      <c r="AG141" s="279"/>
      <c r="AH141" s="279"/>
      <c r="AI141" s="279"/>
      <c r="AJ141" s="279"/>
      <c r="AK141" s="279"/>
      <c r="AL141" s="279"/>
      <c r="AM141" s="279"/>
      <c r="AN141" s="279"/>
      <c r="AO141" s="279"/>
      <c r="AP141" s="279"/>
      <c r="AQ141" s="279"/>
      <c r="AR141" s="279"/>
      <c r="AS141" s="279"/>
      <c r="AT141" s="279"/>
      <c r="AU141" s="279"/>
      <c r="AV141" s="279"/>
      <c r="AW141" s="279"/>
      <c r="AX141" s="279"/>
      <c r="AY141" s="279"/>
      <c r="AZ141" s="279"/>
      <c r="BA141" s="279"/>
      <c r="BB141" s="279"/>
      <c r="BC141" s="279"/>
      <c r="BD141" s="279"/>
      <c r="BE141" s="279"/>
      <c r="BF141" s="279"/>
      <c r="BG141" s="279"/>
      <c r="BH141" s="279"/>
      <c r="BI141" s="279"/>
      <c r="BJ141" s="279"/>
      <c r="BK141" s="279"/>
      <c r="BL141" s="279"/>
      <c r="BM141" s="279"/>
      <c r="BN141" s="279"/>
      <c r="BO141" s="279"/>
      <c r="BP141" s="279"/>
      <c r="BQ141" s="279"/>
      <c r="BR141" s="279"/>
      <c r="BS141" s="279"/>
      <c r="BT141" s="279"/>
      <c r="BU141" s="279"/>
      <c r="BV141" s="279"/>
      <c r="BW141" s="279"/>
      <c r="BX141" s="279"/>
      <c r="BY141" s="279"/>
      <c r="BZ141" s="279"/>
      <c r="CA141" s="279"/>
      <c r="CB141" s="279"/>
      <c r="CC141" s="279"/>
      <c r="CD141" s="279"/>
      <c r="CE141" s="279"/>
      <c r="CF141" s="279"/>
      <c r="CG141" s="279"/>
      <c r="CH141" s="279"/>
      <c r="CI141" s="279"/>
      <c r="CJ141" s="279"/>
      <c r="CK141" s="279"/>
      <c r="CL141" s="279"/>
      <c r="CM141" s="279"/>
      <c r="CN141" s="382"/>
    </row>
    <row r="142" ht="24" customHeight="true" x14ac:dyDescent="0.3">
      <c r="B142" s="361"/>
      <c r="C142" s="279"/>
      <c r="D142" s="280"/>
      <c r="E142" s="287"/>
      <c r="F142" s="287"/>
      <c r="G142" s="287"/>
      <c r="H142" s="1292">
        <f>H86</f>
        <v>1</v>
      </c>
      <c r="I142" s="1293" t="str">
        <f>'I. Stream &amp; Compound Data'!G262</f>
        <v>Carbon Dioxide</v>
      </c>
      <c r="J142" s="1294" t="str">
        <f>'I. Stream &amp; Compound Data'!H262</f>
        <v>124-38-9</v>
      </c>
      <c r="K142" s="1294">
        <f>'I. Stream &amp; Compound Data'!L262</f>
        <v>0</v>
      </c>
      <c r="L142" s="1294">
        <f>'I. Stream &amp; Compound Data'!M262</f>
        <v>2980.7504537999998</v>
      </c>
      <c r="M142" s="1295" t="str">
        <f>IF('I. Stream &amp; Compound Data'!AP262&lt;&gt;"",'I. Stream &amp; Compound Data'!AP262,IF('I. Stream &amp; Compound Data'!AQ262&lt;&gt;"",'I. Stream &amp; Compound Data'!AQ262,""))</f>
        <v>T+</v>
      </c>
      <c r="N142" s="1295" t="str">
        <f>IF('I. Stream &amp; Compound Data'!AR262&lt;&gt;"",'I. Stream &amp; Compound Data'!AR262,IF('I. Stream &amp; Compound Data'!AS262&lt;&gt;"",'I. Stream &amp; Compound Data'!AS262,""))</f>
        <v>26/27/28</v>
      </c>
      <c r="O142" s="1295">
        <f>IF('I. Stream &amp; Compound Data'!BJ262&lt;&gt;"",'I. Stream &amp; Compound Data'!BJ262,"")</f>
        <v>3.7</v>
      </c>
      <c r="P142" s="1295" t="str">
        <f>IF('I. Stream &amp; Compound Data'!AK262&lt;&gt;"",'I. Stream &amp; Compound Data'!AK262,"")</f>
        <v/>
      </c>
      <c r="Q142" s="290" t="str">
        <f>IF(H142&gt;'I. Stream &amp; Compound Data'!$F$18,"",IF(M142="C",0.875,IF(M142="Xi",0.625,"N/A")))</f>
        <v>N/A</v>
      </c>
      <c r="R142" s="1168">
        <f>IF(H142&gt;'I. Stream &amp; Compound Data'!$F$18,"",IF(Q142="N/A",IF(N142="","N/A",IF(N142=35,1,IF(N142=34,0.875,IF(AND(N142&gt;=36,N142&lt;=38),0.625,0)))),"N/A"))</f>
        <v>0</v>
      </c>
      <c r="S142" s="1287" t="str">
        <f>IF(H142&gt;'I. Stream &amp; Compound Data'!$F$18,"",IF(AND(Q142="N/A",R142="N/A"),IF(O142="","N/A",IF(AND(O142&gt;=1,O142&lt;=5),-0.25*O142+1.25,IF(AND(O142&gt;5,O142&lt;8.5),0,IF(AND(O142&gt;=8.5,O142&lt;=12.5),0.25*O142-2.125,1)))),"N/A"))</f>
        <v>N/A</v>
      </c>
      <c r="T142" s="1296" t="str">
        <f>IF(H142&gt;'I. Stream &amp; Compound Data'!$F$18,"",IF(AND(Q142="N/A",R142="N/A",S142="N/A"),IF(P142="","N/A",ROUND(IF(P142&lt;=5,1,IF(AND(P142&gt;5,P142&lt;50000),-0.109*LN(P142)+1.1747,0)),3)),"N/A"))</f>
        <v>N/A</v>
      </c>
      <c r="U142" s="1294">
        <f>IF(H142&gt;'I. Stream &amp; Compound Data'!$F$18,"",IF(Q142&lt;&gt;"N/A",Q142,IF(R142&lt;&gt;"N/A",R142,IF(S142&lt;&gt;"N/A",S142,T142))))</f>
        <v>0</v>
      </c>
      <c r="V142" s="1294">
        <f>IF(H142&gt;'I. Stream &amp; Compound Data'!$F$18,"",IF(U142&lt;&gt;0,ROUND(10^(4*U142+2),3),0))</f>
        <v>0</v>
      </c>
      <c r="W142" s="1294">
        <f>IF(H142&gt;'I. Stream &amp; Compound Data'!$F$18,"",MAX(K142:L142))</f>
        <v>2980.7504537999998</v>
      </c>
      <c r="X142" s="1297">
        <f>IF(H142&gt;'I. Stream &amp; Compound Data'!$F$18,"",ROUND(V142*W142,3))</f>
        <v>0</v>
      </c>
      <c r="Y142" s="279"/>
      <c r="Z142" s="279"/>
      <c r="AA142" s="279"/>
      <c r="AB142" s="279"/>
      <c r="AC142" s="279"/>
      <c r="AD142" s="279"/>
      <c r="AE142" s="279"/>
      <c r="AF142" s="279"/>
      <c r="AG142" s="279"/>
      <c r="AH142" s="279"/>
      <c r="AI142" s="279"/>
      <c r="AJ142" s="279"/>
      <c r="AK142" s="279"/>
      <c r="AL142" s="279"/>
      <c r="AM142" s="279"/>
      <c r="AN142" s="279"/>
      <c r="AO142" s="279"/>
      <c r="AP142" s="279"/>
      <c r="AQ142" s="279"/>
      <c r="AR142" s="279"/>
      <c r="AS142" s="279"/>
      <c r="AT142" s="279"/>
      <c r="AU142" s="279"/>
      <c r="AV142" s="279"/>
      <c r="AW142" s="279"/>
      <c r="AX142" s="279"/>
      <c r="AY142" s="279"/>
      <c r="AZ142" s="279"/>
      <c r="BA142" s="279"/>
      <c r="BB142" s="279"/>
      <c r="BC142" s="279"/>
      <c r="BD142" s="279"/>
      <c r="BE142" s="279"/>
      <c r="BF142" s="279"/>
      <c r="BG142" s="279"/>
      <c r="BH142" s="279"/>
      <c r="BI142" s="279"/>
      <c r="BJ142" s="279"/>
      <c r="BK142" s="279"/>
      <c r="BL142" s="279"/>
      <c r="BM142" s="279"/>
      <c r="BN142" s="279"/>
      <c r="BO142" s="279"/>
      <c r="BP142" s="279"/>
      <c r="BQ142" s="279"/>
      <c r="BR142" s="279"/>
      <c r="BS142" s="279"/>
      <c r="BT142" s="279"/>
      <c r="BU142" s="279"/>
      <c r="BV142" s="279"/>
      <c r="BW142" s="279"/>
      <c r="BX142" s="279"/>
      <c r="BY142" s="279"/>
      <c r="BZ142" s="279"/>
      <c r="CA142" s="279"/>
      <c r="CB142" s="279"/>
      <c r="CC142" s="279"/>
      <c r="CD142" s="279"/>
      <c r="CE142" s="279"/>
      <c r="CF142" s="279"/>
      <c r="CG142" s="279"/>
      <c r="CH142" s="279"/>
      <c r="CI142" s="279"/>
      <c r="CJ142" s="279"/>
      <c r="CK142" s="279"/>
      <c r="CL142" s="279"/>
      <c r="CM142" s="279"/>
      <c r="CN142" s="382"/>
    </row>
    <row r="143" ht="24" customHeight="true" x14ac:dyDescent="0.3">
      <c r="B143" s="361"/>
      <c r="C143" s="279"/>
      <c r="D143" s="280"/>
      <c r="E143" s="287"/>
      <c r="F143" s="287"/>
      <c r="G143" s="287"/>
      <c r="H143" s="1292">
        <f t="shared" ref="H143:H191" si="10">H87</f>
        <v>2</v>
      </c>
      <c r="I143" s="1293" t="str">
        <f>'I. Stream &amp; Compound Data'!G263</f>
        <v>Water</v>
      </c>
      <c r="J143" s="1294" t="str">
        <f>'I. Stream &amp; Compound Data'!H263</f>
        <v>7732-18-5</v>
      </c>
      <c r="K143" s="1294">
        <f>'I. Stream &amp; Compound Data'!L263</f>
        <v>0</v>
      </c>
      <c r="L143" s="1294">
        <f>'I. Stream &amp; Compound Data'!M263</f>
        <v>0</v>
      </c>
      <c r="M143" s="1295" t="str">
        <f>IF('I. Stream &amp; Compound Data'!AP263&lt;&gt;"",'I. Stream &amp; Compound Data'!AP263,IF('I. Stream &amp; Compound Data'!AQ263&lt;&gt;"",'I. Stream &amp; Compound Data'!AQ263,""))</f>
        <v/>
      </c>
      <c r="N143" s="1295" t="str">
        <f>IF('I. Stream &amp; Compound Data'!AR263&lt;&gt;"",'I. Stream &amp; Compound Data'!AR263,IF('I. Stream &amp; Compound Data'!AS263&lt;&gt;"",'I. Stream &amp; Compound Data'!AS263,""))</f>
        <v/>
      </c>
      <c r="O143" s="1295">
        <f>IF('I. Stream &amp; Compound Data'!BJ263&lt;&gt;"",'I. Stream &amp; Compound Data'!BJ263,"")</f>
        <v>7</v>
      </c>
      <c r="P143" s="1295" t="str">
        <f>IF('I. Stream &amp; Compound Data'!AK263&lt;&gt;"",'I. Stream &amp; Compound Data'!AK263,"")</f>
        <v/>
      </c>
      <c r="Q143" s="290" t="str">
        <f>IF(H143&gt;'I. Stream &amp; Compound Data'!$F$18,"",IF(M143="C",0.875,IF(M143="Xi",0.625,"N/A")))</f>
        <v>N/A</v>
      </c>
      <c r="R143" s="1168" t="str">
        <f>IF(H143&gt;'I. Stream &amp; Compound Data'!$F$18,"",IF(Q143="N/A",IF(N143="","N/A",IF(N143=35,1,IF(N143=34,0.875,IF(AND(N143&gt;=36,N143&lt;=38),0.625,0)))),"N/A"))</f>
        <v>N/A</v>
      </c>
      <c r="S143" s="1287">
        <f>IF(H143&gt;'I. Stream &amp; Compound Data'!$F$18,"",IF(AND(Q143="N/A",R143="N/A"),IF(O143="","N/A",IF(AND(O143&gt;=1,O143&lt;=5),-0.25*O143+1.25,IF(AND(O143&gt;5,O143&lt;8.5),0,IF(AND(O143&gt;=8.5,O143&lt;=12.5),0.25*O143-2.125,1)))),"N/A"))</f>
        <v>0</v>
      </c>
      <c r="T143" s="1296" t="str">
        <f>IF(H143&gt;'I. Stream &amp; Compound Data'!$F$18,"",IF(AND(Q143="N/A",R143="N/A",S143="N/A"),IF(P143="","N/A",ROUND(IF(P143&lt;=5,1,IF(AND(P143&gt;5,P143&lt;50000),-0.109*LN(P143)+1.1747,0)),3)),"N/A"))</f>
        <v>N/A</v>
      </c>
      <c r="U143" s="1294">
        <f>IF(H143&gt;'I. Stream &amp; Compound Data'!$F$18,"",IF(Q143&lt;&gt;"N/A",Q143,IF(R143&lt;&gt;"N/A",R143,IF(S143&lt;&gt;"N/A",S143,T143))))</f>
        <v>0</v>
      </c>
      <c r="V143" s="1294">
        <f>IF(H143&gt;'I. Stream &amp; Compound Data'!$F$18,"",IF(U143&lt;&gt;0,ROUND(10^(4*U143+2),3),0))</f>
        <v>0</v>
      </c>
      <c r="W143" s="1294">
        <f>IF(H143&gt;'I. Stream &amp; Compound Data'!$F$18,"",MAX(K143:L143))</f>
        <v>0</v>
      </c>
      <c r="X143" s="1297">
        <f>IF(H143&gt;'I. Stream &amp; Compound Data'!$F$18,"",ROUND(V143*W143,3))</f>
        <v>0</v>
      </c>
      <c r="Y143" s="279"/>
      <c r="Z143" s="279"/>
      <c r="AA143" s="279"/>
      <c r="AB143" s="279"/>
      <c r="AC143" s="279"/>
      <c r="AD143" s="279"/>
      <c r="AE143" s="279"/>
      <c r="AF143" s="279"/>
      <c r="AG143" s="279"/>
      <c r="AH143" s="279"/>
      <c r="AI143" s="279"/>
      <c r="AJ143" s="279"/>
      <c r="AK143" s="279"/>
      <c r="AL143" s="279"/>
      <c r="AM143" s="279"/>
      <c r="AN143" s="279"/>
      <c r="AO143" s="279"/>
      <c r="AP143" s="279"/>
      <c r="AQ143" s="279"/>
      <c r="AR143" s="279"/>
      <c r="AS143" s="279"/>
      <c r="AT143" s="279"/>
      <c r="AU143" s="279"/>
      <c r="AV143" s="279"/>
      <c r="AW143" s="279"/>
      <c r="AX143" s="279"/>
      <c r="AY143" s="279"/>
      <c r="AZ143" s="279"/>
      <c r="BA143" s="279"/>
      <c r="BB143" s="279"/>
      <c r="BC143" s="279"/>
      <c r="BD143" s="279"/>
      <c r="BE143" s="279"/>
      <c r="BF143" s="279"/>
      <c r="BG143" s="279"/>
      <c r="BH143" s="279"/>
      <c r="BI143" s="279"/>
      <c r="BJ143" s="279"/>
      <c r="BK143" s="279"/>
      <c r="BL143" s="279"/>
      <c r="BM143" s="279"/>
      <c r="BN143" s="279"/>
      <c r="BO143" s="279"/>
      <c r="BP143" s="279"/>
      <c r="BQ143" s="279"/>
      <c r="BR143" s="279"/>
      <c r="BS143" s="279"/>
      <c r="BT143" s="279"/>
      <c r="BU143" s="279"/>
      <c r="BV143" s="279"/>
      <c r="BW143" s="279"/>
      <c r="BX143" s="279"/>
      <c r="BY143" s="279"/>
      <c r="BZ143" s="279"/>
      <c r="CA143" s="279"/>
      <c r="CB143" s="279"/>
      <c r="CC143" s="279"/>
      <c r="CD143" s="279"/>
      <c r="CE143" s="279"/>
      <c r="CF143" s="279"/>
      <c r="CG143" s="279"/>
      <c r="CH143" s="279"/>
      <c r="CI143" s="279"/>
      <c r="CJ143" s="279"/>
      <c r="CK143" s="279"/>
      <c r="CL143" s="279"/>
      <c r="CM143" s="279"/>
      <c r="CN143" s="382"/>
    </row>
    <row r="144" ht="24" customHeight="true" x14ac:dyDescent="0.3">
      <c r="B144" s="361"/>
      <c r="C144" s="279"/>
      <c r="D144" s="280"/>
      <c r="E144" s="287"/>
      <c r="F144" s="287"/>
      <c r="G144" s="287"/>
      <c r="H144" s="1292">
        <f t="shared" si="10"/>
        <v>3</v>
      </c>
      <c r="I144" s="1293" t="str">
        <f>'I. Stream &amp; Compound Data'!G264</f>
        <v>Calcium Oxide</v>
      </c>
      <c r="J144" s="1294" t="str">
        <f>'I. Stream &amp; Compound Data'!H264</f>
        <v>1305-78-8</v>
      </c>
      <c r="K144" s="1294">
        <f>'I. Stream &amp; Compound Data'!L264</f>
        <v>0</v>
      </c>
      <c r="L144" s="1294">
        <f>'I. Stream &amp; Compound Data'!M264</f>
        <v>2888.3362910273868</v>
      </c>
      <c r="M144" s="1295" t="str">
        <f>IF('I. Stream &amp; Compound Data'!AP264&lt;&gt;"",'I. Stream &amp; Compound Data'!AP264,IF('I. Stream &amp; Compound Data'!AQ264&lt;&gt;"",'I. Stream &amp; Compound Data'!AQ264,""))</f>
        <v>Xn</v>
      </c>
      <c r="N144" s="1295" t="str">
        <f>IF('I. Stream &amp; Compound Data'!AR264&lt;&gt;"",'I. Stream &amp; Compound Data'!AR264,IF('I. Stream &amp; Compound Data'!AS264&lt;&gt;"",'I. Stream &amp; Compound Data'!AS264,""))</f>
        <v>20/21/22</v>
      </c>
      <c r="O144" s="1295">
        <f>IF('I. Stream &amp; Compound Data'!BJ264&lt;&gt;"",'I. Stream &amp; Compound Data'!BJ264,"")</f>
        <v>12.8</v>
      </c>
      <c r="P144" s="1295">
        <f>IF('I. Stream &amp; Compound Data'!AK264&lt;&gt;"",'I. Stream &amp; Compound Data'!AK264,"")</f>
        <v>2500</v>
      </c>
      <c r="Q144" s="290" t="str">
        <f>IF(H144&gt;'I. Stream &amp; Compound Data'!$F$18,"",IF(M144="C",0.875,IF(M144="Xi",0.625,"N/A")))</f>
        <v>N/A</v>
      </c>
      <c r="R144" s="1168">
        <f>IF(H144&gt;'I. Stream &amp; Compound Data'!$F$18,"",IF(Q144="N/A",IF(N144="","N/A",IF(N144=35,1,IF(N144=34,0.875,IF(AND(N144&gt;=36,N144&lt;=38),0.625,0)))),"N/A"))</f>
        <v>0</v>
      </c>
      <c r="S144" s="1287" t="str">
        <f>IF(H144&gt;'I. Stream &amp; Compound Data'!$F$18,"",IF(AND(Q144="N/A",R144="N/A"),IF(O144="","N/A",IF(AND(O144&gt;=1,O144&lt;=5),-0.25*O144+1.25,IF(AND(O144&gt;5,O144&lt;8.5),0,IF(AND(O144&gt;=8.5,O144&lt;=12.5),0.25*O144-2.125,1)))),"N/A"))</f>
        <v>N/A</v>
      </c>
      <c r="T144" s="1296" t="str">
        <f>IF(H144&gt;'I. Stream &amp; Compound Data'!$F$18,"",IF(AND(Q144="N/A",R144="N/A",S144="N/A"),IF(P144="","N/A",ROUND(IF(P144&lt;=5,1,IF(AND(P144&gt;5,P144&lt;50000),-0.109*LN(P144)+1.1747,0)),3)),"N/A"))</f>
        <v>N/A</v>
      </c>
      <c r="U144" s="1294">
        <f>IF(H144&gt;'I. Stream &amp; Compound Data'!$F$18,"",IF(Q144&lt;&gt;"N/A",Q144,IF(R144&lt;&gt;"N/A",R144,IF(S144&lt;&gt;"N/A",S144,T144))))</f>
        <v>0</v>
      </c>
      <c r="V144" s="1294">
        <f>IF(H144&gt;'I. Stream &amp; Compound Data'!$F$18,"",IF(U144&lt;&gt;0,ROUND(10^(4*U144+2),3),0))</f>
        <v>0</v>
      </c>
      <c r="W144" s="1294">
        <f>IF(H144&gt;'I. Stream &amp; Compound Data'!$F$18,"",MAX(K144:L144))</f>
        <v>2888.3362910273868</v>
      </c>
      <c r="X144" s="1297">
        <f>IF(H144&gt;'I. Stream &amp; Compound Data'!$F$18,"",ROUND(V144*W144,3))</f>
        <v>0</v>
      </c>
      <c r="Y144" s="279"/>
      <c r="Z144" s="279"/>
      <c r="AA144" s="279"/>
      <c r="AB144" s="279"/>
      <c r="AC144" s="279"/>
      <c r="AD144" s="279"/>
      <c r="AE144" s="279"/>
      <c r="AF144" s="279"/>
      <c r="AG144" s="279"/>
      <c r="AH144" s="279"/>
      <c r="AI144" s="279"/>
      <c r="AJ144" s="279"/>
      <c r="AK144" s="279"/>
      <c r="AL144" s="279"/>
      <c r="AM144" s="279"/>
      <c r="AN144" s="279"/>
      <c r="AO144" s="279"/>
      <c r="AP144" s="279"/>
      <c r="AQ144" s="279"/>
      <c r="AR144" s="279"/>
      <c r="AS144" s="279"/>
      <c r="AT144" s="279"/>
      <c r="AU144" s="279"/>
      <c r="AV144" s="279"/>
      <c r="AW144" s="279"/>
      <c r="AX144" s="279"/>
      <c r="AY144" s="279"/>
      <c r="AZ144" s="279"/>
      <c r="BA144" s="279"/>
      <c r="BB144" s="279"/>
      <c r="BC144" s="279"/>
      <c r="BD144" s="279"/>
      <c r="BE144" s="279"/>
      <c r="BF144" s="279"/>
      <c r="BG144" s="279"/>
      <c r="BH144" s="279"/>
      <c r="BI144" s="279"/>
      <c r="BJ144" s="279"/>
      <c r="BK144" s="279"/>
      <c r="BL144" s="279"/>
      <c r="BM144" s="279"/>
      <c r="BN144" s="279"/>
      <c r="BO144" s="279"/>
      <c r="BP144" s="279"/>
      <c r="BQ144" s="279"/>
      <c r="BR144" s="279"/>
      <c r="BS144" s="279"/>
      <c r="BT144" s="279"/>
      <c r="BU144" s="279"/>
      <c r="BV144" s="279"/>
      <c r="BW144" s="279"/>
      <c r="BX144" s="279"/>
      <c r="BY144" s="279"/>
      <c r="BZ144" s="279"/>
      <c r="CA144" s="279"/>
      <c r="CB144" s="279"/>
      <c r="CC144" s="279"/>
      <c r="CD144" s="279"/>
      <c r="CE144" s="279"/>
      <c r="CF144" s="279"/>
      <c r="CG144" s="279"/>
      <c r="CH144" s="279"/>
      <c r="CI144" s="279"/>
      <c r="CJ144" s="279"/>
      <c r="CK144" s="279"/>
      <c r="CL144" s="279"/>
      <c r="CM144" s="279"/>
      <c r="CN144" s="382"/>
    </row>
    <row r="145" ht="24" customHeight="true" x14ac:dyDescent="0.3">
      <c r="B145" s="361"/>
      <c r="C145" s="279"/>
      <c r="D145" s="280"/>
      <c r="E145" s="287"/>
      <c r="F145" s="287"/>
      <c r="G145" s="287"/>
      <c r="H145" s="1292">
        <f t="shared" si="10"/>
        <v>4</v>
      </c>
      <c r="I145" s="1293" t="str">
        <f>'I. Stream &amp; Compound Data'!G265</f>
        <v>Calcium Carbonate</v>
      </c>
      <c r="J145" s="1294" t="str">
        <f>'I. Stream &amp; Compound Data'!H265</f>
        <v>471-34-1</v>
      </c>
      <c r="K145" s="1294">
        <f>'I. Stream &amp; Compound Data'!L265</f>
        <v>6778.7792000553327</v>
      </c>
      <c r="L145" s="1294">
        <f>'I. Stream &amp; Compound Data'!M265</f>
        <v>1623.6788293814257</v>
      </c>
      <c r="M145" s="1295" t="str">
        <f>IF('I. Stream &amp; Compound Data'!AP265&lt;&gt;"",'I. Stream &amp; Compound Data'!AP265,IF('I. Stream &amp; Compound Data'!AQ265&lt;&gt;"",'I. Stream &amp; Compound Data'!AQ265,""))</f>
        <v/>
      </c>
      <c r="N145" s="1295">
        <f>IF('I. Stream &amp; Compound Data'!AR265&lt;&gt;"",'I. Stream &amp; Compound Data'!AR265,IF('I. Stream &amp; Compound Data'!AS265&lt;&gt;"",'I. Stream &amp; Compound Data'!AS265,""))</f>
        <v>36</v>
      </c>
      <c r="O145" s="1295">
        <f>IF('I. Stream &amp; Compound Data'!BJ265&lt;&gt;"",'I. Stream &amp; Compound Data'!BJ265,"")</f>
        <v>8</v>
      </c>
      <c r="P145" s="1295">
        <f>IF('I. Stream &amp; Compound Data'!AK265&lt;&gt;"",'I. Stream &amp; Compound Data'!AK265,"")</f>
        <v>2000</v>
      </c>
      <c r="Q145" s="290" t="str">
        <f>IF(H145&gt;'I. Stream &amp; Compound Data'!$F$18,"",IF(M145="C",0.875,IF(M145="Xi",0.625,"N/A")))</f>
        <v>N/A</v>
      </c>
      <c r="R145" s="1168">
        <f>IF(H145&gt;'I. Stream &amp; Compound Data'!$F$18,"",IF(Q145="N/A",IF(N145="","N/A",IF(N145=35,1,IF(N145=34,0.875,IF(AND(N145&gt;=36,N145&lt;=38),0.625,0)))),"N/A"))</f>
        <v>0.625</v>
      </c>
      <c r="S145" s="1287" t="str">
        <f>IF(H145&gt;'I. Stream &amp; Compound Data'!$F$18,"",IF(AND(Q145="N/A",R145="N/A"),IF(O145="","N/A",IF(AND(O145&gt;=1,O145&lt;=5),-0.25*O145+1.25,IF(AND(O145&gt;5,O145&lt;8.5),0,IF(AND(O145&gt;=8.5,O145&lt;=12.5),0.25*O145-2.125,1)))),"N/A"))</f>
        <v>N/A</v>
      </c>
      <c r="T145" s="1296" t="str">
        <f>IF(H145&gt;'I. Stream &amp; Compound Data'!$F$18,"",IF(AND(Q145="N/A",R145="N/A",S145="N/A"),IF(P145="","N/A",ROUND(IF(P145&lt;=5,1,IF(AND(P145&gt;5,P145&lt;50000),-0.109*LN(P145)+1.1747,0)),3)),"N/A"))</f>
        <v>N/A</v>
      </c>
      <c r="U145" s="1294">
        <f>IF(H145&gt;'I. Stream &amp; Compound Data'!$F$18,"",IF(Q145&lt;&gt;"N/A",Q145,IF(R145&lt;&gt;"N/A",R145,IF(S145&lt;&gt;"N/A",S145,T145))))</f>
        <v>0.625</v>
      </c>
      <c r="V145" s="1294">
        <f>IF(H145&gt;'I. Stream &amp; Compound Data'!$F$18,"",IF(U145&lt;&gt;0,ROUND(10^(4*U145+2),3),0))</f>
        <v>31622.776999999998</v>
      </c>
      <c r="W145" s="1294">
        <f>IF(H145&gt;'I. Stream &amp; Compound Data'!$F$18,"",MAX(K145:L145))</f>
        <v>6778.7792000553327</v>
      </c>
      <c r="X145" s="1297">
        <f>IF(H145&gt;'I. Stream &amp; Compound Data'!$F$18,"",ROUND(V145*W145,3))</f>
        <v>214363822.97600001</v>
      </c>
      <c r="Y145" s="279"/>
      <c r="Z145" s="279"/>
      <c r="AA145" s="279"/>
      <c r="AB145" s="279"/>
      <c r="AC145" s="279"/>
      <c r="AD145" s="279"/>
      <c r="AE145" s="279"/>
      <c r="AF145" s="279"/>
      <c r="AG145" s="279"/>
      <c r="AH145" s="279"/>
      <c r="AI145" s="279"/>
      <c r="AJ145" s="279"/>
      <c r="AK145" s="279"/>
      <c r="AL145" s="279"/>
      <c r="AM145" s="279"/>
      <c r="AN145" s="279"/>
      <c r="AO145" s="279"/>
      <c r="AP145" s="279"/>
      <c r="AQ145" s="279"/>
      <c r="AR145" s="279"/>
      <c r="AS145" s="279"/>
      <c r="AT145" s="279"/>
      <c r="AU145" s="279"/>
      <c r="AV145" s="279"/>
      <c r="AW145" s="279"/>
      <c r="AX145" s="279"/>
      <c r="AY145" s="279"/>
      <c r="AZ145" s="279"/>
      <c r="BA145" s="279"/>
      <c r="BB145" s="279"/>
      <c r="BC145" s="279"/>
      <c r="BD145" s="279"/>
      <c r="BE145" s="279"/>
      <c r="BF145" s="279"/>
      <c r="BG145" s="279"/>
      <c r="BH145" s="279"/>
      <c r="BI145" s="279"/>
      <c r="BJ145" s="279"/>
      <c r="BK145" s="279"/>
      <c r="BL145" s="279"/>
      <c r="BM145" s="279"/>
      <c r="BN145" s="279"/>
      <c r="BO145" s="279"/>
      <c r="BP145" s="279"/>
      <c r="BQ145" s="279"/>
      <c r="BR145" s="279"/>
      <c r="BS145" s="279"/>
      <c r="BT145" s="279"/>
      <c r="BU145" s="279"/>
      <c r="BV145" s="279"/>
      <c r="BW145" s="279"/>
      <c r="BX145" s="279"/>
      <c r="BY145" s="279"/>
      <c r="BZ145" s="279"/>
      <c r="CA145" s="279"/>
      <c r="CB145" s="279"/>
      <c r="CC145" s="279"/>
      <c r="CD145" s="279"/>
      <c r="CE145" s="279"/>
      <c r="CF145" s="279"/>
      <c r="CG145" s="279"/>
      <c r="CH145" s="279"/>
      <c r="CI145" s="279"/>
      <c r="CJ145" s="279"/>
      <c r="CK145" s="279"/>
      <c r="CL145" s="279"/>
      <c r="CM145" s="279"/>
      <c r="CN145" s="382"/>
    </row>
    <row r="146" ht="24" customHeight="true" x14ac:dyDescent="0.3">
      <c r="B146" s="361"/>
      <c r="C146" s="279"/>
      <c r="D146" s="280"/>
      <c r="E146" s="287"/>
      <c r="F146" s="287"/>
      <c r="G146" s="287"/>
      <c r="H146" s="1292">
        <f t="shared" si="10"/>
        <v>5</v>
      </c>
      <c r="I146" s="1293" t="str">
        <f>'I. Stream &amp; Compound Data'!G266</f>
        <v/>
      </c>
      <c r="J146" s="1294" t="str">
        <f>'I. Stream &amp; Compound Data'!H266</f>
        <v/>
      </c>
      <c r="K146" s="1294" t="str">
        <f>'I. Stream &amp; Compound Data'!L266</f>
        <v/>
      </c>
      <c r="L146" s="1294" t="str">
        <f>'I. Stream &amp; Compound Data'!M266</f>
        <v/>
      </c>
      <c r="M146" s="1295" t="str">
        <f>IF('I. Stream &amp; Compound Data'!AP266&lt;&gt;"",'I. Stream &amp; Compound Data'!AP266,IF('I. Stream &amp; Compound Data'!AQ266&lt;&gt;"",'I. Stream &amp; Compound Data'!AQ266,""))</f>
        <v/>
      </c>
      <c r="N146" s="1295" t="str">
        <f>IF('I. Stream &amp; Compound Data'!AR266&lt;&gt;"",'I. Stream &amp; Compound Data'!AR266,IF('I. Stream &amp; Compound Data'!AS266&lt;&gt;"",'I. Stream &amp; Compound Data'!AS266,""))</f>
        <v/>
      </c>
      <c r="O146" s="1295" t="str">
        <f>IF('I. Stream &amp; Compound Data'!BJ266&lt;&gt;"",'I. Stream &amp; Compound Data'!BJ266,"")</f>
        <v/>
      </c>
      <c r="P146" s="1295" t="str">
        <f>IF('I. Stream &amp; Compound Data'!AK266&lt;&gt;"",'I. Stream &amp; Compound Data'!AK266,"")</f>
        <v/>
      </c>
      <c r="Q146" s="290" t="str">
        <f>IF(H146&gt;'I. Stream &amp; Compound Data'!$F$18,"",IF(M146="C",0.875,IF(M146="Xi",0.625,"N/A")))</f>
        <v/>
      </c>
      <c r="R146" s="1168" t="str">
        <f>IF(H146&gt;'I. Stream &amp; Compound Data'!$F$18,"",IF(Q146="N/A",IF(N146="","N/A",IF(N146=35,1,IF(N146=34,0.875,IF(AND(N146&gt;=36,N146&lt;=38),0.625,0)))),"N/A"))</f>
        <v/>
      </c>
      <c r="S146" s="1287" t="str">
        <f>IF(H146&gt;'I. Stream &amp; Compound Data'!$F$18,"",IF(AND(Q146="N/A",R146="N/A"),IF(O146="","N/A",IF(AND(O146&gt;=1,O146&lt;=5),-0.25*O146+1.25,IF(AND(O146&gt;5,O146&lt;8.5),0,IF(AND(O146&gt;=8.5,O146&lt;=12.5),0.25*O146-2.125,1)))),"N/A"))</f>
        <v/>
      </c>
      <c r="T146" s="1296" t="str">
        <f>IF(H146&gt;'I. Stream &amp; Compound Data'!$F$18,"",IF(AND(Q146="N/A",R146="N/A",S146="N/A"),IF(P146="","N/A",ROUND(IF(P146&lt;=5,1,IF(AND(P146&gt;5,P146&lt;50000),-0.109*LN(P146)+1.1747,0)),3)),"N/A"))</f>
        <v/>
      </c>
      <c r="U146" s="1294" t="str">
        <f>IF(H146&gt;'I. Stream &amp; Compound Data'!$F$18,"",IF(Q146&lt;&gt;"N/A",Q146,IF(R146&lt;&gt;"N/A",R146,IF(S146&lt;&gt;"N/A",S146,T146))))</f>
        <v/>
      </c>
      <c r="V146" s="1294" t="str">
        <f>IF(H146&gt;'I. Stream &amp; Compound Data'!$F$18,"",IF(U146&lt;&gt;0,ROUND(10^(4*U146+2),3),0))</f>
        <v/>
      </c>
      <c r="W146" s="1294" t="str">
        <f>IF(H146&gt;'I. Stream &amp; Compound Data'!$F$18,"",MAX(K146:L146))</f>
        <v/>
      </c>
      <c r="X146" s="1297" t="str">
        <f>IF(H146&gt;'I. Stream &amp; Compound Data'!$F$18,"",ROUND(V146*W146,3))</f>
        <v/>
      </c>
      <c r="Y146" s="279"/>
      <c r="Z146" s="279"/>
      <c r="AA146" s="279"/>
      <c r="AB146" s="279"/>
      <c r="AC146" s="279"/>
      <c r="AD146" s="279"/>
      <c r="AE146" s="279"/>
      <c r="AF146" s="279"/>
      <c r="AG146" s="279"/>
      <c r="AH146" s="279"/>
      <c r="AI146" s="279"/>
      <c r="AJ146" s="279"/>
      <c r="AK146" s="279"/>
      <c r="AL146" s="279"/>
      <c r="AM146" s="279"/>
      <c r="AN146" s="279"/>
      <c r="AO146" s="279"/>
      <c r="AP146" s="279"/>
      <c r="AQ146" s="279"/>
      <c r="AR146" s="279"/>
      <c r="AS146" s="279"/>
      <c r="AT146" s="279"/>
      <c r="AU146" s="279"/>
      <c r="AV146" s="279"/>
      <c r="AW146" s="279"/>
      <c r="AX146" s="279"/>
      <c r="AY146" s="279"/>
      <c r="AZ146" s="279"/>
      <c r="BA146" s="279"/>
      <c r="BB146" s="279"/>
      <c r="BC146" s="279"/>
      <c r="BD146" s="279"/>
      <c r="BE146" s="279"/>
      <c r="BF146" s="279"/>
      <c r="BG146" s="279"/>
      <c r="BH146" s="279"/>
      <c r="BI146" s="279"/>
      <c r="BJ146" s="279"/>
      <c r="BK146" s="279"/>
      <c r="BL146" s="279"/>
      <c r="BM146" s="279"/>
      <c r="BN146" s="279"/>
      <c r="BO146" s="279"/>
      <c r="BP146" s="279"/>
      <c r="BQ146" s="279"/>
      <c r="BR146" s="279"/>
      <c r="BS146" s="279"/>
      <c r="BT146" s="279"/>
      <c r="BU146" s="279"/>
      <c r="BV146" s="279"/>
      <c r="BW146" s="279"/>
      <c r="BX146" s="279"/>
      <c r="BY146" s="279"/>
      <c r="BZ146" s="279"/>
      <c r="CA146" s="279"/>
      <c r="CB146" s="279"/>
      <c r="CC146" s="279"/>
      <c r="CD146" s="279"/>
      <c r="CE146" s="279"/>
      <c r="CF146" s="279"/>
      <c r="CG146" s="279"/>
      <c r="CH146" s="279"/>
      <c r="CI146" s="279"/>
      <c r="CJ146" s="279"/>
      <c r="CK146" s="279"/>
      <c r="CL146" s="279"/>
      <c r="CM146" s="279"/>
      <c r="CN146" s="382"/>
    </row>
    <row r="147" ht="24" customHeight="true" x14ac:dyDescent="0.3">
      <c r="B147" s="361"/>
      <c r="C147" s="279"/>
      <c r="D147" s="280"/>
      <c r="E147" s="287"/>
      <c r="F147" s="287"/>
      <c r="G147" s="287"/>
      <c r="H147" s="1292">
        <f t="shared" si="10"/>
        <v>6</v>
      </c>
      <c r="I147" s="1293" t="str">
        <f>'I. Stream &amp; Compound Data'!G267</f>
        <v/>
      </c>
      <c r="J147" s="1294" t="str">
        <f>'I. Stream &amp; Compound Data'!H267</f>
        <v/>
      </c>
      <c r="K147" s="1294" t="str">
        <f>'I. Stream &amp; Compound Data'!L267</f>
        <v/>
      </c>
      <c r="L147" s="1294" t="str">
        <f>'I. Stream &amp; Compound Data'!M267</f>
        <v/>
      </c>
      <c r="M147" s="1295" t="str">
        <f>IF('I. Stream &amp; Compound Data'!AP267&lt;&gt;"",'I. Stream &amp; Compound Data'!AP267,IF('I. Stream &amp; Compound Data'!AQ267&lt;&gt;"",'I. Stream &amp; Compound Data'!AQ267,""))</f>
        <v/>
      </c>
      <c r="N147" s="1295" t="str">
        <f>IF('I. Stream &amp; Compound Data'!AR267&lt;&gt;"",'I. Stream &amp; Compound Data'!AR267,IF('I. Stream &amp; Compound Data'!AS267&lt;&gt;"",'I. Stream &amp; Compound Data'!AS267,""))</f>
        <v/>
      </c>
      <c r="O147" s="1295" t="str">
        <f>IF('I. Stream &amp; Compound Data'!BJ267&lt;&gt;"",'I. Stream &amp; Compound Data'!BJ267,"")</f>
        <v/>
      </c>
      <c r="P147" s="1295" t="str">
        <f>IF('I. Stream &amp; Compound Data'!AK267&lt;&gt;"",'I. Stream &amp; Compound Data'!AK267,"")</f>
        <v/>
      </c>
      <c r="Q147" s="290" t="str">
        <f>IF(H147&gt;'I. Stream &amp; Compound Data'!$F$18,"",IF(M147="C",0.875,IF(M147="Xi",0.625,"N/A")))</f>
        <v/>
      </c>
      <c r="R147" s="1168" t="str">
        <f>IF(H147&gt;'I. Stream &amp; Compound Data'!$F$18,"",IF(Q147="N/A",IF(N147="","N/A",IF(N147=35,1,IF(N147=34,0.875,IF(AND(N147&gt;=36,N147&lt;=38),0.625,0)))),"N/A"))</f>
        <v/>
      </c>
      <c r="S147" s="1287" t="str">
        <f>IF(H147&gt;'I. Stream &amp; Compound Data'!$F$18,"",IF(AND(Q147="N/A",R147="N/A"),IF(O147="","N/A",IF(AND(O147&gt;=1,O147&lt;=5),-0.25*O147+1.25,IF(AND(O147&gt;5,O147&lt;8.5),0,IF(AND(O147&gt;=8.5,O147&lt;=12.5),0.25*O147-2.125,1)))),"N/A"))</f>
        <v/>
      </c>
      <c r="T147" s="1296" t="str">
        <f>IF(H147&gt;'I. Stream &amp; Compound Data'!$F$18,"",IF(AND(Q147="N/A",R147="N/A",S147="N/A"),IF(P147="","N/A",ROUND(IF(P147&lt;=5,1,IF(AND(P147&gt;5,P147&lt;50000),-0.109*LN(P147)+1.1747,0)),3)),"N/A"))</f>
        <v/>
      </c>
      <c r="U147" s="1294" t="str">
        <f>IF(H147&gt;'I. Stream &amp; Compound Data'!$F$18,"",IF(Q147&lt;&gt;"N/A",Q147,IF(R147&lt;&gt;"N/A",R147,IF(S147&lt;&gt;"N/A",S147,T147))))</f>
        <v/>
      </c>
      <c r="V147" s="1294" t="str">
        <f>IF(H147&gt;'I. Stream &amp; Compound Data'!$F$18,"",IF(U147&lt;&gt;0,ROUND(10^(4*U147+2),3),0))</f>
        <v/>
      </c>
      <c r="W147" s="1294" t="str">
        <f>IF(H147&gt;'I. Stream &amp; Compound Data'!$F$18,"",MAX(K147:L147))</f>
        <v/>
      </c>
      <c r="X147" s="1297" t="str">
        <f>IF(H147&gt;'I. Stream &amp; Compound Data'!$F$18,"",ROUND(V147*W147,3))</f>
        <v/>
      </c>
      <c r="Y147" s="279"/>
      <c r="Z147" s="279"/>
      <c r="AA147" s="279"/>
      <c r="AB147" s="279"/>
      <c r="AC147" s="279"/>
      <c r="AD147" s="279"/>
      <c r="AE147" s="279"/>
      <c r="AF147" s="279"/>
      <c r="AG147" s="279"/>
      <c r="AH147" s="279"/>
      <c r="AI147" s="279"/>
      <c r="AJ147" s="279"/>
      <c r="AK147" s="279"/>
      <c r="AL147" s="279"/>
      <c r="AM147" s="279"/>
      <c r="AN147" s="279"/>
      <c r="AO147" s="279"/>
      <c r="AP147" s="279"/>
      <c r="AQ147" s="279"/>
      <c r="AR147" s="279"/>
      <c r="AS147" s="279"/>
      <c r="AT147" s="279"/>
      <c r="AU147" s="279"/>
      <c r="AV147" s="279"/>
      <c r="AW147" s="279"/>
      <c r="AX147" s="279"/>
      <c r="AY147" s="279"/>
      <c r="AZ147" s="279"/>
      <c r="BA147" s="279"/>
      <c r="BB147" s="279"/>
      <c r="BC147" s="279"/>
      <c r="BD147" s="279"/>
      <c r="BE147" s="279"/>
      <c r="BF147" s="279"/>
      <c r="BG147" s="279"/>
      <c r="BH147" s="279"/>
      <c r="BI147" s="279"/>
      <c r="BJ147" s="279"/>
      <c r="BK147" s="279"/>
      <c r="BL147" s="279"/>
      <c r="BM147" s="279"/>
      <c r="BN147" s="279"/>
      <c r="BO147" s="279"/>
      <c r="BP147" s="279"/>
      <c r="BQ147" s="279"/>
      <c r="BR147" s="279"/>
      <c r="BS147" s="279"/>
      <c r="BT147" s="279"/>
      <c r="BU147" s="279"/>
      <c r="BV147" s="279"/>
      <c r="BW147" s="279"/>
      <c r="BX147" s="279"/>
      <c r="BY147" s="279"/>
      <c r="BZ147" s="279"/>
      <c r="CA147" s="279"/>
      <c r="CB147" s="279"/>
      <c r="CC147" s="279"/>
      <c r="CD147" s="279"/>
      <c r="CE147" s="279"/>
      <c r="CF147" s="279"/>
      <c r="CG147" s="279"/>
      <c r="CH147" s="279"/>
      <c r="CI147" s="279"/>
      <c r="CJ147" s="279"/>
      <c r="CK147" s="279"/>
      <c r="CL147" s="279"/>
      <c r="CM147" s="279"/>
      <c r="CN147" s="382"/>
    </row>
    <row r="148" ht="24" customHeight="true" x14ac:dyDescent="0.3">
      <c r="B148" s="361"/>
      <c r="C148" s="279"/>
      <c r="D148" s="280"/>
      <c r="E148" s="287"/>
      <c r="F148" s="287"/>
      <c r="G148" s="287"/>
      <c r="H148" s="1292">
        <f t="shared" si="10"/>
        <v>7</v>
      </c>
      <c r="I148" s="1293" t="str">
        <f>'I. Stream &amp; Compound Data'!G268</f>
        <v/>
      </c>
      <c r="J148" s="1294" t="str">
        <f>'I. Stream &amp; Compound Data'!H268</f>
        <v/>
      </c>
      <c r="K148" s="1294" t="str">
        <f>'I. Stream &amp; Compound Data'!L268</f>
        <v/>
      </c>
      <c r="L148" s="1294" t="str">
        <f>'I. Stream &amp; Compound Data'!M268</f>
        <v/>
      </c>
      <c r="M148" s="1295" t="str">
        <f>IF('I. Stream &amp; Compound Data'!AP268&lt;&gt;"",'I. Stream &amp; Compound Data'!AP268,IF('I. Stream &amp; Compound Data'!AQ268&lt;&gt;"",'I. Stream &amp; Compound Data'!AQ268,""))</f>
        <v/>
      </c>
      <c r="N148" s="1295" t="str">
        <f>IF('I. Stream &amp; Compound Data'!AR268&lt;&gt;"",'I. Stream &amp; Compound Data'!AR268,IF('I. Stream &amp; Compound Data'!AS268&lt;&gt;"",'I. Stream &amp; Compound Data'!AS268,""))</f>
        <v/>
      </c>
      <c r="O148" s="1295" t="str">
        <f>IF('I. Stream &amp; Compound Data'!BJ268&lt;&gt;"",'I. Stream &amp; Compound Data'!BJ268,"")</f>
        <v/>
      </c>
      <c r="P148" s="1295" t="str">
        <f>IF('I. Stream &amp; Compound Data'!AK268&lt;&gt;"",'I. Stream &amp; Compound Data'!AK268,"")</f>
        <v/>
      </c>
      <c r="Q148" s="290" t="str">
        <f>IF(H148&gt;'I. Stream &amp; Compound Data'!$F$18,"",IF(M148="C",0.875,IF(M148="Xi",0.625,"N/A")))</f>
        <v/>
      </c>
      <c r="R148" s="1168" t="str">
        <f>IF(H148&gt;'I. Stream &amp; Compound Data'!$F$18,"",IF(Q148="N/A",IF(N148="","N/A",IF(N148=35,1,IF(N148=34,0.875,IF(AND(N148&gt;=36,N148&lt;=38),0.625,0)))),"N/A"))</f>
        <v/>
      </c>
      <c r="S148" s="1287" t="str">
        <f>IF(H148&gt;'I. Stream &amp; Compound Data'!$F$18,"",IF(AND(Q148="N/A",R148="N/A"),IF(O148="","N/A",IF(AND(O148&gt;=1,O148&lt;=5),-0.25*O148+1.25,IF(AND(O148&gt;5,O148&lt;8.5),0,IF(AND(O148&gt;=8.5,O148&lt;=12.5),0.25*O148-2.125,1)))),"N/A"))</f>
        <v/>
      </c>
      <c r="T148" s="1296" t="str">
        <f>IF(H148&gt;'I. Stream &amp; Compound Data'!$F$18,"",IF(AND(Q148="N/A",R148="N/A",S148="N/A"),IF(P148="","N/A",ROUND(IF(P148&lt;=5,1,IF(AND(P148&gt;5,P148&lt;50000),-0.109*LN(P148)+1.1747,0)),3)),"N/A"))</f>
        <v/>
      </c>
      <c r="U148" s="1294" t="str">
        <f>IF(H148&gt;'I. Stream &amp; Compound Data'!$F$18,"",IF(Q148&lt;&gt;"N/A",Q148,IF(R148&lt;&gt;"N/A",R148,IF(S148&lt;&gt;"N/A",S148,T148))))</f>
        <v/>
      </c>
      <c r="V148" s="1294" t="str">
        <f>IF(H148&gt;'I. Stream &amp; Compound Data'!$F$18,"",IF(U148&lt;&gt;0,ROUND(10^(4*U148+2),3),0))</f>
        <v/>
      </c>
      <c r="W148" s="1294" t="str">
        <f>IF(H148&gt;'I. Stream &amp; Compound Data'!$F$18,"",MAX(K148:L148))</f>
        <v/>
      </c>
      <c r="X148" s="1297" t="str">
        <f>IF(H148&gt;'I. Stream &amp; Compound Data'!$F$18,"",ROUND(V148*W148,3))</f>
        <v/>
      </c>
      <c r="Y148" s="279"/>
      <c r="Z148" s="279"/>
      <c r="AA148" s="279"/>
      <c r="AB148" s="279"/>
      <c r="AC148" s="279"/>
      <c r="AD148" s="279"/>
      <c r="AE148" s="279"/>
      <c r="AF148" s="279"/>
      <c r="AG148" s="279"/>
      <c r="AH148" s="279"/>
      <c r="AI148" s="279"/>
      <c r="AJ148" s="279"/>
      <c r="AK148" s="279"/>
      <c r="AL148" s="279"/>
      <c r="AM148" s="279"/>
      <c r="AN148" s="279"/>
      <c r="AO148" s="279"/>
      <c r="AP148" s="279"/>
      <c r="AQ148" s="279"/>
      <c r="AR148" s="279"/>
      <c r="AS148" s="279"/>
      <c r="AT148" s="279"/>
      <c r="AU148" s="279"/>
      <c r="AV148" s="279"/>
      <c r="AW148" s="279"/>
      <c r="AX148" s="279"/>
      <c r="AY148" s="279"/>
      <c r="AZ148" s="279"/>
      <c r="BA148" s="279"/>
      <c r="BB148" s="279"/>
      <c r="BC148" s="279"/>
      <c r="BD148" s="279"/>
      <c r="BE148" s="279"/>
      <c r="BF148" s="279"/>
      <c r="BG148" s="279"/>
      <c r="BH148" s="279"/>
      <c r="BI148" s="279"/>
      <c r="BJ148" s="279"/>
      <c r="BK148" s="279"/>
      <c r="BL148" s="279"/>
      <c r="BM148" s="279"/>
      <c r="BN148" s="279"/>
      <c r="BO148" s="279"/>
      <c r="BP148" s="279"/>
      <c r="BQ148" s="279"/>
      <c r="BR148" s="279"/>
      <c r="BS148" s="279"/>
      <c r="BT148" s="279"/>
      <c r="BU148" s="279"/>
      <c r="BV148" s="279"/>
      <c r="BW148" s="279"/>
      <c r="BX148" s="279"/>
      <c r="BY148" s="279"/>
      <c r="BZ148" s="279"/>
      <c r="CA148" s="279"/>
      <c r="CB148" s="279"/>
      <c r="CC148" s="279"/>
      <c r="CD148" s="279"/>
      <c r="CE148" s="279"/>
      <c r="CF148" s="279"/>
      <c r="CG148" s="279"/>
      <c r="CH148" s="279"/>
      <c r="CI148" s="279"/>
      <c r="CJ148" s="279"/>
      <c r="CK148" s="279"/>
      <c r="CL148" s="279"/>
      <c r="CM148" s="279"/>
      <c r="CN148" s="382"/>
    </row>
    <row r="149" ht="24" customHeight="true" x14ac:dyDescent="0.3">
      <c r="B149" s="361"/>
      <c r="C149" s="279"/>
      <c r="D149" s="280"/>
      <c r="E149" s="287"/>
      <c r="F149" s="287"/>
      <c r="G149" s="287"/>
      <c r="H149" s="1292">
        <f t="shared" si="10"/>
        <v>8</v>
      </c>
      <c r="I149" s="1293" t="str">
        <f>'I. Stream &amp; Compound Data'!G269</f>
        <v/>
      </c>
      <c r="J149" s="1294" t="str">
        <f>'I. Stream &amp; Compound Data'!H269</f>
        <v/>
      </c>
      <c r="K149" s="1294" t="str">
        <f>'I. Stream &amp; Compound Data'!L269</f>
        <v/>
      </c>
      <c r="L149" s="1294" t="str">
        <f>'I. Stream &amp; Compound Data'!M269</f>
        <v/>
      </c>
      <c r="M149" s="1295" t="str">
        <f>IF('I. Stream &amp; Compound Data'!AP269&lt;&gt;"",'I. Stream &amp; Compound Data'!AP269,IF('I. Stream &amp; Compound Data'!AQ269&lt;&gt;"",'I. Stream &amp; Compound Data'!AQ269,""))</f>
        <v/>
      </c>
      <c r="N149" s="1295" t="str">
        <f>IF('I. Stream &amp; Compound Data'!AR269&lt;&gt;"",'I. Stream &amp; Compound Data'!AR269,IF('I. Stream &amp; Compound Data'!AS269&lt;&gt;"",'I. Stream &amp; Compound Data'!AS269,""))</f>
        <v/>
      </c>
      <c r="O149" s="1295" t="str">
        <f>IF('I. Stream &amp; Compound Data'!BJ269&lt;&gt;"",'I. Stream &amp; Compound Data'!BJ269,"")</f>
        <v/>
      </c>
      <c r="P149" s="1295" t="str">
        <f>IF('I. Stream &amp; Compound Data'!AK269&lt;&gt;"",'I. Stream &amp; Compound Data'!AK269,"")</f>
        <v/>
      </c>
      <c r="Q149" s="290" t="str">
        <f>IF(H149&gt;'I. Stream &amp; Compound Data'!$F$18,"",IF(M149="C",0.875,IF(M149="Xi",0.625,"N/A")))</f>
        <v/>
      </c>
      <c r="R149" s="1168" t="str">
        <f>IF(H149&gt;'I. Stream &amp; Compound Data'!$F$18,"",IF(Q149="N/A",IF(N149="","N/A",IF(N149=35,1,IF(N149=34,0.875,IF(AND(N149&gt;=36,N149&lt;=38),0.625,0)))),"N/A"))</f>
        <v/>
      </c>
      <c r="S149" s="1287" t="str">
        <f>IF(H149&gt;'I. Stream &amp; Compound Data'!$F$18,"",IF(AND(Q149="N/A",R149="N/A"),IF(O149="","N/A",IF(AND(O149&gt;=1,O149&lt;=5),-0.25*O149+1.25,IF(AND(O149&gt;5,O149&lt;8.5),0,IF(AND(O149&gt;=8.5,O149&lt;=12.5),0.25*O149-2.125,1)))),"N/A"))</f>
        <v/>
      </c>
      <c r="T149" s="1296" t="str">
        <f>IF(H149&gt;'I. Stream &amp; Compound Data'!$F$18,"",IF(AND(Q149="N/A",R149="N/A",S149="N/A"),IF(P149="","N/A",ROUND(IF(P149&lt;=5,1,IF(AND(P149&gt;5,P149&lt;50000),-0.109*LN(P149)+1.1747,0)),3)),"N/A"))</f>
        <v/>
      </c>
      <c r="U149" s="1294" t="str">
        <f>IF(H149&gt;'I. Stream &amp; Compound Data'!$F$18,"",IF(Q149&lt;&gt;"N/A",Q149,IF(R149&lt;&gt;"N/A",R149,IF(S149&lt;&gt;"N/A",S149,T149))))</f>
        <v/>
      </c>
      <c r="V149" s="1294" t="str">
        <f>IF(H149&gt;'I. Stream &amp; Compound Data'!$F$18,"",IF(U149&lt;&gt;0,ROUND(10^(4*U149+2),3),0))</f>
        <v/>
      </c>
      <c r="W149" s="1294" t="str">
        <f>IF(H149&gt;'I. Stream &amp; Compound Data'!$F$18,"",MAX(K149:L149))</f>
        <v/>
      </c>
      <c r="X149" s="1297" t="str">
        <f>IF(H149&gt;'I. Stream &amp; Compound Data'!$F$18,"",ROUND(V149*W149,3))</f>
        <v/>
      </c>
      <c r="Y149" s="279"/>
      <c r="Z149" s="279"/>
      <c r="AA149" s="279"/>
      <c r="AB149" s="279"/>
      <c r="AC149" s="279"/>
      <c r="AD149" s="279"/>
      <c r="AE149" s="279"/>
      <c r="AF149" s="279"/>
      <c r="AG149" s="279"/>
      <c r="AH149" s="279"/>
      <c r="AI149" s="279"/>
      <c r="AJ149" s="279"/>
      <c r="AK149" s="279"/>
      <c r="AL149" s="279"/>
      <c r="AM149" s="279"/>
      <c r="AN149" s="279"/>
      <c r="AO149" s="279"/>
      <c r="AP149" s="279"/>
      <c r="AQ149" s="279"/>
      <c r="AR149" s="279"/>
      <c r="AS149" s="279"/>
      <c r="AT149" s="279"/>
      <c r="AU149" s="279"/>
      <c r="AV149" s="279"/>
      <c r="AW149" s="279"/>
      <c r="AX149" s="279"/>
      <c r="AY149" s="279"/>
      <c r="AZ149" s="279"/>
      <c r="BA149" s="279"/>
      <c r="BB149" s="279"/>
      <c r="BC149" s="279"/>
      <c r="BD149" s="279"/>
      <c r="BE149" s="279"/>
      <c r="BF149" s="279"/>
      <c r="BG149" s="279"/>
      <c r="BH149" s="279"/>
      <c r="BI149" s="279"/>
      <c r="BJ149" s="279"/>
      <c r="BK149" s="279"/>
      <c r="BL149" s="279"/>
      <c r="BM149" s="279"/>
      <c r="BN149" s="279"/>
      <c r="BO149" s="279"/>
      <c r="BP149" s="279"/>
      <c r="BQ149" s="279"/>
      <c r="BR149" s="279"/>
      <c r="BS149" s="279"/>
      <c r="BT149" s="279"/>
      <c r="BU149" s="279"/>
      <c r="BV149" s="279"/>
      <c r="BW149" s="279"/>
      <c r="BX149" s="279"/>
      <c r="BY149" s="279"/>
      <c r="BZ149" s="279"/>
      <c r="CA149" s="279"/>
      <c r="CB149" s="279"/>
      <c r="CC149" s="279"/>
      <c r="CD149" s="279"/>
      <c r="CE149" s="279"/>
      <c r="CF149" s="279"/>
      <c r="CG149" s="279"/>
      <c r="CH149" s="279"/>
      <c r="CI149" s="279"/>
      <c r="CJ149" s="279"/>
      <c r="CK149" s="279"/>
      <c r="CL149" s="279"/>
      <c r="CM149" s="279"/>
      <c r="CN149" s="382"/>
    </row>
    <row r="150" ht="24" customHeight="true" x14ac:dyDescent="0.3">
      <c r="B150" s="361"/>
      <c r="C150" s="279"/>
      <c r="D150" s="280"/>
      <c r="E150" s="287"/>
      <c r="F150" s="287"/>
      <c r="G150" s="287"/>
      <c r="H150" s="1292">
        <f t="shared" si="10"/>
        <v>9</v>
      </c>
      <c r="I150" s="1293" t="str">
        <f>'I. Stream &amp; Compound Data'!G270</f>
        <v/>
      </c>
      <c r="J150" s="1294" t="str">
        <f>'I. Stream &amp; Compound Data'!H270</f>
        <v/>
      </c>
      <c r="K150" s="1294" t="str">
        <f>'I. Stream &amp; Compound Data'!L270</f>
        <v/>
      </c>
      <c r="L150" s="1294" t="str">
        <f>'I. Stream &amp; Compound Data'!M270</f>
        <v/>
      </c>
      <c r="M150" s="1295" t="str">
        <f>IF('I. Stream &amp; Compound Data'!AP270&lt;&gt;"",'I. Stream &amp; Compound Data'!AP270,IF('I. Stream &amp; Compound Data'!AQ270&lt;&gt;"",'I. Stream &amp; Compound Data'!AQ270,""))</f>
        <v/>
      </c>
      <c r="N150" s="1295" t="str">
        <f>IF('I. Stream &amp; Compound Data'!AR270&lt;&gt;"",'I. Stream &amp; Compound Data'!AR270,IF('I. Stream &amp; Compound Data'!AS270&lt;&gt;"",'I. Stream &amp; Compound Data'!AS270,""))</f>
        <v/>
      </c>
      <c r="O150" s="1295" t="str">
        <f>IF('I. Stream &amp; Compound Data'!BJ270&lt;&gt;"",'I. Stream &amp; Compound Data'!BJ270,"")</f>
        <v/>
      </c>
      <c r="P150" s="1295" t="str">
        <f>IF('I. Stream &amp; Compound Data'!AK270&lt;&gt;"",'I. Stream &amp; Compound Data'!AK270,"")</f>
        <v/>
      </c>
      <c r="Q150" s="290" t="str">
        <f>IF(H150&gt;'I. Stream &amp; Compound Data'!$F$18,"",IF(M150="C",0.875,IF(M150="Xi",0.625,"N/A")))</f>
        <v/>
      </c>
      <c r="R150" s="1168" t="str">
        <f>IF(H150&gt;'I. Stream &amp; Compound Data'!$F$18,"",IF(Q150="N/A",IF(N150="","N/A",IF(N150=35,1,IF(N150=34,0.875,IF(AND(N150&gt;=36,N150&lt;=38),0.625,0)))),"N/A"))</f>
        <v/>
      </c>
      <c r="S150" s="1287" t="str">
        <f>IF(H150&gt;'I. Stream &amp; Compound Data'!$F$18,"",IF(AND(Q150="N/A",R150="N/A"),IF(O150="","N/A",IF(AND(O150&gt;=1,O150&lt;=5),-0.25*O150+1.25,IF(AND(O150&gt;5,O150&lt;8.5),0,IF(AND(O150&gt;=8.5,O150&lt;=12.5),0.25*O150-2.125,1)))),"N/A"))</f>
        <v/>
      </c>
      <c r="T150" s="1296" t="str">
        <f>IF(H150&gt;'I. Stream &amp; Compound Data'!$F$18,"",IF(AND(Q150="N/A",R150="N/A",S150="N/A"),IF(P150="","N/A",ROUND(IF(P150&lt;=5,1,IF(AND(P150&gt;5,P150&lt;50000),-0.109*LN(P150)+1.1747,0)),3)),"N/A"))</f>
        <v/>
      </c>
      <c r="U150" s="1294" t="str">
        <f>IF(H150&gt;'I. Stream &amp; Compound Data'!$F$18,"",IF(Q150&lt;&gt;"N/A",Q150,IF(R150&lt;&gt;"N/A",R150,IF(S150&lt;&gt;"N/A",S150,T150))))</f>
        <v/>
      </c>
      <c r="V150" s="1294" t="str">
        <f>IF(H150&gt;'I. Stream &amp; Compound Data'!$F$18,"",IF(U150&lt;&gt;0,ROUND(10^(4*U150+2),3),0))</f>
        <v/>
      </c>
      <c r="W150" s="1294" t="str">
        <f>IF(H150&gt;'I. Stream &amp; Compound Data'!$F$18,"",MAX(K150:L150))</f>
        <v/>
      </c>
      <c r="X150" s="1297" t="str">
        <f>IF(H150&gt;'I. Stream &amp; Compound Data'!$F$18,"",ROUND(V150*W150,3))</f>
        <v/>
      </c>
      <c r="Y150" s="279"/>
      <c r="Z150" s="279"/>
      <c r="AA150" s="279"/>
      <c r="AB150" s="279"/>
      <c r="AC150" s="279"/>
      <c r="AD150" s="279"/>
      <c r="AE150" s="279"/>
      <c r="AF150" s="279"/>
      <c r="AG150" s="279"/>
      <c r="AH150" s="279"/>
      <c r="AI150" s="279"/>
      <c r="AJ150" s="279"/>
      <c r="AK150" s="279"/>
      <c r="AL150" s="279"/>
      <c r="AM150" s="279"/>
      <c r="AN150" s="279"/>
      <c r="AO150" s="279"/>
      <c r="AP150" s="279"/>
      <c r="AQ150" s="279"/>
      <c r="AR150" s="279"/>
      <c r="AS150" s="279"/>
      <c r="AT150" s="279"/>
      <c r="AU150" s="279"/>
      <c r="AV150" s="279"/>
      <c r="AW150" s="279"/>
      <c r="AX150" s="279"/>
      <c r="AY150" s="279"/>
      <c r="AZ150" s="279"/>
      <c r="BA150" s="279"/>
      <c r="BB150" s="279"/>
      <c r="BC150" s="279"/>
      <c r="BD150" s="279"/>
      <c r="BE150" s="279"/>
      <c r="BF150" s="279"/>
      <c r="BG150" s="279"/>
      <c r="BH150" s="279"/>
      <c r="BI150" s="279"/>
      <c r="BJ150" s="279"/>
      <c r="BK150" s="279"/>
      <c r="BL150" s="279"/>
      <c r="BM150" s="279"/>
      <c r="BN150" s="279"/>
      <c r="BO150" s="279"/>
      <c r="BP150" s="279"/>
      <c r="BQ150" s="279"/>
      <c r="BR150" s="279"/>
      <c r="BS150" s="279"/>
      <c r="BT150" s="279"/>
      <c r="BU150" s="279"/>
      <c r="BV150" s="279"/>
      <c r="BW150" s="279"/>
      <c r="BX150" s="279"/>
      <c r="BY150" s="279"/>
      <c r="BZ150" s="279"/>
      <c r="CA150" s="279"/>
      <c r="CB150" s="279"/>
      <c r="CC150" s="279"/>
      <c r="CD150" s="279"/>
      <c r="CE150" s="279"/>
      <c r="CF150" s="279"/>
      <c r="CG150" s="279"/>
      <c r="CH150" s="279"/>
      <c r="CI150" s="279"/>
      <c r="CJ150" s="279"/>
      <c r="CK150" s="279"/>
      <c r="CL150" s="279"/>
      <c r="CM150" s="279"/>
      <c r="CN150" s="382"/>
    </row>
    <row r="151" ht="24" customHeight="true" x14ac:dyDescent="0.3">
      <c r="B151" s="361"/>
      <c r="C151" s="279"/>
      <c r="D151" s="280"/>
      <c r="E151" s="287"/>
      <c r="F151" s="287"/>
      <c r="G151" s="287"/>
      <c r="H151" s="1292">
        <f t="shared" si="10"/>
        <v>10</v>
      </c>
      <c r="I151" s="1293" t="str">
        <f>'I. Stream &amp; Compound Data'!G271</f>
        <v/>
      </c>
      <c r="J151" s="1294" t="str">
        <f>'I. Stream &amp; Compound Data'!H271</f>
        <v/>
      </c>
      <c r="K151" s="1294" t="str">
        <f>'I. Stream &amp; Compound Data'!L271</f>
        <v/>
      </c>
      <c r="L151" s="1294" t="str">
        <f>'I. Stream &amp; Compound Data'!M271</f>
        <v/>
      </c>
      <c r="M151" s="1295" t="str">
        <f>IF('I. Stream &amp; Compound Data'!AP271&lt;&gt;"",'I. Stream &amp; Compound Data'!AP271,IF('I. Stream &amp; Compound Data'!AQ271&lt;&gt;"",'I. Stream &amp; Compound Data'!AQ271,""))</f>
        <v/>
      </c>
      <c r="N151" s="1295" t="str">
        <f>IF('I. Stream &amp; Compound Data'!AR271&lt;&gt;"",'I. Stream &amp; Compound Data'!AR271,IF('I. Stream &amp; Compound Data'!AS271&lt;&gt;"",'I. Stream &amp; Compound Data'!AS271,""))</f>
        <v/>
      </c>
      <c r="O151" s="1295" t="str">
        <f>IF('I. Stream &amp; Compound Data'!BJ271&lt;&gt;"",'I. Stream &amp; Compound Data'!BJ271,"")</f>
        <v/>
      </c>
      <c r="P151" s="1295" t="str">
        <f>IF('I. Stream &amp; Compound Data'!AK271&lt;&gt;"",'I. Stream &amp; Compound Data'!AK271,"")</f>
        <v/>
      </c>
      <c r="Q151" s="290" t="str">
        <f>IF(H151&gt;'I. Stream &amp; Compound Data'!$F$18,"",IF(M151="C",0.875,IF(M151="Xi",0.625,"N/A")))</f>
        <v/>
      </c>
      <c r="R151" s="1168" t="str">
        <f>IF(H151&gt;'I. Stream &amp; Compound Data'!$F$18,"",IF(Q151="N/A",IF(N151="","N/A",IF(N151=35,1,IF(N151=34,0.875,IF(AND(N151&gt;=36,N151&lt;=38),0.625,0)))),"N/A"))</f>
        <v/>
      </c>
      <c r="S151" s="1287" t="str">
        <f>IF(H151&gt;'I. Stream &amp; Compound Data'!$F$18,"",IF(AND(Q151="N/A",R151="N/A"),IF(O151="","N/A",IF(AND(O151&gt;=1,O151&lt;=5),-0.25*O151+1.25,IF(AND(O151&gt;5,O151&lt;8.5),0,IF(AND(O151&gt;=8.5,O151&lt;=12.5),0.25*O151-2.125,1)))),"N/A"))</f>
        <v/>
      </c>
      <c r="T151" s="1296" t="str">
        <f>IF(H151&gt;'I. Stream &amp; Compound Data'!$F$18,"",IF(AND(Q151="N/A",R151="N/A",S151="N/A"),IF(P151="","N/A",ROUND(IF(P151&lt;=5,1,IF(AND(P151&gt;5,P151&lt;50000),-0.109*LN(P151)+1.1747,0)),3)),"N/A"))</f>
        <v/>
      </c>
      <c r="U151" s="1294" t="str">
        <f>IF(H151&gt;'I. Stream &amp; Compound Data'!$F$18,"",IF(Q151&lt;&gt;"N/A",Q151,IF(R151&lt;&gt;"N/A",R151,IF(S151&lt;&gt;"N/A",S151,T151))))</f>
        <v/>
      </c>
      <c r="V151" s="1294" t="str">
        <f>IF(H151&gt;'I. Stream &amp; Compound Data'!$F$18,"",IF(U151&lt;&gt;0,ROUND(10^(4*U151+2),3),0))</f>
        <v/>
      </c>
      <c r="W151" s="1294" t="str">
        <f>IF(H151&gt;'I. Stream &amp; Compound Data'!$F$18,"",MAX(K151:L151))</f>
        <v/>
      </c>
      <c r="X151" s="1297" t="str">
        <f>IF(H151&gt;'I. Stream &amp; Compound Data'!$F$18,"",ROUND(V151*W151,3))</f>
        <v/>
      </c>
      <c r="Y151" s="279"/>
      <c r="Z151" s="279"/>
      <c r="AA151" s="279"/>
      <c r="AB151" s="279"/>
      <c r="AC151" s="279"/>
      <c r="AD151" s="279"/>
      <c r="AE151" s="279"/>
      <c r="AF151" s="279"/>
      <c r="AG151" s="279"/>
      <c r="AH151" s="279"/>
      <c r="AI151" s="279"/>
      <c r="AJ151" s="279"/>
      <c r="AK151" s="279"/>
      <c r="AL151" s="279"/>
      <c r="AM151" s="279"/>
      <c r="AN151" s="279"/>
      <c r="AO151" s="279"/>
      <c r="AP151" s="279"/>
      <c r="AQ151" s="279"/>
      <c r="AR151" s="279"/>
      <c r="AS151" s="279"/>
      <c r="AT151" s="279"/>
      <c r="AU151" s="279"/>
      <c r="AV151" s="279"/>
      <c r="AW151" s="279"/>
      <c r="AX151" s="279"/>
      <c r="AY151" s="279"/>
      <c r="AZ151" s="279"/>
      <c r="BA151" s="279"/>
      <c r="BB151" s="279"/>
      <c r="BC151" s="279"/>
      <c r="BD151" s="279"/>
      <c r="BE151" s="279"/>
      <c r="BF151" s="279"/>
      <c r="BG151" s="279"/>
      <c r="BH151" s="279"/>
      <c r="BI151" s="279"/>
      <c r="BJ151" s="279"/>
      <c r="BK151" s="279"/>
      <c r="BL151" s="279"/>
      <c r="BM151" s="279"/>
      <c r="BN151" s="279"/>
      <c r="BO151" s="279"/>
      <c r="BP151" s="279"/>
      <c r="BQ151" s="279"/>
      <c r="BR151" s="279"/>
      <c r="BS151" s="279"/>
      <c r="BT151" s="279"/>
      <c r="BU151" s="279"/>
      <c r="BV151" s="279"/>
      <c r="BW151" s="279"/>
      <c r="BX151" s="279"/>
      <c r="BY151" s="279"/>
      <c r="BZ151" s="279"/>
      <c r="CA151" s="279"/>
      <c r="CB151" s="279"/>
      <c r="CC151" s="279"/>
      <c r="CD151" s="279"/>
      <c r="CE151" s="279"/>
      <c r="CF151" s="279"/>
      <c r="CG151" s="279"/>
      <c r="CH151" s="279"/>
      <c r="CI151" s="279"/>
      <c r="CJ151" s="279"/>
      <c r="CK151" s="279"/>
      <c r="CL151" s="279"/>
      <c r="CM151" s="279"/>
      <c r="CN151" s="382"/>
    </row>
    <row r="152" ht="24" customHeight="true" x14ac:dyDescent="0.3">
      <c r="B152" s="361"/>
      <c r="C152" s="279"/>
      <c r="D152" s="280"/>
      <c r="E152" s="287"/>
      <c r="F152" s="287"/>
      <c r="G152" s="287"/>
      <c r="H152" s="1292">
        <f t="shared" si="10"/>
        <v>11</v>
      </c>
      <c r="I152" s="1293" t="str">
        <f>'I. Stream &amp; Compound Data'!G272</f>
        <v/>
      </c>
      <c r="J152" s="1294" t="str">
        <f>'I. Stream &amp; Compound Data'!H272</f>
        <v/>
      </c>
      <c r="K152" s="1294" t="str">
        <f>'I. Stream &amp; Compound Data'!L272</f>
        <v/>
      </c>
      <c r="L152" s="1294" t="str">
        <f>'I. Stream &amp; Compound Data'!M272</f>
        <v/>
      </c>
      <c r="M152" s="1295" t="str">
        <f>IF('I. Stream &amp; Compound Data'!AP272&lt;&gt;"",'I. Stream &amp; Compound Data'!AP272,IF('I. Stream &amp; Compound Data'!AQ272&lt;&gt;"",'I. Stream &amp; Compound Data'!AQ272,""))</f>
        <v/>
      </c>
      <c r="N152" s="1295" t="str">
        <f>IF('I. Stream &amp; Compound Data'!AR272&lt;&gt;"",'I. Stream &amp; Compound Data'!AR272,IF('I. Stream &amp; Compound Data'!AS272&lt;&gt;"",'I. Stream &amp; Compound Data'!AS272,""))</f>
        <v/>
      </c>
      <c r="O152" s="1295" t="str">
        <f>IF('I. Stream &amp; Compound Data'!BJ272&lt;&gt;"",'I. Stream &amp; Compound Data'!BJ272,"")</f>
        <v/>
      </c>
      <c r="P152" s="1295" t="str">
        <f>IF('I. Stream &amp; Compound Data'!AK272&lt;&gt;"",'I. Stream &amp; Compound Data'!AK272,"")</f>
        <v/>
      </c>
      <c r="Q152" s="290" t="str">
        <f>IF(H152&gt;'I. Stream &amp; Compound Data'!$F$18,"",IF(M152="C",0.875,IF(M152="Xi",0.625,"N/A")))</f>
        <v/>
      </c>
      <c r="R152" s="1168" t="str">
        <f>IF(H152&gt;'I. Stream &amp; Compound Data'!$F$18,"",IF(Q152="N/A",IF(N152="","N/A",IF(N152=35,1,IF(N152=34,0.875,IF(AND(N152&gt;=36,N152&lt;=38),0.625,0)))),"N/A"))</f>
        <v/>
      </c>
      <c r="S152" s="1287" t="str">
        <f>IF(H152&gt;'I. Stream &amp; Compound Data'!$F$18,"",IF(AND(Q152="N/A",R152="N/A"),IF(O152="","N/A",IF(AND(O152&gt;=1,O152&lt;=5),-0.25*O152+1.25,IF(AND(O152&gt;5,O152&lt;8.5),0,IF(AND(O152&gt;=8.5,O152&lt;=12.5),0.25*O152-2.125,1)))),"N/A"))</f>
        <v/>
      </c>
      <c r="T152" s="1296" t="str">
        <f>IF(H152&gt;'I. Stream &amp; Compound Data'!$F$18,"",IF(AND(Q152="N/A",R152="N/A",S152="N/A"),IF(P152="","N/A",ROUND(IF(P152&lt;=5,1,IF(AND(P152&gt;5,P152&lt;50000),-0.109*LN(P152)+1.1747,0)),3)),"N/A"))</f>
        <v/>
      </c>
      <c r="U152" s="1294" t="str">
        <f>IF(H152&gt;'I. Stream &amp; Compound Data'!$F$18,"",IF(Q152&lt;&gt;"N/A",Q152,IF(R152&lt;&gt;"N/A",R152,IF(S152&lt;&gt;"N/A",S152,T152))))</f>
        <v/>
      </c>
      <c r="V152" s="1294" t="str">
        <f>IF(H152&gt;'I. Stream &amp; Compound Data'!$F$18,"",IF(U152&lt;&gt;0,ROUND(10^(4*U152+2),3),0))</f>
        <v/>
      </c>
      <c r="W152" s="1294" t="str">
        <f>IF(H152&gt;'I. Stream &amp; Compound Data'!$F$18,"",MAX(K152:L152))</f>
        <v/>
      </c>
      <c r="X152" s="1297" t="str">
        <f>IF(H152&gt;'I. Stream &amp; Compound Data'!$F$18,"",ROUND(V152*W152,3))</f>
        <v/>
      </c>
      <c r="Y152" s="279"/>
      <c r="Z152" s="279"/>
      <c r="AA152" s="279"/>
      <c r="AB152" s="279"/>
      <c r="AC152" s="279"/>
      <c r="AD152" s="279"/>
      <c r="AE152" s="279"/>
      <c r="AF152" s="279"/>
      <c r="AG152" s="279"/>
      <c r="AH152" s="279"/>
      <c r="AI152" s="279"/>
      <c r="AJ152" s="279"/>
      <c r="AK152" s="279"/>
      <c r="AL152" s="279"/>
      <c r="AM152" s="279"/>
      <c r="AN152" s="279"/>
      <c r="AO152" s="279"/>
      <c r="AP152" s="279"/>
      <c r="AQ152" s="279"/>
      <c r="AR152" s="279"/>
      <c r="AS152" s="279"/>
      <c r="AT152" s="279"/>
      <c r="AU152" s="279"/>
      <c r="AV152" s="279"/>
      <c r="AW152" s="279"/>
      <c r="AX152" s="279"/>
      <c r="AY152" s="279"/>
      <c r="AZ152" s="279"/>
      <c r="BA152" s="279"/>
      <c r="BB152" s="279"/>
      <c r="BC152" s="279"/>
      <c r="BD152" s="279"/>
      <c r="BE152" s="279"/>
      <c r="BF152" s="279"/>
      <c r="BG152" s="279"/>
      <c r="BH152" s="279"/>
      <c r="BI152" s="279"/>
      <c r="BJ152" s="279"/>
      <c r="BK152" s="279"/>
      <c r="BL152" s="279"/>
      <c r="BM152" s="279"/>
      <c r="BN152" s="279"/>
      <c r="BO152" s="279"/>
      <c r="BP152" s="279"/>
      <c r="BQ152" s="279"/>
      <c r="BR152" s="279"/>
      <c r="BS152" s="279"/>
      <c r="BT152" s="279"/>
      <c r="BU152" s="279"/>
      <c r="BV152" s="279"/>
      <c r="BW152" s="279"/>
      <c r="BX152" s="279"/>
      <c r="BY152" s="279"/>
      <c r="BZ152" s="279"/>
      <c r="CA152" s="279"/>
      <c r="CB152" s="279"/>
      <c r="CC152" s="279"/>
      <c r="CD152" s="279"/>
      <c r="CE152" s="279"/>
      <c r="CF152" s="279"/>
      <c r="CG152" s="279"/>
      <c r="CH152" s="279"/>
      <c r="CI152" s="279"/>
      <c r="CJ152" s="279"/>
      <c r="CK152" s="279"/>
      <c r="CL152" s="279"/>
      <c r="CM152" s="279"/>
      <c r="CN152" s="382"/>
    </row>
    <row r="153" ht="24" customHeight="true" x14ac:dyDescent="0.3">
      <c r="B153" s="361"/>
      <c r="C153" s="279"/>
      <c r="D153" s="280"/>
      <c r="E153" s="287"/>
      <c r="F153" s="287"/>
      <c r="G153" s="287"/>
      <c r="H153" s="1292">
        <f t="shared" si="10"/>
        <v>12</v>
      </c>
      <c r="I153" s="1293" t="str">
        <f>'I. Stream &amp; Compound Data'!G273</f>
        <v/>
      </c>
      <c r="J153" s="1294" t="str">
        <f>'I. Stream &amp; Compound Data'!H273</f>
        <v/>
      </c>
      <c r="K153" s="1294" t="str">
        <f>'I. Stream &amp; Compound Data'!L273</f>
        <v/>
      </c>
      <c r="L153" s="1294" t="str">
        <f>'I. Stream &amp; Compound Data'!M273</f>
        <v/>
      </c>
      <c r="M153" s="1295" t="str">
        <f>IF('I. Stream &amp; Compound Data'!AP273&lt;&gt;"",'I. Stream &amp; Compound Data'!AP273,IF('I. Stream &amp; Compound Data'!AQ273&lt;&gt;"",'I. Stream &amp; Compound Data'!AQ273,""))</f>
        <v/>
      </c>
      <c r="N153" s="1295" t="str">
        <f>IF('I. Stream &amp; Compound Data'!AR273&lt;&gt;"",'I. Stream &amp; Compound Data'!AR273,IF('I. Stream &amp; Compound Data'!AS273&lt;&gt;"",'I. Stream &amp; Compound Data'!AS273,""))</f>
        <v/>
      </c>
      <c r="O153" s="1295" t="str">
        <f>IF('I. Stream &amp; Compound Data'!BJ273&lt;&gt;"",'I. Stream &amp; Compound Data'!BJ273,"")</f>
        <v/>
      </c>
      <c r="P153" s="1295" t="str">
        <f>IF('I. Stream &amp; Compound Data'!AK273&lt;&gt;"",'I. Stream &amp; Compound Data'!AK273,"")</f>
        <v/>
      </c>
      <c r="Q153" s="290" t="str">
        <f>IF(H153&gt;'I. Stream &amp; Compound Data'!$F$18,"",IF(M153="C",0.875,IF(M153="Xi",0.625,"N/A")))</f>
        <v/>
      </c>
      <c r="R153" s="1168" t="str">
        <f>IF(H153&gt;'I. Stream &amp; Compound Data'!$F$18,"",IF(Q153="N/A",IF(N153="","N/A",IF(N153=35,1,IF(N153=34,0.875,IF(AND(N153&gt;=36,N153&lt;=38),0.625,0)))),"N/A"))</f>
        <v/>
      </c>
      <c r="S153" s="1287" t="str">
        <f>IF(H153&gt;'I. Stream &amp; Compound Data'!$F$18,"",IF(AND(Q153="N/A",R153="N/A"),IF(O153="","N/A",IF(AND(O153&gt;=1,O153&lt;=5),-0.25*O153+1.25,IF(AND(O153&gt;5,O153&lt;8.5),0,IF(AND(O153&gt;=8.5,O153&lt;=12.5),0.25*O153-2.125,1)))),"N/A"))</f>
        <v/>
      </c>
      <c r="T153" s="1296" t="str">
        <f>IF(H153&gt;'I. Stream &amp; Compound Data'!$F$18,"",IF(AND(Q153="N/A",R153="N/A",S153="N/A"),IF(P153="","N/A",ROUND(IF(P153&lt;=5,1,IF(AND(P153&gt;5,P153&lt;50000),-0.109*LN(P153)+1.1747,0)),3)),"N/A"))</f>
        <v/>
      </c>
      <c r="U153" s="1294" t="str">
        <f>IF(H153&gt;'I. Stream &amp; Compound Data'!$F$18,"",IF(Q153&lt;&gt;"N/A",Q153,IF(R153&lt;&gt;"N/A",R153,IF(S153&lt;&gt;"N/A",S153,T153))))</f>
        <v/>
      </c>
      <c r="V153" s="1294" t="str">
        <f>IF(H153&gt;'I. Stream &amp; Compound Data'!$F$18,"",IF(U153&lt;&gt;0,ROUND(10^(4*U153+2),3),0))</f>
        <v/>
      </c>
      <c r="W153" s="1294" t="str">
        <f>IF(H153&gt;'I. Stream &amp; Compound Data'!$F$18,"",MAX(K153:L153))</f>
        <v/>
      </c>
      <c r="X153" s="1297" t="str">
        <f>IF(H153&gt;'I. Stream &amp; Compound Data'!$F$18,"",ROUND(V153*W153,3))</f>
        <v/>
      </c>
      <c r="Y153" s="279"/>
      <c r="Z153" s="279"/>
      <c r="AA153" s="279"/>
      <c r="AB153" s="279"/>
      <c r="AC153" s="279"/>
      <c r="AD153" s="279"/>
      <c r="AE153" s="279"/>
      <c r="AF153" s="279"/>
      <c r="AG153" s="279"/>
      <c r="AH153" s="279"/>
      <c r="AI153" s="279"/>
      <c r="AJ153" s="279"/>
      <c r="AK153" s="279"/>
      <c r="AL153" s="279"/>
      <c r="AM153" s="279"/>
      <c r="AN153" s="279"/>
      <c r="AO153" s="279"/>
      <c r="AP153" s="279"/>
      <c r="AQ153" s="279"/>
      <c r="AR153" s="279"/>
      <c r="AS153" s="279"/>
      <c r="AT153" s="279"/>
      <c r="AU153" s="279"/>
      <c r="AV153" s="279"/>
      <c r="AW153" s="279"/>
      <c r="AX153" s="279"/>
      <c r="AY153" s="279"/>
      <c r="AZ153" s="279"/>
      <c r="BA153" s="279"/>
      <c r="BB153" s="279"/>
      <c r="BC153" s="279"/>
      <c r="BD153" s="279"/>
      <c r="BE153" s="279"/>
      <c r="BF153" s="279"/>
      <c r="BG153" s="279"/>
      <c r="BH153" s="279"/>
      <c r="BI153" s="279"/>
      <c r="BJ153" s="279"/>
      <c r="BK153" s="279"/>
      <c r="BL153" s="279"/>
      <c r="BM153" s="279"/>
      <c r="BN153" s="279"/>
      <c r="BO153" s="279"/>
      <c r="BP153" s="279"/>
      <c r="BQ153" s="279"/>
      <c r="BR153" s="279"/>
      <c r="BS153" s="279"/>
      <c r="BT153" s="279"/>
      <c r="BU153" s="279"/>
      <c r="BV153" s="279"/>
      <c r="BW153" s="279"/>
      <c r="BX153" s="279"/>
      <c r="BY153" s="279"/>
      <c r="BZ153" s="279"/>
      <c r="CA153" s="279"/>
      <c r="CB153" s="279"/>
      <c r="CC153" s="279"/>
      <c r="CD153" s="279"/>
      <c r="CE153" s="279"/>
      <c r="CF153" s="279"/>
      <c r="CG153" s="279"/>
      <c r="CH153" s="279"/>
      <c r="CI153" s="279"/>
      <c r="CJ153" s="279"/>
      <c r="CK153" s="279"/>
      <c r="CL153" s="279"/>
      <c r="CM153" s="279"/>
      <c r="CN153" s="382"/>
    </row>
    <row r="154" ht="24" customHeight="true" x14ac:dyDescent="0.3">
      <c r="B154" s="361"/>
      <c r="C154" s="279"/>
      <c r="D154" s="280"/>
      <c r="E154" s="287"/>
      <c r="F154" s="287"/>
      <c r="G154" s="287"/>
      <c r="H154" s="1292">
        <f t="shared" si="10"/>
        <v>13</v>
      </c>
      <c r="I154" s="1293" t="str">
        <f>'I. Stream &amp; Compound Data'!G274</f>
        <v/>
      </c>
      <c r="J154" s="1294" t="str">
        <f>'I. Stream &amp; Compound Data'!H274</f>
        <v/>
      </c>
      <c r="K154" s="1294" t="str">
        <f>'I. Stream &amp; Compound Data'!L274</f>
        <v/>
      </c>
      <c r="L154" s="1294" t="str">
        <f>'I. Stream &amp; Compound Data'!M274</f>
        <v/>
      </c>
      <c r="M154" s="1295" t="str">
        <f>IF('I. Stream &amp; Compound Data'!AP274&lt;&gt;"",'I. Stream &amp; Compound Data'!AP274,IF('I. Stream &amp; Compound Data'!AQ274&lt;&gt;"",'I. Stream &amp; Compound Data'!AQ274,""))</f>
        <v/>
      </c>
      <c r="N154" s="1295" t="str">
        <f>IF('I. Stream &amp; Compound Data'!AR274&lt;&gt;"",'I. Stream &amp; Compound Data'!AR274,IF('I. Stream &amp; Compound Data'!AS274&lt;&gt;"",'I. Stream &amp; Compound Data'!AS274,""))</f>
        <v/>
      </c>
      <c r="O154" s="1295" t="str">
        <f>IF('I. Stream &amp; Compound Data'!BJ274&lt;&gt;"",'I. Stream &amp; Compound Data'!BJ274,"")</f>
        <v/>
      </c>
      <c r="P154" s="1295" t="str">
        <f>IF('I. Stream &amp; Compound Data'!AK274&lt;&gt;"",'I. Stream &amp; Compound Data'!AK274,"")</f>
        <v/>
      </c>
      <c r="Q154" s="290" t="str">
        <f>IF(H154&gt;'I. Stream &amp; Compound Data'!$F$18,"",IF(M154="C",0.875,IF(M154="Xi",0.625,"N/A")))</f>
        <v/>
      </c>
      <c r="R154" s="1168" t="str">
        <f>IF(H154&gt;'I. Stream &amp; Compound Data'!$F$18,"",IF(Q154="N/A",IF(N154="","N/A",IF(N154=35,1,IF(N154=34,0.875,IF(AND(N154&gt;=36,N154&lt;=38),0.625,0)))),"N/A"))</f>
        <v/>
      </c>
      <c r="S154" s="1287" t="str">
        <f>IF(H154&gt;'I. Stream &amp; Compound Data'!$F$18,"",IF(AND(Q154="N/A",R154="N/A"),IF(O154="","N/A",IF(AND(O154&gt;=1,O154&lt;=5),-0.25*O154+1.25,IF(AND(O154&gt;5,O154&lt;8.5),0,IF(AND(O154&gt;=8.5,O154&lt;=12.5),0.25*O154-2.125,1)))),"N/A"))</f>
        <v/>
      </c>
      <c r="T154" s="1296" t="str">
        <f>IF(H154&gt;'I. Stream &amp; Compound Data'!$F$18,"",IF(AND(Q154="N/A",R154="N/A",S154="N/A"),IF(P154="","N/A",ROUND(IF(P154&lt;=5,1,IF(AND(P154&gt;5,P154&lt;50000),-0.109*LN(P154)+1.1747,0)),3)),"N/A"))</f>
        <v/>
      </c>
      <c r="U154" s="1294" t="str">
        <f>IF(H154&gt;'I. Stream &amp; Compound Data'!$F$18,"",IF(Q154&lt;&gt;"N/A",Q154,IF(R154&lt;&gt;"N/A",R154,IF(S154&lt;&gt;"N/A",S154,T154))))</f>
        <v/>
      </c>
      <c r="V154" s="1294" t="str">
        <f>IF(H154&gt;'I. Stream &amp; Compound Data'!$F$18,"",IF(U154&lt;&gt;0,ROUND(10^(4*U154+2),3),0))</f>
        <v/>
      </c>
      <c r="W154" s="1294" t="str">
        <f>IF(H154&gt;'I. Stream &amp; Compound Data'!$F$18,"",MAX(K154:L154))</f>
        <v/>
      </c>
      <c r="X154" s="1297" t="str">
        <f>IF(H154&gt;'I. Stream &amp; Compound Data'!$F$18,"",ROUND(V154*W154,3))</f>
        <v/>
      </c>
      <c r="Y154" s="279"/>
      <c r="Z154" s="279"/>
      <c r="AA154" s="279"/>
      <c r="AB154" s="279"/>
      <c r="AC154" s="279"/>
      <c r="AD154" s="279"/>
      <c r="AE154" s="279"/>
      <c r="AF154" s="279"/>
      <c r="AG154" s="279"/>
      <c r="AH154" s="279"/>
      <c r="AI154" s="279"/>
      <c r="AJ154" s="279"/>
      <c r="AK154" s="279"/>
      <c r="AL154" s="279"/>
      <c r="AM154" s="279"/>
      <c r="AN154" s="279"/>
      <c r="AO154" s="279"/>
      <c r="AP154" s="279"/>
      <c r="AQ154" s="279"/>
      <c r="AR154" s="279"/>
      <c r="AS154" s="279"/>
      <c r="AT154" s="279"/>
      <c r="AU154" s="279"/>
      <c r="AV154" s="279"/>
      <c r="AW154" s="279"/>
      <c r="AX154" s="279"/>
      <c r="AY154" s="279"/>
      <c r="AZ154" s="279"/>
      <c r="BA154" s="279"/>
      <c r="BB154" s="279"/>
      <c r="BC154" s="279"/>
      <c r="BD154" s="279"/>
      <c r="BE154" s="279"/>
      <c r="BF154" s="279"/>
      <c r="BG154" s="279"/>
      <c r="BH154" s="279"/>
      <c r="BI154" s="279"/>
      <c r="BJ154" s="279"/>
      <c r="BK154" s="279"/>
      <c r="BL154" s="279"/>
      <c r="BM154" s="279"/>
      <c r="BN154" s="279"/>
      <c r="BO154" s="279"/>
      <c r="BP154" s="279"/>
      <c r="BQ154" s="279"/>
      <c r="BR154" s="279"/>
      <c r="BS154" s="279"/>
      <c r="BT154" s="279"/>
      <c r="BU154" s="279"/>
      <c r="BV154" s="279"/>
      <c r="BW154" s="279"/>
      <c r="BX154" s="279"/>
      <c r="BY154" s="279"/>
      <c r="BZ154" s="279"/>
      <c r="CA154" s="279"/>
      <c r="CB154" s="279"/>
      <c r="CC154" s="279"/>
      <c r="CD154" s="279"/>
      <c r="CE154" s="279"/>
      <c r="CF154" s="279"/>
      <c r="CG154" s="279"/>
      <c r="CH154" s="279"/>
      <c r="CI154" s="279"/>
      <c r="CJ154" s="279"/>
      <c r="CK154" s="279"/>
      <c r="CL154" s="279"/>
      <c r="CM154" s="279"/>
      <c r="CN154" s="382"/>
    </row>
    <row r="155" ht="24" customHeight="true" x14ac:dyDescent="0.3">
      <c r="B155" s="361"/>
      <c r="C155" s="279"/>
      <c r="D155" s="280"/>
      <c r="E155" s="287"/>
      <c r="F155" s="287"/>
      <c r="G155" s="287"/>
      <c r="H155" s="1292">
        <f t="shared" si="10"/>
        <v>14</v>
      </c>
      <c r="I155" s="1293" t="str">
        <f>'I. Stream &amp; Compound Data'!G275</f>
        <v/>
      </c>
      <c r="J155" s="1294" t="str">
        <f>'I. Stream &amp; Compound Data'!H275</f>
        <v/>
      </c>
      <c r="K155" s="1294" t="str">
        <f>'I. Stream &amp; Compound Data'!L275</f>
        <v/>
      </c>
      <c r="L155" s="1294" t="str">
        <f>'I. Stream &amp; Compound Data'!M275</f>
        <v/>
      </c>
      <c r="M155" s="1295" t="str">
        <f>IF('I. Stream &amp; Compound Data'!AP275&lt;&gt;"",'I. Stream &amp; Compound Data'!AP275,IF('I. Stream &amp; Compound Data'!AQ275&lt;&gt;"",'I. Stream &amp; Compound Data'!AQ275,""))</f>
        <v/>
      </c>
      <c r="N155" s="1295" t="str">
        <f>IF('I. Stream &amp; Compound Data'!AR275&lt;&gt;"",'I. Stream &amp; Compound Data'!AR275,IF('I. Stream &amp; Compound Data'!AS275&lt;&gt;"",'I. Stream &amp; Compound Data'!AS275,""))</f>
        <v/>
      </c>
      <c r="O155" s="1295" t="str">
        <f>IF('I. Stream &amp; Compound Data'!BJ275&lt;&gt;"",'I. Stream &amp; Compound Data'!BJ275,"")</f>
        <v/>
      </c>
      <c r="P155" s="1295" t="str">
        <f>IF('I. Stream &amp; Compound Data'!AK275&lt;&gt;"",'I. Stream &amp; Compound Data'!AK275,"")</f>
        <v/>
      </c>
      <c r="Q155" s="290" t="str">
        <f>IF(H155&gt;'I. Stream &amp; Compound Data'!$F$18,"",IF(M155="C",0.875,IF(M155="Xi",0.625,"N/A")))</f>
        <v/>
      </c>
      <c r="R155" s="1168" t="str">
        <f>IF(H155&gt;'I. Stream &amp; Compound Data'!$F$18,"",IF(Q155="N/A",IF(N155="","N/A",IF(N155=35,1,IF(N155=34,0.875,IF(AND(N155&gt;=36,N155&lt;=38),0.625,0)))),"N/A"))</f>
        <v/>
      </c>
      <c r="S155" s="1287" t="str">
        <f>IF(H155&gt;'I. Stream &amp; Compound Data'!$F$18,"",IF(AND(Q155="N/A",R155="N/A"),IF(O155="","N/A",IF(AND(O155&gt;=1,O155&lt;=5),-0.25*O155+1.25,IF(AND(O155&gt;5,O155&lt;8.5),0,IF(AND(O155&gt;=8.5,O155&lt;=12.5),0.25*O155-2.125,1)))),"N/A"))</f>
        <v/>
      </c>
      <c r="T155" s="1296" t="str">
        <f>IF(H155&gt;'I. Stream &amp; Compound Data'!$F$18,"",IF(AND(Q155="N/A",R155="N/A",S155="N/A"),IF(P155="","N/A",ROUND(IF(P155&lt;=5,1,IF(AND(P155&gt;5,P155&lt;50000),-0.109*LN(P155)+1.1747,0)),3)),"N/A"))</f>
        <v/>
      </c>
      <c r="U155" s="1294" t="str">
        <f>IF(H155&gt;'I. Stream &amp; Compound Data'!$F$18,"",IF(Q155&lt;&gt;"N/A",Q155,IF(R155&lt;&gt;"N/A",R155,IF(S155&lt;&gt;"N/A",S155,T155))))</f>
        <v/>
      </c>
      <c r="V155" s="1294" t="str">
        <f>IF(H155&gt;'I. Stream &amp; Compound Data'!$F$18,"",IF(U155&lt;&gt;0,ROUND(10^(4*U155+2),3),0))</f>
        <v/>
      </c>
      <c r="W155" s="1294" t="str">
        <f>IF(H155&gt;'I. Stream &amp; Compound Data'!$F$18,"",MAX(K155:L155))</f>
        <v/>
      </c>
      <c r="X155" s="1297" t="str">
        <f>IF(H155&gt;'I. Stream &amp; Compound Data'!$F$18,"",ROUND(V155*W155,3))</f>
        <v/>
      </c>
      <c r="Y155" s="279"/>
      <c r="Z155" s="279"/>
      <c r="AA155" s="279"/>
      <c r="AB155" s="279"/>
      <c r="AC155" s="279"/>
      <c r="AD155" s="279"/>
      <c r="AE155" s="279"/>
      <c r="AF155" s="279"/>
      <c r="AG155" s="279"/>
      <c r="AH155" s="279"/>
      <c r="AI155" s="279"/>
      <c r="AJ155" s="279"/>
      <c r="AK155" s="279"/>
      <c r="AL155" s="279"/>
      <c r="AM155" s="279"/>
      <c r="AN155" s="279"/>
      <c r="AO155" s="279"/>
      <c r="AP155" s="279"/>
      <c r="AQ155" s="279"/>
      <c r="AR155" s="279"/>
      <c r="AS155" s="279"/>
      <c r="AT155" s="279"/>
      <c r="AU155" s="279"/>
      <c r="AV155" s="279"/>
      <c r="AW155" s="279"/>
      <c r="AX155" s="279"/>
      <c r="AY155" s="279"/>
      <c r="AZ155" s="279"/>
      <c r="BA155" s="279"/>
      <c r="BB155" s="279"/>
      <c r="BC155" s="279"/>
      <c r="BD155" s="279"/>
      <c r="BE155" s="279"/>
      <c r="BF155" s="279"/>
      <c r="BG155" s="279"/>
      <c r="BH155" s="279"/>
      <c r="BI155" s="279"/>
      <c r="BJ155" s="279"/>
      <c r="BK155" s="279"/>
      <c r="BL155" s="279"/>
      <c r="BM155" s="279"/>
      <c r="BN155" s="279"/>
      <c r="BO155" s="279"/>
      <c r="BP155" s="279"/>
      <c r="BQ155" s="279"/>
      <c r="BR155" s="279"/>
      <c r="BS155" s="279"/>
      <c r="BT155" s="279"/>
      <c r="BU155" s="279"/>
      <c r="BV155" s="279"/>
      <c r="BW155" s="279"/>
      <c r="BX155" s="279"/>
      <c r="BY155" s="279"/>
      <c r="BZ155" s="279"/>
      <c r="CA155" s="279"/>
      <c r="CB155" s="279"/>
      <c r="CC155" s="279"/>
      <c r="CD155" s="279"/>
      <c r="CE155" s="279"/>
      <c r="CF155" s="279"/>
      <c r="CG155" s="279"/>
      <c r="CH155" s="279"/>
      <c r="CI155" s="279"/>
      <c r="CJ155" s="279"/>
      <c r="CK155" s="279"/>
      <c r="CL155" s="279"/>
      <c r="CM155" s="279"/>
      <c r="CN155" s="382"/>
    </row>
    <row r="156" ht="24" customHeight="true" x14ac:dyDescent="0.3">
      <c r="B156" s="361"/>
      <c r="C156" s="279"/>
      <c r="D156" s="280"/>
      <c r="E156" s="287"/>
      <c r="F156" s="287"/>
      <c r="G156" s="287"/>
      <c r="H156" s="1292">
        <f t="shared" si="10"/>
        <v>15</v>
      </c>
      <c r="I156" s="1293" t="str">
        <f>'I. Stream &amp; Compound Data'!G276</f>
        <v/>
      </c>
      <c r="J156" s="1294" t="str">
        <f>'I. Stream &amp; Compound Data'!H276</f>
        <v/>
      </c>
      <c r="K156" s="1294" t="str">
        <f>'I. Stream &amp; Compound Data'!L276</f>
        <v/>
      </c>
      <c r="L156" s="1294" t="str">
        <f>'I. Stream &amp; Compound Data'!M276</f>
        <v/>
      </c>
      <c r="M156" s="1295" t="str">
        <f>IF('I. Stream &amp; Compound Data'!AP276&lt;&gt;"",'I. Stream &amp; Compound Data'!AP276,IF('I. Stream &amp; Compound Data'!AQ276&lt;&gt;"",'I. Stream &amp; Compound Data'!AQ276,""))</f>
        <v/>
      </c>
      <c r="N156" s="1295" t="str">
        <f>IF('I. Stream &amp; Compound Data'!AR276&lt;&gt;"",'I. Stream &amp; Compound Data'!AR276,IF('I. Stream &amp; Compound Data'!AS276&lt;&gt;"",'I. Stream &amp; Compound Data'!AS276,""))</f>
        <v/>
      </c>
      <c r="O156" s="1295" t="str">
        <f>IF('I. Stream &amp; Compound Data'!BJ276&lt;&gt;"",'I. Stream &amp; Compound Data'!BJ276,"")</f>
        <v/>
      </c>
      <c r="P156" s="1295" t="str">
        <f>IF('I. Stream &amp; Compound Data'!AK276&lt;&gt;"",'I. Stream &amp; Compound Data'!AK276,"")</f>
        <v/>
      </c>
      <c r="Q156" s="290" t="str">
        <f>IF(H156&gt;'I. Stream &amp; Compound Data'!$F$18,"",IF(M156="C",0.875,IF(M156="Xi",0.625,"N/A")))</f>
        <v/>
      </c>
      <c r="R156" s="1168" t="str">
        <f>IF(H156&gt;'I. Stream &amp; Compound Data'!$F$18,"",IF(Q156="N/A",IF(N156="","N/A",IF(N156=35,1,IF(N156=34,0.875,IF(AND(N156&gt;=36,N156&lt;=38),0.625,0)))),"N/A"))</f>
        <v/>
      </c>
      <c r="S156" s="1287" t="str">
        <f>IF(H156&gt;'I. Stream &amp; Compound Data'!$F$18,"",IF(AND(Q156="N/A",R156="N/A"),IF(O156="","N/A",IF(AND(O156&gt;=1,O156&lt;=5),-0.25*O156+1.25,IF(AND(O156&gt;5,O156&lt;8.5),0,IF(AND(O156&gt;=8.5,O156&lt;=12.5),0.25*O156-2.125,1)))),"N/A"))</f>
        <v/>
      </c>
      <c r="T156" s="1296" t="str">
        <f>IF(H156&gt;'I. Stream &amp; Compound Data'!$F$18,"",IF(AND(Q156="N/A",R156="N/A",S156="N/A"),IF(P156="","N/A",ROUND(IF(P156&lt;=5,1,IF(AND(P156&gt;5,P156&lt;50000),-0.109*LN(P156)+1.1747,0)),3)),"N/A"))</f>
        <v/>
      </c>
      <c r="U156" s="1294" t="str">
        <f>IF(H156&gt;'I. Stream &amp; Compound Data'!$F$18,"",IF(Q156&lt;&gt;"N/A",Q156,IF(R156&lt;&gt;"N/A",R156,IF(S156&lt;&gt;"N/A",S156,T156))))</f>
        <v/>
      </c>
      <c r="V156" s="1294" t="str">
        <f>IF(H156&gt;'I. Stream &amp; Compound Data'!$F$18,"",IF(U156&lt;&gt;0,ROUND(10^(4*U156+2),3),0))</f>
        <v/>
      </c>
      <c r="W156" s="1294" t="str">
        <f>IF(H156&gt;'I. Stream &amp; Compound Data'!$F$18,"",MAX(K156:L156))</f>
        <v/>
      </c>
      <c r="X156" s="1297" t="str">
        <f>IF(H156&gt;'I. Stream &amp; Compound Data'!$F$18,"",ROUND(V156*W156,3))</f>
        <v/>
      </c>
      <c r="Y156" s="279"/>
      <c r="Z156" s="279"/>
      <c r="AA156" s="279"/>
      <c r="AB156" s="279"/>
      <c r="AC156" s="279"/>
      <c r="AD156" s="279"/>
      <c r="AE156" s="279"/>
      <c r="AF156" s="279"/>
      <c r="AG156" s="279"/>
      <c r="AH156" s="279"/>
      <c r="AI156" s="279"/>
      <c r="AJ156" s="279"/>
      <c r="AK156" s="279"/>
      <c r="AL156" s="279"/>
      <c r="AM156" s="279"/>
      <c r="AN156" s="279"/>
      <c r="AO156" s="279"/>
      <c r="AP156" s="279"/>
      <c r="AQ156" s="279"/>
      <c r="AR156" s="279"/>
      <c r="AS156" s="279"/>
      <c r="AT156" s="279"/>
      <c r="AU156" s="279"/>
      <c r="AV156" s="279"/>
      <c r="AW156" s="279"/>
      <c r="AX156" s="279"/>
      <c r="AY156" s="279"/>
      <c r="AZ156" s="279"/>
      <c r="BA156" s="279"/>
      <c r="BB156" s="279"/>
      <c r="BC156" s="279"/>
      <c r="BD156" s="279"/>
      <c r="BE156" s="279"/>
      <c r="BF156" s="279"/>
      <c r="BG156" s="279"/>
      <c r="BH156" s="279"/>
      <c r="BI156" s="279"/>
      <c r="BJ156" s="279"/>
      <c r="BK156" s="279"/>
      <c r="BL156" s="279"/>
      <c r="BM156" s="279"/>
      <c r="BN156" s="279"/>
      <c r="BO156" s="279"/>
      <c r="BP156" s="279"/>
      <c r="BQ156" s="279"/>
      <c r="BR156" s="279"/>
      <c r="BS156" s="279"/>
      <c r="BT156" s="279"/>
      <c r="BU156" s="279"/>
      <c r="BV156" s="279"/>
      <c r="BW156" s="279"/>
      <c r="BX156" s="279"/>
      <c r="BY156" s="279"/>
      <c r="BZ156" s="279"/>
      <c r="CA156" s="279"/>
      <c r="CB156" s="279"/>
      <c r="CC156" s="279"/>
      <c r="CD156" s="279"/>
      <c r="CE156" s="279"/>
      <c r="CF156" s="279"/>
      <c r="CG156" s="279"/>
      <c r="CH156" s="279"/>
      <c r="CI156" s="279"/>
      <c r="CJ156" s="279"/>
      <c r="CK156" s="279"/>
      <c r="CL156" s="279"/>
      <c r="CM156" s="279"/>
      <c r="CN156" s="382"/>
    </row>
    <row r="157" ht="24" customHeight="true" x14ac:dyDescent="0.3">
      <c r="B157" s="361"/>
      <c r="C157" s="279"/>
      <c r="D157" s="280"/>
      <c r="E157" s="287"/>
      <c r="F157" s="287"/>
      <c r="G157" s="287"/>
      <c r="H157" s="1292">
        <f t="shared" si="10"/>
        <v>16</v>
      </c>
      <c r="I157" s="1293" t="str">
        <f>'I. Stream &amp; Compound Data'!G277</f>
        <v/>
      </c>
      <c r="J157" s="1294" t="str">
        <f>'I. Stream &amp; Compound Data'!H277</f>
        <v/>
      </c>
      <c r="K157" s="1294" t="str">
        <f>'I. Stream &amp; Compound Data'!L277</f>
        <v/>
      </c>
      <c r="L157" s="1294" t="str">
        <f>'I. Stream &amp; Compound Data'!M277</f>
        <v/>
      </c>
      <c r="M157" s="1295" t="str">
        <f>IF('I. Stream &amp; Compound Data'!AP277&lt;&gt;"",'I. Stream &amp; Compound Data'!AP277,IF('I. Stream &amp; Compound Data'!AQ277&lt;&gt;"",'I. Stream &amp; Compound Data'!AQ277,""))</f>
        <v/>
      </c>
      <c r="N157" s="1295" t="str">
        <f>IF('I. Stream &amp; Compound Data'!AR277&lt;&gt;"",'I. Stream &amp; Compound Data'!AR277,IF('I. Stream &amp; Compound Data'!AS277&lt;&gt;"",'I. Stream &amp; Compound Data'!AS277,""))</f>
        <v/>
      </c>
      <c r="O157" s="1295" t="str">
        <f>IF('I. Stream &amp; Compound Data'!BJ277&lt;&gt;"",'I. Stream &amp; Compound Data'!BJ277,"")</f>
        <v/>
      </c>
      <c r="P157" s="1295" t="str">
        <f>IF('I. Stream &amp; Compound Data'!AK277&lt;&gt;"",'I. Stream &amp; Compound Data'!AK277,"")</f>
        <v/>
      </c>
      <c r="Q157" s="290" t="str">
        <f>IF(H157&gt;'I. Stream &amp; Compound Data'!$F$18,"",IF(M157="C",0.875,IF(M157="Xi",0.625,"N/A")))</f>
        <v/>
      </c>
      <c r="R157" s="1168" t="str">
        <f>IF(H157&gt;'I. Stream &amp; Compound Data'!$F$18,"",IF(Q157="N/A",IF(N157="","N/A",IF(N157=35,1,IF(N157=34,0.875,IF(AND(N157&gt;=36,N157&lt;=38),0.625,0)))),"N/A"))</f>
        <v/>
      </c>
      <c r="S157" s="1287" t="str">
        <f>IF(H157&gt;'I. Stream &amp; Compound Data'!$F$18,"",IF(AND(Q157="N/A",R157="N/A"),IF(O157="","N/A",IF(AND(O157&gt;=1,O157&lt;=5),-0.25*O157+1.25,IF(AND(O157&gt;5,O157&lt;8.5),0,IF(AND(O157&gt;=8.5,O157&lt;=12.5),0.25*O157-2.125,1)))),"N/A"))</f>
        <v/>
      </c>
      <c r="T157" s="1296" t="str">
        <f>IF(H157&gt;'I. Stream &amp; Compound Data'!$F$18,"",IF(AND(Q157="N/A",R157="N/A",S157="N/A"),IF(P157="","N/A",ROUND(IF(P157&lt;=5,1,IF(AND(P157&gt;5,P157&lt;50000),-0.109*LN(P157)+1.1747,0)),3)),"N/A"))</f>
        <v/>
      </c>
      <c r="U157" s="1294" t="str">
        <f>IF(H157&gt;'I. Stream &amp; Compound Data'!$F$18,"",IF(Q157&lt;&gt;"N/A",Q157,IF(R157&lt;&gt;"N/A",R157,IF(S157&lt;&gt;"N/A",S157,T157))))</f>
        <v/>
      </c>
      <c r="V157" s="1294" t="str">
        <f>IF(H157&gt;'I. Stream &amp; Compound Data'!$F$18,"",IF(U157&lt;&gt;0,ROUND(10^(4*U157+2),3),0))</f>
        <v/>
      </c>
      <c r="W157" s="1294" t="str">
        <f>IF(H157&gt;'I. Stream &amp; Compound Data'!$F$18,"",MAX(K157:L157))</f>
        <v/>
      </c>
      <c r="X157" s="1297" t="str">
        <f>IF(H157&gt;'I. Stream &amp; Compound Data'!$F$18,"",ROUND(V157*W157,3))</f>
        <v/>
      </c>
      <c r="Y157" s="279"/>
      <c r="Z157" s="279"/>
      <c r="AA157" s="279"/>
      <c r="AB157" s="279"/>
      <c r="AC157" s="279"/>
      <c r="AD157" s="279"/>
      <c r="AE157" s="279"/>
      <c r="AF157" s="279"/>
      <c r="AG157" s="279"/>
      <c r="AH157" s="279"/>
      <c r="AI157" s="279"/>
      <c r="AJ157" s="279"/>
      <c r="AK157" s="279"/>
      <c r="AL157" s="279"/>
      <c r="AM157" s="279"/>
      <c r="AN157" s="279"/>
      <c r="AO157" s="279"/>
      <c r="AP157" s="279"/>
      <c r="AQ157" s="279"/>
      <c r="AR157" s="279"/>
      <c r="AS157" s="279"/>
      <c r="AT157" s="279"/>
      <c r="AU157" s="279"/>
      <c r="AV157" s="279"/>
      <c r="AW157" s="279"/>
      <c r="AX157" s="279"/>
      <c r="AY157" s="279"/>
      <c r="AZ157" s="279"/>
      <c r="BA157" s="279"/>
      <c r="BB157" s="279"/>
      <c r="BC157" s="279"/>
      <c r="BD157" s="279"/>
      <c r="BE157" s="279"/>
      <c r="BF157" s="279"/>
      <c r="BG157" s="279"/>
      <c r="BH157" s="279"/>
      <c r="BI157" s="279"/>
      <c r="BJ157" s="279"/>
      <c r="BK157" s="279"/>
      <c r="BL157" s="279"/>
      <c r="BM157" s="279"/>
      <c r="BN157" s="279"/>
      <c r="BO157" s="279"/>
      <c r="BP157" s="279"/>
      <c r="BQ157" s="279"/>
      <c r="BR157" s="279"/>
      <c r="BS157" s="279"/>
      <c r="BT157" s="279"/>
      <c r="BU157" s="279"/>
      <c r="BV157" s="279"/>
      <c r="BW157" s="279"/>
      <c r="BX157" s="279"/>
      <c r="BY157" s="279"/>
      <c r="BZ157" s="279"/>
      <c r="CA157" s="279"/>
      <c r="CB157" s="279"/>
      <c r="CC157" s="279"/>
      <c r="CD157" s="279"/>
      <c r="CE157" s="279"/>
      <c r="CF157" s="279"/>
      <c r="CG157" s="279"/>
      <c r="CH157" s="279"/>
      <c r="CI157" s="279"/>
      <c r="CJ157" s="279"/>
      <c r="CK157" s="279"/>
      <c r="CL157" s="279"/>
      <c r="CM157" s="279"/>
      <c r="CN157" s="382"/>
    </row>
    <row r="158" ht="24" customHeight="true" x14ac:dyDescent="0.3">
      <c r="B158" s="361"/>
      <c r="C158" s="279"/>
      <c r="D158" s="280"/>
      <c r="E158" s="287"/>
      <c r="F158" s="287"/>
      <c r="G158" s="287"/>
      <c r="H158" s="1292">
        <f t="shared" si="10"/>
        <v>17</v>
      </c>
      <c r="I158" s="1293" t="str">
        <f>'I. Stream &amp; Compound Data'!G278</f>
        <v/>
      </c>
      <c r="J158" s="1294" t="str">
        <f>'I. Stream &amp; Compound Data'!H278</f>
        <v/>
      </c>
      <c r="K158" s="1294" t="str">
        <f>'I. Stream &amp; Compound Data'!L278</f>
        <v/>
      </c>
      <c r="L158" s="1294" t="str">
        <f>'I. Stream &amp; Compound Data'!M278</f>
        <v/>
      </c>
      <c r="M158" s="1295" t="str">
        <f>IF('I. Stream &amp; Compound Data'!AP278&lt;&gt;"",'I. Stream &amp; Compound Data'!AP278,IF('I. Stream &amp; Compound Data'!AQ278&lt;&gt;"",'I. Stream &amp; Compound Data'!AQ278,""))</f>
        <v/>
      </c>
      <c r="N158" s="1295" t="str">
        <f>IF('I. Stream &amp; Compound Data'!AR278&lt;&gt;"",'I. Stream &amp; Compound Data'!AR278,IF('I. Stream &amp; Compound Data'!AS278&lt;&gt;"",'I. Stream &amp; Compound Data'!AS278,""))</f>
        <v/>
      </c>
      <c r="O158" s="1295" t="str">
        <f>IF('I. Stream &amp; Compound Data'!BJ278&lt;&gt;"",'I. Stream &amp; Compound Data'!BJ278,"")</f>
        <v/>
      </c>
      <c r="P158" s="1295" t="str">
        <f>IF('I. Stream &amp; Compound Data'!AK278&lt;&gt;"",'I. Stream &amp; Compound Data'!AK278,"")</f>
        <v/>
      </c>
      <c r="Q158" s="290" t="str">
        <f>IF(H158&gt;'I. Stream &amp; Compound Data'!$F$18,"",IF(M158="C",0.875,IF(M158="Xi",0.625,"N/A")))</f>
        <v/>
      </c>
      <c r="R158" s="1168" t="str">
        <f>IF(H158&gt;'I. Stream &amp; Compound Data'!$F$18,"",IF(Q158="N/A",IF(N158="","N/A",IF(N158=35,1,IF(N158=34,0.875,IF(AND(N158&gt;=36,N158&lt;=38),0.625,0)))),"N/A"))</f>
        <v/>
      </c>
      <c r="S158" s="1287" t="str">
        <f>IF(H158&gt;'I. Stream &amp; Compound Data'!$F$18,"",IF(AND(Q158="N/A",R158="N/A"),IF(O158="","N/A",IF(AND(O158&gt;=1,O158&lt;=5),-0.25*O158+1.25,IF(AND(O158&gt;5,O158&lt;8.5),0,IF(AND(O158&gt;=8.5,O158&lt;=12.5),0.25*O158-2.125,1)))),"N/A"))</f>
        <v/>
      </c>
      <c r="T158" s="1296" t="str">
        <f>IF(H158&gt;'I. Stream &amp; Compound Data'!$F$18,"",IF(AND(Q158="N/A",R158="N/A",S158="N/A"),IF(P158="","N/A",ROUND(IF(P158&lt;=5,1,IF(AND(P158&gt;5,P158&lt;50000),-0.109*LN(P158)+1.1747,0)),3)),"N/A"))</f>
        <v/>
      </c>
      <c r="U158" s="1294" t="str">
        <f>IF(H158&gt;'I. Stream &amp; Compound Data'!$F$18,"",IF(Q158&lt;&gt;"N/A",Q158,IF(R158&lt;&gt;"N/A",R158,IF(S158&lt;&gt;"N/A",S158,T158))))</f>
        <v/>
      </c>
      <c r="V158" s="1294" t="str">
        <f>IF(H158&gt;'I. Stream &amp; Compound Data'!$F$18,"",IF(U158&lt;&gt;0,ROUND(10^(4*U158+2),3),0))</f>
        <v/>
      </c>
      <c r="W158" s="1294" t="str">
        <f>IF(H158&gt;'I. Stream &amp; Compound Data'!$F$18,"",MAX(K158:L158))</f>
        <v/>
      </c>
      <c r="X158" s="1297" t="str">
        <f>IF(H158&gt;'I. Stream &amp; Compound Data'!$F$18,"",ROUND(V158*W158,3))</f>
        <v/>
      </c>
      <c r="Y158" s="279"/>
      <c r="Z158" s="279"/>
      <c r="AA158" s="279"/>
      <c r="AB158" s="279"/>
      <c r="AC158" s="279"/>
      <c r="AD158" s="279"/>
      <c r="AE158" s="279"/>
      <c r="AF158" s="279"/>
      <c r="AG158" s="279"/>
      <c r="AH158" s="279"/>
      <c r="AI158" s="279"/>
      <c r="AJ158" s="279"/>
      <c r="AK158" s="279"/>
      <c r="AL158" s="279"/>
      <c r="AM158" s="279"/>
      <c r="AN158" s="279"/>
      <c r="AO158" s="279"/>
      <c r="AP158" s="279"/>
      <c r="AQ158" s="279"/>
      <c r="AR158" s="279"/>
      <c r="AS158" s="279"/>
      <c r="AT158" s="279"/>
      <c r="AU158" s="279"/>
      <c r="AV158" s="279"/>
      <c r="AW158" s="279"/>
      <c r="AX158" s="279"/>
      <c r="AY158" s="279"/>
      <c r="AZ158" s="279"/>
      <c r="BA158" s="279"/>
      <c r="BB158" s="279"/>
      <c r="BC158" s="279"/>
      <c r="BD158" s="279"/>
      <c r="BE158" s="279"/>
      <c r="BF158" s="279"/>
      <c r="BG158" s="279"/>
      <c r="BH158" s="279"/>
      <c r="BI158" s="279"/>
      <c r="BJ158" s="279"/>
      <c r="BK158" s="279"/>
      <c r="BL158" s="279"/>
      <c r="BM158" s="279"/>
      <c r="BN158" s="279"/>
      <c r="BO158" s="279"/>
      <c r="BP158" s="279"/>
      <c r="BQ158" s="279"/>
      <c r="BR158" s="279"/>
      <c r="BS158" s="279"/>
      <c r="BT158" s="279"/>
      <c r="BU158" s="279"/>
      <c r="BV158" s="279"/>
      <c r="BW158" s="279"/>
      <c r="BX158" s="279"/>
      <c r="BY158" s="279"/>
      <c r="BZ158" s="279"/>
      <c r="CA158" s="279"/>
      <c r="CB158" s="279"/>
      <c r="CC158" s="279"/>
      <c r="CD158" s="279"/>
      <c r="CE158" s="279"/>
      <c r="CF158" s="279"/>
      <c r="CG158" s="279"/>
      <c r="CH158" s="279"/>
      <c r="CI158" s="279"/>
      <c r="CJ158" s="279"/>
      <c r="CK158" s="279"/>
      <c r="CL158" s="279"/>
      <c r="CM158" s="279"/>
      <c r="CN158" s="382"/>
    </row>
    <row r="159" ht="24" customHeight="true" x14ac:dyDescent="0.3">
      <c r="B159" s="361"/>
      <c r="C159" s="279"/>
      <c r="D159" s="280"/>
      <c r="E159" s="287"/>
      <c r="F159" s="287"/>
      <c r="G159" s="287"/>
      <c r="H159" s="1292">
        <f t="shared" si="10"/>
        <v>18</v>
      </c>
      <c r="I159" s="1293" t="str">
        <f>'I. Stream &amp; Compound Data'!G279</f>
        <v/>
      </c>
      <c r="J159" s="1294" t="str">
        <f>'I. Stream &amp; Compound Data'!H279</f>
        <v/>
      </c>
      <c r="K159" s="1294" t="str">
        <f>'I. Stream &amp; Compound Data'!L279</f>
        <v/>
      </c>
      <c r="L159" s="1294" t="str">
        <f>'I. Stream &amp; Compound Data'!M279</f>
        <v/>
      </c>
      <c r="M159" s="1295" t="str">
        <f>IF('I. Stream &amp; Compound Data'!AP279&lt;&gt;"",'I. Stream &amp; Compound Data'!AP279,IF('I. Stream &amp; Compound Data'!AQ279&lt;&gt;"",'I. Stream &amp; Compound Data'!AQ279,""))</f>
        <v/>
      </c>
      <c r="N159" s="1295" t="str">
        <f>IF('I. Stream &amp; Compound Data'!AR279&lt;&gt;"",'I. Stream &amp; Compound Data'!AR279,IF('I. Stream &amp; Compound Data'!AS279&lt;&gt;"",'I. Stream &amp; Compound Data'!AS279,""))</f>
        <v/>
      </c>
      <c r="O159" s="1295" t="str">
        <f>IF('I. Stream &amp; Compound Data'!BJ279&lt;&gt;"",'I. Stream &amp; Compound Data'!BJ279,"")</f>
        <v/>
      </c>
      <c r="P159" s="1295" t="str">
        <f>IF('I. Stream &amp; Compound Data'!AK279&lt;&gt;"",'I. Stream &amp; Compound Data'!AK279,"")</f>
        <v/>
      </c>
      <c r="Q159" s="290" t="str">
        <f>IF(H159&gt;'I. Stream &amp; Compound Data'!$F$18,"",IF(M159="C",0.875,IF(M159="Xi",0.625,"N/A")))</f>
        <v/>
      </c>
      <c r="R159" s="1168" t="str">
        <f>IF(H159&gt;'I. Stream &amp; Compound Data'!$F$18,"",IF(Q159="N/A",IF(N159="","N/A",IF(N159=35,1,IF(N159=34,0.875,IF(AND(N159&gt;=36,N159&lt;=38),0.625,0)))),"N/A"))</f>
        <v/>
      </c>
      <c r="S159" s="1287" t="str">
        <f>IF(H159&gt;'I. Stream &amp; Compound Data'!$F$18,"",IF(AND(Q159="N/A",R159="N/A"),IF(O159="","N/A",IF(AND(O159&gt;=1,O159&lt;=5),-0.25*O159+1.25,IF(AND(O159&gt;5,O159&lt;8.5),0,IF(AND(O159&gt;=8.5,O159&lt;=12.5),0.25*O159-2.125,1)))),"N/A"))</f>
        <v/>
      </c>
      <c r="T159" s="1296" t="str">
        <f>IF(H159&gt;'I. Stream &amp; Compound Data'!$F$18,"",IF(AND(Q159="N/A",R159="N/A",S159="N/A"),IF(P159="","N/A",ROUND(IF(P159&lt;=5,1,IF(AND(P159&gt;5,P159&lt;50000),-0.109*LN(P159)+1.1747,0)),3)),"N/A"))</f>
        <v/>
      </c>
      <c r="U159" s="1294" t="str">
        <f>IF(H159&gt;'I. Stream &amp; Compound Data'!$F$18,"",IF(Q159&lt;&gt;"N/A",Q159,IF(R159&lt;&gt;"N/A",R159,IF(S159&lt;&gt;"N/A",S159,T159))))</f>
        <v/>
      </c>
      <c r="V159" s="1294" t="str">
        <f>IF(H159&gt;'I. Stream &amp; Compound Data'!$F$18,"",IF(U159&lt;&gt;0,ROUND(10^(4*U159+2),3),0))</f>
        <v/>
      </c>
      <c r="W159" s="1294" t="str">
        <f>IF(H159&gt;'I. Stream &amp; Compound Data'!$F$18,"",MAX(K159:L159))</f>
        <v/>
      </c>
      <c r="X159" s="1297" t="str">
        <f>IF(H159&gt;'I. Stream &amp; Compound Data'!$F$18,"",ROUND(V159*W159,3))</f>
        <v/>
      </c>
      <c r="Y159" s="279"/>
      <c r="Z159" s="279"/>
      <c r="AA159" s="279"/>
      <c r="AB159" s="279"/>
      <c r="AC159" s="279"/>
      <c r="AD159" s="279"/>
      <c r="AE159" s="279"/>
      <c r="AF159" s="279"/>
      <c r="AG159" s="279"/>
      <c r="AH159" s="279"/>
      <c r="AI159" s="279"/>
      <c r="AJ159" s="279"/>
      <c r="AK159" s="279"/>
      <c r="AL159" s="279"/>
      <c r="AM159" s="279"/>
      <c r="AN159" s="279"/>
      <c r="AO159" s="279"/>
      <c r="AP159" s="279"/>
      <c r="AQ159" s="279"/>
      <c r="AR159" s="279"/>
      <c r="AS159" s="279"/>
      <c r="AT159" s="279"/>
      <c r="AU159" s="279"/>
      <c r="AV159" s="279"/>
      <c r="AW159" s="279"/>
      <c r="AX159" s="279"/>
      <c r="AY159" s="279"/>
      <c r="AZ159" s="279"/>
      <c r="BA159" s="279"/>
      <c r="BB159" s="279"/>
      <c r="BC159" s="279"/>
      <c r="BD159" s="279"/>
      <c r="BE159" s="279"/>
      <c r="BF159" s="279"/>
      <c r="BG159" s="279"/>
      <c r="BH159" s="279"/>
      <c r="BI159" s="279"/>
      <c r="BJ159" s="279"/>
      <c r="BK159" s="279"/>
      <c r="BL159" s="279"/>
      <c r="BM159" s="279"/>
      <c r="BN159" s="279"/>
      <c r="BO159" s="279"/>
      <c r="BP159" s="279"/>
      <c r="BQ159" s="279"/>
      <c r="BR159" s="279"/>
      <c r="BS159" s="279"/>
      <c r="BT159" s="279"/>
      <c r="BU159" s="279"/>
      <c r="BV159" s="279"/>
      <c r="BW159" s="279"/>
      <c r="BX159" s="279"/>
      <c r="BY159" s="279"/>
      <c r="BZ159" s="279"/>
      <c r="CA159" s="279"/>
      <c r="CB159" s="279"/>
      <c r="CC159" s="279"/>
      <c r="CD159" s="279"/>
      <c r="CE159" s="279"/>
      <c r="CF159" s="279"/>
      <c r="CG159" s="279"/>
      <c r="CH159" s="279"/>
      <c r="CI159" s="279"/>
      <c r="CJ159" s="279"/>
      <c r="CK159" s="279"/>
      <c r="CL159" s="279"/>
      <c r="CM159" s="279"/>
      <c r="CN159" s="382"/>
    </row>
    <row r="160" ht="24" customHeight="true" x14ac:dyDescent="0.3">
      <c r="B160" s="361"/>
      <c r="C160" s="279"/>
      <c r="D160" s="280"/>
      <c r="E160" s="287"/>
      <c r="F160" s="287"/>
      <c r="G160" s="287"/>
      <c r="H160" s="1292">
        <f t="shared" si="10"/>
        <v>19</v>
      </c>
      <c r="I160" s="1293" t="str">
        <f>'I. Stream &amp; Compound Data'!G280</f>
        <v/>
      </c>
      <c r="J160" s="1294" t="str">
        <f>'I. Stream &amp; Compound Data'!H280</f>
        <v/>
      </c>
      <c r="K160" s="1294" t="str">
        <f>'I. Stream &amp; Compound Data'!L280</f>
        <v/>
      </c>
      <c r="L160" s="1294" t="str">
        <f>'I. Stream &amp; Compound Data'!M280</f>
        <v/>
      </c>
      <c r="M160" s="1295" t="str">
        <f>IF('I. Stream &amp; Compound Data'!AP280&lt;&gt;"",'I. Stream &amp; Compound Data'!AP280,IF('I. Stream &amp; Compound Data'!AQ280&lt;&gt;"",'I. Stream &amp; Compound Data'!AQ280,""))</f>
        <v/>
      </c>
      <c r="N160" s="1295" t="str">
        <f>IF('I. Stream &amp; Compound Data'!AR280&lt;&gt;"",'I. Stream &amp; Compound Data'!AR280,IF('I. Stream &amp; Compound Data'!AS280&lt;&gt;"",'I. Stream &amp; Compound Data'!AS280,""))</f>
        <v/>
      </c>
      <c r="O160" s="1295" t="str">
        <f>IF('I. Stream &amp; Compound Data'!BJ280&lt;&gt;"",'I. Stream &amp; Compound Data'!BJ280,"")</f>
        <v/>
      </c>
      <c r="P160" s="1295" t="str">
        <f>IF('I. Stream &amp; Compound Data'!AK280&lt;&gt;"",'I. Stream &amp; Compound Data'!AK280,"")</f>
        <v/>
      </c>
      <c r="Q160" s="290" t="str">
        <f>IF(H160&gt;'I. Stream &amp; Compound Data'!$F$18,"",IF(M160="C",0.875,IF(M160="Xi",0.625,"N/A")))</f>
        <v/>
      </c>
      <c r="R160" s="1168" t="str">
        <f>IF(H160&gt;'I. Stream &amp; Compound Data'!$F$18,"",IF(Q160="N/A",IF(N160="","N/A",IF(N160=35,1,IF(N160=34,0.875,IF(AND(N160&gt;=36,N160&lt;=38),0.625,0)))),"N/A"))</f>
        <v/>
      </c>
      <c r="S160" s="1287" t="str">
        <f>IF(H160&gt;'I. Stream &amp; Compound Data'!$F$18,"",IF(AND(Q160="N/A",R160="N/A"),IF(O160="","N/A",IF(AND(O160&gt;=1,O160&lt;=5),-0.25*O160+1.25,IF(AND(O160&gt;5,O160&lt;8.5),0,IF(AND(O160&gt;=8.5,O160&lt;=12.5),0.25*O160-2.125,1)))),"N/A"))</f>
        <v/>
      </c>
      <c r="T160" s="1296" t="str">
        <f>IF(H160&gt;'I. Stream &amp; Compound Data'!$F$18,"",IF(AND(Q160="N/A",R160="N/A",S160="N/A"),IF(P160="","N/A",ROUND(IF(P160&lt;=5,1,IF(AND(P160&gt;5,P160&lt;50000),-0.109*LN(P160)+1.1747,0)),3)),"N/A"))</f>
        <v/>
      </c>
      <c r="U160" s="1294" t="str">
        <f>IF(H160&gt;'I. Stream &amp; Compound Data'!$F$18,"",IF(Q160&lt;&gt;"N/A",Q160,IF(R160&lt;&gt;"N/A",R160,IF(S160&lt;&gt;"N/A",S160,T160))))</f>
        <v/>
      </c>
      <c r="V160" s="1294" t="str">
        <f>IF(H160&gt;'I. Stream &amp; Compound Data'!$F$18,"",IF(U160&lt;&gt;0,ROUND(10^(4*U160+2),3),0))</f>
        <v/>
      </c>
      <c r="W160" s="1294" t="str">
        <f>IF(H160&gt;'I. Stream &amp; Compound Data'!$F$18,"",MAX(K160:L160))</f>
        <v/>
      </c>
      <c r="X160" s="1297" t="str">
        <f>IF(H160&gt;'I. Stream &amp; Compound Data'!$F$18,"",ROUND(V160*W160,3))</f>
        <v/>
      </c>
      <c r="Y160" s="279"/>
      <c r="Z160" s="279"/>
      <c r="AA160" s="279"/>
      <c r="AB160" s="279"/>
      <c r="AC160" s="279"/>
      <c r="AD160" s="279"/>
      <c r="AE160" s="279"/>
      <c r="AF160" s="279"/>
      <c r="AG160" s="279"/>
      <c r="AH160" s="279"/>
      <c r="AI160" s="279"/>
      <c r="AJ160" s="279"/>
      <c r="AK160" s="279"/>
      <c r="AL160" s="279"/>
      <c r="AM160" s="279"/>
      <c r="AN160" s="279"/>
      <c r="AO160" s="279"/>
      <c r="AP160" s="279"/>
      <c r="AQ160" s="279"/>
      <c r="AR160" s="279"/>
      <c r="AS160" s="279"/>
      <c r="AT160" s="279"/>
      <c r="AU160" s="279"/>
      <c r="AV160" s="279"/>
      <c r="AW160" s="279"/>
      <c r="AX160" s="279"/>
      <c r="AY160" s="279"/>
      <c r="AZ160" s="279"/>
      <c r="BA160" s="279"/>
      <c r="BB160" s="279"/>
      <c r="BC160" s="279"/>
      <c r="BD160" s="279"/>
      <c r="BE160" s="279"/>
      <c r="BF160" s="279"/>
      <c r="BG160" s="279"/>
      <c r="BH160" s="279"/>
      <c r="BI160" s="279"/>
      <c r="BJ160" s="279"/>
      <c r="BK160" s="279"/>
      <c r="BL160" s="279"/>
      <c r="BM160" s="279"/>
      <c r="BN160" s="279"/>
      <c r="BO160" s="279"/>
      <c r="BP160" s="279"/>
      <c r="BQ160" s="279"/>
      <c r="BR160" s="279"/>
      <c r="BS160" s="279"/>
      <c r="BT160" s="279"/>
      <c r="BU160" s="279"/>
      <c r="BV160" s="279"/>
      <c r="BW160" s="279"/>
      <c r="BX160" s="279"/>
      <c r="BY160" s="279"/>
      <c r="BZ160" s="279"/>
      <c r="CA160" s="279"/>
      <c r="CB160" s="279"/>
      <c r="CC160" s="279"/>
      <c r="CD160" s="279"/>
      <c r="CE160" s="279"/>
      <c r="CF160" s="279"/>
      <c r="CG160" s="279"/>
      <c r="CH160" s="279"/>
      <c r="CI160" s="279"/>
      <c r="CJ160" s="279"/>
      <c r="CK160" s="279"/>
      <c r="CL160" s="279"/>
      <c r="CM160" s="279"/>
      <c r="CN160" s="382"/>
    </row>
    <row r="161" ht="24" customHeight="true" x14ac:dyDescent="0.3">
      <c r="B161" s="361"/>
      <c r="C161" s="279"/>
      <c r="D161" s="280"/>
      <c r="E161" s="287"/>
      <c r="F161" s="287"/>
      <c r="G161" s="287"/>
      <c r="H161" s="1292">
        <f t="shared" si="10"/>
        <v>20</v>
      </c>
      <c r="I161" s="1293" t="str">
        <f>'I. Stream &amp; Compound Data'!G281</f>
        <v/>
      </c>
      <c r="J161" s="1294" t="str">
        <f>'I. Stream &amp; Compound Data'!H281</f>
        <v/>
      </c>
      <c r="K161" s="1294" t="str">
        <f>'I. Stream &amp; Compound Data'!L281</f>
        <v/>
      </c>
      <c r="L161" s="1294" t="str">
        <f>'I. Stream &amp; Compound Data'!M281</f>
        <v/>
      </c>
      <c r="M161" s="1295" t="str">
        <f>IF('I. Stream &amp; Compound Data'!AP281&lt;&gt;"",'I. Stream &amp; Compound Data'!AP281,IF('I. Stream &amp; Compound Data'!AQ281&lt;&gt;"",'I. Stream &amp; Compound Data'!AQ281,""))</f>
        <v/>
      </c>
      <c r="N161" s="1295" t="str">
        <f>IF('I. Stream &amp; Compound Data'!AR281&lt;&gt;"",'I. Stream &amp; Compound Data'!AR281,IF('I. Stream &amp; Compound Data'!AS281&lt;&gt;"",'I. Stream &amp; Compound Data'!AS281,""))</f>
        <v/>
      </c>
      <c r="O161" s="1295" t="str">
        <f>IF('I. Stream &amp; Compound Data'!BJ281&lt;&gt;"",'I. Stream &amp; Compound Data'!BJ281,"")</f>
        <v/>
      </c>
      <c r="P161" s="1295" t="str">
        <f>IF('I. Stream &amp; Compound Data'!AK281&lt;&gt;"",'I. Stream &amp; Compound Data'!AK281,"")</f>
        <v/>
      </c>
      <c r="Q161" s="290" t="str">
        <f>IF(H161&gt;'I. Stream &amp; Compound Data'!$F$18,"",IF(M161="C",0.875,IF(M161="Xi",0.625,"N/A")))</f>
        <v/>
      </c>
      <c r="R161" s="1168" t="str">
        <f>IF(H161&gt;'I. Stream &amp; Compound Data'!$F$18,"",IF(Q161="N/A",IF(N161="","N/A",IF(N161=35,1,IF(N161=34,0.875,IF(AND(N161&gt;=36,N161&lt;=38),0.625,0)))),"N/A"))</f>
        <v/>
      </c>
      <c r="S161" s="1287" t="str">
        <f>IF(H161&gt;'I. Stream &amp; Compound Data'!$F$18,"",IF(AND(Q161="N/A",R161="N/A"),IF(O161="","N/A",IF(AND(O161&gt;=1,O161&lt;=5),-0.25*O161+1.25,IF(AND(O161&gt;5,O161&lt;8.5),0,IF(AND(O161&gt;=8.5,O161&lt;=12.5),0.25*O161-2.125,1)))),"N/A"))</f>
        <v/>
      </c>
      <c r="T161" s="1296" t="str">
        <f>IF(H161&gt;'I. Stream &amp; Compound Data'!$F$18,"",IF(AND(Q161="N/A",R161="N/A",S161="N/A"),IF(P161="","N/A",ROUND(IF(P161&lt;=5,1,IF(AND(P161&gt;5,P161&lt;50000),-0.109*LN(P161)+1.1747,0)),3)),"N/A"))</f>
        <v/>
      </c>
      <c r="U161" s="1294" t="str">
        <f>IF(H161&gt;'I. Stream &amp; Compound Data'!$F$18,"",IF(Q161&lt;&gt;"N/A",Q161,IF(R161&lt;&gt;"N/A",R161,IF(S161&lt;&gt;"N/A",S161,T161))))</f>
        <v/>
      </c>
      <c r="V161" s="1294" t="str">
        <f>IF(H161&gt;'I. Stream &amp; Compound Data'!$F$18,"",IF(U161&lt;&gt;0,ROUND(10^(4*U161+2),3),0))</f>
        <v/>
      </c>
      <c r="W161" s="1294" t="str">
        <f>IF(H161&gt;'I. Stream &amp; Compound Data'!$F$18,"",MAX(K161:L161))</f>
        <v/>
      </c>
      <c r="X161" s="1297" t="str">
        <f>IF(H161&gt;'I. Stream &amp; Compound Data'!$F$18,"",ROUND(V161*W161,3))</f>
        <v/>
      </c>
      <c r="Y161" s="279"/>
      <c r="Z161" s="279"/>
      <c r="AA161" s="279"/>
      <c r="AB161" s="279"/>
      <c r="AC161" s="279"/>
      <c r="AD161" s="279"/>
      <c r="AE161" s="279"/>
      <c r="AF161" s="279"/>
      <c r="AG161" s="279"/>
      <c r="AH161" s="279"/>
      <c r="AI161" s="279"/>
      <c r="AJ161" s="279"/>
      <c r="AK161" s="279"/>
      <c r="AL161" s="279"/>
      <c r="AM161" s="279"/>
      <c r="AN161" s="279"/>
      <c r="AO161" s="279"/>
      <c r="AP161" s="279"/>
      <c r="AQ161" s="279"/>
      <c r="AR161" s="279"/>
      <c r="AS161" s="279"/>
      <c r="AT161" s="279"/>
      <c r="AU161" s="279"/>
      <c r="AV161" s="279"/>
      <c r="AW161" s="279"/>
      <c r="AX161" s="279"/>
      <c r="AY161" s="279"/>
      <c r="AZ161" s="279"/>
      <c r="BA161" s="279"/>
      <c r="BB161" s="279"/>
      <c r="BC161" s="279"/>
      <c r="BD161" s="279"/>
      <c r="BE161" s="279"/>
      <c r="BF161" s="279"/>
      <c r="BG161" s="279"/>
      <c r="BH161" s="279"/>
      <c r="BI161" s="279"/>
      <c r="BJ161" s="279"/>
      <c r="BK161" s="279"/>
      <c r="BL161" s="279"/>
      <c r="BM161" s="279"/>
      <c r="BN161" s="279"/>
      <c r="BO161" s="279"/>
      <c r="BP161" s="279"/>
      <c r="BQ161" s="279"/>
      <c r="BR161" s="279"/>
      <c r="BS161" s="279"/>
      <c r="BT161" s="279"/>
      <c r="BU161" s="279"/>
      <c r="BV161" s="279"/>
      <c r="BW161" s="279"/>
      <c r="BX161" s="279"/>
      <c r="BY161" s="279"/>
      <c r="BZ161" s="279"/>
      <c r="CA161" s="279"/>
      <c r="CB161" s="279"/>
      <c r="CC161" s="279"/>
      <c r="CD161" s="279"/>
      <c r="CE161" s="279"/>
      <c r="CF161" s="279"/>
      <c r="CG161" s="279"/>
      <c r="CH161" s="279"/>
      <c r="CI161" s="279"/>
      <c r="CJ161" s="279"/>
      <c r="CK161" s="279"/>
      <c r="CL161" s="279"/>
      <c r="CM161" s="279"/>
      <c r="CN161" s="382"/>
    </row>
    <row r="162" ht="24" customHeight="true" x14ac:dyDescent="0.3">
      <c r="B162" s="361"/>
      <c r="C162" s="279"/>
      <c r="D162" s="280"/>
      <c r="E162" s="287"/>
      <c r="F162" s="287"/>
      <c r="G162" s="287"/>
      <c r="H162" s="1292">
        <f t="shared" si="10"/>
        <v>21</v>
      </c>
      <c r="I162" s="1293" t="str">
        <f>'I. Stream &amp; Compound Data'!G282</f>
        <v/>
      </c>
      <c r="J162" s="1294" t="str">
        <f>'I. Stream &amp; Compound Data'!H282</f>
        <v/>
      </c>
      <c r="K162" s="1294" t="str">
        <f>'I. Stream &amp; Compound Data'!L282</f>
        <v/>
      </c>
      <c r="L162" s="1294" t="str">
        <f>'I. Stream &amp; Compound Data'!M282</f>
        <v/>
      </c>
      <c r="M162" s="1295" t="str">
        <f>IF('I. Stream &amp; Compound Data'!AP282&lt;&gt;"",'I. Stream &amp; Compound Data'!AP282,IF('I. Stream &amp; Compound Data'!AQ282&lt;&gt;"",'I. Stream &amp; Compound Data'!AQ282,""))</f>
        <v/>
      </c>
      <c r="N162" s="1295" t="str">
        <f>IF('I. Stream &amp; Compound Data'!AR282&lt;&gt;"",'I. Stream &amp; Compound Data'!AR282,IF('I. Stream &amp; Compound Data'!AS282&lt;&gt;"",'I. Stream &amp; Compound Data'!AS282,""))</f>
        <v/>
      </c>
      <c r="O162" s="1295" t="str">
        <f>IF('I. Stream &amp; Compound Data'!BJ282&lt;&gt;"",'I. Stream &amp; Compound Data'!BJ282,"")</f>
        <v/>
      </c>
      <c r="P162" s="1295" t="str">
        <f>IF('I. Stream &amp; Compound Data'!AK282&lt;&gt;"",'I. Stream &amp; Compound Data'!AK282,"")</f>
        <v/>
      </c>
      <c r="Q162" s="290" t="str">
        <f>IF(H162&gt;'I. Stream &amp; Compound Data'!$F$18,"",IF(M162="C",0.875,IF(M162="Xi",0.625,"N/A")))</f>
        <v/>
      </c>
      <c r="R162" s="1168" t="str">
        <f>IF(H162&gt;'I. Stream &amp; Compound Data'!$F$18,"",IF(Q162="N/A",IF(N162="","N/A",IF(N162=35,1,IF(N162=34,0.875,IF(AND(N162&gt;=36,N162&lt;=38),0.625,0)))),"N/A"))</f>
        <v/>
      </c>
      <c r="S162" s="1287" t="str">
        <f>IF(H162&gt;'I. Stream &amp; Compound Data'!$F$18,"",IF(AND(Q162="N/A",R162="N/A"),IF(O162="","N/A",IF(AND(O162&gt;=1,O162&lt;=5),-0.25*O162+1.25,IF(AND(O162&gt;5,O162&lt;8.5),0,IF(AND(O162&gt;=8.5,O162&lt;=12.5),0.25*O162-2.125,1)))),"N/A"))</f>
        <v/>
      </c>
      <c r="T162" s="1296" t="str">
        <f>IF(H162&gt;'I. Stream &amp; Compound Data'!$F$18,"",IF(AND(Q162="N/A",R162="N/A",S162="N/A"),IF(P162="","N/A",ROUND(IF(P162&lt;=5,1,IF(AND(P162&gt;5,P162&lt;50000),-0.109*LN(P162)+1.1747,0)),3)),"N/A"))</f>
        <v/>
      </c>
      <c r="U162" s="1294" t="str">
        <f>IF(H162&gt;'I. Stream &amp; Compound Data'!$F$18,"",IF(Q162&lt;&gt;"N/A",Q162,IF(R162&lt;&gt;"N/A",R162,IF(S162&lt;&gt;"N/A",S162,T162))))</f>
        <v/>
      </c>
      <c r="V162" s="1294" t="str">
        <f>IF(H162&gt;'I. Stream &amp; Compound Data'!$F$18,"",IF(U162&lt;&gt;0,ROUND(10^(4*U162+2),3),0))</f>
        <v/>
      </c>
      <c r="W162" s="1294" t="str">
        <f>IF(H162&gt;'I. Stream &amp; Compound Data'!$F$18,"",MAX(K162:L162))</f>
        <v/>
      </c>
      <c r="X162" s="1297" t="str">
        <f>IF(H162&gt;'I. Stream &amp; Compound Data'!$F$18,"",ROUND(V162*W162,3))</f>
        <v/>
      </c>
      <c r="Y162" s="279"/>
      <c r="Z162" s="279"/>
      <c r="AA162" s="279"/>
      <c r="AB162" s="279"/>
      <c r="AC162" s="279"/>
      <c r="AD162" s="279"/>
      <c r="AE162" s="279"/>
      <c r="AF162" s="279"/>
      <c r="AG162" s="279"/>
      <c r="AH162" s="279"/>
      <c r="AI162" s="279"/>
      <c r="AJ162" s="279"/>
      <c r="AK162" s="279"/>
      <c r="AL162" s="279"/>
      <c r="AM162" s="279"/>
      <c r="AN162" s="279"/>
      <c r="AO162" s="279"/>
      <c r="AP162" s="279"/>
      <c r="AQ162" s="279"/>
      <c r="AR162" s="279"/>
      <c r="AS162" s="279"/>
      <c r="AT162" s="279"/>
      <c r="AU162" s="279"/>
      <c r="AV162" s="279"/>
      <c r="AW162" s="279"/>
      <c r="AX162" s="279"/>
      <c r="AY162" s="279"/>
      <c r="AZ162" s="279"/>
      <c r="BA162" s="279"/>
      <c r="BB162" s="279"/>
      <c r="BC162" s="279"/>
      <c r="BD162" s="279"/>
      <c r="BE162" s="279"/>
      <c r="BF162" s="279"/>
      <c r="BG162" s="279"/>
      <c r="BH162" s="279"/>
      <c r="BI162" s="279"/>
      <c r="BJ162" s="279"/>
      <c r="BK162" s="279"/>
      <c r="BL162" s="279"/>
      <c r="BM162" s="279"/>
      <c r="BN162" s="279"/>
      <c r="BO162" s="279"/>
      <c r="BP162" s="279"/>
      <c r="BQ162" s="279"/>
      <c r="BR162" s="279"/>
      <c r="BS162" s="279"/>
      <c r="BT162" s="279"/>
      <c r="BU162" s="279"/>
      <c r="BV162" s="279"/>
      <c r="BW162" s="279"/>
      <c r="BX162" s="279"/>
      <c r="BY162" s="279"/>
      <c r="BZ162" s="279"/>
      <c r="CA162" s="279"/>
      <c r="CB162" s="279"/>
      <c r="CC162" s="279"/>
      <c r="CD162" s="279"/>
      <c r="CE162" s="279"/>
      <c r="CF162" s="279"/>
      <c r="CG162" s="279"/>
      <c r="CH162" s="279"/>
      <c r="CI162" s="279"/>
      <c r="CJ162" s="279"/>
      <c r="CK162" s="279"/>
      <c r="CL162" s="279"/>
      <c r="CM162" s="279"/>
      <c r="CN162" s="382"/>
    </row>
    <row r="163" ht="24" customHeight="true" x14ac:dyDescent="0.3">
      <c r="B163" s="361"/>
      <c r="C163" s="279"/>
      <c r="D163" s="280"/>
      <c r="E163" s="287"/>
      <c r="F163" s="287"/>
      <c r="G163" s="287"/>
      <c r="H163" s="1292">
        <f t="shared" si="10"/>
        <v>22</v>
      </c>
      <c r="I163" s="1293" t="str">
        <f>'I. Stream &amp; Compound Data'!G283</f>
        <v/>
      </c>
      <c r="J163" s="1294" t="str">
        <f>'I. Stream &amp; Compound Data'!H283</f>
        <v/>
      </c>
      <c r="K163" s="1294" t="str">
        <f>'I. Stream &amp; Compound Data'!L283</f>
        <v/>
      </c>
      <c r="L163" s="1294" t="str">
        <f>'I. Stream &amp; Compound Data'!M283</f>
        <v/>
      </c>
      <c r="M163" s="1295" t="str">
        <f>IF('I. Stream &amp; Compound Data'!AP283&lt;&gt;"",'I. Stream &amp; Compound Data'!AP283,IF('I. Stream &amp; Compound Data'!AQ283&lt;&gt;"",'I. Stream &amp; Compound Data'!AQ283,""))</f>
        <v/>
      </c>
      <c r="N163" s="1295" t="str">
        <f>IF('I. Stream &amp; Compound Data'!AR283&lt;&gt;"",'I. Stream &amp; Compound Data'!AR283,IF('I. Stream &amp; Compound Data'!AS283&lt;&gt;"",'I. Stream &amp; Compound Data'!AS283,""))</f>
        <v/>
      </c>
      <c r="O163" s="1295" t="str">
        <f>IF('I. Stream &amp; Compound Data'!BJ283&lt;&gt;"",'I. Stream &amp; Compound Data'!BJ283,"")</f>
        <v/>
      </c>
      <c r="P163" s="1295" t="str">
        <f>IF('I. Stream &amp; Compound Data'!AK283&lt;&gt;"",'I. Stream &amp; Compound Data'!AK283,"")</f>
        <v/>
      </c>
      <c r="Q163" s="290" t="str">
        <f>IF(H163&gt;'I. Stream &amp; Compound Data'!$F$18,"",IF(M163="C",0.875,IF(M163="Xi",0.625,"N/A")))</f>
        <v/>
      </c>
      <c r="R163" s="1168" t="str">
        <f>IF(H163&gt;'I. Stream &amp; Compound Data'!$F$18,"",IF(Q163="N/A",IF(N163="","N/A",IF(N163=35,1,IF(N163=34,0.875,IF(AND(N163&gt;=36,N163&lt;=38),0.625,0)))),"N/A"))</f>
        <v/>
      </c>
      <c r="S163" s="1287" t="str">
        <f>IF(H163&gt;'I. Stream &amp; Compound Data'!$F$18,"",IF(AND(Q163="N/A",R163="N/A"),IF(O163="","N/A",IF(AND(O163&gt;=1,O163&lt;=5),-0.25*O163+1.25,IF(AND(O163&gt;5,O163&lt;8.5),0,IF(AND(O163&gt;=8.5,O163&lt;=12.5),0.25*O163-2.125,1)))),"N/A"))</f>
        <v/>
      </c>
      <c r="T163" s="1296" t="str">
        <f>IF(H163&gt;'I. Stream &amp; Compound Data'!$F$18,"",IF(AND(Q163="N/A",R163="N/A",S163="N/A"),IF(P163="","N/A",ROUND(IF(P163&lt;=5,1,IF(AND(P163&gt;5,P163&lt;50000),-0.109*LN(P163)+1.1747,0)),3)),"N/A"))</f>
        <v/>
      </c>
      <c r="U163" s="1294" t="str">
        <f>IF(H163&gt;'I. Stream &amp; Compound Data'!$F$18,"",IF(Q163&lt;&gt;"N/A",Q163,IF(R163&lt;&gt;"N/A",R163,IF(S163&lt;&gt;"N/A",S163,T163))))</f>
        <v/>
      </c>
      <c r="V163" s="1294" t="str">
        <f>IF(H163&gt;'I. Stream &amp; Compound Data'!$F$18,"",IF(U163&lt;&gt;0,ROUND(10^(4*U163+2),3),0))</f>
        <v/>
      </c>
      <c r="W163" s="1294" t="str">
        <f>IF(H163&gt;'I. Stream &amp; Compound Data'!$F$18,"",MAX(K163:L163))</f>
        <v/>
      </c>
      <c r="X163" s="1297" t="str">
        <f>IF(H163&gt;'I. Stream &amp; Compound Data'!$F$18,"",ROUND(V163*W163,3))</f>
        <v/>
      </c>
      <c r="Y163" s="279"/>
      <c r="Z163" s="279"/>
      <c r="AA163" s="279"/>
      <c r="AB163" s="279"/>
      <c r="AC163" s="279"/>
      <c r="AD163" s="279"/>
      <c r="AE163" s="279"/>
      <c r="AF163" s="279"/>
      <c r="AG163" s="279"/>
      <c r="AH163" s="279"/>
      <c r="AI163" s="279"/>
      <c r="AJ163" s="279"/>
      <c r="AK163" s="279"/>
      <c r="AL163" s="279"/>
      <c r="AM163" s="279"/>
      <c r="AN163" s="279"/>
      <c r="AO163" s="279"/>
      <c r="AP163" s="279"/>
      <c r="AQ163" s="279"/>
      <c r="AR163" s="279"/>
      <c r="AS163" s="279"/>
      <c r="AT163" s="279"/>
      <c r="AU163" s="279"/>
      <c r="AV163" s="279"/>
      <c r="AW163" s="279"/>
      <c r="AX163" s="279"/>
      <c r="AY163" s="279"/>
      <c r="AZ163" s="279"/>
      <c r="BA163" s="279"/>
      <c r="BB163" s="279"/>
      <c r="BC163" s="279"/>
      <c r="BD163" s="279"/>
      <c r="BE163" s="279"/>
      <c r="BF163" s="279"/>
      <c r="BG163" s="279"/>
      <c r="BH163" s="279"/>
      <c r="BI163" s="279"/>
      <c r="BJ163" s="279"/>
      <c r="BK163" s="279"/>
      <c r="BL163" s="279"/>
      <c r="BM163" s="279"/>
      <c r="BN163" s="279"/>
      <c r="BO163" s="279"/>
      <c r="BP163" s="279"/>
      <c r="BQ163" s="279"/>
      <c r="BR163" s="279"/>
      <c r="BS163" s="279"/>
      <c r="BT163" s="279"/>
      <c r="BU163" s="279"/>
      <c r="BV163" s="279"/>
      <c r="BW163" s="279"/>
      <c r="BX163" s="279"/>
      <c r="BY163" s="279"/>
      <c r="BZ163" s="279"/>
      <c r="CA163" s="279"/>
      <c r="CB163" s="279"/>
      <c r="CC163" s="279"/>
      <c r="CD163" s="279"/>
      <c r="CE163" s="279"/>
      <c r="CF163" s="279"/>
      <c r="CG163" s="279"/>
      <c r="CH163" s="279"/>
      <c r="CI163" s="279"/>
      <c r="CJ163" s="279"/>
      <c r="CK163" s="279"/>
      <c r="CL163" s="279"/>
      <c r="CM163" s="279"/>
      <c r="CN163" s="382"/>
    </row>
    <row r="164" ht="24" customHeight="true" x14ac:dyDescent="0.3">
      <c r="B164" s="361"/>
      <c r="C164" s="279"/>
      <c r="D164" s="280"/>
      <c r="E164" s="287"/>
      <c r="F164" s="287"/>
      <c r="G164" s="287"/>
      <c r="H164" s="1292">
        <f t="shared" si="10"/>
        <v>23</v>
      </c>
      <c r="I164" s="1293" t="str">
        <f>'I. Stream &amp; Compound Data'!G284</f>
        <v/>
      </c>
      <c r="J164" s="1294" t="str">
        <f>'I. Stream &amp; Compound Data'!H284</f>
        <v/>
      </c>
      <c r="K164" s="1294" t="str">
        <f>'I. Stream &amp; Compound Data'!L284</f>
        <v/>
      </c>
      <c r="L164" s="1294" t="str">
        <f>'I. Stream &amp; Compound Data'!M284</f>
        <v/>
      </c>
      <c r="M164" s="1295" t="str">
        <f>IF('I. Stream &amp; Compound Data'!AP284&lt;&gt;"",'I. Stream &amp; Compound Data'!AP284,IF('I. Stream &amp; Compound Data'!AQ284&lt;&gt;"",'I. Stream &amp; Compound Data'!AQ284,""))</f>
        <v/>
      </c>
      <c r="N164" s="1295" t="str">
        <f>IF('I. Stream &amp; Compound Data'!AR284&lt;&gt;"",'I. Stream &amp; Compound Data'!AR284,IF('I. Stream &amp; Compound Data'!AS284&lt;&gt;"",'I. Stream &amp; Compound Data'!AS284,""))</f>
        <v/>
      </c>
      <c r="O164" s="1295" t="str">
        <f>IF('I. Stream &amp; Compound Data'!BJ284&lt;&gt;"",'I. Stream &amp; Compound Data'!BJ284,"")</f>
        <v/>
      </c>
      <c r="P164" s="1295" t="str">
        <f>IF('I. Stream &amp; Compound Data'!AK284&lt;&gt;"",'I. Stream &amp; Compound Data'!AK284,"")</f>
        <v/>
      </c>
      <c r="Q164" s="290" t="str">
        <f>IF(H164&gt;'I. Stream &amp; Compound Data'!$F$18,"",IF(M164="C",0.875,IF(M164="Xi",0.625,"N/A")))</f>
        <v/>
      </c>
      <c r="R164" s="1168" t="str">
        <f>IF(H164&gt;'I. Stream &amp; Compound Data'!$F$18,"",IF(Q164="N/A",IF(N164="","N/A",IF(N164=35,1,IF(N164=34,0.875,IF(AND(N164&gt;=36,N164&lt;=38),0.625,0)))),"N/A"))</f>
        <v/>
      </c>
      <c r="S164" s="1287" t="str">
        <f>IF(H164&gt;'I. Stream &amp; Compound Data'!$F$18,"",IF(AND(Q164="N/A",R164="N/A"),IF(O164="","N/A",IF(AND(O164&gt;=1,O164&lt;=5),-0.25*O164+1.25,IF(AND(O164&gt;5,O164&lt;8.5),0,IF(AND(O164&gt;=8.5,O164&lt;=12.5),0.25*O164-2.125,1)))),"N/A"))</f>
        <v/>
      </c>
      <c r="T164" s="1296" t="str">
        <f>IF(H164&gt;'I. Stream &amp; Compound Data'!$F$18,"",IF(AND(Q164="N/A",R164="N/A",S164="N/A"),IF(P164="","N/A",ROUND(IF(P164&lt;=5,1,IF(AND(P164&gt;5,P164&lt;50000),-0.109*LN(P164)+1.1747,0)),3)),"N/A"))</f>
        <v/>
      </c>
      <c r="U164" s="1294" t="str">
        <f>IF(H164&gt;'I. Stream &amp; Compound Data'!$F$18,"",IF(Q164&lt;&gt;"N/A",Q164,IF(R164&lt;&gt;"N/A",R164,IF(S164&lt;&gt;"N/A",S164,T164))))</f>
        <v/>
      </c>
      <c r="V164" s="1294" t="str">
        <f>IF(H164&gt;'I. Stream &amp; Compound Data'!$F$18,"",IF(U164&lt;&gt;0,ROUND(10^(4*U164+2),3),0))</f>
        <v/>
      </c>
      <c r="W164" s="1294" t="str">
        <f>IF(H164&gt;'I. Stream &amp; Compound Data'!$F$18,"",MAX(K164:L164))</f>
        <v/>
      </c>
      <c r="X164" s="1297" t="str">
        <f>IF(H164&gt;'I. Stream &amp; Compound Data'!$F$18,"",ROUND(V164*W164,3))</f>
        <v/>
      </c>
      <c r="Y164" s="279"/>
      <c r="Z164" s="279"/>
      <c r="AA164" s="279"/>
      <c r="AB164" s="279"/>
      <c r="AC164" s="279"/>
      <c r="AD164" s="279"/>
      <c r="AE164" s="279"/>
      <c r="AF164" s="279"/>
      <c r="AG164" s="279"/>
      <c r="AH164" s="279"/>
      <c r="AI164" s="279"/>
      <c r="AJ164" s="279"/>
      <c r="AK164" s="279"/>
      <c r="AL164" s="279"/>
      <c r="AM164" s="279"/>
      <c r="AN164" s="279"/>
      <c r="AO164" s="279"/>
      <c r="AP164" s="279"/>
      <c r="AQ164" s="279"/>
      <c r="AR164" s="279"/>
      <c r="AS164" s="279"/>
      <c r="AT164" s="279"/>
      <c r="AU164" s="279"/>
      <c r="AV164" s="279"/>
      <c r="AW164" s="279"/>
      <c r="AX164" s="279"/>
      <c r="AY164" s="279"/>
      <c r="AZ164" s="279"/>
      <c r="BA164" s="279"/>
      <c r="BB164" s="279"/>
      <c r="BC164" s="279"/>
      <c r="BD164" s="279"/>
      <c r="BE164" s="279"/>
      <c r="BF164" s="279"/>
      <c r="BG164" s="279"/>
      <c r="BH164" s="279"/>
      <c r="BI164" s="279"/>
      <c r="BJ164" s="279"/>
      <c r="BK164" s="279"/>
      <c r="BL164" s="279"/>
      <c r="BM164" s="279"/>
      <c r="BN164" s="279"/>
      <c r="BO164" s="279"/>
      <c r="BP164" s="279"/>
      <c r="BQ164" s="279"/>
      <c r="BR164" s="279"/>
      <c r="BS164" s="279"/>
      <c r="BT164" s="279"/>
      <c r="BU164" s="279"/>
      <c r="BV164" s="279"/>
      <c r="BW164" s="279"/>
      <c r="BX164" s="279"/>
      <c r="BY164" s="279"/>
      <c r="BZ164" s="279"/>
      <c r="CA164" s="279"/>
      <c r="CB164" s="279"/>
      <c r="CC164" s="279"/>
      <c r="CD164" s="279"/>
      <c r="CE164" s="279"/>
      <c r="CF164" s="279"/>
      <c r="CG164" s="279"/>
      <c r="CH164" s="279"/>
      <c r="CI164" s="279"/>
      <c r="CJ164" s="279"/>
      <c r="CK164" s="279"/>
      <c r="CL164" s="279"/>
      <c r="CM164" s="279"/>
      <c r="CN164" s="382"/>
    </row>
    <row r="165" ht="24" customHeight="true" x14ac:dyDescent="0.3">
      <c r="B165" s="361"/>
      <c r="C165" s="279"/>
      <c r="D165" s="280"/>
      <c r="E165" s="287"/>
      <c r="F165" s="287"/>
      <c r="G165" s="287"/>
      <c r="H165" s="1292">
        <f t="shared" si="10"/>
        <v>24</v>
      </c>
      <c r="I165" s="1293" t="str">
        <f>'I. Stream &amp; Compound Data'!G285</f>
        <v/>
      </c>
      <c r="J165" s="1294" t="str">
        <f>'I. Stream &amp; Compound Data'!H285</f>
        <v/>
      </c>
      <c r="K165" s="1294" t="str">
        <f>'I. Stream &amp; Compound Data'!L285</f>
        <v/>
      </c>
      <c r="L165" s="1294" t="str">
        <f>'I. Stream &amp; Compound Data'!M285</f>
        <v/>
      </c>
      <c r="M165" s="1295" t="str">
        <f>IF('I. Stream &amp; Compound Data'!AP285&lt;&gt;"",'I. Stream &amp; Compound Data'!AP285,IF('I. Stream &amp; Compound Data'!AQ285&lt;&gt;"",'I. Stream &amp; Compound Data'!AQ285,""))</f>
        <v/>
      </c>
      <c r="N165" s="1295" t="str">
        <f>IF('I. Stream &amp; Compound Data'!AR285&lt;&gt;"",'I. Stream &amp; Compound Data'!AR285,IF('I. Stream &amp; Compound Data'!AS285&lt;&gt;"",'I. Stream &amp; Compound Data'!AS285,""))</f>
        <v/>
      </c>
      <c r="O165" s="1295" t="str">
        <f>IF('I. Stream &amp; Compound Data'!BJ285&lt;&gt;"",'I. Stream &amp; Compound Data'!BJ285,"")</f>
        <v/>
      </c>
      <c r="P165" s="1295" t="str">
        <f>IF('I. Stream &amp; Compound Data'!AK285&lt;&gt;"",'I. Stream &amp; Compound Data'!AK285,"")</f>
        <v/>
      </c>
      <c r="Q165" s="290" t="str">
        <f>IF(H165&gt;'I. Stream &amp; Compound Data'!$F$18,"",IF(M165="C",0.875,IF(M165="Xi",0.625,"N/A")))</f>
        <v/>
      </c>
      <c r="R165" s="1168" t="str">
        <f>IF(H165&gt;'I. Stream &amp; Compound Data'!$F$18,"",IF(Q165="N/A",IF(N165="","N/A",IF(N165=35,1,IF(N165=34,0.875,IF(AND(N165&gt;=36,N165&lt;=38),0.625,0)))),"N/A"))</f>
        <v/>
      </c>
      <c r="S165" s="1287" t="str">
        <f>IF(H165&gt;'I. Stream &amp; Compound Data'!$F$18,"",IF(AND(Q165="N/A",R165="N/A"),IF(O165="","N/A",IF(AND(O165&gt;=1,O165&lt;=5),-0.25*O165+1.25,IF(AND(O165&gt;5,O165&lt;8.5),0,IF(AND(O165&gt;=8.5,O165&lt;=12.5),0.25*O165-2.125,1)))),"N/A"))</f>
        <v/>
      </c>
      <c r="T165" s="1296" t="str">
        <f>IF(H165&gt;'I. Stream &amp; Compound Data'!$F$18,"",IF(AND(Q165="N/A",R165="N/A",S165="N/A"),IF(P165="","N/A",ROUND(IF(P165&lt;=5,1,IF(AND(P165&gt;5,P165&lt;50000),-0.109*LN(P165)+1.1747,0)),3)),"N/A"))</f>
        <v/>
      </c>
      <c r="U165" s="1294" t="str">
        <f>IF(H165&gt;'I. Stream &amp; Compound Data'!$F$18,"",IF(Q165&lt;&gt;"N/A",Q165,IF(R165&lt;&gt;"N/A",R165,IF(S165&lt;&gt;"N/A",S165,T165))))</f>
        <v/>
      </c>
      <c r="V165" s="1294" t="str">
        <f>IF(H165&gt;'I. Stream &amp; Compound Data'!$F$18,"",IF(U165&lt;&gt;0,ROUND(10^(4*U165+2),3),0))</f>
        <v/>
      </c>
      <c r="W165" s="1294" t="str">
        <f>IF(H165&gt;'I. Stream &amp; Compound Data'!$F$18,"",MAX(K165:L165))</f>
        <v/>
      </c>
      <c r="X165" s="1297" t="str">
        <f>IF(H165&gt;'I. Stream &amp; Compound Data'!$F$18,"",ROUND(V165*W165,3))</f>
        <v/>
      </c>
      <c r="Y165" s="279"/>
      <c r="Z165" s="279"/>
      <c r="AA165" s="279"/>
      <c r="AB165" s="279"/>
      <c r="AC165" s="279"/>
      <c r="AD165" s="279"/>
      <c r="AE165" s="279"/>
      <c r="AF165" s="279"/>
      <c r="AG165" s="279"/>
      <c r="AH165" s="279"/>
      <c r="AI165" s="279"/>
      <c r="AJ165" s="279"/>
      <c r="AK165" s="279"/>
      <c r="AL165" s="279"/>
      <c r="AM165" s="279"/>
      <c r="AN165" s="279"/>
      <c r="AO165" s="279"/>
      <c r="AP165" s="279"/>
      <c r="AQ165" s="279"/>
      <c r="AR165" s="279"/>
      <c r="AS165" s="279"/>
      <c r="AT165" s="279"/>
      <c r="AU165" s="279"/>
      <c r="AV165" s="279"/>
      <c r="AW165" s="279"/>
      <c r="AX165" s="279"/>
      <c r="AY165" s="279"/>
      <c r="AZ165" s="279"/>
      <c r="BA165" s="279"/>
      <c r="BB165" s="279"/>
      <c r="BC165" s="279"/>
      <c r="BD165" s="279"/>
      <c r="BE165" s="279"/>
      <c r="BF165" s="279"/>
      <c r="BG165" s="279"/>
      <c r="BH165" s="279"/>
      <c r="BI165" s="279"/>
      <c r="BJ165" s="279"/>
      <c r="BK165" s="279"/>
      <c r="BL165" s="279"/>
      <c r="BM165" s="279"/>
      <c r="BN165" s="279"/>
      <c r="BO165" s="279"/>
      <c r="BP165" s="279"/>
      <c r="BQ165" s="279"/>
      <c r="BR165" s="279"/>
      <c r="BS165" s="279"/>
      <c r="BT165" s="279"/>
      <c r="BU165" s="279"/>
      <c r="BV165" s="279"/>
      <c r="BW165" s="279"/>
      <c r="BX165" s="279"/>
      <c r="BY165" s="279"/>
      <c r="BZ165" s="279"/>
      <c r="CA165" s="279"/>
      <c r="CB165" s="279"/>
      <c r="CC165" s="279"/>
      <c r="CD165" s="279"/>
      <c r="CE165" s="279"/>
      <c r="CF165" s="279"/>
      <c r="CG165" s="279"/>
      <c r="CH165" s="279"/>
      <c r="CI165" s="279"/>
      <c r="CJ165" s="279"/>
      <c r="CK165" s="279"/>
      <c r="CL165" s="279"/>
      <c r="CM165" s="279"/>
      <c r="CN165" s="382"/>
    </row>
    <row r="166" ht="24" customHeight="true" x14ac:dyDescent="0.3">
      <c r="B166" s="361"/>
      <c r="C166" s="279"/>
      <c r="D166" s="280"/>
      <c r="E166" s="287"/>
      <c r="F166" s="287"/>
      <c r="G166" s="287"/>
      <c r="H166" s="1292">
        <f t="shared" si="10"/>
        <v>25</v>
      </c>
      <c r="I166" s="1293" t="str">
        <f>'I. Stream &amp; Compound Data'!G286</f>
        <v/>
      </c>
      <c r="J166" s="1294" t="str">
        <f>'I. Stream &amp; Compound Data'!H286</f>
        <v/>
      </c>
      <c r="K166" s="1294" t="str">
        <f>'I. Stream &amp; Compound Data'!L286</f>
        <v/>
      </c>
      <c r="L166" s="1294" t="str">
        <f>'I. Stream &amp; Compound Data'!M286</f>
        <v/>
      </c>
      <c r="M166" s="1295" t="str">
        <f>IF('I. Stream &amp; Compound Data'!AP286&lt;&gt;"",'I. Stream &amp; Compound Data'!AP286,IF('I. Stream &amp; Compound Data'!AQ286&lt;&gt;"",'I. Stream &amp; Compound Data'!AQ286,""))</f>
        <v/>
      </c>
      <c r="N166" s="1295" t="str">
        <f>IF('I. Stream &amp; Compound Data'!AR286&lt;&gt;"",'I. Stream &amp; Compound Data'!AR286,IF('I. Stream &amp; Compound Data'!AS286&lt;&gt;"",'I. Stream &amp; Compound Data'!AS286,""))</f>
        <v/>
      </c>
      <c r="O166" s="1295" t="str">
        <f>IF('I. Stream &amp; Compound Data'!BJ286&lt;&gt;"",'I. Stream &amp; Compound Data'!BJ286,"")</f>
        <v/>
      </c>
      <c r="P166" s="1295" t="str">
        <f>IF('I. Stream &amp; Compound Data'!AK286&lt;&gt;"",'I. Stream &amp; Compound Data'!AK286,"")</f>
        <v/>
      </c>
      <c r="Q166" s="290" t="str">
        <f>IF(H166&gt;'I. Stream &amp; Compound Data'!$F$18,"",IF(M166="C",0.875,IF(M166="Xi",0.625,"N/A")))</f>
        <v/>
      </c>
      <c r="R166" s="1168" t="str">
        <f>IF(H166&gt;'I. Stream &amp; Compound Data'!$F$18,"",IF(Q166="N/A",IF(N166="","N/A",IF(N166=35,1,IF(N166=34,0.875,IF(AND(N166&gt;=36,N166&lt;=38),0.625,0)))),"N/A"))</f>
        <v/>
      </c>
      <c r="S166" s="1287" t="str">
        <f>IF(H166&gt;'I. Stream &amp; Compound Data'!$F$18,"",IF(AND(Q166="N/A",R166="N/A"),IF(O166="","N/A",IF(AND(O166&gt;=1,O166&lt;=5),-0.25*O166+1.25,IF(AND(O166&gt;5,O166&lt;8.5),0,IF(AND(O166&gt;=8.5,O166&lt;=12.5),0.25*O166-2.125,1)))),"N/A"))</f>
        <v/>
      </c>
      <c r="T166" s="1296" t="str">
        <f>IF(H166&gt;'I. Stream &amp; Compound Data'!$F$18,"",IF(AND(Q166="N/A",R166="N/A",S166="N/A"),IF(P166="","N/A",ROUND(IF(P166&lt;=5,1,IF(AND(P166&gt;5,P166&lt;50000),-0.109*LN(P166)+1.1747,0)),3)),"N/A"))</f>
        <v/>
      </c>
      <c r="U166" s="1294" t="str">
        <f>IF(H166&gt;'I. Stream &amp; Compound Data'!$F$18,"",IF(Q166&lt;&gt;"N/A",Q166,IF(R166&lt;&gt;"N/A",R166,IF(S166&lt;&gt;"N/A",S166,T166))))</f>
        <v/>
      </c>
      <c r="V166" s="1294" t="str">
        <f>IF(H166&gt;'I. Stream &amp; Compound Data'!$F$18,"",IF(U166&lt;&gt;0,ROUND(10^(4*U166+2),3),0))</f>
        <v/>
      </c>
      <c r="W166" s="1294" t="str">
        <f>IF(H166&gt;'I. Stream &amp; Compound Data'!$F$18,"",MAX(K166:L166))</f>
        <v/>
      </c>
      <c r="X166" s="1297" t="str">
        <f>IF(H166&gt;'I. Stream &amp; Compound Data'!$F$18,"",ROUND(V166*W166,3))</f>
        <v/>
      </c>
      <c r="Y166" s="279"/>
      <c r="Z166" s="279"/>
      <c r="AA166" s="279"/>
      <c r="AB166" s="279"/>
      <c r="AC166" s="279"/>
      <c r="AD166" s="279"/>
      <c r="AE166" s="279"/>
      <c r="AF166" s="279"/>
      <c r="AG166" s="279"/>
      <c r="AH166" s="279"/>
      <c r="AI166" s="279"/>
      <c r="AJ166" s="279"/>
      <c r="AK166" s="279"/>
      <c r="AL166" s="279"/>
      <c r="AM166" s="279"/>
      <c r="AN166" s="279"/>
      <c r="AO166" s="279"/>
      <c r="AP166" s="279"/>
      <c r="AQ166" s="279"/>
      <c r="AR166" s="279"/>
      <c r="AS166" s="279"/>
      <c r="AT166" s="279"/>
      <c r="AU166" s="279"/>
      <c r="AV166" s="279"/>
      <c r="AW166" s="279"/>
      <c r="AX166" s="279"/>
      <c r="AY166" s="279"/>
      <c r="AZ166" s="279"/>
      <c r="BA166" s="279"/>
      <c r="BB166" s="279"/>
      <c r="BC166" s="279"/>
      <c r="BD166" s="279"/>
      <c r="BE166" s="279"/>
      <c r="BF166" s="279"/>
      <c r="BG166" s="279"/>
      <c r="BH166" s="279"/>
      <c r="BI166" s="279"/>
      <c r="BJ166" s="279"/>
      <c r="BK166" s="279"/>
      <c r="BL166" s="279"/>
      <c r="BM166" s="279"/>
      <c r="BN166" s="279"/>
      <c r="BO166" s="279"/>
      <c r="BP166" s="279"/>
      <c r="BQ166" s="279"/>
      <c r="BR166" s="279"/>
      <c r="BS166" s="279"/>
      <c r="BT166" s="279"/>
      <c r="BU166" s="279"/>
      <c r="BV166" s="279"/>
      <c r="BW166" s="279"/>
      <c r="BX166" s="279"/>
      <c r="BY166" s="279"/>
      <c r="BZ166" s="279"/>
      <c r="CA166" s="279"/>
      <c r="CB166" s="279"/>
      <c r="CC166" s="279"/>
      <c r="CD166" s="279"/>
      <c r="CE166" s="279"/>
      <c r="CF166" s="279"/>
      <c r="CG166" s="279"/>
      <c r="CH166" s="279"/>
      <c r="CI166" s="279"/>
      <c r="CJ166" s="279"/>
      <c r="CK166" s="279"/>
      <c r="CL166" s="279"/>
      <c r="CM166" s="279"/>
      <c r="CN166" s="382"/>
    </row>
    <row r="167" ht="24" customHeight="true" x14ac:dyDescent="0.3">
      <c r="B167" s="361"/>
      <c r="C167" s="279"/>
      <c r="D167" s="280"/>
      <c r="E167" s="287"/>
      <c r="F167" s="287"/>
      <c r="G167" s="287"/>
      <c r="H167" s="1292">
        <f t="shared" si="10"/>
        <v>26</v>
      </c>
      <c r="I167" s="1293" t="str">
        <f>'I. Stream &amp; Compound Data'!G287</f>
        <v/>
      </c>
      <c r="J167" s="1294" t="str">
        <f>'I. Stream &amp; Compound Data'!H287</f>
        <v/>
      </c>
      <c r="K167" s="1294" t="str">
        <f>'I. Stream &amp; Compound Data'!L287</f>
        <v/>
      </c>
      <c r="L167" s="1294" t="str">
        <f>'I. Stream &amp; Compound Data'!M287</f>
        <v/>
      </c>
      <c r="M167" s="1295" t="str">
        <f>IF('I. Stream &amp; Compound Data'!AP287&lt;&gt;"",'I. Stream &amp; Compound Data'!AP287,IF('I. Stream &amp; Compound Data'!AQ287&lt;&gt;"",'I. Stream &amp; Compound Data'!AQ287,""))</f>
        <v/>
      </c>
      <c r="N167" s="1295" t="str">
        <f>IF('I. Stream &amp; Compound Data'!AR287&lt;&gt;"",'I. Stream &amp; Compound Data'!AR287,IF('I. Stream &amp; Compound Data'!AS287&lt;&gt;"",'I. Stream &amp; Compound Data'!AS287,""))</f>
        <v/>
      </c>
      <c r="O167" s="1295" t="str">
        <f>IF('I. Stream &amp; Compound Data'!BJ287&lt;&gt;"",'I. Stream &amp; Compound Data'!BJ287,"")</f>
        <v/>
      </c>
      <c r="P167" s="1295" t="str">
        <f>IF('I. Stream &amp; Compound Data'!AK287&lt;&gt;"",'I. Stream &amp; Compound Data'!AK287,"")</f>
        <v/>
      </c>
      <c r="Q167" s="290" t="str">
        <f>IF(H167&gt;'I. Stream &amp; Compound Data'!$F$18,"",IF(M167="C",0.875,IF(M167="Xi",0.625,"N/A")))</f>
        <v/>
      </c>
      <c r="R167" s="1168" t="str">
        <f>IF(H167&gt;'I. Stream &amp; Compound Data'!$F$18,"",IF(Q167="N/A",IF(N167="","N/A",IF(N167=35,1,IF(N167=34,0.875,IF(AND(N167&gt;=36,N167&lt;=38),0.625,0)))),"N/A"))</f>
        <v/>
      </c>
      <c r="S167" s="1287" t="str">
        <f>IF(H167&gt;'I. Stream &amp; Compound Data'!$F$18,"",IF(AND(Q167="N/A",R167="N/A"),IF(O167="","N/A",IF(AND(O167&gt;=1,O167&lt;=5),-0.25*O167+1.25,IF(AND(O167&gt;5,O167&lt;8.5),0,IF(AND(O167&gt;=8.5,O167&lt;=12.5),0.25*O167-2.125,1)))),"N/A"))</f>
        <v/>
      </c>
      <c r="T167" s="1296" t="str">
        <f>IF(H167&gt;'I. Stream &amp; Compound Data'!$F$18,"",IF(AND(Q167="N/A",R167="N/A",S167="N/A"),IF(P167="","N/A",ROUND(IF(P167&lt;=5,1,IF(AND(P167&gt;5,P167&lt;50000),-0.109*LN(P167)+1.1747,0)),3)),"N/A"))</f>
        <v/>
      </c>
      <c r="U167" s="1294" t="str">
        <f>IF(H167&gt;'I. Stream &amp; Compound Data'!$F$18,"",IF(Q167&lt;&gt;"N/A",Q167,IF(R167&lt;&gt;"N/A",R167,IF(S167&lt;&gt;"N/A",S167,T167))))</f>
        <v/>
      </c>
      <c r="V167" s="1294" t="str">
        <f>IF(H167&gt;'I. Stream &amp; Compound Data'!$F$18,"",IF(U167&lt;&gt;0,ROUND(10^(4*U167+2),3),0))</f>
        <v/>
      </c>
      <c r="W167" s="1294" t="str">
        <f>IF(H167&gt;'I. Stream &amp; Compound Data'!$F$18,"",MAX(K167:L167))</f>
        <v/>
      </c>
      <c r="X167" s="1297" t="str">
        <f>IF(H167&gt;'I. Stream &amp; Compound Data'!$F$18,"",ROUND(V167*W167,3))</f>
        <v/>
      </c>
      <c r="Y167" s="279"/>
      <c r="Z167" s="279"/>
      <c r="AA167" s="279"/>
      <c r="AB167" s="279"/>
      <c r="AC167" s="279"/>
      <c r="AD167" s="279"/>
      <c r="AE167" s="279"/>
      <c r="AF167" s="279"/>
      <c r="AG167" s="279"/>
      <c r="AH167" s="279"/>
      <c r="AI167" s="279"/>
      <c r="AJ167" s="279"/>
      <c r="AK167" s="279"/>
      <c r="AL167" s="279"/>
      <c r="AM167" s="279"/>
      <c r="AN167" s="279"/>
      <c r="AO167" s="279"/>
      <c r="AP167" s="279"/>
      <c r="AQ167" s="279"/>
      <c r="AR167" s="279"/>
      <c r="AS167" s="279"/>
      <c r="AT167" s="279"/>
      <c r="AU167" s="279"/>
      <c r="AV167" s="279"/>
      <c r="AW167" s="279"/>
      <c r="AX167" s="279"/>
      <c r="AY167" s="279"/>
      <c r="AZ167" s="279"/>
      <c r="BA167" s="279"/>
      <c r="BB167" s="279"/>
      <c r="BC167" s="279"/>
      <c r="BD167" s="279"/>
      <c r="BE167" s="279"/>
      <c r="BF167" s="279"/>
      <c r="BG167" s="279"/>
      <c r="BH167" s="279"/>
      <c r="BI167" s="279"/>
      <c r="BJ167" s="279"/>
      <c r="BK167" s="279"/>
      <c r="BL167" s="279"/>
      <c r="BM167" s="279"/>
      <c r="BN167" s="279"/>
      <c r="BO167" s="279"/>
      <c r="BP167" s="279"/>
      <c r="BQ167" s="279"/>
      <c r="BR167" s="279"/>
      <c r="BS167" s="279"/>
      <c r="BT167" s="279"/>
      <c r="BU167" s="279"/>
      <c r="BV167" s="279"/>
      <c r="BW167" s="279"/>
      <c r="BX167" s="279"/>
      <c r="BY167" s="279"/>
      <c r="BZ167" s="279"/>
      <c r="CA167" s="279"/>
      <c r="CB167" s="279"/>
      <c r="CC167" s="279"/>
      <c r="CD167" s="279"/>
      <c r="CE167" s="279"/>
      <c r="CF167" s="279"/>
      <c r="CG167" s="279"/>
      <c r="CH167" s="279"/>
      <c r="CI167" s="279"/>
      <c r="CJ167" s="279"/>
      <c r="CK167" s="279"/>
      <c r="CL167" s="279"/>
      <c r="CM167" s="279"/>
      <c r="CN167" s="382"/>
    </row>
    <row r="168" ht="24" customHeight="true" x14ac:dyDescent="0.3">
      <c r="B168" s="361"/>
      <c r="C168" s="279"/>
      <c r="D168" s="280"/>
      <c r="E168" s="287"/>
      <c r="F168" s="287"/>
      <c r="G168" s="287"/>
      <c r="H168" s="1292">
        <f t="shared" si="10"/>
        <v>27</v>
      </c>
      <c r="I168" s="1293" t="str">
        <f>'I. Stream &amp; Compound Data'!G288</f>
        <v/>
      </c>
      <c r="J168" s="1294" t="str">
        <f>'I. Stream &amp; Compound Data'!H288</f>
        <v/>
      </c>
      <c r="K168" s="1294" t="str">
        <f>'I. Stream &amp; Compound Data'!L288</f>
        <v/>
      </c>
      <c r="L168" s="1294" t="str">
        <f>'I. Stream &amp; Compound Data'!M288</f>
        <v/>
      </c>
      <c r="M168" s="1295" t="str">
        <f>IF('I. Stream &amp; Compound Data'!AP288&lt;&gt;"",'I. Stream &amp; Compound Data'!AP288,IF('I. Stream &amp; Compound Data'!AQ288&lt;&gt;"",'I. Stream &amp; Compound Data'!AQ288,""))</f>
        <v/>
      </c>
      <c r="N168" s="1295" t="str">
        <f>IF('I. Stream &amp; Compound Data'!AR288&lt;&gt;"",'I. Stream &amp; Compound Data'!AR288,IF('I. Stream &amp; Compound Data'!AS288&lt;&gt;"",'I. Stream &amp; Compound Data'!AS288,""))</f>
        <v/>
      </c>
      <c r="O168" s="1295" t="str">
        <f>IF('I. Stream &amp; Compound Data'!BJ288&lt;&gt;"",'I. Stream &amp; Compound Data'!BJ288,"")</f>
        <v/>
      </c>
      <c r="P168" s="1295" t="str">
        <f>IF('I. Stream &amp; Compound Data'!AK288&lt;&gt;"",'I. Stream &amp; Compound Data'!AK288,"")</f>
        <v/>
      </c>
      <c r="Q168" s="290" t="str">
        <f>IF(H168&gt;'I. Stream &amp; Compound Data'!$F$18,"",IF(M168="C",0.875,IF(M168="Xi",0.625,"N/A")))</f>
        <v/>
      </c>
      <c r="R168" s="1168" t="str">
        <f>IF(H168&gt;'I. Stream &amp; Compound Data'!$F$18,"",IF(Q168="N/A",IF(N168="","N/A",IF(N168=35,1,IF(N168=34,0.875,IF(AND(N168&gt;=36,N168&lt;=38),0.625,0)))),"N/A"))</f>
        <v/>
      </c>
      <c r="S168" s="1287" t="str">
        <f>IF(H168&gt;'I. Stream &amp; Compound Data'!$F$18,"",IF(AND(Q168="N/A",R168="N/A"),IF(O168="","N/A",IF(AND(O168&gt;=1,O168&lt;=5),-0.25*O168+1.25,IF(AND(O168&gt;5,O168&lt;8.5),0,IF(AND(O168&gt;=8.5,O168&lt;=12.5),0.25*O168-2.125,1)))),"N/A"))</f>
        <v/>
      </c>
      <c r="T168" s="1296" t="str">
        <f>IF(H168&gt;'I. Stream &amp; Compound Data'!$F$18,"",IF(AND(Q168="N/A",R168="N/A",S168="N/A"),IF(P168="","N/A",ROUND(IF(P168&lt;=5,1,IF(AND(P168&gt;5,P168&lt;50000),-0.109*LN(P168)+1.1747,0)),3)),"N/A"))</f>
        <v/>
      </c>
      <c r="U168" s="1294" t="str">
        <f>IF(H168&gt;'I. Stream &amp; Compound Data'!$F$18,"",IF(Q168&lt;&gt;"N/A",Q168,IF(R168&lt;&gt;"N/A",R168,IF(S168&lt;&gt;"N/A",S168,T168))))</f>
        <v/>
      </c>
      <c r="V168" s="1294" t="str">
        <f>IF(H168&gt;'I. Stream &amp; Compound Data'!$F$18,"",IF(U168&lt;&gt;0,ROUND(10^(4*U168+2),3),0))</f>
        <v/>
      </c>
      <c r="W168" s="1294" t="str">
        <f>IF(H168&gt;'I. Stream &amp; Compound Data'!$F$18,"",MAX(K168:L168))</f>
        <v/>
      </c>
      <c r="X168" s="1297" t="str">
        <f>IF(H168&gt;'I. Stream &amp; Compound Data'!$F$18,"",ROUND(V168*W168,3))</f>
        <v/>
      </c>
      <c r="Y168" s="279"/>
      <c r="Z168" s="279"/>
      <c r="AA168" s="279"/>
      <c r="AB168" s="279"/>
      <c r="AC168" s="279"/>
      <c r="AD168" s="279"/>
      <c r="AE168" s="279"/>
      <c r="AF168" s="279"/>
      <c r="AG168" s="279"/>
      <c r="AH168" s="279"/>
      <c r="AI168" s="279"/>
      <c r="AJ168" s="279"/>
      <c r="AK168" s="279"/>
      <c r="AL168" s="279"/>
      <c r="AM168" s="279"/>
      <c r="AN168" s="279"/>
      <c r="AO168" s="279"/>
      <c r="AP168" s="279"/>
      <c r="AQ168" s="279"/>
      <c r="AR168" s="279"/>
      <c r="AS168" s="279"/>
      <c r="AT168" s="279"/>
      <c r="AU168" s="279"/>
      <c r="AV168" s="279"/>
      <c r="AW168" s="279"/>
      <c r="AX168" s="279"/>
      <c r="AY168" s="279"/>
      <c r="AZ168" s="279"/>
      <c r="BA168" s="279"/>
      <c r="BB168" s="279"/>
      <c r="BC168" s="279"/>
      <c r="BD168" s="279"/>
      <c r="BE168" s="279"/>
      <c r="BF168" s="279"/>
      <c r="BG168" s="279"/>
      <c r="BH168" s="279"/>
      <c r="BI168" s="279"/>
      <c r="BJ168" s="279"/>
      <c r="BK168" s="279"/>
      <c r="BL168" s="279"/>
      <c r="BM168" s="279"/>
      <c r="BN168" s="279"/>
      <c r="BO168" s="279"/>
      <c r="BP168" s="279"/>
      <c r="BQ168" s="279"/>
      <c r="BR168" s="279"/>
      <c r="BS168" s="279"/>
      <c r="BT168" s="279"/>
      <c r="BU168" s="279"/>
      <c r="BV168" s="279"/>
      <c r="BW168" s="279"/>
      <c r="BX168" s="279"/>
      <c r="BY168" s="279"/>
      <c r="BZ168" s="279"/>
      <c r="CA168" s="279"/>
      <c r="CB168" s="279"/>
      <c r="CC168" s="279"/>
      <c r="CD168" s="279"/>
      <c r="CE168" s="279"/>
      <c r="CF168" s="279"/>
      <c r="CG168" s="279"/>
      <c r="CH168" s="279"/>
      <c r="CI168" s="279"/>
      <c r="CJ168" s="279"/>
      <c r="CK168" s="279"/>
      <c r="CL168" s="279"/>
      <c r="CM168" s="279"/>
      <c r="CN168" s="382"/>
    </row>
    <row r="169" ht="24" customHeight="true" x14ac:dyDescent="0.3">
      <c r="B169" s="361"/>
      <c r="C169" s="279"/>
      <c r="D169" s="280"/>
      <c r="E169" s="287"/>
      <c r="F169" s="287"/>
      <c r="G169" s="287"/>
      <c r="H169" s="1292">
        <f t="shared" si="10"/>
        <v>28</v>
      </c>
      <c r="I169" s="1293" t="str">
        <f>'I. Stream &amp; Compound Data'!G289</f>
        <v/>
      </c>
      <c r="J169" s="1294" t="str">
        <f>'I. Stream &amp; Compound Data'!H289</f>
        <v/>
      </c>
      <c r="K169" s="1294" t="str">
        <f>'I. Stream &amp; Compound Data'!L289</f>
        <v/>
      </c>
      <c r="L169" s="1294" t="str">
        <f>'I. Stream &amp; Compound Data'!M289</f>
        <v/>
      </c>
      <c r="M169" s="1295" t="str">
        <f>IF('I. Stream &amp; Compound Data'!AP289&lt;&gt;"",'I. Stream &amp; Compound Data'!AP289,IF('I. Stream &amp; Compound Data'!AQ289&lt;&gt;"",'I. Stream &amp; Compound Data'!AQ289,""))</f>
        <v/>
      </c>
      <c r="N169" s="1295" t="str">
        <f>IF('I. Stream &amp; Compound Data'!AR289&lt;&gt;"",'I. Stream &amp; Compound Data'!AR289,IF('I. Stream &amp; Compound Data'!AS289&lt;&gt;"",'I. Stream &amp; Compound Data'!AS289,""))</f>
        <v/>
      </c>
      <c r="O169" s="1295" t="str">
        <f>IF('I. Stream &amp; Compound Data'!BJ289&lt;&gt;"",'I. Stream &amp; Compound Data'!BJ289,"")</f>
        <v/>
      </c>
      <c r="P169" s="1295" t="str">
        <f>IF('I. Stream &amp; Compound Data'!AK289&lt;&gt;"",'I. Stream &amp; Compound Data'!AK289,"")</f>
        <v/>
      </c>
      <c r="Q169" s="290" t="str">
        <f>IF(H169&gt;'I. Stream &amp; Compound Data'!$F$18,"",IF(M169="C",0.875,IF(M169="Xi",0.625,"N/A")))</f>
        <v/>
      </c>
      <c r="R169" s="1168" t="str">
        <f>IF(H169&gt;'I. Stream &amp; Compound Data'!$F$18,"",IF(Q169="N/A",IF(N169="","N/A",IF(N169=35,1,IF(N169=34,0.875,IF(AND(N169&gt;=36,N169&lt;=38),0.625,0)))),"N/A"))</f>
        <v/>
      </c>
      <c r="S169" s="1287" t="str">
        <f>IF(H169&gt;'I. Stream &amp; Compound Data'!$F$18,"",IF(AND(Q169="N/A",R169="N/A"),IF(O169="","N/A",IF(AND(O169&gt;=1,O169&lt;=5),-0.25*O169+1.25,IF(AND(O169&gt;5,O169&lt;8.5),0,IF(AND(O169&gt;=8.5,O169&lt;=12.5),0.25*O169-2.125,1)))),"N/A"))</f>
        <v/>
      </c>
      <c r="T169" s="1296" t="str">
        <f>IF(H169&gt;'I. Stream &amp; Compound Data'!$F$18,"",IF(AND(Q169="N/A",R169="N/A",S169="N/A"),IF(P169="","N/A",ROUND(IF(P169&lt;=5,1,IF(AND(P169&gt;5,P169&lt;50000),-0.109*LN(P169)+1.1747,0)),3)),"N/A"))</f>
        <v/>
      </c>
      <c r="U169" s="1294" t="str">
        <f>IF(H169&gt;'I. Stream &amp; Compound Data'!$F$18,"",IF(Q169&lt;&gt;"N/A",Q169,IF(R169&lt;&gt;"N/A",R169,IF(S169&lt;&gt;"N/A",S169,T169))))</f>
        <v/>
      </c>
      <c r="V169" s="1294" t="str">
        <f>IF(H169&gt;'I. Stream &amp; Compound Data'!$F$18,"",IF(U169&lt;&gt;0,ROUND(10^(4*U169+2),3),0))</f>
        <v/>
      </c>
      <c r="W169" s="1294" t="str">
        <f>IF(H169&gt;'I. Stream &amp; Compound Data'!$F$18,"",MAX(K169:L169))</f>
        <v/>
      </c>
      <c r="X169" s="1297" t="str">
        <f>IF(H169&gt;'I. Stream &amp; Compound Data'!$F$18,"",ROUND(V169*W169,3))</f>
        <v/>
      </c>
      <c r="Y169" s="279"/>
      <c r="Z169" s="279"/>
      <c r="AA169" s="279"/>
      <c r="AB169" s="279"/>
      <c r="AC169" s="279"/>
      <c r="AD169" s="279"/>
      <c r="AE169" s="279"/>
      <c r="AF169" s="279"/>
      <c r="AG169" s="279"/>
      <c r="AH169" s="279"/>
      <c r="AI169" s="279"/>
      <c r="AJ169" s="279"/>
      <c r="AK169" s="279"/>
      <c r="AL169" s="279"/>
      <c r="AM169" s="279"/>
      <c r="AN169" s="279"/>
      <c r="AO169" s="279"/>
      <c r="AP169" s="279"/>
      <c r="AQ169" s="279"/>
      <c r="AR169" s="279"/>
      <c r="AS169" s="279"/>
      <c r="AT169" s="279"/>
      <c r="AU169" s="279"/>
      <c r="AV169" s="279"/>
      <c r="AW169" s="279"/>
      <c r="AX169" s="279"/>
      <c r="AY169" s="279"/>
      <c r="AZ169" s="279"/>
      <c r="BA169" s="279"/>
      <c r="BB169" s="279"/>
      <c r="BC169" s="279"/>
      <c r="BD169" s="279"/>
      <c r="BE169" s="279"/>
      <c r="BF169" s="279"/>
      <c r="BG169" s="279"/>
      <c r="BH169" s="279"/>
      <c r="BI169" s="279"/>
      <c r="BJ169" s="279"/>
      <c r="BK169" s="279"/>
      <c r="BL169" s="279"/>
      <c r="BM169" s="279"/>
      <c r="BN169" s="279"/>
      <c r="BO169" s="279"/>
      <c r="BP169" s="279"/>
      <c r="BQ169" s="279"/>
      <c r="BR169" s="279"/>
      <c r="BS169" s="279"/>
      <c r="BT169" s="279"/>
      <c r="BU169" s="279"/>
      <c r="BV169" s="279"/>
      <c r="BW169" s="279"/>
      <c r="BX169" s="279"/>
      <c r="BY169" s="279"/>
      <c r="BZ169" s="279"/>
      <c r="CA169" s="279"/>
      <c r="CB169" s="279"/>
      <c r="CC169" s="279"/>
      <c r="CD169" s="279"/>
      <c r="CE169" s="279"/>
      <c r="CF169" s="279"/>
      <c r="CG169" s="279"/>
      <c r="CH169" s="279"/>
      <c r="CI169" s="279"/>
      <c r="CJ169" s="279"/>
      <c r="CK169" s="279"/>
      <c r="CL169" s="279"/>
      <c r="CM169" s="279"/>
      <c r="CN169" s="382"/>
    </row>
    <row r="170" ht="24" customHeight="true" x14ac:dyDescent="0.3">
      <c r="B170" s="361"/>
      <c r="C170" s="279"/>
      <c r="D170" s="280"/>
      <c r="E170" s="287"/>
      <c r="F170" s="287"/>
      <c r="G170" s="287"/>
      <c r="H170" s="1292">
        <f t="shared" si="10"/>
        <v>29</v>
      </c>
      <c r="I170" s="1293" t="str">
        <f>'I. Stream &amp; Compound Data'!G290</f>
        <v/>
      </c>
      <c r="J170" s="1294" t="str">
        <f>'I. Stream &amp; Compound Data'!H290</f>
        <v/>
      </c>
      <c r="K170" s="1294" t="str">
        <f>'I. Stream &amp; Compound Data'!L290</f>
        <v/>
      </c>
      <c r="L170" s="1294" t="str">
        <f>'I. Stream &amp; Compound Data'!M290</f>
        <v/>
      </c>
      <c r="M170" s="1295" t="str">
        <f>IF('I. Stream &amp; Compound Data'!AP290&lt;&gt;"",'I. Stream &amp; Compound Data'!AP290,IF('I. Stream &amp; Compound Data'!AQ290&lt;&gt;"",'I. Stream &amp; Compound Data'!AQ290,""))</f>
        <v/>
      </c>
      <c r="N170" s="1295" t="str">
        <f>IF('I. Stream &amp; Compound Data'!AR290&lt;&gt;"",'I. Stream &amp; Compound Data'!AR290,IF('I. Stream &amp; Compound Data'!AS290&lt;&gt;"",'I. Stream &amp; Compound Data'!AS290,""))</f>
        <v/>
      </c>
      <c r="O170" s="1295" t="str">
        <f>IF('I. Stream &amp; Compound Data'!BJ290&lt;&gt;"",'I. Stream &amp; Compound Data'!BJ290,"")</f>
        <v/>
      </c>
      <c r="P170" s="1295" t="str">
        <f>IF('I. Stream &amp; Compound Data'!AK290&lt;&gt;"",'I. Stream &amp; Compound Data'!AK290,"")</f>
        <v/>
      </c>
      <c r="Q170" s="290" t="str">
        <f>IF(H170&gt;'I. Stream &amp; Compound Data'!$F$18,"",IF(M170="C",0.875,IF(M170="Xi",0.625,"N/A")))</f>
        <v/>
      </c>
      <c r="R170" s="1168" t="str">
        <f>IF(H170&gt;'I. Stream &amp; Compound Data'!$F$18,"",IF(Q170="N/A",IF(N170="","N/A",IF(N170=35,1,IF(N170=34,0.875,IF(AND(N170&gt;=36,N170&lt;=38),0.625,0)))),"N/A"))</f>
        <v/>
      </c>
      <c r="S170" s="1287" t="str">
        <f>IF(H170&gt;'I. Stream &amp; Compound Data'!$F$18,"",IF(AND(Q170="N/A",R170="N/A"),IF(O170="","N/A",IF(AND(O170&gt;=1,O170&lt;=5),-0.25*O170+1.25,IF(AND(O170&gt;5,O170&lt;8.5),0,IF(AND(O170&gt;=8.5,O170&lt;=12.5),0.25*O170-2.125,1)))),"N/A"))</f>
        <v/>
      </c>
      <c r="T170" s="1296" t="str">
        <f>IF(H170&gt;'I. Stream &amp; Compound Data'!$F$18,"",IF(AND(Q170="N/A",R170="N/A",S170="N/A"),IF(P170="","N/A",ROUND(IF(P170&lt;=5,1,IF(AND(P170&gt;5,P170&lt;50000),-0.109*LN(P170)+1.1747,0)),3)),"N/A"))</f>
        <v/>
      </c>
      <c r="U170" s="1294" t="str">
        <f>IF(H170&gt;'I. Stream &amp; Compound Data'!$F$18,"",IF(Q170&lt;&gt;"N/A",Q170,IF(R170&lt;&gt;"N/A",R170,IF(S170&lt;&gt;"N/A",S170,T170))))</f>
        <v/>
      </c>
      <c r="V170" s="1294" t="str">
        <f>IF(H170&gt;'I. Stream &amp; Compound Data'!$F$18,"",IF(U170&lt;&gt;0,ROUND(10^(4*U170+2),3),0))</f>
        <v/>
      </c>
      <c r="W170" s="1294" t="str">
        <f>IF(H170&gt;'I. Stream &amp; Compound Data'!$F$18,"",MAX(K170:L170))</f>
        <v/>
      </c>
      <c r="X170" s="1297" t="str">
        <f>IF(H170&gt;'I. Stream &amp; Compound Data'!$F$18,"",ROUND(V170*W170,3))</f>
        <v/>
      </c>
      <c r="Y170" s="279"/>
      <c r="Z170" s="279"/>
      <c r="AA170" s="279"/>
      <c r="AB170" s="279"/>
      <c r="AC170" s="279"/>
      <c r="AD170" s="279"/>
      <c r="AE170" s="279"/>
      <c r="AF170" s="279"/>
      <c r="AG170" s="279"/>
      <c r="AH170" s="279"/>
      <c r="AI170" s="279"/>
      <c r="AJ170" s="279"/>
      <c r="AK170" s="279"/>
      <c r="AL170" s="279"/>
      <c r="AM170" s="279"/>
      <c r="AN170" s="279"/>
      <c r="AO170" s="279"/>
      <c r="AP170" s="279"/>
      <c r="AQ170" s="279"/>
      <c r="AR170" s="279"/>
      <c r="AS170" s="279"/>
      <c r="AT170" s="279"/>
      <c r="AU170" s="279"/>
      <c r="AV170" s="279"/>
      <c r="AW170" s="279"/>
      <c r="AX170" s="279"/>
      <c r="AY170" s="279"/>
      <c r="AZ170" s="279"/>
      <c r="BA170" s="279"/>
      <c r="BB170" s="279"/>
      <c r="BC170" s="279"/>
      <c r="BD170" s="279"/>
      <c r="BE170" s="279"/>
      <c r="BF170" s="279"/>
      <c r="BG170" s="279"/>
      <c r="BH170" s="279"/>
      <c r="BI170" s="279"/>
      <c r="BJ170" s="279"/>
      <c r="BK170" s="279"/>
      <c r="BL170" s="279"/>
      <c r="BM170" s="279"/>
      <c r="BN170" s="279"/>
      <c r="BO170" s="279"/>
      <c r="BP170" s="279"/>
      <c r="BQ170" s="279"/>
      <c r="BR170" s="279"/>
      <c r="BS170" s="279"/>
      <c r="BT170" s="279"/>
      <c r="BU170" s="279"/>
      <c r="BV170" s="279"/>
      <c r="BW170" s="279"/>
      <c r="BX170" s="279"/>
      <c r="BY170" s="279"/>
      <c r="BZ170" s="279"/>
      <c r="CA170" s="279"/>
      <c r="CB170" s="279"/>
      <c r="CC170" s="279"/>
      <c r="CD170" s="279"/>
      <c r="CE170" s="279"/>
      <c r="CF170" s="279"/>
      <c r="CG170" s="279"/>
      <c r="CH170" s="279"/>
      <c r="CI170" s="279"/>
      <c r="CJ170" s="279"/>
      <c r="CK170" s="279"/>
      <c r="CL170" s="279"/>
      <c r="CM170" s="279"/>
      <c r="CN170" s="382"/>
    </row>
    <row r="171" ht="24" customHeight="true" x14ac:dyDescent="0.3">
      <c r="B171" s="361"/>
      <c r="C171" s="279"/>
      <c r="D171" s="280"/>
      <c r="E171" s="287"/>
      <c r="F171" s="287"/>
      <c r="G171" s="287"/>
      <c r="H171" s="1292">
        <f t="shared" si="10"/>
        <v>30</v>
      </c>
      <c r="I171" s="1293" t="str">
        <f>'I. Stream &amp; Compound Data'!G291</f>
        <v/>
      </c>
      <c r="J171" s="1294" t="str">
        <f>'I. Stream &amp; Compound Data'!H291</f>
        <v/>
      </c>
      <c r="K171" s="1294" t="str">
        <f>'I. Stream &amp; Compound Data'!L291</f>
        <v/>
      </c>
      <c r="L171" s="1294" t="str">
        <f>'I. Stream &amp; Compound Data'!M291</f>
        <v/>
      </c>
      <c r="M171" s="1295" t="str">
        <f>IF('I. Stream &amp; Compound Data'!AP291&lt;&gt;"",'I. Stream &amp; Compound Data'!AP291,IF('I. Stream &amp; Compound Data'!AQ291&lt;&gt;"",'I. Stream &amp; Compound Data'!AQ291,""))</f>
        <v/>
      </c>
      <c r="N171" s="1295" t="str">
        <f>IF('I. Stream &amp; Compound Data'!AR291&lt;&gt;"",'I. Stream &amp; Compound Data'!AR291,IF('I. Stream &amp; Compound Data'!AS291&lt;&gt;"",'I. Stream &amp; Compound Data'!AS291,""))</f>
        <v/>
      </c>
      <c r="O171" s="1295" t="str">
        <f>IF('I. Stream &amp; Compound Data'!BJ291&lt;&gt;"",'I. Stream &amp; Compound Data'!BJ291,"")</f>
        <v/>
      </c>
      <c r="P171" s="1295" t="str">
        <f>IF('I. Stream &amp; Compound Data'!AK291&lt;&gt;"",'I. Stream &amp; Compound Data'!AK291,"")</f>
        <v/>
      </c>
      <c r="Q171" s="290" t="str">
        <f>IF(H171&gt;'I. Stream &amp; Compound Data'!$F$18,"",IF(M171="C",0.875,IF(M171="Xi",0.625,"N/A")))</f>
        <v/>
      </c>
      <c r="R171" s="1168" t="str">
        <f>IF(H171&gt;'I. Stream &amp; Compound Data'!$F$18,"",IF(Q171="N/A",IF(N171="","N/A",IF(N171=35,1,IF(N171=34,0.875,IF(AND(N171&gt;=36,N171&lt;=38),0.625,0)))),"N/A"))</f>
        <v/>
      </c>
      <c r="S171" s="1287" t="str">
        <f>IF(H171&gt;'I. Stream &amp; Compound Data'!$F$18,"",IF(AND(Q171="N/A",R171="N/A"),IF(O171="","N/A",IF(AND(O171&gt;=1,O171&lt;=5),-0.25*O171+1.25,IF(AND(O171&gt;5,O171&lt;8.5),0,IF(AND(O171&gt;=8.5,O171&lt;=12.5),0.25*O171-2.125,1)))),"N/A"))</f>
        <v/>
      </c>
      <c r="T171" s="1296" t="str">
        <f>IF(H171&gt;'I. Stream &amp; Compound Data'!$F$18,"",IF(AND(Q171="N/A",R171="N/A",S171="N/A"),IF(P171="","N/A",ROUND(IF(P171&lt;=5,1,IF(AND(P171&gt;5,P171&lt;50000),-0.109*LN(P171)+1.1747,0)),3)),"N/A"))</f>
        <v/>
      </c>
      <c r="U171" s="1294" t="str">
        <f>IF(H171&gt;'I. Stream &amp; Compound Data'!$F$18,"",IF(Q171&lt;&gt;"N/A",Q171,IF(R171&lt;&gt;"N/A",R171,IF(S171&lt;&gt;"N/A",S171,T171))))</f>
        <v/>
      </c>
      <c r="V171" s="1294" t="str">
        <f>IF(H171&gt;'I. Stream &amp; Compound Data'!$F$18,"",IF(U171&lt;&gt;0,ROUND(10^(4*U171+2),3),0))</f>
        <v/>
      </c>
      <c r="W171" s="1294" t="str">
        <f>IF(H171&gt;'I. Stream &amp; Compound Data'!$F$18,"",MAX(K171:L171))</f>
        <v/>
      </c>
      <c r="X171" s="1297" t="str">
        <f>IF(H171&gt;'I. Stream &amp; Compound Data'!$F$18,"",ROUND(V171*W171,3))</f>
        <v/>
      </c>
      <c r="Y171" s="279"/>
      <c r="Z171" s="279"/>
      <c r="AA171" s="279"/>
      <c r="AB171" s="279"/>
      <c r="AC171" s="279"/>
      <c r="AD171" s="279"/>
      <c r="AE171" s="279"/>
      <c r="AF171" s="279"/>
      <c r="AG171" s="279"/>
      <c r="AH171" s="279"/>
      <c r="AI171" s="279"/>
      <c r="AJ171" s="279"/>
      <c r="AK171" s="279"/>
      <c r="AL171" s="279"/>
      <c r="AM171" s="279"/>
      <c r="AN171" s="279"/>
      <c r="AO171" s="279"/>
      <c r="AP171" s="279"/>
      <c r="AQ171" s="279"/>
      <c r="AR171" s="279"/>
      <c r="AS171" s="279"/>
      <c r="AT171" s="279"/>
      <c r="AU171" s="279"/>
      <c r="AV171" s="279"/>
      <c r="AW171" s="279"/>
      <c r="AX171" s="279"/>
      <c r="AY171" s="279"/>
      <c r="AZ171" s="279"/>
      <c r="BA171" s="279"/>
      <c r="BB171" s="279"/>
      <c r="BC171" s="279"/>
      <c r="BD171" s="279"/>
      <c r="BE171" s="279"/>
      <c r="BF171" s="279"/>
      <c r="BG171" s="279"/>
      <c r="BH171" s="279"/>
      <c r="BI171" s="279"/>
      <c r="BJ171" s="279"/>
      <c r="BK171" s="279"/>
      <c r="BL171" s="279"/>
      <c r="BM171" s="279"/>
      <c r="BN171" s="279"/>
      <c r="BO171" s="279"/>
      <c r="BP171" s="279"/>
      <c r="BQ171" s="279"/>
      <c r="BR171" s="279"/>
      <c r="BS171" s="279"/>
      <c r="BT171" s="279"/>
      <c r="BU171" s="279"/>
      <c r="BV171" s="279"/>
      <c r="BW171" s="279"/>
      <c r="BX171" s="279"/>
      <c r="BY171" s="279"/>
      <c r="BZ171" s="279"/>
      <c r="CA171" s="279"/>
      <c r="CB171" s="279"/>
      <c r="CC171" s="279"/>
      <c r="CD171" s="279"/>
      <c r="CE171" s="279"/>
      <c r="CF171" s="279"/>
      <c r="CG171" s="279"/>
      <c r="CH171" s="279"/>
      <c r="CI171" s="279"/>
      <c r="CJ171" s="279"/>
      <c r="CK171" s="279"/>
      <c r="CL171" s="279"/>
      <c r="CM171" s="279"/>
      <c r="CN171" s="382"/>
    </row>
    <row r="172" ht="24" customHeight="true" x14ac:dyDescent="0.3">
      <c r="B172" s="361"/>
      <c r="C172" s="279"/>
      <c r="D172" s="280"/>
      <c r="E172" s="287"/>
      <c r="F172" s="287"/>
      <c r="G172" s="287"/>
      <c r="H172" s="1292">
        <f t="shared" si="10"/>
        <v>31</v>
      </c>
      <c r="I172" s="1293" t="str">
        <f>'I. Stream &amp; Compound Data'!G292</f>
        <v/>
      </c>
      <c r="J172" s="1294" t="str">
        <f>'I. Stream &amp; Compound Data'!H292</f>
        <v/>
      </c>
      <c r="K172" s="1294" t="str">
        <f>'I. Stream &amp; Compound Data'!L292</f>
        <v/>
      </c>
      <c r="L172" s="1294" t="str">
        <f>'I. Stream &amp; Compound Data'!M292</f>
        <v/>
      </c>
      <c r="M172" s="1295" t="str">
        <f>IF('I. Stream &amp; Compound Data'!AP292&lt;&gt;"",'I. Stream &amp; Compound Data'!AP292,IF('I. Stream &amp; Compound Data'!AQ292&lt;&gt;"",'I. Stream &amp; Compound Data'!AQ292,""))</f>
        <v/>
      </c>
      <c r="N172" s="1295" t="str">
        <f>IF('I. Stream &amp; Compound Data'!AR292&lt;&gt;"",'I. Stream &amp; Compound Data'!AR292,IF('I. Stream &amp; Compound Data'!AS292&lt;&gt;"",'I. Stream &amp; Compound Data'!AS292,""))</f>
        <v/>
      </c>
      <c r="O172" s="1295" t="str">
        <f>IF('I. Stream &amp; Compound Data'!BJ292&lt;&gt;"",'I. Stream &amp; Compound Data'!BJ292,"")</f>
        <v/>
      </c>
      <c r="P172" s="1295" t="str">
        <f>IF('I. Stream &amp; Compound Data'!AK292&lt;&gt;"",'I. Stream &amp; Compound Data'!AK292,"")</f>
        <v/>
      </c>
      <c r="Q172" s="290" t="str">
        <f>IF(H172&gt;'I. Stream &amp; Compound Data'!$F$18,"",IF(M172="C",0.875,IF(M172="Xi",0.625,"N/A")))</f>
        <v/>
      </c>
      <c r="R172" s="1168" t="str">
        <f>IF(H172&gt;'I. Stream &amp; Compound Data'!$F$18,"",IF(Q172="N/A",IF(N172="","N/A",IF(N172=35,1,IF(N172=34,0.875,IF(AND(N172&gt;=36,N172&lt;=38),0.625,0)))),"N/A"))</f>
        <v/>
      </c>
      <c r="S172" s="1287" t="str">
        <f>IF(H172&gt;'I. Stream &amp; Compound Data'!$F$18,"",IF(AND(Q172="N/A",R172="N/A"),IF(O172="","N/A",IF(AND(O172&gt;=1,O172&lt;=5),-0.25*O172+1.25,IF(AND(O172&gt;5,O172&lt;8.5),0,IF(AND(O172&gt;=8.5,O172&lt;=12.5),0.25*O172-2.125,1)))),"N/A"))</f>
        <v/>
      </c>
      <c r="T172" s="1296" t="str">
        <f>IF(H172&gt;'I. Stream &amp; Compound Data'!$F$18,"",IF(AND(Q172="N/A",R172="N/A",S172="N/A"),IF(P172="","N/A",ROUND(IF(P172&lt;=5,1,IF(AND(P172&gt;5,P172&lt;50000),-0.109*LN(P172)+1.1747,0)),3)),"N/A"))</f>
        <v/>
      </c>
      <c r="U172" s="1294" t="str">
        <f>IF(H172&gt;'I. Stream &amp; Compound Data'!$F$18,"",IF(Q172&lt;&gt;"N/A",Q172,IF(R172&lt;&gt;"N/A",R172,IF(S172&lt;&gt;"N/A",S172,T172))))</f>
        <v/>
      </c>
      <c r="V172" s="1294" t="str">
        <f>IF(H172&gt;'I. Stream &amp; Compound Data'!$F$18,"",IF(U172&lt;&gt;0,ROUND(10^(4*U172+2),3),0))</f>
        <v/>
      </c>
      <c r="W172" s="1294" t="str">
        <f>IF(H172&gt;'I. Stream &amp; Compound Data'!$F$18,"",MAX(K172:L172))</f>
        <v/>
      </c>
      <c r="X172" s="1297" t="str">
        <f>IF(H172&gt;'I. Stream &amp; Compound Data'!$F$18,"",ROUND(V172*W172,3))</f>
        <v/>
      </c>
      <c r="Y172" s="279"/>
      <c r="Z172" s="279"/>
      <c r="AA172" s="279"/>
      <c r="AB172" s="279"/>
      <c r="AC172" s="279"/>
      <c r="AD172" s="279"/>
      <c r="AE172" s="279"/>
      <c r="AF172" s="279"/>
      <c r="AG172" s="279"/>
      <c r="AH172" s="279"/>
      <c r="AI172" s="279"/>
      <c r="AJ172" s="279"/>
      <c r="AK172" s="279"/>
      <c r="AL172" s="279"/>
      <c r="AM172" s="279"/>
      <c r="AN172" s="279"/>
      <c r="AO172" s="279"/>
      <c r="AP172" s="279"/>
      <c r="AQ172" s="279"/>
      <c r="AR172" s="279"/>
      <c r="AS172" s="279"/>
      <c r="AT172" s="279"/>
      <c r="AU172" s="279"/>
      <c r="AV172" s="279"/>
      <c r="AW172" s="279"/>
      <c r="AX172" s="279"/>
      <c r="AY172" s="279"/>
      <c r="AZ172" s="279"/>
      <c r="BA172" s="279"/>
      <c r="BB172" s="279"/>
      <c r="BC172" s="279"/>
      <c r="BD172" s="279"/>
      <c r="BE172" s="279"/>
      <c r="BF172" s="279"/>
      <c r="BG172" s="279"/>
      <c r="BH172" s="279"/>
      <c r="BI172" s="279"/>
      <c r="BJ172" s="279"/>
      <c r="BK172" s="279"/>
      <c r="BL172" s="279"/>
      <c r="BM172" s="279"/>
      <c r="BN172" s="279"/>
      <c r="BO172" s="279"/>
      <c r="BP172" s="279"/>
      <c r="BQ172" s="279"/>
      <c r="BR172" s="279"/>
      <c r="BS172" s="279"/>
      <c r="BT172" s="279"/>
      <c r="BU172" s="279"/>
      <c r="BV172" s="279"/>
      <c r="BW172" s="279"/>
      <c r="BX172" s="279"/>
      <c r="BY172" s="279"/>
      <c r="BZ172" s="279"/>
      <c r="CA172" s="279"/>
      <c r="CB172" s="279"/>
      <c r="CC172" s="279"/>
      <c r="CD172" s="279"/>
      <c r="CE172" s="279"/>
      <c r="CF172" s="279"/>
      <c r="CG172" s="279"/>
      <c r="CH172" s="279"/>
      <c r="CI172" s="279"/>
      <c r="CJ172" s="279"/>
      <c r="CK172" s="279"/>
      <c r="CL172" s="279"/>
      <c r="CM172" s="279"/>
      <c r="CN172" s="382"/>
    </row>
    <row r="173" ht="24" customHeight="true" x14ac:dyDescent="0.3">
      <c r="B173" s="361"/>
      <c r="C173" s="279"/>
      <c r="D173" s="280"/>
      <c r="E173" s="287"/>
      <c r="F173" s="287"/>
      <c r="G173" s="287"/>
      <c r="H173" s="1292">
        <f t="shared" si="10"/>
        <v>32</v>
      </c>
      <c r="I173" s="1293" t="str">
        <f>'I. Stream &amp; Compound Data'!G293</f>
        <v/>
      </c>
      <c r="J173" s="1294" t="str">
        <f>'I. Stream &amp; Compound Data'!H293</f>
        <v/>
      </c>
      <c r="K173" s="1294" t="str">
        <f>'I. Stream &amp; Compound Data'!L293</f>
        <v/>
      </c>
      <c r="L173" s="1294" t="str">
        <f>'I. Stream &amp; Compound Data'!M293</f>
        <v/>
      </c>
      <c r="M173" s="1295" t="str">
        <f>IF('I. Stream &amp; Compound Data'!AP293&lt;&gt;"",'I. Stream &amp; Compound Data'!AP293,IF('I. Stream &amp; Compound Data'!AQ293&lt;&gt;"",'I. Stream &amp; Compound Data'!AQ293,""))</f>
        <v/>
      </c>
      <c r="N173" s="1295" t="str">
        <f>IF('I. Stream &amp; Compound Data'!AR293&lt;&gt;"",'I. Stream &amp; Compound Data'!AR293,IF('I. Stream &amp; Compound Data'!AS293&lt;&gt;"",'I. Stream &amp; Compound Data'!AS293,""))</f>
        <v/>
      </c>
      <c r="O173" s="1295" t="str">
        <f>IF('I. Stream &amp; Compound Data'!BJ293&lt;&gt;"",'I. Stream &amp; Compound Data'!BJ293,"")</f>
        <v/>
      </c>
      <c r="P173" s="1295" t="str">
        <f>IF('I. Stream &amp; Compound Data'!AK293&lt;&gt;"",'I. Stream &amp; Compound Data'!AK293,"")</f>
        <v/>
      </c>
      <c r="Q173" s="290" t="str">
        <f>IF(H173&gt;'I. Stream &amp; Compound Data'!$F$18,"",IF(M173="C",0.875,IF(M173="Xi",0.625,"N/A")))</f>
        <v/>
      </c>
      <c r="R173" s="1168" t="str">
        <f>IF(H173&gt;'I. Stream &amp; Compound Data'!$F$18,"",IF(Q173="N/A",IF(N173="","N/A",IF(N173=35,1,IF(N173=34,0.875,IF(AND(N173&gt;=36,N173&lt;=38),0.625,0)))),"N/A"))</f>
        <v/>
      </c>
      <c r="S173" s="1287" t="str">
        <f>IF(H173&gt;'I. Stream &amp; Compound Data'!$F$18,"",IF(AND(Q173="N/A",R173="N/A"),IF(O173="","N/A",IF(AND(O173&gt;=1,O173&lt;=5),-0.25*O173+1.25,IF(AND(O173&gt;5,O173&lt;8.5),0,IF(AND(O173&gt;=8.5,O173&lt;=12.5),0.25*O173-2.125,1)))),"N/A"))</f>
        <v/>
      </c>
      <c r="T173" s="1296" t="str">
        <f>IF(H173&gt;'I. Stream &amp; Compound Data'!$F$18,"",IF(AND(Q173="N/A",R173="N/A",S173="N/A"),IF(P173="","N/A",ROUND(IF(P173&lt;=5,1,IF(AND(P173&gt;5,P173&lt;50000),-0.109*LN(P173)+1.1747,0)),3)),"N/A"))</f>
        <v/>
      </c>
      <c r="U173" s="1294" t="str">
        <f>IF(H173&gt;'I. Stream &amp; Compound Data'!$F$18,"",IF(Q173&lt;&gt;"N/A",Q173,IF(R173&lt;&gt;"N/A",R173,IF(S173&lt;&gt;"N/A",S173,T173))))</f>
        <v/>
      </c>
      <c r="V173" s="1294" t="str">
        <f>IF(H173&gt;'I. Stream &amp; Compound Data'!$F$18,"",IF(U173&lt;&gt;0,ROUND(10^(4*U173+2),3),0))</f>
        <v/>
      </c>
      <c r="W173" s="1294" t="str">
        <f>IF(H173&gt;'I. Stream &amp; Compound Data'!$F$18,"",MAX(K173:L173))</f>
        <v/>
      </c>
      <c r="X173" s="1297" t="str">
        <f>IF(H173&gt;'I. Stream &amp; Compound Data'!$F$18,"",ROUND(V173*W173,3))</f>
        <v/>
      </c>
      <c r="Y173" s="279"/>
      <c r="Z173" s="279"/>
      <c r="AA173" s="279"/>
      <c r="AB173" s="279"/>
      <c r="AC173" s="279"/>
      <c r="AD173" s="279"/>
      <c r="AE173" s="279"/>
      <c r="AF173" s="279"/>
      <c r="AG173" s="279"/>
      <c r="AH173" s="279"/>
      <c r="AI173" s="279"/>
      <c r="AJ173" s="279"/>
      <c r="AK173" s="279"/>
      <c r="AL173" s="279"/>
      <c r="AM173" s="279"/>
      <c r="AN173" s="279"/>
      <c r="AO173" s="279"/>
      <c r="AP173" s="279"/>
      <c r="AQ173" s="279"/>
      <c r="AR173" s="279"/>
      <c r="AS173" s="279"/>
      <c r="AT173" s="279"/>
      <c r="AU173" s="279"/>
      <c r="AV173" s="279"/>
      <c r="AW173" s="279"/>
      <c r="AX173" s="279"/>
      <c r="AY173" s="279"/>
      <c r="AZ173" s="279"/>
      <c r="BA173" s="279"/>
      <c r="BB173" s="279"/>
      <c r="BC173" s="279"/>
      <c r="BD173" s="279"/>
      <c r="BE173" s="279"/>
      <c r="BF173" s="279"/>
      <c r="BG173" s="279"/>
      <c r="BH173" s="279"/>
      <c r="BI173" s="279"/>
      <c r="BJ173" s="279"/>
      <c r="BK173" s="279"/>
      <c r="BL173" s="279"/>
      <c r="BM173" s="279"/>
      <c r="BN173" s="279"/>
      <c r="BO173" s="279"/>
      <c r="BP173" s="279"/>
      <c r="BQ173" s="279"/>
      <c r="BR173" s="279"/>
      <c r="BS173" s="279"/>
      <c r="BT173" s="279"/>
      <c r="BU173" s="279"/>
      <c r="BV173" s="279"/>
      <c r="BW173" s="279"/>
      <c r="BX173" s="279"/>
      <c r="BY173" s="279"/>
      <c r="BZ173" s="279"/>
      <c r="CA173" s="279"/>
      <c r="CB173" s="279"/>
      <c r="CC173" s="279"/>
      <c r="CD173" s="279"/>
      <c r="CE173" s="279"/>
      <c r="CF173" s="279"/>
      <c r="CG173" s="279"/>
      <c r="CH173" s="279"/>
      <c r="CI173" s="279"/>
      <c r="CJ173" s="279"/>
      <c r="CK173" s="279"/>
      <c r="CL173" s="279"/>
      <c r="CM173" s="279"/>
      <c r="CN173" s="382"/>
    </row>
    <row r="174" ht="24" customHeight="true" x14ac:dyDescent="0.3">
      <c r="B174" s="361"/>
      <c r="C174" s="279"/>
      <c r="D174" s="280"/>
      <c r="E174" s="287"/>
      <c r="F174" s="287"/>
      <c r="G174" s="287"/>
      <c r="H174" s="1292">
        <f t="shared" si="10"/>
        <v>33</v>
      </c>
      <c r="I174" s="1293" t="str">
        <f>'I. Stream &amp; Compound Data'!G294</f>
        <v/>
      </c>
      <c r="J174" s="1294" t="str">
        <f>'I. Stream &amp; Compound Data'!H294</f>
        <v/>
      </c>
      <c r="K174" s="1294" t="str">
        <f>'I. Stream &amp; Compound Data'!L294</f>
        <v/>
      </c>
      <c r="L174" s="1294" t="str">
        <f>'I. Stream &amp; Compound Data'!M294</f>
        <v/>
      </c>
      <c r="M174" s="1295" t="str">
        <f>IF('I. Stream &amp; Compound Data'!AP294&lt;&gt;"",'I. Stream &amp; Compound Data'!AP294,IF('I. Stream &amp; Compound Data'!AQ294&lt;&gt;"",'I. Stream &amp; Compound Data'!AQ294,""))</f>
        <v/>
      </c>
      <c r="N174" s="1295" t="str">
        <f>IF('I. Stream &amp; Compound Data'!AR294&lt;&gt;"",'I. Stream &amp; Compound Data'!AR294,IF('I. Stream &amp; Compound Data'!AS294&lt;&gt;"",'I. Stream &amp; Compound Data'!AS294,""))</f>
        <v/>
      </c>
      <c r="O174" s="1295" t="str">
        <f>IF('I. Stream &amp; Compound Data'!BJ294&lt;&gt;"",'I. Stream &amp; Compound Data'!BJ294,"")</f>
        <v/>
      </c>
      <c r="P174" s="1295" t="str">
        <f>IF('I. Stream &amp; Compound Data'!AK294&lt;&gt;"",'I. Stream &amp; Compound Data'!AK294,"")</f>
        <v/>
      </c>
      <c r="Q174" s="290" t="str">
        <f>IF(H174&gt;'I. Stream &amp; Compound Data'!$F$18,"",IF(M174="C",0.875,IF(M174="Xi",0.625,"N/A")))</f>
        <v/>
      </c>
      <c r="R174" s="1168" t="str">
        <f>IF(H174&gt;'I. Stream &amp; Compound Data'!$F$18,"",IF(Q174="N/A",IF(N174="","N/A",IF(N174=35,1,IF(N174=34,0.875,IF(AND(N174&gt;=36,N174&lt;=38),0.625,0)))),"N/A"))</f>
        <v/>
      </c>
      <c r="S174" s="1287" t="str">
        <f>IF(H174&gt;'I. Stream &amp; Compound Data'!$F$18,"",IF(AND(Q174="N/A",R174="N/A"),IF(O174="","N/A",IF(AND(O174&gt;=1,O174&lt;=5),-0.25*O174+1.25,IF(AND(O174&gt;5,O174&lt;8.5),0,IF(AND(O174&gt;=8.5,O174&lt;=12.5),0.25*O174-2.125,1)))),"N/A"))</f>
        <v/>
      </c>
      <c r="T174" s="1296" t="str">
        <f>IF(H174&gt;'I. Stream &amp; Compound Data'!$F$18,"",IF(AND(Q174="N/A",R174="N/A",S174="N/A"),IF(P174="","N/A",ROUND(IF(P174&lt;=5,1,IF(AND(P174&gt;5,P174&lt;50000),-0.109*LN(P174)+1.1747,0)),3)),"N/A"))</f>
        <v/>
      </c>
      <c r="U174" s="1294" t="str">
        <f>IF(H174&gt;'I. Stream &amp; Compound Data'!$F$18,"",IF(Q174&lt;&gt;"N/A",Q174,IF(R174&lt;&gt;"N/A",R174,IF(S174&lt;&gt;"N/A",S174,T174))))</f>
        <v/>
      </c>
      <c r="V174" s="1294" t="str">
        <f>IF(H174&gt;'I. Stream &amp; Compound Data'!$F$18,"",IF(U174&lt;&gt;0,ROUND(10^(4*U174+2),3),0))</f>
        <v/>
      </c>
      <c r="W174" s="1294" t="str">
        <f>IF(H174&gt;'I. Stream &amp; Compound Data'!$F$18,"",MAX(K174:L174))</f>
        <v/>
      </c>
      <c r="X174" s="1297" t="str">
        <f>IF(H174&gt;'I. Stream &amp; Compound Data'!$F$18,"",ROUND(V174*W174,3))</f>
        <v/>
      </c>
      <c r="Y174" s="279"/>
      <c r="Z174" s="279"/>
      <c r="AA174" s="279"/>
      <c r="AB174" s="279"/>
      <c r="AC174" s="279"/>
      <c r="AD174" s="279"/>
      <c r="AE174" s="279"/>
      <c r="AF174" s="279"/>
      <c r="AG174" s="279"/>
      <c r="AH174" s="279"/>
      <c r="AI174" s="279"/>
      <c r="AJ174" s="279"/>
      <c r="AK174" s="279"/>
      <c r="AL174" s="279"/>
      <c r="AM174" s="279"/>
      <c r="AN174" s="279"/>
      <c r="AO174" s="279"/>
      <c r="AP174" s="279"/>
      <c r="AQ174" s="279"/>
      <c r="AR174" s="279"/>
      <c r="AS174" s="279"/>
      <c r="AT174" s="279"/>
      <c r="AU174" s="279"/>
      <c r="AV174" s="279"/>
      <c r="AW174" s="279"/>
      <c r="AX174" s="279"/>
      <c r="AY174" s="279"/>
      <c r="AZ174" s="279"/>
      <c r="BA174" s="279"/>
      <c r="BB174" s="279"/>
      <c r="BC174" s="279"/>
      <c r="BD174" s="279"/>
      <c r="BE174" s="279"/>
      <c r="BF174" s="279"/>
      <c r="BG174" s="279"/>
      <c r="BH174" s="279"/>
      <c r="BI174" s="279"/>
      <c r="BJ174" s="279"/>
      <c r="BK174" s="279"/>
      <c r="BL174" s="279"/>
      <c r="BM174" s="279"/>
      <c r="BN174" s="279"/>
      <c r="BO174" s="279"/>
      <c r="BP174" s="279"/>
      <c r="BQ174" s="279"/>
      <c r="BR174" s="279"/>
      <c r="BS174" s="279"/>
      <c r="BT174" s="279"/>
      <c r="BU174" s="279"/>
      <c r="BV174" s="279"/>
      <c r="BW174" s="279"/>
      <c r="BX174" s="279"/>
      <c r="BY174" s="279"/>
      <c r="BZ174" s="279"/>
      <c r="CA174" s="279"/>
      <c r="CB174" s="279"/>
      <c r="CC174" s="279"/>
      <c r="CD174" s="279"/>
      <c r="CE174" s="279"/>
      <c r="CF174" s="279"/>
      <c r="CG174" s="279"/>
      <c r="CH174" s="279"/>
      <c r="CI174" s="279"/>
      <c r="CJ174" s="279"/>
      <c r="CK174" s="279"/>
      <c r="CL174" s="279"/>
      <c r="CM174" s="279"/>
      <c r="CN174" s="382"/>
    </row>
    <row r="175" ht="24" customHeight="true" x14ac:dyDescent="0.3">
      <c r="B175" s="361"/>
      <c r="C175" s="279"/>
      <c r="D175" s="280"/>
      <c r="E175" s="287"/>
      <c r="F175" s="287"/>
      <c r="G175" s="287"/>
      <c r="H175" s="1292">
        <f t="shared" si="10"/>
        <v>34</v>
      </c>
      <c r="I175" s="1293" t="str">
        <f>'I. Stream &amp; Compound Data'!G295</f>
        <v/>
      </c>
      <c r="J175" s="1294" t="str">
        <f>'I. Stream &amp; Compound Data'!H295</f>
        <v/>
      </c>
      <c r="K175" s="1294" t="str">
        <f>'I. Stream &amp; Compound Data'!L295</f>
        <v/>
      </c>
      <c r="L175" s="1294" t="str">
        <f>'I. Stream &amp; Compound Data'!M295</f>
        <v/>
      </c>
      <c r="M175" s="1295" t="str">
        <f>IF('I. Stream &amp; Compound Data'!AP295&lt;&gt;"",'I. Stream &amp; Compound Data'!AP295,IF('I. Stream &amp; Compound Data'!AQ295&lt;&gt;"",'I. Stream &amp; Compound Data'!AQ295,""))</f>
        <v/>
      </c>
      <c r="N175" s="1295" t="str">
        <f>IF('I. Stream &amp; Compound Data'!AR295&lt;&gt;"",'I. Stream &amp; Compound Data'!AR295,IF('I. Stream &amp; Compound Data'!AS295&lt;&gt;"",'I. Stream &amp; Compound Data'!AS295,""))</f>
        <v/>
      </c>
      <c r="O175" s="1295" t="str">
        <f>IF('I. Stream &amp; Compound Data'!BJ295&lt;&gt;"",'I. Stream &amp; Compound Data'!BJ295,"")</f>
        <v/>
      </c>
      <c r="P175" s="1295" t="str">
        <f>IF('I. Stream &amp; Compound Data'!AK295&lt;&gt;"",'I. Stream &amp; Compound Data'!AK295,"")</f>
        <v/>
      </c>
      <c r="Q175" s="290" t="str">
        <f>IF(H175&gt;'I. Stream &amp; Compound Data'!$F$18,"",IF(M175="C",0.875,IF(M175="Xi",0.625,"N/A")))</f>
        <v/>
      </c>
      <c r="R175" s="1168" t="str">
        <f>IF(H175&gt;'I. Stream &amp; Compound Data'!$F$18,"",IF(Q175="N/A",IF(N175="","N/A",IF(N175=35,1,IF(N175=34,0.875,IF(AND(N175&gt;=36,N175&lt;=38),0.625,0)))),"N/A"))</f>
        <v/>
      </c>
      <c r="S175" s="1287" t="str">
        <f>IF(H175&gt;'I. Stream &amp; Compound Data'!$F$18,"",IF(AND(Q175="N/A",R175="N/A"),IF(O175="","N/A",IF(AND(O175&gt;=1,O175&lt;=5),-0.25*O175+1.25,IF(AND(O175&gt;5,O175&lt;8.5),0,IF(AND(O175&gt;=8.5,O175&lt;=12.5),0.25*O175-2.125,1)))),"N/A"))</f>
        <v/>
      </c>
      <c r="T175" s="1296" t="str">
        <f>IF(H175&gt;'I. Stream &amp; Compound Data'!$F$18,"",IF(AND(Q175="N/A",R175="N/A",S175="N/A"),IF(P175="","N/A",ROUND(IF(P175&lt;=5,1,IF(AND(P175&gt;5,P175&lt;50000),-0.109*LN(P175)+1.1747,0)),3)),"N/A"))</f>
        <v/>
      </c>
      <c r="U175" s="1294" t="str">
        <f>IF(H175&gt;'I. Stream &amp; Compound Data'!$F$18,"",IF(Q175&lt;&gt;"N/A",Q175,IF(R175&lt;&gt;"N/A",R175,IF(S175&lt;&gt;"N/A",S175,T175))))</f>
        <v/>
      </c>
      <c r="V175" s="1294" t="str">
        <f>IF(H175&gt;'I. Stream &amp; Compound Data'!$F$18,"",IF(U175&lt;&gt;0,ROUND(10^(4*U175+2),3),0))</f>
        <v/>
      </c>
      <c r="W175" s="1294" t="str">
        <f>IF(H175&gt;'I. Stream &amp; Compound Data'!$F$18,"",MAX(K175:L175))</f>
        <v/>
      </c>
      <c r="X175" s="1297" t="str">
        <f>IF(H175&gt;'I. Stream &amp; Compound Data'!$F$18,"",ROUND(V175*W175,3))</f>
        <v/>
      </c>
      <c r="Y175" s="279"/>
      <c r="Z175" s="279"/>
      <c r="AA175" s="279"/>
      <c r="AB175" s="279"/>
      <c r="AC175" s="279"/>
      <c r="AD175" s="279"/>
      <c r="AE175" s="279"/>
      <c r="AF175" s="279"/>
      <c r="AG175" s="279"/>
      <c r="AH175" s="279"/>
      <c r="AI175" s="279"/>
      <c r="AJ175" s="279"/>
      <c r="AK175" s="279"/>
      <c r="AL175" s="279"/>
      <c r="AM175" s="279"/>
      <c r="AN175" s="279"/>
      <c r="AO175" s="279"/>
      <c r="AP175" s="279"/>
      <c r="AQ175" s="279"/>
      <c r="AR175" s="279"/>
      <c r="AS175" s="279"/>
      <c r="AT175" s="279"/>
      <c r="AU175" s="279"/>
      <c r="AV175" s="279"/>
      <c r="AW175" s="279"/>
      <c r="AX175" s="279"/>
      <c r="AY175" s="279"/>
      <c r="AZ175" s="279"/>
      <c r="BA175" s="279"/>
      <c r="BB175" s="279"/>
      <c r="BC175" s="279"/>
      <c r="BD175" s="279"/>
      <c r="BE175" s="279"/>
      <c r="BF175" s="279"/>
      <c r="BG175" s="279"/>
      <c r="BH175" s="279"/>
      <c r="BI175" s="279"/>
      <c r="BJ175" s="279"/>
      <c r="BK175" s="279"/>
      <c r="BL175" s="279"/>
      <c r="BM175" s="279"/>
      <c r="BN175" s="279"/>
      <c r="BO175" s="279"/>
      <c r="BP175" s="279"/>
      <c r="BQ175" s="279"/>
      <c r="BR175" s="279"/>
      <c r="BS175" s="279"/>
      <c r="BT175" s="279"/>
      <c r="BU175" s="279"/>
      <c r="BV175" s="279"/>
      <c r="BW175" s="279"/>
      <c r="BX175" s="279"/>
      <c r="BY175" s="279"/>
      <c r="BZ175" s="279"/>
      <c r="CA175" s="279"/>
      <c r="CB175" s="279"/>
      <c r="CC175" s="279"/>
      <c r="CD175" s="279"/>
      <c r="CE175" s="279"/>
      <c r="CF175" s="279"/>
      <c r="CG175" s="279"/>
      <c r="CH175" s="279"/>
      <c r="CI175" s="279"/>
      <c r="CJ175" s="279"/>
      <c r="CK175" s="279"/>
      <c r="CL175" s="279"/>
      <c r="CM175" s="279"/>
      <c r="CN175" s="382"/>
    </row>
    <row r="176" ht="24" customHeight="true" x14ac:dyDescent="0.3">
      <c r="B176" s="361"/>
      <c r="C176" s="279"/>
      <c r="D176" s="280"/>
      <c r="E176" s="287"/>
      <c r="F176" s="287"/>
      <c r="G176" s="287"/>
      <c r="H176" s="1292">
        <f t="shared" si="10"/>
        <v>35</v>
      </c>
      <c r="I176" s="1293" t="str">
        <f>'I. Stream &amp; Compound Data'!G296</f>
        <v/>
      </c>
      <c r="J176" s="1294" t="str">
        <f>'I. Stream &amp; Compound Data'!H296</f>
        <v/>
      </c>
      <c r="K176" s="1294" t="str">
        <f>'I. Stream &amp; Compound Data'!L296</f>
        <v/>
      </c>
      <c r="L176" s="1294" t="str">
        <f>'I. Stream &amp; Compound Data'!M296</f>
        <v/>
      </c>
      <c r="M176" s="1295" t="str">
        <f>IF('I. Stream &amp; Compound Data'!AP296&lt;&gt;"",'I. Stream &amp; Compound Data'!AP296,IF('I. Stream &amp; Compound Data'!AQ296&lt;&gt;"",'I. Stream &amp; Compound Data'!AQ296,""))</f>
        <v/>
      </c>
      <c r="N176" s="1295" t="str">
        <f>IF('I. Stream &amp; Compound Data'!AR296&lt;&gt;"",'I. Stream &amp; Compound Data'!AR296,IF('I. Stream &amp; Compound Data'!AS296&lt;&gt;"",'I. Stream &amp; Compound Data'!AS296,""))</f>
        <v/>
      </c>
      <c r="O176" s="1295" t="str">
        <f>IF('I. Stream &amp; Compound Data'!BJ296&lt;&gt;"",'I. Stream &amp; Compound Data'!BJ296,"")</f>
        <v/>
      </c>
      <c r="P176" s="1295" t="str">
        <f>IF('I. Stream &amp; Compound Data'!AK296&lt;&gt;"",'I. Stream &amp; Compound Data'!AK296,"")</f>
        <v/>
      </c>
      <c r="Q176" s="290" t="str">
        <f>IF(H176&gt;'I. Stream &amp; Compound Data'!$F$18,"",IF(M176="C",0.875,IF(M176="Xi",0.625,"N/A")))</f>
        <v/>
      </c>
      <c r="R176" s="1168" t="str">
        <f>IF(H176&gt;'I. Stream &amp; Compound Data'!$F$18,"",IF(Q176="N/A",IF(N176="","N/A",IF(N176=35,1,IF(N176=34,0.875,IF(AND(N176&gt;=36,N176&lt;=38),0.625,0)))),"N/A"))</f>
        <v/>
      </c>
      <c r="S176" s="1287" t="str">
        <f>IF(H176&gt;'I. Stream &amp; Compound Data'!$F$18,"",IF(AND(Q176="N/A",R176="N/A"),IF(O176="","N/A",IF(AND(O176&gt;=1,O176&lt;=5),-0.25*O176+1.25,IF(AND(O176&gt;5,O176&lt;8.5),0,IF(AND(O176&gt;=8.5,O176&lt;=12.5),0.25*O176-2.125,1)))),"N/A"))</f>
        <v/>
      </c>
      <c r="T176" s="1296" t="str">
        <f>IF(H176&gt;'I. Stream &amp; Compound Data'!$F$18,"",IF(AND(Q176="N/A",R176="N/A",S176="N/A"),IF(P176="","N/A",ROUND(IF(P176&lt;=5,1,IF(AND(P176&gt;5,P176&lt;50000),-0.109*LN(P176)+1.1747,0)),3)),"N/A"))</f>
        <v/>
      </c>
      <c r="U176" s="1294" t="str">
        <f>IF(H176&gt;'I. Stream &amp; Compound Data'!$F$18,"",IF(Q176&lt;&gt;"N/A",Q176,IF(R176&lt;&gt;"N/A",R176,IF(S176&lt;&gt;"N/A",S176,T176))))</f>
        <v/>
      </c>
      <c r="V176" s="1294" t="str">
        <f>IF(H176&gt;'I. Stream &amp; Compound Data'!$F$18,"",IF(U176&lt;&gt;0,ROUND(10^(4*U176+2),3),0))</f>
        <v/>
      </c>
      <c r="W176" s="1294" t="str">
        <f>IF(H176&gt;'I. Stream &amp; Compound Data'!$F$18,"",MAX(K176:L176))</f>
        <v/>
      </c>
      <c r="X176" s="1297" t="str">
        <f>IF(H176&gt;'I. Stream &amp; Compound Data'!$F$18,"",ROUND(V176*W176,3))</f>
        <v/>
      </c>
      <c r="Y176" s="279"/>
      <c r="Z176" s="279"/>
      <c r="AA176" s="279"/>
      <c r="AB176" s="279"/>
      <c r="AC176" s="279"/>
      <c r="AD176" s="279"/>
      <c r="AE176" s="279"/>
      <c r="AF176" s="279"/>
      <c r="AG176" s="279"/>
      <c r="AH176" s="279"/>
      <c r="AI176" s="279"/>
      <c r="AJ176" s="279"/>
      <c r="AK176" s="279"/>
      <c r="AL176" s="279"/>
      <c r="AM176" s="279"/>
      <c r="AN176" s="279"/>
      <c r="AO176" s="279"/>
      <c r="AP176" s="279"/>
      <c r="AQ176" s="279"/>
      <c r="AR176" s="279"/>
      <c r="AS176" s="279"/>
      <c r="AT176" s="279"/>
      <c r="AU176" s="279"/>
      <c r="AV176" s="279"/>
      <c r="AW176" s="279"/>
      <c r="AX176" s="279"/>
      <c r="AY176" s="279"/>
      <c r="AZ176" s="279"/>
      <c r="BA176" s="279"/>
      <c r="BB176" s="279"/>
      <c r="BC176" s="279"/>
      <c r="BD176" s="279"/>
      <c r="BE176" s="279"/>
      <c r="BF176" s="279"/>
      <c r="BG176" s="279"/>
      <c r="BH176" s="279"/>
      <c r="BI176" s="279"/>
      <c r="BJ176" s="279"/>
      <c r="BK176" s="279"/>
      <c r="BL176" s="279"/>
      <c r="BM176" s="279"/>
      <c r="BN176" s="279"/>
      <c r="BO176" s="279"/>
      <c r="BP176" s="279"/>
      <c r="BQ176" s="279"/>
      <c r="BR176" s="279"/>
      <c r="BS176" s="279"/>
      <c r="BT176" s="279"/>
      <c r="BU176" s="279"/>
      <c r="BV176" s="279"/>
      <c r="BW176" s="279"/>
      <c r="BX176" s="279"/>
      <c r="BY176" s="279"/>
      <c r="BZ176" s="279"/>
      <c r="CA176" s="279"/>
      <c r="CB176" s="279"/>
      <c r="CC176" s="279"/>
      <c r="CD176" s="279"/>
      <c r="CE176" s="279"/>
      <c r="CF176" s="279"/>
      <c r="CG176" s="279"/>
      <c r="CH176" s="279"/>
      <c r="CI176" s="279"/>
      <c r="CJ176" s="279"/>
      <c r="CK176" s="279"/>
      <c r="CL176" s="279"/>
      <c r="CM176" s="279"/>
      <c r="CN176" s="382"/>
    </row>
    <row r="177" ht="24" customHeight="true" x14ac:dyDescent="0.3">
      <c r="B177" s="361"/>
      <c r="C177" s="279"/>
      <c r="D177" s="280"/>
      <c r="E177" s="287"/>
      <c r="F177" s="287"/>
      <c r="G177" s="287"/>
      <c r="H177" s="1292">
        <f t="shared" si="10"/>
        <v>36</v>
      </c>
      <c r="I177" s="1293" t="str">
        <f>'I. Stream &amp; Compound Data'!G297</f>
        <v/>
      </c>
      <c r="J177" s="1294" t="str">
        <f>'I. Stream &amp; Compound Data'!H297</f>
        <v/>
      </c>
      <c r="K177" s="1294" t="str">
        <f>'I. Stream &amp; Compound Data'!L297</f>
        <v/>
      </c>
      <c r="L177" s="1294" t="str">
        <f>'I. Stream &amp; Compound Data'!M297</f>
        <v/>
      </c>
      <c r="M177" s="1295" t="str">
        <f>IF('I. Stream &amp; Compound Data'!AP297&lt;&gt;"",'I. Stream &amp; Compound Data'!AP297,IF('I. Stream &amp; Compound Data'!AQ297&lt;&gt;"",'I. Stream &amp; Compound Data'!AQ297,""))</f>
        <v/>
      </c>
      <c r="N177" s="1295" t="str">
        <f>IF('I. Stream &amp; Compound Data'!AR297&lt;&gt;"",'I. Stream &amp; Compound Data'!AR297,IF('I. Stream &amp; Compound Data'!AS297&lt;&gt;"",'I. Stream &amp; Compound Data'!AS297,""))</f>
        <v/>
      </c>
      <c r="O177" s="1295" t="str">
        <f>IF('I. Stream &amp; Compound Data'!BJ297&lt;&gt;"",'I. Stream &amp; Compound Data'!BJ297,"")</f>
        <v/>
      </c>
      <c r="P177" s="1295" t="str">
        <f>IF('I. Stream &amp; Compound Data'!AK297&lt;&gt;"",'I. Stream &amp; Compound Data'!AK297,"")</f>
        <v/>
      </c>
      <c r="Q177" s="290" t="str">
        <f>IF(H177&gt;'I. Stream &amp; Compound Data'!$F$18,"",IF(M177="C",0.875,IF(M177="Xi",0.625,"N/A")))</f>
        <v/>
      </c>
      <c r="R177" s="1168" t="str">
        <f>IF(H177&gt;'I. Stream &amp; Compound Data'!$F$18,"",IF(Q177="N/A",IF(N177="","N/A",IF(N177=35,1,IF(N177=34,0.875,IF(AND(N177&gt;=36,N177&lt;=38),0.625,0)))),"N/A"))</f>
        <v/>
      </c>
      <c r="S177" s="1287" t="str">
        <f>IF(H177&gt;'I. Stream &amp; Compound Data'!$F$18,"",IF(AND(Q177="N/A",R177="N/A"),IF(O177="","N/A",IF(AND(O177&gt;=1,O177&lt;=5),-0.25*O177+1.25,IF(AND(O177&gt;5,O177&lt;8.5),0,IF(AND(O177&gt;=8.5,O177&lt;=12.5),0.25*O177-2.125,1)))),"N/A"))</f>
        <v/>
      </c>
      <c r="T177" s="1296" t="str">
        <f>IF(H177&gt;'I. Stream &amp; Compound Data'!$F$18,"",IF(AND(Q177="N/A",R177="N/A",S177="N/A"),IF(P177="","N/A",ROUND(IF(P177&lt;=5,1,IF(AND(P177&gt;5,P177&lt;50000),-0.109*LN(P177)+1.1747,0)),3)),"N/A"))</f>
        <v/>
      </c>
      <c r="U177" s="1294" t="str">
        <f>IF(H177&gt;'I. Stream &amp; Compound Data'!$F$18,"",IF(Q177&lt;&gt;"N/A",Q177,IF(R177&lt;&gt;"N/A",R177,IF(S177&lt;&gt;"N/A",S177,T177))))</f>
        <v/>
      </c>
      <c r="V177" s="1294" t="str">
        <f>IF(H177&gt;'I. Stream &amp; Compound Data'!$F$18,"",IF(U177&lt;&gt;0,ROUND(10^(4*U177+2),3),0))</f>
        <v/>
      </c>
      <c r="W177" s="1294" t="str">
        <f>IF(H177&gt;'I. Stream &amp; Compound Data'!$F$18,"",MAX(K177:L177))</f>
        <v/>
      </c>
      <c r="X177" s="1297" t="str">
        <f>IF(H177&gt;'I. Stream &amp; Compound Data'!$F$18,"",ROUND(V177*W177,3))</f>
        <v/>
      </c>
      <c r="Y177" s="279"/>
      <c r="Z177" s="279"/>
      <c r="AA177" s="279"/>
      <c r="AB177" s="279"/>
      <c r="AC177" s="279"/>
      <c r="AD177" s="279"/>
      <c r="AE177" s="279"/>
      <c r="AF177" s="279"/>
      <c r="AG177" s="279"/>
      <c r="AH177" s="279"/>
      <c r="AI177" s="279"/>
      <c r="AJ177" s="279"/>
      <c r="AK177" s="279"/>
      <c r="AL177" s="279"/>
      <c r="AM177" s="279"/>
      <c r="AN177" s="279"/>
      <c r="AO177" s="279"/>
      <c r="AP177" s="279"/>
      <c r="AQ177" s="279"/>
      <c r="AR177" s="279"/>
      <c r="AS177" s="279"/>
      <c r="AT177" s="279"/>
      <c r="AU177" s="279"/>
      <c r="AV177" s="279"/>
      <c r="AW177" s="279"/>
      <c r="AX177" s="279"/>
      <c r="AY177" s="279"/>
      <c r="AZ177" s="279"/>
      <c r="BA177" s="279"/>
      <c r="BB177" s="279"/>
      <c r="BC177" s="279"/>
      <c r="BD177" s="279"/>
      <c r="BE177" s="279"/>
      <c r="BF177" s="279"/>
      <c r="BG177" s="279"/>
      <c r="BH177" s="279"/>
      <c r="BI177" s="279"/>
      <c r="BJ177" s="279"/>
      <c r="BK177" s="279"/>
      <c r="BL177" s="279"/>
      <c r="BM177" s="279"/>
      <c r="BN177" s="279"/>
      <c r="BO177" s="279"/>
      <c r="BP177" s="279"/>
      <c r="BQ177" s="279"/>
      <c r="BR177" s="279"/>
      <c r="BS177" s="279"/>
      <c r="BT177" s="279"/>
      <c r="BU177" s="279"/>
      <c r="BV177" s="279"/>
      <c r="BW177" s="279"/>
      <c r="BX177" s="279"/>
      <c r="BY177" s="279"/>
      <c r="BZ177" s="279"/>
      <c r="CA177" s="279"/>
      <c r="CB177" s="279"/>
      <c r="CC177" s="279"/>
      <c r="CD177" s="279"/>
      <c r="CE177" s="279"/>
      <c r="CF177" s="279"/>
      <c r="CG177" s="279"/>
      <c r="CH177" s="279"/>
      <c r="CI177" s="279"/>
      <c r="CJ177" s="279"/>
      <c r="CK177" s="279"/>
      <c r="CL177" s="279"/>
      <c r="CM177" s="279"/>
      <c r="CN177" s="382"/>
    </row>
    <row r="178" ht="24" customHeight="true" x14ac:dyDescent="0.3">
      <c r="B178" s="361"/>
      <c r="C178" s="279"/>
      <c r="D178" s="280"/>
      <c r="E178" s="287"/>
      <c r="F178" s="287"/>
      <c r="G178" s="287"/>
      <c r="H178" s="1292">
        <f t="shared" si="10"/>
        <v>37</v>
      </c>
      <c r="I178" s="1293" t="str">
        <f>'I. Stream &amp; Compound Data'!G298</f>
        <v/>
      </c>
      <c r="J178" s="1294" t="str">
        <f>'I. Stream &amp; Compound Data'!H298</f>
        <v/>
      </c>
      <c r="K178" s="1294" t="str">
        <f>'I. Stream &amp; Compound Data'!L298</f>
        <v/>
      </c>
      <c r="L178" s="1294" t="str">
        <f>'I. Stream &amp; Compound Data'!M298</f>
        <v/>
      </c>
      <c r="M178" s="1295" t="str">
        <f>IF('I. Stream &amp; Compound Data'!AP298&lt;&gt;"",'I. Stream &amp; Compound Data'!AP298,IF('I. Stream &amp; Compound Data'!AQ298&lt;&gt;"",'I. Stream &amp; Compound Data'!AQ298,""))</f>
        <v/>
      </c>
      <c r="N178" s="1295" t="str">
        <f>IF('I. Stream &amp; Compound Data'!AR298&lt;&gt;"",'I. Stream &amp; Compound Data'!AR298,IF('I. Stream &amp; Compound Data'!AS298&lt;&gt;"",'I. Stream &amp; Compound Data'!AS298,""))</f>
        <v/>
      </c>
      <c r="O178" s="1295" t="str">
        <f>IF('I. Stream &amp; Compound Data'!BJ298&lt;&gt;"",'I. Stream &amp; Compound Data'!BJ298,"")</f>
        <v/>
      </c>
      <c r="P178" s="1295" t="str">
        <f>IF('I. Stream &amp; Compound Data'!AK298&lt;&gt;"",'I. Stream &amp; Compound Data'!AK298,"")</f>
        <v/>
      </c>
      <c r="Q178" s="290" t="str">
        <f>IF(H178&gt;'I. Stream &amp; Compound Data'!$F$18,"",IF(M178="C",0.875,IF(M178="Xi",0.625,"N/A")))</f>
        <v/>
      </c>
      <c r="R178" s="1168" t="str">
        <f>IF(H178&gt;'I. Stream &amp; Compound Data'!$F$18,"",IF(Q178="N/A",IF(N178="","N/A",IF(N178=35,1,IF(N178=34,0.875,IF(AND(N178&gt;=36,N178&lt;=38),0.625,0)))),"N/A"))</f>
        <v/>
      </c>
      <c r="S178" s="1287" t="str">
        <f>IF(H178&gt;'I. Stream &amp; Compound Data'!$F$18,"",IF(AND(Q178="N/A",R178="N/A"),IF(O178="","N/A",IF(AND(O178&gt;=1,O178&lt;=5),-0.25*O178+1.25,IF(AND(O178&gt;5,O178&lt;8.5),0,IF(AND(O178&gt;=8.5,O178&lt;=12.5),0.25*O178-2.125,1)))),"N/A"))</f>
        <v/>
      </c>
      <c r="T178" s="1296" t="str">
        <f>IF(H178&gt;'I. Stream &amp; Compound Data'!$F$18,"",IF(AND(Q178="N/A",R178="N/A",S178="N/A"),IF(P178="","N/A",ROUND(IF(P178&lt;=5,1,IF(AND(P178&gt;5,P178&lt;50000),-0.109*LN(P178)+1.1747,0)),3)),"N/A"))</f>
        <v/>
      </c>
      <c r="U178" s="1294" t="str">
        <f>IF(H178&gt;'I. Stream &amp; Compound Data'!$F$18,"",IF(Q178&lt;&gt;"N/A",Q178,IF(R178&lt;&gt;"N/A",R178,IF(S178&lt;&gt;"N/A",S178,T178))))</f>
        <v/>
      </c>
      <c r="V178" s="1294" t="str">
        <f>IF(H178&gt;'I. Stream &amp; Compound Data'!$F$18,"",IF(U178&lt;&gt;0,ROUND(10^(4*U178+2),3),0))</f>
        <v/>
      </c>
      <c r="W178" s="1294" t="str">
        <f>IF(H178&gt;'I. Stream &amp; Compound Data'!$F$18,"",MAX(K178:L178))</f>
        <v/>
      </c>
      <c r="X178" s="1297" t="str">
        <f>IF(H178&gt;'I. Stream &amp; Compound Data'!$F$18,"",ROUND(V178*W178,3))</f>
        <v/>
      </c>
      <c r="Y178" s="279"/>
      <c r="Z178" s="279"/>
      <c r="AA178" s="279"/>
      <c r="AB178" s="279"/>
      <c r="AC178" s="279"/>
      <c r="AD178" s="279"/>
      <c r="AE178" s="279"/>
      <c r="AF178" s="279"/>
      <c r="AG178" s="279"/>
      <c r="AH178" s="279"/>
      <c r="AI178" s="279"/>
      <c r="AJ178" s="279"/>
      <c r="AK178" s="279"/>
      <c r="AL178" s="279"/>
      <c r="AM178" s="279"/>
      <c r="AN178" s="279"/>
      <c r="AO178" s="279"/>
      <c r="AP178" s="279"/>
      <c r="AQ178" s="279"/>
      <c r="AR178" s="279"/>
      <c r="AS178" s="279"/>
      <c r="AT178" s="279"/>
      <c r="AU178" s="279"/>
      <c r="AV178" s="279"/>
      <c r="AW178" s="279"/>
      <c r="AX178" s="279"/>
      <c r="AY178" s="279"/>
      <c r="AZ178" s="279"/>
      <c r="BA178" s="279"/>
      <c r="BB178" s="279"/>
      <c r="BC178" s="279"/>
      <c r="BD178" s="279"/>
      <c r="BE178" s="279"/>
      <c r="BF178" s="279"/>
      <c r="BG178" s="279"/>
      <c r="BH178" s="279"/>
      <c r="BI178" s="279"/>
      <c r="BJ178" s="279"/>
      <c r="BK178" s="279"/>
      <c r="BL178" s="279"/>
      <c r="BM178" s="279"/>
      <c r="BN178" s="279"/>
      <c r="BO178" s="279"/>
      <c r="BP178" s="279"/>
      <c r="BQ178" s="279"/>
      <c r="BR178" s="279"/>
      <c r="BS178" s="279"/>
      <c r="BT178" s="279"/>
      <c r="BU178" s="279"/>
      <c r="BV178" s="279"/>
      <c r="BW178" s="279"/>
      <c r="BX178" s="279"/>
      <c r="BY178" s="279"/>
      <c r="BZ178" s="279"/>
      <c r="CA178" s="279"/>
      <c r="CB178" s="279"/>
      <c r="CC178" s="279"/>
      <c r="CD178" s="279"/>
      <c r="CE178" s="279"/>
      <c r="CF178" s="279"/>
      <c r="CG178" s="279"/>
      <c r="CH178" s="279"/>
      <c r="CI178" s="279"/>
      <c r="CJ178" s="279"/>
      <c r="CK178" s="279"/>
      <c r="CL178" s="279"/>
      <c r="CM178" s="279"/>
      <c r="CN178" s="382"/>
    </row>
    <row r="179" ht="24" customHeight="true" x14ac:dyDescent="0.3">
      <c r="B179" s="361"/>
      <c r="C179" s="279"/>
      <c r="D179" s="280"/>
      <c r="E179" s="287"/>
      <c r="F179" s="287"/>
      <c r="G179" s="287"/>
      <c r="H179" s="1292">
        <f t="shared" si="10"/>
        <v>38</v>
      </c>
      <c r="I179" s="1293" t="str">
        <f>'I. Stream &amp; Compound Data'!G299</f>
        <v/>
      </c>
      <c r="J179" s="1294" t="str">
        <f>'I. Stream &amp; Compound Data'!H299</f>
        <v/>
      </c>
      <c r="K179" s="1294" t="str">
        <f>'I. Stream &amp; Compound Data'!L299</f>
        <v/>
      </c>
      <c r="L179" s="1294" t="str">
        <f>'I. Stream &amp; Compound Data'!M299</f>
        <v/>
      </c>
      <c r="M179" s="1295" t="str">
        <f>IF('I. Stream &amp; Compound Data'!AP299&lt;&gt;"",'I. Stream &amp; Compound Data'!AP299,IF('I. Stream &amp; Compound Data'!AQ299&lt;&gt;"",'I. Stream &amp; Compound Data'!AQ299,""))</f>
        <v/>
      </c>
      <c r="N179" s="1295" t="str">
        <f>IF('I. Stream &amp; Compound Data'!AR299&lt;&gt;"",'I. Stream &amp; Compound Data'!AR299,IF('I. Stream &amp; Compound Data'!AS299&lt;&gt;"",'I. Stream &amp; Compound Data'!AS299,""))</f>
        <v/>
      </c>
      <c r="O179" s="1295" t="str">
        <f>IF('I. Stream &amp; Compound Data'!BJ299&lt;&gt;"",'I. Stream &amp; Compound Data'!BJ299,"")</f>
        <v/>
      </c>
      <c r="P179" s="1295" t="str">
        <f>IF('I. Stream &amp; Compound Data'!AK299&lt;&gt;"",'I. Stream &amp; Compound Data'!AK299,"")</f>
        <v/>
      </c>
      <c r="Q179" s="290" t="str">
        <f>IF(H179&gt;'I. Stream &amp; Compound Data'!$F$18,"",IF(M179="C",0.875,IF(M179="Xi",0.625,"N/A")))</f>
        <v/>
      </c>
      <c r="R179" s="1168" t="str">
        <f>IF(H179&gt;'I. Stream &amp; Compound Data'!$F$18,"",IF(Q179="N/A",IF(N179="","N/A",IF(N179=35,1,IF(N179=34,0.875,IF(AND(N179&gt;=36,N179&lt;=38),0.625,0)))),"N/A"))</f>
        <v/>
      </c>
      <c r="S179" s="1287" t="str">
        <f>IF(H179&gt;'I. Stream &amp; Compound Data'!$F$18,"",IF(AND(Q179="N/A",R179="N/A"),IF(O179="","N/A",IF(AND(O179&gt;=1,O179&lt;=5),-0.25*O179+1.25,IF(AND(O179&gt;5,O179&lt;8.5),0,IF(AND(O179&gt;=8.5,O179&lt;=12.5),0.25*O179-2.125,1)))),"N/A"))</f>
        <v/>
      </c>
      <c r="T179" s="1296" t="str">
        <f>IF(H179&gt;'I. Stream &amp; Compound Data'!$F$18,"",IF(AND(Q179="N/A",R179="N/A",S179="N/A"),IF(P179="","N/A",ROUND(IF(P179&lt;=5,1,IF(AND(P179&gt;5,P179&lt;50000),-0.109*LN(P179)+1.1747,0)),3)),"N/A"))</f>
        <v/>
      </c>
      <c r="U179" s="1294" t="str">
        <f>IF(H179&gt;'I. Stream &amp; Compound Data'!$F$18,"",IF(Q179&lt;&gt;"N/A",Q179,IF(R179&lt;&gt;"N/A",R179,IF(S179&lt;&gt;"N/A",S179,T179))))</f>
        <v/>
      </c>
      <c r="V179" s="1294" t="str">
        <f>IF(H179&gt;'I. Stream &amp; Compound Data'!$F$18,"",IF(U179&lt;&gt;0,ROUND(10^(4*U179+2),3),0))</f>
        <v/>
      </c>
      <c r="W179" s="1294" t="str">
        <f>IF(H179&gt;'I. Stream &amp; Compound Data'!$F$18,"",MAX(K179:L179))</f>
        <v/>
      </c>
      <c r="X179" s="1297" t="str">
        <f>IF(H179&gt;'I. Stream &amp; Compound Data'!$F$18,"",ROUND(V179*W179,3))</f>
        <v/>
      </c>
      <c r="Y179" s="279"/>
      <c r="Z179" s="279"/>
      <c r="AA179" s="279"/>
      <c r="AB179" s="279"/>
      <c r="AC179" s="279"/>
      <c r="AD179" s="279"/>
      <c r="AE179" s="279"/>
      <c r="AF179" s="279"/>
      <c r="AG179" s="279"/>
      <c r="AH179" s="279"/>
      <c r="AI179" s="279"/>
      <c r="AJ179" s="279"/>
      <c r="AK179" s="279"/>
      <c r="AL179" s="279"/>
      <c r="AM179" s="279"/>
      <c r="AN179" s="279"/>
      <c r="AO179" s="279"/>
      <c r="AP179" s="279"/>
      <c r="AQ179" s="279"/>
      <c r="AR179" s="279"/>
      <c r="AS179" s="279"/>
      <c r="AT179" s="279"/>
      <c r="AU179" s="279"/>
      <c r="AV179" s="279"/>
      <c r="AW179" s="279"/>
      <c r="AX179" s="279"/>
      <c r="AY179" s="279"/>
      <c r="AZ179" s="279"/>
      <c r="BA179" s="279"/>
      <c r="BB179" s="279"/>
      <c r="BC179" s="279"/>
      <c r="BD179" s="279"/>
      <c r="BE179" s="279"/>
      <c r="BF179" s="279"/>
      <c r="BG179" s="279"/>
      <c r="BH179" s="279"/>
      <c r="BI179" s="279"/>
      <c r="BJ179" s="279"/>
      <c r="BK179" s="279"/>
      <c r="BL179" s="279"/>
      <c r="BM179" s="279"/>
      <c r="BN179" s="279"/>
      <c r="BO179" s="279"/>
      <c r="BP179" s="279"/>
      <c r="BQ179" s="279"/>
      <c r="BR179" s="279"/>
      <c r="BS179" s="279"/>
      <c r="BT179" s="279"/>
      <c r="BU179" s="279"/>
      <c r="BV179" s="279"/>
      <c r="BW179" s="279"/>
      <c r="BX179" s="279"/>
      <c r="BY179" s="279"/>
      <c r="BZ179" s="279"/>
      <c r="CA179" s="279"/>
      <c r="CB179" s="279"/>
      <c r="CC179" s="279"/>
      <c r="CD179" s="279"/>
      <c r="CE179" s="279"/>
      <c r="CF179" s="279"/>
      <c r="CG179" s="279"/>
      <c r="CH179" s="279"/>
      <c r="CI179" s="279"/>
      <c r="CJ179" s="279"/>
      <c r="CK179" s="279"/>
      <c r="CL179" s="279"/>
      <c r="CM179" s="279"/>
      <c r="CN179" s="382"/>
    </row>
    <row r="180" ht="24" customHeight="true" x14ac:dyDescent="0.3">
      <c r="B180" s="361"/>
      <c r="C180" s="279"/>
      <c r="D180" s="280"/>
      <c r="E180" s="287"/>
      <c r="F180" s="287"/>
      <c r="G180" s="287"/>
      <c r="H180" s="1292">
        <f t="shared" si="10"/>
        <v>39</v>
      </c>
      <c r="I180" s="1293" t="str">
        <f>'I. Stream &amp; Compound Data'!G300</f>
        <v/>
      </c>
      <c r="J180" s="1294" t="str">
        <f>'I. Stream &amp; Compound Data'!H300</f>
        <v/>
      </c>
      <c r="K180" s="1294" t="str">
        <f>'I. Stream &amp; Compound Data'!L300</f>
        <v/>
      </c>
      <c r="L180" s="1294" t="str">
        <f>'I. Stream &amp; Compound Data'!M300</f>
        <v/>
      </c>
      <c r="M180" s="1295" t="str">
        <f>IF('I. Stream &amp; Compound Data'!AP300&lt;&gt;"",'I. Stream &amp; Compound Data'!AP300,IF('I. Stream &amp; Compound Data'!AQ300&lt;&gt;"",'I. Stream &amp; Compound Data'!AQ300,""))</f>
        <v/>
      </c>
      <c r="N180" s="1295" t="str">
        <f>IF('I. Stream &amp; Compound Data'!AR300&lt;&gt;"",'I. Stream &amp; Compound Data'!AR300,IF('I. Stream &amp; Compound Data'!AS300&lt;&gt;"",'I. Stream &amp; Compound Data'!AS300,""))</f>
        <v/>
      </c>
      <c r="O180" s="1295" t="str">
        <f>IF('I. Stream &amp; Compound Data'!BJ300&lt;&gt;"",'I. Stream &amp; Compound Data'!BJ300,"")</f>
        <v/>
      </c>
      <c r="P180" s="1295" t="str">
        <f>IF('I. Stream &amp; Compound Data'!AK300&lt;&gt;"",'I. Stream &amp; Compound Data'!AK300,"")</f>
        <v/>
      </c>
      <c r="Q180" s="290" t="str">
        <f>IF(H180&gt;'I. Stream &amp; Compound Data'!$F$18,"",IF(M180="C",0.875,IF(M180="Xi",0.625,"N/A")))</f>
        <v/>
      </c>
      <c r="R180" s="1168" t="str">
        <f>IF(H180&gt;'I. Stream &amp; Compound Data'!$F$18,"",IF(Q180="N/A",IF(N180="","N/A",IF(N180=35,1,IF(N180=34,0.875,IF(AND(N180&gt;=36,N180&lt;=38),0.625,0)))),"N/A"))</f>
        <v/>
      </c>
      <c r="S180" s="1287" t="str">
        <f>IF(H180&gt;'I. Stream &amp; Compound Data'!$F$18,"",IF(AND(Q180="N/A",R180="N/A"),IF(O180="","N/A",IF(AND(O180&gt;=1,O180&lt;=5),-0.25*O180+1.25,IF(AND(O180&gt;5,O180&lt;8.5),0,IF(AND(O180&gt;=8.5,O180&lt;=12.5),0.25*O180-2.125,1)))),"N/A"))</f>
        <v/>
      </c>
      <c r="T180" s="1296" t="str">
        <f>IF(H180&gt;'I. Stream &amp; Compound Data'!$F$18,"",IF(AND(Q180="N/A",R180="N/A",S180="N/A"),IF(P180="","N/A",ROUND(IF(P180&lt;=5,1,IF(AND(P180&gt;5,P180&lt;50000),-0.109*LN(P180)+1.1747,0)),3)),"N/A"))</f>
        <v/>
      </c>
      <c r="U180" s="1294" t="str">
        <f>IF(H180&gt;'I. Stream &amp; Compound Data'!$F$18,"",IF(Q180&lt;&gt;"N/A",Q180,IF(R180&lt;&gt;"N/A",R180,IF(S180&lt;&gt;"N/A",S180,T180))))</f>
        <v/>
      </c>
      <c r="V180" s="1294" t="str">
        <f>IF(H180&gt;'I. Stream &amp; Compound Data'!$F$18,"",IF(U180&lt;&gt;0,ROUND(10^(4*U180+2),3),0))</f>
        <v/>
      </c>
      <c r="W180" s="1294" t="str">
        <f>IF(H180&gt;'I. Stream &amp; Compound Data'!$F$18,"",MAX(K180:L180))</f>
        <v/>
      </c>
      <c r="X180" s="1297" t="str">
        <f>IF(H180&gt;'I. Stream &amp; Compound Data'!$F$18,"",ROUND(V180*W180,3))</f>
        <v/>
      </c>
      <c r="Y180" s="279"/>
      <c r="Z180" s="279"/>
      <c r="AA180" s="279"/>
      <c r="AB180" s="279"/>
      <c r="AC180" s="279"/>
      <c r="AD180" s="279"/>
      <c r="AE180" s="279"/>
      <c r="AF180" s="279"/>
      <c r="AG180" s="279"/>
      <c r="AH180" s="279"/>
      <c r="AI180" s="279"/>
      <c r="AJ180" s="279"/>
      <c r="AK180" s="279"/>
      <c r="AL180" s="279"/>
      <c r="AM180" s="279"/>
      <c r="AN180" s="279"/>
      <c r="AO180" s="279"/>
      <c r="AP180" s="279"/>
      <c r="AQ180" s="279"/>
      <c r="AR180" s="279"/>
      <c r="AS180" s="279"/>
      <c r="AT180" s="279"/>
      <c r="AU180" s="279"/>
      <c r="AV180" s="279"/>
      <c r="AW180" s="279"/>
      <c r="AX180" s="279"/>
      <c r="AY180" s="279"/>
      <c r="AZ180" s="279"/>
      <c r="BA180" s="279"/>
      <c r="BB180" s="279"/>
      <c r="BC180" s="279"/>
      <c r="BD180" s="279"/>
      <c r="BE180" s="279"/>
      <c r="BF180" s="279"/>
      <c r="BG180" s="279"/>
      <c r="BH180" s="279"/>
      <c r="BI180" s="279"/>
      <c r="BJ180" s="279"/>
      <c r="BK180" s="279"/>
      <c r="BL180" s="279"/>
      <c r="BM180" s="279"/>
      <c r="BN180" s="279"/>
      <c r="BO180" s="279"/>
      <c r="BP180" s="279"/>
      <c r="BQ180" s="279"/>
      <c r="BR180" s="279"/>
      <c r="BS180" s="279"/>
      <c r="BT180" s="279"/>
      <c r="BU180" s="279"/>
      <c r="BV180" s="279"/>
      <c r="BW180" s="279"/>
      <c r="BX180" s="279"/>
      <c r="BY180" s="279"/>
      <c r="BZ180" s="279"/>
      <c r="CA180" s="279"/>
      <c r="CB180" s="279"/>
      <c r="CC180" s="279"/>
      <c r="CD180" s="279"/>
      <c r="CE180" s="279"/>
      <c r="CF180" s="279"/>
      <c r="CG180" s="279"/>
      <c r="CH180" s="279"/>
      <c r="CI180" s="279"/>
      <c r="CJ180" s="279"/>
      <c r="CK180" s="279"/>
      <c r="CL180" s="279"/>
      <c r="CM180" s="279"/>
      <c r="CN180" s="382"/>
    </row>
    <row r="181" ht="24" customHeight="true" x14ac:dyDescent="0.3">
      <c r="B181" s="361"/>
      <c r="C181" s="279"/>
      <c r="D181" s="280"/>
      <c r="E181" s="287"/>
      <c r="F181" s="287"/>
      <c r="G181" s="287"/>
      <c r="H181" s="1292">
        <f t="shared" si="10"/>
        <v>40</v>
      </c>
      <c r="I181" s="1293" t="str">
        <f>'I. Stream &amp; Compound Data'!G301</f>
        <v/>
      </c>
      <c r="J181" s="1294" t="str">
        <f>'I. Stream &amp; Compound Data'!H301</f>
        <v/>
      </c>
      <c r="K181" s="1294" t="str">
        <f>'I. Stream &amp; Compound Data'!L301</f>
        <v/>
      </c>
      <c r="L181" s="1294" t="str">
        <f>'I. Stream &amp; Compound Data'!M301</f>
        <v/>
      </c>
      <c r="M181" s="1295" t="str">
        <f>IF('I. Stream &amp; Compound Data'!AP301&lt;&gt;"",'I. Stream &amp; Compound Data'!AP301,IF('I. Stream &amp; Compound Data'!AQ301&lt;&gt;"",'I. Stream &amp; Compound Data'!AQ301,""))</f>
        <v/>
      </c>
      <c r="N181" s="1295" t="str">
        <f>IF('I. Stream &amp; Compound Data'!AR301&lt;&gt;"",'I. Stream &amp; Compound Data'!AR301,IF('I. Stream &amp; Compound Data'!AS301&lt;&gt;"",'I. Stream &amp; Compound Data'!AS301,""))</f>
        <v/>
      </c>
      <c r="O181" s="1295" t="str">
        <f>IF('I. Stream &amp; Compound Data'!BJ301&lt;&gt;"",'I. Stream &amp; Compound Data'!BJ301,"")</f>
        <v/>
      </c>
      <c r="P181" s="1295" t="str">
        <f>IF('I. Stream &amp; Compound Data'!AK301&lt;&gt;"",'I. Stream &amp; Compound Data'!AK301,"")</f>
        <v/>
      </c>
      <c r="Q181" s="290" t="str">
        <f>IF(H181&gt;'I. Stream &amp; Compound Data'!$F$18,"",IF(M181="C",0.875,IF(M181="Xi",0.625,"N/A")))</f>
        <v/>
      </c>
      <c r="R181" s="1168" t="str">
        <f>IF(H181&gt;'I. Stream &amp; Compound Data'!$F$18,"",IF(Q181="N/A",IF(N181="","N/A",IF(N181=35,1,IF(N181=34,0.875,IF(AND(N181&gt;=36,N181&lt;=38),0.625,0)))),"N/A"))</f>
        <v/>
      </c>
      <c r="S181" s="1287" t="str">
        <f>IF(H181&gt;'I. Stream &amp; Compound Data'!$F$18,"",IF(AND(Q181="N/A",R181="N/A"),IF(O181="","N/A",IF(AND(O181&gt;=1,O181&lt;=5),-0.25*O181+1.25,IF(AND(O181&gt;5,O181&lt;8.5),0,IF(AND(O181&gt;=8.5,O181&lt;=12.5),0.25*O181-2.125,1)))),"N/A"))</f>
        <v/>
      </c>
      <c r="T181" s="1296" t="str">
        <f>IF(H181&gt;'I. Stream &amp; Compound Data'!$F$18,"",IF(AND(Q181="N/A",R181="N/A",S181="N/A"),IF(P181="","N/A",ROUND(IF(P181&lt;=5,1,IF(AND(P181&gt;5,P181&lt;50000),-0.109*LN(P181)+1.1747,0)),3)),"N/A"))</f>
        <v/>
      </c>
      <c r="U181" s="1294" t="str">
        <f>IF(H181&gt;'I. Stream &amp; Compound Data'!$F$18,"",IF(Q181&lt;&gt;"N/A",Q181,IF(R181&lt;&gt;"N/A",R181,IF(S181&lt;&gt;"N/A",S181,T181))))</f>
        <v/>
      </c>
      <c r="V181" s="1294" t="str">
        <f>IF(H181&gt;'I. Stream &amp; Compound Data'!$F$18,"",IF(U181&lt;&gt;0,ROUND(10^(4*U181+2),3),0))</f>
        <v/>
      </c>
      <c r="W181" s="1294" t="str">
        <f>IF(H181&gt;'I. Stream &amp; Compound Data'!$F$18,"",MAX(K181:L181))</f>
        <v/>
      </c>
      <c r="X181" s="1297" t="str">
        <f>IF(H181&gt;'I. Stream &amp; Compound Data'!$F$18,"",ROUND(V181*W181,3))</f>
        <v/>
      </c>
      <c r="Y181" s="279"/>
      <c r="Z181" s="279"/>
      <c r="AA181" s="279"/>
      <c r="AB181" s="279"/>
      <c r="AC181" s="279"/>
      <c r="AD181" s="279"/>
      <c r="AE181" s="279"/>
      <c r="AF181" s="279"/>
      <c r="AG181" s="279"/>
      <c r="AH181" s="279"/>
      <c r="AI181" s="279"/>
      <c r="AJ181" s="279"/>
      <c r="AK181" s="279"/>
      <c r="AL181" s="279"/>
      <c r="AM181" s="279"/>
      <c r="AN181" s="279"/>
      <c r="AO181" s="279"/>
      <c r="AP181" s="279"/>
      <c r="AQ181" s="279"/>
      <c r="AR181" s="279"/>
      <c r="AS181" s="279"/>
      <c r="AT181" s="279"/>
      <c r="AU181" s="279"/>
      <c r="AV181" s="279"/>
      <c r="AW181" s="279"/>
      <c r="AX181" s="279"/>
      <c r="AY181" s="279"/>
      <c r="AZ181" s="279"/>
      <c r="BA181" s="279"/>
      <c r="BB181" s="279"/>
      <c r="BC181" s="279"/>
      <c r="BD181" s="279"/>
      <c r="BE181" s="279"/>
      <c r="BF181" s="279"/>
      <c r="BG181" s="279"/>
      <c r="BH181" s="279"/>
      <c r="BI181" s="279"/>
      <c r="BJ181" s="279"/>
      <c r="BK181" s="279"/>
      <c r="BL181" s="279"/>
      <c r="BM181" s="279"/>
      <c r="BN181" s="279"/>
      <c r="BO181" s="279"/>
      <c r="BP181" s="279"/>
      <c r="BQ181" s="279"/>
      <c r="BR181" s="279"/>
      <c r="BS181" s="279"/>
      <c r="BT181" s="279"/>
      <c r="BU181" s="279"/>
      <c r="BV181" s="279"/>
      <c r="BW181" s="279"/>
      <c r="BX181" s="279"/>
      <c r="BY181" s="279"/>
      <c r="BZ181" s="279"/>
      <c r="CA181" s="279"/>
      <c r="CB181" s="279"/>
      <c r="CC181" s="279"/>
      <c r="CD181" s="279"/>
      <c r="CE181" s="279"/>
      <c r="CF181" s="279"/>
      <c r="CG181" s="279"/>
      <c r="CH181" s="279"/>
      <c r="CI181" s="279"/>
      <c r="CJ181" s="279"/>
      <c r="CK181" s="279"/>
      <c r="CL181" s="279"/>
      <c r="CM181" s="279"/>
      <c r="CN181" s="382"/>
    </row>
    <row r="182" ht="24" customHeight="true" x14ac:dyDescent="0.3">
      <c r="B182" s="361"/>
      <c r="C182" s="279"/>
      <c r="D182" s="280"/>
      <c r="E182" s="287"/>
      <c r="F182" s="287"/>
      <c r="G182" s="287"/>
      <c r="H182" s="1292">
        <f t="shared" si="10"/>
        <v>41</v>
      </c>
      <c r="I182" s="1293" t="str">
        <f>'I. Stream &amp; Compound Data'!G302</f>
        <v/>
      </c>
      <c r="J182" s="1294" t="str">
        <f>'I. Stream &amp; Compound Data'!H302</f>
        <v/>
      </c>
      <c r="K182" s="1294" t="str">
        <f>'I. Stream &amp; Compound Data'!L302</f>
        <v/>
      </c>
      <c r="L182" s="1294" t="str">
        <f>'I. Stream &amp; Compound Data'!M302</f>
        <v/>
      </c>
      <c r="M182" s="1295" t="str">
        <f>IF('I. Stream &amp; Compound Data'!AP302&lt;&gt;"",'I. Stream &amp; Compound Data'!AP302,IF('I. Stream &amp; Compound Data'!AQ302&lt;&gt;"",'I. Stream &amp; Compound Data'!AQ302,""))</f>
        <v/>
      </c>
      <c r="N182" s="1295" t="str">
        <f>IF('I. Stream &amp; Compound Data'!AR302&lt;&gt;"",'I. Stream &amp; Compound Data'!AR302,IF('I. Stream &amp; Compound Data'!AS302&lt;&gt;"",'I. Stream &amp; Compound Data'!AS302,""))</f>
        <v/>
      </c>
      <c r="O182" s="1295" t="str">
        <f>IF('I. Stream &amp; Compound Data'!BJ302&lt;&gt;"",'I. Stream &amp; Compound Data'!BJ302,"")</f>
        <v/>
      </c>
      <c r="P182" s="1295" t="str">
        <f>IF('I. Stream &amp; Compound Data'!AK302&lt;&gt;"",'I. Stream &amp; Compound Data'!AK302,"")</f>
        <v/>
      </c>
      <c r="Q182" s="290" t="str">
        <f>IF(H182&gt;'I. Stream &amp; Compound Data'!$F$18,"",IF(M182="C",0.875,IF(M182="Xi",0.625,"N/A")))</f>
        <v/>
      </c>
      <c r="R182" s="1168" t="str">
        <f>IF(H182&gt;'I. Stream &amp; Compound Data'!$F$18,"",IF(Q182="N/A",IF(N182="","N/A",IF(N182=35,1,IF(N182=34,0.875,IF(AND(N182&gt;=36,N182&lt;=38),0.625,0)))),"N/A"))</f>
        <v/>
      </c>
      <c r="S182" s="1287" t="str">
        <f>IF(H182&gt;'I. Stream &amp; Compound Data'!$F$18,"",IF(AND(Q182="N/A",R182="N/A"),IF(O182="","N/A",IF(AND(O182&gt;=1,O182&lt;=5),-0.25*O182+1.25,IF(AND(O182&gt;5,O182&lt;8.5),0,IF(AND(O182&gt;=8.5,O182&lt;=12.5),0.25*O182-2.125,1)))),"N/A"))</f>
        <v/>
      </c>
      <c r="T182" s="1296" t="str">
        <f>IF(H182&gt;'I. Stream &amp; Compound Data'!$F$18,"",IF(AND(Q182="N/A",R182="N/A",S182="N/A"),IF(P182="","N/A",ROUND(IF(P182&lt;=5,1,IF(AND(P182&gt;5,P182&lt;50000),-0.109*LN(P182)+1.1747,0)),3)),"N/A"))</f>
        <v/>
      </c>
      <c r="U182" s="1294" t="str">
        <f>IF(H182&gt;'I. Stream &amp; Compound Data'!$F$18,"",IF(Q182&lt;&gt;"N/A",Q182,IF(R182&lt;&gt;"N/A",R182,IF(S182&lt;&gt;"N/A",S182,T182))))</f>
        <v/>
      </c>
      <c r="V182" s="1294" t="str">
        <f>IF(H182&gt;'I. Stream &amp; Compound Data'!$F$18,"",IF(U182&lt;&gt;0,ROUND(10^(4*U182+2),3),0))</f>
        <v/>
      </c>
      <c r="W182" s="1294" t="str">
        <f>IF(H182&gt;'I. Stream &amp; Compound Data'!$F$18,"",MAX(K182:L182))</f>
        <v/>
      </c>
      <c r="X182" s="1297" t="str">
        <f>IF(H182&gt;'I. Stream &amp; Compound Data'!$F$18,"",ROUND(V182*W182,3))</f>
        <v/>
      </c>
      <c r="Y182" s="279"/>
      <c r="Z182" s="279"/>
      <c r="AA182" s="279"/>
      <c r="AB182" s="279"/>
      <c r="AC182" s="279"/>
      <c r="AD182" s="279"/>
      <c r="AE182" s="279"/>
      <c r="AF182" s="279"/>
      <c r="AG182" s="279"/>
      <c r="AH182" s="279"/>
      <c r="AI182" s="279"/>
      <c r="AJ182" s="279"/>
      <c r="AK182" s="279"/>
      <c r="AL182" s="279"/>
      <c r="AM182" s="279"/>
      <c r="AN182" s="279"/>
      <c r="AO182" s="279"/>
      <c r="AP182" s="279"/>
      <c r="AQ182" s="279"/>
      <c r="AR182" s="279"/>
      <c r="AS182" s="279"/>
      <c r="AT182" s="279"/>
      <c r="AU182" s="279"/>
      <c r="AV182" s="279"/>
      <c r="AW182" s="279"/>
      <c r="AX182" s="279"/>
      <c r="AY182" s="279"/>
      <c r="AZ182" s="279"/>
      <c r="BA182" s="279"/>
      <c r="BB182" s="279"/>
      <c r="BC182" s="279"/>
      <c r="BD182" s="279"/>
      <c r="BE182" s="279"/>
      <c r="BF182" s="279"/>
      <c r="BG182" s="279"/>
      <c r="BH182" s="279"/>
      <c r="BI182" s="279"/>
      <c r="BJ182" s="279"/>
      <c r="BK182" s="279"/>
      <c r="BL182" s="279"/>
      <c r="BM182" s="279"/>
      <c r="BN182" s="279"/>
      <c r="BO182" s="279"/>
      <c r="BP182" s="279"/>
      <c r="BQ182" s="279"/>
      <c r="BR182" s="279"/>
      <c r="BS182" s="279"/>
      <c r="BT182" s="279"/>
      <c r="BU182" s="279"/>
      <c r="BV182" s="279"/>
      <c r="BW182" s="279"/>
      <c r="BX182" s="279"/>
      <c r="BY182" s="279"/>
      <c r="BZ182" s="279"/>
      <c r="CA182" s="279"/>
      <c r="CB182" s="279"/>
      <c r="CC182" s="279"/>
      <c r="CD182" s="279"/>
      <c r="CE182" s="279"/>
      <c r="CF182" s="279"/>
      <c r="CG182" s="279"/>
      <c r="CH182" s="279"/>
      <c r="CI182" s="279"/>
      <c r="CJ182" s="279"/>
      <c r="CK182" s="279"/>
      <c r="CL182" s="279"/>
      <c r="CM182" s="279"/>
      <c r="CN182" s="382"/>
    </row>
    <row r="183" ht="24" customHeight="true" x14ac:dyDescent="0.3">
      <c r="B183" s="361"/>
      <c r="C183" s="279"/>
      <c r="D183" s="280"/>
      <c r="E183" s="287"/>
      <c r="F183" s="287"/>
      <c r="G183" s="287"/>
      <c r="H183" s="1292">
        <f t="shared" si="10"/>
        <v>42</v>
      </c>
      <c r="I183" s="1293" t="str">
        <f>'I. Stream &amp; Compound Data'!G303</f>
        <v/>
      </c>
      <c r="J183" s="1294" t="str">
        <f>'I. Stream &amp; Compound Data'!H303</f>
        <v/>
      </c>
      <c r="K183" s="1294" t="str">
        <f>'I. Stream &amp; Compound Data'!L303</f>
        <v/>
      </c>
      <c r="L183" s="1294" t="str">
        <f>'I. Stream &amp; Compound Data'!M303</f>
        <v/>
      </c>
      <c r="M183" s="1295" t="str">
        <f>IF('I. Stream &amp; Compound Data'!AP303&lt;&gt;"",'I. Stream &amp; Compound Data'!AP303,IF('I. Stream &amp; Compound Data'!AQ303&lt;&gt;"",'I. Stream &amp; Compound Data'!AQ303,""))</f>
        <v/>
      </c>
      <c r="N183" s="1295" t="str">
        <f>IF('I. Stream &amp; Compound Data'!AR303&lt;&gt;"",'I. Stream &amp; Compound Data'!AR303,IF('I. Stream &amp; Compound Data'!AS303&lt;&gt;"",'I. Stream &amp; Compound Data'!AS303,""))</f>
        <v/>
      </c>
      <c r="O183" s="1295" t="str">
        <f>IF('I. Stream &amp; Compound Data'!BJ303&lt;&gt;"",'I. Stream &amp; Compound Data'!BJ303,"")</f>
        <v/>
      </c>
      <c r="P183" s="1295" t="str">
        <f>IF('I. Stream &amp; Compound Data'!AK303&lt;&gt;"",'I. Stream &amp; Compound Data'!AK303,"")</f>
        <v/>
      </c>
      <c r="Q183" s="290" t="str">
        <f>IF(H183&gt;'I. Stream &amp; Compound Data'!$F$18,"",IF(M183="C",0.875,IF(M183="Xi",0.625,"N/A")))</f>
        <v/>
      </c>
      <c r="R183" s="1168" t="str">
        <f>IF(H183&gt;'I. Stream &amp; Compound Data'!$F$18,"",IF(Q183="N/A",IF(N183="","N/A",IF(N183=35,1,IF(N183=34,0.875,IF(AND(N183&gt;=36,N183&lt;=38),0.625,0)))),"N/A"))</f>
        <v/>
      </c>
      <c r="S183" s="1287" t="str">
        <f>IF(H183&gt;'I. Stream &amp; Compound Data'!$F$18,"",IF(AND(Q183="N/A",R183="N/A"),IF(O183="","N/A",IF(AND(O183&gt;=1,O183&lt;=5),-0.25*O183+1.25,IF(AND(O183&gt;5,O183&lt;8.5),0,IF(AND(O183&gt;=8.5,O183&lt;=12.5),0.25*O183-2.125,1)))),"N/A"))</f>
        <v/>
      </c>
      <c r="T183" s="1296" t="str">
        <f>IF(H183&gt;'I. Stream &amp; Compound Data'!$F$18,"",IF(AND(Q183="N/A",R183="N/A",S183="N/A"),IF(P183="","N/A",ROUND(IF(P183&lt;=5,1,IF(AND(P183&gt;5,P183&lt;50000),-0.109*LN(P183)+1.1747,0)),3)),"N/A"))</f>
        <v/>
      </c>
      <c r="U183" s="1294" t="str">
        <f>IF(H183&gt;'I. Stream &amp; Compound Data'!$F$18,"",IF(Q183&lt;&gt;"N/A",Q183,IF(R183&lt;&gt;"N/A",R183,IF(S183&lt;&gt;"N/A",S183,T183))))</f>
        <v/>
      </c>
      <c r="V183" s="1294" t="str">
        <f>IF(H183&gt;'I. Stream &amp; Compound Data'!$F$18,"",IF(U183&lt;&gt;0,ROUND(10^(4*U183+2),3),0))</f>
        <v/>
      </c>
      <c r="W183" s="1294" t="str">
        <f>IF(H183&gt;'I. Stream &amp; Compound Data'!$F$18,"",MAX(K183:L183))</f>
        <v/>
      </c>
      <c r="X183" s="1297" t="str">
        <f>IF(H183&gt;'I. Stream &amp; Compound Data'!$F$18,"",ROUND(V183*W183,3))</f>
        <v/>
      </c>
      <c r="Y183" s="279"/>
      <c r="Z183" s="279"/>
      <c r="AA183" s="279"/>
      <c r="AB183" s="279"/>
      <c r="AC183" s="279"/>
      <c r="AD183" s="279"/>
      <c r="AE183" s="279"/>
      <c r="AF183" s="279"/>
      <c r="AG183" s="279"/>
      <c r="AH183" s="279"/>
      <c r="AI183" s="279"/>
      <c r="AJ183" s="279"/>
      <c r="AK183" s="279"/>
      <c r="AL183" s="279"/>
      <c r="AM183" s="279"/>
      <c r="AN183" s="279"/>
      <c r="AO183" s="279"/>
      <c r="AP183" s="279"/>
      <c r="AQ183" s="279"/>
      <c r="AR183" s="279"/>
      <c r="AS183" s="279"/>
      <c r="AT183" s="279"/>
      <c r="AU183" s="279"/>
      <c r="AV183" s="279"/>
      <c r="AW183" s="279"/>
      <c r="AX183" s="279"/>
      <c r="AY183" s="279"/>
      <c r="AZ183" s="279"/>
      <c r="BA183" s="279"/>
      <c r="BB183" s="279"/>
      <c r="BC183" s="279"/>
      <c r="BD183" s="279"/>
      <c r="BE183" s="279"/>
      <c r="BF183" s="279"/>
      <c r="BG183" s="279"/>
      <c r="BH183" s="279"/>
      <c r="BI183" s="279"/>
      <c r="BJ183" s="279"/>
      <c r="BK183" s="279"/>
      <c r="BL183" s="279"/>
      <c r="BM183" s="279"/>
      <c r="BN183" s="279"/>
      <c r="BO183" s="279"/>
      <c r="BP183" s="279"/>
      <c r="BQ183" s="279"/>
      <c r="BR183" s="279"/>
      <c r="BS183" s="279"/>
      <c r="BT183" s="279"/>
      <c r="BU183" s="279"/>
      <c r="BV183" s="279"/>
      <c r="BW183" s="279"/>
      <c r="BX183" s="279"/>
      <c r="BY183" s="279"/>
      <c r="BZ183" s="279"/>
      <c r="CA183" s="279"/>
      <c r="CB183" s="279"/>
      <c r="CC183" s="279"/>
      <c r="CD183" s="279"/>
      <c r="CE183" s="279"/>
      <c r="CF183" s="279"/>
      <c r="CG183" s="279"/>
      <c r="CH183" s="279"/>
      <c r="CI183" s="279"/>
      <c r="CJ183" s="279"/>
      <c r="CK183" s="279"/>
      <c r="CL183" s="279"/>
      <c r="CM183" s="279"/>
      <c r="CN183" s="382"/>
    </row>
    <row r="184" ht="24" customHeight="true" x14ac:dyDescent="0.3">
      <c r="B184" s="361"/>
      <c r="C184" s="279"/>
      <c r="D184" s="280"/>
      <c r="E184" s="287"/>
      <c r="F184" s="287"/>
      <c r="G184" s="287"/>
      <c r="H184" s="1292">
        <f t="shared" si="10"/>
        <v>43</v>
      </c>
      <c r="I184" s="1293" t="str">
        <f>'I. Stream &amp; Compound Data'!G304</f>
        <v/>
      </c>
      <c r="J184" s="1294" t="str">
        <f>'I. Stream &amp; Compound Data'!H304</f>
        <v/>
      </c>
      <c r="K184" s="1294" t="str">
        <f>'I. Stream &amp; Compound Data'!L304</f>
        <v/>
      </c>
      <c r="L184" s="1294" t="str">
        <f>'I. Stream &amp; Compound Data'!M304</f>
        <v/>
      </c>
      <c r="M184" s="1295" t="str">
        <f>IF('I. Stream &amp; Compound Data'!AP304&lt;&gt;"",'I. Stream &amp; Compound Data'!AP304,IF('I. Stream &amp; Compound Data'!AQ304&lt;&gt;"",'I. Stream &amp; Compound Data'!AQ304,""))</f>
        <v/>
      </c>
      <c r="N184" s="1295" t="str">
        <f>IF('I. Stream &amp; Compound Data'!AR304&lt;&gt;"",'I. Stream &amp; Compound Data'!AR304,IF('I. Stream &amp; Compound Data'!AS304&lt;&gt;"",'I. Stream &amp; Compound Data'!AS304,""))</f>
        <v/>
      </c>
      <c r="O184" s="1295" t="str">
        <f>IF('I. Stream &amp; Compound Data'!BJ304&lt;&gt;"",'I. Stream &amp; Compound Data'!BJ304,"")</f>
        <v/>
      </c>
      <c r="P184" s="1295" t="str">
        <f>IF('I. Stream &amp; Compound Data'!AK304&lt;&gt;"",'I. Stream &amp; Compound Data'!AK304,"")</f>
        <v/>
      </c>
      <c r="Q184" s="290" t="str">
        <f>IF(H184&gt;'I. Stream &amp; Compound Data'!$F$18,"",IF(M184="C",0.875,IF(M184="Xi",0.625,"N/A")))</f>
        <v/>
      </c>
      <c r="R184" s="1168" t="str">
        <f>IF(H184&gt;'I. Stream &amp; Compound Data'!$F$18,"",IF(Q184="N/A",IF(N184="","N/A",IF(N184=35,1,IF(N184=34,0.875,IF(AND(N184&gt;=36,N184&lt;=38),0.625,0)))),"N/A"))</f>
        <v/>
      </c>
      <c r="S184" s="1287" t="str">
        <f>IF(H184&gt;'I. Stream &amp; Compound Data'!$F$18,"",IF(AND(Q184="N/A",R184="N/A"),IF(O184="","N/A",IF(AND(O184&gt;=1,O184&lt;=5),-0.25*O184+1.25,IF(AND(O184&gt;5,O184&lt;8.5),0,IF(AND(O184&gt;=8.5,O184&lt;=12.5),0.25*O184-2.125,1)))),"N/A"))</f>
        <v/>
      </c>
      <c r="T184" s="1296" t="str">
        <f>IF(H184&gt;'I. Stream &amp; Compound Data'!$F$18,"",IF(AND(Q184="N/A",R184="N/A",S184="N/A"),IF(P184="","N/A",ROUND(IF(P184&lt;=5,1,IF(AND(P184&gt;5,P184&lt;50000),-0.109*LN(P184)+1.1747,0)),3)),"N/A"))</f>
        <v/>
      </c>
      <c r="U184" s="1294" t="str">
        <f>IF(H184&gt;'I. Stream &amp; Compound Data'!$F$18,"",IF(Q184&lt;&gt;"N/A",Q184,IF(R184&lt;&gt;"N/A",R184,IF(S184&lt;&gt;"N/A",S184,T184))))</f>
        <v/>
      </c>
      <c r="V184" s="1294" t="str">
        <f>IF(H184&gt;'I. Stream &amp; Compound Data'!$F$18,"",IF(U184&lt;&gt;0,ROUND(10^(4*U184+2),3),0))</f>
        <v/>
      </c>
      <c r="W184" s="1294" t="str">
        <f>IF(H184&gt;'I. Stream &amp; Compound Data'!$F$18,"",MAX(K184:L184))</f>
        <v/>
      </c>
      <c r="X184" s="1297" t="str">
        <f>IF(H184&gt;'I. Stream &amp; Compound Data'!$F$18,"",ROUND(V184*W184,3))</f>
        <v/>
      </c>
      <c r="Y184" s="279"/>
      <c r="Z184" s="279"/>
      <c r="AA184" s="279"/>
      <c r="AB184" s="279"/>
      <c r="AC184" s="279"/>
      <c r="AD184" s="279"/>
      <c r="AE184" s="279"/>
      <c r="AF184" s="279"/>
      <c r="AG184" s="279"/>
      <c r="AH184" s="279"/>
      <c r="AI184" s="279"/>
      <c r="AJ184" s="279"/>
      <c r="AK184" s="279"/>
      <c r="AL184" s="279"/>
      <c r="AM184" s="279"/>
      <c r="AN184" s="279"/>
      <c r="AO184" s="279"/>
      <c r="AP184" s="279"/>
      <c r="AQ184" s="279"/>
      <c r="AR184" s="279"/>
      <c r="AS184" s="279"/>
      <c r="AT184" s="279"/>
      <c r="AU184" s="279"/>
      <c r="AV184" s="279"/>
      <c r="AW184" s="279"/>
      <c r="AX184" s="279"/>
      <c r="AY184" s="279"/>
      <c r="AZ184" s="279"/>
      <c r="BA184" s="279"/>
      <c r="BB184" s="279"/>
      <c r="BC184" s="279"/>
      <c r="BD184" s="279"/>
      <c r="BE184" s="279"/>
      <c r="BF184" s="279"/>
      <c r="BG184" s="279"/>
      <c r="BH184" s="279"/>
      <c r="BI184" s="279"/>
      <c r="BJ184" s="279"/>
      <c r="BK184" s="279"/>
      <c r="BL184" s="279"/>
      <c r="BM184" s="279"/>
      <c r="BN184" s="279"/>
      <c r="BO184" s="279"/>
      <c r="BP184" s="279"/>
      <c r="BQ184" s="279"/>
      <c r="BR184" s="279"/>
      <c r="BS184" s="279"/>
      <c r="BT184" s="279"/>
      <c r="BU184" s="279"/>
      <c r="BV184" s="279"/>
      <c r="BW184" s="279"/>
      <c r="BX184" s="279"/>
      <c r="BY184" s="279"/>
      <c r="BZ184" s="279"/>
      <c r="CA184" s="279"/>
      <c r="CB184" s="279"/>
      <c r="CC184" s="279"/>
      <c r="CD184" s="279"/>
      <c r="CE184" s="279"/>
      <c r="CF184" s="279"/>
      <c r="CG184" s="279"/>
      <c r="CH184" s="279"/>
      <c r="CI184" s="279"/>
      <c r="CJ184" s="279"/>
      <c r="CK184" s="279"/>
      <c r="CL184" s="279"/>
      <c r="CM184" s="279"/>
      <c r="CN184" s="382"/>
    </row>
    <row r="185" ht="24" customHeight="true" x14ac:dyDescent="0.3">
      <c r="B185" s="361"/>
      <c r="C185" s="279"/>
      <c r="D185" s="280"/>
      <c r="E185" s="287"/>
      <c r="F185" s="287"/>
      <c r="G185" s="287"/>
      <c r="H185" s="1292">
        <f t="shared" si="10"/>
        <v>44</v>
      </c>
      <c r="I185" s="1293" t="str">
        <f>'I. Stream &amp; Compound Data'!G305</f>
        <v/>
      </c>
      <c r="J185" s="1294" t="str">
        <f>'I. Stream &amp; Compound Data'!H305</f>
        <v/>
      </c>
      <c r="K185" s="1294" t="str">
        <f>'I. Stream &amp; Compound Data'!L305</f>
        <v/>
      </c>
      <c r="L185" s="1294" t="str">
        <f>'I. Stream &amp; Compound Data'!M305</f>
        <v/>
      </c>
      <c r="M185" s="1295" t="str">
        <f>IF('I. Stream &amp; Compound Data'!AP305&lt;&gt;"",'I. Stream &amp; Compound Data'!AP305,IF('I. Stream &amp; Compound Data'!AQ305&lt;&gt;"",'I. Stream &amp; Compound Data'!AQ305,""))</f>
        <v/>
      </c>
      <c r="N185" s="1295" t="str">
        <f>IF('I. Stream &amp; Compound Data'!AR305&lt;&gt;"",'I. Stream &amp; Compound Data'!AR305,IF('I. Stream &amp; Compound Data'!AS305&lt;&gt;"",'I. Stream &amp; Compound Data'!AS305,""))</f>
        <v/>
      </c>
      <c r="O185" s="1295" t="str">
        <f>IF('I. Stream &amp; Compound Data'!BJ305&lt;&gt;"",'I. Stream &amp; Compound Data'!BJ305,"")</f>
        <v/>
      </c>
      <c r="P185" s="1295" t="str">
        <f>IF('I. Stream &amp; Compound Data'!AK305&lt;&gt;"",'I. Stream &amp; Compound Data'!AK305,"")</f>
        <v/>
      </c>
      <c r="Q185" s="290" t="str">
        <f>IF(H185&gt;'I. Stream &amp; Compound Data'!$F$18,"",IF(M185="C",0.875,IF(M185="Xi",0.625,"N/A")))</f>
        <v/>
      </c>
      <c r="R185" s="1168" t="str">
        <f>IF(H185&gt;'I. Stream &amp; Compound Data'!$F$18,"",IF(Q185="N/A",IF(N185="","N/A",IF(N185=35,1,IF(N185=34,0.875,IF(AND(N185&gt;=36,N185&lt;=38),0.625,0)))),"N/A"))</f>
        <v/>
      </c>
      <c r="S185" s="1287" t="str">
        <f>IF(H185&gt;'I. Stream &amp; Compound Data'!$F$18,"",IF(AND(Q185="N/A",R185="N/A"),IF(O185="","N/A",IF(AND(O185&gt;=1,O185&lt;=5),-0.25*O185+1.25,IF(AND(O185&gt;5,O185&lt;8.5),0,IF(AND(O185&gt;=8.5,O185&lt;=12.5),0.25*O185-2.125,1)))),"N/A"))</f>
        <v/>
      </c>
      <c r="T185" s="1296" t="str">
        <f>IF(H185&gt;'I. Stream &amp; Compound Data'!$F$18,"",IF(AND(Q185="N/A",R185="N/A",S185="N/A"),IF(P185="","N/A",ROUND(IF(P185&lt;=5,1,IF(AND(P185&gt;5,P185&lt;50000),-0.109*LN(P185)+1.1747,0)),3)),"N/A"))</f>
        <v/>
      </c>
      <c r="U185" s="1294" t="str">
        <f>IF(H185&gt;'I. Stream &amp; Compound Data'!$F$18,"",IF(Q185&lt;&gt;"N/A",Q185,IF(R185&lt;&gt;"N/A",R185,IF(S185&lt;&gt;"N/A",S185,T185))))</f>
        <v/>
      </c>
      <c r="V185" s="1294" t="str">
        <f>IF(H185&gt;'I. Stream &amp; Compound Data'!$F$18,"",IF(U185&lt;&gt;0,ROUND(10^(4*U185+2),3),0))</f>
        <v/>
      </c>
      <c r="W185" s="1294" t="str">
        <f>IF(H185&gt;'I. Stream &amp; Compound Data'!$F$18,"",MAX(K185:L185))</f>
        <v/>
      </c>
      <c r="X185" s="1297" t="str">
        <f>IF(H185&gt;'I. Stream &amp; Compound Data'!$F$18,"",ROUND(V185*W185,3))</f>
        <v/>
      </c>
      <c r="Y185" s="279"/>
      <c r="Z185" s="279"/>
      <c r="AA185" s="279"/>
      <c r="AB185" s="279"/>
      <c r="AC185" s="279"/>
      <c r="AD185" s="279"/>
      <c r="AE185" s="279"/>
      <c r="AF185" s="279"/>
      <c r="AG185" s="279"/>
      <c r="AH185" s="279"/>
      <c r="AI185" s="279"/>
      <c r="AJ185" s="279"/>
      <c r="AK185" s="279"/>
      <c r="AL185" s="279"/>
      <c r="AM185" s="279"/>
      <c r="AN185" s="279"/>
      <c r="AO185" s="279"/>
      <c r="AP185" s="279"/>
      <c r="AQ185" s="279"/>
      <c r="AR185" s="279"/>
      <c r="AS185" s="279"/>
      <c r="AT185" s="279"/>
      <c r="AU185" s="279"/>
      <c r="AV185" s="279"/>
      <c r="AW185" s="279"/>
      <c r="AX185" s="279"/>
      <c r="AY185" s="279"/>
      <c r="AZ185" s="279"/>
      <c r="BA185" s="279"/>
      <c r="BB185" s="279"/>
      <c r="BC185" s="279"/>
      <c r="BD185" s="279"/>
      <c r="BE185" s="279"/>
      <c r="BF185" s="279"/>
      <c r="BG185" s="279"/>
      <c r="BH185" s="279"/>
      <c r="BI185" s="279"/>
      <c r="BJ185" s="279"/>
      <c r="BK185" s="279"/>
      <c r="BL185" s="279"/>
      <c r="BM185" s="279"/>
      <c r="BN185" s="279"/>
      <c r="BO185" s="279"/>
      <c r="BP185" s="279"/>
      <c r="BQ185" s="279"/>
      <c r="BR185" s="279"/>
      <c r="BS185" s="279"/>
      <c r="BT185" s="279"/>
      <c r="BU185" s="279"/>
      <c r="BV185" s="279"/>
      <c r="BW185" s="279"/>
      <c r="BX185" s="279"/>
      <c r="BY185" s="279"/>
      <c r="BZ185" s="279"/>
      <c r="CA185" s="279"/>
      <c r="CB185" s="279"/>
      <c r="CC185" s="279"/>
      <c r="CD185" s="279"/>
      <c r="CE185" s="279"/>
      <c r="CF185" s="279"/>
      <c r="CG185" s="279"/>
      <c r="CH185" s="279"/>
      <c r="CI185" s="279"/>
      <c r="CJ185" s="279"/>
      <c r="CK185" s="279"/>
      <c r="CL185" s="279"/>
      <c r="CM185" s="279"/>
      <c r="CN185" s="382"/>
    </row>
    <row r="186" ht="24" customHeight="true" x14ac:dyDescent="0.3">
      <c r="B186" s="361"/>
      <c r="C186" s="279"/>
      <c r="D186" s="280"/>
      <c r="E186" s="287"/>
      <c r="F186" s="287"/>
      <c r="G186" s="287"/>
      <c r="H186" s="1292">
        <f t="shared" si="10"/>
        <v>45</v>
      </c>
      <c r="I186" s="1293" t="str">
        <f>'I. Stream &amp; Compound Data'!G306</f>
        <v/>
      </c>
      <c r="J186" s="1294" t="str">
        <f>'I. Stream &amp; Compound Data'!H306</f>
        <v/>
      </c>
      <c r="K186" s="1294" t="str">
        <f>'I. Stream &amp; Compound Data'!L306</f>
        <v/>
      </c>
      <c r="L186" s="1294" t="str">
        <f>'I. Stream &amp; Compound Data'!M306</f>
        <v/>
      </c>
      <c r="M186" s="1295" t="str">
        <f>IF('I. Stream &amp; Compound Data'!AP306&lt;&gt;"",'I. Stream &amp; Compound Data'!AP306,IF('I. Stream &amp; Compound Data'!AQ306&lt;&gt;"",'I. Stream &amp; Compound Data'!AQ306,""))</f>
        <v/>
      </c>
      <c r="N186" s="1295" t="str">
        <f>IF('I. Stream &amp; Compound Data'!AR306&lt;&gt;"",'I. Stream &amp; Compound Data'!AR306,IF('I. Stream &amp; Compound Data'!AS306&lt;&gt;"",'I. Stream &amp; Compound Data'!AS306,""))</f>
        <v/>
      </c>
      <c r="O186" s="1295" t="str">
        <f>IF('I. Stream &amp; Compound Data'!BJ306&lt;&gt;"",'I. Stream &amp; Compound Data'!BJ306,"")</f>
        <v/>
      </c>
      <c r="P186" s="1295" t="str">
        <f>IF('I. Stream &amp; Compound Data'!AK306&lt;&gt;"",'I. Stream &amp; Compound Data'!AK306,"")</f>
        <v/>
      </c>
      <c r="Q186" s="290" t="str">
        <f>IF(H186&gt;'I. Stream &amp; Compound Data'!$F$18,"",IF(M186="C",0.875,IF(M186="Xi",0.625,"N/A")))</f>
        <v/>
      </c>
      <c r="R186" s="1168" t="str">
        <f>IF(H186&gt;'I. Stream &amp; Compound Data'!$F$18,"",IF(Q186="N/A",IF(N186="","N/A",IF(N186=35,1,IF(N186=34,0.875,IF(AND(N186&gt;=36,N186&lt;=38),0.625,0)))),"N/A"))</f>
        <v/>
      </c>
      <c r="S186" s="1287" t="str">
        <f>IF(H186&gt;'I. Stream &amp; Compound Data'!$F$18,"",IF(AND(Q186="N/A",R186="N/A"),IF(O186="","N/A",IF(AND(O186&gt;=1,O186&lt;=5),-0.25*O186+1.25,IF(AND(O186&gt;5,O186&lt;8.5),0,IF(AND(O186&gt;=8.5,O186&lt;=12.5),0.25*O186-2.125,1)))),"N/A"))</f>
        <v/>
      </c>
      <c r="T186" s="1296" t="str">
        <f>IF(H186&gt;'I. Stream &amp; Compound Data'!$F$18,"",IF(AND(Q186="N/A",R186="N/A",S186="N/A"),IF(P186="","N/A",ROUND(IF(P186&lt;=5,1,IF(AND(P186&gt;5,P186&lt;50000),-0.109*LN(P186)+1.1747,0)),3)),"N/A"))</f>
        <v/>
      </c>
      <c r="U186" s="1294" t="str">
        <f>IF(H186&gt;'I. Stream &amp; Compound Data'!$F$18,"",IF(Q186&lt;&gt;"N/A",Q186,IF(R186&lt;&gt;"N/A",R186,IF(S186&lt;&gt;"N/A",S186,T186))))</f>
        <v/>
      </c>
      <c r="V186" s="1294" t="str">
        <f>IF(H186&gt;'I. Stream &amp; Compound Data'!$F$18,"",IF(U186&lt;&gt;0,ROUND(10^(4*U186+2),3),0))</f>
        <v/>
      </c>
      <c r="W186" s="1294" t="str">
        <f>IF(H186&gt;'I. Stream &amp; Compound Data'!$F$18,"",MAX(K186:L186))</f>
        <v/>
      </c>
      <c r="X186" s="1297" t="str">
        <f>IF(H186&gt;'I. Stream &amp; Compound Data'!$F$18,"",ROUND(V186*W186,3))</f>
        <v/>
      </c>
      <c r="Y186" s="279"/>
      <c r="Z186" s="279"/>
      <c r="AA186" s="279"/>
      <c r="AB186" s="279"/>
      <c r="AC186" s="279"/>
      <c r="AD186" s="279"/>
      <c r="AE186" s="279"/>
      <c r="AF186" s="279"/>
      <c r="AG186" s="279"/>
      <c r="AH186" s="279"/>
      <c r="AI186" s="279"/>
      <c r="AJ186" s="279"/>
      <c r="AK186" s="279"/>
      <c r="AL186" s="279"/>
      <c r="AM186" s="279"/>
      <c r="AN186" s="279"/>
      <c r="AO186" s="279"/>
      <c r="AP186" s="279"/>
      <c r="AQ186" s="279"/>
      <c r="AR186" s="279"/>
      <c r="AS186" s="279"/>
      <c r="AT186" s="279"/>
      <c r="AU186" s="279"/>
      <c r="AV186" s="279"/>
      <c r="AW186" s="279"/>
      <c r="AX186" s="279"/>
      <c r="AY186" s="279"/>
      <c r="AZ186" s="279"/>
      <c r="BA186" s="279"/>
      <c r="BB186" s="279"/>
      <c r="BC186" s="279"/>
      <c r="BD186" s="279"/>
      <c r="BE186" s="279"/>
      <c r="BF186" s="279"/>
      <c r="BG186" s="279"/>
      <c r="BH186" s="279"/>
      <c r="BI186" s="279"/>
      <c r="BJ186" s="279"/>
      <c r="BK186" s="279"/>
      <c r="BL186" s="279"/>
      <c r="BM186" s="279"/>
      <c r="BN186" s="279"/>
      <c r="BO186" s="279"/>
      <c r="BP186" s="279"/>
      <c r="BQ186" s="279"/>
      <c r="BR186" s="279"/>
      <c r="BS186" s="279"/>
      <c r="BT186" s="279"/>
      <c r="BU186" s="279"/>
      <c r="BV186" s="279"/>
      <c r="BW186" s="279"/>
      <c r="BX186" s="279"/>
      <c r="BY186" s="279"/>
      <c r="BZ186" s="279"/>
      <c r="CA186" s="279"/>
      <c r="CB186" s="279"/>
      <c r="CC186" s="279"/>
      <c r="CD186" s="279"/>
      <c r="CE186" s="279"/>
      <c r="CF186" s="279"/>
      <c r="CG186" s="279"/>
      <c r="CH186" s="279"/>
      <c r="CI186" s="279"/>
      <c r="CJ186" s="279"/>
      <c r="CK186" s="279"/>
      <c r="CL186" s="279"/>
      <c r="CM186" s="279"/>
      <c r="CN186" s="382"/>
    </row>
    <row r="187" ht="24" customHeight="true" x14ac:dyDescent="0.3">
      <c r="B187" s="361"/>
      <c r="C187" s="279"/>
      <c r="D187" s="280"/>
      <c r="E187" s="287"/>
      <c r="F187" s="287"/>
      <c r="G187" s="287"/>
      <c r="H187" s="1292">
        <f t="shared" si="10"/>
        <v>46</v>
      </c>
      <c r="I187" s="1293" t="str">
        <f>'I. Stream &amp; Compound Data'!G307</f>
        <v/>
      </c>
      <c r="J187" s="1294" t="str">
        <f>'I. Stream &amp; Compound Data'!H307</f>
        <v/>
      </c>
      <c r="K187" s="1294" t="str">
        <f>'I. Stream &amp; Compound Data'!L307</f>
        <v/>
      </c>
      <c r="L187" s="1294" t="str">
        <f>'I. Stream &amp; Compound Data'!M307</f>
        <v/>
      </c>
      <c r="M187" s="1295" t="str">
        <f>IF('I. Stream &amp; Compound Data'!AP307&lt;&gt;"",'I. Stream &amp; Compound Data'!AP307,IF('I. Stream &amp; Compound Data'!AQ307&lt;&gt;"",'I. Stream &amp; Compound Data'!AQ307,""))</f>
        <v/>
      </c>
      <c r="N187" s="1295" t="str">
        <f>IF('I. Stream &amp; Compound Data'!AR307&lt;&gt;"",'I. Stream &amp; Compound Data'!AR307,IF('I. Stream &amp; Compound Data'!AS307&lt;&gt;"",'I. Stream &amp; Compound Data'!AS307,""))</f>
        <v/>
      </c>
      <c r="O187" s="1295" t="str">
        <f>IF('I. Stream &amp; Compound Data'!BJ307&lt;&gt;"",'I. Stream &amp; Compound Data'!BJ307,"")</f>
        <v/>
      </c>
      <c r="P187" s="1295" t="str">
        <f>IF('I. Stream &amp; Compound Data'!AK307&lt;&gt;"",'I. Stream &amp; Compound Data'!AK307,"")</f>
        <v/>
      </c>
      <c r="Q187" s="290" t="str">
        <f>IF(H187&gt;'I. Stream &amp; Compound Data'!$F$18,"",IF(M187="C",0.875,IF(M187="Xi",0.625,"N/A")))</f>
        <v/>
      </c>
      <c r="R187" s="1168" t="str">
        <f>IF(H187&gt;'I. Stream &amp; Compound Data'!$F$18,"",IF(Q187="N/A",IF(N187="","N/A",IF(N187=35,1,IF(N187=34,0.875,IF(AND(N187&gt;=36,N187&lt;=38),0.625,0)))),"N/A"))</f>
        <v/>
      </c>
      <c r="S187" s="1287" t="str">
        <f>IF(H187&gt;'I. Stream &amp; Compound Data'!$F$18,"",IF(AND(Q187="N/A",R187="N/A"),IF(O187="","N/A",IF(AND(O187&gt;=1,O187&lt;=5),-0.25*O187+1.25,IF(AND(O187&gt;5,O187&lt;8.5),0,IF(AND(O187&gt;=8.5,O187&lt;=12.5),0.25*O187-2.125,1)))),"N/A"))</f>
        <v/>
      </c>
      <c r="T187" s="1296" t="str">
        <f>IF(H187&gt;'I. Stream &amp; Compound Data'!$F$18,"",IF(AND(Q187="N/A",R187="N/A",S187="N/A"),IF(P187="","N/A",ROUND(IF(P187&lt;=5,1,IF(AND(P187&gt;5,P187&lt;50000),-0.109*LN(P187)+1.1747,0)),3)),"N/A"))</f>
        <v/>
      </c>
      <c r="U187" s="1294" t="str">
        <f>IF(H187&gt;'I. Stream &amp; Compound Data'!$F$18,"",IF(Q187&lt;&gt;"N/A",Q187,IF(R187&lt;&gt;"N/A",R187,IF(S187&lt;&gt;"N/A",S187,T187))))</f>
        <v/>
      </c>
      <c r="V187" s="1294" t="str">
        <f>IF(H187&gt;'I. Stream &amp; Compound Data'!$F$18,"",IF(U187&lt;&gt;0,ROUND(10^(4*U187+2),3),0))</f>
        <v/>
      </c>
      <c r="W187" s="1294" t="str">
        <f>IF(H187&gt;'I. Stream &amp; Compound Data'!$F$18,"",MAX(K187:L187))</f>
        <v/>
      </c>
      <c r="X187" s="1297" t="str">
        <f>IF(H187&gt;'I. Stream &amp; Compound Data'!$F$18,"",ROUND(V187*W187,3))</f>
        <v/>
      </c>
      <c r="Y187" s="279"/>
      <c r="Z187" s="279"/>
      <c r="AA187" s="279"/>
      <c r="AB187" s="279"/>
      <c r="AC187" s="279"/>
      <c r="AD187" s="279"/>
      <c r="AE187" s="279"/>
      <c r="AF187" s="279"/>
      <c r="AG187" s="279"/>
      <c r="AH187" s="279"/>
      <c r="AI187" s="279"/>
      <c r="AJ187" s="279"/>
      <c r="AK187" s="279"/>
      <c r="AL187" s="279"/>
      <c r="AM187" s="279"/>
      <c r="AN187" s="279"/>
      <c r="AO187" s="279"/>
      <c r="AP187" s="279"/>
      <c r="AQ187" s="279"/>
      <c r="AR187" s="279"/>
      <c r="AS187" s="279"/>
      <c r="AT187" s="279"/>
      <c r="AU187" s="279"/>
      <c r="AV187" s="279"/>
      <c r="AW187" s="279"/>
      <c r="AX187" s="279"/>
      <c r="AY187" s="279"/>
      <c r="AZ187" s="279"/>
      <c r="BA187" s="279"/>
      <c r="BB187" s="279"/>
      <c r="BC187" s="279"/>
      <c r="BD187" s="279"/>
      <c r="BE187" s="279"/>
      <c r="BF187" s="279"/>
      <c r="BG187" s="279"/>
      <c r="BH187" s="279"/>
      <c r="BI187" s="279"/>
      <c r="BJ187" s="279"/>
      <c r="BK187" s="279"/>
      <c r="BL187" s="279"/>
      <c r="BM187" s="279"/>
      <c r="BN187" s="279"/>
      <c r="BO187" s="279"/>
      <c r="BP187" s="279"/>
      <c r="BQ187" s="279"/>
      <c r="BR187" s="279"/>
      <c r="BS187" s="279"/>
      <c r="BT187" s="279"/>
      <c r="BU187" s="279"/>
      <c r="BV187" s="279"/>
      <c r="BW187" s="279"/>
      <c r="BX187" s="279"/>
      <c r="BY187" s="279"/>
      <c r="BZ187" s="279"/>
      <c r="CA187" s="279"/>
      <c r="CB187" s="279"/>
      <c r="CC187" s="279"/>
      <c r="CD187" s="279"/>
      <c r="CE187" s="279"/>
      <c r="CF187" s="279"/>
      <c r="CG187" s="279"/>
      <c r="CH187" s="279"/>
      <c r="CI187" s="279"/>
      <c r="CJ187" s="279"/>
      <c r="CK187" s="279"/>
      <c r="CL187" s="279"/>
      <c r="CM187" s="279"/>
      <c r="CN187" s="382"/>
    </row>
    <row r="188" ht="24" customHeight="true" x14ac:dyDescent="0.3">
      <c r="B188" s="361"/>
      <c r="C188" s="279"/>
      <c r="D188" s="280"/>
      <c r="E188" s="287"/>
      <c r="F188" s="287"/>
      <c r="G188" s="287"/>
      <c r="H188" s="1292">
        <f t="shared" si="10"/>
        <v>47</v>
      </c>
      <c r="I188" s="1293" t="str">
        <f>'I. Stream &amp; Compound Data'!G308</f>
        <v/>
      </c>
      <c r="J188" s="1294" t="str">
        <f>'I. Stream &amp; Compound Data'!H308</f>
        <v/>
      </c>
      <c r="K188" s="1294" t="str">
        <f>'I. Stream &amp; Compound Data'!L308</f>
        <v/>
      </c>
      <c r="L188" s="1294" t="str">
        <f>'I. Stream &amp; Compound Data'!M308</f>
        <v/>
      </c>
      <c r="M188" s="1295" t="str">
        <f>IF('I. Stream &amp; Compound Data'!AP308&lt;&gt;"",'I. Stream &amp; Compound Data'!AP308,IF('I. Stream &amp; Compound Data'!AQ308&lt;&gt;"",'I. Stream &amp; Compound Data'!AQ308,""))</f>
        <v/>
      </c>
      <c r="N188" s="1295" t="str">
        <f>IF('I. Stream &amp; Compound Data'!AR308&lt;&gt;"",'I. Stream &amp; Compound Data'!AR308,IF('I. Stream &amp; Compound Data'!AS308&lt;&gt;"",'I. Stream &amp; Compound Data'!AS308,""))</f>
        <v/>
      </c>
      <c r="O188" s="1295" t="str">
        <f>IF('I. Stream &amp; Compound Data'!BJ308&lt;&gt;"",'I. Stream &amp; Compound Data'!BJ308,"")</f>
        <v/>
      </c>
      <c r="P188" s="1295" t="str">
        <f>IF('I. Stream &amp; Compound Data'!AK308&lt;&gt;"",'I. Stream &amp; Compound Data'!AK308,"")</f>
        <v/>
      </c>
      <c r="Q188" s="290" t="str">
        <f>IF(H188&gt;'I. Stream &amp; Compound Data'!$F$18,"",IF(M188="C",0.875,IF(M188="Xi",0.625,"N/A")))</f>
        <v/>
      </c>
      <c r="R188" s="1168" t="str">
        <f>IF(H188&gt;'I. Stream &amp; Compound Data'!$F$18,"",IF(Q188="N/A",IF(N188="","N/A",IF(N188=35,1,IF(N188=34,0.875,IF(AND(N188&gt;=36,N188&lt;=38),0.625,0)))),"N/A"))</f>
        <v/>
      </c>
      <c r="S188" s="1287" t="str">
        <f>IF(H188&gt;'I. Stream &amp; Compound Data'!$F$18,"",IF(AND(Q188="N/A",R188="N/A"),IF(O188="","N/A",IF(AND(O188&gt;=1,O188&lt;=5),-0.25*O188+1.25,IF(AND(O188&gt;5,O188&lt;8.5),0,IF(AND(O188&gt;=8.5,O188&lt;=12.5),0.25*O188-2.125,1)))),"N/A"))</f>
        <v/>
      </c>
      <c r="T188" s="1296" t="str">
        <f>IF(H188&gt;'I. Stream &amp; Compound Data'!$F$18,"",IF(AND(Q188="N/A",R188="N/A",S188="N/A"),IF(P188="","N/A",ROUND(IF(P188&lt;=5,1,IF(AND(P188&gt;5,P188&lt;50000),-0.109*LN(P188)+1.1747,0)),3)),"N/A"))</f>
        <v/>
      </c>
      <c r="U188" s="1294" t="str">
        <f>IF(H188&gt;'I. Stream &amp; Compound Data'!$F$18,"",IF(Q188&lt;&gt;"N/A",Q188,IF(R188&lt;&gt;"N/A",R188,IF(S188&lt;&gt;"N/A",S188,T188))))</f>
        <v/>
      </c>
      <c r="V188" s="1294" t="str">
        <f>IF(H188&gt;'I. Stream &amp; Compound Data'!$F$18,"",IF(U188&lt;&gt;0,ROUND(10^(4*U188+2),3),0))</f>
        <v/>
      </c>
      <c r="W188" s="1294" t="str">
        <f>IF(H188&gt;'I. Stream &amp; Compound Data'!$F$18,"",MAX(K188:L188))</f>
        <v/>
      </c>
      <c r="X188" s="1297" t="str">
        <f>IF(H188&gt;'I. Stream &amp; Compound Data'!$F$18,"",ROUND(V188*W188,3))</f>
        <v/>
      </c>
      <c r="Y188" s="279"/>
      <c r="Z188" s="279"/>
      <c r="AA188" s="279"/>
      <c r="AB188" s="279"/>
      <c r="AC188" s="279"/>
      <c r="AD188" s="279"/>
      <c r="AE188" s="279"/>
      <c r="AF188" s="279"/>
      <c r="AG188" s="279"/>
      <c r="AH188" s="279"/>
      <c r="AI188" s="279"/>
      <c r="AJ188" s="279"/>
      <c r="AK188" s="279"/>
      <c r="AL188" s="279"/>
      <c r="AM188" s="279"/>
      <c r="AN188" s="279"/>
      <c r="AO188" s="279"/>
      <c r="AP188" s="279"/>
      <c r="AQ188" s="279"/>
      <c r="AR188" s="279"/>
      <c r="AS188" s="279"/>
      <c r="AT188" s="279"/>
      <c r="AU188" s="279"/>
      <c r="AV188" s="279"/>
      <c r="AW188" s="279"/>
      <c r="AX188" s="279"/>
      <c r="AY188" s="279"/>
      <c r="AZ188" s="279"/>
      <c r="BA188" s="279"/>
      <c r="BB188" s="279"/>
      <c r="BC188" s="279"/>
      <c r="BD188" s="279"/>
      <c r="BE188" s="279"/>
      <c r="BF188" s="279"/>
      <c r="BG188" s="279"/>
      <c r="BH188" s="279"/>
      <c r="BI188" s="279"/>
      <c r="BJ188" s="279"/>
      <c r="BK188" s="279"/>
      <c r="BL188" s="279"/>
      <c r="BM188" s="279"/>
      <c r="BN188" s="279"/>
      <c r="BO188" s="279"/>
      <c r="BP188" s="279"/>
      <c r="BQ188" s="279"/>
      <c r="BR188" s="279"/>
      <c r="BS188" s="279"/>
      <c r="BT188" s="279"/>
      <c r="BU188" s="279"/>
      <c r="BV188" s="279"/>
      <c r="BW188" s="279"/>
      <c r="BX188" s="279"/>
      <c r="BY188" s="279"/>
      <c r="BZ188" s="279"/>
      <c r="CA188" s="279"/>
      <c r="CB188" s="279"/>
      <c r="CC188" s="279"/>
      <c r="CD188" s="279"/>
      <c r="CE188" s="279"/>
      <c r="CF188" s="279"/>
      <c r="CG188" s="279"/>
      <c r="CH188" s="279"/>
      <c r="CI188" s="279"/>
      <c r="CJ188" s="279"/>
      <c r="CK188" s="279"/>
      <c r="CL188" s="279"/>
      <c r="CM188" s="279"/>
      <c r="CN188" s="382"/>
    </row>
    <row r="189" ht="24" customHeight="true" x14ac:dyDescent="0.3">
      <c r="B189" s="361"/>
      <c r="C189" s="279"/>
      <c r="D189" s="280"/>
      <c r="E189" s="287"/>
      <c r="F189" s="287"/>
      <c r="G189" s="287"/>
      <c r="H189" s="1292">
        <f t="shared" si="10"/>
        <v>48</v>
      </c>
      <c r="I189" s="1293" t="str">
        <f>'I. Stream &amp; Compound Data'!G309</f>
        <v/>
      </c>
      <c r="J189" s="1294" t="str">
        <f>'I. Stream &amp; Compound Data'!H309</f>
        <v/>
      </c>
      <c r="K189" s="1294" t="str">
        <f>'I. Stream &amp; Compound Data'!L309</f>
        <v/>
      </c>
      <c r="L189" s="1294" t="str">
        <f>'I. Stream &amp; Compound Data'!M309</f>
        <v/>
      </c>
      <c r="M189" s="1295" t="str">
        <f>IF('I. Stream &amp; Compound Data'!AP309&lt;&gt;"",'I. Stream &amp; Compound Data'!AP309,IF('I. Stream &amp; Compound Data'!AQ309&lt;&gt;"",'I. Stream &amp; Compound Data'!AQ309,""))</f>
        <v/>
      </c>
      <c r="N189" s="1295" t="str">
        <f>IF('I. Stream &amp; Compound Data'!AR309&lt;&gt;"",'I. Stream &amp; Compound Data'!AR309,IF('I. Stream &amp; Compound Data'!AS309&lt;&gt;"",'I. Stream &amp; Compound Data'!AS309,""))</f>
        <v/>
      </c>
      <c r="O189" s="1295" t="str">
        <f>IF('I. Stream &amp; Compound Data'!BJ309&lt;&gt;"",'I. Stream &amp; Compound Data'!BJ309,"")</f>
        <v/>
      </c>
      <c r="P189" s="1295" t="str">
        <f>IF('I. Stream &amp; Compound Data'!AK309&lt;&gt;"",'I. Stream &amp; Compound Data'!AK309,"")</f>
        <v/>
      </c>
      <c r="Q189" s="290" t="str">
        <f>IF(H189&gt;'I. Stream &amp; Compound Data'!$F$18,"",IF(M189="C",0.875,IF(M189="Xi",0.625,"N/A")))</f>
        <v/>
      </c>
      <c r="R189" s="1168" t="str">
        <f>IF(H189&gt;'I. Stream &amp; Compound Data'!$F$18,"",IF(Q189="N/A",IF(N189="","N/A",IF(N189=35,1,IF(N189=34,0.875,IF(AND(N189&gt;=36,N189&lt;=38),0.625,0)))),"N/A"))</f>
        <v/>
      </c>
      <c r="S189" s="1287" t="str">
        <f>IF(H189&gt;'I. Stream &amp; Compound Data'!$F$18,"",IF(AND(Q189="N/A",R189="N/A"),IF(O189="","N/A",IF(AND(O189&gt;=1,O189&lt;=5),-0.25*O189+1.25,IF(AND(O189&gt;5,O189&lt;8.5),0,IF(AND(O189&gt;=8.5,O189&lt;=12.5),0.25*O189-2.125,1)))),"N/A"))</f>
        <v/>
      </c>
      <c r="T189" s="1296" t="str">
        <f>IF(H189&gt;'I. Stream &amp; Compound Data'!$F$18,"",IF(AND(Q189="N/A",R189="N/A",S189="N/A"),IF(P189="","N/A",ROUND(IF(P189&lt;=5,1,IF(AND(P189&gt;5,P189&lt;50000),-0.109*LN(P189)+1.1747,0)),3)),"N/A"))</f>
        <v/>
      </c>
      <c r="U189" s="1294" t="str">
        <f>IF(H189&gt;'I. Stream &amp; Compound Data'!$F$18,"",IF(Q189&lt;&gt;"N/A",Q189,IF(R189&lt;&gt;"N/A",R189,IF(S189&lt;&gt;"N/A",S189,T189))))</f>
        <v/>
      </c>
      <c r="V189" s="1294" t="str">
        <f>IF(H189&gt;'I. Stream &amp; Compound Data'!$F$18,"",IF(U189&lt;&gt;0,ROUND(10^(4*U189+2),3),0))</f>
        <v/>
      </c>
      <c r="W189" s="1294" t="str">
        <f>IF(H189&gt;'I. Stream &amp; Compound Data'!$F$18,"",MAX(K189:L189))</f>
        <v/>
      </c>
      <c r="X189" s="1297" t="str">
        <f>IF(H189&gt;'I. Stream &amp; Compound Data'!$F$18,"",ROUND(V189*W189,3))</f>
        <v/>
      </c>
      <c r="Y189" s="279"/>
      <c r="Z189" s="279"/>
      <c r="AA189" s="279"/>
      <c r="AB189" s="279"/>
      <c r="AC189" s="279"/>
      <c r="AD189" s="279"/>
      <c r="AE189" s="279"/>
      <c r="AF189" s="279"/>
      <c r="AG189" s="279"/>
      <c r="AH189" s="279"/>
      <c r="AI189" s="279"/>
      <c r="AJ189" s="279"/>
      <c r="AK189" s="279"/>
      <c r="AL189" s="279"/>
      <c r="AM189" s="279"/>
      <c r="AN189" s="279"/>
      <c r="AO189" s="279"/>
      <c r="AP189" s="279"/>
      <c r="AQ189" s="279"/>
      <c r="AR189" s="279"/>
      <c r="AS189" s="279"/>
      <c r="AT189" s="279"/>
      <c r="AU189" s="279"/>
      <c r="AV189" s="279"/>
      <c r="AW189" s="279"/>
      <c r="AX189" s="279"/>
      <c r="AY189" s="279"/>
      <c r="AZ189" s="279"/>
      <c r="BA189" s="279"/>
      <c r="BB189" s="279"/>
      <c r="BC189" s="279"/>
      <c r="BD189" s="279"/>
      <c r="BE189" s="279"/>
      <c r="BF189" s="279"/>
      <c r="BG189" s="279"/>
      <c r="BH189" s="279"/>
      <c r="BI189" s="279"/>
      <c r="BJ189" s="279"/>
      <c r="BK189" s="279"/>
      <c r="BL189" s="279"/>
      <c r="BM189" s="279"/>
      <c r="BN189" s="279"/>
      <c r="BO189" s="279"/>
      <c r="BP189" s="279"/>
      <c r="BQ189" s="279"/>
      <c r="BR189" s="279"/>
      <c r="BS189" s="279"/>
      <c r="BT189" s="279"/>
      <c r="BU189" s="279"/>
      <c r="BV189" s="279"/>
      <c r="BW189" s="279"/>
      <c r="BX189" s="279"/>
      <c r="BY189" s="279"/>
      <c r="BZ189" s="279"/>
      <c r="CA189" s="279"/>
      <c r="CB189" s="279"/>
      <c r="CC189" s="279"/>
      <c r="CD189" s="279"/>
      <c r="CE189" s="279"/>
      <c r="CF189" s="279"/>
      <c r="CG189" s="279"/>
      <c r="CH189" s="279"/>
      <c r="CI189" s="279"/>
      <c r="CJ189" s="279"/>
      <c r="CK189" s="279"/>
      <c r="CL189" s="279"/>
      <c r="CM189" s="279"/>
      <c r="CN189" s="382"/>
    </row>
    <row r="190" ht="24" customHeight="true" x14ac:dyDescent="0.3">
      <c r="B190" s="361"/>
      <c r="C190" s="279"/>
      <c r="D190" s="280"/>
      <c r="E190" s="287"/>
      <c r="F190" s="287"/>
      <c r="G190" s="287"/>
      <c r="H190" s="1292">
        <f t="shared" si="10"/>
        <v>49</v>
      </c>
      <c r="I190" s="1293" t="str">
        <f>'I. Stream &amp; Compound Data'!G310</f>
        <v/>
      </c>
      <c r="J190" s="1294" t="str">
        <f>'I. Stream &amp; Compound Data'!H310</f>
        <v/>
      </c>
      <c r="K190" s="1294" t="str">
        <f>'I. Stream &amp; Compound Data'!L310</f>
        <v/>
      </c>
      <c r="L190" s="1294" t="str">
        <f>'I. Stream &amp; Compound Data'!M310</f>
        <v/>
      </c>
      <c r="M190" s="1295" t="str">
        <f>IF('I. Stream &amp; Compound Data'!AP310&lt;&gt;"",'I. Stream &amp; Compound Data'!AP310,IF('I. Stream &amp; Compound Data'!AQ310&lt;&gt;"",'I. Stream &amp; Compound Data'!AQ310,""))</f>
        <v/>
      </c>
      <c r="N190" s="1295" t="str">
        <f>IF('I. Stream &amp; Compound Data'!AR310&lt;&gt;"",'I. Stream &amp; Compound Data'!AR310,IF('I. Stream &amp; Compound Data'!AS310&lt;&gt;"",'I. Stream &amp; Compound Data'!AS310,""))</f>
        <v/>
      </c>
      <c r="O190" s="1295" t="str">
        <f>IF('I. Stream &amp; Compound Data'!BJ310&lt;&gt;"",'I. Stream &amp; Compound Data'!BJ310,"")</f>
        <v/>
      </c>
      <c r="P190" s="1295" t="str">
        <f>IF('I. Stream &amp; Compound Data'!AK310&lt;&gt;"",'I. Stream &amp; Compound Data'!AK310,"")</f>
        <v/>
      </c>
      <c r="Q190" s="290" t="str">
        <f>IF(H190&gt;'I. Stream &amp; Compound Data'!$F$18,"",IF(M190="C",0.875,IF(M190="Xi",0.625,"N/A")))</f>
        <v/>
      </c>
      <c r="R190" s="1168" t="str">
        <f>IF(H190&gt;'I. Stream &amp; Compound Data'!$F$18,"",IF(Q190="N/A",IF(N190="","N/A",IF(N190=35,1,IF(N190=34,0.875,IF(AND(N190&gt;=36,N190&lt;=38),0.625,0)))),"N/A"))</f>
        <v/>
      </c>
      <c r="S190" s="1287" t="str">
        <f>IF(H190&gt;'I. Stream &amp; Compound Data'!$F$18,"",IF(AND(Q190="N/A",R190="N/A"),IF(O190="","N/A",IF(AND(O190&gt;=1,O190&lt;=5),-0.25*O190+1.25,IF(AND(O190&gt;5,O190&lt;8.5),0,IF(AND(O190&gt;=8.5,O190&lt;=12.5),0.25*O190-2.125,1)))),"N/A"))</f>
        <v/>
      </c>
      <c r="T190" s="1296" t="str">
        <f>IF(H190&gt;'I. Stream &amp; Compound Data'!$F$18,"",IF(AND(Q190="N/A",R190="N/A",S190="N/A"),IF(P190="","N/A",ROUND(IF(P190&lt;=5,1,IF(AND(P190&gt;5,P190&lt;50000),-0.109*LN(P190)+1.1747,0)),3)),"N/A"))</f>
        <v/>
      </c>
      <c r="U190" s="1294" t="str">
        <f>IF(H190&gt;'I. Stream &amp; Compound Data'!$F$18,"",IF(Q190&lt;&gt;"N/A",Q190,IF(R190&lt;&gt;"N/A",R190,IF(S190&lt;&gt;"N/A",S190,T190))))</f>
        <v/>
      </c>
      <c r="V190" s="1294" t="str">
        <f>IF(H190&gt;'I. Stream &amp; Compound Data'!$F$18,"",IF(U190&lt;&gt;0,ROUND(10^(4*U190+2),3),0))</f>
        <v/>
      </c>
      <c r="W190" s="1294" t="str">
        <f>IF(H190&gt;'I. Stream &amp; Compound Data'!$F$18,"",MAX(K190:L190))</f>
        <v/>
      </c>
      <c r="X190" s="1297" t="str">
        <f>IF(H190&gt;'I. Stream &amp; Compound Data'!$F$18,"",ROUND(V190*W190,3))</f>
        <v/>
      </c>
      <c r="Y190" s="279"/>
      <c r="Z190" s="279"/>
      <c r="AA190" s="279"/>
      <c r="AB190" s="279"/>
      <c r="AC190" s="279"/>
      <c r="AD190" s="279"/>
      <c r="AE190" s="279"/>
      <c r="AF190" s="279"/>
      <c r="AG190" s="279"/>
      <c r="AH190" s="279"/>
      <c r="AI190" s="279"/>
      <c r="AJ190" s="279"/>
      <c r="AK190" s="279"/>
      <c r="AL190" s="279"/>
      <c r="AM190" s="279"/>
      <c r="AN190" s="279"/>
      <c r="AO190" s="279"/>
      <c r="AP190" s="279"/>
      <c r="AQ190" s="279"/>
      <c r="AR190" s="279"/>
      <c r="AS190" s="279"/>
      <c r="AT190" s="279"/>
      <c r="AU190" s="279"/>
      <c r="AV190" s="279"/>
      <c r="AW190" s="279"/>
      <c r="AX190" s="279"/>
      <c r="AY190" s="279"/>
      <c r="AZ190" s="279"/>
      <c r="BA190" s="279"/>
      <c r="BB190" s="279"/>
      <c r="BC190" s="279"/>
      <c r="BD190" s="279"/>
      <c r="BE190" s="279"/>
      <c r="BF190" s="279"/>
      <c r="BG190" s="279"/>
      <c r="BH190" s="279"/>
      <c r="BI190" s="279"/>
      <c r="BJ190" s="279"/>
      <c r="BK190" s="279"/>
      <c r="BL190" s="279"/>
      <c r="BM190" s="279"/>
      <c r="BN190" s="279"/>
      <c r="BO190" s="279"/>
      <c r="BP190" s="279"/>
      <c r="BQ190" s="279"/>
      <c r="BR190" s="279"/>
      <c r="BS190" s="279"/>
      <c r="BT190" s="279"/>
      <c r="BU190" s="279"/>
      <c r="BV190" s="279"/>
      <c r="BW190" s="279"/>
      <c r="BX190" s="279"/>
      <c r="BY190" s="279"/>
      <c r="BZ190" s="279"/>
      <c r="CA190" s="279"/>
      <c r="CB190" s="279"/>
      <c r="CC190" s="279"/>
      <c r="CD190" s="279"/>
      <c r="CE190" s="279"/>
      <c r="CF190" s="279"/>
      <c r="CG190" s="279"/>
      <c r="CH190" s="279"/>
      <c r="CI190" s="279"/>
      <c r="CJ190" s="279"/>
      <c r="CK190" s="279"/>
      <c r="CL190" s="279"/>
      <c r="CM190" s="279"/>
      <c r="CN190" s="382"/>
    </row>
    <row r="191" ht="24" customHeight="true" thickBot="true" x14ac:dyDescent="0.35">
      <c r="B191" s="361"/>
      <c r="C191" s="279"/>
      <c r="D191" s="280"/>
      <c r="E191" s="287"/>
      <c r="F191" s="287"/>
      <c r="G191" s="287"/>
      <c r="H191" s="1298">
        <f t="shared" si="10"/>
        <v>50</v>
      </c>
      <c r="I191" s="1299" t="str">
        <f>'I. Stream &amp; Compound Data'!G311</f>
        <v/>
      </c>
      <c r="J191" s="1300" t="str">
        <f>'I. Stream &amp; Compound Data'!H311</f>
        <v/>
      </c>
      <c r="K191" s="1300" t="str">
        <f>'I. Stream &amp; Compound Data'!L311</f>
        <v/>
      </c>
      <c r="L191" s="1300" t="str">
        <f>'I. Stream &amp; Compound Data'!M311</f>
        <v/>
      </c>
      <c r="M191" s="1301" t="str">
        <f>IF('I. Stream &amp; Compound Data'!AP311&lt;&gt;"",'I. Stream &amp; Compound Data'!AP311,IF('I. Stream &amp; Compound Data'!AQ311&lt;&gt;"",'I. Stream &amp; Compound Data'!AQ311,""))</f>
        <v/>
      </c>
      <c r="N191" s="1301" t="str">
        <f>IF('I. Stream &amp; Compound Data'!AR311&lt;&gt;"",'I. Stream &amp; Compound Data'!AR311,IF('I. Stream &amp; Compound Data'!AS311&lt;&gt;"",'I. Stream &amp; Compound Data'!AS311,""))</f>
        <v/>
      </c>
      <c r="O191" s="1301" t="str">
        <f>IF('I. Stream &amp; Compound Data'!BJ311&lt;&gt;"",'I. Stream &amp; Compound Data'!BJ311,"")</f>
        <v/>
      </c>
      <c r="P191" s="1301" t="str">
        <f>IF('I. Stream &amp; Compound Data'!AK311&lt;&gt;"",'I. Stream &amp; Compound Data'!AK311,"")</f>
        <v/>
      </c>
      <c r="Q191" s="1302" t="str">
        <f>IF(H191&gt;'I. Stream &amp; Compound Data'!$F$18,"",IF(M191="C",0.875,IF(M191="Xi",0.625,"N/A")))</f>
        <v/>
      </c>
      <c r="R191" s="1225" t="str">
        <f>IF(H191&gt;'I. Stream &amp; Compound Data'!$F$18,"",IF(Q191="N/A",IF(N191="","N/A",IF(N191=35,1,IF(N191=34,0.875,IF(AND(N191&gt;=36,N191&lt;=38),0.625,0)))),"N/A"))</f>
        <v/>
      </c>
      <c r="S191" s="1290" t="str">
        <f>IF(H191&gt;'I. Stream &amp; Compound Data'!$F$18,"",IF(AND(Q191="N/A",R191="N/A"),IF(O191="","N/A",IF(AND(O191&gt;=1,O191&lt;=5),-0.25*O191+1.25,IF(AND(O191&gt;5,O191&lt;8.5),0,IF(AND(O191&gt;=8.5,O191&lt;=12.5),0.25*O191-2.125,1)))),"N/A"))</f>
        <v/>
      </c>
      <c r="T191" s="1303" t="str">
        <f>IF(H191&gt;'I. Stream &amp; Compound Data'!$F$18,"",IF(AND(Q191="N/A",R191="N/A",S191="N/A"),IF(P191="","N/A",ROUND(IF(P191&lt;=5,1,IF(AND(P191&gt;5,P191&lt;50000),-0.109*LN(P191)+1.1747,0)),3)),"N/A"))</f>
        <v/>
      </c>
      <c r="U191" s="1300" t="str">
        <f>IF(H191&gt;'I. Stream &amp; Compound Data'!$F$18,"",IF(Q191&lt;&gt;"N/A",Q191,IF(R191&lt;&gt;"N/A",R191,IF(S191&lt;&gt;"N/A",S191,T191))))</f>
        <v/>
      </c>
      <c r="V191" s="1300" t="str">
        <f>IF(H191&gt;'I. Stream &amp; Compound Data'!$F$18,"",IF(U191&lt;&gt;0,ROUND(10^(4*U191+2),3),0))</f>
        <v/>
      </c>
      <c r="W191" s="1300" t="str">
        <f>IF(H191&gt;'I. Stream &amp; Compound Data'!$F$18,"",MAX(K191:L191))</f>
        <v/>
      </c>
      <c r="X191" s="1304" t="str">
        <f>IF(H191&gt;'I. Stream &amp; Compound Data'!$F$18,"",ROUND(V191*W191,3))</f>
        <v/>
      </c>
      <c r="Y191" s="279"/>
      <c r="Z191" s="279"/>
      <c r="AA191" s="279"/>
      <c r="AB191" s="279"/>
      <c r="AC191" s="279"/>
      <c r="AD191" s="279"/>
      <c r="AE191" s="279"/>
      <c r="AF191" s="279"/>
      <c r="AG191" s="279"/>
      <c r="AH191" s="279"/>
      <c r="AI191" s="279"/>
      <c r="AJ191" s="279"/>
      <c r="AK191" s="279"/>
      <c r="AL191" s="279"/>
      <c r="AM191" s="279"/>
      <c r="AN191" s="279"/>
      <c r="AO191" s="279"/>
      <c r="AP191" s="279"/>
      <c r="AQ191" s="279"/>
      <c r="AR191" s="279"/>
      <c r="AS191" s="279"/>
      <c r="AT191" s="279"/>
      <c r="AU191" s="279"/>
      <c r="AV191" s="279"/>
      <c r="AW191" s="279"/>
      <c r="AX191" s="279"/>
      <c r="AY191" s="279"/>
      <c r="AZ191" s="279"/>
      <c r="BA191" s="279"/>
      <c r="BB191" s="279"/>
      <c r="BC191" s="279"/>
      <c r="BD191" s="279"/>
      <c r="BE191" s="279"/>
      <c r="BF191" s="279"/>
      <c r="BG191" s="279"/>
      <c r="BH191" s="279"/>
      <c r="BI191" s="279"/>
      <c r="BJ191" s="279"/>
      <c r="BK191" s="279"/>
      <c r="BL191" s="279"/>
      <c r="BM191" s="279"/>
      <c r="BN191" s="279"/>
      <c r="BO191" s="279"/>
      <c r="BP191" s="279"/>
      <c r="BQ191" s="279"/>
      <c r="BR191" s="279"/>
      <c r="BS191" s="279"/>
      <c r="BT191" s="279"/>
      <c r="BU191" s="279"/>
      <c r="BV191" s="279"/>
      <c r="BW191" s="279"/>
      <c r="BX191" s="279"/>
      <c r="BY191" s="279"/>
      <c r="BZ191" s="279"/>
      <c r="CA191" s="279"/>
      <c r="CB191" s="279"/>
      <c r="CC191" s="279"/>
      <c r="CD191" s="279"/>
      <c r="CE191" s="279"/>
      <c r="CF191" s="279"/>
      <c r="CG191" s="279"/>
      <c r="CH191" s="279"/>
      <c r="CI191" s="279"/>
      <c r="CJ191" s="279"/>
      <c r="CK191" s="279"/>
      <c r="CL191" s="279"/>
      <c r="CM191" s="279"/>
      <c r="CN191" s="382"/>
    </row>
    <row r="192" ht="24" customHeight="true" thickBot="true" x14ac:dyDescent="0.35">
      <c r="B192" s="361"/>
      <c r="C192" s="279"/>
      <c r="D192" s="280"/>
      <c r="E192" s="287"/>
      <c r="F192" s="287"/>
      <c r="G192" s="287"/>
      <c r="H192" s="280"/>
      <c r="I192" s="287"/>
      <c r="J192" s="287"/>
      <c r="K192" s="287"/>
      <c r="L192" s="280"/>
      <c r="M192" s="304"/>
      <c r="N192" s="279"/>
      <c r="O192" s="280"/>
      <c r="P192" s="362"/>
      <c r="Q192" s="287"/>
      <c r="R192" s="296"/>
      <c r="S192" s="280"/>
      <c r="T192" s="280"/>
      <c r="U192" s="279"/>
      <c r="V192" s="297"/>
      <c r="W192" s="287" t="s">
        <v>88</v>
      </c>
      <c r="X192" s="1305">
        <f>SUM(X142:X191)</f>
        <v>214363822.97600001</v>
      </c>
      <c r="Y192" s="279"/>
      <c r="Z192" s="279"/>
      <c r="AA192" s="279"/>
      <c r="AB192" s="279"/>
      <c r="AC192" s="279"/>
      <c r="AD192" s="279"/>
      <c r="AE192" s="279"/>
      <c r="AF192" s="279"/>
      <c r="AG192" s="279"/>
      <c r="AH192" s="279"/>
      <c r="AI192" s="279"/>
      <c r="AJ192" s="279"/>
      <c r="AK192" s="279"/>
      <c r="AL192" s="279"/>
      <c r="AM192" s="279"/>
      <c r="AN192" s="279"/>
      <c r="AO192" s="279"/>
      <c r="AP192" s="279"/>
      <c r="AQ192" s="279"/>
      <c r="AR192" s="279"/>
      <c r="AS192" s="279"/>
      <c r="AT192" s="279"/>
      <c r="AU192" s="279"/>
      <c r="AV192" s="279"/>
      <c r="AW192" s="279"/>
      <c r="AX192" s="279"/>
      <c r="AY192" s="279"/>
      <c r="AZ192" s="279"/>
      <c r="BA192" s="279"/>
      <c r="BB192" s="279"/>
      <c r="BC192" s="279"/>
      <c r="BD192" s="279"/>
      <c r="BE192" s="279"/>
      <c r="BF192" s="279"/>
      <c r="BG192" s="279"/>
      <c r="BH192" s="279"/>
      <c r="BI192" s="279"/>
      <c r="BJ192" s="279"/>
      <c r="BK192" s="279"/>
      <c r="BL192" s="279"/>
      <c r="BM192" s="279"/>
      <c r="BN192" s="279"/>
      <c r="BO192" s="279"/>
      <c r="BP192" s="279"/>
      <c r="BQ192" s="279"/>
      <c r="BR192" s="279"/>
      <c r="BS192" s="279"/>
      <c r="BT192" s="279"/>
      <c r="BU192" s="279"/>
      <c r="BV192" s="279"/>
      <c r="BW192" s="279"/>
      <c r="BX192" s="279"/>
      <c r="BY192" s="279"/>
      <c r="BZ192" s="279"/>
      <c r="CA192" s="279"/>
      <c r="CB192" s="279"/>
      <c r="CC192" s="279"/>
      <c r="CD192" s="279"/>
      <c r="CE192" s="279"/>
      <c r="CF192" s="279"/>
      <c r="CG192" s="279"/>
      <c r="CH192" s="279"/>
      <c r="CI192" s="279"/>
      <c r="CJ192" s="279"/>
      <c r="CK192" s="279"/>
      <c r="CL192" s="279"/>
      <c r="CM192" s="279"/>
      <c r="CN192" s="382"/>
    </row>
    <row r="193" ht="20.25" customHeight="true" x14ac:dyDescent="0.3">
      <c r="B193" s="361"/>
      <c r="C193" s="279"/>
      <c r="D193" s="280"/>
      <c r="E193" s="287"/>
      <c r="F193" s="287"/>
      <c r="G193" s="287"/>
      <c r="H193" s="280"/>
      <c r="I193" s="304"/>
      <c r="J193" s="279"/>
      <c r="K193" s="280"/>
      <c r="L193" s="362"/>
      <c r="M193" s="287"/>
      <c r="N193" s="296"/>
      <c r="O193" s="280"/>
      <c r="P193" s="280"/>
      <c r="Q193" s="279"/>
      <c r="R193" s="297"/>
      <c r="S193" s="298"/>
      <c r="T193" s="298"/>
      <c r="U193" s="299"/>
      <c r="V193" s="279"/>
      <c r="W193" s="279"/>
      <c r="X193" s="279"/>
      <c r="Y193" s="279"/>
      <c r="Z193" s="279"/>
      <c r="AA193" s="279"/>
      <c r="AB193" s="279"/>
      <c r="AC193" s="279"/>
      <c r="AD193" s="279"/>
      <c r="AE193" s="279"/>
      <c r="AF193" s="279"/>
      <c r="AG193" s="279"/>
      <c r="AH193" s="279"/>
      <c r="AI193" s="279"/>
      <c r="AJ193" s="279"/>
      <c r="AK193" s="279"/>
      <c r="AL193" s="279"/>
      <c r="AM193" s="279"/>
      <c r="AN193" s="279"/>
      <c r="AO193" s="279"/>
      <c r="AP193" s="279"/>
      <c r="AQ193" s="279"/>
      <c r="AR193" s="279"/>
      <c r="AS193" s="279"/>
      <c r="AT193" s="279"/>
      <c r="AU193" s="279"/>
      <c r="AV193" s="279"/>
      <c r="AW193" s="279"/>
      <c r="AX193" s="279"/>
      <c r="AY193" s="279"/>
      <c r="AZ193" s="279"/>
      <c r="BA193" s="279"/>
      <c r="BB193" s="279"/>
      <c r="BC193" s="279"/>
      <c r="BD193" s="279"/>
      <c r="BE193" s="279"/>
      <c r="BF193" s="279"/>
      <c r="BG193" s="279"/>
      <c r="BH193" s="279"/>
      <c r="BI193" s="279"/>
      <c r="BJ193" s="279"/>
      <c r="BK193" s="279"/>
      <c r="BL193" s="279"/>
      <c r="BM193" s="279"/>
      <c r="BN193" s="279"/>
      <c r="BO193" s="279"/>
      <c r="BP193" s="279"/>
      <c r="BQ193" s="279"/>
      <c r="BR193" s="279"/>
      <c r="BS193" s="279"/>
      <c r="BT193" s="279"/>
      <c r="BU193" s="279"/>
      <c r="BV193" s="279"/>
      <c r="BW193" s="279"/>
      <c r="BX193" s="279"/>
      <c r="BY193" s="279"/>
      <c r="BZ193" s="279"/>
      <c r="CA193" s="279"/>
      <c r="CB193" s="279"/>
      <c r="CC193" s="279"/>
      <c r="CD193" s="279"/>
      <c r="CE193" s="279"/>
      <c r="CF193" s="279"/>
      <c r="CG193" s="279"/>
      <c r="CH193" s="279"/>
      <c r="CI193" s="279"/>
      <c r="CJ193" s="279"/>
      <c r="CK193" s="279"/>
      <c r="CL193" s="279"/>
      <c r="CM193" s="279"/>
      <c r="CN193" s="382"/>
    </row>
    <row r="194" ht="20.25" customHeight="true" x14ac:dyDescent="0.3">
      <c r="B194" s="361"/>
      <c r="C194" s="279"/>
      <c r="D194" s="280"/>
      <c r="E194" s="287"/>
      <c r="F194" s="287"/>
      <c r="G194" s="287"/>
      <c r="H194" s="280"/>
      <c r="I194" s="304"/>
      <c r="J194" s="279"/>
      <c r="K194" s="280"/>
      <c r="L194" s="362"/>
      <c r="M194" s="287"/>
      <c r="N194" s="296"/>
      <c r="O194" s="280"/>
      <c r="P194" s="280"/>
      <c r="Q194" s="279"/>
      <c r="R194" s="297"/>
      <c r="S194" s="298"/>
      <c r="T194" s="298"/>
      <c r="U194" s="299"/>
      <c r="V194" s="279"/>
      <c r="W194" s="279"/>
      <c r="X194" s="279"/>
      <c r="Y194" s="279"/>
      <c r="Z194" s="279"/>
      <c r="AA194" s="279"/>
      <c r="AB194" s="279"/>
      <c r="AC194" s="279"/>
      <c r="AD194" s="279"/>
      <c r="AE194" s="279"/>
      <c r="AF194" s="279"/>
      <c r="AG194" s="279"/>
      <c r="AH194" s="279"/>
      <c r="AI194" s="279"/>
      <c r="AJ194" s="279"/>
      <c r="AK194" s="279"/>
      <c r="AL194" s="279"/>
      <c r="AM194" s="279"/>
      <c r="AN194" s="279"/>
      <c r="AO194" s="279"/>
      <c r="AP194" s="279"/>
      <c r="AQ194" s="279"/>
      <c r="AR194" s="279"/>
      <c r="AS194" s="279"/>
      <c r="AT194" s="279"/>
      <c r="AU194" s="279"/>
      <c r="AV194" s="279"/>
      <c r="AW194" s="279"/>
      <c r="AX194" s="279"/>
      <c r="AY194" s="279"/>
      <c r="AZ194" s="279"/>
      <c r="BA194" s="279"/>
      <c r="BB194" s="279"/>
      <c r="BC194" s="279"/>
      <c r="BD194" s="279"/>
      <c r="BE194" s="279"/>
      <c r="BF194" s="279"/>
      <c r="BG194" s="279"/>
      <c r="BH194" s="279"/>
      <c r="BI194" s="279"/>
      <c r="BJ194" s="279"/>
      <c r="BK194" s="279"/>
      <c r="BL194" s="279"/>
      <c r="BM194" s="279"/>
      <c r="BN194" s="279"/>
      <c r="BO194" s="279"/>
      <c r="BP194" s="279"/>
      <c r="BQ194" s="279"/>
      <c r="BR194" s="279"/>
      <c r="BS194" s="279"/>
      <c r="BT194" s="279"/>
      <c r="BU194" s="279"/>
      <c r="BV194" s="279"/>
      <c r="BW194" s="279"/>
      <c r="BX194" s="279"/>
      <c r="BY194" s="279"/>
      <c r="BZ194" s="279"/>
      <c r="CA194" s="279"/>
      <c r="CB194" s="279"/>
      <c r="CC194" s="279"/>
      <c r="CD194" s="279"/>
      <c r="CE194" s="279"/>
      <c r="CF194" s="279"/>
      <c r="CG194" s="279"/>
      <c r="CH194" s="279"/>
      <c r="CI194" s="279"/>
      <c r="CJ194" s="279"/>
      <c r="CK194" s="279"/>
      <c r="CL194" s="279"/>
      <c r="CM194" s="279"/>
      <c r="CN194" s="382"/>
    </row>
    <row r="195" ht="20.25" customHeight="true" x14ac:dyDescent="0.3">
      <c r="B195" s="361"/>
      <c r="C195" s="279"/>
      <c r="D195" s="280"/>
      <c r="E195" s="287"/>
      <c r="F195" s="287"/>
      <c r="G195" s="287"/>
      <c r="H195" s="280"/>
      <c r="I195" s="304"/>
      <c r="J195" s="279"/>
      <c r="K195" s="280"/>
      <c r="L195" s="362"/>
      <c r="M195" s="287"/>
      <c r="N195" s="296"/>
      <c r="O195" s="280"/>
      <c r="P195" s="280"/>
      <c r="Q195" s="279"/>
      <c r="R195" s="297"/>
      <c r="S195" s="298"/>
      <c r="T195" s="298"/>
      <c r="U195" s="299"/>
      <c r="V195" s="279"/>
      <c r="W195" s="279"/>
      <c r="X195" s="279"/>
      <c r="Y195" s="279"/>
      <c r="Z195" s="279"/>
      <c r="AA195" s="279"/>
      <c r="AB195" s="279"/>
      <c r="AC195" s="279"/>
      <c r="AD195" s="279"/>
      <c r="AE195" s="279"/>
      <c r="AF195" s="279"/>
      <c r="AG195" s="279"/>
      <c r="AH195" s="279"/>
      <c r="AI195" s="279"/>
      <c r="AJ195" s="279"/>
      <c r="AK195" s="279"/>
      <c r="AL195" s="279"/>
      <c r="AM195" s="279"/>
      <c r="AN195" s="279"/>
      <c r="AO195" s="279"/>
      <c r="AP195" s="279"/>
      <c r="AQ195" s="279"/>
      <c r="AR195" s="279"/>
      <c r="AS195" s="279"/>
      <c r="AT195" s="279"/>
      <c r="AU195" s="279"/>
      <c r="AV195" s="279"/>
      <c r="AW195" s="279"/>
      <c r="AX195" s="279"/>
      <c r="AY195" s="279"/>
      <c r="AZ195" s="279"/>
      <c r="BA195" s="279"/>
      <c r="BB195" s="279"/>
      <c r="BC195" s="279"/>
      <c r="BD195" s="279"/>
      <c r="BE195" s="279"/>
      <c r="BF195" s="279"/>
      <c r="BG195" s="279"/>
      <c r="BH195" s="279"/>
      <c r="BI195" s="279"/>
      <c r="BJ195" s="279"/>
      <c r="BK195" s="279"/>
      <c r="BL195" s="279"/>
      <c r="BM195" s="279"/>
      <c r="BN195" s="279"/>
      <c r="BO195" s="279"/>
      <c r="BP195" s="279"/>
      <c r="BQ195" s="279"/>
      <c r="BR195" s="279"/>
      <c r="BS195" s="279"/>
      <c r="BT195" s="279"/>
      <c r="BU195" s="279"/>
      <c r="BV195" s="279"/>
      <c r="BW195" s="279"/>
      <c r="BX195" s="279"/>
      <c r="BY195" s="279"/>
      <c r="BZ195" s="279"/>
      <c r="CA195" s="279"/>
      <c r="CB195" s="279"/>
      <c r="CC195" s="279"/>
      <c r="CD195" s="279"/>
      <c r="CE195" s="279"/>
      <c r="CF195" s="279"/>
      <c r="CG195" s="279"/>
      <c r="CH195" s="279"/>
      <c r="CI195" s="279"/>
      <c r="CJ195" s="279"/>
      <c r="CK195" s="279"/>
      <c r="CL195" s="279"/>
      <c r="CM195" s="279"/>
      <c r="CN195" s="382"/>
    </row>
    <row r="196" ht="20.25" customHeight="true" x14ac:dyDescent="0.3">
      <c r="B196" s="361"/>
      <c r="C196" s="279"/>
      <c r="D196" s="280"/>
      <c r="E196" s="287"/>
      <c r="F196" s="287"/>
      <c r="G196" s="287"/>
      <c r="H196" s="280"/>
      <c r="I196" s="304"/>
      <c r="J196" s="279"/>
      <c r="K196" s="280"/>
      <c r="L196" s="362"/>
      <c r="M196" s="287"/>
      <c r="N196" s="296"/>
      <c r="O196" s="280"/>
      <c r="P196" s="280"/>
      <c r="Q196" s="279"/>
      <c r="R196" s="297"/>
      <c r="S196" s="298"/>
      <c r="T196" s="298"/>
      <c r="U196" s="299"/>
      <c r="V196" s="279"/>
      <c r="W196" s="279"/>
      <c r="X196" s="279"/>
      <c r="Y196" s="279"/>
      <c r="Z196" s="279"/>
      <c r="AA196" s="279"/>
      <c r="AB196" s="279"/>
      <c r="AC196" s="279"/>
      <c r="AD196" s="279"/>
      <c r="AE196" s="279"/>
      <c r="AF196" s="279"/>
      <c r="AG196" s="279"/>
      <c r="AH196" s="279"/>
      <c r="AI196" s="279"/>
      <c r="AJ196" s="279"/>
      <c r="AK196" s="279"/>
      <c r="AL196" s="279"/>
      <c r="AM196" s="279"/>
      <c r="AN196" s="279"/>
      <c r="AO196" s="279"/>
      <c r="AP196" s="279"/>
      <c r="AQ196" s="279"/>
      <c r="AR196" s="279"/>
      <c r="AS196" s="279"/>
      <c r="AT196" s="279"/>
      <c r="AU196" s="279"/>
      <c r="AV196" s="279"/>
      <c r="AW196" s="279"/>
      <c r="AX196" s="279"/>
      <c r="AY196" s="279"/>
      <c r="AZ196" s="279"/>
      <c r="BA196" s="279"/>
      <c r="BB196" s="279"/>
      <c r="BC196" s="279"/>
      <c r="BD196" s="279"/>
      <c r="BE196" s="279"/>
      <c r="BF196" s="279"/>
      <c r="BG196" s="279"/>
      <c r="BH196" s="279"/>
      <c r="BI196" s="279"/>
      <c r="BJ196" s="279"/>
      <c r="BK196" s="279"/>
      <c r="BL196" s="279"/>
      <c r="BM196" s="279"/>
      <c r="BN196" s="279"/>
      <c r="BO196" s="279"/>
      <c r="BP196" s="279"/>
      <c r="BQ196" s="279"/>
      <c r="BR196" s="279"/>
      <c r="BS196" s="279"/>
      <c r="BT196" s="279"/>
      <c r="BU196" s="279"/>
      <c r="BV196" s="279"/>
      <c r="BW196" s="279"/>
      <c r="BX196" s="279"/>
      <c r="BY196" s="279"/>
      <c r="BZ196" s="279"/>
      <c r="CA196" s="279"/>
      <c r="CB196" s="279"/>
      <c r="CC196" s="279"/>
      <c r="CD196" s="279"/>
      <c r="CE196" s="279"/>
      <c r="CF196" s="279"/>
      <c r="CG196" s="279"/>
      <c r="CH196" s="279"/>
      <c r="CI196" s="279"/>
      <c r="CJ196" s="279"/>
      <c r="CK196" s="279"/>
      <c r="CL196" s="279"/>
      <c r="CM196" s="279"/>
      <c r="CN196" s="382"/>
    </row>
    <row r="197" ht="20.25" customHeight="true" thickBot="true" x14ac:dyDescent="0.35">
      <c r="B197" s="361"/>
      <c r="C197" s="279"/>
      <c r="D197" s="280"/>
      <c r="E197" s="287"/>
      <c r="F197" s="287"/>
      <c r="G197" s="287"/>
      <c r="H197" s="280"/>
      <c r="I197" s="304"/>
      <c r="J197" s="279"/>
      <c r="K197" s="280"/>
      <c r="L197" s="362"/>
      <c r="M197" s="287"/>
      <c r="N197" s="296"/>
      <c r="O197" s="280"/>
      <c r="P197" s="280"/>
      <c r="Q197" s="279"/>
      <c r="R197" s="297"/>
      <c r="S197" s="298"/>
      <c r="T197" s="298"/>
      <c r="U197" s="299"/>
      <c r="V197" s="279"/>
      <c r="W197" s="279"/>
      <c r="X197" s="279"/>
      <c r="Y197" s="279"/>
      <c r="Z197" s="279"/>
      <c r="AA197" s="279"/>
      <c r="AB197" s="279"/>
      <c r="AC197" s="279"/>
      <c r="AD197" s="279"/>
      <c r="AE197" s="279"/>
      <c r="AF197" s="279"/>
      <c r="AG197" s="279"/>
      <c r="AH197" s="279"/>
      <c r="AI197" s="279"/>
      <c r="AJ197" s="279"/>
      <c r="AK197" s="279"/>
      <c r="AL197" s="279"/>
      <c r="AM197" s="279"/>
      <c r="AN197" s="279"/>
      <c r="AO197" s="279"/>
      <c r="AP197" s="279"/>
      <c r="AQ197" s="279"/>
      <c r="AR197" s="279"/>
      <c r="AS197" s="279"/>
      <c r="AT197" s="279"/>
      <c r="AU197" s="279"/>
      <c r="AV197" s="279"/>
      <c r="AW197" s="279"/>
      <c r="AX197" s="279"/>
      <c r="AY197" s="279"/>
      <c r="AZ197" s="279"/>
      <c r="BA197" s="279"/>
      <c r="BB197" s="279"/>
      <c r="BC197" s="279"/>
      <c r="BD197" s="279"/>
      <c r="BE197" s="279"/>
      <c r="BF197" s="279"/>
      <c r="BG197" s="279"/>
      <c r="BH197" s="279"/>
      <c r="BI197" s="279"/>
      <c r="BJ197" s="279"/>
      <c r="BK197" s="279"/>
      <c r="BL197" s="279"/>
      <c r="BM197" s="279"/>
      <c r="BN197" s="279"/>
      <c r="BO197" s="279"/>
      <c r="BP197" s="279"/>
      <c r="BQ197" s="279"/>
      <c r="BR197" s="279"/>
      <c r="BS197" s="279"/>
      <c r="BT197" s="279"/>
      <c r="BU197" s="279"/>
      <c r="BV197" s="279"/>
      <c r="BW197" s="279"/>
      <c r="BX197" s="279"/>
      <c r="BY197" s="279"/>
      <c r="BZ197" s="279"/>
      <c r="CA197" s="279"/>
      <c r="CB197" s="279"/>
      <c r="CC197" s="279"/>
      <c r="CD197" s="279"/>
      <c r="CE197" s="279"/>
      <c r="CF197" s="279"/>
      <c r="CG197" s="279"/>
      <c r="CH197" s="279"/>
      <c r="CI197" s="279"/>
      <c r="CJ197" s="279"/>
      <c r="CK197" s="279"/>
      <c r="CL197" s="279"/>
      <c r="CM197" s="279"/>
      <c r="CN197" s="382"/>
    </row>
    <row r="198" ht="28.5" customHeight="true" thickBot="true" x14ac:dyDescent="0.35">
      <c r="B198" s="361"/>
      <c r="C198" s="279"/>
      <c r="D198" s="280"/>
      <c r="E198" s="287"/>
      <c r="F198" s="287"/>
      <c r="G198" s="287"/>
      <c r="H198" s="1953" t="s">
        <v>260</v>
      </c>
      <c r="I198" s="1954"/>
      <c r="J198" s="1954"/>
      <c r="K198" s="1954"/>
      <c r="L198" s="1955"/>
      <c r="M198" s="287"/>
      <c r="N198" s="296"/>
      <c r="O198" s="280"/>
      <c r="P198" s="287"/>
      <c r="Q198" s="286"/>
      <c r="R198" s="363"/>
      <c r="S198" s="364"/>
      <c r="T198" s="364"/>
      <c r="U198" s="299"/>
      <c r="V198" s="279"/>
      <c r="W198" s="279"/>
      <c r="X198" s="279"/>
      <c r="Y198" s="279"/>
      <c r="Z198" s="279"/>
      <c r="AA198" s="279"/>
      <c r="AB198" s="279"/>
      <c r="AC198" s="279"/>
      <c r="AD198" s="279"/>
      <c r="AE198" s="279"/>
      <c r="AF198" s="279"/>
      <c r="AG198" s="279"/>
      <c r="AH198" s="279"/>
      <c r="AI198" s="279"/>
      <c r="AJ198" s="279"/>
      <c r="AK198" s="279"/>
      <c r="AL198" s="279"/>
      <c r="AM198" s="279"/>
      <c r="AN198" s="279"/>
      <c r="AO198" s="279"/>
      <c r="AP198" s="279"/>
      <c r="AQ198" s="279"/>
      <c r="AR198" s="279"/>
      <c r="AS198" s="279"/>
      <c r="AT198" s="279"/>
      <c r="AU198" s="279"/>
      <c r="AV198" s="279"/>
      <c r="AW198" s="279"/>
      <c r="AX198" s="279"/>
      <c r="AY198" s="279"/>
      <c r="AZ198" s="279"/>
      <c r="BA198" s="279"/>
      <c r="BB198" s="279"/>
      <c r="BC198" s="279"/>
      <c r="BD198" s="279"/>
      <c r="BE198" s="279"/>
      <c r="BF198" s="279"/>
      <c r="BG198" s="279"/>
      <c r="BH198" s="279"/>
      <c r="BI198" s="279"/>
      <c r="BJ198" s="279"/>
      <c r="BK198" s="279"/>
      <c r="BL198" s="279"/>
      <c r="BM198" s="279"/>
      <c r="BN198" s="279"/>
      <c r="BO198" s="279"/>
      <c r="BP198" s="279"/>
      <c r="BQ198" s="279"/>
      <c r="BR198" s="279"/>
      <c r="BS198" s="279"/>
      <c r="BT198" s="279"/>
      <c r="BU198" s="279"/>
      <c r="BV198" s="279"/>
      <c r="BW198" s="279"/>
      <c r="BX198" s="279"/>
      <c r="BY198" s="279"/>
      <c r="BZ198" s="279"/>
      <c r="CA198" s="279"/>
      <c r="CB198" s="279"/>
      <c r="CC198" s="279"/>
      <c r="CD198" s="279"/>
      <c r="CE198" s="279"/>
      <c r="CF198" s="279"/>
      <c r="CG198" s="279"/>
      <c r="CH198" s="279"/>
      <c r="CI198" s="279"/>
      <c r="CJ198" s="279"/>
      <c r="CK198" s="279"/>
      <c r="CL198" s="279"/>
      <c r="CM198" s="279"/>
      <c r="CN198" s="382"/>
    </row>
    <row r="199" ht="24" customHeight="true" x14ac:dyDescent="0.25">
      <c r="B199" s="361"/>
      <c r="C199" s="279"/>
      <c r="D199" s="280"/>
      <c r="E199" s="287"/>
      <c r="F199" s="287"/>
      <c r="G199" s="287"/>
      <c r="H199" s="282" t="s">
        <v>1469</v>
      </c>
      <c r="I199" s="1166" t="s">
        <v>240</v>
      </c>
      <c r="J199" s="267" t="s">
        <v>239</v>
      </c>
      <c r="K199" s="1166" t="s">
        <v>261</v>
      </c>
      <c r="L199" s="1166" t="s">
        <v>205</v>
      </c>
      <c r="M199" s="1949" t="s">
        <v>254</v>
      </c>
      <c r="N199" s="1949"/>
      <c r="O199" s="1949"/>
      <c r="P199" s="1949"/>
      <c r="Q199" s="288" t="s">
        <v>253</v>
      </c>
      <c r="R199" s="283" t="s">
        <v>396</v>
      </c>
      <c r="S199" s="283" t="s">
        <v>255</v>
      </c>
      <c r="T199" s="289" t="s">
        <v>262</v>
      </c>
      <c r="U199" s="299"/>
      <c r="V199" s="279"/>
      <c r="W199" s="279"/>
      <c r="X199" s="279"/>
      <c r="Y199" s="279"/>
      <c r="Z199" s="279"/>
      <c r="AA199" s="279"/>
      <c r="AB199" s="279"/>
      <c r="AC199" s="279"/>
      <c r="AD199" s="279"/>
      <c r="AE199" s="279"/>
      <c r="AF199" s="279"/>
      <c r="AG199" s="279"/>
      <c r="AH199" s="279"/>
      <c r="AI199" s="279"/>
      <c r="AJ199" s="279"/>
      <c r="AK199" s="279"/>
      <c r="AL199" s="279"/>
      <c r="AM199" s="279"/>
      <c r="AN199" s="279"/>
      <c r="AO199" s="279"/>
      <c r="AP199" s="279"/>
      <c r="AQ199" s="279"/>
      <c r="AR199" s="279"/>
      <c r="AS199" s="279"/>
      <c r="AT199" s="279"/>
      <c r="AU199" s="279"/>
      <c r="AV199" s="279"/>
      <c r="AW199" s="279"/>
      <c r="AX199" s="279"/>
      <c r="AY199" s="279"/>
      <c r="AZ199" s="279"/>
      <c r="BA199" s="279"/>
      <c r="BB199" s="279"/>
      <c r="BC199" s="279"/>
      <c r="BD199" s="279"/>
      <c r="BE199" s="279"/>
      <c r="BF199" s="279"/>
      <c r="BG199" s="279"/>
      <c r="BH199" s="279"/>
      <c r="BI199" s="279"/>
      <c r="BJ199" s="279"/>
      <c r="BK199" s="279"/>
      <c r="BL199" s="279"/>
      <c r="BM199" s="279"/>
      <c r="BN199" s="279"/>
      <c r="BO199" s="279"/>
      <c r="BP199" s="279"/>
      <c r="BQ199" s="279"/>
      <c r="BR199" s="279"/>
      <c r="BS199" s="279"/>
      <c r="BT199" s="279"/>
      <c r="BU199" s="279"/>
      <c r="BV199" s="279"/>
      <c r="BW199" s="279"/>
      <c r="BX199" s="279"/>
      <c r="BY199" s="279"/>
      <c r="BZ199" s="279"/>
      <c r="CA199" s="279"/>
      <c r="CB199" s="279"/>
      <c r="CC199" s="279"/>
      <c r="CD199" s="279"/>
      <c r="CE199" s="279"/>
      <c r="CF199" s="279"/>
      <c r="CG199" s="279"/>
      <c r="CH199" s="279"/>
      <c r="CI199" s="279"/>
      <c r="CJ199" s="279"/>
      <c r="CK199" s="279"/>
      <c r="CL199" s="279"/>
      <c r="CM199" s="279"/>
      <c r="CN199" s="382"/>
    </row>
    <row r="200" ht="24" customHeight="true" x14ac:dyDescent="0.25">
      <c r="B200" s="361"/>
      <c r="C200" s="279"/>
      <c r="D200" s="280"/>
      <c r="E200" s="287"/>
      <c r="F200" s="287"/>
      <c r="G200" s="287"/>
      <c r="H200" s="1292">
        <f t="shared" ref="H200:H249" si="11">H142</f>
        <v>1</v>
      </c>
      <c r="I200" s="1295">
        <f>IF('I. Stream &amp; Compound Data'!AB262&lt;&gt;"",'I. Stream &amp; Compound Data'!AB262,"")</f>
        <v>9100</v>
      </c>
      <c r="J200" s="1295" t="str">
        <f t="shared" ref="J200:J218" si="12">IF(M142&lt;&gt;"",M142,"")</f>
        <v>T+</v>
      </c>
      <c r="K200" s="1190">
        <f>IF('I. Stream &amp; Compound Data'!AT262&lt;&gt;"",'I. Stream &amp; Compound Data'!AT262,IF('I. Stream &amp; Compound Data'!AU262&lt;&gt;"",'I. Stream &amp; Compound Data'!AU262,""))</f>
        <v>1</v>
      </c>
      <c r="L200" s="1190" t="str">
        <f>IF('I. Stream &amp; Compound Data'!AR262&lt;&gt;"",'I. Stream &amp; Compound Data'!AR262,IF('I. Stream &amp; Compound Data'!AS262&lt;&gt;"",'I. Stream &amp; Compound Data'!AS262,""))</f>
        <v>26/27/28</v>
      </c>
      <c r="M200" s="1306">
        <f>IF(H200&gt;'I. Stream &amp; Compound Data'!$F$18,"",IF(I200="","N/A",ROUND(IF(I200&lt;=0.1,1,IF(AND(I200&gt;0.1,I200&lt;10000),-0.087*LN(I200)+0.8,0)),3)))</f>
        <v>7.0000000000000001E-3</v>
      </c>
      <c r="N200" s="1168" t="str">
        <f>IF(H200&gt;'I. Stream &amp; Compound Data'!$F$18,"",IF(M200="N/A",IF(J200="","N/A",IF(J200="T+",0.7,IF(J200="T",0.5,IF(J200="Xn",0.3,"N/A")))),"N/A"))</f>
        <v>N/A</v>
      </c>
      <c r="O200" s="1242" t="str">
        <f>IF(H200&gt;'I. Stream &amp; Compound Data'!$F$18,"",IF(AND(M200="N/A",N200="N/A"),IF(K200="","N/A",IF(K200=1,0.8,IF(K200=2,0.7,IF(K200=3,0.5,IF(K200=4,0.3,IF(K200=5,0.1,0)))))),"N/A"))</f>
        <v>N/A</v>
      </c>
      <c r="P200" s="1307" t="str">
        <f>IF(H200&gt;'I. Stream &amp; Compound Data'!$F$18,"",IF(AND(M200="N/A",N200="N/A",O200="N/A"),IF(L200="","N/A",IF(OR(L200=45,L200=46,L200=47,L200=49,L200=60,L200=61),1,IF(OR(L200=40,L200=62,L200=63,L200=64),0.8,IF(OR(L200=29,L200=32,L200=48),0.7,IF(OR(L200=42,L200=43),0.6,IF(OR(L200=31,L200=33),0.5,0)))))),"N/A"))</f>
        <v>N/A</v>
      </c>
      <c r="Q200" s="1242">
        <f>IF(H200&gt;'I. Stream &amp; Compound Data'!$F$18,"",IF(M200&lt;&gt;"N/A",M200,IF(N200&lt;&gt;"N/A",N200,IF(O200&lt;&gt;"N/A",O200,P200))))</f>
        <v>7.0000000000000001E-3</v>
      </c>
      <c r="R200" s="1242">
        <f>IF(H200&gt;'I. Stream &amp; Compound Data'!$F$18,"",IF(Q200="N/A",0,IF(Q200&gt;0,ROUND(10^(5*Q200+2),3),0)))</f>
        <v>108.393</v>
      </c>
      <c r="S200" s="1242">
        <f>IF(H200&gt;'I. Stream &amp; Compound Data'!$F$18,"",MAX(K142:L142))</f>
        <v>2980.7504537999998</v>
      </c>
      <c r="T200" s="1268">
        <f>IF(H200&gt;'I. Stream &amp; Compound Data'!$F$18,"",ROUND(R200*S200,3))</f>
        <v>323092.484</v>
      </c>
      <c r="U200" s="299"/>
      <c r="V200" s="279"/>
      <c r="W200" s="279"/>
      <c r="X200" s="279"/>
      <c r="Y200" s="279"/>
      <c r="Z200" s="279"/>
      <c r="AA200" s="279"/>
      <c r="AB200" s="279"/>
      <c r="AC200" s="279"/>
      <c r="AD200" s="279"/>
      <c r="AE200" s="279"/>
      <c r="AF200" s="279"/>
      <c r="AG200" s="279"/>
      <c r="AH200" s="279"/>
      <c r="AI200" s="279"/>
      <c r="AJ200" s="279"/>
      <c r="AK200" s="279"/>
      <c r="AL200" s="279"/>
      <c r="AM200" s="279"/>
      <c r="AN200" s="279"/>
      <c r="AO200" s="279"/>
      <c r="AP200" s="279"/>
      <c r="AQ200" s="279"/>
      <c r="AR200" s="279"/>
      <c r="AS200" s="279"/>
      <c r="AT200" s="279"/>
      <c r="AU200" s="279"/>
      <c r="AV200" s="279"/>
      <c r="AW200" s="279"/>
      <c r="AX200" s="279"/>
      <c r="AY200" s="279"/>
      <c r="AZ200" s="279"/>
      <c r="BA200" s="279"/>
      <c r="BB200" s="279"/>
      <c r="BC200" s="279"/>
      <c r="BD200" s="279"/>
      <c r="BE200" s="279"/>
      <c r="BF200" s="279"/>
      <c r="BG200" s="279"/>
      <c r="BH200" s="279"/>
      <c r="BI200" s="279"/>
      <c r="BJ200" s="279"/>
      <c r="BK200" s="279"/>
      <c r="BL200" s="279"/>
      <c r="BM200" s="279"/>
      <c r="BN200" s="279"/>
      <c r="BO200" s="279"/>
      <c r="BP200" s="279"/>
      <c r="BQ200" s="279"/>
      <c r="BR200" s="279"/>
      <c r="BS200" s="279"/>
      <c r="BT200" s="279"/>
      <c r="BU200" s="279"/>
      <c r="BV200" s="279"/>
      <c r="BW200" s="279"/>
      <c r="BX200" s="279"/>
      <c r="BY200" s="279"/>
      <c r="BZ200" s="279"/>
      <c r="CA200" s="279"/>
      <c r="CB200" s="279"/>
      <c r="CC200" s="279"/>
      <c r="CD200" s="279"/>
      <c r="CE200" s="279"/>
      <c r="CF200" s="279"/>
      <c r="CG200" s="279"/>
      <c r="CH200" s="279"/>
      <c r="CI200" s="279"/>
      <c r="CJ200" s="279"/>
      <c r="CK200" s="279"/>
      <c r="CL200" s="279"/>
      <c r="CM200" s="279"/>
      <c r="CN200" s="382"/>
    </row>
    <row r="201" ht="24" customHeight="true" x14ac:dyDescent="0.25">
      <c r="B201" s="361"/>
      <c r="C201" s="279"/>
      <c r="D201" s="280"/>
      <c r="E201" s="287"/>
      <c r="F201" s="287"/>
      <c r="G201" s="287"/>
      <c r="H201" s="1292">
        <f t="shared" si="11"/>
        <v>2</v>
      </c>
      <c r="I201" s="1190" t="str">
        <f>IF('I. Stream &amp; Compound Data'!AB263&lt;&gt;"",'I. Stream &amp; Compound Data'!AB263,"")</f>
        <v/>
      </c>
      <c r="J201" s="1295" t="str">
        <f t="shared" si="12"/>
        <v/>
      </c>
      <c r="K201" s="1190" t="str">
        <f>IF('I. Stream &amp; Compound Data'!AT263&lt;&gt;"",'I. Stream &amp; Compound Data'!AT263,IF('I. Stream &amp; Compound Data'!AU263&lt;&gt;"",'I. Stream &amp; Compound Data'!AU263,""))</f>
        <v>NO</v>
      </c>
      <c r="L201" s="1190" t="str">
        <f>IF('I. Stream &amp; Compound Data'!AR263&lt;&gt;"",'I. Stream &amp; Compound Data'!AR263,IF('I. Stream &amp; Compound Data'!AS263&lt;&gt;"",'I. Stream &amp; Compound Data'!AS263,""))</f>
        <v/>
      </c>
      <c r="M201" s="1306" t="str">
        <f>IF(H201&gt;'I. Stream &amp; Compound Data'!$F$18,"",IF(I201="","N/A",ROUND(IF(I201&lt;=0.1,1,IF(AND(I201&gt;0.1,I201&lt;10000),-0.087*LN(I201)+0.8,0)),3)))</f>
        <v>N/A</v>
      </c>
      <c r="N201" s="1168" t="str">
        <f>IF(H201&gt;'I. Stream &amp; Compound Data'!$F$18,"",IF(M201="N/A",IF(J201="","N/A",IF(J201="T+",0.7,IF(J201="T",0.5,IF(J201="Xn",0.3,"N/A")))),"N/A"))</f>
        <v>N/A</v>
      </c>
      <c r="O201" s="1242">
        <f>IF(H201&gt;'I. Stream &amp; Compound Data'!$F$18,"",IF(AND(M201="N/A",N201="N/A"),IF(K201="","N/A",IF(K201=1,0.8,IF(K201=2,0.7,IF(K201=3,0.5,IF(K201=4,0.3,IF(K201=5,0.1,0)))))),"N/A"))</f>
        <v>0</v>
      </c>
      <c r="P201" s="1307" t="str">
        <f>IF(H201&gt;'I. Stream &amp; Compound Data'!$F$18,"",IF(AND(M201="N/A",N201="N/A",O201="N/A"),IF(L201="","N/A",IF(OR(L201=45,L201=46,L201=47,L201=49,L201=60,L201=61),1,IF(OR(L201=40,L201=62,L201=63,L201=64),0.8,IF(OR(L201=29,L201=32,L201=48),0.7,IF(OR(L201=42,L201=43),0.6,IF(OR(L201=31,L201=33),0.5,0)))))),"N/A"))</f>
        <v>N/A</v>
      </c>
      <c r="Q201" s="1242">
        <f>IF(H201&gt;'I. Stream &amp; Compound Data'!$F$18,"",IF(M201&lt;&gt;"N/A",M201,IF(N201&lt;&gt;"N/A",N201,IF(O201&lt;&gt;"N/A",O201,P201))))</f>
        <v>0</v>
      </c>
      <c r="R201" s="1242">
        <f>IF(H201&gt;'I. Stream &amp; Compound Data'!$F$18,"",IF(Q201="N/A",0,IF(Q201&gt;0,ROUND(10^(5*Q201+2),3),0)))</f>
        <v>0</v>
      </c>
      <c r="S201" s="1242">
        <f>IF(H201&gt;'I. Stream &amp; Compound Data'!$F$18,"",MAX(K143:L143))</f>
        <v>0</v>
      </c>
      <c r="T201" s="1268">
        <f>IF(H201&gt;'I. Stream &amp; Compound Data'!$F$18,"",ROUND(R201*S201,3))</f>
        <v>0</v>
      </c>
      <c r="U201" s="299"/>
      <c r="V201" s="279"/>
      <c r="W201" s="279"/>
      <c r="X201" s="279"/>
      <c r="Y201" s="279"/>
      <c r="Z201" s="279"/>
      <c r="AA201" s="279"/>
      <c r="AB201" s="279"/>
      <c r="AC201" s="279"/>
      <c r="AD201" s="279"/>
      <c r="AE201" s="279"/>
      <c r="AF201" s="279"/>
      <c r="AG201" s="279"/>
      <c r="AH201" s="279"/>
      <c r="AI201" s="279"/>
      <c r="AJ201" s="279"/>
      <c r="AK201" s="279"/>
      <c r="AL201" s="279"/>
      <c r="AM201" s="279"/>
      <c r="AN201" s="279"/>
      <c r="AO201" s="279"/>
      <c r="AP201" s="279"/>
      <c r="AQ201" s="279"/>
      <c r="AR201" s="279"/>
      <c r="AS201" s="279"/>
      <c r="AT201" s="279"/>
      <c r="AU201" s="279"/>
      <c r="AV201" s="279"/>
      <c r="AW201" s="279"/>
      <c r="AX201" s="279"/>
      <c r="AY201" s="279"/>
      <c r="AZ201" s="279"/>
      <c r="BA201" s="279"/>
      <c r="BB201" s="279"/>
      <c r="BC201" s="279"/>
      <c r="BD201" s="279"/>
      <c r="BE201" s="279"/>
      <c r="BF201" s="279"/>
      <c r="BG201" s="279"/>
      <c r="BH201" s="279"/>
      <c r="BI201" s="279"/>
      <c r="BJ201" s="279"/>
      <c r="BK201" s="279"/>
      <c r="BL201" s="279"/>
      <c r="BM201" s="279"/>
      <c r="BN201" s="279"/>
      <c r="BO201" s="279"/>
      <c r="BP201" s="279"/>
      <c r="BQ201" s="279"/>
      <c r="BR201" s="279"/>
      <c r="BS201" s="279"/>
      <c r="BT201" s="279"/>
      <c r="BU201" s="279"/>
      <c r="BV201" s="279"/>
      <c r="BW201" s="279"/>
      <c r="BX201" s="279"/>
      <c r="BY201" s="279"/>
      <c r="BZ201" s="279"/>
      <c r="CA201" s="279"/>
      <c r="CB201" s="279"/>
      <c r="CC201" s="279"/>
      <c r="CD201" s="279"/>
      <c r="CE201" s="279"/>
      <c r="CF201" s="279"/>
      <c r="CG201" s="279"/>
      <c r="CH201" s="279"/>
      <c r="CI201" s="279"/>
      <c r="CJ201" s="279"/>
      <c r="CK201" s="279"/>
      <c r="CL201" s="279"/>
      <c r="CM201" s="279"/>
      <c r="CN201" s="382"/>
    </row>
    <row r="202" ht="24" customHeight="true" x14ac:dyDescent="0.25">
      <c r="B202" s="361"/>
      <c r="C202" s="279"/>
      <c r="D202" s="280"/>
      <c r="E202" s="287"/>
      <c r="F202" s="287"/>
      <c r="G202" s="287"/>
      <c r="H202" s="1292">
        <f t="shared" si="11"/>
        <v>3</v>
      </c>
      <c r="I202" s="1190">
        <f>IF('I. Stream &amp; Compound Data'!AB264&lt;&gt;"",'I. Stream &amp; Compound Data'!AB264,"")</f>
        <v>1</v>
      </c>
      <c r="J202" s="1295" t="str">
        <f t="shared" si="12"/>
        <v>Xn</v>
      </c>
      <c r="K202" s="1190">
        <f>IF('I. Stream &amp; Compound Data'!AT264&lt;&gt;"",'I. Stream &amp; Compound Data'!AT264,IF('I. Stream &amp; Compound Data'!AU264&lt;&gt;"",'I. Stream &amp; Compound Data'!AU264,""))</f>
        <v>4</v>
      </c>
      <c r="L202" s="1190" t="str">
        <f>IF('I. Stream &amp; Compound Data'!AR264&lt;&gt;"",'I. Stream &amp; Compound Data'!AR264,IF('I. Stream &amp; Compound Data'!AS264&lt;&gt;"",'I. Stream &amp; Compound Data'!AS264,""))</f>
        <v>20/21/22</v>
      </c>
      <c r="M202" s="1306">
        <f>IF(H202&gt;'I. Stream &amp; Compound Data'!$F$18,"",IF(I202="","N/A",ROUND(IF(I202&lt;=0.1,1,IF(AND(I202&gt;0.1,I202&lt;10000),-0.087*LN(I202)+0.8,0)),3)))</f>
        <v>0.8</v>
      </c>
      <c r="N202" s="1168" t="str">
        <f>IF(H202&gt;'I. Stream &amp; Compound Data'!$F$18,"",IF(M202="N/A",IF(J202="","N/A",IF(J202="T+",0.7,IF(J202="T",0.5,IF(J202="Xn",0.3,"N/A")))),"N/A"))</f>
        <v>N/A</v>
      </c>
      <c r="O202" s="1242" t="str">
        <f>IF(H202&gt;'I. Stream &amp; Compound Data'!$F$18,"",IF(AND(M202="N/A",N202="N/A"),IF(K202="","N/A",IF(K202=1,0.8,IF(K202=2,0.7,IF(K202=3,0.5,IF(K202=4,0.3,IF(K202=5,0.1,0)))))),"N/A"))</f>
        <v>N/A</v>
      </c>
      <c r="P202" s="1307" t="str">
        <f>IF(H202&gt;'I. Stream &amp; Compound Data'!$F$18,"",IF(AND(M202="N/A",N202="N/A",O202="N/A"),IF(L202="","N/A",IF(OR(L202=45,L202=46,L202=47,L202=49,L202=60,L202=61),1,IF(OR(L202=40,L202=62,L202=63,L202=64),0.8,IF(OR(L202=29,L202=32,L202=48),0.7,IF(OR(L202=42,L202=43),0.6,IF(OR(L202=31,L202=33),0.5,0)))))),"N/A"))</f>
        <v>N/A</v>
      </c>
      <c r="Q202" s="1242">
        <f>IF(H202&gt;'I. Stream &amp; Compound Data'!$F$18,"",IF(M202&lt;&gt;"N/A",M202,IF(N202&lt;&gt;"N/A",N202,IF(O202&lt;&gt;"N/A",O202,P202))))</f>
        <v>0.8</v>
      </c>
      <c r="R202" s="1242">
        <f>IF(H202&gt;'I. Stream &amp; Compound Data'!$F$18,"",IF(Q202="N/A",0,IF(Q202&gt;0,ROUND(10^(5*Q202+2),3),0)))</f>
        <v>1000000</v>
      </c>
      <c r="S202" s="1242">
        <f>IF(H202&gt;'I. Stream &amp; Compound Data'!$F$18,"",MAX(K144:L144))</f>
        <v>2888.3362910273868</v>
      </c>
      <c r="T202" s="1268">
        <f>IF(H202&gt;'I. Stream &amp; Compound Data'!$F$18,"",ROUND(R202*S202,3))</f>
        <v>2888336291.027</v>
      </c>
      <c r="U202" s="299"/>
      <c r="V202" s="279"/>
      <c r="W202" s="279"/>
      <c r="X202" s="279"/>
      <c r="Y202" s="279"/>
      <c r="Z202" s="279"/>
      <c r="AA202" s="279"/>
      <c r="AB202" s="279"/>
      <c r="AC202" s="279"/>
      <c r="AD202" s="279"/>
      <c r="AE202" s="279"/>
      <c r="AF202" s="279"/>
      <c r="AG202" s="279"/>
      <c r="AH202" s="279"/>
      <c r="AI202" s="279"/>
      <c r="AJ202" s="279"/>
      <c r="AK202" s="279"/>
      <c r="AL202" s="279"/>
      <c r="AM202" s="279"/>
      <c r="AN202" s="279"/>
      <c r="AO202" s="279"/>
      <c r="AP202" s="279"/>
      <c r="AQ202" s="279"/>
      <c r="AR202" s="279"/>
      <c r="AS202" s="279"/>
      <c r="AT202" s="279"/>
      <c r="AU202" s="279"/>
      <c r="AV202" s="279"/>
      <c r="AW202" s="279"/>
      <c r="AX202" s="279"/>
      <c r="AY202" s="279"/>
      <c r="AZ202" s="279"/>
      <c r="BA202" s="279"/>
      <c r="BB202" s="279"/>
      <c r="BC202" s="279"/>
      <c r="BD202" s="279"/>
      <c r="BE202" s="279"/>
      <c r="BF202" s="279"/>
      <c r="BG202" s="279"/>
      <c r="BH202" s="279"/>
      <c r="BI202" s="279"/>
      <c r="BJ202" s="279"/>
      <c r="BK202" s="279"/>
      <c r="BL202" s="279"/>
      <c r="BM202" s="279"/>
      <c r="BN202" s="279"/>
      <c r="BO202" s="279"/>
      <c r="BP202" s="279"/>
      <c r="BQ202" s="279"/>
      <c r="BR202" s="279"/>
      <c r="BS202" s="279"/>
      <c r="BT202" s="279"/>
      <c r="BU202" s="279"/>
      <c r="BV202" s="279"/>
      <c r="BW202" s="279"/>
      <c r="BX202" s="279"/>
      <c r="BY202" s="279"/>
      <c r="BZ202" s="279"/>
      <c r="CA202" s="279"/>
      <c r="CB202" s="279"/>
      <c r="CC202" s="279"/>
      <c r="CD202" s="279"/>
      <c r="CE202" s="279"/>
      <c r="CF202" s="279"/>
      <c r="CG202" s="279"/>
      <c r="CH202" s="279"/>
      <c r="CI202" s="279"/>
      <c r="CJ202" s="279"/>
      <c r="CK202" s="279"/>
      <c r="CL202" s="279"/>
      <c r="CM202" s="279"/>
      <c r="CN202" s="382"/>
    </row>
    <row r="203" ht="24" customHeight="true" x14ac:dyDescent="0.25">
      <c r="B203" s="361"/>
      <c r="C203" s="279"/>
      <c r="D203" s="280"/>
      <c r="E203" s="287"/>
      <c r="F203" s="287"/>
      <c r="G203" s="287"/>
      <c r="H203" s="1292">
        <f t="shared" si="11"/>
        <v>4</v>
      </c>
      <c r="I203" s="1190" t="str">
        <f>IF('I. Stream &amp; Compound Data'!AB265&lt;&gt;"",'I. Stream &amp; Compound Data'!AB265,"")</f>
        <v/>
      </c>
      <c r="J203" s="1295" t="str">
        <f t="shared" si="12"/>
        <v/>
      </c>
      <c r="K203" s="1190" t="str">
        <f>IF('I. Stream &amp; Compound Data'!AT265&lt;&gt;"",'I. Stream &amp; Compound Data'!AT265,IF('I. Stream &amp; Compound Data'!AU265&lt;&gt;"",'I. Stream &amp; Compound Data'!AU265,""))</f>
        <v>NO</v>
      </c>
      <c r="L203" s="1190">
        <f>IF('I. Stream &amp; Compound Data'!AR265&lt;&gt;"",'I. Stream &amp; Compound Data'!AR265,IF('I. Stream &amp; Compound Data'!AS265&lt;&gt;"",'I. Stream &amp; Compound Data'!AS265,""))</f>
        <v>36</v>
      </c>
      <c r="M203" s="1306" t="str">
        <f>IF(H203&gt;'I. Stream &amp; Compound Data'!$F$18,"",IF(I203="","N/A",ROUND(IF(I203&lt;=0.1,1,IF(AND(I203&gt;0.1,I203&lt;10000),-0.087*LN(I203)+0.8,0)),3)))</f>
        <v>N/A</v>
      </c>
      <c r="N203" s="1168" t="str">
        <f>IF(H203&gt;'I. Stream &amp; Compound Data'!$F$18,"",IF(M203="N/A",IF(J203="","N/A",IF(J203="T+",0.7,IF(J203="T",0.5,IF(J203="Xn",0.3,"N/A")))),"N/A"))</f>
        <v>N/A</v>
      </c>
      <c r="O203" s="1242">
        <f>IF(H203&gt;'I. Stream &amp; Compound Data'!$F$18,"",IF(AND(M203="N/A",N203="N/A"),IF(K203="","N/A",IF(K203=1,0.8,IF(K203=2,0.7,IF(K203=3,0.5,IF(K203=4,0.3,IF(K203=5,0.1,0)))))),"N/A"))</f>
        <v>0</v>
      </c>
      <c r="P203" s="1307" t="str">
        <f>IF(H203&gt;'I. Stream &amp; Compound Data'!$F$18,"",IF(AND(M203="N/A",N203="N/A",O203="N/A"),IF(L203="","N/A",IF(OR(L203=45,L203=46,L203=47,L203=49,L203=60,L203=61),1,IF(OR(L203=40,L203=62,L203=63,L203=64),0.8,IF(OR(L203=29,L203=32,L203=48),0.7,IF(OR(L203=42,L203=43),0.6,IF(OR(L203=31,L203=33),0.5,0)))))),"N/A"))</f>
        <v>N/A</v>
      </c>
      <c r="Q203" s="1242">
        <f>IF(H203&gt;'I. Stream &amp; Compound Data'!$F$18,"",IF(M203&lt;&gt;"N/A",M203,IF(N203&lt;&gt;"N/A",N203,IF(O203&lt;&gt;"N/A",O203,P203))))</f>
        <v>0</v>
      </c>
      <c r="R203" s="1242">
        <f>IF(H203&gt;'I. Stream &amp; Compound Data'!$F$18,"",IF(Q203="N/A",0,IF(Q203&gt;0,ROUND(10^(5*Q203+2),3),0)))</f>
        <v>0</v>
      </c>
      <c r="S203" s="1242">
        <f>IF(H203&gt;'I. Stream &amp; Compound Data'!$F$18,"",MAX(K145:L145))</f>
        <v>6778.7792000553327</v>
      </c>
      <c r="T203" s="1268">
        <f>IF(H203&gt;'I. Stream &amp; Compound Data'!$F$18,"",ROUND(R203*S203,3))</f>
        <v>0</v>
      </c>
      <c r="U203" s="299"/>
      <c r="V203" s="279"/>
      <c r="W203" s="279"/>
      <c r="X203" s="279"/>
      <c r="Y203" s="279"/>
      <c r="Z203" s="279"/>
      <c r="AA203" s="279"/>
      <c r="AB203" s="279"/>
      <c r="AC203" s="279"/>
      <c r="AD203" s="279"/>
      <c r="AE203" s="279"/>
      <c r="AF203" s="279"/>
      <c r="AG203" s="279"/>
      <c r="AH203" s="279"/>
      <c r="AI203" s="279"/>
      <c r="AJ203" s="279"/>
      <c r="AK203" s="279"/>
      <c r="AL203" s="279"/>
      <c r="AM203" s="279"/>
      <c r="AN203" s="279"/>
      <c r="AO203" s="279"/>
      <c r="AP203" s="279"/>
      <c r="AQ203" s="279"/>
      <c r="AR203" s="279"/>
      <c r="AS203" s="279"/>
      <c r="AT203" s="279"/>
      <c r="AU203" s="279"/>
      <c r="AV203" s="279"/>
      <c r="AW203" s="279"/>
      <c r="AX203" s="279"/>
      <c r="AY203" s="279"/>
      <c r="AZ203" s="279"/>
      <c r="BA203" s="279"/>
      <c r="BB203" s="279"/>
      <c r="BC203" s="279"/>
      <c r="BD203" s="279"/>
      <c r="BE203" s="279"/>
      <c r="BF203" s="279"/>
      <c r="BG203" s="279"/>
      <c r="BH203" s="279"/>
      <c r="BI203" s="279"/>
      <c r="BJ203" s="279"/>
      <c r="BK203" s="279"/>
      <c r="BL203" s="279"/>
      <c r="BM203" s="279"/>
      <c r="BN203" s="279"/>
      <c r="BO203" s="279"/>
      <c r="BP203" s="279"/>
      <c r="BQ203" s="279"/>
      <c r="BR203" s="279"/>
      <c r="BS203" s="279"/>
      <c r="BT203" s="279"/>
      <c r="BU203" s="279"/>
      <c r="BV203" s="279"/>
      <c r="BW203" s="279"/>
      <c r="BX203" s="279"/>
      <c r="BY203" s="279"/>
      <c r="BZ203" s="279"/>
      <c r="CA203" s="279"/>
      <c r="CB203" s="279"/>
      <c r="CC203" s="279"/>
      <c r="CD203" s="279"/>
      <c r="CE203" s="279"/>
      <c r="CF203" s="279"/>
      <c r="CG203" s="279"/>
      <c r="CH203" s="279"/>
      <c r="CI203" s="279"/>
      <c r="CJ203" s="279"/>
      <c r="CK203" s="279"/>
      <c r="CL203" s="279"/>
      <c r="CM203" s="279"/>
      <c r="CN203" s="382"/>
    </row>
    <row r="204" ht="24" customHeight="true" x14ac:dyDescent="0.25">
      <c r="B204" s="361"/>
      <c r="C204" s="279"/>
      <c r="D204" s="280"/>
      <c r="E204" s="287"/>
      <c r="F204" s="287"/>
      <c r="G204" s="287"/>
      <c r="H204" s="1292">
        <f t="shared" si="11"/>
        <v>5</v>
      </c>
      <c r="I204" s="1295" t="str">
        <f>IF('I. Stream &amp; Compound Data'!AB266&lt;&gt;"",'I. Stream &amp; Compound Data'!AB266,"")</f>
        <v/>
      </c>
      <c r="J204" s="1190" t="str">
        <f t="shared" si="12"/>
        <v/>
      </c>
      <c r="K204" s="1190" t="str">
        <f>IF('I. Stream &amp; Compound Data'!AT266&lt;&gt;"",'I. Stream &amp; Compound Data'!AT266,IF('I. Stream &amp; Compound Data'!AU266&lt;&gt;"",'I. Stream &amp; Compound Data'!AU266,""))</f>
        <v/>
      </c>
      <c r="L204" s="1190" t="str">
        <f>IF('I. Stream &amp; Compound Data'!AR266&lt;&gt;"",'I. Stream &amp; Compound Data'!AR266,IF('I. Stream &amp; Compound Data'!AS266&lt;&gt;"",'I. Stream &amp; Compound Data'!AS266,""))</f>
        <v/>
      </c>
      <c r="M204" s="1306" t="str">
        <f>IF(H204&gt;'I. Stream &amp; Compound Data'!$F$18,"",IF(I204="","N/A",ROUND(IF(I204&lt;=0.1,1,IF(AND(I204&gt;0.1,I204&lt;10000),-0.087*LN(I204)+0.8,0)),3)))</f>
        <v/>
      </c>
      <c r="N204" s="1168" t="str">
        <f>IF(H204&gt;'I. Stream &amp; Compound Data'!$F$18,"",IF(M204="N/A",IF(J204="","N/A",IF(J204="T+",0.7,IF(J204="T",0.5,IF(J204="Xn",0.3,"N/A")))),"N/A"))</f>
        <v/>
      </c>
      <c r="O204" s="1242" t="str">
        <f>IF(H204&gt;'I. Stream &amp; Compound Data'!$F$18,"",IF(AND(M204="N/A",N204="N/A"),IF(K204="","N/A",IF(K204=1,0.8,IF(K204=2,0.7,IF(K204=3,0.5,IF(K204=4,0.3,IF(K204=5,0.1,0)))))),"N/A"))</f>
        <v/>
      </c>
      <c r="P204" s="1307" t="str">
        <f>IF(H204&gt;'I. Stream &amp; Compound Data'!$F$18,"",IF(AND(M204="N/A",N204="N/A",O204="N/A"),IF(L204="","N/A",IF(OR(L204=45,L204=46,L204=47,L204=49,L204=60,L204=61),1,IF(OR(L204=40,L204=62,L204=63,L204=64),0.8,IF(OR(L204=29,L204=32,L204=48),0.7,IF(OR(L204=42,L204=43),0.6,IF(OR(L204=31,L204=33),0.5,0)))))),"N/A"))</f>
        <v/>
      </c>
      <c r="Q204" s="1242" t="str">
        <f>IF(H204&gt;'I. Stream &amp; Compound Data'!$F$18,"",IF(M204&lt;&gt;"N/A",M204,IF(N204&lt;&gt;"N/A",N204,IF(O204&lt;&gt;"N/A",O204,P204))))</f>
        <v/>
      </c>
      <c r="R204" s="1242" t="str">
        <f>IF(H204&gt;'I. Stream &amp; Compound Data'!$F$18,"",IF(Q204="N/A",0,IF(Q204&gt;0,ROUND(10^(5*Q204+2),3),0)))</f>
        <v/>
      </c>
      <c r="S204" s="1242" t="str">
        <f>IF(H204&gt;'I. Stream &amp; Compound Data'!$F$18,"",MAX(K146:L146))</f>
        <v/>
      </c>
      <c r="T204" s="1268" t="str">
        <f>IF(H204&gt;'I. Stream &amp; Compound Data'!$F$18,"",ROUND(R204*S204,3))</f>
        <v/>
      </c>
      <c r="U204" s="299"/>
      <c r="V204" s="279"/>
      <c r="W204" s="279"/>
      <c r="X204" s="279"/>
      <c r="Y204" s="279"/>
      <c r="Z204" s="279"/>
      <c r="AA204" s="279"/>
      <c r="AB204" s="279"/>
      <c r="AC204" s="279"/>
      <c r="AD204" s="279"/>
      <c r="AE204" s="279"/>
      <c r="AF204" s="279"/>
      <c r="AG204" s="279"/>
      <c r="AH204" s="279"/>
      <c r="AI204" s="279"/>
      <c r="AJ204" s="279"/>
      <c r="AK204" s="279"/>
      <c r="AL204" s="279"/>
      <c r="AM204" s="279"/>
      <c r="AN204" s="279"/>
      <c r="AO204" s="279"/>
      <c r="AP204" s="279"/>
      <c r="AQ204" s="279"/>
      <c r="AR204" s="279"/>
      <c r="AS204" s="279"/>
      <c r="AT204" s="279"/>
      <c r="AU204" s="279"/>
      <c r="AV204" s="279"/>
      <c r="AW204" s="279"/>
      <c r="AX204" s="279"/>
      <c r="AY204" s="279"/>
      <c r="AZ204" s="279"/>
      <c r="BA204" s="279"/>
      <c r="BB204" s="279"/>
      <c r="BC204" s="279"/>
      <c r="BD204" s="279"/>
      <c r="BE204" s="279"/>
      <c r="BF204" s="279"/>
      <c r="BG204" s="279"/>
      <c r="BH204" s="279"/>
      <c r="BI204" s="279"/>
      <c r="BJ204" s="279"/>
      <c r="BK204" s="279"/>
      <c r="BL204" s="279"/>
      <c r="BM204" s="279"/>
      <c r="BN204" s="279"/>
      <c r="BO204" s="279"/>
      <c r="BP204" s="279"/>
      <c r="BQ204" s="279"/>
      <c r="BR204" s="279"/>
      <c r="BS204" s="279"/>
      <c r="BT204" s="279"/>
      <c r="BU204" s="279"/>
      <c r="BV204" s="279"/>
      <c r="BW204" s="279"/>
      <c r="BX204" s="279"/>
      <c r="BY204" s="279"/>
      <c r="BZ204" s="279"/>
      <c r="CA204" s="279"/>
      <c r="CB204" s="279"/>
      <c r="CC204" s="279"/>
      <c r="CD204" s="279"/>
      <c r="CE204" s="279"/>
      <c r="CF204" s="279"/>
      <c r="CG204" s="279"/>
      <c r="CH204" s="279"/>
      <c r="CI204" s="279"/>
      <c r="CJ204" s="279"/>
      <c r="CK204" s="279"/>
      <c r="CL204" s="279"/>
      <c r="CM204" s="279"/>
      <c r="CN204" s="382"/>
    </row>
    <row r="205" ht="24" customHeight="true" x14ac:dyDescent="0.25">
      <c r="B205" s="361"/>
      <c r="C205" s="279"/>
      <c r="D205" s="280"/>
      <c r="E205" s="287"/>
      <c r="F205" s="287"/>
      <c r="G205" s="287"/>
      <c r="H205" s="1292">
        <f t="shared" si="11"/>
        <v>6</v>
      </c>
      <c r="I205" s="1295" t="str">
        <f>IF('I. Stream &amp; Compound Data'!AB267&lt;&gt;"",'I. Stream &amp; Compound Data'!AB267,"")</f>
        <v/>
      </c>
      <c r="J205" s="1295" t="str">
        <f t="shared" si="12"/>
        <v/>
      </c>
      <c r="K205" s="1190" t="str">
        <f>IF('I. Stream &amp; Compound Data'!AT267&lt;&gt;"",'I. Stream &amp; Compound Data'!AT267,IF('I. Stream &amp; Compound Data'!AU267&lt;&gt;"",'I. Stream &amp; Compound Data'!AU267,""))</f>
        <v/>
      </c>
      <c r="L205" s="1190" t="str">
        <f>IF('I. Stream &amp; Compound Data'!AR267&lt;&gt;"",'I. Stream &amp; Compound Data'!AR267,IF('I. Stream &amp; Compound Data'!AS267&lt;&gt;"",'I. Stream &amp; Compound Data'!AS267,""))</f>
        <v/>
      </c>
      <c r="M205" s="1306" t="str">
        <f>IF(H205&gt;'I. Stream &amp; Compound Data'!$F$18,"",IF(I205="","N/A",ROUND(IF(I205&lt;=0.1,1,IF(AND(I205&gt;0.1,I205&lt;10000),-0.087*LN(I205)+0.8,0)),3)))</f>
        <v/>
      </c>
      <c r="N205" s="1168" t="str">
        <f>IF(H205&gt;'I. Stream &amp; Compound Data'!$F$18,"",IF(M205="N/A",IF(J205="","N/A",IF(J205="T+",0.7,IF(J205="T",0.5,IF(J205="Xn",0.3,"N/A")))),"N/A"))</f>
        <v/>
      </c>
      <c r="O205" s="1242" t="str">
        <f>IF(H205&gt;'I. Stream &amp; Compound Data'!$F$18,"",IF(AND(M205="N/A",N205="N/A"),IF(K205="","N/A",IF(K205=1,0.8,IF(K205=2,0.7,IF(K205=3,0.5,IF(K205=4,0.3,IF(K205=5,0.1,0)))))),"N/A"))</f>
        <v/>
      </c>
      <c r="P205" s="1307" t="str">
        <f>IF(H205&gt;'I. Stream &amp; Compound Data'!$F$18,"",IF(AND(M205="N/A",N205="N/A",O205="N/A"),IF(L205="","N/A",IF(OR(L205=45,L205=46,L205=47,L205=49,L205=60,L205=61),1,IF(OR(L205=40,L205=62,L205=63,L205=64),0.8,IF(OR(L205=29,L205=32,L205=48),0.7,IF(OR(L205=42,L205=43),0.6,IF(OR(L205=31,L205=33),0.5,0)))))),"N/A"))</f>
        <v/>
      </c>
      <c r="Q205" s="1242" t="str">
        <f>IF(H205&gt;'I. Stream &amp; Compound Data'!$F$18,"",IF(M205&lt;&gt;"N/A",M205,IF(N205&lt;&gt;"N/A",N205,IF(O205&lt;&gt;"N/A",O205,P205))))</f>
        <v/>
      </c>
      <c r="R205" s="1242" t="str">
        <f>IF(H205&gt;'I. Stream &amp; Compound Data'!$F$18,"",IF(Q205="N/A",0,IF(Q205&gt;0,ROUND(10^(5*Q205+2),3),0)))</f>
        <v/>
      </c>
      <c r="S205" s="1242" t="str">
        <f>IF(H205&gt;'I. Stream &amp; Compound Data'!$F$18,"",MAX(K147:L147))</f>
        <v/>
      </c>
      <c r="T205" s="1268" t="str">
        <f>IF(H205&gt;'I. Stream &amp; Compound Data'!$F$18,"",ROUND(R205*S205,3))</f>
        <v/>
      </c>
      <c r="U205" s="299"/>
      <c r="V205" s="279"/>
      <c r="W205" s="279"/>
      <c r="X205" s="279"/>
      <c r="Y205" s="279"/>
      <c r="Z205" s="279"/>
      <c r="AA205" s="279"/>
      <c r="AB205" s="279"/>
      <c r="AC205" s="279"/>
      <c r="AD205" s="279"/>
      <c r="AE205" s="279"/>
      <c r="AF205" s="279"/>
      <c r="AG205" s="279"/>
      <c r="AH205" s="279"/>
      <c r="AI205" s="279"/>
      <c r="AJ205" s="279"/>
      <c r="AK205" s="279"/>
      <c r="AL205" s="279"/>
      <c r="AM205" s="279"/>
      <c r="AN205" s="279"/>
      <c r="AO205" s="279"/>
      <c r="AP205" s="279"/>
      <c r="AQ205" s="279"/>
      <c r="AR205" s="279"/>
      <c r="AS205" s="279"/>
      <c r="AT205" s="279"/>
      <c r="AU205" s="279"/>
      <c r="AV205" s="279"/>
      <c r="AW205" s="279"/>
      <c r="AX205" s="279"/>
      <c r="AY205" s="279"/>
      <c r="AZ205" s="279"/>
      <c r="BA205" s="279"/>
      <c r="BB205" s="279"/>
      <c r="BC205" s="279"/>
      <c r="BD205" s="279"/>
      <c r="BE205" s="279"/>
      <c r="BF205" s="279"/>
      <c r="BG205" s="279"/>
      <c r="BH205" s="279"/>
      <c r="BI205" s="279"/>
      <c r="BJ205" s="279"/>
      <c r="BK205" s="279"/>
      <c r="BL205" s="279"/>
      <c r="BM205" s="279"/>
      <c r="BN205" s="279"/>
      <c r="BO205" s="279"/>
      <c r="BP205" s="279"/>
      <c r="BQ205" s="279"/>
      <c r="BR205" s="279"/>
      <c r="BS205" s="279"/>
      <c r="BT205" s="279"/>
      <c r="BU205" s="279"/>
      <c r="BV205" s="279"/>
      <c r="BW205" s="279"/>
      <c r="BX205" s="279"/>
      <c r="BY205" s="279"/>
      <c r="BZ205" s="279"/>
      <c r="CA205" s="279"/>
      <c r="CB205" s="279"/>
      <c r="CC205" s="279"/>
      <c r="CD205" s="279"/>
      <c r="CE205" s="279"/>
      <c r="CF205" s="279"/>
      <c r="CG205" s="279"/>
      <c r="CH205" s="279"/>
      <c r="CI205" s="279"/>
      <c r="CJ205" s="279"/>
      <c r="CK205" s="279"/>
      <c r="CL205" s="279"/>
      <c r="CM205" s="279"/>
      <c r="CN205" s="382"/>
    </row>
    <row r="206" ht="24" customHeight="true" x14ac:dyDescent="0.25">
      <c r="B206" s="361"/>
      <c r="C206" s="279"/>
      <c r="D206" s="280"/>
      <c r="E206" s="287"/>
      <c r="F206" s="287"/>
      <c r="G206" s="287"/>
      <c r="H206" s="1292">
        <f t="shared" si="11"/>
        <v>7</v>
      </c>
      <c r="I206" s="1295" t="str">
        <f>IF('I. Stream &amp; Compound Data'!AB268&lt;&gt;"",'I. Stream &amp; Compound Data'!AB268,"")</f>
        <v/>
      </c>
      <c r="J206" s="1295" t="str">
        <f t="shared" si="12"/>
        <v/>
      </c>
      <c r="K206" s="1190" t="str">
        <f>IF('I. Stream &amp; Compound Data'!AT268&lt;&gt;"",'I. Stream &amp; Compound Data'!AT268,IF('I. Stream &amp; Compound Data'!AU268&lt;&gt;"",'I. Stream &amp; Compound Data'!AU268,""))</f>
        <v/>
      </c>
      <c r="L206" s="1190" t="str">
        <f>IF('I. Stream &amp; Compound Data'!AR268&lt;&gt;"",'I. Stream &amp; Compound Data'!AR268,IF('I. Stream &amp; Compound Data'!AS268&lt;&gt;"",'I. Stream &amp; Compound Data'!AS268,""))</f>
        <v/>
      </c>
      <c r="M206" s="1306" t="str">
        <f>IF(H206&gt;'I. Stream &amp; Compound Data'!$F$18,"",IF(I206="","N/A",ROUND(IF(I206&lt;=0.1,1,IF(AND(I206&gt;0.1,I206&lt;10000),-0.087*LN(I206)+0.8,0)),3)))</f>
        <v/>
      </c>
      <c r="N206" s="1168" t="str">
        <f>IF(H206&gt;'I. Stream &amp; Compound Data'!$F$18,"",IF(M206="N/A",IF(J206="","N/A",IF(J206="T+",0.7,IF(J206="T",0.5,IF(J206="Xn",0.3,"N/A")))),"N/A"))</f>
        <v/>
      </c>
      <c r="O206" s="1242" t="str">
        <f>IF(H206&gt;'I. Stream &amp; Compound Data'!$F$18,"",IF(AND(M206="N/A",N206="N/A"),IF(K206="","N/A",IF(K206=1,0.8,IF(K206=2,0.7,IF(K206=3,0.5,IF(K206=4,0.3,IF(K206=5,0.1,0)))))),"N/A"))</f>
        <v/>
      </c>
      <c r="P206" s="1307" t="str">
        <f>IF(H206&gt;'I. Stream &amp; Compound Data'!$F$18,"",IF(AND(M206="N/A",N206="N/A",O206="N/A"),IF(L206="","N/A",IF(OR(L206=45,L206=46,L206=47,L206=49,L206=60,L206=61),1,IF(OR(L206=40,L206=62,L206=63,L206=64),0.8,IF(OR(L206=29,L206=32,L206=48),0.7,IF(OR(L206=42,L206=43),0.6,IF(OR(L206=31,L206=33),0.5,0)))))),"N/A"))</f>
        <v/>
      </c>
      <c r="Q206" s="1242" t="str">
        <f>IF(H206&gt;'I. Stream &amp; Compound Data'!$F$18,"",IF(M206&lt;&gt;"N/A",M206,IF(N206&lt;&gt;"N/A",N206,IF(O206&lt;&gt;"N/A",O206,P206))))</f>
        <v/>
      </c>
      <c r="R206" s="1242" t="str">
        <f>IF(H206&gt;'I. Stream &amp; Compound Data'!$F$18,"",IF(Q206="N/A",0,IF(Q206&gt;0,ROUND(10^(5*Q206+2),3),0)))</f>
        <v/>
      </c>
      <c r="S206" s="1242" t="str">
        <f>IF(H206&gt;'I. Stream &amp; Compound Data'!$F$18,"",MAX(K148:L148))</f>
        <v/>
      </c>
      <c r="T206" s="1268" t="str">
        <f>IF(H206&gt;'I. Stream &amp; Compound Data'!$F$18,"",ROUND(R206*S206,3))</f>
        <v/>
      </c>
      <c r="U206" s="299"/>
      <c r="V206" s="279"/>
      <c r="W206" s="279"/>
      <c r="X206" s="279"/>
      <c r="Y206" s="279"/>
      <c r="Z206" s="279"/>
      <c r="AA206" s="279"/>
      <c r="AB206" s="279"/>
      <c r="AC206" s="279"/>
      <c r="AD206" s="279"/>
      <c r="AE206" s="279"/>
      <c r="AF206" s="279"/>
      <c r="AG206" s="279"/>
      <c r="AH206" s="279"/>
      <c r="AI206" s="279"/>
      <c r="AJ206" s="279"/>
      <c r="AK206" s="279"/>
      <c r="AL206" s="279"/>
      <c r="AM206" s="279"/>
      <c r="AN206" s="279"/>
      <c r="AO206" s="279"/>
      <c r="AP206" s="279"/>
      <c r="AQ206" s="279"/>
      <c r="AR206" s="279"/>
      <c r="AS206" s="279"/>
      <c r="AT206" s="279"/>
      <c r="AU206" s="279"/>
      <c r="AV206" s="279"/>
      <c r="AW206" s="279"/>
      <c r="AX206" s="279"/>
      <c r="AY206" s="279"/>
      <c r="AZ206" s="279"/>
      <c r="BA206" s="279"/>
      <c r="BB206" s="279"/>
      <c r="BC206" s="279"/>
      <c r="BD206" s="279"/>
      <c r="BE206" s="279"/>
      <c r="BF206" s="279"/>
      <c r="BG206" s="279"/>
      <c r="BH206" s="279"/>
      <c r="BI206" s="279"/>
      <c r="BJ206" s="279"/>
      <c r="BK206" s="279"/>
      <c r="BL206" s="279"/>
      <c r="BM206" s="279"/>
      <c r="BN206" s="279"/>
      <c r="BO206" s="279"/>
      <c r="BP206" s="279"/>
      <c r="BQ206" s="279"/>
      <c r="BR206" s="279"/>
      <c r="BS206" s="279"/>
      <c r="BT206" s="279"/>
      <c r="BU206" s="279"/>
      <c r="BV206" s="279"/>
      <c r="BW206" s="279"/>
      <c r="BX206" s="279"/>
      <c r="BY206" s="279"/>
      <c r="BZ206" s="279"/>
      <c r="CA206" s="279"/>
      <c r="CB206" s="279"/>
      <c r="CC206" s="279"/>
      <c r="CD206" s="279"/>
      <c r="CE206" s="279"/>
      <c r="CF206" s="279"/>
      <c r="CG206" s="279"/>
      <c r="CH206" s="279"/>
      <c r="CI206" s="279"/>
      <c r="CJ206" s="279"/>
      <c r="CK206" s="279"/>
      <c r="CL206" s="279"/>
      <c r="CM206" s="279"/>
      <c r="CN206" s="382"/>
    </row>
    <row r="207" ht="24" customHeight="true" x14ac:dyDescent="0.25">
      <c r="B207" s="361"/>
      <c r="C207" s="279"/>
      <c r="D207" s="280"/>
      <c r="E207" s="287"/>
      <c r="F207" s="287"/>
      <c r="G207" s="287"/>
      <c r="H207" s="1292">
        <f t="shared" si="11"/>
        <v>8</v>
      </c>
      <c r="I207" s="1190" t="str">
        <f>IF('I. Stream &amp; Compound Data'!AB269&lt;&gt;"",'I. Stream &amp; Compound Data'!AB269,"")</f>
        <v/>
      </c>
      <c r="J207" s="1295" t="str">
        <f t="shared" si="12"/>
        <v/>
      </c>
      <c r="K207" s="1190" t="str">
        <f>IF('I. Stream &amp; Compound Data'!AT269&lt;&gt;"",'I. Stream &amp; Compound Data'!AT269,IF('I. Stream &amp; Compound Data'!AU269&lt;&gt;"",'I. Stream &amp; Compound Data'!AU269,""))</f>
        <v/>
      </c>
      <c r="L207" s="1190" t="str">
        <f>IF('I. Stream &amp; Compound Data'!AR269&lt;&gt;"",'I. Stream &amp; Compound Data'!AR269,IF('I. Stream &amp; Compound Data'!AS269&lt;&gt;"",'I. Stream &amp; Compound Data'!AS269,""))</f>
        <v/>
      </c>
      <c r="M207" s="1306" t="str">
        <f>IF(H207&gt;'I. Stream &amp; Compound Data'!$F$18,"",IF(I207="","N/A",ROUND(IF(I207&lt;=0.1,1,IF(AND(I207&gt;0.1,I207&lt;10000),-0.087*LN(I207)+0.8,0)),3)))</f>
        <v/>
      </c>
      <c r="N207" s="1168" t="str">
        <f>IF(H207&gt;'I. Stream &amp; Compound Data'!$F$18,"",IF(M207="N/A",IF(J207="","N/A",IF(J207="T+",0.7,IF(J207="T",0.5,IF(J207="Xn",0.3,"N/A")))),"N/A"))</f>
        <v/>
      </c>
      <c r="O207" s="1242" t="str">
        <f>IF(H207&gt;'I. Stream &amp; Compound Data'!$F$18,"",IF(AND(M207="N/A",N207="N/A"),IF(K207="","N/A",IF(K207=1,0.8,IF(K207=2,0.7,IF(K207=3,0.5,IF(K207=4,0.3,IF(K207=5,0.1,0)))))),"N/A"))</f>
        <v/>
      </c>
      <c r="P207" s="1307" t="str">
        <f>IF(H207&gt;'I. Stream &amp; Compound Data'!$F$18,"",IF(AND(M207="N/A",N207="N/A",O207="N/A"),IF(L207="","N/A",IF(OR(L207=45,L207=46,L207=47,L207=49,L207=60,L207=61),1,IF(OR(L207=40,L207=62,L207=63,L207=64),0.8,IF(OR(L207=29,L207=32,L207=48),0.7,IF(OR(L207=42,L207=43),0.6,IF(OR(L207=31,L207=33),0.5,0)))))),"N/A"))</f>
        <v/>
      </c>
      <c r="Q207" s="1242" t="str">
        <f>IF(H207&gt;'I. Stream &amp; Compound Data'!$F$18,"",IF(M207&lt;&gt;"N/A",M207,IF(N207&lt;&gt;"N/A",N207,IF(O207&lt;&gt;"N/A",O207,P207))))</f>
        <v/>
      </c>
      <c r="R207" s="1242" t="str">
        <f>IF(H207&gt;'I. Stream &amp; Compound Data'!$F$18,"",IF(Q207="N/A",0,IF(Q207&gt;0,ROUND(10^(5*Q207+2),3),0)))</f>
        <v/>
      </c>
      <c r="S207" s="1242" t="str">
        <f>IF(H207&gt;'I. Stream &amp; Compound Data'!$F$18,"",MAX(K149:L149))</f>
        <v/>
      </c>
      <c r="T207" s="1268" t="str">
        <f>IF(H207&gt;'I. Stream &amp; Compound Data'!$F$18,"",ROUND(R207*S207,3))</f>
        <v/>
      </c>
      <c r="U207" s="299"/>
      <c r="V207" s="279"/>
      <c r="W207" s="279"/>
      <c r="X207" s="279"/>
      <c r="Y207" s="279"/>
      <c r="Z207" s="279"/>
      <c r="AA207" s="279"/>
      <c r="AB207" s="279"/>
      <c r="AC207" s="279"/>
      <c r="AD207" s="279"/>
      <c r="AE207" s="279"/>
      <c r="AF207" s="279"/>
      <c r="AG207" s="279"/>
      <c r="AH207" s="279"/>
      <c r="AI207" s="279"/>
      <c r="AJ207" s="279"/>
      <c r="AK207" s="279"/>
      <c r="AL207" s="279"/>
      <c r="AM207" s="279"/>
      <c r="AN207" s="279"/>
      <c r="AO207" s="279"/>
      <c r="AP207" s="279"/>
      <c r="AQ207" s="279"/>
      <c r="AR207" s="279"/>
      <c r="AS207" s="279"/>
      <c r="AT207" s="279"/>
      <c r="AU207" s="279"/>
      <c r="AV207" s="279"/>
      <c r="AW207" s="279"/>
      <c r="AX207" s="279"/>
      <c r="AY207" s="279"/>
      <c r="AZ207" s="279"/>
      <c r="BA207" s="279"/>
      <c r="BB207" s="279"/>
      <c r="BC207" s="279"/>
      <c r="BD207" s="279"/>
      <c r="BE207" s="279"/>
      <c r="BF207" s="279"/>
      <c r="BG207" s="279"/>
      <c r="BH207" s="279"/>
      <c r="BI207" s="279"/>
      <c r="BJ207" s="279"/>
      <c r="BK207" s="279"/>
      <c r="BL207" s="279"/>
      <c r="BM207" s="279"/>
      <c r="BN207" s="279"/>
      <c r="BO207" s="279"/>
      <c r="BP207" s="279"/>
      <c r="BQ207" s="279"/>
      <c r="BR207" s="279"/>
      <c r="BS207" s="279"/>
      <c r="BT207" s="279"/>
      <c r="BU207" s="279"/>
      <c r="BV207" s="279"/>
      <c r="BW207" s="279"/>
      <c r="BX207" s="279"/>
      <c r="BY207" s="279"/>
      <c r="BZ207" s="279"/>
      <c r="CA207" s="279"/>
      <c r="CB207" s="279"/>
      <c r="CC207" s="279"/>
      <c r="CD207" s="279"/>
      <c r="CE207" s="279"/>
      <c r="CF207" s="279"/>
      <c r="CG207" s="279"/>
      <c r="CH207" s="279"/>
      <c r="CI207" s="279"/>
      <c r="CJ207" s="279"/>
      <c r="CK207" s="279"/>
      <c r="CL207" s="279"/>
      <c r="CM207" s="279"/>
      <c r="CN207" s="382"/>
    </row>
    <row r="208" ht="24" customHeight="true" x14ac:dyDescent="0.25">
      <c r="B208" s="361"/>
      <c r="C208" s="279"/>
      <c r="D208" s="280"/>
      <c r="E208" s="287"/>
      <c r="F208" s="287"/>
      <c r="G208" s="287"/>
      <c r="H208" s="1292">
        <f t="shared" si="11"/>
        <v>9</v>
      </c>
      <c r="I208" s="1190" t="str">
        <f>IF('I. Stream &amp; Compound Data'!AB270&lt;&gt;"",'I. Stream &amp; Compound Data'!AB270,"")</f>
        <v/>
      </c>
      <c r="J208" s="1295" t="str">
        <f t="shared" si="12"/>
        <v/>
      </c>
      <c r="K208" s="1190" t="str">
        <f>IF('I. Stream &amp; Compound Data'!AT270&lt;&gt;"",'I. Stream &amp; Compound Data'!AT270,IF('I. Stream &amp; Compound Data'!AU270&lt;&gt;"",'I. Stream &amp; Compound Data'!AU270,""))</f>
        <v/>
      </c>
      <c r="L208" s="1190" t="str">
        <f>IF('I. Stream &amp; Compound Data'!AR270&lt;&gt;"",'I. Stream &amp; Compound Data'!AR270,IF('I. Stream &amp; Compound Data'!AS270&lt;&gt;"",'I. Stream &amp; Compound Data'!AS270,""))</f>
        <v/>
      </c>
      <c r="M208" s="1306" t="str">
        <f>IF(H208&gt;'I. Stream &amp; Compound Data'!$F$18,"",IF(I208="","N/A",ROUND(IF(I208&lt;=0.1,1,IF(AND(I208&gt;0.1,I208&lt;10000),-0.087*LN(I208)+0.8,0)),3)))</f>
        <v/>
      </c>
      <c r="N208" s="1168" t="str">
        <f>IF(H208&gt;'I. Stream &amp; Compound Data'!$F$18,"",IF(M208="N/A",IF(J208="","N/A",IF(J208="T+",0.7,IF(J208="T",0.5,IF(J208="Xn",0.3,"N/A")))),"N/A"))</f>
        <v/>
      </c>
      <c r="O208" s="1242" t="str">
        <f>IF(H208&gt;'I. Stream &amp; Compound Data'!$F$18,"",IF(AND(M208="N/A",N208="N/A"),IF(K208="","N/A",IF(K208=1,0.8,IF(K208=2,0.7,IF(K208=3,0.5,IF(K208=4,0.3,IF(K208=5,0.1,0)))))),"N/A"))</f>
        <v/>
      </c>
      <c r="P208" s="1307" t="str">
        <f>IF(H208&gt;'I. Stream &amp; Compound Data'!$F$18,"",IF(AND(M208="N/A",N208="N/A",O208="N/A"),IF(L208="","N/A",IF(OR(L208=45,L208=46,L208=47,L208=49,L208=60,L208=61),1,IF(OR(L208=40,L208=62,L208=63,L208=64),0.8,IF(OR(L208=29,L208=32,L208=48),0.7,IF(OR(L208=42,L208=43),0.6,IF(OR(L208=31,L208=33),0.5,0)))))),"N/A"))</f>
        <v/>
      </c>
      <c r="Q208" s="1242" t="str">
        <f>IF(H208&gt;'I. Stream &amp; Compound Data'!$F$18,"",IF(M208&lt;&gt;"N/A",M208,IF(N208&lt;&gt;"N/A",N208,IF(O208&lt;&gt;"N/A",O208,P208))))</f>
        <v/>
      </c>
      <c r="R208" s="1242" t="str">
        <f>IF(H208&gt;'I. Stream &amp; Compound Data'!$F$18,"",IF(Q208="N/A",0,IF(Q208&gt;0,ROUND(10^(5*Q208+2),3),0)))</f>
        <v/>
      </c>
      <c r="S208" s="1242" t="str">
        <f>IF(H208&gt;'I. Stream &amp; Compound Data'!$F$18,"",MAX(K150:L150))</f>
        <v/>
      </c>
      <c r="T208" s="1268" t="str">
        <f>IF(H208&gt;'I. Stream &amp; Compound Data'!$F$18,"",ROUND(R208*S208,3))</f>
        <v/>
      </c>
      <c r="U208" s="299"/>
      <c r="V208" s="279"/>
      <c r="W208" s="279"/>
      <c r="X208" s="279"/>
      <c r="Y208" s="279"/>
      <c r="Z208" s="279"/>
      <c r="AA208" s="279"/>
      <c r="AB208" s="279"/>
      <c r="AC208" s="279"/>
      <c r="AD208" s="279"/>
      <c r="AE208" s="279"/>
      <c r="AF208" s="279"/>
      <c r="AG208" s="279"/>
      <c r="AH208" s="279"/>
      <c r="AI208" s="279"/>
      <c r="AJ208" s="279"/>
      <c r="AK208" s="279"/>
      <c r="AL208" s="279"/>
      <c r="AM208" s="279"/>
      <c r="AN208" s="279"/>
      <c r="AO208" s="279"/>
      <c r="AP208" s="279"/>
      <c r="AQ208" s="279"/>
      <c r="AR208" s="279"/>
      <c r="AS208" s="279"/>
      <c r="AT208" s="279"/>
      <c r="AU208" s="279"/>
      <c r="AV208" s="279"/>
      <c r="AW208" s="279"/>
      <c r="AX208" s="279"/>
      <c r="AY208" s="279"/>
      <c r="AZ208" s="279"/>
      <c r="BA208" s="279"/>
      <c r="BB208" s="279"/>
      <c r="BC208" s="279"/>
      <c r="BD208" s="279"/>
      <c r="BE208" s="279"/>
      <c r="BF208" s="279"/>
      <c r="BG208" s="279"/>
      <c r="BH208" s="279"/>
      <c r="BI208" s="279"/>
      <c r="BJ208" s="279"/>
      <c r="BK208" s="279"/>
      <c r="BL208" s="279"/>
      <c r="BM208" s="279"/>
      <c r="BN208" s="279"/>
      <c r="BO208" s="279"/>
      <c r="BP208" s="279"/>
      <c r="BQ208" s="279"/>
      <c r="BR208" s="279"/>
      <c r="BS208" s="279"/>
      <c r="BT208" s="279"/>
      <c r="BU208" s="279"/>
      <c r="BV208" s="279"/>
      <c r="BW208" s="279"/>
      <c r="BX208" s="279"/>
      <c r="BY208" s="279"/>
      <c r="BZ208" s="279"/>
      <c r="CA208" s="279"/>
      <c r="CB208" s="279"/>
      <c r="CC208" s="279"/>
      <c r="CD208" s="279"/>
      <c r="CE208" s="279"/>
      <c r="CF208" s="279"/>
      <c r="CG208" s="279"/>
      <c r="CH208" s="279"/>
      <c r="CI208" s="279"/>
      <c r="CJ208" s="279"/>
      <c r="CK208" s="279"/>
      <c r="CL208" s="279"/>
      <c r="CM208" s="279"/>
      <c r="CN208" s="382"/>
    </row>
    <row r="209" ht="24" customHeight="true" x14ac:dyDescent="0.25">
      <c r="B209" s="361"/>
      <c r="C209" s="279"/>
      <c r="D209" s="280"/>
      <c r="E209" s="287"/>
      <c r="F209" s="287"/>
      <c r="G209" s="287"/>
      <c r="H209" s="1292">
        <f t="shared" si="11"/>
        <v>10</v>
      </c>
      <c r="I209" s="1190" t="str">
        <f>IF('I. Stream &amp; Compound Data'!AB271&lt;&gt;"",'I. Stream &amp; Compound Data'!AB271,"")</f>
        <v/>
      </c>
      <c r="J209" s="1295" t="str">
        <f t="shared" si="12"/>
        <v/>
      </c>
      <c r="K209" s="1190" t="str">
        <f>IF('I. Stream &amp; Compound Data'!AT271&lt;&gt;"",'I. Stream &amp; Compound Data'!AT271,IF('I. Stream &amp; Compound Data'!AU271&lt;&gt;"",'I. Stream &amp; Compound Data'!AU271,""))</f>
        <v/>
      </c>
      <c r="L209" s="1190" t="str">
        <f>IF('I. Stream &amp; Compound Data'!AR271&lt;&gt;"",'I. Stream &amp; Compound Data'!AR271,IF('I. Stream &amp; Compound Data'!AS271&lt;&gt;"",'I. Stream &amp; Compound Data'!AS271,""))</f>
        <v/>
      </c>
      <c r="M209" s="1306" t="str">
        <f>IF(H209&gt;'I. Stream &amp; Compound Data'!$F$18,"",IF(I209="","N/A",ROUND(IF(I209&lt;=0.1,1,IF(AND(I209&gt;0.1,I209&lt;10000),-0.087*LN(I209)+0.8,0)),3)))</f>
        <v/>
      </c>
      <c r="N209" s="1168" t="str">
        <f>IF(H209&gt;'I. Stream &amp; Compound Data'!$F$18,"",IF(M209="N/A",IF(J209="","N/A",IF(J209="T+",0.7,IF(J209="T",0.5,IF(J209="Xn",0.3,"N/A")))),"N/A"))</f>
        <v/>
      </c>
      <c r="O209" s="1242" t="str">
        <f>IF(H209&gt;'I. Stream &amp; Compound Data'!$F$18,"",IF(AND(M209="N/A",N209="N/A"),IF(K209="","N/A",IF(K209=1,0.8,IF(K209=2,0.7,IF(K209=3,0.5,IF(K209=4,0.3,IF(K209=5,0.1,0)))))),"N/A"))</f>
        <v/>
      </c>
      <c r="P209" s="1307" t="str">
        <f>IF(H209&gt;'I. Stream &amp; Compound Data'!$F$18,"",IF(AND(M209="N/A",N209="N/A",O209="N/A"),IF(L209="","N/A",IF(OR(L209=45,L209=46,L209=47,L209=49,L209=60,L209=61),1,IF(OR(L209=40,L209=62,L209=63,L209=64),0.8,IF(OR(L209=29,L209=32,L209=48),0.7,IF(OR(L209=42,L209=43),0.6,IF(OR(L209=31,L209=33),0.5,0)))))),"N/A"))</f>
        <v/>
      </c>
      <c r="Q209" s="1242" t="str">
        <f>IF(H209&gt;'I. Stream &amp; Compound Data'!$F$18,"",IF(M209&lt;&gt;"N/A",M209,IF(N209&lt;&gt;"N/A",N209,IF(O209&lt;&gt;"N/A",O209,P209))))</f>
        <v/>
      </c>
      <c r="R209" s="1242" t="str">
        <f>IF(H209&gt;'I. Stream &amp; Compound Data'!$F$18,"",IF(Q209="N/A",0,IF(Q209&gt;0,ROUND(10^(5*Q209+2),3),0)))</f>
        <v/>
      </c>
      <c r="S209" s="1242" t="str">
        <f>IF(H209&gt;'I. Stream &amp; Compound Data'!$F$18,"",MAX(K151:L151))</f>
        <v/>
      </c>
      <c r="T209" s="1268" t="str">
        <f>IF(H209&gt;'I. Stream &amp; Compound Data'!$F$18,"",ROUND(R209*S209,3))</f>
        <v/>
      </c>
      <c r="U209" s="299"/>
      <c r="V209" s="279"/>
      <c r="W209" s="279"/>
      <c r="X209" s="279"/>
      <c r="Y209" s="279"/>
      <c r="Z209" s="279"/>
      <c r="AA209" s="279"/>
      <c r="AB209" s="279"/>
      <c r="AC209" s="279"/>
      <c r="AD209" s="279"/>
      <c r="AE209" s="279"/>
      <c r="AF209" s="279"/>
      <c r="AG209" s="279"/>
      <c r="AH209" s="279"/>
      <c r="AI209" s="279"/>
      <c r="AJ209" s="279"/>
      <c r="AK209" s="279"/>
      <c r="AL209" s="279"/>
      <c r="AM209" s="279"/>
      <c r="AN209" s="279"/>
      <c r="AO209" s="279"/>
      <c r="AP209" s="279"/>
      <c r="AQ209" s="279"/>
      <c r="AR209" s="279"/>
      <c r="AS209" s="279"/>
      <c r="AT209" s="279"/>
      <c r="AU209" s="279"/>
      <c r="AV209" s="279"/>
      <c r="AW209" s="279"/>
      <c r="AX209" s="279"/>
      <c r="AY209" s="279"/>
      <c r="AZ209" s="279"/>
      <c r="BA209" s="279"/>
      <c r="BB209" s="279"/>
      <c r="BC209" s="279"/>
      <c r="BD209" s="279"/>
      <c r="BE209" s="279"/>
      <c r="BF209" s="279"/>
      <c r="BG209" s="279"/>
      <c r="BH209" s="279"/>
      <c r="BI209" s="279"/>
      <c r="BJ209" s="279"/>
      <c r="BK209" s="279"/>
      <c r="BL209" s="279"/>
      <c r="BM209" s="279"/>
      <c r="BN209" s="279"/>
      <c r="BO209" s="279"/>
      <c r="BP209" s="279"/>
      <c r="BQ209" s="279"/>
      <c r="BR209" s="279"/>
      <c r="BS209" s="279"/>
      <c r="BT209" s="279"/>
      <c r="BU209" s="279"/>
      <c r="BV209" s="279"/>
      <c r="BW209" s="279"/>
      <c r="BX209" s="279"/>
      <c r="BY209" s="279"/>
      <c r="BZ209" s="279"/>
      <c r="CA209" s="279"/>
      <c r="CB209" s="279"/>
      <c r="CC209" s="279"/>
      <c r="CD209" s="279"/>
      <c r="CE209" s="279"/>
      <c r="CF209" s="279"/>
      <c r="CG209" s="279"/>
      <c r="CH209" s="279"/>
      <c r="CI209" s="279"/>
      <c r="CJ209" s="279"/>
      <c r="CK209" s="279"/>
      <c r="CL209" s="279"/>
      <c r="CM209" s="279"/>
      <c r="CN209" s="382"/>
    </row>
    <row r="210" ht="24" customHeight="true" x14ac:dyDescent="0.25">
      <c r="B210" s="361"/>
      <c r="C210" s="279"/>
      <c r="D210" s="280"/>
      <c r="E210" s="287"/>
      <c r="F210" s="287"/>
      <c r="G210" s="287"/>
      <c r="H210" s="1292">
        <f t="shared" si="11"/>
        <v>11</v>
      </c>
      <c r="I210" s="1190" t="str">
        <f>IF('I. Stream &amp; Compound Data'!AB272&lt;&gt;"",'I. Stream &amp; Compound Data'!AB272,"")</f>
        <v/>
      </c>
      <c r="J210" s="1295" t="str">
        <f t="shared" si="12"/>
        <v/>
      </c>
      <c r="K210" s="1190" t="str">
        <f>IF('I. Stream &amp; Compound Data'!AT272&lt;&gt;"",'I. Stream &amp; Compound Data'!AT272,IF('I. Stream &amp; Compound Data'!AU272&lt;&gt;"",'I. Stream &amp; Compound Data'!AU272,""))</f>
        <v/>
      </c>
      <c r="L210" s="1190" t="str">
        <f>IF('I. Stream &amp; Compound Data'!AR272&lt;&gt;"",'I. Stream &amp; Compound Data'!AR272,IF('I. Stream &amp; Compound Data'!AS272&lt;&gt;"",'I. Stream &amp; Compound Data'!AS272,""))</f>
        <v/>
      </c>
      <c r="M210" s="1306" t="str">
        <f>IF(H210&gt;'I. Stream &amp; Compound Data'!$F$18,"",IF(I210="","N/A",ROUND(IF(I210&lt;=0.1,1,IF(AND(I210&gt;0.1,I210&lt;10000),-0.087*LN(I210)+0.8,0)),3)))</f>
        <v/>
      </c>
      <c r="N210" s="1168" t="str">
        <f>IF(H210&gt;'I. Stream &amp; Compound Data'!$F$18,"",IF(M210="N/A",IF(J210="","N/A",IF(J210="T+",0.7,IF(J210="T",0.5,IF(J210="Xn",0.3,"N/A")))),"N/A"))</f>
        <v/>
      </c>
      <c r="O210" s="1242" t="str">
        <f>IF(H210&gt;'I. Stream &amp; Compound Data'!$F$18,"",IF(AND(M210="N/A",N210="N/A"),IF(K210="","N/A",IF(K210=1,0.8,IF(K210=2,0.7,IF(K210=3,0.5,IF(K210=4,0.3,IF(K210=5,0.1,0)))))),"N/A"))</f>
        <v/>
      </c>
      <c r="P210" s="1307" t="str">
        <f>IF(H210&gt;'I. Stream &amp; Compound Data'!$F$18,"",IF(AND(M210="N/A",N210="N/A",O210="N/A"),IF(L210="","N/A",IF(OR(L210=45,L210=46,L210=47,L210=49,L210=60,L210=61),1,IF(OR(L210=40,L210=62,L210=63,L210=64),0.8,IF(OR(L210=29,L210=32,L210=48),0.7,IF(OR(L210=42,L210=43),0.6,IF(OR(L210=31,L210=33),0.5,0)))))),"N/A"))</f>
        <v/>
      </c>
      <c r="Q210" s="1242" t="str">
        <f>IF(H210&gt;'I. Stream &amp; Compound Data'!$F$18,"",IF(M210&lt;&gt;"N/A",M210,IF(N210&lt;&gt;"N/A",N210,IF(O210&lt;&gt;"N/A",O210,P210))))</f>
        <v/>
      </c>
      <c r="R210" s="1242" t="str">
        <f>IF(H210&gt;'I. Stream &amp; Compound Data'!$F$18,"",IF(Q210="N/A",0,IF(Q210&gt;0,ROUND(10^(5*Q210+2),3),0)))</f>
        <v/>
      </c>
      <c r="S210" s="1242" t="str">
        <f>IF(H210&gt;'I. Stream &amp; Compound Data'!$F$18,"",MAX(K152:L152))</f>
        <v/>
      </c>
      <c r="T210" s="1268" t="str">
        <f>IF(H210&gt;'I. Stream &amp; Compound Data'!$F$18,"",ROUND(R210*S210,3))</f>
        <v/>
      </c>
      <c r="U210" s="299"/>
      <c r="V210" s="279"/>
      <c r="W210" s="279"/>
      <c r="X210" s="279"/>
      <c r="Y210" s="279"/>
      <c r="Z210" s="279"/>
      <c r="AA210" s="279"/>
      <c r="AB210" s="279"/>
      <c r="AC210" s="279"/>
      <c r="AD210" s="279"/>
      <c r="AE210" s="279"/>
      <c r="AF210" s="279"/>
      <c r="AG210" s="279"/>
      <c r="AH210" s="279"/>
      <c r="AI210" s="279"/>
      <c r="AJ210" s="279"/>
      <c r="AK210" s="279"/>
      <c r="AL210" s="279"/>
      <c r="AM210" s="279"/>
      <c r="AN210" s="279"/>
      <c r="AO210" s="279"/>
      <c r="AP210" s="279"/>
      <c r="AQ210" s="279"/>
      <c r="AR210" s="279"/>
      <c r="AS210" s="279"/>
      <c r="AT210" s="279"/>
      <c r="AU210" s="279"/>
      <c r="AV210" s="279"/>
      <c r="AW210" s="279"/>
      <c r="AX210" s="279"/>
      <c r="AY210" s="279"/>
      <c r="AZ210" s="279"/>
      <c r="BA210" s="279"/>
      <c r="BB210" s="279"/>
      <c r="BC210" s="279"/>
      <c r="BD210" s="279"/>
      <c r="BE210" s="279"/>
      <c r="BF210" s="279"/>
      <c r="BG210" s="279"/>
      <c r="BH210" s="279"/>
      <c r="BI210" s="279"/>
      <c r="BJ210" s="279"/>
      <c r="BK210" s="279"/>
      <c r="BL210" s="279"/>
      <c r="BM210" s="279"/>
      <c r="BN210" s="279"/>
      <c r="BO210" s="279"/>
      <c r="BP210" s="279"/>
      <c r="BQ210" s="279"/>
      <c r="BR210" s="279"/>
      <c r="BS210" s="279"/>
      <c r="BT210" s="279"/>
      <c r="BU210" s="279"/>
      <c r="BV210" s="279"/>
      <c r="BW210" s="279"/>
      <c r="BX210" s="279"/>
      <c r="BY210" s="279"/>
      <c r="BZ210" s="279"/>
      <c r="CA210" s="279"/>
      <c r="CB210" s="279"/>
      <c r="CC210" s="279"/>
      <c r="CD210" s="279"/>
      <c r="CE210" s="279"/>
      <c r="CF210" s="279"/>
      <c r="CG210" s="279"/>
      <c r="CH210" s="279"/>
      <c r="CI210" s="279"/>
      <c r="CJ210" s="279"/>
      <c r="CK210" s="279"/>
      <c r="CL210" s="279"/>
      <c r="CM210" s="279"/>
      <c r="CN210" s="382"/>
    </row>
    <row r="211" ht="24" customHeight="true" x14ac:dyDescent="0.25">
      <c r="B211" s="361"/>
      <c r="C211" s="279"/>
      <c r="D211" s="280"/>
      <c r="E211" s="287"/>
      <c r="F211" s="287"/>
      <c r="G211" s="287"/>
      <c r="H211" s="1292">
        <f t="shared" si="11"/>
        <v>12</v>
      </c>
      <c r="I211" s="1190" t="str">
        <f>IF('I. Stream &amp; Compound Data'!AB273&lt;&gt;"",'I. Stream &amp; Compound Data'!AB273,"")</f>
        <v/>
      </c>
      <c r="J211" s="1295" t="str">
        <f t="shared" si="12"/>
        <v/>
      </c>
      <c r="K211" s="1190" t="str">
        <f>IF('I. Stream &amp; Compound Data'!AT273&lt;&gt;"",'I. Stream &amp; Compound Data'!AT273,IF('I. Stream &amp; Compound Data'!AU273&lt;&gt;"",'I. Stream &amp; Compound Data'!AU273,""))</f>
        <v/>
      </c>
      <c r="L211" s="1190" t="str">
        <f>IF('I. Stream &amp; Compound Data'!AR273&lt;&gt;"",'I. Stream &amp; Compound Data'!AR273,IF('I. Stream &amp; Compound Data'!AS273&lt;&gt;"",'I. Stream &amp; Compound Data'!AS273,""))</f>
        <v/>
      </c>
      <c r="M211" s="1306" t="str">
        <f>IF(H211&gt;'I. Stream &amp; Compound Data'!$F$18,"",IF(I211="","N/A",ROUND(IF(I211&lt;=0.1,1,IF(AND(I211&gt;0.1,I211&lt;10000),-0.087*LN(I211)+0.8,0)),3)))</f>
        <v/>
      </c>
      <c r="N211" s="1168" t="str">
        <f>IF(H211&gt;'I. Stream &amp; Compound Data'!$F$18,"",IF(M211="N/A",IF(J211="","N/A",IF(J211="T+",0.7,IF(J211="T",0.5,IF(J211="Xn",0.3,"N/A")))),"N/A"))</f>
        <v/>
      </c>
      <c r="O211" s="1242" t="str">
        <f>IF(H211&gt;'I. Stream &amp; Compound Data'!$F$18,"",IF(AND(M211="N/A",N211="N/A"),IF(K211="","N/A",IF(K211=1,0.8,IF(K211=2,0.7,IF(K211=3,0.5,IF(K211=4,0.3,IF(K211=5,0.1,0)))))),"N/A"))</f>
        <v/>
      </c>
      <c r="P211" s="1307" t="str">
        <f>IF(H211&gt;'I. Stream &amp; Compound Data'!$F$18,"",IF(AND(M211="N/A",N211="N/A",O211="N/A"),IF(L211="","N/A",IF(OR(L211=45,L211=46,L211=47,L211=49,L211=60,L211=61),1,IF(OR(L211=40,L211=62,L211=63,L211=64),0.8,IF(OR(L211=29,L211=32,L211=48),0.7,IF(OR(L211=42,L211=43),0.6,IF(OR(L211=31,L211=33),0.5,0)))))),"N/A"))</f>
        <v/>
      </c>
      <c r="Q211" s="1242" t="str">
        <f>IF(H211&gt;'I. Stream &amp; Compound Data'!$F$18,"",IF(M211&lt;&gt;"N/A",M211,IF(N211&lt;&gt;"N/A",N211,IF(O211&lt;&gt;"N/A",O211,P211))))</f>
        <v/>
      </c>
      <c r="R211" s="1242" t="str">
        <f>IF(H211&gt;'I. Stream &amp; Compound Data'!$F$18,"",IF(Q211="N/A",0,IF(Q211&gt;0,ROUND(10^(5*Q211+2),3),0)))</f>
        <v/>
      </c>
      <c r="S211" s="1242" t="str">
        <f>IF(H211&gt;'I. Stream &amp; Compound Data'!$F$18,"",MAX(K153:L153))</f>
        <v/>
      </c>
      <c r="T211" s="1268" t="str">
        <f>IF(H211&gt;'I. Stream &amp; Compound Data'!$F$18,"",ROUND(R211*S211,3))</f>
        <v/>
      </c>
      <c r="U211" s="299"/>
      <c r="V211" s="279"/>
      <c r="W211" s="279"/>
      <c r="X211" s="279"/>
      <c r="Y211" s="279"/>
      <c r="Z211" s="279"/>
      <c r="AA211" s="279"/>
      <c r="AB211" s="279"/>
      <c r="AC211" s="279"/>
      <c r="AD211" s="279"/>
      <c r="AE211" s="279"/>
      <c r="AF211" s="279"/>
      <c r="AG211" s="279"/>
      <c r="AH211" s="279"/>
      <c r="AI211" s="279"/>
      <c r="AJ211" s="279"/>
      <c r="AK211" s="279"/>
      <c r="AL211" s="279"/>
      <c r="AM211" s="279"/>
      <c r="AN211" s="279"/>
      <c r="AO211" s="279"/>
      <c r="AP211" s="279"/>
      <c r="AQ211" s="279"/>
      <c r="AR211" s="279"/>
      <c r="AS211" s="279"/>
      <c r="AT211" s="279"/>
      <c r="AU211" s="279"/>
      <c r="AV211" s="279"/>
      <c r="AW211" s="279"/>
      <c r="AX211" s="279"/>
      <c r="AY211" s="279"/>
      <c r="AZ211" s="279"/>
      <c r="BA211" s="279"/>
      <c r="BB211" s="279"/>
      <c r="BC211" s="279"/>
      <c r="BD211" s="279"/>
      <c r="BE211" s="279"/>
      <c r="BF211" s="279"/>
      <c r="BG211" s="279"/>
      <c r="BH211" s="279"/>
      <c r="BI211" s="279"/>
      <c r="BJ211" s="279"/>
      <c r="BK211" s="279"/>
      <c r="BL211" s="279"/>
      <c r="BM211" s="279"/>
      <c r="BN211" s="279"/>
      <c r="BO211" s="279"/>
      <c r="BP211" s="279"/>
      <c r="BQ211" s="279"/>
      <c r="BR211" s="279"/>
      <c r="BS211" s="279"/>
      <c r="BT211" s="279"/>
      <c r="BU211" s="279"/>
      <c r="BV211" s="279"/>
      <c r="BW211" s="279"/>
      <c r="BX211" s="279"/>
      <c r="BY211" s="279"/>
      <c r="BZ211" s="279"/>
      <c r="CA211" s="279"/>
      <c r="CB211" s="279"/>
      <c r="CC211" s="279"/>
      <c r="CD211" s="279"/>
      <c r="CE211" s="279"/>
      <c r="CF211" s="279"/>
      <c r="CG211" s="279"/>
      <c r="CH211" s="279"/>
      <c r="CI211" s="279"/>
      <c r="CJ211" s="279"/>
      <c r="CK211" s="279"/>
      <c r="CL211" s="279"/>
      <c r="CM211" s="279"/>
      <c r="CN211" s="382"/>
    </row>
    <row r="212" ht="24" customHeight="true" x14ac:dyDescent="0.25">
      <c r="B212" s="361"/>
      <c r="C212" s="279"/>
      <c r="D212" s="280"/>
      <c r="E212" s="287"/>
      <c r="F212" s="287"/>
      <c r="G212" s="287"/>
      <c r="H212" s="1292">
        <f t="shared" si="11"/>
        <v>13</v>
      </c>
      <c r="I212" s="1190" t="str">
        <f>IF('I. Stream &amp; Compound Data'!AB274&lt;&gt;"",'I. Stream &amp; Compound Data'!AB274,"")</f>
        <v/>
      </c>
      <c r="J212" s="1295" t="str">
        <f t="shared" si="12"/>
        <v/>
      </c>
      <c r="K212" s="1190" t="str">
        <f>IF('I. Stream &amp; Compound Data'!AT274&lt;&gt;"",'I. Stream &amp; Compound Data'!AT274,IF('I. Stream &amp; Compound Data'!AU274&lt;&gt;"",'I. Stream &amp; Compound Data'!AU274,""))</f>
        <v/>
      </c>
      <c r="L212" s="1190" t="str">
        <f>IF('I. Stream &amp; Compound Data'!AR274&lt;&gt;"",'I. Stream &amp; Compound Data'!AR274,IF('I. Stream &amp; Compound Data'!AS274&lt;&gt;"",'I. Stream &amp; Compound Data'!AS274,""))</f>
        <v/>
      </c>
      <c r="M212" s="1306" t="str">
        <f>IF(H212&gt;'I. Stream &amp; Compound Data'!$F$18,"",IF(I212="","N/A",ROUND(IF(I212&lt;=0.1,1,IF(AND(I212&gt;0.1,I212&lt;10000),-0.087*LN(I212)+0.8,0)),3)))</f>
        <v/>
      </c>
      <c r="N212" s="1168" t="str">
        <f>IF(H212&gt;'I. Stream &amp; Compound Data'!$F$18,"",IF(M212="N/A",IF(J212="","N/A",IF(J212="T+",0.7,IF(J212="T",0.5,IF(J212="Xn",0.3,"N/A")))),"N/A"))</f>
        <v/>
      </c>
      <c r="O212" s="1242" t="str">
        <f>IF(H212&gt;'I. Stream &amp; Compound Data'!$F$18,"",IF(AND(M212="N/A",N212="N/A"),IF(K212="","N/A",IF(K212=1,0.8,IF(K212=2,0.7,IF(K212=3,0.5,IF(K212=4,0.3,IF(K212=5,0.1,0)))))),"N/A"))</f>
        <v/>
      </c>
      <c r="P212" s="1307" t="str">
        <f>IF(H212&gt;'I. Stream &amp; Compound Data'!$F$18,"",IF(AND(M212="N/A",N212="N/A",O212="N/A"),IF(L212="","N/A",IF(OR(L212=45,L212=46,L212=47,L212=49,L212=60,L212=61),1,IF(OR(L212=40,L212=62,L212=63,L212=64),0.8,IF(OR(L212=29,L212=32,L212=48),0.7,IF(OR(L212=42,L212=43),0.6,IF(OR(L212=31,L212=33),0.5,0)))))),"N/A"))</f>
        <v/>
      </c>
      <c r="Q212" s="1242" t="str">
        <f>IF(H212&gt;'I. Stream &amp; Compound Data'!$F$18,"",IF(M212&lt;&gt;"N/A",M212,IF(N212&lt;&gt;"N/A",N212,IF(O212&lt;&gt;"N/A",O212,P212))))</f>
        <v/>
      </c>
      <c r="R212" s="1242" t="str">
        <f>IF(H212&gt;'I. Stream &amp; Compound Data'!$F$18,"",IF(Q212="N/A",0,IF(Q212&gt;0,ROUND(10^(5*Q212+2),3),0)))</f>
        <v/>
      </c>
      <c r="S212" s="1242" t="str">
        <f>IF(H212&gt;'I. Stream &amp; Compound Data'!$F$18,"",MAX(K154:L154))</f>
        <v/>
      </c>
      <c r="T212" s="1268" t="str">
        <f>IF(H212&gt;'I. Stream &amp; Compound Data'!$F$18,"",ROUND(R212*S212,3))</f>
        <v/>
      </c>
      <c r="U212" s="299"/>
      <c r="V212" s="279"/>
      <c r="W212" s="279"/>
      <c r="X212" s="279"/>
      <c r="Y212" s="279"/>
      <c r="Z212" s="279"/>
      <c r="AA212" s="279"/>
      <c r="AB212" s="279"/>
      <c r="AC212" s="279"/>
      <c r="AD212" s="279"/>
      <c r="AE212" s="279"/>
      <c r="AF212" s="279"/>
      <c r="AG212" s="279"/>
      <c r="AH212" s="279"/>
      <c r="AI212" s="279"/>
      <c r="AJ212" s="279"/>
      <c r="AK212" s="279"/>
      <c r="AL212" s="279"/>
      <c r="AM212" s="279"/>
      <c r="AN212" s="279"/>
      <c r="AO212" s="279"/>
      <c r="AP212" s="279"/>
      <c r="AQ212" s="279"/>
      <c r="AR212" s="279"/>
      <c r="AS212" s="279"/>
      <c r="AT212" s="279"/>
      <c r="AU212" s="279"/>
      <c r="AV212" s="279"/>
      <c r="AW212" s="279"/>
      <c r="AX212" s="279"/>
      <c r="AY212" s="279"/>
      <c r="AZ212" s="279"/>
      <c r="BA212" s="279"/>
      <c r="BB212" s="279"/>
      <c r="BC212" s="279"/>
      <c r="BD212" s="279"/>
      <c r="BE212" s="279"/>
      <c r="BF212" s="279"/>
      <c r="BG212" s="279"/>
      <c r="BH212" s="279"/>
      <c r="BI212" s="279"/>
      <c r="BJ212" s="279"/>
      <c r="BK212" s="279"/>
      <c r="BL212" s="279"/>
      <c r="BM212" s="279"/>
      <c r="BN212" s="279"/>
      <c r="BO212" s="279"/>
      <c r="BP212" s="279"/>
      <c r="BQ212" s="279"/>
      <c r="BR212" s="279"/>
      <c r="BS212" s="279"/>
      <c r="BT212" s="279"/>
      <c r="BU212" s="279"/>
      <c r="BV212" s="279"/>
      <c r="BW212" s="279"/>
      <c r="BX212" s="279"/>
      <c r="BY212" s="279"/>
      <c r="BZ212" s="279"/>
      <c r="CA212" s="279"/>
      <c r="CB212" s="279"/>
      <c r="CC212" s="279"/>
      <c r="CD212" s="279"/>
      <c r="CE212" s="279"/>
      <c r="CF212" s="279"/>
      <c r="CG212" s="279"/>
      <c r="CH212" s="279"/>
      <c r="CI212" s="279"/>
      <c r="CJ212" s="279"/>
      <c r="CK212" s="279"/>
      <c r="CL212" s="279"/>
      <c r="CM212" s="279"/>
      <c r="CN212" s="382"/>
    </row>
    <row r="213" ht="24" customHeight="true" x14ac:dyDescent="0.25">
      <c r="B213" s="361"/>
      <c r="C213" s="279"/>
      <c r="D213" s="280"/>
      <c r="E213" s="287"/>
      <c r="F213" s="287"/>
      <c r="G213" s="287"/>
      <c r="H213" s="1292">
        <f t="shared" si="11"/>
        <v>14</v>
      </c>
      <c r="I213" s="1190" t="str">
        <f>IF('I. Stream &amp; Compound Data'!AB275&lt;&gt;"",'I. Stream &amp; Compound Data'!AB275,"")</f>
        <v/>
      </c>
      <c r="J213" s="1295" t="str">
        <f t="shared" si="12"/>
        <v/>
      </c>
      <c r="K213" s="1190" t="str">
        <f>IF('I. Stream &amp; Compound Data'!AT275&lt;&gt;"",'I. Stream &amp; Compound Data'!AT275,IF('I. Stream &amp; Compound Data'!AU275&lt;&gt;"",'I. Stream &amp; Compound Data'!AU275,""))</f>
        <v/>
      </c>
      <c r="L213" s="1190" t="str">
        <f>IF('I. Stream &amp; Compound Data'!AR275&lt;&gt;"",'I. Stream &amp; Compound Data'!AR275,IF('I. Stream &amp; Compound Data'!AS275&lt;&gt;"",'I. Stream &amp; Compound Data'!AS275,""))</f>
        <v/>
      </c>
      <c r="M213" s="1306" t="str">
        <f>IF(H213&gt;'I. Stream &amp; Compound Data'!$F$18,"",IF(I213="","N/A",ROUND(IF(I213&lt;=0.1,1,IF(AND(I213&gt;0.1,I213&lt;10000),-0.087*LN(I213)+0.8,0)),3)))</f>
        <v/>
      </c>
      <c r="N213" s="1168" t="str">
        <f>IF(H213&gt;'I. Stream &amp; Compound Data'!$F$18,"",IF(M213="N/A",IF(J213="","N/A",IF(J213="T+",0.7,IF(J213="T",0.5,IF(J213="Xn",0.3,"N/A")))),"N/A"))</f>
        <v/>
      </c>
      <c r="O213" s="1242" t="str">
        <f>IF(H213&gt;'I. Stream &amp; Compound Data'!$F$18,"",IF(AND(M213="N/A",N213="N/A"),IF(K213="","N/A",IF(K213=1,0.8,IF(K213=2,0.7,IF(K213=3,0.5,IF(K213=4,0.3,IF(K213=5,0.1,0)))))),"N/A"))</f>
        <v/>
      </c>
      <c r="P213" s="1307" t="str">
        <f>IF(H213&gt;'I. Stream &amp; Compound Data'!$F$18,"",IF(AND(M213="N/A",N213="N/A",O213="N/A"),IF(L213="","N/A",IF(OR(L213=45,L213=46,L213=47,L213=49,L213=60,L213=61),1,IF(OR(L213=40,L213=62,L213=63,L213=64),0.8,IF(OR(L213=29,L213=32,L213=48),0.7,IF(OR(L213=42,L213=43),0.6,IF(OR(L213=31,L213=33),0.5,0)))))),"N/A"))</f>
        <v/>
      </c>
      <c r="Q213" s="1242" t="str">
        <f>IF(H213&gt;'I. Stream &amp; Compound Data'!$F$18,"",IF(M213&lt;&gt;"N/A",M213,IF(N213&lt;&gt;"N/A",N213,IF(O213&lt;&gt;"N/A",O213,P213))))</f>
        <v/>
      </c>
      <c r="R213" s="1242" t="str">
        <f>IF(H213&gt;'I. Stream &amp; Compound Data'!$F$18,"",IF(Q213="N/A",0,IF(Q213&gt;0,ROUND(10^(5*Q213+2),3),0)))</f>
        <v/>
      </c>
      <c r="S213" s="1242" t="str">
        <f>IF(H213&gt;'I. Stream &amp; Compound Data'!$F$18,"",MAX(K155:L155))</f>
        <v/>
      </c>
      <c r="T213" s="1268" t="str">
        <f>IF(H213&gt;'I. Stream &amp; Compound Data'!$F$18,"",ROUND(R213*S213,3))</f>
        <v/>
      </c>
      <c r="U213" s="299"/>
      <c r="V213" s="279"/>
      <c r="W213" s="279"/>
      <c r="X213" s="279"/>
      <c r="Y213" s="279"/>
      <c r="Z213" s="279"/>
      <c r="AA213" s="279"/>
      <c r="AB213" s="279"/>
      <c r="AC213" s="279"/>
      <c r="AD213" s="279"/>
      <c r="AE213" s="279"/>
      <c r="AF213" s="279"/>
      <c r="AG213" s="279"/>
      <c r="AH213" s="279"/>
      <c r="AI213" s="279"/>
      <c r="AJ213" s="279"/>
      <c r="AK213" s="279"/>
      <c r="AL213" s="279"/>
      <c r="AM213" s="279"/>
      <c r="AN213" s="279"/>
      <c r="AO213" s="279"/>
      <c r="AP213" s="279"/>
      <c r="AQ213" s="279"/>
      <c r="AR213" s="279"/>
      <c r="AS213" s="279"/>
      <c r="AT213" s="279"/>
      <c r="AU213" s="279"/>
      <c r="AV213" s="279"/>
      <c r="AW213" s="279"/>
      <c r="AX213" s="279"/>
      <c r="AY213" s="279"/>
      <c r="AZ213" s="279"/>
      <c r="BA213" s="279"/>
      <c r="BB213" s="279"/>
      <c r="BC213" s="279"/>
      <c r="BD213" s="279"/>
      <c r="BE213" s="279"/>
      <c r="BF213" s="279"/>
      <c r="BG213" s="279"/>
      <c r="BH213" s="279"/>
      <c r="BI213" s="279"/>
      <c r="BJ213" s="279"/>
      <c r="BK213" s="279"/>
      <c r="BL213" s="279"/>
      <c r="BM213" s="279"/>
      <c r="BN213" s="279"/>
      <c r="BO213" s="279"/>
      <c r="BP213" s="279"/>
      <c r="BQ213" s="279"/>
      <c r="BR213" s="279"/>
      <c r="BS213" s="279"/>
      <c r="BT213" s="279"/>
      <c r="BU213" s="279"/>
      <c r="BV213" s="279"/>
      <c r="BW213" s="279"/>
      <c r="BX213" s="279"/>
      <c r="BY213" s="279"/>
      <c r="BZ213" s="279"/>
      <c r="CA213" s="279"/>
      <c r="CB213" s="279"/>
      <c r="CC213" s="279"/>
      <c r="CD213" s="279"/>
      <c r="CE213" s="279"/>
      <c r="CF213" s="279"/>
      <c r="CG213" s="279"/>
      <c r="CH213" s="279"/>
      <c r="CI213" s="279"/>
      <c r="CJ213" s="279"/>
      <c r="CK213" s="279"/>
      <c r="CL213" s="279"/>
      <c r="CM213" s="279"/>
      <c r="CN213" s="382"/>
    </row>
    <row r="214" ht="24" customHeight="true" x14ac:dyDescent="0.25">
      <c r="B214" s="361"/>
      <c r="C214" s="279"/>
      <c r="D214" s="280"/>
      <c r="E214" s="287"/>
      <c r="F214" s="287"/>
      <c r="G214" s="287"/>
      <c r="H214" s="1292">
        <f t="shared" si="11"/>
        <v>15</v>
      </c>
      <c r="I214" s="1190" t="str">
        <f>IF('I. Stream &amp; Compound Data'!AB276&lt;&gt;"",'I. Stream &amp; Compound Data'!AB276,"")</f>
        <v/>
      </c>
      <c r="J214" s="1295" t="str">
        <f t="shared" si="12"/>
        <v/>
      </c>
      <c r="K214" s="1190" t="str">
        <f>IF('I. Stream &amp; Compound Data'!AT276&lt;&gt;"",'I. Stream &amp; Compound Data'!AT276,IF('I. Stream &amp; Compound Data'!AU276&lt;&gt;"",'I. Stream &amp; Compound Data'!AU276,""))</f>
        <v/>
      </c>
      <c r="L214" s="1190" t="str">
        <f>IF('I. Stream &amp; Compound Data'!AR276&lt;&gt;"",'I. Stream &amp; Compound Data'!AR276,IF('I. Stream &amp; Compound Data'!AS276&lt;&gt;"",'I. Stream &amp; Compound Data'!AS276,""))</f>
        <v/>
      </c>
      <c r="M214" s="1306" t="str">
        <f>IF(H214&gt;'I. Stream &amp; Compound Data'!$F$18,"",IF(I214="","N/A",ROUND(IF(I214&lt;=0.1,1,IF(AND(I214&gt;0.1,I214&lt;10000),-0.087*LN(I214)+0.8,0)),3)))</f>
        <v/>
      </c>
      <c r="N214" s="1168" t="str">
        <f>IF(H214&gt;'I. Stream &amp; Compound Data'!$F$18,"",IF(M214="N/A",IF(J214="","N/A",IF(J214="T+",0.7,IF(J214="T",0.5,IF(J214="Xn",0.3,"N/A")))),"N/A"))</f>
        <v/>
      </c>
      <c r="O214" s="1242" t="str">
        <f>IF(H214&gt;'I. Stream &amp; Compound Data'!$F$18,"",IF(AND(M214="N/A",N214="N/A"),IF(K214="","N/A",IF(K214=1,0.8,IF(K214=2,0.7,IF(K214=3,0.5,IF(K214=4,0.3,IF(K214=5,0.1,0)))))),"N/A"))</f>
        <v/>
      </c>
      <c r="P214" s="1307" t="str">
        <f>IF(H214&gt;'I. Stream &amp; Compound Data'!$F$18,"",IF(AND(M214="N/A",N214="N/A",O214="N/A"),IF(L214="","N/A",IF(OR(L214=45,L214=46,L214=47,L214=49,L214=60,L214=61),1,IF(OR(L214=40,L214=62,L214=63,L214=64),0.8,IF(OR(L214=29,L214=32,L214=48),0.7,IF(OR(L214=42,L214=43),0.6,IF(OR(L214=31,L214=33),0.5,0)))))),"N/A"))</f>
        <v/>
      </c>
      <c r="Q214" s="1242" t="str">
        <f>IF(H214&gt;'I. Stream &amp; Compound Data'!$F$18,"",IF(M214&lt;&gt;"N/A",M214,IF(N214&lt;&gt;"N/A",N214,IF(O214&lt;&gt;"N/A",O214,P214))))</f>
        <v/>
      </c>
      <c r="R214" s="1242" t="str">
        <f>IF(H214&gt;'I. Stream &amp; Compound Data'!$F$18,"",IF(Q214="N/A",0,IF(Q214&gt;0,ROUND(10^(5*Q214+2),3),0)))</f>
        <v/>
      </c>
      <c r="S214" s="1242" t="str">
        <f>IF(H214&gt;'I. Stream &amp; Compound Data'!$F$18,"",MAX(K156:L156))</f>
        <v/>
      </c>
      <c r="T214" s="1268" t="str">
        <f>IF(H214&gt;'I. Stream &amp; Compound Data'!$F$18,"",ROUND(R214*S214,3))</f>
        <v/>
      </c>
      <c r="U214" s="299"/>
      <c r="V214" s="279"/>
      <c r="W214" s="279"/>
      <c r="X214" s="279"/>
      <c r="Y214" s="279"/>
      <c r="Z214" s="279"/>
      <c r="AA214" s="279"/>
      <c r="AB214" s="279"/>
      <c r="AC214" s="279"/>
      <c r="AD214" s="279"/>
      <c r="AE214" s="279"/>
      <c r="AF214" s="279"/>
      <c r="AG214" s="279"/>
      <c r="AH214" s="279"/>
      <c r="AI214" s="279"/>
      <c r="AJ214" s="279"/>
      <c r="AK214" s="279"/>
      <c r="AL214" s="279"/>
      <c r="AM214" s="279"/>
      <c r="AN214" s="279"/>
      <c r="AO214" s="279"/>
      <c r="AP214" s="279"/>
      <c r="AQ214" s="279"/>
      <c r="AR214" s="279"/>
      <c r="AS214" s="279"/>
      <c r="AT214" s="279"/>
      <c r="AU214" s="279"/>
      <c r="AV214" s="279"/>
      <c r="AW214" s="279"/>
      <c r="AX214" s="279"/>
      <c r="AY214" s="279"/>
      <c r="AZ214" s="279"/>
      <c r="BA214" s="279"/>
      <c r="BB214" s="279"/>
      <c r="BC214" s="279"/>
      <c r="BD214" s="279"/>
      <c r="BE214" s="279"/>
      <c r="BF214" s="279"/>
      <c r="BG214" s="279"/>
      <c r="BH214" s="279"/>
      <c r="BI214" s="279"/>
      <c r="BJ214" s="279"/>
      <c r="BK214" s="279"/>
      <c r="BL214" s="279"/>
      <c r="BM214" s="279"/>
      <c r="BN214" s="279"/>
      <c r="BO214" s="279"/>
      <c r="BP214" s="279"/>
      <c r="BQ214" s="279"/>
      <c r="BR214" s="279"/>
      <c r="BS214" s="279"/>
      <c r="BT214" s="279"/>
      <c r="BU214" s="279"/>
      <c r="BV214" s="279"/>
      <c r="BW214" s="279"/>
      <c r="BX214" s="279"/>
      <c r="BY214" s="279"/>
      <c r="BZ214" s="279"/>
      <c r="CA214" s="279"/>
      <c r="CB214" s="279"/>
      <c r="CC214" s="279"/>
      <c r="CD214" s="279"/>
      <c r="CE214" s="279"/>
      <c r="CF214" s="279"/>
      <c r="CG214" s="279"/>
      <c r="CH214" s="279"/>
      <c r="CI214" s="279"/>
      <c r="CJ214" s="279"/>
      <c r="CK214" s="279"/>
      <c r="CL214" s="279"/>
      <c r="CM214" s="279"/>
      <c r="CN214" s="382"/>
    </row>
    <row r="215" ht="24" customHeight="true" x14ac:dyDescent="0.25">
      <c r="B215" s="361"/>
      <c r="C215" s="279"/>
      <c r="D215" s="280"/>
      <c r="E215" s="287"/>
      <c r="F215" s="287"/>
      <c r="G215" s="287"/>
      <c r="H215" s="1292">
        <f t="shared" si="11"/>
        <v>16</v>
      </c>
      <c r="I215" s="1190" t="str">
        <f>IF('I. Stream &amp; Compound Data'!AB277&lt;&gt;"",'I. Stream &amp; Compound Data'!AB277,"")</f>
        <v/>
      </c>
      <c r="J215" s="1295" t="str">
        <f t="shared" si="12"/>
        <v/>
      </c>
      <c r="K215" s="1190" t="str">
        <f>IF('I. Stream &amp; Compound Data'!AT277&lt;&gt;"",'I. Stream &amp; Compound Data'!AT277,IF('I. Stream &amp; Compound Data'!AU277&lt;&gt;"",'I. Stream &amp; Compound Data'!AU277,""))</f>
        <v/>
      </c>
      <c r="L215" s="1190" t="str">
        <f>IF('I. Stream &amp; Compound Data'!AR277&lt;&gt;"",'I. Stream &amp; Compound Data'!AR277,IF('I. Stream &amp; Compound Data'!AS277&lt;&gt;"",'I. Stream &amp; Compound Data'!AS277,""))</f>
        <v/>
      </c>
      <c r="M215" s="1306" t="str">
        <f>IF(H215&gt;'I. Stream &amp; Compound Data'!$F$18,"",IF(I215="","N/A",ROUND(IF(I215&lt;=0.1,1,IF(AND(I215&gt;0.1,I215&lt;10000),-0.087*LN(I215)+0.8,0)),3)))</f>
        <v/>
      </c>
      <c r="N215" s="1168" t="str">
        <f>IF(H215&gt;'I. Stream &amp; Compound Data'!$F$18,"",IF(M215="N/A",IF(J215="","N/A",IF(J215="T+",0.7,IF(J215="T",0.5,IF(J215="Xn",0.3,"N/A")))),"N/A"))</f>
        <v/>
      </c>
      <c r="O215" s="1242" t="str">
        <f>IF(H215&gt;'I. Stream &amp; Compound Data'!$F$18,"",IF(AND(M215="N/A",N215="N/A"),IF(K215="","N/A",IF(K215=1,0.8,IF(K215=2,0.7,IF(K215=3,0.5,IF(K215=4,0.3,IF(K215=5,0.1,0)))))),"N/A"))</f>
        <v/>
      </c>
      <c r="P215" s="1307" t="str">
        <f>IF(H215&gt;'I. Stream &amp; Compound Data'!$F$18,"",IF(AND(M215="N/A",N215="N/A",O215="N/A"),IF(L215="","N/A",IF(OR(L215=45,L215=46,L215=47,L215=49,L215=60,L215=61),1,IF(OR(L215=40,L215=62,L215=63,L215=64),0.8,IF(OR(L215=29,L215=32,L215=48),0.7,IF(OR(L215=42,L215=43),0.6,IF(OR(L215=31,L215=33),0.5,0)))))),"N/A"))</f>
        <v/>
      </c>
      <c r="Q215" s="1242" t="str">
        <f>IF(H215&gt;'I. Stream &amp; Compound Data'!$F$18,"",IF(M215&lt;&gt;"N/A",M215,IF(N215&lt;&gt;"N/A",N215,IF(O215&lt;&gt;"N/A",O215,P215))))</f>
        <v/>
      </c>
      <c r="R215" s="1242" t="str">
        <f>IF(H215&gt;'I. Stream &amp; Compound Data'!$F$18,"",IF(Q215="N/A",0,IF(Q215&gt;0,ROUND(10^(5*Q215+2),3),0)))</f>
        <v/>
      </c>
      <c r="S215" s="1242" t="str">
        <f>IF(H215&gt;'I. Stream &amp; Compound Data'!$F$18,"",MAX(K157:L157))</f>
        <v/>
      </c>
      <c r="T215" s="1268" t="str">
        <f>IF(H215&gt;'I. Stream &amp; Compound Data'!$F$18,"",ROUND(R215*S215,3))</f>
        <v/>
      </c>
      <c r="U215" s="299"/>
      <c r="V215" s="279"/>
      <c r="W215" s="279"/>
      <c r="X215" s="279"/>
      <c r="Y215" s="279"/>
      <c r="Z215" s="279"/>
      <c r="AA215" s="279"/>
      <c r="AB215" s="279"/>
      <c r="AC215" s="279"/>
      <c r="AD215" s="279"/>
      <c r="AE215" s="279"/>
      <c r="AF215" s="279"/>
      <c r="AG215" s="279"/>
      <c r="AH215" s="279"/>
      <c r="AI215" s="279"/>
      <c r="AJ215" s="279"/>
      <c r="AK215" s="279"/>
      <c r="AL215" s="279"/>
      <c r="AM215" s="279"/>
      <c r="AN215" s="279"/>
      <c r="AO215" s="279"/>
      <c r="AP215" s="279"/>
      <c r="AQ215" s="279"/>
      <c r="AR215" s="279"/>
      <c r="AS215" s="279"/>
      <c r="AT215" s="279"/>
      <c r="AU215" s="279"/>
      <c r="AV215" s="279"/>
      <c r="AW215" s="279"/>
      <c r="AX215" s="279"/>
      <c r="AY215" s="279"/>
      <c r="AZ215" s="279"/>
      <c r="BA215" s="279"/>
      <c r="BB215" s="279"/>
      <c r="BC215" s="279"/>
      <c r="BD215" s="279"/>
      <c r="BE215" s="279"/>
      <c r="BF215" s="279"/>
      <c r="BG215" s="279"/>
      <c r="BH215" s="279"/>
      <c r="BI215" s="279"/>
      <c r="BJ215" s="279"/>
      <c r="BK215" s="279"/>
      <c r="BL215" s="279"/>
      <c r="BM215" s="279"/>
      <c r="BN215" s="279"/>
      <c r="BO215" s="279"/>
      <c r="BP215" s="279"/>
      <c r="BQ215" s="279"/>
      <c r="BR215" s="279"/>
      <c r="BS215" s="279"/>
      <c r="BT215" s="279"/>
      <c r="BU215" s="279"/>
      <c r="BV215" s="279"/>
      <c r="BW215" s="279"/>
      <c r="BX215" s="279"/>
      <c r="BY215" s="279"/>
      <c r="BZ215" s="279"/>
      <c r="CA215" s="279"/>
      <c r="CB215" s="279"/>
      <c r="CC215" s="279"/>
      <c r="CD215" s="279"/>
      <c r="CE215" s="279"/>
      <c r="CF215" s="279"/>
      <c r="CG215" s="279"/>
      <c r="CH215" s="279"/>
      <c r="CI215" s="279"/>
      <c r="CJ215" s="279"/>
      <c r="CK215" s="279"/>
      <c r="CL215" s="279"/>
      <c r="CM215" s="279"/>
      <c r="CN215" s="382"/>
    </row>
    <row r="216" ht="24" customHeight="true" x14ac:dyDescent="0.25">
      <c r="B216" s="361"/>
      <c r="C216" s="279"/>
      <c r="D216" s="280"/>
      <c r="E216" s="287"/>
      <c r="F216" s="287"/>
      <c r="G216" s="287"/>
      <c r="H216" s="1292">
        <f t="shared" si="11"/>
        <v>17</v>
      </c>
      <c r="I216" s="1190" t="str">
        <f>IF('I. Stream &amp; Compound Data'!AB278&lt;&gt;"",'I. Stream &amp; Compound Data'!AB278,"")</f>
        <v/>
      </c>
      <c r="J216" s="1295" t="str">
        <f t="shared" si="12"/>
        <v/>
      </c>
      <c r="K216" s="1190" t="str">
        <f>IF('I. Stream &amp; Compound Data'!AT278&lt;&gt;"",'I. Stream &amp; Compound Data'!AT278,IF('I. Stream &amp; Compound Data'!AU278&lt;&gt;"",'I. Stream &amp; Compound Data'!AU278,""))</f>
        <v/>
      </c>
      <c r="L216" s="1190" t="str">
        <f>IF('I. Stream &amp; Compound Data'!AR278&lt;&gt;"",'I. Stream &amp; Compound Data'!AR278,IF('I. Stream &amp; Compound Data'!AS278&lt;&gt;"",'I. Stream &amp; Compound Data'!AS278,""))</f>
        <v/>
      </c>
      <c r="M216" s="1306" t="str">
        <f>IF(H216&gt;'I. Stream &amp; Compound Data'!$F$18,"",IF(I216="","N/A",ROUND(IF(I216&lt;=0.1,1,IF(AND(I216&gt;0.1,I216&lt;10000),-0.087*LN(I216)+0.8,0)),3)))</f>
        <v/>
      </c>
      <c r="N216" s="1168" t="str">
        <f>IF(H216&gt;'I. Stream &amp; Compound Data'!$F$18,"",IF(M216="N/A",IF(J216="","N/A",IF(J216="T+",0.7,IF(J216="T",0.5,IF(J216="Xn",0.3,"N/A")))),"N/A"))</f>
        <v/>
      </c>
      <c r="O216" s="1242" t="str">
        <f>IF(H216&gt;'I. Stream &amp; Compound Data'!$F$18,"",IF(AND(M216="N/A",N216="N/A"),IF(K216="","N/A",IF(K216=1,0.8,IF(K216=2,0.7,IF(K216=3,0.5,IF(K216=4,0.3,IF(K216=5,0.1,0)))))),"N/A"))</f>
        <v/>
      </c>
      <c r="P216" s="1307" t="str">
        <f>IF(H216&gt;'I. Stream &amp; Compound Data'!$F$18,"",IF(AND(M216="N/A",N216="N/A",O216="N/A"),IF(L216="","N/A",IF(OR(L216=45,L216=46,L216=47,L216=49,L216=60,L216=61),1,IF(OR(L216=40,L216=62,L216=63,L216=64),0.8,IF(OR(L216=29,L216=32,L216=48),0.7,IF(OR(L216=42,L216=43),0.6,IF(OR(L216=31,L216=33),0.5,0)))))),"N/A"))</f>
        <v/>
      </c>
      <c r="Q216" s="1242" t="str">
        <f>IF(H216&gt;'I. Stream &amp; Compound Data'!$F$18,"",IF(M216&lt;&gt;"N/A",M216,IF(N216&lt;&gt;"N/A",N216,IF(O216&lt;&gt;"N/A",O216,P216))))</f>
        <v/>
      </c>
      <c r="R216" s="1242" t="str">
        <f>IF(H216&gt;'I. Stream &amp; Compound Data'!$F$18,"",IF(Q216="N/A",0,IF(Q216&gt;0,ROUND(10^(5*Q216+2),3),0)))</f>
        <v/>
      </c>
      <c r="S216" s="1242" t="str">
        <f>IF(H216&gt;'I. Stream &amp; Compound Data'!$F$18,"",MAX(K158:L158))</f>
        <v/>
      </c>
      <c r="T216" s="1268" t="str">
        <f>IF(H216&gt;'I. Stream &amp; Compound Data'!$F$18,"",ROUND(R216*S216,3))</f>
        <v/>
      </c>
      <c r="U216" s="299"/>
      <c r="V216" s="279"/>
      <c r="W216" s="279"/>
      <c r="X216" s="279"/>
      <c r="Y216" s="279"/>
      <c r="Z216" s="279"/>
      <c r="AA216" s="279"/>
      <c r="AB216" s="279"/>
      <c r="AC216" s="279"/>
      <c r="AD216" s="279"/>
      <c r="AE216" s="279"/>
      <c r="AF216" s="279"/>
      <c r="AG216" s="279"/>
      <c r="AH216" s="279"/>
      <c r="AI216" s="279"/>
      <c r="AJ216" s="279"/>
      <c r="AK216" s="279"/>
      <c r="AL216" s="279"/>
      <c r="AM216" s="279"/>
      <c r="AN216" s="279"/>
      <c r="AO216" s="279"/>
      <c r="AP216" s="279"/>
      <c r="AQ216" s="279"/>
      <c r="AR216" s="279"/>
      <c r="AS216" s="279"/>
      <c r="AT216" s="279"/>
      <c r="AU216" s="279"/>
      <c r="AV216" s="279"/>
      <c r="AW216" s="279"/>
      <c r="AX216" s="279"/>
      <c r="AY216" s="279"/>
      <c r="AZ216" s="279"/>
      <c r="BA216" s="279"/>
      <c r="BB216" s="279"/>
      <c r="BC216" s="279"/>
      <c r="BD216" s="279"/>
      <c r="BE216" s="279"/>
      <c r="BF216" s="279"/>
      <c r="BG216" s="279"/>
      <c r="BH216" s="279"/>
      <c r="BI216" s="279"/>
      <c r="BJ216" s="279"/>
      <c r="BK216" s="279"/>
      <c r="BL216" s="279"/>
      <c r="BM216" s="279"/>
      <c r="BN216" s="279"/>
      <c r="BO216" s="279"/>
      <c r="BP216" s="279"/>
      <c r="BQ216" s="279"/>
      <c r="BR216" s="279"/>
      <c r="BS216" s="279"/>
      <c r="BT216" s="279"/>
      <c r="BU216" s="279"/>
      <c r="BV216" s="279"/>
      <c r="BW216" s="279"/>
      <c r="BX216" s="279"/>
      <c r="BY216" s="279"/>
      <c r="BZ216" s="279"/>
      <c r="CA216" s="279"/>
      <c r="CB216" s="279"/>
      <c r="CC216" s="279"/>
      <c r="CD216" s="279"/>
      <c r="CE216" s="279"/>
      <c r="CF216" s="279"/>
      <c r="CG216" s="279"/>
      <c r="CH216" s="279"/>
      <c r="CI216" s="279"/>
      <c r="CJ216" s="279"/>
      <c r="CK216" s="279"/>
      <c r="CL216" s="279"/>
      <c r="CM216" s="279"/>
      <c r="CN216" s="382"/>
    </row>
    <row r="217" ht="24" customHeight="true" x14ac:dyDescent="0.25">
      <c r="B217" s="361"/>
      <c r="C217" s="279"/>
      <c r="D217" s="280"/>
      <c r="E217" s="287"/>
      <c r="F217" s="287"/>
      <c r="G217" s="287"/>
      <c r="H217" s="1292">
        <f t="shared" si="11"/>
        <v>18</v>
      </c>
      <c r="I217" s="1190" t="str">
        <f>IF('I. Stream &amp; Compound Data'!AB279&lt;&gt;"",'I. Stream &amp; Compound Data'!AB279,"")</f>
        <v/>
      </c>
      <c r="J217" s="1295" t="str">
        <f t="shared" si="12"/>
        <v/>
      </c>
      <c r="K217" s="1190" t="str">
        <f>IF('I. Stream &amp; Compound Data'!AT279&lt;&gt;"",'I. Stream &amp; Compound Data'!AT279,IF('I. Stream &amp; Compound Data'!AU279&lt;&gt;"",'I. Stream &amp; Compound Data'!AU279,""))</f>
        <v/>
      </c>
      <c r="L217" s="1190" t="str">
        <f>IF('I. Stream &amp; Compound Data'!AR279&lt;&gt;"",'I. Stream &amp; Compound Data'!AR279,IF('I. Stream &amp; Compound Data'!AS279&lt;&gt;"",'I. Stream &amp; Compound Data'!AS279,""))</f>
        <v/>
      </c>
      <c r="M217" s="1306" t="str">
        <f>IF(H217&gt;'I. Stream &amp; Compound Data'!$F$18,"",IF(I217="","N/A",ROUND(IF(I217&lt;=0.1,1,IF(AND(I217&gt;0.1,I217&lt;10000),-0.087*LN(I217)+0.8,0)),3)))</f>
        <v/>
      </c>
      <c r="N217" s="1168" t="str">
        <f>IF(H217&gt;'I. Stream &amp; Compound Data'!$F$18,"",IF(M217="N/A",IF(J217="","N/A",IF(J217="T+",0.7,IF(J217="T",0.5,IF(J217="Xn",0.3,"N/A")))),"N/A"))</f>
        <v/>
      </c>
      <c r="O217" s="1242" t="str">
        <f>IF(H217&gt;'I. Stream &amp; Compound Data'!$F$18,"",IF(AND(M217="N/A",N217="N/A"),IF(K217="","N/A",IF(K217=1,0.8,IF(K217=2,0.7,IF(K217=3,0.5,IF(K217=4,0.3,IF(K217=5,0.1,0)))))),"N/A"))</f>
        <v/>
      </c>
      <c r="P217" s="1307" t="str">
        <f>IF(H217&gt;'I. Stream &amp; Compound Data'!$F$18,"",IF(AND(M217="N/A",N217="N/A",O217="N/A"),IF(L217="","N/A",IF(OR(L217=45,L217=46,L217=47,L217=49,L217=60,L217=61),1,IF(OR(L217=40,L217=62,L217=63,L217=64),0.8,IF(OR(L217=29,L217=32,L217=48),0.7,IF(OR(L217=42,L217=43),0.6,IF(OR(L217=31,L217=33),0.5,0)))))),"N/A"))</f>
        <v/>
      </c>
      <c r="Q217" s="1242" t="str">
        <f>IF(H217&gt;'I. Stream &amp; Compound Data'!$F$18,"",IF(M217&lt;&gt;"N/A",M217,IF(N217&lt;&gt;"N/A",N217,IF(O217&lt;&gt;"N/A",O217,P217))))</f>
        <v/>
      </c>
      <c r="R217" s="1242" t="str">
        <f>IF(H217&gt;'I. Stream &amp; Compound Data'!$F$18,"",IF(Q217="N/A",0,IF(Q217&gt;0,ROUND(10^(5*Q217+2),3),0)))</f>
        <v/>
      </c>
      <c r="S217" s="1242" t="str">
        <f>IF(H217&gt;'I. Stream &amp; Compound Data'!$F$18,"",MAX(K159:L159))</f>
        <v/>
      </c>
      <c r="T217" s="1268" t="str">
        <f>IF(H217&gt;'I. Stream &amp; Compound Data'!$F$18,"",ROUND(R217*S217,3))</f>
        <v/>
      </c>
      <c r="U217" s="299"/>
      <c r="V217" s="279"/>
      <c r="W217" s="279"/>
      <c r="X217" s="279"/>
      <c r="Y217" s="279"/>
      <c r="Z217" s="279"/>
      <c r="AA217" s="279"/>
      <c r="AB217" s="279"/>
      <c r="AC217" s="279"/>
      <c r="AD217" s="279"/>
      <c r="AE217" s="279"/>
      <c r="AF217" s="279"/>
      <c r="AG217" s="279"/>
      <c r="AH217" s="279"/>
      <c r="AI217" s="279"/>
      <c r="AJ217" s="279"/>
      <c r="AK217" s="279"/>
      <c r="AL217" s="279"/>
      <c r="AM217" s="279"/>
      <c r="AN217" s="279"/>
      <c r="AO217" s="279"/>
      <c r="AP217" s="279"/>
      <c r="AQ217" s="279"/>
      <c r="AR217" s="279"/>
      <c r="AS217" s="279"/>
      <c r="AT217" s="279"/>
      <c r="AU217" s="279"/>
      <c r="AV217" s="279"/>
      <c r="AW217" s="279"/>
      <c r="AX217" s="279"/>
      <c r="AY217" s="279"/>
      <c r="AZ217" s="279"/>
      <c r="BA217" s="279"/>
      <c r="BB217" s="279"/>
      <c r="BC217" s="279"/>
      <c r="BD217" s="279"/>
      <c r="BE217" s="279"/>
      <c r="BF217" s="279"/>
      <c r="BG217" s="279"/>
      <c r="BH217" s="279"/>
      <c r="BI217" s="279"/>
      <c r="BJ217" s="279"/>
      <c r="BK217" s="279"/>
      <c r="BL217" s="279"/>
      <c r="BM217" s="279"/>
      <c r="BN217" s="279"/>
      <c r="BO217" s="279"/>
      <c r="BP217" s="279"/>
      <c r="BQ217" s="279"/>
      <c r="BR217" s="279"/>
      <c r="BS217" s="279"/>
      <c r="BT217" s="279"/>
      <c r="BU217" s="279"/>
      <c r="BV217" s="279"/>
      <c r="BW217" s="279"/>
      <c r="BX217" s="279"/>
      <c r="BY217" s="279"/>
      <c r="BZ217" s="279"/>
      <c r="CA217" s="279"/>
      <c r="CB217" s="279"/>
      <c r="CC217" s="279"/>
      <c r="CD217" s="279"/>
      <c r="CE217" s="279"/>
      <c r="CF217" s="279"/>
      <c r="CG217" s="279"/>
      <c r="CH217" s="279"/>
      <c r="CI217" s="279"/>
      <c r="CJ217" s="279"/>
      <c r="CK217" s="279"/>
      <c r="CL217" s="279"/>
      <c r="CM217" s="279"/>
      <c r="CN217" s="382"/>
    </row>
    <row r="218" ht="24" customHeight="true" x14ac:dyDescent="0.25">
      <c r="B218" s="361"/>
      <c r="C218" s="279"/>
      <c r="D218" s="280"/>
      <c r="E218" s="287"/>
      <c r="F218" s="287"/>
      <c r="G218" s="287"/>
      <c r="H218" s="1292">
        <f t="shared" si="11"/>
        <v>19</v>
      </c>
      <c r="I218" s="1190" t="str">
        <f>IF('I. Stream &amp; Compound Data'!AB280&lt;&gt;"",'I. Stream &amp; Compound Data'!AB280,"")</f>
        <v/>
      </c>
      <c r="J218" s="1295" t="str">
        <f t="shared" si="12"/>
        <v/>
      </c>
      <c r="K218" s="1190" t="str">
        <f>IF('I. Stream &amp; Compound Data'!AT280&lt;&gt;"",'I. Stream &amp; Compound Data'!AT280,IF('I. Stream &amp; Compound Data'!AU280&lt;&gt;"",'I. Stream &amp; Compound Data'!AU280,""))</f>
        <v/>
      </c>
      <c r="L218" s="1190" t="str">
        <f>IF('I. Stream &amp; Compound Data'!AR280&lt;&gt;"",'I. Stream &amp; Compound Data'!AR280,IF('I. Stream &amp; Compound Data'!AS280&lt;&gt;"",'I. Stream &amp; Compound Data'!AS280,""))</f>
        <v/>
      </c>
      <c r="M218" s="1306" t="str">
        <f>IF(H218&gt;'I. Stream &amp; Compound Data'!$F$18,"",IF(I218="","N/A",ROUND(IF(I218&lt;=0.1,1,IF(AND(I218&gt;0.1,I218&lt;10000),-0.087*LN(I218)+0.8,0)),3)))</f>
        <v/>
      </c>
      <c r="N218" s="1168" t="str">
        <f>IF(H218&gt;'I. Stream &amp; Compound Data'!$F$18,"",IF(M218="N/A",IF(J218="","N/A",IF(J218="T+",0.7,IF(J218="T",0.5,IF(J218="Xn",0.3,"N/A")))),"N/A"))</f>
        <v/>
      </c>
      <c r="O218" s="1242" t="str">
        <f>IF(H218&gt;'I. Stream &amp; Compound Data'!$F$18,"",IF(AND(M218="N/A",N218="N/A"),IF(K218="","N/A",IF(K218=1,0.8,IF(K218=2,0.7,IF(K218=3,0.5,IF(K218=4,0.3,IF(K218=5,0.1,0)))))),"N/A"))</f>
        <v/>
      </c>
      <c r="P218" s="1307" t="str">
        <f>IF(H218&gt;'I. Stream &amp; Compound Data'!$F$18,"",IF(AND(M218="N/A",N218="N/A",O218="N/A"),IF(L218="","N/A",IF(OR(L218=45,L218=46,L218=47,L218=49,L218=60,L218=61),1,IF(OR(L218=40,L218=62,L218=63,L218=64),0.8,IF(OR(L218=29,L218=32,L218=48),0.7,IF(OR(L218=42,L218=43),0.6,IF(OR(L218=31,L218=33),0.5,0)))))),"N/A"))</f>
        <v/>
      </c>
      <c r="Q218" s="1242" t="str">
        <f>IF(H218&gt;'I. Stream &amp; Compound Data'!$F$18,"",IF(M218&lt;&gt;"N/A",M218,IF(N218&lt;&gt;"N/A",N218,IF(O218&lt;&gt;"N/A",O218,P218))))</f>
        <v/>
      </c>
      <c r="R218" s="1242" t="str">
        <f>IF(H218&gt;'I. Stream &amp; Compound Data'!$F$18,"",IF(Q218="N/A",0,IF(Q218&gt;0,ROUND(10^(5*Q218+2),3),0)))</f>
        <v/>
      </c>
      <c r="S218" s="1242" t="str">
        <f>IF(H218&gt;'I. Stream &amp; Compound Data'!$F$18,"",MAX(K160:L160))</f>
        <v/>
      </c>
      <c r="T218" s="1268" t="str">
        <f>IF(H218&gt;'I. Stream &amp; Compound Data'!$F$18,"",ROUND(R218*S218,3))</f>
        <v/>
      </c>
      <c r="U218" s="299"/>
      <c r="V218" s="279"/>
      <c r="W218" s="279"/>
      <c r="X218" s="279"/>
      <c r="Y218" s="279"/>
      <c r="Z218" s="279"/>
      <c r="AA218" s="279"/>
      <c r="AB218" s="279"/>
      <c r="AC218" s="279"/>
      <c r="AD218" s="279"/>
      <c r="AE218" s="279"/>
      <c r="AF218" s="279"/>
      <c r="AG218" s="279"/>
      <c r="AH218" s="279"/>
      <c r="AI218" s="279"/>
      <c r="AJ218" s="279"/>
      <c r="AK218" s="279"/>
      <c r="AL218" s="279"/>
      <c r="AM218" s="279"/>
      <c r="AN218" s="279"/>
      <c r="AO218" s="279"/>
      <c r="AP218" s="279"/>
      <c r="AQ218" s="279"/>
      <c r="AR218" s="279"/>
      <c r="AS218" s="279"/>
      <c r="AT218" s="279"/>
      <c r="AU218" s="279"/>
      <c r="AV218" s="279"/>
      <c r="AW218" s="279"/>
      <c r="AX218" s="279"/>
      <c r="AY218" s="279"/>
      <c r="AZ218" s="279"/>
      <c r="BA218" s="279"/>
      <c r="BB218" s="279"/>
      <c r="BC218" s="279"/>
      <c r="BD218" s="279"/>
      <c r="BE218" s="279"/>
      <c r="BF218" s="279"/>
      <c r="BG218" s="279"/>
      <c r="BH218" s="279"/>
      <c r="BI218" s="279"/>
      <c r="BJ218" s="279"/>
      <c r="BK218" s="279"/>
      <c r="BL218" s="279"/>
      <c r="BM218" s="279"/>
      <c r="BN218" s="279"/>
      <c r="BO218" s="279"/>
      <c r="BP218" s="279"/>
      <c r="BQ218" s="279"/>
      <c r="BR218" s="279"/>
      <c r="BS218" s="279"/>
      <c r="BT218" s="279"/>
      <c r="BU218" s="279"/>
      <c r="BV218" s="279"/>
      <c r="BW218" s="279"/>
      <c r="BX218" s="279"/>
      <c r="BY218" s="279"/>
      <c r="BZ218" s="279"/>
      <c r="CA218" s="279"/>
      <c r="CB218" s="279"/>
      <c r="CC218" s="279"/>
      <c r="CD218" s="279"/>
      <c r="CE218" s="279"/>
      <c r="CF218" s="279"/>
      <c r="CG218" s="279"/>
      <c r="CH218" s="279"/>
      <c r="CI218" s="279"/>
      <c r="CJ218" s="279"/>
      <c r="CK218" s="279"/>
      <c r="CL218" s="279"/>
      <c r="CM218" s="279"/>
      <c r="CN218" s="382"/>
    </row>
    <row r="219" ht="24" customHeight="true" x14ac:dyDescent="0.25">
      <c r="B219" s="361"/>
      <c r="C219" s="279"/>
      <c r="D219" s="280"/>
      <c r="E219" s="287"/>
      <c r="F219" s="287"/>
      <c r="G219" s="287"/>
      <c r="H219" s="1292">
        <f t="shared" si="11"/>
        <v>20</v>
      </c>
      <c r="I219" s="1190" t="str">
        <f>IF('I. Stream &amp; Compound Data'!AB281&lt;&gt;"",'I. Stream &amp; Compound Data'!AB281,"")</f>
        <v/>
      </c>
      <c r="J219" s="1295" t="str">
        <f t="shared" ref="J219:J249" si="13">IF(M161&lt;&gt;"",M161,"")</f>
        <v/>
      </c>
      <c r="K219" s="1190" t="str">
        <f>IF('I. Stream &amp; Compound Data'!AT281&lt;&gt;"",'I. Stream &amp; Compound Data'!AT281,IF('I. Stream &amp; Compound Data'!AU281&lt;&gt;"",'I. Stream &amp; Compound Data'!AU281,""))</f>
        <v/>
      </c>
      <c r="L219" s="1190" t="str">
        <f>IF('I. Stream &amp; Compound Data'!AR281&lt;&gt;"",'I. Stream &amp; Compound Data'!AR281,IF('I. Stream &amp; Compound Data'!AS281&lt;&gt;"",'I. Stream &amp; Compound Data'!AS281,""))</f>
        <v/>
      </c>
      <c r="M219" s="1306" t="str">
        <f>IF(H219&gt;'I. Stream &amp; Compound Data'!$F$18,"",IF(I219="","N/A",ROUND(IF(I219&lt;=0.1,1,IF(AND(I219&gt;0.1,I219&lt;10000),-0.087*LN(I219)+0.8,0)),3)))</f>
        <v/>
      </c>
      <c r="N219" s="1168" t="str">
        <f>IF(H219&gt;'I. Stream &amp; Compound Data'!$F$18,"",IF(M219="N/A",IF(J219="","N/A",IF(J219="T+",0.7,IF(J219="T",0.5,IF(J219="Xn",0.3,"N/A")))),"N/A"))</f>
        <v/>
      </c>
      <c r="O219" s="1242" t="str">
        <f>IF(H219&gt;'I. Stream &amp; Compound Data'!$F$18,"",IF(AND(M219="N/A",N219="N/A"),IF(K219="","N/A",IF(K219=1,0.8,IF(K219=2,0.7,IF(K219=3,0.5,IF(K219=4,0.3,IF(K219=5,0.1,0)))))),"N/A"))</f>
        <v/>
      </c>
      <c r="P219" s="1307" t="str">
        <f>IF(H219&gt;'I. Stream &amp; Compound Data'!$F$18,"",IF(AND(M219="N/A",N219="N/A",O219="N/A"),IF(L219="","N/A",IF(OR(L219=45,L219=46,L219=47,L219=49,L219=60,L219=61),1,IF(OR(L219=40,L219=62,L219=63,L219=64),0.8,IF(OR(L219=29,L219=32,L219=48),0.7,IF(OR(L219=42,L219=43),0.6,IF(OR(L219=31,L219=33),0.5,0)))))),"N/A"))</f>
        <v/>
      </c>
      <c r="Q219" s="1242" t="str">
        <f>IF(H219&gt;'I. Stream &amp; Compound Data'!$F$18,"",IF(M219&lt;&gt;"N/A",M219,IF(N219&lt;&gt;"N/A",N219,IF(O219&lt;&gt;"N/A",O219,P219))))</f>
        <v/>
      </c>
      <c r="R219" s="1242" t="str">
        <f>IF(H219&gt;'I. Stream &amp; Compound Data'!$F$18,"",IF(Q219="N/A",0,IF(Q219&gt;0,ROUND(10^(5*Q219+2),3),0)))</f>
        <v/>
      </c>
      <c r="S219" s="1242" t="str">
        <f>IF(H219&gt;'I. Stream &amp; Compound Data'!$F$18,"",MAX(K161:L161))</f>
        <v/>
      </c>
      <c r="T219" s="1268" t="str">
        <f>IF(H219&gt;'I. Stream &amp; Compound Data'!$F$18,"",ROUND(R219*S219,3))</f>
        <v/>
      </c>
      <c r="U219" s="299"/>
      <c r="V219" s="279"/>
      <c r="W219" s="279"/>
      <c r="X219" s="279"/>
      <c r="Y219" s="279"/>
      <c r="Z219" s="279"/>
      <c r="AA219" s="279"/>
      <c r="AB219" s="279"/>
      <c r="AC219" s="279"/>
      <c r="AD219" s="279"/>
      <c r="AE219" s="279"/>
      <c r="AF219" s="279"/>
      <c r="AG219" s="279"/>
      <c r="AH219" s="279"/>
      <c r="AI219" s="279"/>
      <c r="AJ219" s="279"/>
      <c r="AK219" s="279"/>
      <c r="AL219" s="279"/>
      <c r="AM219" s="279"/>
      <c r="AN219" s="279"/>
      <c r="AO219" s="279"/>
      <c r="AP219" s="279"/>
      <c r="AQ219" s="279"/>
      <c r="AR219" s="279"/>
      <c r="AS219" s="279"/>
      <c r="AT219" s="279"/>
      <c r="AU219" s="279"/>
      <c r="AV219" s="279"/>
      <c r="AW219" s="279"/>
      <c r="AX219" s="279"/>
      <c r="AY219" s="279"/>
      <c r="AZ219" s="279"/>
      <c r="BA219" s="279"/>
      <c r="BB219" s="279"/>
      <c r="BC219" s="279"/>
      <c r="BD219" s="279"/>
      <c r="BE219" s="279"/>
      <c r="BF219" s="279"/>
      <c r="BG219" s="279"/>
      <c r="BH219" s="279"/>
      <c r="BI219" s="279"/>
      <c r="BJ219" s="279"/>
      <c r="BK219" s="279"/>
      <c r="BL219" s="279"/>
      <c r="BM219" s="279"/>
      <c r="BN219" s="279"/>
      <c r="BO219" s="279"/>
      <c r="BP219" s="279"/>
      <c r="BQ219" s="279"/>
      <c r="BR219" s="279"/>
      <c r="BS219" s="279"/>
      <c r="BT219" s="279"/>
      <c r="BU219" s="279"/>
      <c r="BV219" s="279"/>
      <c r="BW219" s="279"/>
      <c r="BX219" s="279"/>
      <c r="BY219" s="279"/>
      <c r="BZ219" s="279"/>
      <c r="CA219" s="279"/>
      <c r="CB219" s="279"/>
      <c r="CC219" s="279"/>
      <c r="CD219" s="279"/>
      <c r="CE219" s="279"/>
      <c r="CF219" s="279"/>
      <c r="CG219" s="279"/>
      <c r="CH219" s="279"/>
      <c r="CI219" s="279"/>
      <c r="CJ219" s="279"/>
      <c r="CK219" s="279"/>
      <c r="CL219" s="279"/>
      <c r="CM219" s="279"/>
      <c r="CN219" s="382"/>
    </row>
    <row r="220" ht="24" customHeight="true" x14ac:dyDescent="0.25">
      <c r="B220" s="361"/>
      <c r="C220" s="279"/>
      <c r="D220" s="280"/>
      <c r="E220" s="287"/>
      <c r="F220" s="287"/>
      <c r="G220" s="287"/>
      <c r="H220" s="1292">
        <f t="shared" si="11"/>
        <v>21</v>
      </c>
      <c r="I220" s="1190" t="str">
        <f>IF('I. Stream &amp; Compound Data'!AB282&lt;&gt;"",'I. Stream &amp; Compound Data'!AB282,"")</f>
        <v/>
      </c>
      <c r="J220" s="1295" t="str">
        <f t="shared" si="13"/>
        <v/>
      </c>
      <c r="K220" s="1190" t="str">
        <f>IF('I. Stream &amp; Compound Data'!AT282&lt;&gt;"",'I. Stream &amp; Compound Data'!AT282,IF('I. Stream &amp; Compound Data'!AU282&lt;&gt;"",'I. Stream &amp; Compound Data'!AU282,""))</f>
        <v/>
      </c>
      <c r="L220" s="1190" t="str">
        <f>IF('I. Stream &amp; Compound Data'!AR282&lt;&gt;"",'I. Stream &amp; Compound Data'!AR282,IF('I. Stream &amp; Compound Data'!AS282&lt;&gt;"",'I. Stream &amp; Compound Data'!AS282,""))</f>
        <v/>
      </c>
      <c r="M220" s="1306" t="str">
        <f>IF(H220&gt;'I. Stream &amp; Compound Data'!$F$18,"",IF(I220="","N/A",ROUND(IF(I220&lt;=0.1,1,IF(AND(I220&gt;0.1,I220&lt;10000),-0.087*LN(I220)+0.8,0)),3)))</f>
        <v/>
      </c>
      <c r="N220" s="1168" t="str">
        <f>IF(H220&gt;'I. Stream &amp; Compound Data'!$F$18,"",IF(M220="N/A",IF(J220="","N/A",IF(J220="T+",0.7,IF(J220="T",0.5,IF(J220="Xn",0.3,"N/A")))),"N/A"))</f>
        <v/>
      </c>
      <c r="O220" s="1242" t="str">
        <f>IF(H220&gt;'I. Stream &amp; Compound Data'!$F$18,"",IF(AND(M220="N/A",N220="N/A"),IF(K220="","N/A",IF(K220=1,0.8,IF(K220=2,0.7,IF(K220=3,0.5,IF(K220=4,0.3,IF(K220=5,0.1,0)))))),"N/A"))</f>
        <v/>
      </c>
      <c r="P220" s="1307" t="str">
        <f>IF(H220&gt;'I. Stream &amp; Compound Data'!$F$18,"",IF(AND(M220="N/A",N220="N/A",O220="N/A"),IF(L220="","N/A",IF(OR(L220=45,L220=46,L220=47,L220=49,L220=60,L220=61),1,IF(OR(L220=40,L220=62,L220=63,L220=64),0.8,IF(OR(L220=29,L220=32,L220=48),0.7,IF(OR(L220=42,L220=43),0.6,IF(OR(L220=31,L220=33),0.5,0)))))),"N/A"))</f>
        <v/>
      </c>
      <c r="Q220" s="1242" t="str">
        <f>IF(H220&gt;'I. Stream &amp; Compound Data'!$F$18,"",IF(M220&lt;&gt;"N/A",M220,IF(N220&lt;&gt;"N/A",N220,IF(O220&lt;&gt;"N/A",O220,P220))))</f>
        <v/>
      </c>
      <c r="R220" s="1242" t="str">
        <f>IF(H220&gt;'I. Stream &amp; Compound Data'!$F$18,"",IF(Q220="N/A",0,IF(Q220&gt;0,ROUND(10^(5*Q220+2),3),0)))</f>
        <v/>
      </c>
      <c r="S220" s="1242" t="str">
        <f>IF(H220&gt;'I. Stream &amp; Compound Data'!$F$18,"",MAX(K162:L162))</f>
        <v/>
      </c>
      <c r="T220" s="1268" t="str">
        <f>IF(H220&gt;'I. Stream &amp; Compound Data'!$F$18,"",ROUND(R220*S220,3))</f>
        <v/>
      </c>
      <c r="U220" s="299"/>
      <c r="V220" s="279"/>
      <c r="W220" s="279"/>
      <c r="X220" s="279"/>
      <c r="Y220" s="279"/>
      <c r="Z220" s="279"/>
      <c r="AA220" s="279"/>
      <c r="AB220" s="279"/>
      <c r="AC220" s="279"/>
      <c r="AD220" s="279"/>
      <c r="AE220" s="279"/>
      <c r="AF220" s="279"/>
      <c r="AG220" s="279"/>
      <c r="AH220" s="279"/>
      <c r="AI220" s="279"/>
      <c r="AJ220" s="279"/>
      <c r="AK220" s="279"/>
      <c r="AL220" s="279"/>
      <c r="AM220" s="279"/>
      <c r="AN220" s="279"/>
      <c r="AO220" s="279"/>
      <c r="AP220" s="279"/>
      <c r="AQ220" s="279"/>
      <c r="AR220" s="279"/>
      <c r="AS220" s="279"/>
      <c r="AT220" s="279"/>
      <c r="AU220" s="279"/>
      <c r="AV220" s="279"/>
      <c r="AW220" s="279"/>
      <c r="AX220" s="279"/>
      <c r="AY220" s="279"/>
      <c r="AZ220" s="279"/>
      <c r="BA220" s="279"/>
      <c r="BB220" s="279"/>
      <c r="BC220" s="279"/>
      <c r="BD220" s="279"/>
      <c r="BE220" s="279"/>
      <c r="BF220" s="279"/>
      <c r="BG220" s="279"/>
      <c r="BH220" s="279"/>
      <c r="BI220" s="279"/>
      <c r="BJ220" s="279"/>
      <c r="BK220" s="279"/>
      <c r="BL220" s="279"/>
      <c r="BM220" s="279"/>
      <c r="BN220" s="279"/>
      <c r="BO220" s="279"/>
      <c r="BP220" s="279"/>
      <c r="BQ220" s="279"/>
      <c r="BR220" s="279"/>
      <c r="BS220" s="279"/>
      <c r="BT220" s="279"/>
      <c r="BU220" s="279"/>
      <c r="BV220" s="279"/>
      <c r="BW220" s="279"/>
      <c r="BX220" s="279"/>
      <c r="BY220" s="279"/>
      <c r="BZ220" s="279"/>
      <c r="CA220" s="279"/>
      <c r="CB220" s="279"/>
      <c r="CC220" s="279"/>
      <c r="CD220" s="279"/>
      <c r="CE220" s="279"/>
      <c r="CF220" s="279"/>
      <c r="CG220" s="279"/>
      <c r="CH220" s="279"/>
      <c r="CI220" s="279"/>
      <c r="CJ220" s="279"/>
      <c r="CK220" s="279"/>
      <c r="CL220" s="279"/>
      <c r="CM220" s="279"/>
      <c r="CN220" s="382"/>
    </row>
    <row r="221" ht="24" customHeight="true" x14ac:dyDescent="0.25">
      <c r="B221" s="361"/>
      <c r="C221" s="279"/>
      <c r="D221" s="280"/>
      <c r="E221" s="287"/>
      <c r="F221" s="287"/>
      <c r="G221" s="287"/>
      <c r="H221" s="1292">
        <f t="shared" si="11"/>
        <v>22</v>
      </c>
      <c r="I221" s="1190" t="str">
        <f>IF('I. Stream &amp; Compound Data'!AB283&lt;&gt;"",'I. Stream &amp; Compound Data'!AB283,"")</f>
        <v/>
      </c>
      <c r="J221" s="1295" t="str">
        <f t="shared" si="13"/>
        <v/>
      </c>
      <c r="K221" s="1190" t="str">
        <f>IF('I. Stream &amp; Compound Data'!AT283&lt;&gt;"",'I. Stream &amp; Compound Data'!AT283,IF('I. Stream &amp; Compound Data'!AU283&lt;&gt;"",'I. Stream &amp; Compound Data'!AU283,""))</f>
        <v/>
      </c>
      <c r="L221" s="1190" t="str">
        <f>IF('I. Stream &amp; Compound Data'!AR283&lt;&gt;"",'I. Stream &amp; Compound Data'!AR283,IF('I. Stream &amp; Compound Data'!AS283&lt;&gt;"",'I. Stream &amp; Compound Data'!AS283,""))</f>
        <v/>
      </c>
      <c r="M221" s="1306" t="str">
        <f>IF(H221&gt;'I. Stream &amp; Compound Data'!$F$18,"",IF(I221="","N/A",ROUND(IF(I221&lt;=0.1,1,IF(AND(I221&gt;0.1,I221&lt;10000),-0.087*LN(I221)+0.8,0)),3)))</f>
        <v/>
      </c>
      <c r="N221" s="1168" t="str">
        <f>IF(H221&gt;'I. Stream &amp; Compound Data'!$F$18,"",IF(M221="N/A",IF(J221="","N/A",IF(J221="T+",0.7,IF(J221="T",0.5,IF(J221="Xn",0.3,"N/A")))),"N/A"))</f>
        <v/>
      </c>
      <c r="O221" s="1242" t="str">
        <f>IF(H221&gt;'I. Stream &amp; Compound Data'!$F$18,"",IF(AND(M221="N/A",N221="N/A"),IF(K221="","N/A",IF(K221=1,0.8,IF(K221=2,0.7,IF(K221=3,0.5,IF(K221=4,0.3,IF(K221=5,0.1,0)))))),"N/A"))</f>
        <v/>
      </c>
      <c r="P221" s="1307" t="str">
        <f>IF(H221&gt;'I. Stream &amp; Compound Data'!$F$18,"",IF(AND(M221="N/A",N221="N/A",O221="N/A"),IF(L221="","N/A",IF(OR(L221=45,L221=46,L221=47,L221=49,L221=60,L221=61),1,IF(OR(L221=40,L221=62,L221=63,L221=64),0.8,IF(OR(L221=29,L221=32,L221=48),0.7,IF(OR(L221=42,L221=43),0.6,IF(OR(L221=31,L221=33),0.5,0)))))),"N/A"))</f>
        <v/>
      </c>
      <c r="Q221" s="1242" t="str">
        <f>IF(H221&gt;'I. Stream &amp; Compound Data'!$F$18,"",IF(M221&lt;&gt;"N/A",M221,IF(N221&lt;&gt;"N/A",N221,IF(O221&lt;&gt;"N/A",O221,P221))))</f>
        <v/>
      </c>
      <c r="R221" s="1242" t="str">
        <f>IF(H221&gt;'I. Stream &amp; Compound Data'!$F$18,"",IF(Q221="N/A",0,IF(Q221&gt;0,ROUND(10^(5*Q221+2),3),0)))</f>
        <v/>
      </c>
      <c r="S221" s="1242" t="str">
        <f>IF(H221&gt;'I. Stream &amp; Compound Data'!$F$18,"",MAX(K163:L163))</f>
        <v/>
      </c>
      <c r="T221" s="1268" t="str">
        <f>IF(H221&gt;'I. Stream &amp; Compound Data'!$F$18,"",ROUND(R221*S221,3))</f>
        <v/>
      </c>
      <c r="U221" s="299"/>
      <c r="V221" s="279"/>
      <c r="W221" s="279"/>
      <c r="X221" s="279"/>
      <c r="Y221" s="279"/>
      <c r="Z221" s="279"/>
      <c r="AA221" s="279"/>
      <c r="AB221" s="279"/>
      <c r="AC221" s="279"/>
      <c r="AD221" s="279"/>
      <c r="AE221" s="279"/>
      <c r="AF221" s="279"/>
      <c r="AG221" s="279"/>
      <c r="AH221" s="279"/>
      <c r="AI221" s="279"/>
      <c r="AJ221" s="279"/>
      <c r="AK221" s="279"/>
      <c r="AL221" s="279"/>
      <c r="AM221" s="279"/>
      <c r="AN221" s="279"/>
      <c r="AO221" s="279"/>
      <c r="AP221" s="279"/>
      <c r="AQ221" s="279"/>
      <c r="AR221" s="279"/>
      <c r="AS221" s="279"/>
      <c r="AT221" s="279"/>
      <c r="AU221" s="279"/>
      <c r="AV221" s="279"/>
      <c r="AW221" s="279"/>
      <c r="AX221" s="279"/>
      <c r="AY221" s="279"/>
      <c r="AZ221" s="279"/>
      <c r="BA221" s="279"/>
      <c r="BB221" s="279"/>
      <c r="BC221" s="279"/>
      <c r="BD221" s="279"/>
      <c r="BE221" s="279"/>
      <c r="BF221" s="279"/>
      <c r="BG221" s="279"/>
      <c r="BH221" s="279"/>
      <c r="BI221" s="279"/>
      <c r="BJ221" s="279"/>
      <c r="BK221" s="279"/>
      <c r="BL221" s="279"/>
      <c r="BM221" s="279"/>
      <c r="BN221" s="279"/>
      <c r="BO221" s="279"/>
      <c r="BP221" s="279"/>
      <c r="BQ221" s="279"/>
      <c r="BR221" s="279"/>
      <c r="BS221" s="279"/>
      <c r="BT221" s="279"/>
      <c r="BU221" s="279"/>
      <c r="BV221" s="279"/>
      <c r="BW221" s="279"/>
      <c r="BX221" s="279"/>
      <c r="BY221" s="279"/>
      <c r="BZ221" s="279"/>
      <c r="CA221" s="279"/>
      <c r="CB221" s="279"/>
      <c r="CC221" s="279"/>
      <c r="CD221" s="279"/>
      <c r="CE221" s="279"/>
      <c r="CF221" s="279"/>
      <c r="CG221" s="279"/>
      <c r="CH221" s="279"/>
      <c r="CI221" s="279"/>
      <c r="CJ221" s="279"/>
      <c r="CK221" s="279"/>
      <c r="CL221" s="279"/>
      <c r="CM221" s="279"/>
      <c r="CN221" s="382"/>
    </row>
    <row r="222" ht="24" customHeight="true" x14ac:dyDescent="0.25">
      <c r="B222" s="361"/>
      <c r="C222" s="279"/>
      <c r="D222" s="280"/>
      <c r="E222" s="287"/>
      <c r="F222" s="287"/>
      <c r="G222" s="287"/>
      <c r="H222" s="1292">
        <f t="shared" si="11"/>
        <v>23</v>
      </c>
      <c r="I222" s="1190" t="str">
        <f>IF('I. Stream &amp; Compound Data'!AB284&lt;&gt;"",'I. Stream &amp; Compound Data'!AB284,"")</f>
        <v/>
      </c>
      <c r="J222" s="1295" t="str">
        <f t="shared" si="13"/>
        <v/>
      </c>
      <c r="K222" s="1190" t="str">
        <f>IF('I. Stream &amp; Compound Data'!AT284&lt;&gt;"",'I. Stream &amp; Compound Data'!AT284,IF('I. Stream &amp; Compound Data'!AU284&lt;&gt;"",'I. Stream &amp; Compound Data'!AU284,""))</f>
        <v/>
      </c>
      <c r="L222" s="1190" t="str">
        <f>IF('I. Stream &amp; Compound Data'!AR284&lt;&gt;"",'I. Stream &amp; Compound Data'!AR284,IF('I. Stream &amp; Compound Data'!AS284&lt;&gt;"",'I. Stream &amp; Compound Data'!AS284,""))</f>
        <v/>
      </c>
      <c r="M222" s="1306" t="str">
        <f>IF(H222&gt;'I. Stream &amp; Compound Data'!$F$18,"",IF(I222="","N/A",ROUND(IF(I222&lt;=0.1,1,IF(AND(I222&gt;0.1,I222&lt;10000),-0.087*LN(I222)+0.8,0)),3)))</f>
        <v/>
      </c>
      <c r="N222" s="1168" t="str">
        <f>IF(H222&gt;'I. Stream &amp; Compound Data'!$F$18,"",IF(M222="N/A",IF(J222="","N/A",IF(J222="T+",0.7,IF(J222="T",0.5,IF(J222="Xn",0.3,"N/A")))),"N/A"))</f>
        <v/>
      </c>
      <c r="O222" s="1242" t="str">
        <f>IF(H222&gt;'I. Stream &amp; Compound Data'!$F$18,"",IF(AND(M222="N/A",N222="N/A"),IF(K222="","N/A",IF(K222=1,0.8,IF(K222=2,0.7,IF(K222=3,0.5,IF(K222=4,0.3,IF(K222=5,0.1,0)))))),"N/A"))</f>
        <v/>
      </c>
      <c r="P222" s="1307" t="str">
        <f>IF(H222&gt;'I. Stream &amp; Compound Data'!$F$18,"",IF(AND(M222="N/A",N222="N/A",O222="N/A"),IF(L222="","N/A",IF(OR(L222=45,L222=46,L222=47,L222=49,L222=60,L222=61),1,IF(OR(L222=40,L222=62,L222=63,L222=64),0.8,IF(OR(L222=29,L222=32,L222=48),0.7,IF(OR(L222=42,L222=43),0.6,IF(OR(L222=31,L222=33),0.5,0)))))),"N/A"))</f>
        <v/>
      </c>
      <c r="Q222" s="1242" t="str">
        <f>IF(H222&gt;'I. Stream &amp; Compound Data'!$F$18,"",IF(M222&lt;&gt;"N/A",M222,IF(N222&lt;&gt;"N/A",N222,IF(O222&lt;&gt;"N/A",O222,P222))))</f>
        <v/>
      </c>
      <c r="R222" s="1242" t="str">
        <f>IF(H222&gt;'I. Stream &amp; Compound Data'!$F$18,"",IF(Q222="N/A",0,IF(Q222&gt;0,ROUND(10^(5*Q222+2),3),0)))</f>
        <v/>
      </c>
      <c r="S222" s="1242" t="str">
        <f>IF(H222&gt;'I. Stream &amp; Compound Data'!$F$18,"",MAX(K164:L164))</f>
        <v/>
      </c>
      <c r="T222" s="1268" t="str">
        <f>IF(H222&gt;'I. Stream &amp; Compound Data'!$F$18,"",ROUND(R222*S222,3))</f>
        <v/>
      </c>
      <c r="U222" s="299"/>
      <c r="V222" s="279"/>
      <c r="W222" s="279"/>
      <c r="X222" s="279"/>
      <c r="Y222" s="279"/>
      <c r="Z222" s="279"/>
      <c r="AA222" s="279"/>
      <c r="AB222" s="279"/>
      <c r="AC222" s="279"/>
      <c r="AD222" s="279"/>
      <c r="AE222" s="279"/>
      <c r="AF222" s="279"/>
      <c r="AG222" s="279"/>
      <c r="AH222" s="279"/>
      <c r="AI222" s="279"/>
      <c r="AJ222" s="279"/>
      <c r="AK222" s="279"/>
      <c r="AL222" s="279"/>
      <c r="AM222" s="279"/>
      <c r="AN222" s="279"/>
      <c r="AO222" s="279"/>
      <c r="AP222" s="279"/>
      <c r="AQ222" s="279"/>
      <c r="AR222" s="279"/>
      <c r="AS222" s="279"/>
      <c r="AT222" s="279"/>
      <c r="AU222" s="279"/>
      <c r="AV222" s="279"/>
      <c r="AW222" s="279"/>
      <c r="AX222" s="279"/>
      <c r="AY222" s="279"/>
      <c r="AZ222" s="279"/>
      <c r="BA222" s="279"/>
      <c r="BB222" s="279"/>
      <c r="BC222" s="279"/>
      <c r="BD222" s="279"/>
      <c r="BE222" s="279"/>
      <c r="BF222" s="279"/>
      <c r="BG222" s="279"/>
      <c r="BH222" s="279"/>
      <c r="BI222" s="279"/>
      <c r="BJ222" s="279"/>
      <c r="BK222" s="279"/>
      <c r="BL222" s="279"/>
      <c r="BM222" s="279"/>
      <c r="BN222" s="279"/>
      <c r="BO222" s="279"/>
      <c r="BP222" s="279"/>
      <c r="BQ222" s="279"/>
      <c r="BR222" s="279"/>
      <c r="BS222" s="279"/>
      <c r="BT222" s="279"/>
      <c r="BU222" s="279"/>
      <c r="BV222" s="279"/>
      <c r="BW222" s="279"/>
      <c r="BX222" s="279"/>
      <c r="BY222" s="279"/>
      <c r="BZ222" s="279"/>
      <c r="CA222" s="279"/>
      <c r="CB222" s="279"/>
      <c r="CC222" s="279"/>
      <c r="CD222" s="279"/>
      <c r="CE222" s="279"/>
      <c r="CF222" s="279"/>
      <c r="CG222" s="279"/>
      <c r="CH222" s="279"/>
      <c r="CI222" s="279"/>
      <c r="CJ222" s="279"/>
      <c r="CK222" s="279"/>
      <c r="CL222" s="279"/>
      <c r="CM222" s="279"/>
      <c r="CN222" s="382"/>
    </row>
    <row r="223" ht="24" customHeight="true" x14ac:dyDescent="0.25">
      <c r="B223" s="361"/>
      <c r="C223" s="279"/>
      <c r="D223" s="280"/>
      <c r="E223" s="287"/>
      <c r="F223" s="287"/>
      <c r="G223" s="287"/>
      <c r="H223" s="1292">
        <f t="shared" si="11"/>
        <v>24</v>
      </c>
      <c r="I223" s="1190" t="str">
        <f>IF('I. Stream &amp; Compound Data'!AB285&lt;&gt;"",'I. Stream &amp; Compound Data'!AB285,"")</f>
        <v/>
      </c>
      <c r="J223" s="1295" t="str">
        <f t="shared" si="13"/>
        <v/>
      </c>
      <c r="K223" s="1190" t="str">
        <f>IF('I. Stream &amp; Compound Data'!AT285&lt;&gt;"",'I. Stream &amp; Compound Data'!AT285,IF('I. Stream &amp; Compound Data'!AU285&lt;&gt;"",'I. Stream &amp; Compound Data'!AU285,""))</f>
        <v/>
      </c>
      <c r="L223" s="1190" t="str">
        <f>IF('I. Stream &amp; Compound Data'!AR285&lt;&gt;"",'I. Stream &amp; Compound Data'!AR285,IF('I. Stream &amp; Compound Data'!AS285&lt;&gt;"",'I. Stream &amp; Compound Data'!AS285,""))</f>
        <v/>
      </c>
      <c r="M223" s="1306" t="str">
        <f>IF(H223&gt;'I. Stream &amp; Compound Data'!$F$18,"",IF(I223="","N/A",ROUND(IF(I223&lt;=0.1,1,IF(AND(I223&gt;0.1,I223&lt;10000),-0.087*LN(I223)+0.8,0)),3)))</f>
        <v/>
      </c>
      <c r="N223" s="1168" t="str">
        <f>IF(H223&gt;'I. Stream &amp; Compound Data'!$F$18,"",IF(M223="N/A",IF(J223="","N/A",IF(J223="T+",0.7,IF(J223="T",0.5,IF(J223="Xn",0.3,"N/A")))),"N/A"))</f>
        <v/>
      </c>
      <c r="O223" s="1242" t="str">
        <f>IF(H223&gt;'I. Stream &amp; Compound Data'!$F$18,"",IF(AND(M223="N/A",N223="N/A"),IF(K223="","N/A",IF(K223=1,0.8,IF(K223=2,0.7,IF(K223=3,0.5,IF(K223=4,0.3,IF(K223=5,0.1,0)))))),"N/A"))</f>
        <v/>
      </c>
      <c r="P223" s="1307" t="str">
        <f>IF(H223&gt;'I. Stream &amp; Compound Data'!$F$18,"",IF(AND(M223="N/A",N223="N/A",O223="N/A"),IF(L223="","N/A",IF(OR(L223=45,L223=46,L223=47,L223=49,L223=60,L223=61),1,IF(OR(L223=40,L223=62,L223=63,L223=64),0.8,IF(OR(L223=29,L223=32,L223=48),0.7,IF(OR(L223=42,L223=43),0.6,IF(OR(L223=31,L223=33),0.5,0)))))),"N/A"))</f>
        <v/>
      </c>
      <c r="Q223" s="1242" t="str">
        <f>IF(H223&gt;'I. Stream &amp; Compound Data'!$F$18,"",IF(M223&lt;&gt;"N/A",M223,IF(N223&lt;&gt;"N/A",N223,IF(O223&lt;&gt;"N/A",O223,P223))))</f>
        <v/>
      </c>
      <c r="R223" s="1242" t="str">
        <f>IF(H223&gt;'I. Stream &amp; Compound Data'!$F$18,"",IF(Q223="N/A",0,IF(Q223&gt;0,ROUND(10^(5*Q223+2),3),0)))</f>
        <v/>
      </c>
      <c r="S223" s="1242" t="str">
        <f>IF(H223&gt;'I. Stream &amp; Compound Data'!$F$18,"",MAX(K165:L165))</f>
        <v/>
      </c>
      <c r="T223" s="1268" t="str">
        <f>IF(H223&gt;'I. Stream &amp; Compound Data'!$F$18,"",ROUND(R223*S223,3))</f>
        <v/>
      </c>
      <c r="U223" s="299"/>
      <c r="V223" s="279"/>
      <c r="W223" s="279"/>
      <c r="X223" s="279"/>
      <c r="Y223" s="279"/>
      <c r="Z223" s="279"/>
      <c r="AA223" s="279"/>
      <c r="AB223" s="279"/>
      <c r="AC223" s="279"/>
      <c r="AD223" s="279"/>
      <c r="AE223" s="279"/>
      <c r="AF223" s="279"/>
      <c r="AG223" s="279"/>
      <c r="AH223" s="279"/>
      <c r="AI223" s="279"/>
      <c r="AJ223" s="279"/>
      <c r="AK223" s="279"/>
      <c r="AL223" s="279"/>
      <c r="AM223" s="279"/>
      <c r="AN223" s="279"/>
      <c r="AO223" s="279"/>
      <c r="AP223" s="279"/>
      <c r="AQ223" s="279"/>
      <c r="AR223" s="279"/>
      <c r="AS223" s="279"/>
      <c r="AT223" s="279"/>
      <c r="AU223" s="279"/>
      <c r="AV223" s="279"/>
      <c r="AW223" s="279"/>
      <c r="AX223" s="279"/>
      <c r="AY223" s="279"/>
      <c r="AZ223" s="279"/>
      <c r="BA223" s="279"/>
      <c r="BB223" s="279"/>
      <c r="BC223" s="279"/>
      <c r="BD223" s="279"/>
      <c r="BE223" s="279"/>
      <c r="BF223" s="279"/>
      <c r="BG223" s="279"/>
      <c r="BH223" s="279"/>
      <c r="BI223" s="279"/>
      <c r="BJ223" s="279"/>
      <c r="BK223" s="279"/>
      <c r="BL223" s="279"/>
      <c r="BM223" s="279"/>
      <c r="BN223" s="279"/>
      <c r="BO223" s="279"/>
      <c r="BP223" s="279"/>
      <c r="BQ223" s="279"/>
      <c r="BR223" s="279"/>
      <c r="BS223" s="279"/>
      <c r="BT223" s="279"/>
      <c r="BU223" s="279"/>
      <c r="BV223" s="279"/>
      <c r="BW223" s="279"/>
      <c r="BX223" s="279"/>
      <c r="BY223" s="279"/>
      <c r="BZ223" s="279"/>
      <c r="CA223" s="279"/>
      <c r="CB223" s="279"/>
      <c r="CC223" s="279"/>
      <c r="CD223" s="279"/>
      <c r="CE223" s="279"/>
      <c r="CF223" s="279"/>
      <c r="CG223" s="279"/>
      <c r="CH223" s="279"/>
      <c r="CI223" s="279"/>
      <c r="CJ223" s="279"/>
      <c r="CK223" s="279"/>
      <c r="CL223" s="279"/>
      <c r="CM223" s="279"/>
      <c r="CN223" s="382"/>
    </row>
    <row r="224" ht="24" customHeight="true" x14ac:dyDescent="0.25">
      <c r="B224" s="361"/>
      <c r="C224" s="279"/>
      <c r="D224" s="280"/>
      <c r="E224" s="287"/>
      <c r="F224" s="287"/>
      <c r="G224" s="287"/>
      <c r="H224" s="1292">
        <f t="shared" si="11"/>
        <v>25</v>
      </c>
      <c r="I224" s="1190" t="str">
        <f>IF('I. Stream &amp; Compound Data'!AB286&lt;&gt;"",'I. Stream &amp; Compound Data'!AB286,"")</f>
        <v/>
      </c>
      <c r="J224" s="1295" t="str">
        <f t="shared" si="13"/>
        <v/>
      </c>
      <c r="K224" s="1190" t="str">
        <f>IF('I. Stream &amp; Compound Data'!AT286&lt;&gt;"",'I. Stream &amp; Compound Data'!AT286,IF('I. Stream &amp; Compound Data'!AU286&lt;&gt;"",'I. Stream &amp; Compound Data'!AU286,""))</f>
        <v/>
      </c>
      <c r="L224" s="1190" t="str">
        <f>IF('I. Stream &amp; Compound Data'!AR286&lt;&gt;"",'I. Stream &amp; Compound Data'!AR286,IF('I. Stream &amp; Compound Data'!AS286&lt;&gt;"",'I. Stream &amp; Compound Data'!AS286,""))</f>
        <v/>
      </c>
      <c r="M224" s="1306" t="str">
        <f>IF(H224&gt;'I. Stream &amp; Compound Data'!$F$18,"",IF(I224="","N/A",ROUND(IF(I224&lt;=0.1,1,IF(AND(I224&gt;0.1,I224&lt;10000),-0.087*LN(I224)+0.8,0)),3)))</f>
        <v/>
      </c>
      <c r="N224" s="1168" t="str">
        <f>IF(H224&gt;'I. Stream &amp; Compound Data'!$F$18,"",IF(M224="N/A",IF(J224="","N/A",IF(J224="T+",0.7,IF(J224="T",0.5,IF(J224="Xn",0.3,"N/A")))),"N/A"))</f>
        <v/>
      </c>
      <c r="O224" s="1242" t="str">
        <f>IF(H224&gt;'I. Stream &amp; Compound Data'!$F$18,"",IF(AND(M224="N/A",N224="N/A"),IF(K224="","N/A",IF(K224=1,0.8,IF(K224=2,0.7,IF(K224=3,0.5,IF(K224=4,0.3,IF(K224=5,0.1,0)))))),"N/A"))</f>
        <v/>
      </c>
      <c r="P224" s="1307" t="str">
        <f>IF(H224&gt;'I. Stream &amp; Compound Data'!$F$18,"",IF(AND(M224="N/A",N224="N/A",O224="N/A"),IF(L224="","N/A",IF(OR(L224=45,L224=46,L224=47,L224=49,L224=60,L224=61),1,IF(OR(L224=40,L224=62,L224=63,L224=64),0.8,IF(OR(L224=29,L224=32,L224=48),0.7,IF(OR(L224=42,L224=43),0.6,IF(OR(L224=31,L224=33),0.5,0)))))),"N/A"))</f>
        <v/>
      </c>
      <c r="Q224" s="1242" t="str">
        <f>IF(H224&gt;'I. Stream &amp; Compound Data'!$F$18,"",IF(M224&lt;&gt;"N/A",M224,IF(N224&lt;&gt;"N/A",N224,IF(O224&lt;&gt;"N/A",O224,P224))))</f>
        <v/>
      </c>
      <c r="R224" s="1242" t="str">
        <f>IF(H224&gt;'I. Stream &amp; Compound Data'!$F$18,"",IF(Q224="N/A",0,IF(Q224&gt;0,ROUND(10^(5*Q224+2),3),0)))</f>
        <v/>
      </c>
      <c r="S224" s="1242" t="str">
        <f>IF(H224&gt;'I. Stream &amp; Compound Data'!$F$18,"",MAX(K166:L166))</f>
        <v/>
      </c>
      <c r="T224" s="1268" t="str">
        <f>IF(H224&gt;'I. Stream &amp; Compound Data'!$F$18,"",ROUND(R224*S224,3))</f>
        <v/>
      </c>
      <c r="U224" s="299"/>
      <c r="V224" s="279"/>
      <c r="W224" s="279"/>
      <c r="X224" s="279"/>
      <c r="Y224" s="279"/>
      <c r="Z224" s="279"/>
      <c r="AA224" s="279"/>
      <c r="AB224" s="279"/>
      <c r="AC224" s="279"/>
      <c r="AD224" s="279"/>
      <c r="AE224" s="279"/>
      <c r="AF224" s="279"/>
      <c r="AG224" s="279"/>
      <c r="AH224" s="279"/>
      <c r="AI224" s="279"/>
      <c r="AJ224" s="279"/>
      <c r="AK224" s="279"/>
      <c r="AL224" s="279"/>
      <c r="AM224" s="279"/>
      <c r="AN224" s="279"/>
      <c r="AO224" s="279"/>
      <c r="AP224" s="279"/>
      <c r="AQ224" s="279"/>
      <c r="AR224" s="279"/>
      <c r="AS224" s="279"/>
      <c r="AT224" s="279"/>
      <c r="AU224" s="279"/>
      <c r="AV224" s="279"/>
      <c r="AW224" s="279"/>
      <c r="AX224" s="279"/>
      <c r="AY224" s="279"/>
      <c r="AZ224" s="279"/>
      <c r="BA224" s="279"/>
      <c r="BB224" s="279"/>
      <c r="BC224" s="279"/>
      <c r="BD224" s="279"/>
      <c r="BE224" s="279"/>
      <c r="BF224" s="279"/>
      <c r="BG224" s="279"/>
      <c r="BH224" s="279"/>
      <c r="BI224" s="279"/>
      <c r="BJ224" s="279"/>
      <c r="BK224" s="279"/>
      <c r="BL224" s="279"/>
      <c r="BM224" s="279"/>
      <c r="BN224" s="279"/>
      <c r="BO224" s="279"/>
      <c r="BP224" s="279"/>
      <c r="BQ224" s="279"/>
      <c r="BR224" s="279"/>
      <c r="BS224" s="279"/>
      <c r="BT224" s="279"/>
      <c r="BU224" s="279"/>
      <c r="BV224" s="279"/>
      <c r="BW224" s="279"/>
      <c r="BX224" s="279"/>
      <c r="BY224" s="279"/>
      <c r="BZ224" s="279"/>
      <c r="CA224" s="279"/>
      <c r="CB224" s="279"/>
      <c r="CC224" s="279"/>
      <c r="CD224" s="279"/>
      <c r="CE224" s="279"/>
      <c r="CF224" s="279"/>
      <c r="CG224" s="279"/>
      <c r="CH224" s="279"/>
      <c r="CI224" s="279"/>
      <c r="CJ224" s="279"/>
      <c r="CK224" s="279"/>
      <c r="CL224" s="279"/>
      <c r="CM224" s="279"/>
      <c r="CN224" s="382"/>
    </row>
    <row r="225" ht="24" customHeight="true" x14ac:dyDescent="0.25">
      <c r="B225" s="361"/>
      <c r="C225" s="279"/>
      <c r="D225" s="280"/>
      <c r="E225" s="287"/>
      <c r="F225" s="287"/>
      <c r="G225" s="287"/>
      <c r="H225" s="1292">
        <f t="shared" si="11"/>
        <v>26</v>
      </c>
      <c r="I225" s="1190" t="str">
        <f>IF('I. Stream &amp; Compound Data'!AB287&lt;&gt;"",'I. Stream &amp; Compound Data'!AB287,"")</f>
        <v/>
      </c>
      <c r="J225" s="1295" t="str">
        <f t="shared" si="13"/>
        <v/>
      </c>
      <c r="K225" s="1190" t="str">
        <f>IF('I. Stream &amp; Compound Data'!AT287&lt;&gt;"",'I. Stream &amp; Compound Data'!AT287,IF('I. Stream &amp; Compound Data'!AU287&lt;&gt;"",'I. Stream &amp; Compound Data'!AU287,""))</f>
        <v/>
      </c>
      <c r="L225" s="1190" t="str">
        <f>IF('I. Stream &amp; Compound Data'!AR287&lt;&gt;"",'I. Stream &amp; Compound Data'!AR287,IF('I. Stream &amp; Compound Data'!AS287&lt;&gt;"",'I. Stream &amp; Compound Data'!AS287,""))</f>
        <v/>
      </c>
      <c r="M225" s="1306" t="str">
        <f>IF(H225&gt;'I. Stream &amp; Compound Data'!$F$18,"",IF(I225="","N/A",ROUND(IF(I225&lt;=0.1,1,IF(AND(I225&gt;0.1,I225&lt;10000),-0.087*LN(I225)+0.8,0)),3)))</f>
        <v/>
      </c>
      <c r="N225" s="1168" t="str">
        <f>IF(H225&gt;'I. Stream &amp; Compound Data'!$F$18,"",IF(M225="N/A",IF(J225="","N/A",IF(J225="T+",0.7,IF(J225="T",0.5,IF(J225="Xn",0.3,"N/A")))),"N/A"))</f>
        <v/>
      </c>
      <c r="O225" s="1242" t="str">
        <f>IF(H225&gt;'I. Stream &amp; Compound Data'!$F$18,"",IF(AND(M225="N/A",N225="N/A"),IF(K225="","N/A",IF(K225=1,0.8,IF(K225=2,0.7,IF(K225=3,0.5,IF(K225=4,0.3,IF(K225=5,0.1,0)))))),"N/A"))</f>
        <v/>
      </c>
      <c r="P225" s="1307" t="str">
        <f>IF(H225&gt;'I. Stream &amp; Compound Data'!$F$18,"",IF(AND(M225="N/A",N225="N/A",O225="N/A"),IF(L225="","N/A",IF(OR(L225=45,L225=46,L225=47,L225=49,L225=60,L225=61),1,IF(OR(L225=40,L225=62,L225=63,L225=64),0.8,IF(OR(L225=29,L225=32,L225=48),0.7,IF(OR(L225=42,L225=43),0.6,IF(OR(L225=31,L225=33),0.5,0)))))),"N/A"))</f>
        <v/>
      </c>
      <c r="Q225" s="1242" t="str">
        <f>IF(H225&gt;'I. Stream &amp; Compound Data'!$F$18,"",IF(M225&lt;&gt;"N/A",M225,IF(N225&lt;&gt;"N/A",N225,IF(O225&lt;&gt;"N/A",O225,P225))))</f>
        <v/>
      </c>
      <c r="R225" s="1242" t="str">
        <f>IF(H225&gt;'I. Stream &amp; Compound Data'!$F$18,"",IF(Q225="N/A",0,IF(Q225&gt;0,ROUND(10^(5*Q225+2),3),0)))</f>
        <v/>
      </c>
      <c r="S225" s="1242" t="str">
        <f>IF(H225&gt;'I. Stream &amp; Compound Data'!$F$18,"",MAX(K167:L167))</f>
        <v/>
      </c>
      <c r="T225" s="1268" t="str">
        <f>IF(H225&gt;'I. Stream &amp; Compound Data'!$F$18,"",ROUND(R225*S225,3))</f>
        <v/>
      </c>
      <c r="U225" s="299"/>
      <c r="V225" s="279"/>
      <c r="W225" s="279"/>
      <c r="X225" s="279"/>
      <c r="Y225" s="279"/>
      <c r="Z225" s="279"/>
      <c r="AA225" s="279"/>
      <c r="AB225" s="279"/>
      <c r="AC225" s="279"/>
      <c r="AD225" s="279"/>
      <c r="AE225" s="279"/>
      <c r="AF225" s="279"/>
      <c r="AG225" s="279"/>
      <c r="AH225" s="279"/>
      <c r="AI225" s="279"/>
      <c r="AJ225" s="279"/>
      <c r="AK225" s="279"/>
      <c r="AL225" s="279"/>
      <c r="AM225" s="279"/>
      <c r="AN225" s="279"/>
      <c r="AO225" s="279"/>
      <c r="AP225" s="279"/>
      <c r="AQ225" s="279"/>
      <c r="AR225" s="279"/>
      <c r="AS225" s="279"/>
      <c r="AT225" s="279"/>
      <c r="AU225" s="279"/>
      <c r="AV225" s="279"/>
      <c r="AW225" s="279"/>
      <c r="AX225" s="279"/>
      <c r="AY225" s="279"/>
      <c r="AZ225" s="279"/>
      <c r="BA225" s="279"/>
      <c r="BB225" s="279"/>
      <c r="BC225" s="279"/>
      <c r="BD225" s="279"/>
      <c r="BE225" s="279"/>
      <c r="BF225" s="279"/>
      <c r="BG225" s="279"/>
      <c r="BH225" s="279"/>
      <c r="BI225" s="279"/>
      <c r="BJ225" s="279"/>
      <c r="BK225" s="279"/>
      <c r="BL225" s="279"/>
      <c r="BM225" s="279"/>
      <c r="BN225" s="279"/>
      <c r="BO225" s="279"/>
      <c r="BP225" s="279"/>
      <c r="BQ225" s="279"/>
      <c r="BR225" s="279"/>
      <c r="BS225" s="279"/>
      <c r="BT225" s="279"/>
      <c r="BU225" s="279"/>
      <c r="BV225" s="279"/>
      <c r="BW225" s="279"/>
      <c r="BX225" s="279"/>
      <c r="BY225" s="279"/>
      <c r="BZ225" s="279"/>
      <c r="CA225" s="279"/>
      <c r="CB225" s="279"/>
      <c r="CC225" s="279"/>
      <c r="CD225" s="279"/>
      <c r="CE225" s="279"/>
      <c r="CF225" s="279"/>
      <c r="CG225" s="279"/>
      <c r="CH225" s="279"/>
      <c r="CI225" s="279"/>
      <c r="CJ225" s="279"/>
      <c r="CK225" s="279"/>
      <c r="CL225" s="279"/>
      <c r="CM225" s="279"/>
      <c r="CN225" s="382"/>
    </row>
    <row r="226" ht="24" customHeight="true" x14ac:dyDescent="0.25">
      <c r="B226" s="361"/>
      <c r="C226" s="279"/>
      <c r="D226" s="280"/>
      <c r="E226" s="287"/>
      <c r="F226" s="287"/>
      <c r="G226" s="287"/>
      <c r="H226" s="1292">
        <f t="shared" si="11"/>
        <v>27</v>
      </c>
      <c r="I226" s="1190" t="str">
        <f>IF('I. Stream &amp; Compound Data'!AB288&lt;&gt;"",'I. Stream &amp; Compound Data'!AB288,"")</f>
        <v/>
      </c>
      <c r="J226" s="1295" t="str">
        <f t="shared" si="13"/>
        <v/>
      </c>
      <c r="K226" s="1190" t="str">
        <f>IF('I. Stream &amp; Compound Data'!AT288&lt;&gt;"",'I. Stream &amp; Compound Data'!AT288,IF('I. Stream &amp; Compound Data'!AU288&lt;&gt;"",'I. Stream &amp; Compound Data'!AU288,""))</f>
        <v/>
      </c>
      <c r="L226" s="1190" t="str">
        <f>IF('I. Stream &amp; Compound Data'!AR288&lt;&gt;"",'I. Stream &amp; Compound Data'!AR288,IF('I. Stream &amp; Compound Data'!AS288&lt;&gt;"",'I. Stream &amp; Compound Data'!AS288,""))</f>
        <v/>
      </c>
      <c r="M226" s="1306" t="str">
        <f>IF(H226&gt;'I. Stream &amp; Compound Data'!$F$18,"",IF(I226="","N/A",ROUND(IF(I226&lt;=0.1,1,IF(AND(I226&gt;0.1,I226&lt;10000),-0.087*LN(I226)+0.8,0)),3)))</f>
        <v/>
      </c>
      <c r="N226" s="1168" t="str">
        <f>IF(H226&gt;'I. Stream &amp; Compound Data'!$F$18,"",IF(M226="N/A",IF(J226="","N/A",IF(J226="T+",0.7,IF(J226="T",0.5,IF(J226="Xn",0.3,"N/A")))),"N/A"))</f>
        <v/>
      </c>
      <c r="O226" s="1242" t="str">
        <f>IF(H226&gt;'I. Stream &amp; Compound Data'!$F$18,"",IF(AND(M226="N/A",N226="N/A"),IF(K226="","N/A",IF(K226=1,0.8,IF(K226=2,0.7,IF(K226=3,0.5,IF(K226=4,0.3,IF(K226=5,0.1,0)))))),"N/A"))</f>
        <v/>
      </c>
      <c r="P226" s="1307" t="str">
        <f>IF(H226&gt;'I. Stream &amp; Compound Data'!$F$18,"",IF(AND(M226="N/A",N226="N/A",O226="N/A"),IF(L226="","N/A",IF(OR(L226=45,L226=46,L226=47,L226=49,L226=60,L226=61),1,IF(OR(L226=40,L226=62,L226=63,L226=64),0.8,IF(OR(L226=29,L226=32,L226=48),0.7,IF(OR(L226=42,L226=43),0.6,IF(OR(L226=31,L226=33),0.5,0)))))),"N/A"))</f>
        <v/>
      </c>
      <c r="Q226" s="1242" t="str">
        <f>IF(H226&gt;'I. Stream &amp; Compound Data'!$F$18,"",IF(M226&lt;&gt;"N/A",M226,IF(N226&lt;&gt;"N/A",N226,IF(O226&lt;&gt;"N/A",O226,P226))))</f>
        <v/>
      </c>
      <c r="R226" s="1242" t="str">
        <f>IF(H226&gt;'I. Stream &amp; Compound Data'!$F$18,"",IF(Q226="N/A",0,IF(Q226&gt;0,ROUND(10^(5*Q226+2),3),0)))</f>
        <v/>
      </c>
      <c r="S226" s="1242" t="str">
        <f>IF(H226&gt;'I. Stream &amp; Compound Data'!$F$18,"",MAX(K168:L168))</f>
        <v/>
      </c>
      <c r="T226" s="1268" t="str">
        <f>IF(H226&gt;'I. Stream &amp; Compound Data'!$F$18,"",ROUND(R226*S226,3))</f>
        <v/>
      </c>
      <c r="U226" s="299"/>
      <c r="V226" s="279"/>
      <c r="W226" s="279"/>
      <c r="X226" s="279"/>
      <c r="Y226" s="279"/>
      <c r="Z226" s="279"/>
      <c r="AA226" s="279"/>
      <c r="AB226" s="279"/>
      <c r="AC226" s="279"/>
      <c r="AD226" s="279"/>
      <c r="AE226" s="279"/>
      <c r="AF226" s="279"/>
      <c r="AG226" s="279"/>
      <c r="AH226" s="279"/>
      <c r="AI226" s="279"/>
      <c r="AJ226" s="279"/>
      <c r="AK226" s="279"/>
      <c r="AL226" s="279"/>
      <c r="AM226" s="279"/>
      <c r="AN226" s="279"/>
      <c r="AO226" s="279"/>
      <c r="AP226" s="279"/>
      <c r="AQ226" s="279"/>
      <c r="AR226" s="279"/>
      <c r="AS226" s="279"/>
      <c r="AT226" s="279"/>
      <c r="AU226" s="279"/>
      <c r="AV226" s="279"/>
      <c r="AW226" s="279"/>
      <c r="AX226" s="279"/>
      <c r="AY226" s="279"/>
      <c r="AZ226" s="279"/>
      <c r="BA226" s="279"/>
      <c r="BB226" s="279"/>
      <c r="BC226" s="279"/>
      <c r="BD226" s="279"/>
      <c r="BE226" s="279"/>
      <c r="BF226" s="279"/>
      <c r="BG226" s="279"/>
      <c r="BH226" s="279"/>
      <c r="BI226" s="279"/>
      <c r="BJ226" s="279"/>
      <c r="BK226" s="279"/>
      <c r="BL226" s="279"/>
      <c r="BM226" s="279"/>
      <c r="BN226" s="279"/>
      <c r="BO226" s="279"/>
      <c r="BP226" s="279"/>
      <c r="BQ226" s="279"/>
      <c r="BR226" s="279"/>
      <c r="BS226" s="279"/>
      <c r="BT226" s="279"/>
      <c r="BU226" s="279"/>
      <c r="BV226" s="279"/>
      <c r="BW226" s="279"/>
      <c r="BX226" s="279"/>
      <c r="BY226" s="279"/>
      <c r="BZ226" s="279"/>
      <c r="CA226" s="279"/>
      <c r="CB226" s="279"/>
      <c r="CC226" s="279"/>
      <c r="CD226" s="279"/>
      <c r="CE226" s="279"/>
      <c r="CF226" s="279"/>
      <c r="CG226" s="279"/>
      <c r="CH226" s="279"/>
      <c r="CI226" s="279"/>
      <c r="CJ226" s="279"/>
      <c r="CK226" s="279"/>
      <c r="CL226" s="279"/>
      <c r="CM226" s="279"/>
      <c r="CN226" s="382"/>
    </row>
    <row r="227" ht="24" customHeight="true" x14ac:dyDescent="0.25">
      <c r="B227" s="361"/>
      <c r="C227" s="279"/>
      <c r="D227" s="280"/>
      <c r="E227" s="287"/>
      <c r="F227" s="287"/>
      <c r="G227" s="287"/>
      <c r="H227" s="1292">
        <f t="shared" si="11"/>
        <v>28</v>
      </c>
      <c r="I227" s="1190" t="str">
        <f>IF('I. Stream &amp; Compound Data'!AB289&lt;&gt;"",'I. Stream &amp; Compound Data'!AB289,"")</f>
        <v/>
      </c>
      <c r="J227" s="1295" t="str">
        <f t="shared" si="13"/>
        <v/>
      </c>
      <c r="K227" s="1190" t="str">
        <f>IF('I. Stream &amp; Compound Data'!AT289&lt;&gt;"",'I. Stream &amp; Compound Data'!AT289,IF('I. Stream &amp; Compound Data'!AU289&lt;&gt;"",'I. Stream &amp; Compound Data'!AU289,""))</f>
        <v/>
      </c>
      <c r="L227" s="1190" t="str">
        <f>IF('I. Stream &amp; Compound Data'!AR289&lt;&gt;"",'I. Stream &amp; Compound Data'!AR289,IF('I. Stream &amp; Compound Data'!AS289&lt;&gt;"",'I. Stream &amp; Compound Data'!AS289,""))</f>
        <v/>
      </c>
      <c r="M227" s="1306" t="str">
        <f>IF(H227&gt;'I. Stream &amp; Compound Data'!$F$18,"",IF(I227="","N/A",ROUND(IF(I227&lt;=0.1,1,IF(AND(I227&gt;0.1,I227&lt;10000),-0.087*LN(I227)+0.8,0)),3)))</f>
        <v/>
      </c>
      <c r="N227" s="1168" t="str">
        <f>IF(H227&gt;'I. Stream &amp; Compound Data'!$F$18,"",IF(M227="N/A",IF(J227="","N/A",IF(J227="T+",0.7,IF(J227="T",0.5,IF(J227="Xn",0.3,"N/A")))),"N/A"))</f>
        <v/>
      </c>
      <c r="O227" s="1242" t="str">
        <f>IF(H227&gt;'I. Stream &amp; Compound Data'!$F$18,"",IF(AND(M227="N/A",N227="N/A"),IF(K227="","N/A",IF(K227=1,0.8,IF(K227=2,0.7,IF(K227=3,0.5,IF(K227=4,0.3,IF(K227=5,0.1,0)))))),"N/A"))</f>
        <v/>
      </c>
      <c r="P227" s="1307" t="str">
        <f>IF(H227&gt;'I. Stream &amp; Compound Data'!$F$18,"",IF(AND(M227="N/A",N227="N/A",O227="N/A"),IF(L227="","N/A",IF(OR(L227=45,L227=46,L227=47,L227=49,L227=60,L227=61),1,IF(OR(L227=40,L227=62,L227=63,L227=64),0.8,IF(OR(L227=29,L227=32,L227=48),0.7,IF(OR(L227=42,L227=43),0.6,IF(OR(L227=31,L227=33),0.5,0)))))),"N/A"))</f>
        <v/>
      </c>
      <c r="Q227" s="1242" t="str">
        <f>IF(H227&gt;'I. Stream &amp; Compound Data'!$F$18,"",IF(M227&lt;&gt;"N/A",M227,IF(N227&lt;&gt;"N/A",N227,IF(O227&lt;&gt;"N/A",O227,P227))))</f>
        <v/>
      </c>
      <c r="R227" s="1242" t="str">
        <f>IF(H227&gt;'I. Stream &amp; Compound Data'!$F$18,"",IF(Q227="N/A",0,IF(Q227&gt;0,ROUND(10^(5*Q227+2),3),0)))</f>
        <v/>
      </c>
      <c r="S227" s="1242" t="str">
        <f>IF(H227&gt;'I. Stream &amp; Compound Data'!$F$18,"",MAX(K169:L169))</f>
        <v/>
      </c>
      <c r="T227" s="1268" t="str">
        <f>IF(H227&gt;'I. Stream &amp; Compound Data'!$F$18,"",ROUND(R227*S227,3))</f>
        <v/>
      </c>
      <c r="U227" s="299"/>
      <c r="V227" s="279"/>
      <c r="W227" s="279"/>
      <c r="X227" s="279"/>
      <c r="Y227" s="279"/>
      <c r="Z227" s="279"/>
      <c r="AA227" s="279"/>
      <c r="AB227" s="279"/>
      <c r="AC227" s="279"/>
      <c r="AD227" s="279"/>
      <c r="AE227" s="279"/>
      <c r="AF227" s="279"/>
      <c r="AG227" s="279"/>
      <c r="AH227" s="279"/>
      <c r="AI227" s="279"/>
      <c r="AJ227" s="279"/>
      <c r="AK227" s="279"/>
      <c r="AL227" s="279"/>
      <c r="AM227" s="279"/>
      <c r="AN227" s="279"/>
      <c r="AO227" s="279"/>
      <c r="AP227" s="279"/>
      <c r="AQ227" s="279"/>
      <c r="AR227" s="279"/>
      <c r="AS227" s="279"/>
      <c r="AT227" s="279"/>
      <c r="AU227" s="279"/>
      <c r="AV227" s="279"/>
      <c r="AW227" s="279"/>
      <c r="AX227" s="279"/>
      <c r="AY227" s="279"/>
      <c r="AZ227" s="279"/>
      <c r="BA227" s="279"/>
      <c r="BB227" s="279"/>
      <c r="BC227" s="279"/>
      <c r="BD227" s="279"/>
      <c r="BE227" s="279"/>
      <c r="BF227" s="279"/>
      <c r="BG227" s="279"/>
      <c r="BH227" s="279"/>
      <c r="BI227" s="279"/>
      <c r="BJ227" s="279"/>
      <c r="BK227" s="279"/>
      <c r="BL227" s="279"/>
      <c r="BM227" s="279"/>
      <c r="BN227" s="279"/>
      <c r="BO227" s="279"/>
      <c r="BP227" s="279"/>
      <c r="BQ227" s="279"/>
      <c r="BR227" s="279"/>
      <c r="BS227" s="279"/>
      <c r="BT227" s="279"/>
      <c r="BU227" s="279"/>
      <c r="BV227" s="279"/>
      <c r="BW227" s="279"/>
      <c r="BX227" s="279"/>
      <c r="BY227" s="279"/>
      <c r="BZ227" s="279"/>
      <c r="CA227" s="279"/>
      <c r="CB227" s="279"/>
      <c r="CC227" s="279"/>
      <c r="CD227" s="279"/>
      <c r="CE227" s="279"/>
      <c r="CF227" s="279"/>
      <c r="CG227" s="279"/>
      <c r="CH227" s="279"/>
      <c r="CI227" s="279"/>
      <c r="CJ227" s="279"/>
      <c r="CK227" s="279"/>
      <c r="CL227" s="279"/>
      <c r="CM227" s="279"/>
      <c r="CN227" s="382"/>
    </row>
    <row r="228" ht="24" customHeight="true" x14ac:dyDescent="0.25">
      <c r="B228" s="361"/>
      <c r="C228" s="279"/>
      <c r="D228" s="280"/>
      <c r="E228" s="287"/>
      <c r="F228" s="287"/>
      <c r="G228" s="287"/>
      <c r="H228" s="1292">
        <f t="shared" si="11"/>
        <v>29</v>
      </c>
      <c r="I228" s="1190" t="str">
        <f>IF('I. Stream &amp; Compound Data'!AB290&lt;&gt;"",'I. Stream &amp; Compound Data'!AB290,"")</f>
        <v/>
      </c>
      <c r="J228" s="1295" t="str">
        <f t="shared" si="13"/>
        <v/>
      </c>
      <c r="K228" s="1190" t="str">
        <f>IF('I. Stream &amp; Compound Data'!AT290&lt;&gt;"",'I. Stream &amp; Compound Data'!AT290,IF('I. Stream &amp; Compound Data'!AU290&lt;&gt;"",'I. Stream &amp; Compound Data'!AU290,""))</f>
        <v/>
      </c>
      <c r="L228" s="1190" t="str">
        <f>IF('I. Stream &amp; Compound Data'!AR290&lt;&gt;"",'I. Stream &amp; Compound Data'!AR290,IF('I. Stream &amp; Compound Data'!AS290&lt;&gt;"",'I. Stream &amp; Compound Data'!AS290,""))</f>
        <v/>
      </c>
      <c r="M228" s="1306" t="str">
        <f>IF(H228&gt;'I. Stream &amp; Compound Data'!$F$18,"",IF(I228="","N/A",ROUND(IF(I228&lt;=0.1,1,IF(AND(I228&gt;0.1,I228&lt;10000),-0.087*LN(I228)+0.8,0)),3)))</f>
        <v/>
      </c>
      <c r="N228" s="1168" t="str">
        <f>IF(H228&gt;'I. Stream &amp; Compound Data'!$F$18,"",IF(M228="N/A",IF(J228="","N/A",IF(J228="T+",0.7,IF(J228="T",0.5,IF(J228="Xn",0.3,"N/A")))),"N/A"))</f>
        <v/>
      </c>
      <c r="O228" s="1242" t="str">
        <f>IF(H228&gt;'I. Stream &amp; Compound Data'!$F$18,"",IF(AND(M228="N/A",N228="N/A"),IF(K228="","N/A",IF(K228=1,0.8,IF(K228=2,0.7,IF(K228=3,0.5,IF(K228=4,0.3,IF(K228=5,0.1,0)))))),"N/A"))</f>
        <v/>
      </c>
      <c r="P228" s="1307" t="str">
        <f>IF(H228&gt;'I. Stream &amp; Compound Data'!$F$18,"",IF(AND(M228="N/A",N228="N/A",O228="N/A"),IF(L228="","N/A",IF(OR(L228=45,L228=46,L228=47,L228=49,L228=60,L228=61),1,IF(OR(L228=40,L228=62,L228=63,L228=64),0.8,IF(OR(L228=29,L228=32,L228=48),0.7,IF(OR(L228=42,L228=43),0.6,IF(OR(L228=31,L228=33),0.5,0)))))),"N/A"))</f>
        <v/>
      </c>
      <c r="Q228" s="1242" t="str">
        <f>IF(H228&gt;'I. Stream &amp; Compound Data'!$F$18,"",IF(M228&lt;&gt;"N/A",M228,IF(N228&lt;&gt;"N/A",N228,IF(O228&lt;&gt;"N/A",O228,P228))))</f>
        <v/>
      </c>
      <c r="R228" s="1242" t="str">
        <f>IF(H228&gt;'I. Stream &amp; Compound Data'!$F$18,"",IF(Q228="N/A",0,IF(Q228&gt;0,ROUND(10^(5*Q228+2),3),0)))</f>
        <v/>
      </c>
      <c r="S228" s="1242" t="str">
        <f>IF(H228&gt;'I. Stream &amp; Compound Data'!$F$18,"",MAX(K170:L170))</f>
        <v/>
      </c>
      <c r="T228" s="1268" t="str">
        <f>IF(H228&gt;'I. Stream &amp; Compound Data'!$F$18,"",ROUND(R228*S228,3))</f>
        <v/>
      </c>
      <c r="U228" s="299"/>
      <c r="V228" s="279"/>
      <c r="W228" s="279"/>
      <c r="X228" s="279"/>
      <c r="Y228" s="279"/>
      <c r="Z228" s="279"/>
      <c r="AA228" s="279"/>
      <c r="AB228" s="279"/>
      <c r="AC228" s="279"/>
      <c r="AD228" s="279"/>
      <c r="AE228" s="279"/>
      <c r="AF228" s="279"/>
      <c r="AG228" s="279"/>
      <c r="AH228" s="279"/>
      <c r="AI228" s="279"/>
      <c r="AJ228" s="279"/>
      <c r="AK228" s="279"/>
      <c r="AL228" s="279"/>
      <c r="AM228" s="279"/>
      <c r="AN228" s="279"/>
      <c r="AO228" s="279"/>
      <c r="AP228" s="279"/>
      <c r="AQ228" s="279"/>
      <c r="AR228" s="279"/>
      <c r="AS228" s="279"/>
      <c r="AT228" s="279"/>
      <c r="AU228" s="279"/>
      <c r="AV228" s="279"/>
      <c r="AW228" s="279"/>
      <c r="AX228" s="279"/>
      <c r="AY228" s="279"/>
      <c r="AZ228" s="279"/>
      <c r="BA228" s="279"/>
      <c r="BB228" s="279"/>
      <c r="BC228" s="279"/>
      <c r="BD228" s="279"/>
      <c r="BE228" s="279"/>
      <c r="BF228" s="279"/>
      <c r="BG228" s="279"/>
      <c r="BH228" s="279"/>
      <c r="BI228" s="279"/>
      <c r="BJ228" s="279"/>
      <c r="BK228" s="279"/>
      <c r="BL228" s="279"/>
      <c r="BM228" s="279"/>
      <c r="BN228" s="279"/>
      <c r="BO228" s="279"/>
      <c r="BP228" s="279"/>
      <c r="BQ228" s="279"/>
      <c r="BR228" s="279"/>
      <c r="BS228" s="279"/>
      <c r="BT228" s="279"/>
      <c r="BU228" s="279"/>
      <c r="BV228" s="279"/>
      <c r="BW228" s="279"/>
      <c r="BX228" s="279"/>
      <c r="BY228" s="279"/>
      <c r="BZ228" s="279"/>
      <c r="CA228" s="279"/>
      <c r="CB228" s="279"/>
      <c r="CC228" s="279"/>
      <c r="CD228" s="279"/>
      <c r="CE228" s="279"/>
      <c r="CF228" s="279"/>
      <c r="CG228" s="279"/>
      <c r="CH228" s="279"/>
      <c r="CI228" s="279"/>
      <c r="CJ228" s="279"/>
      <c r="CK228" s="279"/>
      <c r="CL228" s="279"/>
      <c r="CM228" s="279"/>
      <c r="CN228" s="382"/>
    </row>
    <row r="229" ht="24" customHeight="true" x14ac:dyDescent="0.25">
      <c r="B229" s="361"/>
      <c r="C229" s="279"/>
      <c r="D229" s="280"/>
      <c r="E229" s="287"/>
      <c r="F229" s="287"/>
      <c r="G229" s="287"/>
      <c r="H229" s="1292">
        <f t="shared" si="11"/>
        <v>30</v>
      </c>
      <c r="I229" s="1190" t="str">
        <f>IF('I. Stream &amp; Compound Data'!AB291&lt;&gt;"",'I. Stream &amp; Compound Data'!AB291,"")</f>
        <v/>
      </c>
      <c r="J229" s="1295" t="str">
        <f t="shared" si="13"/>
        <v/>
      </c>
      <c r="K229" s="1190" t="str">
        <f>IF('I. Stream &amp; Compound Data'!AT291&lt;&gt;"",'I. Stream &amp; Compound Data'!AT291,IF('I. Stream &amp; Compound Data'!AU291&lt;&gt;"",'I. Stream &amp; Compound Data'!AU291,""))</f>
        <v/>
      </c>
      <c r="L229" s="1190" t="str">
        <f>IF('I. Stream &amp; Compound Data'!AR291&lt;&gt;"",'I. Stream &amp; Compound Data'!AR291,IF('I. Stream &amp; Compound Data'!AS291&lt;&gt;"",'I. Stream &amp; Compound Data'!AS291,""))</f>
        <v/>
      </c>
      <c r="M229" s="1306" t="str">
        <f>IF(H229&gt;'I. Stream &amp; Compound Data'!$F$18,"",IF(I229="","N/A",ROUND(IF(I229&lt;=0.1,1,IF(AND(I229&gt;0.1,I229&lt;10000),-0.087*LN(I229)+0.8,0)),3)))</f>
        <v/>
      </c>
      <c r="N229" s="1168" t="str">
        <f>IF(H229&gt;'I. Stream &amp; Compound Data'!$F$18,"",IF(M229="N/A",IF(J229="","N/A",IF(J229="T+",0.7,IF(J229="T",0.5,IF(J229="Xn",0.3,"N/A")))),"N/A"))</f>
        <v/>
      </c>
      <c r="O229" s="1242" t="str">
        <f>IF(H229&gt;'I. Stream &amp; Compound Data'!$F$18,"",IF(AND(M229="N/A",N229="N/A"),IF(K229="","N/A",IF(K229=1,0.8,IF(K229=2,0.7,IF(K229=3,0.5,IF(K229=4,0.3,IF(K229=5,0.1,0)))))),"N/A"))</f>
        <v/>
      </c>
      <c r="P229" s="1307" t="str">
        <f>IF(H229&gt;'I. Stream &amp; Compound Data'!$F$18,"",IF(AND(M229="N/A",N229="N/A",O229="N/A"),IF(L229="","N/A",IF(OR(L229=45,L229=46,L229=47,L229=49,L229=60,L229=61),1,IF(OR(L229=40,L229=62,L229=63,L229=64),0.8,IF(OR(L229=29,L229=32,L229=48),0.7,IF(OR(L229=42,L229=43),0.6,IF(OR(L229=31,L229=33),0.5,0)))))),"N/A"))</f>
        <v/>
      </c>
      <c r="Q229" s="1242" t="str">
        <f>IF(H229&gt;'I. Stream &amp; Compound Data'!$F$18,"",IF(M229&lt;&gt;"N/A",M229,IF(N229&lt;&gt;"N/A",N229,IF(O229&lt;&gt;"N/A",O229,P229))))</f>
        <v/>
      </c>
      <c r="R229" s="1242" t="str">
        <f>IF(H229&gt;'I. Stream &amp; Compound Data'!$F$18,"",IF(Q229="N/A",0,IF(Q229&gt;0,ROUND(10^(5*Q229+2),3),0)))</f>
        <v/>
      </c>
      <c r="S229" s="1242" t="str">
        <f>IF(H229&gt;'I. Stream &amp; Compound Data'!$F$18,"",MAX(K171:L171))</f>
        <v/>
      </c>
      <c r="T229" s="1268" t="str">
        <f>IF(H229&gt;'I. Stream &amp; Compound Data'!$F$18,"",ROUND(R229*S229,3))</f>
        <v/>
      </c>
      <c r="U229" s="299"/>
      <c r="V229" s="279"/>
      <c r="W229" s="279"/>
      <c r="X229" s="279"/>
      <c r="Y229" s="279"/>
      <c r="Z229" s="279"/>
      <c r="AA229" s="279"/>
      <c r="AB229" s="279"/>
      <c r="AC229" s="279"/>
      <c r="AD229" s="279"/>
      <c r="AE229" s="279"/>
      <c r="AF229" s="279"/>
      <c r="AG229" s="279"/>
      <c r="AH229" s="279"/>
      <c r="AI229" s="279"/>
      <c r="AJ229" s="279"/>
      <c r="AK229" s="279"/>
      <c r="AL229" s="279"/>
      <c r="AM229" s="279"/>
      <c r="AN229" s="279"/>
      <c r="AO229" s="279"/>
      <c r="AP229" s="279"/>
      <c r="AQ229" s="279"/>
      <c r="AR229" s="279"/>
      <c r="AS229" s="279"/>
      <c r="AT229" s="279"/>
      <c r="AU229" s="279"/>
      <c r="AV229" s="279"/>
      <c r="AW229" s="279"/>
      <c r="AX229" s="279"/>
      <c r="AY229" s="279"/>
      <c r="AZ229" s="279"/>
      <c r="BA229" s="279"/>
      <c r="BB229" s="279"/>
      <c r="BC229" s="279"/>
      <c r="BD229" s="279"/>
      <c r="BE229" s="279"/>
      <c r="BF229" s="279"/>
      <c r="BG229" s="279"/>
      <c r="BH229" s="279"/>
      <c r="BI229" s="279"/>
      <c r="BJ229" s="279"/>
      <c r="BK229" s="279"/>
      <c r="BL229" s="279"/>
      <c r="BM229" s="279"/>
      <c r="BN229" s="279"/>
      <c r="BO229" s="279"/>
      <c r="BP229" s="279"/>
      <c r="BQ229" s="279"/>
      <c r="BR229" s="279"/>
      <c r="BS229" s="279"/>
      <c r="BT229" s="279"/>
      <c r="BU229" s="279"/>
      <c r="BV229" s="279"/>
      <c r="BW229" s="279"/>
      <c r="BX229" s="279"/>
      <c r="BY229" s="279"/>
      <c r="BZ229" s="279"/>
      <c r="CA229" s="279"/>
      <c r="CB229" s="279"/>
      <c r="CC229" s="279"/>
      <c r="CD229" s="279"/>
      <c r="CE229" s="279"/>
      <c r="CF229" s="279"/>
      <c r="CG229" s="279"/>
      <c r="CH229" s="279"/>
      <c r="CI229" s="279"/>
      <c r="CJ229" s="279"/>
      <c r="CK229" s="279"/>
      <c r="CL229" s="279"/>
      <c r="CM229" s="279"/>
      <c r="CN229" s="382"/>
    </row>
    <row r="230" ht="24" customHeight="true" x14ac:dyDescent="0.25">
      <c r="B230" s="361"/>
      <c r="C230" s="279"/>
      <c r="D230" s="280"/>
      <c r="E230" s="287"/>
      <c r="F230" s="287"/>
      <c r="G230" s="287"/>
      <c r="H230" s="1292">
        <f t="shared" si="11"/>
        <v>31</v>
      </c>
      <c r="I230" s="1190" t="str">
        <f>IF('I. Stream &amp; Compound Data'!AB292&lt;&gt;"",'I. Stream &amp; Compound Data'!AB292,"")</f>
        <v/>
      </c>
      <c r="J230" s="1295" t="str">
        <f t="shared" si="13"/>
        <v/>
      </c>
      <c r="K230" s="1190" t="str">
        <f>IF('I. Stream &amp; Compound Data'!AT292&lt;&gt;"",'I. Stream &amp; Compound Data'!AT292,IF('I. Stream &amp; Compound Data'!AU292&lt;&gt;"",'I. Stream &amp; Compound Data'!AU292,""))</f>
        <v/>
      </c>
      <c r="L230" s="1190" t="str">
        <f>IF('I. Stream &amp; Compound Data'!AR292&lt;&gt;"",'I. Stream &amp; Compound Data'!AR292,IF('I. Stream &amp; Compound Data'!AS292&lt;&gt;"",'I. Stream &amp; Compound Data'!AS292,""))</f>
        <v/>
      </c>
      <c r="M230" s="1306" t="str">
        <f>IF(H230&gt;'I. Stream &amp; Compound Data'!$F$18,"",IF(I230="","N/A",ROUND(IF(I230&lt;=0.1,1,IF(AND(I230&gt;0.1,I230&lt;10000),-0.087*LN(I230)+0.8,0)),3)))</f>
        <v/>
      </c>
      <c r="N230" s="1168" t="str">
        <f>IF(H230&gt;'I. Stream &amp; Compound Data'!$F$18,"",IF(M230="N/A",IF(J230="","N/A",IF(J230="T+",0.7,IF(J230="T",0.5,IF(J230="Xn",0.3,"N/A")))),"N/A"))</f>
        <v/>
      </c>
      <c r="O230" s="1242" t="str">
        <f>IF(H230&gt;'I. Stream &amp; Compound Data'!$F$18,"",IF(AND(M230="N/A",N230="N/A"),IF(K230="","N/A",IF(K230=1,0.8,IF(K230=2,0.7,IF(K230=3,0.5,IF(K230=4,0.3,IF(K230=5,0.1,0)))))),"N/A"))</f>
        <v/>
      </c>
      <c r="P230" s="1307" t="str">
        <f>IF(H230&gt;'I. Stream &amp; Compound Data'!$F$18,"",IF(AND(M230="N/A",N230="N/A",O230="N/A"),IF(L230="","N/A",IF(OR(L230=45,L230=46,L230=47,L230=49,L230=60,L230=61),1,IF(OR(L230=40,L230=62,L230=63,L230=64),0.8,IF(OR(L230=29,L230=32,L230=48),0.7,IF(OR(L230=42,L230=43),0.6,IF(OR(L230=31,L230=33),0.5,0)))))),"N/A"))</f>
        <v/>
      </c>
      <c r="Q230" s="1242" t="str">
        <f>IF(H230&gt;'I. Stream &amp; Compound Data'!$F$18,"",IF(M230&lt;&gt;"N/A",M230,IF(N230&lt;&gt;"N/A",N230,IF(O230&lt;&gt;"N/A",O230,P230))))</f>
        <v/>
      </c>
      <c r="R230" s="1242" t="str">
        <f>IF(H230&gt;'I. Stream &amp; Compound Data'!$F$18,"",IF(Q230="N/A",0,IF(Q230&gt;0,ROUND(10^(5*Q230+2),3),0)))</f>
        <v/>
      </c>
      <c r="S230" s="1242" t="str">
        <f>IF(H230&gt;'I. Stream &amp; Compound Data'!$F$18,"",MAX(K172:L172))</f>
        <v/>
      </c>
      <c r="T230" s="1268" t="str">
        <f>IF(H230&gt;'I. Stream &amp; Compound Data'!$F$18,"",ROUND(R230*S230,3))</f>
        <v/>
      </c>
      <c r="U230" s="299"/>
      <c r="V230" s="279"/>
      <c r="W230" s="279"/>
      <c r="X230" s="279"/>
      <c r="Y230" s="279"/>
      <c r="Z230" s="279"/>
      <c r="AA230" s="279"/>
      <c r="AB230" s="279"/>
      <c r="AC230" s="279"/>
      <c r="AD230" s="279"/>
      <c r="AE230" s="279"/>
      <c r="AF230" s="279"/>
      <c r="AG230" s="279"/>
      <c r="AH230" s="279"/>
      <c r="AI230" s="279"/>
      <c r="AJ230" s="279"/>
      <c r="AK230" s="279"/>
      <c r="AL230" s="279"/>
      <c r="AM230" s="279"/>
      <c r="AN230" s="279"/>
      <c r="AO230" s="279"/>
      <c r="AP230" s="279"/>
      <c r="AQ230" s="279"/>
      <c r="AR230" s="279"/>
      <c r="AS230" s="279"/>
      <c r="AT230" s="279"/>
      <c r="AU230" s="279"/>
      <c r="AV230" s="279"/>
      <c r="AW230" s="279"/>
      <c r="AX230" s="279"/>
      <c r="AY230" s="279"/>
      <c r="AZ230" s="279"/>
      <c r="BA230" s="279"/>
      <c r="BB230" s="279"/>
      <c r="BC230" s="279"/>
      <c r="BD230" s="279"/>
      <c r="BE230" s="279"/>
      <c r="BF230" s="279"/>
      <c r="BG230" s="279"/>
      <c r="BH230" s="279"/>
      <c r="BI230" s="279"/>
      <c r="BJ230" s="279"/>
      <c r="BK230" s="279"/>
      <c r="BL230" s="279"/>
      <c r="BM230" s="279"/>
      <c r="BN230" s="279"/>
      <c r="BO230" s="279"/>
      <c r="BP230" s="279"/>
      <c r="BQ230" s="279"/>
      <c r="BR230" s="279"/>
      <c r="BS230" s="279"/>
      <c r="BT230" s="279"/>
      <c r="BU230" s="279"/>
      <c r="BV230" s="279"/>
      <c r="BW230" s="279"/>
      <c r="BX230" s="279"/>
      <c r="BY230" s="279"/>
      <c r="BZ230" s="279"/>
      <c r="CA230" s="279"/>
      <c r="CB230" s="279"/>
      <c r="CC230" s="279"/>
      <c r="CD230" s="279"/>
      <c r="CE230" s="279"/>
      <c r="CF230" s="279"/>
      <c r="CG230" s="279"/>
      <c r="CH230" s="279"/>
      <c r="CI230" s="279"/>
      <c r="CJ230" s="279"/>
      <c r="CK230" s="279"/>
      <c r="CL230" s="279"/>
      <c r="CM230" s="279"/>
      <c r="CN230" s="382"/>
    </row>
    <row r="231" ht="24" customHeight="true" x14ac:dyDescent="0.25">
      <c r="B231" s="361"/>
      <c r="C231" s="279"/>
      <c r="D231" s="280"/>
      <c r="E231" s="287"/>
      <c r="F231" s="287"/>
      <c r="G231" s="287"/>
      <c r="H231" s="1292">
        <f t="shared" si="11"/>
        <v>32</v>
      </c>
      <c r="I231" s="1190" t="str">
        <f>IF('I. Stream &amp; Compound Data'!AB293&lt;&gt;"",'I. Stream &amp; Compound Data'!AB293,"")</f>
        <v/>
      </c>
      <c r="J231" s="1295" t="str">
        <f t="shared" si="13"/>
        <v/>
      </c>
      <c r="K231" s="1190" t="str">
        <f>IF('I. Stream &amp; Compound Data'!AT293&lt;&gt;"",'I. Stream &amp; Compound Data'!AT293,IF('I. Stream &amp; Compound Data'!AU293&lt;&gt;"",'I. Stream &amp; Compound Data'!AU293,""))</f>
        <v/>
      </c>
      <c r="L231" s="1190" t="str">
        <f>IF('I. Stream &amp; Compound Data'!AR293&lt;&gt;"",'I. Stream &amp; Compound Data'!AR293,IF('I. Stream &amp; Compound Data'!AS293&lt;&gt;"",'I. Stream &amp; Compound Data'!AS293,""))</f>
        <v/>
      </c>
      <c r="M231" s="1306" t="str">
        <f>IF(H231&gt;'I. Stream &amp; Compound Data'!$F$18,"",IF(I231="","N/A",ROUND(IF(I231&lt;=0.1,1,IF(AND(I231&gt;0.1,I231&lt;10000),-0.087*LN(I231)+0.8,0)),3)))</f>
        <v/>
      </c>
      <c r="N231" s="1168" t="str">
        <f>IF(H231&gt;'I. Stream &amp; Compound Data'!$F$18,"",IF(M231="N/A",IF(J231="","N/A",IF(J231="T+",0.7,IF(J231="T",0.5,IF(J231="Xn",0.3,"N/A")))),"N/A"))</f>
        <v/>
      </c>
      <c r="O231" s="1242" t="str">
        <f>IF(H231&gt;'I. Stream &amp; Compound Data'!$F$18,"",IF(AND(M231="N/A",N231="N/A"),IF(K231="","N/A",IF(K231=1,0.8,IF(K231=2,0.7,IF(K231=3,0.5,IF(K231=4,0.3,IF(K231=5,0.1,0)))))),"N/A"))</f>
        <v/>
      </c>
      <c r="P231" s="1307" t="str">
        <f>IF(H231&gt;'I. Stream &amp; Compound Data'!$F$18,"",IF(AND(M231="N/A",N231="N/A",O231="N/A"),IF(L231="","N/A",IF(OR(L231=45,L231=46,L231=47,L231=49,L231=60,L231=61),1,IF(OR(L231=40,L231=62,L231=63,L231=64),0.8,IF(OR(L231=29,L231=32,L231=48),0.7,IF(OR(L231=42,L231=43),0.6,IF(OR(L231=31,L231=33),0.5,0)))))),"N/A"))</f>
        <v/>
      </c>
      <c r="Q231" s="1242" t="str">
        <f>IF(H231&gt;'I. Stream &amp; Compound Data'!$F$18,"",IF(M231&lt;&gt;"N/A",M231,IF(N231&lt;&gt;"N/A",N231,IF(O231&lt;&gt;"N/A",O231,P231))))</f>
        <v/>
      </c>
      <c r="R231" s="1242" t="str">
        <f>IF(H231&gt;'I. Stream &amp; Compound Data'!$F$18,"",IF(Q231="N/A",0,IF(Q231&gt;0,ROUND(10^(5*Q231+2),3),0)))</f>
        <v/>
      </c>
      <c r="S231" s="1242" t="str">
        <f>IF(H231&gt;'I. Stream &amp; Compound Data'!$F$18,"",MAX(K173:L173))</f>
        <v/>
      </c>
      <c r="T231" s="1268" t="str">
        <f>IF(H231&gt;'I. Stream &amp; Compound Data'!$F$18,"",ROUND(R231*S231,3))</f>
        <v/>
      </c>
      <c r="U231" s="299"/>
      <c r="V231" s="279"/>
      <c r="W231" s="279"/>
      <c r="X231" s="279"/>
      <c r="Y231" s="279"/>
      <c r="Z231" s="279"/>
      <c r="AA231" s="279"/>
      <c r="AB231" s="279"/>
      <c r="AC231" s="279"/>
      <c r="AD231" s="279"/>
      <c r="AE231" s="279"/>
      <c r="AF231" s="279"/>
      <c r="AG231" s="279"/>
      <c r="AH231" s="279"/>
      <c r="AI231" s="279"/>
      <c r="AJ231" s="279"/>
      <c r="AK231" s="279"/>
      <c r="AL231" s="279"/>
      <c r="AM231" s="279"/>
      <c r="AN231" s="279"/>
      <c r="AO231" s="279"/>
      <c r="AP231" s="279"/>
      <c r="AQ231" s="279"/>
      <c r="AR231" s="279"/>
      <c r="AS231" s="279"/>
      <c r="AT231" s="279"/>
      <c r="AU231" s="279"/>
      <c r="AV231" s="279"/>
      <c r="AW231" s="279"/>
      <c r="AX231" s="279"/>
      <c r="AY231" s="279"/>
      <c r="AZ231" s="279"/>
      <c r="BA231" s="279"/>
      <c r="BB231" s="279"/>
      <c r="BC231" s="279"/>
      <c r="BD231" s="279"/>
      <c r="BE231" s="279"/>
      <c r="BF231" s="279"/>
      <c r="BG231" s="279"/>
      <c r="BH231" s="279"/>
      <c r="BI231" s="279"/>
      <c r="BJ231" s="279"/>
      <c r="BK231" s="279"/>
      <c r="BL231" s="279"/>
      <c r="BM231" s="279"/>
      <c r="BN231" s="279"/>
      <c r="BO231" s="279"/>
      <c r="BP231" s="279"/>
      <c r="BQ231" s="279"/>
      <c r="BR231" s="279"/>
      <c r="BS231" s="279"/>
      <c r="BT231" s="279"/>
      <c r="BU231" s="279"/>
      <c r="BV231" s="279"/>
      <c r="BW231" s="279"/>
      <c r="BX231" s="279"/>
      <c r="BY231" s="279"/>
      <c r="BZ231" s="279"/>
      <c r="CA231" s="279"/>
      <c r="CB231" s="279"/>
      <c r="CC231" s="279"/>
      <c r="CD231" s="279"/>
      <c r="CE231" s="279"/>
      <c r="CF231" s="279"/>
      <c r="CG231" s="279"/>
      <c r="CH231" s="279"/>
      <c r="CI231" s="279"/>
      <c r="CJ231" s="279"/>
      <c r="CK231" s="279"/>
      <c r="CL231" s="279"/>
      <c r="CM231" s="279"/>
      <c r="CN231" s="382"/>
    </row>
    <row r="232" ht="24" customHeight="true" x14ac:dyDescent="0.25">
      <c r="B232" s="361"/>
      <c r="C232" s="279"/>
      <c r="D232" s="280"/>
      <c r="E232" s="287"/>
      <c r="F232" s="287"/>
      <c r="G232" s="287"/>
      <c r="H232" s="1292">
        <f t="shared" si="11"/>
        <v>33</v>
      </c>
      <c r="I232" s="1190" t="str">
        <f>IF('I. Stream &amp; Compound Data'!AB294&lt;&gt;"",'I. Stream &amp; Compound Data'!AB294,"")</f>
        <v/>
      </c>
      <c r="J232" s="1295" t="str">
        <f t="shared" si="13"/>
        <v/>
      </c>
      <c r="K232" s="1190" t="str">
        <f>IF('I. Stream &amp; Compound Data'!AT294&lt;&gt;"",'I. Stream &amp; Compound Data'!AT294,IF('I. Stream &amp; Compound Data'!AU294&lt;&gt;"",'I. Stream &amp; Compound Data'!AU294,""))</f>
        <v/>
      </c>
      <c r="L232" s="1190" t="str">
        <f>IF('I. Stream &amp; Compound Data'!AR294&lt;&gt;"",'I. Stream &amp; Compound Data'!AR294,IF('I. Stream &amp; Compound Data'!AS294&lt;&gt;"",'I. Stream &amp; Compound Data'!AS294,""))</f>
        <v/>
      </c>
      <c r="M232" s="1306" t="str">
        <f>IF(H232&gt;'I. Stream &amp; Compound Data'!$F$18,"",IF(I232="","N/A",ROUND(IF(I232&lt;=0.1,1,IF(AND(I232&gt;0.1,I232&lt;10000),-0.087*LN(I232)+0.8,0)),3)))</f>
        <v/>
      </c>
      <c r="N232" s="1168" t="str">
        <f>IF(H232&gt;'I. Stream &amp; Compound Data'!$F$18,"",IF(M232="N/A",IF(J232="","N/A",IF(J232="T+",0.7,IF(J232="T",0.5,IF(J232="Xn",0.3,"N/A")))),"N/A"))</f>
        <v/>
      </c>
      <c r="O232" s="1242" t="str">
        <f>IF(H232&gt;'I. Stream &amp; Compound Data'!$F$18,"",IF(AND(M232="N/A",N232="N/A"),IF(K232="","N/A",IF(K232=1,0.8,IF(K232=2,0.7,IF(K232=3,0.5,IF(K232=4,0.3,IF(K232=5,0.1,0)))))),"N/A"))</f>
        <v/>
      </c>
      <c r="P232" s="1307" t="str">
        <f>IF(H232&gt;'I. Stream &amp; Compound Data'!$F$18,"",IF(AND(M232="N/A",N232="N/A",O232="N/A"),IF(L232="","N/A",IF(OR(L232=45,L232=46,L232=47,L232=49,L232=60,L232=61),1,IF(OR(L232=40,L232=62,L232=63,L232=64),0.8,IF(OR(L232=29,L232=32,L232=48),0.7,IF(OR(L232=42,L232=43),0.6,IF(OR(L232=31,L232=33),0.5,0)))))),"N/A"))</f>
        <v/>
      </c>
      <c r="Q232" s="1242" t="str">
        <f>IF(H232&gt;'I. Stream &amp; Compound Data'!$F$18,"",IF(M232&lt;&gt;"N/A",M232,IF(N232&lt;&gt;"N/A",N232,IF(O232&lt;&gt;"N/A",O232,P232))))</f>
        <v/>
      </c>
      <c r="R232" s="1242" t="str">
        <f>IF(H232&gt;'I. Stream &amp; Compound Data'!$F$18,"",IF(Q232="N/A",0,IF(Q232&gt;0,ROUND(10^(5*Q232+2),3),0)))</f>
        <v/>
      </c>
      <c r="S232" s="1242" t="str">
        <f>IF(H232&gt;'I. Stream &amp; Compound Data'!$F$18,"",MAX(K174:L174))</f>
        <v/>
      </c>
      <c r="T232" s="1268" t="str">
        <f>IF(H232&gt;'I. Stream &amp; Compound Data'!$F$18,"",ROUND(R232*S232,3))</f>
        <v/>
      </c>
      <c r="U232" s="299"/>
      <c r="V232" s="279"/>
      <c r="W232" s="279"/>
      <c r="X232" s="279"/>
      <c r="Y232" s="279"/>
      <c r="Z232" s="279"/>
      <c r="AA232" s="279"/>
      <c r="AB232" s="279"/>
      <c r="AC232" s="279"/>
      <c r="AD232" s="279"/>
      <c r="AE232" s="279"/>
      <c r="AF232" s="279"/>
      <c r="AG232" s="279"/>
      <c r="AH232" s="279"/>
      <c r="AI232" s="279"/>
      <c r="AJ232" s="279"/>
      <c r="AK232" s="279"/>
      <c r="AL232" s="279"/>
      <c r="AM232" s="279"/>
      <c r="AN232" s="279"/>
      <c r="AO232" s="279"/>
      <c r="AP232" s="279"/>
      <c r="AQ232" s="279"/>
      <c r="AR232" s="279"/>
      <c r="AS232" s="279"/>
      <c r="AT232" s="279"/>
      <c r="AU232" s="279"/>
      <c r="AV232" s="279"/>
      <c r="AW232" s="279"/>
      <c r="AX232" s="279"/>
      <c r="AY232" s="279"/>
      <c r="AZ232" s="279"/>
      <c r="BA232" s="279"/>
      <c r="BB232" s="279"/>
      <c r="BC232" s="279"/>
      <c r="BD232" s="279"/>
      <c r="BE232" s="279"/>
      <c r="BF232" s="279"/>
      <c r="BG232" s="279"/>
      <c r="BH232" s="279"/>
      <c r="BI232" s="279"/>
      <c r="BJ232" s="279"/>
      <c r="BK232" s="279"/>
      <c r="BL232" s="279"/>
      <c r="BM232" s="279"/>
      <c r="BN232" s="279"/>
      <c r="BO232" s="279"/>
      <c r="BP232" s="279"/>
      <c r="BQ232" s="279"/>
      <c r="BR232" s="279"/>
      <c r="BS232" s="279"/>
      <c r="BT232" s="279"/>
      <c r="BU232" s="279"/>
      <c r="BV232" s="279"/>
      <c r="BW232" s="279"/>
      <c r="BX232" s="279"/>
      <c r="BY232" s="279"/>
      <c r="BZ232" s="279"/>
      <c r="CA232" s="279"/>
      <c r="CB232" s="279"/>
      <c r="CC232" s="279"/>
      <c r="CD232" s="279"/>
      <c r="CE232" s="279"/>
      <c r="CF232" s="279"/>
      <c r="CG232" s="279"/>
      <c r="CH232" s="279"/>
      <c r="CI232" s="279"/>
      <c r="CJ232" s="279"/>
      <c r="CK232" s="279"/>
      <c r="CL232" s="279"/>
      <c r="CM232" s="279"/>
      <c r="CN232" s="382"/>
    </row>
    <row r="233" ht="24" customHeight="true" x14ac:dyDescent="0.25">
      <c r="B233" s="361"/>
      <c r="C233" s="279"/>
      <c r="D233" s="280"/>
      <c r="E233" s="287"/>
      <c r="F233" s="287"/>
      <c r="G233" s="287"/>
      <c r="H233" s="1292">
        <f t="shared" si="11"/>
        <v>34</v>
      </c>
      <c r="I233" s="1190" t="str">
        <f>IF('I. Stream &amp; Compound Data'!AB295&lt;&gt;"",'I. Stream &amp; Compound Data'!AB295,"")</f>
        <v/>
      </c>
      <c r="J233" s="1295" t="str">
        <f t="shared" si="13"/>
        <v/>
      </c>
      <c r="K233" s="1190" t="str">
        <f>IF('I. Stream &amp; Compound Data'!AT295&lt;&gt;"",'I. Stream &amp; Compound Data'!AT295,IF('I. Stream &amp; Compound Data'!AU295&lt;&gt;"",'I. Stream &amp; Compound Data'!AU295,""))</f>
        <v/>
      </c>
      <c r="L233" s="1190" t="str">
        <f>IF('I. Stream &amp; Compound Data'!AR295&lt;&gt;"",'I. Stream &amp; Compound Data'!AR295,IF('I. Stream &amp; Compound Data'!AS295&lt;&gt;"",'I. Stream &amp; Compound Data'!AS295,""))</f>
        <v/>
      </c>
      <c r="M233" s="1306" t="str">
        <f>IF(H233&gt;'I. Stream &amp; Compound Data'!$F$18,"",IF(I233="","N/A",ROUND(IF(I233&lt;=0.1,1,IF(AND(I233&gt;0.1,I233&lt;10000),-0.087*LN(I233)+0.8,0)),3)))</f>
        <v/>
      </c>
      <c r="N233" s="1168" t="str">
        <f>IF(H233&gt;'I. Stream &amp; Compound Data'!$F$18,"",IF(M233="N/A",IF(J233="","N/A",IF(J233="T+",0.7,IF(J233="T",0.5,IF(J233="Xn",0.3,"N/A")))),"N/A"))</f>
        <v/>
      </c>
      <c r="O233" s="1242" t="str">
        <f>IF(H233&gt;'I. Stream &amp; Compound Data'!$F$18,"",IF(AND(M233="N/A",N233="N/A"),IF(K233="","N/A",IF(K233=1,0.8,IF(K233=2,0.7,IF(K233=3,0.5,IF(K233=4,0.3,IF(K233=5,0.1,0)))))),"N/A"))</f>
        <v/>
      </c>
      <c r="P233" s="1307" t="str">
        <f>IF(H233&gt;'I. Stream &amp; Compound Data'!$F$18,"",IF(AND(M233="N/A",N233="N/A",O233="N/A"),IF(L233="","N/A",IF(OR(L233=45,L233=46,L233=47,L233=49,L233=60,L233=61),1,IF(OR(L233=40,L233=62,L233=63,L233=64),0.8,IF(OR(L233=29,L233=32,L233=48),0.7,IF(OR(L233=42,L233=43),0.6,IF(OR(L233=31,L233=33),0.5,0)))))),"N/A"))</f>
        <v/>
      </c>
      <c r="Q233" s="1242" t="str">
        <f>IF(H233&gt;'I. Stream &amp; Compound Data'!$F$18,"",IF(M233&lt;&gt;"N/A",M233,IF(N233&lt;&gt;"N/A",N233,IF(O233&lt;&gt;"N/A",O233,P233))))</f>
        <v/>
      </c>
      <c r="R233" s="1242" t="str">
        <f>IF(H233&gt;'I. Stream &amp; Compound Data'!$F$18,"",IF(Q233="N/A",0,IF(Q233&gt;0,ROUND(10^(5*Q233+2),3),0)))</f>
        <v/>
      </c>
      <c r="S233" s="1242" t="str">
        <f>IF(H233&gt;'I. Stream &amp; Compound Data'!$F$18,"",MAX(K175:L175))</f>
        <v/>
      </c>
      <c r="T233" s="1268" t="str">
        <f>IF(H233&gt;'I. Stream &amp; Compound Data'!$F$18,"",ROUND(R233*S233,3))</f>
        <v/>
      </c>
      <c r="U233" s="299"/>
      <c r="V233" s="279"/>
      <c r="W233" s="279"/>
      <c r="X233" s="279"/>
      <c r="Y233" s="279"/>
      <c r="Z233" s="279"/>
      <c r="AA233" s="279"/>
      <c r="AB233" s="279"/>
      <c r="AC233" s="279"/>
      <c r="AD233" s="279"/>
      <c r="AE233" s="279"/>
      <c r="AF233" s="279"/>
      <c r="AG233" s="279"/>
      <c r="AH233" s="279"/>
      <c r="AI233" s="279"/>
      <c r="AJ233" s="279"/>
      <c r="AK233" s="279"/>
      <c r="AL233" s="279"/>
      <c r="AM233" s="279"/>
      <c r="AN233" s="279"/>
      <c r="AO233" s="279"/>
      <c r="AP233" s="279"/>
      <c r="AQ233" s="279"/>
      <c r="AR233" s="279"/>
      <c r="AS233" s="279"/>
      <c r="AT233" s="279"/>
      <c r="AU233" s="279"/>
      <c r="AV233" s="279"/>
      <c r="AW233" s="279"/>
      <c r="AX233" s="279"/>
      <c r="AY233" s="279"/>
      <c r="AZ233" s="279"/>
      <c r="BA233" s="279"/>
      <c r="BB233" s="279"/>
      <c r="BC233" s="279"/>
      <c r="BD233" s="279"/>
      <c r="BE233" s="279"/>
      <c r="BF233" s="279"/>
      <c r="BG233" s="279"/>
      <c r="BH233" s="279"/>
      <c r="BI233" s="279"/>
      <c r="BJ233" s="279"/>
      <c r="BK233" s="279"/>
      <c r="BL233" s="279"/>
      <c r="BM233" s="279"/>
      <c r="BN233" s="279"/>
      <c r="BO233" s="279"/>
      <c r="BP233" s="279"/>
      <c r="BQ233" s="279"/>
      <c r="BR233" s="279"/>
      <c r="BS233" s="279"/>
      <c r="BT233" s="279"/>
      <c r="BU233" s="279"/>
      <c r="BV233" s="279"/>
      <c r="BW233" s="279"/>
      <c r="BX233" s="279"/>
      <c r="BY233" s="279"/>
      <c r="BZ233" s="279"/>
      <c r="CA233" s="279"/>
      <c r="CB233" s="279"/>
      <c r="CC233" s="279"/>
      <c r="CD233" s="279"/>
      <c r="CE233" s="279"/>
      <c r="CF233" s="279"/>
      <c r="CG233" s="279"/>
      <c r="CH233" s="279"/>
      <c r="CI233" s="279"/>
      <c r="CJ233" s="279"/>
      <c r="CK233" s="279"/>
      <c r="CL233" s="279"/>
      <c r="CM233" s="279"/>
      <c r="CN233" s="382"/>
    </row>
    <row r="234" ht="24" customHeight="true" x14ac:dyDescent="0.25">
      <c r="B234" s="361"/>
      <c r="C234" s="279"/>
      <c r="D234" s="280"/>
      <c r="E234" s="287"/>
      <c r="F234" s="287"/>
      <c r="G234" s="287"/>
      <c r="H234" s="1292">
        <f t="shared" si="11"/>
        <v>35</v>
      </c>
      <c r="I234" s="1190" t="str">
        <f>IF('I. Stream &amp; Compound Data'!AB296&lt;&gt;"",'I. Stream &amp; Compound Data'!AB296,"")</f>
        <v/>
      </c>
      <c r="J234" s="1295" t="str">
        <f t="shared" si="13"/>
        <v/>
      </c>
      <c r="K234" s="1190" t="str">
        <f>IF('I. Stream &amp; Compound Data'!AT296&lt;&gt;"",'I. Stream &amp; Compound Data'!AT296,IF('I. Stream &amp; Compound Data'!AU296&lt;&gt;"",'I. Stream &amp; Compound Data'!AU296,""))</f>
        <v/>
      </c>
      <c r="L234" s="1190" t="str">
        <f>IF('I. Stream &amp; Compound Data'!AR296&lt;&gt;"",'I. Stream &amp; Compound Data'!AR296,IF('I. Stream &amp; Compound Data'!AS296&lt;&gt;"",'I. Stream &amp; Compound Data'!AS296,""))</f>
        <v/>
      </c>
      <c r="M234" s="1306" t="str">
        <f>IF(H234&gt;'I. Stream &amp; Compound Data'!$F$18,"",IF(I234="","N/A",ROUND(IF(I234&lt;=0.1,1,IF(AND(I234&gt;0.1,I234&lt;10000),-0.087*LN(I234)+0.8,0)),3)))</f>
        <v/>
      </c>
      <c r="N234" s="1168" t="str">
        <f>IF(H234&gt;'I. Stream &amp; Compound Data'!$F$18,"",IF(M234="N/A",IF(J234="","N/A",IF(J234="T+",0.7,IF(J234="T",0.5,IF(J234="Xn",0.3,"N/A")))),"N/A"))</f>
        <v/>
      </c>
      <c r="O234" s="1242" t="str">
        <f>IF(H234&gt;'I. Stream &amp; Compound Data'!$F$18,"",IF(AND(M234="N/A",N234="N/A"),IF(K234="","N/A",IF(K234=1,0.8,IF(K234=2,0.7,IF(K234=3,0.5,IF(K234=4,0.3,IF(K234=5,0.1,0)))))),"N/A"))</f>
        <v/>
      </c>
      <c r="P234" s="1307" t="str">
        <f>IF(H234&gt;'I. Stream &amp; Compound Data'!$F$18,"",IF(AND(M234="N/A",N234="N/A",O234="N/A"),IF(L234="","N/A",IF(OR(L234=45,L234=46,L234=47,L234=49,L234=60,L234=61),1,IF(OR(L234=40,L234=62,L234=63,L234=64),0.8,IF(OR(L234=29,L234=32,L234=48),0.7,IF(OR(L234=42,L234=43),0.6,IF(OR(L234=31,L234=33),0.5,0)))))),"N/A"))</f>
        <v/>
      </c>
      <c r="Q234" s="1242" t="str">
        <f>IF(H234&gt;'I. Stream &amp; Compound Data'!$F$18,"",IF(M234&lt;&gt;"N/A",M234,IF(N234&lt;&gt;"N/A",N234,IF(O234&lt;&gt;"N/A",O234,P234))))</f>
        <v/>
      </c>
      <c r="R234" s="1242" t="str">
        <f>IF(H234&gt;'I. Stream &amp; Compound Data'!$F$18,"",IF(Q234="N/A",0,IF(Q234&gt;0,ROUND(10^(5*Q234+2),3),0)))</f>
        <v/>
      </c>
      <c r="S234" s="1242" t="str">
        <f>IF(H234&gt;'I. Stream &amp; Compound Data'!$F$18,"",MAX(K176:L176))</f>
        <v/>
      </c>
      <c r="T234" s="1268" t="str">
        <f>IF(H234&gt;'I. Stream &amp; Compound Data'!$F$18,"",ROUND(R234*S234,3))</f>
        <v/>
      </c>
      <c r="U234" s="299"/>
      <c r="V234" s="279"/>
      <c r="W234" s="279"/>
      <c r="X234" s="279"/>
      <c r="Y234" s="279"/>
      <c r="Z234" s="279"/>
      <c r="AA234" s="279"/>
      <c r="AB234" s="279"/>
      <c r="AC234" s="279"/>
      <c r="AD234" s="279"/>
      <c r="AE234" s="279"/>
      <c r="AF234" s="279"/>
      <c r="AG234" s="279"/>
      <c r="AH234" s="279"/>
      <c r="AI234" s="279"/>
      <c r="AJ234" s="279"/>
      <c r="AK234" s="279"/>
      <c r="AL234" s="279"/>
      <c r="AM234" s="279"/>
      <c r="AN234" s="279"/>
      <c r="AO234" s="279"/>
      <c r="AP234" s="279"/>
      <c r="AQ234" s="279"/>
      <c r="AR234" s="279"/>
      <c r="AS234" s="279"/>
      <c r="AT234" s="279"/>
      <c r="AU234" s="279"/>
      <c r="AV234" s="279"/>
      <c r="AW234" s="279"/>
      <c r="AX234" s="279"/>
      <c r="AY234" s="279"/>
      <c r="AZ234" s="279"/>
      <c r="BA234" s="279"/>
      <c r="BB234" s="279"/>
      <c r="BC234" s="279"/>
      <c r="BD234" s="279"/>
      <c r="BE234" s="279"/>
      <c r="BF234" s="279"/>
      <c r="BG234" s="279"/>
      <c r="BH234" s="279"/>
      <c r="BI234" s="279"/>
      <c r="BJ234" s="279"/>
      <c r="BK234" s="279"/>
      <c r="BL234" s="279"/>
      <c r="BM234" s="279"/>
      <c r="BN234" s="279"/>
      <c r="BO234" s="279"/>
      <c r="BP234" s="279"/>
      <c r="BQ234" s="279"/>
      <c r="BR234" s="279"/>
      <c r="BS234" s="279"/>
      <c r="BT234" s="279"/>
      <c r="BU234" s="279"/>
      <c r="BV234" s="279"/>
      <c r="BW234" s="279"/>
      <c r="BX234" s="279"/>
      <c r="BY234" s="279"/>
      <c r="BZ234" s="279"/>
      <c r="CA234" s="279"/>
      <c r="CB234" s="279"/>
      <c r="CC234" s="279"/>
      <c r="CD234" s="279"/>
      <c r="CE234" s="279"/>
      <c r="CF234" s="279"/>
      <c r="CG234" s="279"/>
      <c r="CH234" s="279"/>
      <c r="CI234" s="279"/>
      <c r="CJ234" s="279"/>
      <c r="CK234" s="279"/>
      <c r="CL234" s="279"/>
      <c r="CM234" s="279"/>
      <c r="CN234" s="382"/>
    </row>
    <row r="235" ht="24" customHeight="true" x14ac:dyDescent="0.25">
      <c r="B235" s="361"/>
      <c r="C235" s="279"/>
      <c r="D235" s="280"/>
      <c r="E235" s="287"/>
      <c r="F235" s="287"/>
      <c r="G235" s="287"/>
      <c r="H235" s="1292">
        <f t="shared" si="11"/>
        <v>36</v>
      </c>
      <c r="I235" s="1190" t="str">
        <f>IF('I. Stream &amp; Compound Data'!AB297&lt;&gt;"",'I. Stream &amp; Compound Data'!AB297,"")</f>
        <v/>
      </c>
      <c r="J235" s="1295" t="str">
        <f t="shared" si="13"/>
        <v/>
      </c>
      <c r="K235" s="1190" t="str">
        <f>IF('I. Stream &amp; Compound Data'!AT297&lt;&gt;"",'I. Stream &amp; Compound Data'!AT297,IF('I. Stream &amp; Compound Data'!AU297&lt;&gt;"",'I. Stream &amp; Compound Data'!AU297,""))</f>
        <v/>
      </c>
      <c r="L235" s="1190" t="str">
        <f>IF('I. Stream &amp; Compound Data'!AR297&lt;&gt;"",'I. Stream &amp; Compound Data'!AR297,IF('I. Stream &amp; Compound Data'!AS297&lt;&gt;"",'I. Stream &amp; Compound Data'!AS297,""))</f>
        <v/>
      </c>
      <c r="M235" s="1306" t="str">
        <f>IF(H235&gt;'I. Stream &amp; Compound Data'!$F$18,"",IF(I235="","N/A",ROUND(IF(I235&lt;=0.1,1,IF(AND(I235&gt;0.1,I235&lt;10000),-0.087*LN(I235)+0.8,0)),3)))</f>
        <v/>
      </c>
      <c r="N235" s="1168" t="str">
        <f>IF(H235&gt;'I. Stream &amp; Compound Data'!$F$18,"",IF(M235="N/A",IF(J235="","N/A",IF(J235="T+",0.7,IF(J235="T",0.5,IF(J235="Xn",0.3,"N/A")))),"N/A"))</f>
        <v/>
      </c>
      <c r="O235" s="1242" t="str">
        <f>IF(H235&gt;'I. Stream &amp; Compound Data'!$F$18,"",IF(AND(M235="N/A",N235="N/A"),IF(K235="","N/A",IF(K235=1,0.8,IF(K235=2,0.7,IF(K235=3,0.5,IF(K235=4,0.3,IF(K235=5,0.1,0)))))),"N/A"))</f>
        <v/>
      </c>
      <c r="P235" s="1307" t="str">
        <f>IF(H235&gt;'I. Stream &amp; Compound Data'!$F$18,"",IF(AND(M235="N/A",N235="N/A",O235="N/A"),IF(L235="","N/A",IF(OR(L235=45,L235=46,L235=47,L235=49,L235=60,L235=61),1,IF(OR(L235=40,L235=62,L235=63,L235=64),0.8,IF(OR(L235=29,L235=32,L235=48),0.7,IF(OR(L235=42,L235=43),0.6,IF(OR(L235=31,L235=33),0.5,0)))))),"N/A"))</f>
        <v/>
      </c>
      <c r="Q235" s="1242" t="str">
        <f>IF(H235&gt;'I. Stream &amp; Compound Data'!$F$18,"",IF(M235&lt;&gt;"N/A",M235,IF(N235&lt;&gt;"N/A",N235,IF(O235&lt;&gt;"N/A",O235,P235))))</f>
        <v/>
      </c>
      <c r="R235" s="1242" t="str">
        <f>IF(H235&gt;'I. Stream &amp; Compound Data'!$F$18,"",IF(Q235="N/A",0,IF(Q235&gt;0,ROUND(10^(5*Q235+2),3),0)))</f>
        <v/>
      </c>
      <c r="S235" s="1242" t="str">
        <f>IF(H235&gt;'I. Stream &amp; Compound Data'!$F$18,"",MAX(K177:L177))</f>
        <v/>
      </c>
      <c r="T235" s="1268" t="str">
        <f>IF(H235&gt;'I. Stream &amp; Compound Data'!$F$18,"",ROUND(R235*S235,3))</f>
        <v/>
      </c>
      <c r="U235" s="299"/>
      <c r="V235" s="279"/>
      <c r="W235" s="279"/>
      <c r="X235" s="279"/>
      <c r="Y235" s="279"/>
      <c r="Z235" s="279"/>
      <c r="AA235" s="279"/>
      <c r="AB235" s="279"/>
      <c r="AC235" s="279"/>
      <c r="AD235" s="279"/>
      <c r="AE235" s="279"/>
      <c r="AF235" s="279"/>
      <c r="AG235" s="279"/>
      <c r="AH235" s="279"/>
      <c r="AI235" s="279"/>
      <c r="AJ235" s="279"/>
      <c r="AK235" s="279"/>
      <c r="AL235" s="279"/>
      <c r="AM235" s="279"/>
      <c r="AN235" s="279"/>
      <c r="AO235" s="279"/>
      <c r="AP235" s="279"/>
      <c r="AQ235" s="279"/>
      <c r="AR235" s="279"/>
      <c r="AS235" s="279"/>
      <c r="AT235" s="279"/>
      <c r="AU235" s="279"/>
      <c r="AV235" s="279"/>
      <c r="AW235" s="279"/>
      <c r="AX235" s="279"/>
      <c r="AY235" s="279"/>
      <c r="AZ235" s="279"/>
      <c r="BA235" s="279"/>
      <c r="BB235" s="279"/>
      <c r="BC235" s="279"/>
      <c r="BD235" s="279"/>
      <c r="BE235" s="279"/>
      <c r="BF235" s="279"/>
      <c r="BG235" s="279"/>
      <c r="BH235" s="279"/>
      <c r="BI235" s="279"/>
      <c r="BJ235" s="279"/>
      <c r="BK235" s="279"/>
      <c r="BL235" s="279"/>
      <c r="BM235" s="279"/>
      <c r="BN235" s="279"/>
      <c r="BO235" s="279"/>
      <c r="BP235" s="279"/>
      <c r="BQ235" s="279"/>
      <c r="BR235" s="279"/>
      <c r="BS235" s="279"/>
      <c r="BT235" s="279"/>
      <c r="BU235" s="279"/>
      <c r="BV235" s="279"/>
      <c r="BW235" s="279"/>
      <c r="BX235" s="279"/>
      <c r="BY235" s="279"/>
      <c r="BZ235" s="279"/>
      <c r="CA235" s="279"/>
      <c r="CB235" s="279"/>
      <c r="CC235" s="279"/>
      <c r="CD235" s="279"/>
      <c r="CE235" s="279"/>
      <c r="CF235" s="279"/>
      <c r="CG235" s="279"/>
      <c r="CH235" s="279"/>
      <c r="CI235" s="279"/>
      <c r="CJ235" s="279"/>
      <c r="CK235" s="279"/>
      <c r="CL235" s="279"/>
      <c r="CM235" s="279"/>
      <c r="CN235" s="382"/>
    </row>
    <row r="236" ht="24" customHeight="true" x14ac:dyDescent="0.25">
      <c r="B236" s="361"/>
      <c r="C236" s="279"/>
      <c r="D236" s="280"/>
      <c r="E236" s="287"/>
      <c r="F236" s="287"/>
      <c r="G236" s="287"/>
      <c r="H236" s="1292">
        <f t="shared" si="11"/>
        <v>37</v>
      </c>
      <c r="I236" s="1190" t="str">
        <f>IF('I. Stream &amp; Compound Data'!AB298&lt;&gt;"",'I. Stream &amp; Compound Data'!AB298,"")</f>
        <v/>
      </c>
      <c r="J236" s="1295" t="str">
        <f t="shared" si="13"/>
        <v/>
      </c>
      <c r="K236" s="1190" t="str">
        <f>IF('I. Stream &amp; Compound Data'!AT298&lt;&gt;"",'I. Stream &amp; Compound Data'!AT298,IF('I. Stream &amp; Compound Data'!AU298&lt;&gt;"",'I. Stream &amp; Compound Data'!AU298,""))</f>
        <v/>
      </c>
      <c r="L236" s="1190" t="str">
        <f>IF('I. Stream &amp; Compound Data'!AR298&lt;&gt;"",'I. Stream &amp; Compound Data'!AR298,IF('I. Stream &amp; Compound Data'!AS298&lt;&gt;"",'I. Stream &amp; Compound Data'!AS298,""))</f>
        <v/>
      </c>
      <c r="M236" s="1306" t="str">
        <f>IF(H236&gt;'I. Stream &amp; Compound Data'!$F$18,"",IF(I236="","N/A",ROUND(IF(I236&lt;=0.1,1,IF(AND(I236&gt;0.1,I236&lt;10000),-0.087*LN(I236)+0.8,0)),3)))</f>
        <v/>
      </c>
      <c r="N236" s="1168" t="str">
        <f>IF(H236&gt;'I. Stream &amp; Compound Data'!$F$18,"",IF(M236="N/A",IF(J236="","N/A",IF(J236="T+",0.7,IF(J236="T",0.5,IF(J236="Xn",0.3,"N/A")))),"N/A"))</f>
        <v/>
      </c>
      <c r="O236" s="1242" t="str">
        <f>IF(H236&gt;'I. Stream &amp; Compound Data'!$F$18,"",IF(AND(M236="N/A",N236="N/A"),IF(K236="","N/A",IF(K236=1,0.8,IF(K236=2,0.7,IF(K236=3,0.5,IF(K236=4,0.3,IF(K236=5,0.1,0)))))),"N/A"))</f>
        <v/>
      </c>
      <c r="P236" s="1307" t="str">
        <f>IF(H236&gt;'I. Stream &amp; Compound Data'!$F$18,"",IF(AND(M236="N/A",N236="N/A",O236="N/A"),IF(L236="","N/A",IF(OR(L236=45,L236=46,L236=47,L236=49,L236=60,L236=61),1,IF(OR(L236=40,L236=62,L236=63,L236=64),0.8,IF(OR(L236=29,L236=32,L236=48),0.7,IF(OR(L236=42,L236=43),0.6,IF(OR(L236=31,L236=33),0.5,0)))))),"N/A"))</f>
        <v/>
      </c>
      <c r="Q236" s="1242" t="str">
        <f>IF(H236&gt;'I. Stream &amp; Compound Data'!$F$18,"",IF(M236&lt;&gt;"N/A",M236,IF(N236&lt;&gt;"N/A",N236,IF(O236&lt;&gt;"N/A",O236,P236))))</f>
        <v/>
      </c>
      <c r="R236" s="1242" t="str">
        <f>IF(H236&gt;'I. Stream &amp; Compound Data'!$F$18,"",IF(Q236="N/A",0,IF(Q236&gt;0,ROUND(10^(5*Q236+2),3),0)))</f>
        <v/>
      </c>
      <c r="S236" s="1242" t="str">
        <f>IF(H236&gt;'I. Stream &amp; Compound Data'!$F$18,"",MAX(K178:L178))</f>
        <v/>
      </c>
      <c r="T236" s="1268" t="str">
        <f>IF(H236&gt;'I. Stream &amp; Compound Data'!$F$18,"",ROUND(R236*S236,3))</f>
        <v/>
      </c>
      <c r="U236" s="299"/>
      <c r="V236" s="279"/>
      <c r="W236" s="279"/>
      <c r="X236" s="279"/>
      <c r="Y236" s="279"/>
      <c r="Z236" s="279"/>
      <c r="AA236" s="279"/>
      <c r="AB236" s="279"/>
      <c r="AC236" s="279"/>
      <c r="AD236" s="279"/>
      <c r="AE236" s="279"/>
      <c r="AF236" s="279"/>
      <c r="AG236" s="279"/>
      <c r="AH236" s="279"/>
      <c r="AI236" s="279"/>
      <c r="AJ236" s="279"/>
      <c r="AK236" s="279"/>
      <c r="AL236" s="279"/>
      <c r="AM236" s="279"/>
      <c r="AN236" s="279"/>
      <c r="AO236" s="279"/>
      <c r="AP236" s="279"/>
      <c r="AQ236" s="279"/>
      <c r="AR236" s="279"/>
      <c r="AS236" s="279"/>
      <c r="AT236" s="279"/>
      <c r="AU236" s="279"/>
      <c r="AV236" s="279"/>
      <c r="AW236" s="279"/>
      <c r="AX236" s="279"/>
      <c r="AY236" s="279"/>
      <c r="AZ236" s="279"/>
      <c r="BA236" s="279"/>
      <c r="BB236" s="279"/>
      <c r="BC236" s="279"/>
      <c r="BD236" s="279"/>
      <c r="BE236" s="279"/>
      <c r="BF236" s="279"/>
      <c r="BG236" s="279"/>
      <c r="BH236" s="279"/>
      <c r="BI236" s="279"/>
      <c r="BJ236" s="279"/>
      <c r="BK236" s="279"/>
      <c r="BL236" s="279"/>
      <c r="BM236" s="279"/>
      <c r="BN236" s="279"/>
      <c r="BO236" s="279"/>
      <c r="BP236" s="279"/>
      <c r="BQ236" s="279"/>
      <c r="BR236" s="279"/>
      <c r="BS236" s="279"/>
      <c r="BT236" s="279"/>
      <c r="BU236" s="279"/>
      <c r="BV236" s="279"/>
      <c r="BW236" s="279"/>
      <c r="BX236" s="279"/>
      <c r="BY236" s="279"/>
      <c r="BZ236" s="279"/>
      <c r="CA236" s="279"/>
      <c r="CB236" s="279"/>
      <c r="CC236" s="279"/>
      <c r="CD236" s="279"/>
      <c r="CE236" s="279"/>
      <c r="CF236" s="279"/>
      <c r="CG236" s="279"/>
      <c r="CH236" s="279"/>
      <c r="CI236" s="279"/>
      <c r="CJ236" s="279"/>
      <c r="CK236" s="279"/>
      <c r="CL236" s="279"/>
      <c r="CM236" s="279"/>
      <c r="CN236" s="382"/>
    </row>
    <row r="237" ht="24" customHeight="true" x14ac:dyDescent="0.25">
      <c r="B237" s="361"/>
      <c r="C237" s="279"/>
      <c r="D237" s="280"/>
      <c r="E237" s="287"/>
      <c r="F237" s="287"/>
      <c r="G237" s="287"/>
      <c r="H237" s="1292">
        <f t="shared" si="11"/>
        <v>38</v>
      </c>
      <c r="I237" s="1190" t="str">
        <f>IF('I. Stream &amp; Compound Data'!AB299&lt;&gt;"",'I. Stream &amp; Compound Data'!AB299,"")</f>
        <v/>
      </c>
      <c r="J237" s="1295" t="str">
        <f t="shared" si="13"/>
        <v/>
      </c>
      <c r="K237" s="1190" t="str">
        <f>IF('I. Stream &amp; Compound Data'!AT299&lt;&gt;"",'I. Stream &amp; Compound Data'!AT299,IF('I. Stream &amp; Compound Data'!AU299&lt;&gt;"",'I. Stream &amp; Compound Data'!AU299,""))</f>
        <v/>
      </c>
      <c r="L237" s="1190" t="str">
        <f>IF('I. Stream &amp; Compound Data'!AR299&lt;&gt;"",'I. Stream &amp; Compound Data'!AR299,IF('I. Stream &amp; Compound Data'!AS299&lt;&gt;"",'I. Stream &amp; Compound Data'!AS299,""))</f>
        <v/>
      </c>
      <c r="M237" s="1306" t="str">
        <f>IF(H237&gt;'I. Stream &amp; Compound Data'!$F$18,"",IF(I237="","N/A",ROUND(IF(I237&lt;=0.1,1,IF(AND(I237&gt;0.1,I237&lt;10000),-0.087*LN(I237)+0.8,0)),3)))</f>
        <v/>
      </c>
      <c r="N237" s="1168" t="str">
        <f>IF(H237&gt;'I. Stream &amp; Compound Data'!$F$18,"",IF(M237="N/A",IF(J237="","N/A",IF(J237="T+",0.7,IF(J237="T",0.5,IF(J237="Xn",0.3,"N/A")))),"N/A"))</f>
        <v/>
      </c>
      <c r="O237" s="1242" t="str">
        <f>IF(H237&gt;'I. Stream &amp; Compound Data'!$F$18,"",IF(AND(M237="N/A",N237="N/A"),IF(K237="","N/A",IF(K237=1,0.8,IF(K237=2,0.7,IF(K237=3,0.5,IF(K237=4,0.3,IF(K237=5,0.1,0)))))),"N/A"))</f>
        <v/>
      </c>
      <c r="P237" s="1307" t="str">
        <f>IF(H237&gt;'I. Stream &amp; Compound Data'!$F$18,"",IF(AND(M237="N/A",N237="N/A",O237="N/A"),IF(L237="","N/A",IF(OR(L237=45,L237=46,L237=47,L237=49,L237=60,L237=61),1,IF(OR(L237=40,L237=62,L237=63,L237=64),0.8,IF(OR(L237=29,L237=32,L237=48),0.7,IF(OR(L237=42,L237=43),0.6,IF(OR(L237=31,L237=33),0.5,0)))))),"N/A"))</f>
        <v/>
      </c>
      <c r="Q237" s="1242" t="str">
        <f>IF(H237&gt;'I. Stream &amp; Compound Data'!$F$18,"",IF(M237&lt;&gt;"N/A",M237,IF(N237&lt;&gt;"N/A",N237,IF(O237&lt;&gt;"N/A",O237,P237))))</f>
        <v/>
      </c>
      <c r="R237" s="1242" t="str">
        <f>IF(H237&gt;'I. Stream &amp; Compound Data'!$F$18,"",IF(Q237="N/A",0,IF(Q237&gt;0,ROUND(10^(5*Q237+2),3),0)))</f>
        <v/>
      </c>
      <c r="S237" s="1242" t="str">
        <f>IF(H237&gt;'I. Stream &amp; Compound Data'!$F$18,"",MAX(K179:L179))</f>
        <v/>
      </c>
      <c r="T237" s="1268" t="str">
        <f>IF(H237&gt;'I. Stream &amp; Compound Data'!$F$18,"",ROUND(R237*S237,3))</f>
        <v/>
      </c>
      <c r="U237" s="299"/>
      <c r="V237" s="279"/>
      <c r="W237" s="279"/>
      <c r="X237" s="279"/>
      <c r="Y237" s="279"/>
      <c r="Z237" s="279"/>
      <c r="AA237" s="279"/>
      <c r="AB237" s="279"/>
      <c r="AC237" s="279"/>
      <c r="AD237" s="279"/>
      <c r="AE237" s="279"/>
      <c r="AF237" s="279"/>
      <c r="AG237" s="279"/>
      <c r="AH237" s="279"/>
      <c r="AI237" s="279"/>
      <c r="AJ237" s="279"/>
      <c r="AK237" s="279"/>
      <c r="AL237" s="279"/>
      <c r="AM237" s="279"/>
      <c r="AN237" s="279"/>
      <c r="AO237" s="279"/>
      <c r="AP237" s="279"/>
      <c r="AQ237" s="279"/>
      <c r="AR237" s="279"/>
      <c r="AS237" s="279"/>
      <c r="AT237" s="279"/>
      <c r="AU237" s="279"/>
      <c r="AV237" s="279"/>
      <c r="AW237" s="279"/>
      <c r="AX237" s="279"/>
      <c r="AY237" s="279"/>
      <c r="AZ237" s="279"/>
      <c r="BA237" s="279"/>
      <c r="BB237" s="279"/>
      <c r="BC237" s="279"/>
      <c r="BD237" s="279"/>
      <c r="BE237" s="279"/>
      <c r="BF237" s="279"/>
      <c r="BG237" s="279"/>
      <c r="BH237" s="279"/>
      <c r="BI237" s="279"/>
      <c r="BJ237" s="279"/>
      <c r="BK237" s="279"/>
      <c r="BL237" s="279"/>
      <c r="BM237" s="279"/>
      <c r="BN237" s="279"/>
      <c r="BO237" s="279"/>
      <c r="BP237" s="279"/>
      <c r="BQ237" s="279"/>
      <c r="BR237" s="279"/>
      <c r="BS237" s="279"/>
      <c r="BT237" s="279"/>
      <c r="BU237" s="279"/>
      <c r="BV237" s="279"/>
      <c r="BW237" s="279"/>
      <c r="BX237" s="279"/>
      <c r="BY237" s="279"/>
      <c r="BZ237" s="279"/>
      <c r="CA237" s="279"/>
      <c r="CB237" s="279"/>
      <c r="CC237" s="279"/>
      <c r="CD237" s="279"/>
      <c r="CE237" s="279"/>
      <c r="CF237" s="279"/>
      <c r="CG237" s="279"/>
      <c r="CH237" s="279"/>
      <c r="CI237" s="279"/>
      <c r="CJ237" s="279"/>
      <c r="CK237" s="279"/>
      <c r="CL237" s="279"/>
      <c r="CM237" s="279"/>
      <c r="CN237" s="382"/>
    </row>
    <row r="238" ht="24" customHeight="true" x14ac:dyDescent="0.25">
      <c r="B238" s="361"/>
      <c r="C238" s="279"/>
      <c r="D238" s="280"/>
      <c r="E238" s="287"/>
      <c r="F238" s="287"/>
      <c r="G238" s="287"/>
      <c r="H238" s="1292">
        <f t="shared" si="11"/>
        <v>39</v>
      </c>
      <c r="I238" s="1190" t="str">
        <f>IF('I. Stream &amp; Compound Data'!AB300&lt;&gt;"",'I. Stream &amp; Compound Data'!AB300,"")</f>
        <v/>
      </c>
      <c r="J238" s="1295" t="str">
        <f t="shared" si="13"/>
        <v/>
      </c>
      <c r="K238" s="1190" t="str">
        <f>IF('I. Stream &amp; Compound Data'!AT300&lt;&gt;"",'I. Stream &amp; Compound Data'!AT300,IF('I. Stream &amp; Compound Data'!AU300&lt;&gt;"",'I. Stream &amp; Compound Data'!AU300,""))</f>
        <v/>
      </c>
      <c r="L238" s="1190" t="str">
        <f>IF('I. Stream &amp; Compound Data'!AR300&lt;&gt;"",'I. Stream &amp; Compound Data'!AR300,IF('I. Stream &amp; Compound Data'!AS300&lt;&gt;"",'I. Stream &amp; Compound Data'!AS300,""))</f>
        <v/>
      </c>
      <c r="M238" s="1306" t="str">
        <f>IF(H238&gt;'I. Stream &amp; Compound Data'!$F$18,"",IF(I238="","N/A",ROUND(IF(I238&lt;=0.1,1,IF(AND(I238&gt;0.1,I238&lt;10000),-0.087*LN(I238)+0.8,0)),3)))</f>
        <v/>
      </c>
      <c r="N238" s="1168" t="str">
        <f>IF(H238&gt;'I. Stream &amp; Compound Data'!$F$18,"",IF(M238="N/A",IF(J238="","N/A",IF(J238="T+",0.7,IF(J238="T",0.5,IF(J238="Xn",0.3,"N/A")))),"N/A"))</f>
        <v/>
      </c>
      <c r="O238" s="1242" t="str">
        <f>IF(H238&gt;'I. Stream &amp; Compound Data'!$F$18,"",IF(AND(M238="N/A",N238="N/A"),IF(K238="","N/A",IF(K238=1,0.8,IF(K238=2,0.7,IF(K238=3,0.5,IF(K238=4,0.3,IF(K238=5,0.1,0)))))),"N/A"))</f>
        <v/>
      </c>
      <c r="P238" s="1307" t="str">
        <f>IF(H238&gt;'I. Stream &amp; Compound Data'!$F$18,"",IF(AND(M238="N/A",N238="N/A",O238="N/A"),IF(L238="","N/A",IF(OR(L238=45,L238=46,L238=47,L238=49,L238=60,L238=61),1,IF(OR(L238=40,L238=62,L238=63,L238=64),0.8,IF(OR(L238=29,L238=32,L238=48),0.7,IF(OR(L238=42,L238=43),0.6,IF(OR(L238=31,L238=33),0.5,0)))))),"N/A"))</f>
        <v/>
      </c>
      <c r="Q238" s="1242" t="str">
        <f>IF(H238&gt;'I. Stream &amp; Compound Data'!$F$18,"",IF(M238&lt;&gt;"N/A",M238,IF(N238&lt;&gt;"N/A",N238,IF(O238&lt;&gt;"N/A",O238,P238))))</f>
        <v/>
      </c>
      <c r="R238" s="1242" t="str">
        <f>IF(H238&gt;'I. Stream &amp; Compound Data'!$F$18,"",IF(Q238="N/A",0,IF(Q238&gt;0,ROUND(10^(5*Q238+2),3),0)))</f>
        <v/>
      </c>
      <c r="S238" s="1242" t="str">
        <f>IF(H238&gt;'I. Stream &amp; Compound Data'!$F$18,"",MAX(K180:L180))</f>
        <v/>
      </c>
      <c r="T238" s="1268" t="str">
        <f>IF(H238&gt;'I. Stream &amp; Compound Data'!$F$18,"",ROUND(R238*S238,3))</f>
        <v/>
      </c>
      <c r="U238" s="299"/>
      <c r="V238" s="279"/>
      <c r="W238" s="279"/>
      <c r="X238" s="279"/>
      <c r="Y238" s="279"/>
      <c r="Z238" s="279"/>
      <c r="AA238" s="279"/>
      <c r="AB238" s="279"/>
      <c r="AC238" s="279"/>
      <c r="AD238" s="279"/>
      <c r="AE238" s="279"/>
      <c r="AF238" s="279"/>
      <c r="AG238" s="279"/>
      <c r="AH238" s="279"/>
      <c r="AI238" s="279"/>
      <c r="AJ238" s="279"/>
      <c r="AK238" s="279"/>
      <c r="AL238" s="279"/>
      <c r="AM238" s="279"/>
      <c r="AN238" s="279"/>
      <c r="AO238" s="279"/>
      <c r="AP238" s="279"/>
      <c r="AQ238" s="279"/>
      <c r="AR238" s="279"/>
      <c r="AS238" s="279"/>
      <c r="AT238" s="279"/>
      <c r="AU238" s="279"/>
      <c r="AV238" s="279"/>
      <c r="AW238" s="279"/>
      <c r="AX238" s="279"/>
      <c r="AY238" s="279"/>
      <c r="AZ238" s="279"/>
      <c r="BA238" s="279"/>
      <c r="BB238" s="279"/>
      <c r="BC238" s="279"/>
      <c r="BD238" s="279"/>
      <c r="BE238" s="279"/>
      <c r="BF238" s="279"/>
      <c r="BG238" s="279"/>
      <c r="BH238" s="279"/>
      <c r="BI238" s="279"/>
      <c r="BJ238" s="279"/>
      <c r="BK238" s="279"/>
      <c r="BL238" s="279"/>
      <c r="BM238" s="279"/>
      <c r="BN238" s="279"/>
      <c r="BO238" s="279"/>
      <c r="BP238" s="279"/>
      <c r="BQ238" s="279"/>
      <c r="BR238" s="279"/>
      <c r="BS238" s="279"/>
      <c r="BT238" s="279"/>
      <c r="BU238" s="279"/>
      <c r="BV238" s="279"/>
      <c r="BW238" s="279"/>
      <c r="BX238" s="279"/>
      <c r="BY238" s="279"/>
      <c r="BZ238" s="279"/>
      <c r="CA238" s="279"/>
      <c r="CB238" s="279"/>
      <c r="CC238" s="279"/>
      <c r="CD238" s="279"/>
      <c r="CE238" s="279"/>
      <c r="CF238" s="279"/>
      <c r="CG238" s="279"/>
      <c r="CH238" s="279"/>
      <c r="CI238" s="279"/>
      <c r="CJ238" s="279"/>
      <c r="CK238" s="279"/>
      <c r="CL238" s="279"/>
      <c r="CM238" s="279"/>
      <c r="CN238" s="382"/>
    </row>
    <row r="239" ht="24" customHeight="true" x14ac:dyDescent="0.25">
      <c r="B239" s="361"/>
      <c r="C239" s="279"/>
      <c r="D239" s="280"/>
      <c r="E239" s="287"/>
      <c r="F239" s="287"/>
      <c r="G239" s="287"/>
      <c r="H239" s="1292">
        <f t="shared" si="11"/>
        <v>40</v>
      </c>
      <c r="I239" s="1190" t="str">
        <f>IF('I. Stream &amp; Compound Data'!AB301&lt;&gt;"",'I. Stream &amp; Compound Data'!AB301,"")</f>
        <v/>
      </c>
      <c r="J239" s="1295" t="str">
        <f t="shared" si="13"/>
        <v/>
      </c>
      <c r="K239" s="1190" t="str">
        <f>IF('I. Stream &amp; Compound Data'!AT301&lt;&gt;"",'I. Stream &amp; Compound Data'!AT301,IF('I. Stream &amp; Compound Data'!AU301&lt;&gt;"",'I. Stream &amp; Compound Data'!AU301,""))</f>
        <v/>
      </c>
      <c r="L239" s="1190" t="str">
        <f>IF('I. Stream &amp; Compound Data'!AR301&lt;&gt;"",'I. Stream &amp; Compound Data'!AR301,IF('I. Stream &amp; Compound Data'!AS301&lt;&gt;"",'I. Stream &amp; Compound Data'!AS301,""))</f>
        <v/>
      </c>
      <c r="M239" s="1306" t="str">
        <f>IF(H239&gt;'I. Stream &amp; Compound Data'!$F$18,"",IF(I239="","N/A",ROUND(IF(I239&lt;=0.1,1,IF(AND(I239&gt;0.1,I239&lt;10000),-0.087*LN(I239)+0.8,0)),3)))</f>
        <v/>
      </c>
      <c r="N239" s="1168" t="str">
        <f>IF(H239&gt;'I. Stream &amp; Compound Data'!$F$18,"",IF(M239="N/A",IF(J239="","N/A",IF(J239="T+",0.7,IF(J239="T",0.5,IF(J239="Xn",0.3,"N/A")))),"N/A"))</f>
        <v/>
      </c>
      <c r="O239" s="1242" t="str">
        <f>IF(H239&gt;'I. Stream &amp; Compound Data'!$F$18,"",IF(AND(M239="N/A",N239="N/A"),IF(K239="","N/A",IF(K239=1,0.8,IF(K239=2,0.7,IF(K239=3,0.5,IF(K239=4,0.3,IF(K239=5,0.1,0)))))),"N/A"))</f>
        <v/>
      </c>
      <c r="P239" s="1307" t="str">
        <f>IF(H239&gt;'I. Stream &amp; Compound Data'!$F$18,"",IF(AND(M239="N/A",N239="N/A",O239="N/A"),IF(L239="","N/A",IF(OR(L239=45,L239=46,L239=47,L239=49,L239=60,L239=61),1,IF(OR(L239=40,L239=62,L239=63,L239=64),0.8,IF(OR(L239=29,L239=32,L239=48),0.7,IF(OR(L239=42,L239=43),0.6,IF(OR(L239=31,L239=33),0.5,0)))))),"N/A"))</f>
        <v/>
      </c>
      <c r="Q239" s="1242" t="str">
        <f>IF(H239&gt;'I. Stream &amp; Compound Data'!$F$18,"",IF(M239&lt;&gt;"N/A",M239,IF(N239&lt;&gt;"N/A",N239,IF(O239&lt;&gt;"N/A",O239,P239))))</f>
        <v/>
      </c>
      <c r="R239" s="1242" t="str">
        <f>IF(H239&gt;'I. Stream &amp; Compound Data'!$F$18,"",IF(Q239="N/A",0,IF(Q239&gt;0,ROUND(10^(5*Q239+2),3),0)))</f>
        <v/>
      </c>
      <c r="S239" s="1242" t="str">
        <f>IF(H239&gt;'I. Stream &amp; Compound Data'!$F$18,"",MAX(K181:L181))</f>
        <v/>
      </c>
      <c r="T239" s="1268" t="str">
        <f>IF(H239&gt;'I. Stream &amp; Compound Data'!$F$18,"",ROUND(R239*S239,3))</f>
        <v/>
      </c>
      <c r="U239" s="299"/>
      <c r="V239" s="279"/>
      <c r="W239" s="279"/>
      <c r="X239" s="279"/>
      <c r="Y239" s="279"/>
      <c r="Z239" s="279"/>
      <c r="AA239" s="279"/>
      <c r="AB239" s="279"/>
      <c r="AC239" s="279"/>
      <c r="AD239" s="279"/>
      <c r="AE239" s="279"/>
      <c r="AF239" s="279"/>
      <c r="AG239" s="279"/>
      <c r="AH239" s="279"/>
      <c r="AI239" s="279"/>
      <c r="AJ239" s="279"/>
      <c r="AK239" s="279"/>
      <c r="AL239" s="279"/>
      <c r="AM239" s="279"/>
      <c r="AN239" s="279"/>
      <c r="AO239" s="279"/>
      <c r="AP239" s="279"/>
      <c r="AQ239" s="279"/>
      <c r="AR239" s="279"/>
      <c r="AS239" s="279"/>
      <c r="AT239" s="279"/>
      <c r="AU239" s="279"/>
      <c r="AV239" s="279"/>
      <c r="AW239" s="279"/>
      <c r="AX239" s="279"/>
      <c r="AY239" s="279"/>
      <c r="AZ239" s="279"/>
      <c r="BA239" s="279"/>
      <c r="BB239" s="279"/>
      <c r="BC239" s="279"/>
      <c r="BD239" s="279"/>
      <c r="BE239" s="279"/>
      <c r="BF239" s="279"/>
      <c r="BG239" s="279"/>
      <c r="BH239" s="279"/>
      <c r="BI239" s="279"/>
      <c r="BJ239" s="279"/>
      <c r="BK239" s="279"/>
      <c r="BL239" s="279"/>
      <c r="BM239" s="279"/>
      <c r="BN239" s="279"/>
      <c r="BO239" s="279"/>
      <c r="BP239" s="279"/>
      <c r="BQ239" s="279"/>
      <c r="BR239" s="279"/>
      <c r="BS239" s="279"/>
      <c r="BT239" s="279"/>
      <c r="BU239" s="279"/>
      <c r="BV239" s="279"/>
      <c r="BW239" s="279"/>
      <c r="BX239" s="279"/>
      <c r="BY239" s="279"/>
      <c r="BZ239" s="279"/>
      <c r="CA239" s="279"/>
      <c r="CB239" s="279"/>
      <c r="CC239" s="279"/>
      <c r="CD239" s="279"/>
      <c r="CE239" s="279"/>
      <c r="CF239" s="279"/>
      <c r="CG239" s="279"/>
      <c r="CH239" s="279"/>
      <c r="CI239" s="279"/>
      <c r="CJ239" s="279"/>
      <c r="CK239" s="279"/>
      <c r="CL239" s="279"/>
      <c r="CM239" s="279"/>
      <c r="CN239" s="382"/>
    </row>
    <row r="240" ht="24" customHeight="true" x14ac:dyDescent="0.25">
      <c r="B240" s="361"/>
      <c r="C240" s="279"/>
      <c r="D240" s="280"/>
      <c r="E240" s="287"/>
      <c r="F240" s="287"/>
      <c r="G240" s="287"/>
      <c r="H240" s="1292">
        <f t="shared" si="11"/>
        <v>41</v>
      </c>
      <c r="I240" s="1190" t="str">
        <f>IF('I. Stream &amp; Compound Data'!AB302&lt;&gt;"",'I. Stream &amp; Compound Data'!AB302,"")</f>
        <v/>
      </c>
      <c r="J240" s="1295" t="str">
        <f t="shared" si="13"/>
        <v/>
      </c>
      <c r="K240" s="1190" t="str">
        <f>IF('I. Stream &amp; Compound Data'!AT302&lt;&gt;"",'I. Stream &amp; Compound Data'!AT302,IF('I. Stream &amp; Compound Data'!AU302&lt;&gt;"",'I. Stream &amp; Compound Data'!AU302,""))</f>
        <v/>
      </c>
      <c r="L240" s="1190" t="str">
        <f>IF('I. Stream &amp; Compound Data'!AR302&lt;&gt;"",'I. Stream &amp; Compound Data'!AR302,IF('I. Stream &amp; Compound Data'!AS302&lt;&gt;"",'I. Stream &amp; Compound Data'!AS302,""))</f>
        <v/>
      </c>
      <c r="M240" s="1306" t="str">
        <f>IF(H240&gt;'I. Stream &amp; Compound Data'!$F$18,"",IF(I240="","N/A",ROUND(IF(I240&lt;=0.1,1,IF(AND(I240&gt;0.1,I240&lt;10000),-0.087*LN(I240)+0.8,0)),3)))</f>
        <v/>
      </c>
      <c r="N240" s="1168" t="str">
        <f>IF(H240&gt;'I. Stream &amp; Compound Data'!$F$18,"",IF(M240="N/A",IF(J240="","N/A",IF(J240="T+",0.7,IF(J240="T",0.5,IF(J240="Xn",0.3,"N/A")))),"N/A"))</f>
        <v/>
      </c>
      <c r="O240" s="1242" t="str">
        <f>IF(H240&gt;'I. Stream &amp; Compound Data'!$F$18,"",IF(AND(M240="N/A",N240="N/A"),IF(K240="","N/A",IF(K240=1,0.8,IF(K240=2,0.7,IF(K240=3,0.5,IF(K240=4,0.3,IF(K240=5,0.1,0)))))),"N/A"))</f>
        <v/>
      </c>
      <c r="P240" s="1307" t="str">
        <f>IF(H240&gt;'I. Stream &amp; Compound Data'!$F$18,"",IF(AND(M240="N/A",N240="N/A",O240="N/A"),IF(L240="","N/A",IF(OR(L240=45,L240=46,L240=47,L240=49,L240=60,L240=61),1,IF(OR(L240=40,L240=62,L240=63,L240=64),0.8,IF(OR(L240=29,L240=32,L240=48),0.7,IF(OR(L240=42,L240=43),0.6,IF(OR(L240=31,L240=33),0.5,0)))))),"N/A"))</f>
        <v/>
      </c>
      <c r="Q240" s="1242" t="str">
        <f>IF(H240&gt;'I. Stream &amp; Compound Data'!$F$18,"",IF(M240&lt;&gt;"N/A",M240,IF(N240&lt;&gt;"N/A",N240,IF(O240&lt;&gt;"N/A",O240,P240))))</f>
        <v/>
      </c>
      <c r="R240" s="1242" t="str">
        <f>IF(H240&gt;'I. Stream &amp; Compound Data'!$F$18,"",IF(Q240="N/A",0,IF(Q240&gt;0,ROUND(10^(5*Q240+2),3),0)))</f>
        <v/>
      </c>
      <c r="S240" s="1242" t="str">
        <f>IF(H240&gt;'I. Stream &amp; Compound Data'!$F$18,"",MAX(K182:L182))</f>
        <v/>
      </c>
      <c r="T240" s="1268" t="str">
        <f>IF(H240&gt;'I. Stream &amp; Compound Data'!$F$18,"",ROUND(R240*S240,3))</f>
        <v/>
      </c>
      <c r="U240" s="299"/>
      <c r="V240" s="279"/>
      <c r="W240" s="279"/>
      <c r="X240" s="279"/>
      <c r="Y240" s="279"/>
      <c r="Z240" s="279"/>
      <c r="AA240" s="279"/>
      <c r="AB240" s="279"/>
      <c r="AC240" s="279"/>
      <c r="AD240" s="279"/>
      <c r="AE240" s="279"/>
      <c r="AF240" s="279"/>
      <c r="AG240" s="279"/>
      <c r="AH240" s="279"/>
      <c r="AI240" s="279"/>
      <c r="AJ240" s="279"/>
      <c r="AK240" s="279"/>
      <c r="AL240" s="279"/>
      <c r="AM240" s="279"/>
      <c r="AN240" s="279"/>
      <c r="AO240" s="279"/>
      <c r="AP240" s="279"/>
      <c r="AQ240" s="279"/>
      <c r="AR240" s="279"/>
      <c r="AS240" s="279"/>
      <c r="AT240" s="279"/>
      <c r="AU240" s="279"/>
      <c r="AV240" s="279"/>
      <c r="AW240" s="279"/>
      <c r="AX240" s="279"/>
      <c r="AY240" s="279"/>
      <c r="AZ240" s="279"/>
      <c r="BA240" s="279"/>
      <c r="BB240" s="279"/>
      <c r="BC240" s="279"/>
      <c r="BD240" s="279"/>
      <c r="BE240" s="279"/>
      <c r="BF240" s="279"/>
      <c r="BG240" s="279"/>
      <c r="BH240" s="279"/>
      <c r="BI240" s="279"/>
      <c r="BJ240" s="279"/>
      <c r="BK240" s="279"/>
      <c r="BL240" s="279"/>
      <c r="BM240" s="279"/>
      <c r="BN240" s="279"/>
      <c r="BO240" s="279"/>
      <c r="BP240" s="279"/>
      <c r="BQ240" s="279"/>
      <c r="BR240" s="279"/>
      <c r="BS240" s="279"/>
      <c r="BT240" s="279"/>
      <c r="BU240" s="279"/>
      <c r="BV240" s="279"/>
      <c r="BW240" s="279"/>
      <c r="BX240" s="279"/>
      <c r="BY240" s="279"/>
      <c r="BZ240" s="279"/>
      <c r="CA240" s="279"/>
      <c r="CB240" s="279"/>
      <c r="CC240" s="279"/>
      <c r="CD240" s="279"/>
      <c r="CE240" s="279"/>
      <c r="CF240" s="279"/>
      <c r="CG240" s="279"/>
      <c r="CH240" s="279"/>
      <c r="CI240" s="279"/>
      <c r="CJ240" s="279"/>
      <c r="CK240" s="279"/>
      <c r="CL240" s="279"/>
      <c r="CM240" s="279"/>
      <c r="CN240" s="382"/>
    </row>
    <row r="241" ht="24" customHeight="true" x14ac:dyDescent="0.25">
      <c r="B241" s="361"/>
      <c r="C241" s="279"/>
      <c r="D241" s="280"/>
      <c r="E241" s="287"/>
      <c r="F241" s="287"/>
      <c r="G241" s="287"/>
      <c r="H241" s="1292">
        <f t="shared" si="11"/>
        <v>42</v>
      </c>
      <c r="I241" s="1190" t="str">
        <f>IF('I. Stream &amp; Compound Data'!AB303&lt;&gt;"",'I. Stream &amp; Compound Data'!AB303,"")</f>
        <v/>
      </c>
      <c r="J241" s="1295" t="str">
        <f t="shared" si="13"/>
        <v/>
      </c>
      <c r="K241" s="1190" t="str">
        <f>IF('I. Stream &amp; Compound Data'!AT303&lt;&gt;"",'I. Stream &amp; Compound Data'!AT303,IF('I. Stream &amp; Compound Data'!AU303&lt;&gt;"",'I. Stream &amp; Compound Data'!AU303,""))</f>
        <v/>
      </c>
      <c r="L241" s="1190" t="str">
        <f>IF('I. Stream &amp; Compound Data'!AR303&lt;&gt;"",'I. Stream &amp; Compound Data'!AR303,IF('I. Stream &amp; Compound Data'!AS303&lt;&gt;"",'I. Stream &amp; Compound Data'!AS303,""))</f>
        <v/>
      </c>
      <c r="M241" s="1306" t="str">
        <f>IF(H241&gt;'I. Stream &amp; Compound Data'!$F$18,"",IF(I241="","N/A",ROUND(IF(I241&lt;=0.1,1,IF(AND(I241&gt;0.1,I241&lt;10000),-0.087*LN(I241)+0.8,0)),3)))</f>
        <v/>
      </c>
      <c r="N241" s="1168" t="str">
        <f>IF(H241&gt;'I. Stream &amp; Compound Data'!$F$18,"",IF(M241="N/A",IF(J241="","N/A",IF(J241="T+",0.7,IF(J241="T",0.5,IF(J241="Xn",0.3,"N/A")))),"N/A"))</f>
        <v/>
      </c>
      <c r="O241" s="1242" t="str">
        <f>IF(H241&gt;'I. Stream &amp; Compound Data'!$F$18,"",IF(AND(M241="N/A",N241="N/A"),IF(K241="","N/A",IF(K241=1,0.8,IF(K241=2,0.7,IF(K241=3,0.5,IF(K241=4,0.3,IF(K241=5,0.1,0)))))),"N/A"))</f>
        <v/>
      </c>
      <c r="P241" s="1307" t="str">
        <f>IF(H241&gt;'I. Stream &amp; Compound Data'!$F$18,"",IF(AND(M241="N/A",N241="N/A",O241="N/A"),IF(L241="","N/A",IF(OR(L241=45,L241=46,L241=47,L241=49,L241=60,L241=61),1,IF(OR(L241=40,L241=62,L241=63,L241=64),0.8,IF(OR(L241=29,L241=32,L241=48),0.7,IF(OR(L241=42,L241=43),0.6,IF(OR(L241=31,L241=33),0.5,0)))))),"N/A"))</f>
        <v/>
      </c>
      <c r="Q241" s="1242" t="str">
        <f>IF(H241&gt;'I. Stream &amp; Compound Data'!$F$18,"",IF(M241&lt;&gt;"N/A",M241,IF(N241&lt;&gt;"N/A",N241,IF(O241&lt;&gt;"N/A",O241,P241))))</f>
        <v/>
      </c>
      <c r="R241" s="1242" t="str">
        <f>IF(H241&gt;'I. Stream &amp; Compound Data'!$F$18,"",IF(Q241="N/A",0,IF(Q241&gt;0,ROUND(10^(5*Q241+2),3),0)))</f>
        <v/>
      </c>
      <c r="S241" s="1242" t="str">
        <f>IF(H241&gt;'I. Stream &amp; Compound Data'!$F$18,"",MAX(K183:L183))</f>
        <v/>
      </c>
      <c r="T241" s="1268" t="str">
        <f>IF(H241&gt;'I. Stream &amp; Compound Data'!$F$18,"",ROUND(R241*S241,3))</f>
        <v/>
      </c>
      <c r="U241" s="299"/>
      <c r="V241" s="279"/>
      <c r="W241" s="279"/>
      <c r="X241" s="279"/>
      <c r="Y241" s="279"/>
      <c r="Z241" s="279"/>
      <c r="AA241" s="279"/>
      <c r="AB241" s="279"/>
      <c r="AC241" s="279"/>
      <c r="AD241" s="279"/>
      <c r="AE241" s="279"/>
      <c r="AF241" s="279"/>
      <c r="AG241" s="279"/>
      <c r="AH241" s="279"/>
      <c r="AI241" s="279"/>
      <c r="AJ241" s="279"/>
      <c r="AK241" s="279"/>
      <c r="AL241" s="279"/>
      <c r="AM241" s="279"/>
      <c r="AN241" s="279"/>
      <c r="AO241" s="279"/>
      <c r="AP241" s="279"/>
      <c r="AQ241" s="279"/>
      <c r="AR241" s="279"/>
      <c r="AS241" s="279"/>
      <c r="AT241" s="279"/>
      <c r="AU241" s="279"/>
      <c r="AV241" s="279"/>
      <c r="AW241" s="279"/>
      <c r="AX241" s="279"/>
      <c r="AY241" s="279"/>
      <c r="AZ241" s="279"/>
      <c r="BA241" s="279"/>
      <c r="BB241" s="279"/>
      <c r="BC241" s="279"/>
      <c r="BD241" s="279"/>
      <c r="BE241" s="279"/>
      <c r="BF241" s="279"/>
      <c r="BG241" s="279"/>
      <c r="BH241" s="279"/>
      <c r="BI241" s="279"/>
      <c r="BJ241" s="279"/>
      <c r="BK241" s="279"/>
      <c r="BL241" s="279"/>
      <c r="BM241" s="279"/>
      <c r="BN241" s="279"/>
      <c r="BO241" s="279"/>
      <c r="BP241" s="279"/>
      <c r="BQ241" s="279"/>
      <c r="BR241" s="279"/>
      <c r="BS241" s="279"/>
      <c r="BT241" s="279"/>
      <c r="BU241" s="279"/>
      <c r="BV241" s="279"/>
      <c r="BW241" s="279"/>
      <c r="BX241" s="279"/>
      <c r="BY241" s="279"/>
      <c r="BZ241" s="279"/>
      <c r="CA241" s="279"/>
      <c r="CB241" s="279"/>
      <c r="CC241" s="279"/>
      <c r="CD241" s="279"/>
      <c r="CE241" s="279"/>
      <c r="CF241" s="279"/>
      <c r="CG241" s="279"/>
      <c r="CH241" s="279"/>
      <c r="CI241" s="279"/>
      <c r="CJ241" s="279"/>
      <c r="CK241" s="279"/>
      <c r="CL241" s="279"/>
      <c r="CM241" s="279"/>
      <c r="CN241" s="382"/>
    </row>
    <row r="242" ht="24" customHeight="true" x14ac:dyDescent="0.25">
      <c r="B242" s="361"/>
      <c r="C242" s="279"/>
      <c r="D242" s="280"/>
      <c r="E242" s="287"/>
      <c r="F242" s="287"/>
      <c r="G242" s="287"/>
      <c r="H242" s="1292">
        <f t="shared" si="11"/>
        <v>43</v>
      </c>
      <c r="I242" s="1190" t="str">
        <f>IF('I. Stream &amp; Compound Data'!AB304&lt;&gt;"",'I. Stream &amp; Compound Data'!AB304,"")</f>
        <v/>
      </c>
      <c r="J242" s="1295" t="str">
        <f t="shared" si="13"/>
        <v/>
      </c>
      <c r="K242" s="1190" t="str">
        <f>IF('I. Stream &amp; Compound Data'!AT304&lt;&gt;"",'I. Stream &amp; Compound Data'!AT304,IF('I. Stream &amp; Compound Data'!AU304&lt;&gt;"",'I. Stream &amp; Compound Data'!AU304,""))</f>
        <v/>
      </c>
      <c r="L242" s="1190" t="str">
        <f>IF('I. Stream &amp; Compound Data'!AR304&lt;&gt;"",'I. Stream &amp; Compound Data'!AR304,IF('I. Stream &amp; Compound Data'!AS304&lt;&gt;"",'I. Stream &amp; Compound Data'!AS304,""))</f>
        <v/>
      </c>
      <c r="M242" s="1306" t="str">
        <f>IF(H242&gt;'I. Stream &amp; Compound Data'!$F$18,"",IF(I242="","N/A",ROUND(IF(I242&lt;=0.1,1,IF(AND(I242&gt;0.1,I242&lt;10000),-0.087*LN(I242)+0.8,0)),3)))</f>
        <v/>
      </c>
      <c r="N242" s="1168" t="str">
        <f>IF(H242&gt;'I. Stream &amp; Compound Data'!$F$18,"",IF(M242="N/A",IF(J242="","N/A",IF(J242="T+",0.7,IF(J242="T",0.5,IF(J242="Xn",0.3,"N/A")))),"N/A"))</f>
        <v/>
      </c>
      <c r="O242" s="1242" t="str">
        <f>IF(H242&gt;'I. Stream &amp; Compound Data'!$F$18,"",IF(AND(M242="N/A",N242="N/A"),IF(K242="","N/A",IF(K242=1,0.8,IF(K242=2,0.7,IF(K242=3,0.5,IF(K242=4,0.3,IF(K242=5,0.1,0)))))),"N/A"))</f>
        <v/>
      </c>
      <c r="P242" s="1307" t="str">
        <f>IF(H242&gt;'I. Stream &amp; Compound Data'!$F$18,"",IF(AND(M242="N/A",N242="N/A",O242="N/A"),IF(L242="","N/A",IF(OR(L242=45,L242=46,L242=47,L242=49,L242=60,L242=61),1,IF(OR(L242=40,L242=62,L242=63,L242=64),0.8,IF(OR(L242=29,L242=32,L242=48),0.7,IF(OR(L242=42,L242=43),0.6,IF(OR(L242=31,L242=33),0.5,0)))))),"N/A"))</f>
        <v/>
      </c>
      <c r="Q242" s="1242" t="str">
        <f>IF(H242&gt;'I. Stream &amp; Compound Data'!$F$18,"",IF(M242&lt;&gt;"N/A",M242,IF(N242&lt;&gt;"N/A",N242,IF(O242&lt;&gt;"N/A",O242,P242))))</f>
        <v/>
      </c>
      <c r="R242" s="1242" t="str">
        <f>IF(H242&gt;'I. Stream &amp; Compound Data'!$F$18,"",IF(Q242="N/A",0,IF(Q242&gt;0,ROUND(10^(5*Q242+2),3),0)))</f>
        <v/>
      </c>
      <c r="S242" s="1242" t="str">
        <f>IF(H242&gt;'I. Stream &amp; Compound Data'!$F$18,"",MAX(K184:L184))</f>
        <v/>
      </c>
      <c r="T242" s="1268" t="str">
        <f>IF(H242&gt;'I. Stream &amp; Compound Data'!$F$18,"",ROUND(R242*S242,3))</f>
        <v/>
      </c>
      <c r="U242" s="299"/>
      <c r="V242" s="279"/>
      <c r="W242" s="279"/>
      <c r="X242" s="279"/>
      <c r="Y242" s="279"/>
      <c r="Z242" s="279"/>
      <c r="AA242" s="279"/>
      <c r="AB242" s="279"/>
      <c r="AC242" s="279"/>
      <c r="AD242" s="279"/>
      <c r="AE242" s="279"/>
      <c r="AF242" s="279"/>
      <c r="AG242" s="279"/>
      <c r="AH242" s="279"/>
      <c r="AI242" s="279"/>
      <c r="AJ242" s="279"/>
      <c r="AK242" s="279"/>
      <c r="AL242" s="279"/>
      <c r="AM242" s="279"/>
      <c r="AN242" s="279"/>
      <c r="AO242" s="279"/>
      <c r="AP242" s="279"/>
      <c r="AQ242" s="279"/>
      <c r="AR242" s="279"/>
      <c r="AS242" s="279"/>
      <c r="AT242" s="279"/>
      <c r="AU242" s="279"/>
      <c r="AV242" s="279"/>
      <c r="AW242" s="279"/>
      <c r="AX242" s="279"/>
      <c r="AY242" s="279"/>
      <c r="AZ242" s="279"/>
      <c r="BA242" s="279"/>
      <c r="BB242" s="279"/>
      <c r="BC242" s="279"/>
      <c r="BD242" s="279"/>
      <c r="BE242" s="279"/>
      <c r="BF242" s="279"/>
      <c r="BG242" s="279"/>
      <c r="BH242" s="279"/>
      <c r="BI242" s="279"/>
      <c r="BJ242" s="279"/>
      <c r="BK242" s="279"/>
      <c r="BL242" s="279"/>
      <c r="BM242" s="279"/>
      <c r="BN242" s="279"/>
      <c r="BO242" s="279"/>
      <c r="BP242" s="279"/>
      <c r="BQ242" s="279"/>
      <c r="BR242" s="279"/>
      <c r="BS242" s="279"/>
      <c r="BT242" s="279"/>
      <c r="BU242" s="279"/>
      <c r="BV242" s="279"/>
      <c r="BW242" s="279"/>
      <c r="BX242" s="279"/>
      <c r="BY242" s="279"/>
      <c r="BZ242" s="279"/>
      <c r="CA242" s="279"/>
      <c r="CB242" s="279"/>
      <c r="CC242" s="279"/>
      <c r="CD242" s="279"/>
      <c r="CE242" s="279"/>
      <c r="CF242" s="279"/>
      <c r="CG242" s="279"/>
      <c r="CH242" s="279"/>
      <c r="CI242" s="279"/>
      <c r="CJ242" s="279"/>
      <c r="CK242" s="279"/>
      <c r="CL242" s="279"/>
      <c r="CM242" s="279"/>
      <c r="CN242" s="382"/>
    </row>
    <row r="243" ht="24" customHeight="true" x14ac:dyDescent="0.25">
      <c r="B243" s="361"/>
      <c r="C243" s="279"/>
      <c r="D243" s="280"/>
      <c r="E243" s="287"/>
      <c r="F243" s="287"/>
      <c r="G243" s="287"/>
      <c r="H243" s="1292">
        <f t="shared" si="11"/>
        <v>44</v>
      </c>
      <c r="I243" s="1190" t="str">
        <f>IF('I. Stream &amp; Compound Data'!AB305&lt;&gt;"",'I. Stream &amp; Compound Data'!AB305,"")</f>
        <v/>
      </c>
      <c r="J243" s="1295" t="str">
        <f t="shared" si="13"/>
        <v/>
      </c>
      <c r="K243" s="1190" t="str">
        <f>IF('I. Stream &amp; Compound Data'!AT305&lt;&gt;"",'I. Stream &amp; Compound Data'!AT305,IF('I. Stream &amp; Compound Data'!AU305&lt;&gt;"",'I. Stream &amp; Compound Data'!AU305,""))</f>
        <v/>
      </c>
      <c r="L243" s="1190" t="str">
        <f>IF('I. Stream &amp; Compound Data'!AR305&lt;&gt;"",'I. Stream &amp; Compound Data'!AR305,IF('I. Stream &amp; Compound Data'!AS305&lt;&gt;"",'I. Stream &amp; Compound Data'!AS305,""))</f>
        <v/>
      </c>
      <c r="M243" s="1306" t="str">
        <f>IF(H243&gt;'I. Stream &amp; Compound Data'!$F$18,"",IF(I243="","N/A",ROUND(IF(I243&lt;=0.1,1,IF(AND(I243&gt;0.1,I243&lt;10000),-0.087*LN(I243)+0.8,0)),3)))</f>
        <v/>
      </c>
      <c r="N243" s="1168" t="str">
        <f>IF(H243&gt;'I. Stream &amp; Compound Data'!$F$18,"",IF(M243="N/A",IF(J243="","N/A",IF(J243="T+",0.7,IF(J243="T",0.5,IF(J243="Xn",0.3,"N/A")))),"N/A"))</f>
        <v/>
      </c>
      <c r="O243" s="1242" t="str">
        <f>IF(H243&gt;'I. Stream &amp; Compound Data'!$F$18,"",IF(AND(M243="N/A",N243="N/A"),IF(K243="","N/A",IF(K243=1,0.8,IF(K243=2,0.7,IF(K243=3,0.5,IF(K243=4,0.3,IF(K243=5,0.1,0)))))),"N/A"))</f>
        <v/>
      </c>
      <c r="P243" s="1307" t="str">
        <f>IF(H243&gt;'I. Stream &amp; Compound Data'!$F$18,"",IF(AND(M243="N/A",N243="N/A",O243="N/A"),IF(L243="","N/A",IF(OR(L243=45,L243=46,L243=47,L243=49,L243=60,L243=61),1,IF(OR(L243=40,L243=62,L243=63,L243=64),0.8,IF(OR(L243=29,L243=32,L243=48),0.7,IF(OR(L243=42,L243=43),0.6,IF(OR(L243=31,L243=33),0.5,0)))))),"N/A"))</f>
        <v/>
      </c>
      <c r="Q243" s="1242" t="str">
        <f>IF(H243&gt;'I. Stream &amp; Compound Data'!$F$18,"",IF(M243&lt;&gt;"N/A",M243,IF(N243&lt;&gt;"N/A",N243,IF(O243&lt;&gt;"N/A",O243,P243))))</f>
        <v/>
      </c>
      <c r="R243" s="1242" t="str">
        <f>IF(H243&gt;'I. Stream &amp; Compound Data'!$F$18,"",IF(Q243="N/A",0,IF(Q243&gt;0,ROUND(10^(5*Q243+2),3),0)))</f>
        <v/>
      </c>
      <c r="S243" s="1242" t="str">
        <f>IF(H243&gt;'I. Stream &amp; Compound Data'!$F$18,"",MAX(K185:L185))</f>
        <v/>
      </c>
      <c r="T243" s="1268" t="str">
        <f>IF(H243&gt;'I. Stream &amp; Compound Data'!$F$18,"",ROUND(R243*S243,3))</f>
        <v/>
      </c>
      <c r="U243" s="299"/>
      <c r="V243" s="279"/>
      <c r="W243" s="279"/>
      <c r="X243" s="279"/>
      <c r="Y243" s="279"/>
      <c r="Z243" s="279"/>
      <c r="AA243" s="279"/>
      <c r="AB243" s="279"/>
      <c r="AC243" s="279"/>
      <c r="AD243" s="279"/>
      <c r="AE243" s="279"/>
      <c r="AF243" s="279"/>
      <c r="AG243" s="279"/>
      <c r="AH243" s="279"/>
      <c r="AI243" s="279"/>
      <c r="AJ243" s="279"/>
      <c r="AK243" s="279"/>
      <c r="AL243" s="279"/>
      <c r="AM243" s="279"/>
      <c r="AN243" s="279"/>
      <c r="AO243" s="279"/>
      <c r="AP243" s="279"/>
      <c r="AQ243" s="279"/>
      <c r="AR243" s="279"/>
      <c r="AS243" s="279"/>
      <c r="AT243" s="279"/>
      <c r="AU243" s="279"/>
      <c r="AV243" s="279"/>
      <c r="AW243" s="279"/>
      <c r="AX243" s="279"/>
      <c r="AY243" s="279"/>
      <c r="AZ243" s="279"/>
      <c r="BA243" s="279"/>
      <c r="BB243" s="279"/>
      <c r="BC243" s="279"/>
      <c r="BD243" s="279"/>
      <c r="BE243" s="279"/>
      <c r="BF243" s="279"/>
      <c r="BG243" s="279"/>
      <c r="BH243" s="279"/>
      <c r="BI243" s="279"/>
      <c r="BJ243" s="279"/>
      <c r="BK243" s="279"/>
      <c r="BL243" s="279"/>
      <c r="BM243" s="279"/>
      <c r="BN243" s="279"/>
      <c r="BO243" s="279"/>
      <c r="BP243" s="279"/>
      <c r="BQ243" s="279"/>
      <c r="BR243" s="279"/>
      <c r="BS243" s="279"/>
      <c r="BT243" s="279"/>
      <c r="BU243" s="279"/>
      <c r="BV243" s="279"/>
      <c r="BW243" s="279"/>
      <c r="BX243" s="279"/>
      <c r="BY243" s="279"/>
      <c r="BZ243" s="279"/>
      <c r="CA243" s="279"/>
      <c r="CB243" s="279"/>
      <c r="CC243" s="279"/>
      <c r="CD243" s="279"/>
      <c r="CE243" s="279"/>
      <c r="CF243" s="279"/>
      <c r="CG243" s="279"/>
      <c r="CH243" s="279"/>
      <c r="CI243" s="279"/>
      <c r="CJ243" s="279"/>
      <c r="CK243" s="279"/>
      <c r="CL243" s="279"/>
      <c r="CM243" s="279"/>
      <c r="CN243" s="382"/>
    </row>
    <row r="244" ht="24" customHeight="true" x14ac:dyDescent="0.25">
      <c r="B244" s="361"/>
      <c r="C244" s="279"/>
      <c r="D244" s="280"/>
      <c r="E244" s="287"/>
      <c r="F244" s="287"/>
      <c r="G244" s="287"/>
      <c r="H244" s="1292">
        <f t="shared" si="11"/>
        <v>45</v>
      </c>
      <c r="I244" s="1190" t="str">
        <f>IF('I. Stream &amp; Compound Data'!AB306&lt;&gt;"",'I. Stream &amp; Compound Data'!AB306,"")</f>
        <v/>
      </c>
      <c r="J244" s="1295" t="str">
        <f t="shared" si="13"/>
        <v/>
      </c>
      <c r="K244" s="1190" t="str">
        <f>IF('I. Stream &amp; Compound Data'!AT306&lt;&gt;"",'I. Stream &amp; Compound Data'!AT306,IF('I. Stream &amp; Compound Data'!AU306&lt;&gt;"",'I. Stream &amp; Compound Data'!AU306,""))</f>
        <v/>
      </c>
      <c r="L244" s="1190" t="str">
        <f>IF('I. Stream &amp; Compound Data'!AR306&lt;&gt;"",'I. Stream &amp; Compound Data'!AR306,IF('I. Stream &amp; Compound Data'!AS306&lt;&gt;"",'I. Stream &amp; Compound Data'!AS306,""))</f>
        <v/>
      </c>
      <c r="M244" s="1306" t="str">
        <f>IF(H244&gt;'I. Stream &amp; Compound Data'!$F$18,"",IF(I244="","N/A",ROUND(IF(I244&lt;=0.1,1,IF(AND(I244&gt;0.1,I244&lt;10000),-0.087*LN(I244)+0.8,0)),3)))</f>
        <v/>
      </c>
      <c r="N244" s="1168" t="str">
        <f>IF(H244&gt;'I. Stream &amp; Compound Data'!$F$18,"",IF(M244="N/A",IF(J244="","N/A",IF(J244="T+",0.7,IF(J244="T",0.5,IF(J244="Xn",0.3,"N/A")))),"N/A"))</f>
        <v/>
      </c>
      <c r="O244" s="1242" t="str">
        <f>IF(H244&gt;'I. Stream &amp; Compound Data'!$F$18,"",IF(AND(M244="N/A",N244="N/A"),IF(K244="","N/A",IF(K244=1,0.8,IF(K244=2,0.7,IF(K244=3,0.5,IF(K244=4,0.3,IF(K244=5,0.1,0)))))),"N/A"))</f>
        <v/>
      </c>
      <c r="P244" s="1307" t="str">
        <f>IF(H244&gt;'I. Stream &amp; Compound Data'!$F$18,"",IF(AND(M244="N/A",N244="N/A",O244="N/A"),IF(L244="","N/A",IF(OR(L244=45,L244=46,L244=47,L244=49,L244=60,L244=61),1,IF(OR(L244=40,L244=62,L244=63,L244=64),0.8,IF(OR(L244=29,L244=32,L244=48),0.7,IF(OR(L244=42,L244=43),0.6,IF(OR(L244=31,L244=33),0.5,0)))))),"N/A"))</f>
        <v/>
      </c>
      <c r="Q244" s="1242" t="str">
        <f>IF(H244&gt;'I. Stream &amp; Compound Data'!$F$18,"",IF(M244&lt;&gt;"N/A",M244,IF(N244&lt;&gt;"N/A",N244,IF(O244&lt;&gt;"N/A",O244,P244))))</f>
        <v/>
      </c>
      <c r="R244" s="1242" t="str">
        <f>IF(H244&gt;'I. Stream &amp; Compound Data'!$F$18,"",IF(Q244="N/A",0,IF(Q244&gt;0,ROUND(10^(5*Q244+2),3),0)))</f>
        <v/>
      </c>
      <c r="S244" s="1242" t="str">
        <f>IF(H244&gt;'I. Stream &amp; Compound Data'!$F$18,"",MAX(K186:L186))</f>
        <v/>
      </c>
      <c r="T244" s="1268" t="str">
        <f>IF(H244&gt;'I. Stream &amp; Compound Data'!$F$18,"",ROUND(R244*S244,3))</f>
        <v/>
      </c>
      <c r="U244" s="299"/>
      <c r="V244" s="279"/>
      <c r="W244" s="279"/>
      <c r="X244" s="279"/>
      <c r="Y244" s="279"/>
      <c r="Z244" s="279"/>
      <c r="AA244" s="279"/>
      <c r="AB244" s="279"/>
      <c r="AC244" s="279"/>
      <c r="AD244" s="279"/>
      <c r="AE244" s="279"/>
      <c r="AF244" s="279"/>
      <c r="AG244" s="279"/>
      <c r="AH244" s="279"/>
      <c r="AI244" s="279"/>
      <c r="AJ244" s="279"/>
      <c r="AK244" s="279"/>
      <c r="AL244" s="279"/>
      <c r="AM244" s="279"/>
      <c r="AN244" s="279"/>
      <c r="AO244" s="279"/>
      <c r="AP244" s="279"/>
      <c r="AQ244" s="279"/>
      <c r="AR244" s="279"/>
      <c r="AS244" s="279"/>
      <c r="AT244" s="279"/>
      <c r="AU244" s="279"/>
      <c r="AV244" s="279"/>
      <c r="AW244" s="279"/>
      <c r="AX244" s="279"/>
      <c r="AY244" s="279"/>
      <c r="AZ244" s="279"/>
      <c r="BA244" s="279"/>
      <c r="BB244" s="279"/>
      <c r="BC244" s="279"/>
      <c r="BD244" s="279"/>
      <c r="BE244" s="279"/>
      <c r="BF244" s="279"/>
      <c r="BG244" s="279"/>
      <c r="BH244" s="279"/>
      <c r="BI244" s="279"/>
      <c r="BJ244" s="279"/>
      <c r="BK244" s="279"/>
      <c r="BL244" s="279"/>
      <c r="BM244" s="279"/>
      <c r="BN244" s="279"/>
      <c r="BO244" s="279"/>
      <c r="BP244" s="279"/>
      <c r="BQ244" s="279"/>
      <c r="BR244" s="279"/>
      <c r="BS244" s="279"/>
      <c r="BT244" s="279"/>
      <c r="BU244" s="279"/>
      <c r="BV244" s="279"/>
      <c r="BW244" s="279"/>
      <c r="BX244" s="279"/>
      <c r="BY244" s="279"/>
      <c r="BZ244" s="279"/>
      <c r="CA244" s="279"/>
      <c r="CB244" s="279"/>
      <c r="CC244" s="279"/>
      <c r="CD244" s="279"/>
      <c r="CE244" s="279"/>
      <c r="CF244" s="279"/>
      <c r="CG244" s="279"/>
      <c r="CH244" s="279"/>
      <c r="CI244" s="279"/>
      <c r="CJ244" s="279"/>
      <c r="CK244" s="279"/>
      <c r="CL244" s="279"/>
      <c r="CM244" s="279"/>
      <c r="CN244" s="382"/>
    </row>
    <row r="245" ht="24" customHeight="true" x14ac:dyDescent="0.25">
      <c r="B245" s="361"/>
      <c r="C245" s="279"/>
      <c r="D245" s="280"/>
      <c r="E245" s="287"/>
      <c r="F245" s="287"/>
      <c r="G245" s="287"/>
      <c r="H245" s="1292">
        <f t="shared" si="11"/>
        <v>46</v>
      </c>
      <c r="I245" s="1190" t="str">
        <f>IF('I. Stream &amp; Compound Data'!AB307&lt;&gt;"",'I. Stream &amp; Compound Data'!AB307,"")</f>
        <v/>
      </c>
      <c r="J245" s="1295" t="str">
        <f t="shared" si="13"/>
        <v/>
      </c>
      <c r="K245" s="1190" t="str">
        <f>IF('I. Stream &amp; Compound Data'!AT307&lt;&gt;"",'I. Stream &amp; Compound Data'!AT307,IF('I. Stream &amp; Compound Data'!AU307&lt;&gt;"",'I. Stream &amp; Compound Data'!AU307,""))</f>
        <v/>
      </c>
      <c r="L245" s="1190" t="str">
        <f>IF('I. Stream &amp; Compound Data'!AR307&lt;&gt;"",'I. Stream &amp; Compound Data'!AR307,IF('I. Stream &amp; Compound Data'!AS307&lt;&gt;"",'I. Stream &amp; Compound Data'!AS307,""))</f>
        <v/>
      </c>
      <c r="M245" s="1306" t="str">
        <f>IF(H245&gt;'I. Stream &amp; Compound Data'!$F$18,"",IF(I245="","N/A",ROUND(IF(I245&lt;=0.1,1,IF(AND(I245&gt;0.1,I245&lt;10000),-0.087*LN(I245)+0.8,0)),3)))</f>
        <v/>
      </c>
      <c r="N245" s="1168" t="str">
        <f>IF(H245&gt;'I. Stream &amp; Compound Data'!$F$18,"",IF(M245="N/A",IF(J245="","N/A",IF(J245="T+",0.7,IF(J245="T",0.5,IF(J245="Xn",0.3,"N/A")))),"N/A"))</f>
        <v/>
      </c>
      <c r="O245" s="1242" t="str">
        <f>IF(H245&gt;'I. Stream &amp; Compound Data'!$F$18,"",IF(AND(M245="N/A",N245="N/A"),IF(K245="","N/A",IF(K245=1,0.8,IF(K245=2,0.7,IF(K245=3,0.5,IF(K245=4,0.3,IF(K245=5,0.1,0)))))),"N/A"))</f>
        <v/>
      </c>
      <c r="P245" s="1307" t="str">
        <f>IF(H245&gt;'I. Stream &amp; Compound Data'!$F$18,"",IF(AND(M245="N/A",N245="N/A",O245="N/A"),IF(L245="","N/A",IF(OR(L245=45,L245=46,L245=47,L245=49,L245=60,L245=61),1,IF(OR(L245=40,L245=62,L245=63,L245=64),0.8,IF(OR(L245=29,L245=32,L245=48),0.7,IF(OR(L245=42,L245=43),0.6,IF(OR(L245=31,L245=33),0.5,0)))))),"N/A"))</f>
        <v/>
      </c>
      <c r="Q245" s="1242" t="str">
        <f>IF(H245&gt;'I. Stream &amp; Compound Data'!$F$18,"",IF(M245&lt;&gt;"N/A",M245,IF(N245&lt;&gt;"N/A",N245,IF(O245&lt;&gt;"N/A",O245,P245))))</f>
        <v/>
      </c>
      <c r="R245" s="1242" t="str">
        <f>IF(H245&gt;'I. Stream &amp; Compound Data'!$F$18,"",IF(Q245="N/A",0,IF(Q245&gt;0,ROUND(10^(5*Q245+2),3),0)))</f>
        <v/>
      </c>
      <c r="S245" s="1242" t="str">
        <f>IF(H245&gt;'I. Stream &amp; Compound Data'!$F$18,"",MAX(K187:L187))</f>
        <v/>
      </c>
      <c r="T245" s="1268" t="str">
        <f>IF(H245&gt;'I. Stream &amp; Compound Data'!$F$18,"",ROUND(R245*S245,3))</f>
        <v/>
      </c>
      <c r="U245" s="299"/>
      <c r="V245" s="279"/>
      <c r="W245" s="279"/>
      <c r="X245" s="279"/>
      <c r="Y245" s="279"/>
      <c r="Z245" s="279"/>
      <c r="AA245" s="279"/>
      <c r="AB245" s="279"/>
      <c r="AC245" s="279"/>
      <c r="AD245" s="279"/>
      <c r="AE245" s="279"/>
      <c r="AF245" s="279"/>
      <c r="AG245" s="279"/>
      <c r="AH245" s="279"/>
      <c r="AI245" s="279"/>
      <c r="AJ245" s="279"/>
      <c r="AK245" s="279"/>
      <c r="AL245" s="279"/>
      <c r="AM245" s="279"/>
      <c r="AN245" s="279"/>
      <c r="AO245" s="279"/>
      <c r="AP245" s="279"/>
      <c r="AQ245" s="279"/>
      <c r="AR245" s="279"/>
      <c r="AS245" s="279"/>
      <c r="AT245" s="279"/>
      <c r="AU245" s="279"/>
      <c r="AV245" s="279"/>
      <c r="AW245" s="279"/>
      <c r="AX245" s="279"/>
      <c r="AY245" s="279"/>
      <c r="AZ245" s="279"/>
      <c r="BA245" s="279"/>
      <c r="BB245" s="279"/>
      <c r="BC245" s="279"/>
      <c r="BD245" s="279"/>
      <c r="BE245" s="279"/>
      <c r="BF245" s="279"/>
      <c r="BG245" s="279"/>
      <c r="BH245" s="279"/>
      <c r="BI245" s="279"/>
      <c r="BJ245" s="279"/>
      <c r="BK245" s="279"/>
      <c r="BL245" s="279"/>
      <c r="BM245" s="279"/>
      <c r="BN245" s="279"/>
      <c r="BO245" s="279"/>
      <c r="BP245" s="279"/>
      <c r="BQ245" s="279"/>
      <c r="BR245" s="279"/>
      <c r="BS245" s="279"/>
      <c r="BT245" s="279"/>
      <c r="BU245" s="279"/>
      <c r="BV245" s="279"/>
      <c r="BW245" s="279"/>
      <c r="BX245" s="279"/>
      <c r="BY245" s="279"/>
      <c r="BZ245" s="279"/>
      <c r="CA245" s="279"/>
      <c r="CB245" s="279"/>
      <c r="CC245" s="279"/>
      <c r="CD245" s="279"/>
      <c r="CE245" s="279"/>
      <c r="CF245" s="279"/>
      <c r="CG245" s="279"/>
      <c r="CH245" s="279"/>
      <c r="CI245" s="279"/>
      <c r="CJ245" s="279"/>
      <c r="CK245" s="279"/>
      <c r="CL245" s="279"/>
      <c r="CM245" s="279"/>
      <c r="CN245" s="382"/>
    </row>
    <row r="246" ht="24" customHeight="true" x14ac:dyDescent="0.25">
      <c r="B246" s="361"/>
      <c r="C246" s="279"/>
      <c r="D246" s="280"/>
      <c r="E246" s="287"/>
      <c r="F246" s="287"/>
      <c r="G246" s="287"/>
      <c r="H246" s="1292">
        <f t="shared" si="11"/>
        <v>47</v>
      </c>
      <c r="I246" s="1190" t="str">
        <f>IF('I. Stream &amp; Compound Data'!AB308&lt;&gt;"",'I. Stream &amp; Compound Data'!AB308,"")</f>
        <v/>
      </c>
      <c r="J246" s="1295" t="str">
        <f t="shared" si="13"/>
        <v/>
      </c>
      <c r="K246" s="1190" t="str">
        <f>IF('I. Stream &amp; Compound Data'!AT308&lt;&gt;"",'I. Stream &amp; Compound Data'!AT308,IF('I. Stream &amp; Compound Data'!AU308&lt;&gt;"",'I. Stream &amp; Compound Data'!AU308,""))</f>
        <v/>
      </c>
      <c r="L246" s="1190" t="str">
        <f>IF('I. Stream &amp; Compound Data'!AR308&lt;&gt;"",'I. Stream &amp; Compound Data'!AR308,IF('I. Stream &amp; Compound Data'!AS308&lt;&gt;"",'I. Stream &amp; Compound Data'!AS308,""))</f>
        <v/>
      </c>
      <c r="M246" s="1306" t="str">
        <f>IF(H246&gt;'I. Stream &amp; Compound Data'!$F$18,"",IF(I246="","N/A",ROUND(IF(I246&lt;=0.1,1,IF(AND(I246&gt;0.1,I246&lt;10000),-0.087*LN(I246)+0.8,0)),3)))</f>
        <v/>
      </c>
      <c r="N246" s="1168" t="str">
        <f>IF(H246&gt;'I. Stream &amp; Compound Data'!$F$18,"",IF(M246="N/A",IF(J246="","N/A",IF(J246="T+",0.7,IF(J246="T",0.5,IF(J246="Xn",0.3,"N/A")))),"N/A"))</f>
        <v/>
      </c>
      <c r="O246" s="1242" t="str">
        <f>IF(H246&gt;'I. Stream &amp; Compound Data'!$F$18,"",IF(AND(M246="N/A",N246="N/A"),IF(K246="","N/A",IF(K246=1,0.8,IF(K246=2,0.7,IF(K246=3,0.5,IF(K246=4,0.3,IF(K246=5,0.1,0)))))),"N/A"))</f>
        <v/>
      </c>
      <c r="P246" s="1307" t="str">
        <f>IF(H246&gt;'I. Stream &amp; Compound Data'!$F$18,"",IF(AND(M246="N/A",N246="N/A",O246="N/A"),IF(L246="","N/A",IF(OR(L246=45,L246=46,L246=47,L246=49,L246=60,L246=61),1,IF(OR(L246=40,L246=62,L246=63,L246=64),0.8,IF(OR(L246=29,L246=32,L246=48),0.7,IF(OR(L246=42,L246=43),0.6,IF(OR(L246=31,L246=33),0.5,0)))))),"N/A"))</f>
        <v/>
      </c>
      <c r="Q246" s="1242" t="str">
        <f>IF(H246&gt;'I. Stream &amp; Compound Data'!$F$18,"",IF(M246&lt;&gt;"N/A",M246,IF(N246&lt;&gt;"N/A",N246,IF(O246&lt;&gt;"N/A",O246,P246))))</f>
        <v/>
      </c>
      <c r="R246" s="1242" t="str">
        <f>IF(H246&gt;'I. Stream &amp; Compound Data'!$F$18,"",IF(Q246="N/A",0,IF(Q246&gt;0,ROUND(10^(5*Q246+2),3),0)))</f>
        <v/>
      </c>
      <c r="S246" s="1242" t="str">
        <f>IF(H246&gt;'I. Stream &amp; Compound Data'!$F$18,"",MAX(K188:L188))</f>
        <v/>
      </c>
      <c r="T246" s="1268" t="str">
        <f>IF(H246&gt;'I. Stream &amp; Compound Data'!$F$18,"",ROUND(R246*S246,3))</f>
        <v/>
      </c>
      <c r="U246" s="299"/>
      <c r="V246" s="279"/>
      <c r="W246" s="279"/>
      <c r="X246" s="279"/>
      <c r="Y246" s="279"/>
      <c r="Z246" s="279"/>
      <c r="AA246" s="279"/>
      <c r="AB246" s="279"/>
      <c r="AC246" s="279"/>
      <c r="AD246" s="279"/>
      <c r="AE246" s="279"/>
      <c r="AF246" s="279"/>
      <c r="AG246" s="279"/>
      <c r="AH246" s="279"/>
      <c r="AI246" s="279"/>
      <c r="AJ246" s="279"/>
      <c r="AK246" s="279"/>
      <c r="AL246" s="279"/>
      <c r="AM246" s="279"/>
      <c r="AN246" s="279"/>
      <c r="AO246" s="279"/>
      <c r="AP246" s="279"/>
      <c r="AQ246" s="279"/>
      <c r="AR246" s="279"/>
      <c r="AS246" s="279"/>
      <c r="AT246" s="279"/>
      <c r="AU246" s="279"/>
      <c r="AV246" s="279"/>
      <c r="AW246" s="279"/>
      <c r="AX246" s="279"/>
      <c r="AY246" s="279"/>
      <c r="AZ246" s="279"/>
      <c r="BA246" s="279"/>
      <c r="BB246" s="279"/>
      <c r="BC246" s="279"/>
      <c r="BD246" s="279"/>
      <c r="BE246" s="279"/>
      <c r="BF246" s="279"/>
      <c r="BG246" s="279"/>
      <c r="BH246" s="279"/>
      <c r="BI246" s="279"/>
      <c r="BJ246" s="279"/>
      <c r="BK246" s="279"/>
      <c r="BL246" s="279"/>
      <c r="BM246" s="279"/>
      <c r="BN246" s="279"/>
      <c r="BO246" s="279"/>
      <c r="BP246" s="279"/>
      <c r="BQ246" s="279"/>
      <c r="BR246" s="279"/>
      <c r="BS246" s="279"/>
      <c r="BT246" s="279"/>
      <c r="BU246" s="279"/>
      <c r="BV246" s="279"/>
      <c r="BW246" s="279"/>
      <c r="BX246" s="279"/>
      <c r="BY246" s="279"/>
      <c r="BZ246" s="279"/>
      <c r="CA246" s="279"/>
      <c r="CB246" s="279"/>
      <c r="CC246" s="279"/>
      <c r="CD246" s="279"/>
      <c r="CE246" s="279"/>
      <c r="CF246" s="279"/>
      <c r="CG246" s="279"/>
      <c r="CH246" s="279"/>
      <c r="CI246" s="279"/>
      <c r="CJ246" s="279"/>
      <c r="CK246" s="279"/>
      <c r="CL246" s="279"/>
      <c r="CM246" s="279"/>
      <c r="CN246" s="382"/>
    </row>
    <row r="247" ht="24" customHeight="true" x14ac:dyDescent="0.25">
      <c r="B247" s="361"/>
      <c r="C247" s="279"/>
      <c r="D247" s="280"/>
      <c r="E247" s="287"/>
      <c r="F247" s="287"/>
      <c r="G247" s="287"/>
      <c r="H247" s="1292">
        <f t="shared" si="11"/>
        <v>48</v>
      </c>
      <c r="I247" s="1190" t="str">
        <f>IF('I. Stream &amp; Compound Data'!AB309&lt;&gt;"",'I. Stream &amp; Compound Data'!AB309,"")</f>
        <v/>
      </c>
      <c r="J247" s="1295" t="str">
        <f t="shared" si="13"/>
        <v/>
      </c>
      <c r="K247" s="1190" t="str">
        <f>IF('I. Stream &amp; Compound Data'!AT309&lt;&gt;"",'I. Stream &amp; Compound Data'!AT309,IF('I. Stream &amp; Compound Data'!AU309&lt;&gt;"",'I. Stream &amp; Compound Data'!AU309,""))</f>
        <v/>
      </c>
      <c r="L247" s="1190" t="str">
        <f>IF('I. Stream &amp; Compound Data'!AR309&lt;&gt;"",'I. Stream &amp; Compound Data'!AR309,IF('I. Stream &amp; Compound Data'!AS309&lt;&gt;"",'I. Stream &amp; Compound Data'!AS309,""))</f>
        <v/>
      </c>
      <c r="M247" s="1306" t="str">
        <f>IF(H247&gt;'I. Stream &amp; Compound Data'!$F$18,"",IF(I247="","N/A",ROUND(IF(I247&lt;=0.1,1,IF(AND(I247&gt;0.1,I247&lt;10000),-0.087*LN(I247)+0.8,0)),3)))</f>
        <v/>
      </c>
      <c r="N247" s="1168" t="str">
        <f>IF(H247&gt;'I. Stream &amp; Compound Data'!$F$18,"",IF(M247="N/A",IF(J247="","N/A",IF(J247="T+",0.7,IF(J247="T",0.5,IF(J247="Xn",0.3,"N/A")))),"N/A"))</f>
        <v/>
      </c>
      <c r="O247" s="1242" t="str">
        <f>IF(H247&gt;'I. Stream &amp; Compound Data'!$F$18,"",IF(AND(M247="N/A",N247="N/A"),IF(K247="","N/A",IF(K247=1,0.8,IF(K247=2,0.7,IF(K247=3,0.5,IF(K247=4,0.3,IF(K247=5,0.1,0)))))),"N/A"))</f>
        <v/>
      </c>
      <c r="P247" s="1307" t="str">
        <f>IF(H247&gt;'I. Stream &amp; Compound Data'!$F$18,"",IF(AND(M247="N/A",N247="N/A",O247="N/A"),IF(L247="","N/A",IF(OR(L247=45,L247=46,L247=47,L247=49,L247=60,L247=61),1,IF(OR(L247=40,L247=62,L247=63,L247=64),0.8,IF(OR(L247=29,L247=32,L247=48),0.7,IF(OR(L247=42,L247=43),0.6,IF(OR(L247=31,L247=33),0.5,0)))))),"N/A"))</f>
        <v/>
      </c>
      <c r="Q247" s="1242" t="str">
        <f>IF(H247&gt;'I. Stream &amp; Compound Data'!$F$18,"",IF(M247&lt;&gt;"N/A",M247,IF(N247&lt;&gt;"N/A",N247,IF(O247&lt;&gt;"N/A",O247,P247))))</f>
        <v/>
      </c>
      <c r="R247" s="1242" t="str">
        <f>IF(H247&gt;'I. Stream &amp; Compound Data'!$F$18,"",IF(Q247="N/A",0,IF(Q247&gt;0,ROUND(10^(5*Q247+2),3),0)))</f>
        <v/>
      </c>
      <c r="S247" s="1242" t="str">
        <f>IF(H247&gt;'I. Stream &amp; Compound Data'!$F$18,"",MAX(K189:L189))</f>
        <v/>
      </c>
      <c r="T247" s="1268" t="str">
        <f>IF(H247&gt;'I. Stream &amp; Compound Data'!$F$18,"",ROUND(R247*S247,3))</f>
        <v/>
      </c>
      <c r="U247" s="299"/>
      <c r="V247" s="279"/>
      <c r="W247" s="279"/>
      <c r="X247" s="279"/>
      <c r="Y247" s="279"/>
      <c r="Z247" s="279"/>
      <c r="AA247" s="279"/>
      <c r="AB247" s="279"/>
      <c r="AC247" s="279"/>
      <c r="AD247" s="279"/>
      <c r="AE247" s="279"/>
      <c r="AF247" s="279"/>
      <c r="AG247" s="279"/>
      <c r="AH247" s="279"/>
      <c r="AI247" s="279"/>
      <c r="AJ247" s="279"/>
      <c r="AK247" s="279"/>
      <c r="AL247" s="279"/>
      <c r="AM247" s="279"/>
      <c r="AN247" s="279"/>
      <c r="AO247" s="279"/>
      <c r="AP247" s="279"/>
      <c r="AQ247" s="279"/>
      <c r="AR247" s="279"/>
      <c r="AS247" s="279"/>
      <c r="AT247" s="279"/>
      <c r="AU247" s="279"/>
      <c r="AV247" s="279"/>
      <c r="AW247" s="279"/>
      <c r="AX247" s="279"/>
      <c r="AY247" s="279"/>
      <c r="AZ247" s="279"/>
      <c r="BA247" s="279"/>
      <c r="BB247" s="279"/>
      <c r="BC247" s="279"/>
      <c r="BD247" s="279"/>
      <c r="BE247" s="279"/>
      <c r="BF247" s="279"/>
      <c r="BG247" s="279"/>
      <c r="BH247" s="279"/>
      <c r="BI247" s="279"/>
      <c r="BJ247" s="279"/>
      <c r="BK247" s="279"/>
      <c r="BL247" s="279"/>
      <c r="BM247" s="279"/>
      <c r="BN247" s="279"/>
      <c r="BO247" s="279"/>
      <c r="BP247" s="279"/>
      <c r="BQ247" s="279"/>
      <c r="BR247" s="279"/>
      <c r="BS247" s="279"/>
      <c r="BT247" s="279"/>
      <c r="BU247" s="279"/>
      <c r="BV247" s="279"/>
      <c r="BW247" s="279"/>
      <c r="BX247" s="279"/>
      <c r="BY247" s="279"/>
      <c r="BZ247" s="279"/>
      <c r="CA247" s="279"/>
      <c r="CB247" s="279"/>
      <c r="CC247" s="279"/>
      <c r="CD247" s="279"/>
      <c r="CE247" s="279"/>
      <c r="CF247" s="279"/>
      <c r="CG247" s="279"/>
      <c r="CH247" s="279"/>
      <c r="CI247" s="279"/>
      <c r="CJ247" s="279"/>
      <c r="CK247" s="279"/>
      <c r="CL247" s="279"/>
      <c r="CM247" s="279"/>
      <c r="CN247" s="382"/>
    </row>
    <row r="248" ht="24" customHeight="true" x14ac:dyDescent="0.25">
      <c r="B248" s="361"/>
      <c r="C248" s="279"/>
      <c r="D248" s="280"/>
      <c r="E248" s="287"/>
      <c r="F248" s="287"/>
      <c r="G248" s="287"/>
      <c r="H248" s="1292">
        <f t="shared" si="11"/>
        <v>49</v>
      </c>
      <c r="I248" s="1190" t="str">
        <f>IF('I. Stream &amp; Compound Data'!AB310&lt;&gt;"",'I. Stream &amp; Compound Data'!AB310,"")</f>
        <v/>
      </c>
      <c r="J248" s="1295" t="str">
        <f t="shared" si="13"/>
        <v/>
      </c>
      <c r="K248" s="1190" t="str">
        <f>IF('I. Stream &amp; Compound Data'!AT310&lt;&gt;"",'I. Stream &amp; Compound Data'!AT310,IF('I. Stream &amp; Compound Data'!AU310&lt;&gt;"",'I. Stream &amp; Compound Data'!AU310,""))</f>
        <v/>
      </c>
      <c r="L248" s="1190" t="str">
        <f>IF('I. Stream &amp; Compound Data'!AR310&lt;&gt;"",'I. Stream &amp; Compound Data'!AR310,IF('I. Stream &amp; Compound Data'!AS310&lt;&gt;"",'I. Stream &amp; Compound Data'!AS310,""))</f>
        <v/>
      </c>
      <c r="M248" s="1306" t="str">
        <f>IF(H248&gt;'I. Stream &amp; Compound Data'!$F$18,"",IF(I248="","N/A",ROUND(IF(I248&lt;=0.1,1,IF(AND(I248&gt;0.1,I248&lt;10000),-0.087*LN(I248)+0.8,0)),3)))</f>
        <v/>
      </c>
      <c r="N248" s="1168" t="str">
        <f>IF(H248&gt;'I. Stream &amp; Compound Data'!$F$18,"",IF(M248="N/A",IF(J248="","N/A",IF(J248="T+",0.7,IF(J248="T",0.5,IF(J248="Xn",0.3,"N/A")))),"N/A"))</f>
        <v/>
      </c>
      <c r="O248" s="1242" t="str">
        <f>IF(H248&gt;'I. Stream &amp; Compound Data'!$F$18,"",IF(AND(M248="N/A",N248="N/A"),IF(K248="","N/A",IF(K248=1,0.8,IF(K248=2,0.7,IF(K248=3,0.5,IF(K248=4,0.3,IF(K248=5,0.1,0)))))),"N/A"))</f>
        <v/>
      </c>
      <c r="P248" s="1307" t="str">
        <f>IF(H248&gt;'I. Stream &amp; Compound Data'!$F$18,"",IF(AND(M248="N/A",N248="N/A",O248="N/A"),IF(L248="","N/A",IF(OR(L248=45,L248=46,L248=47,L248=49,L248=60,L248=61),1,IF(OR(L248=40,L248=62,L248=63,L248=64),0.8,IF(OR(L248=29,L248=32,L248=48),0.7,IF(OR(L248=42,L248=43),0.6,IF(OR(L248=31,L248=33),0.5,0)))))),"N/A"))</f>
        <v/>
      </c>
      <c r="Q248" s="1242" t="str">
        <f>IF(H248&gt;'I. Stream &amp; Compound Data'!$F$18,"",IF(M248&lt;&gt;"N/A",M248,IF(N248&lt;&gt;"N/A",N248,IF(O248&lt;&gt;"N/A",O248,P248))))</f>
        <v/>
      </c>
      <c r="R248" s="1242" t="str">
        <f>IF(H248&gt;'I. Stream &amp; Compound Data'!$F$18,"",IF(Q248="N/A",0,IF(Q248&gt;0,ROUND(10^(5*Q248+2),3),0)))</f>
        <v/>
      </c>
      <c r="S248" s="1242" t="str">
        <f>IF(H248&gt;'I. Stream &amp; Compound Data'!$F$18,"",MAX(K190:L190))</f>
        <v/>
      </c>
      <c r="T248" s="1268" t="str">
        <f>IF(H248&gt;'I. Stream &amp; Compound Data'!$F$18,"",ROUND(R248*S248,3))</f>
        <v/>
      </c>
      <c r="U248" s="299"/>
      <c r="V248" s="279"/>
      <c r="W248" s="279"/>
      <c r="X248" s="279"/>
      <c r="Y248" s="279"/>
      <c r="Z248" s="279"/>
      <c r="AA248" s="279"/>
      <c r="AB248" s="279"/>
      <c r="AC248" s="279"/>
      <c r="AD248" s="279"/>
      <c r="AE248" s="279"/>
      <c r="AF248" s="279"/>
      <c r="AG248" s="279"/>
      <c r="AH248" s="279"/>
      <c r="AI248" s="279"/>
      <c r="AJ248" s="279"/>
      <c r="AK248" s="279"/>
      <c r="AL248" s="279"/>
      <c r="AM248" s="279"/>
      <c r="AN248" s="279"/>
      <c r="AO248" s="279"/>
      <c r="AP248" s="279"/>
      <c r="AQ248" s="279"/>
      <c r="AR248" s="279"/>
      <c r="AS248" s="279"/>
      <c r="AT248" s="279"/>
      <c r="AU248" s="279"/>
      <c r="AV248" s="279"/>
      <c r="AW248" s="279"/>
      <c r="AX248" s="279"/>
      <c r="AY248" s="279"/>
      <c r="AZ248" s="279"/>
      <c r="BA248" s="279"/>
      <c r="BB248" s="279"/>
      <c r="BC248" s="279"/>
      <c r="BD248" s="279"/>
      <c r="BE248" s="279"/>
      <c r="BF248" s="279"/>
      <c r="BG248" s="279"/>
      <c r="BH248" s="279"/>
      <c r="BI248" s="279"/>
      <c r="BJ248" s="279"/>
      <c r="BK248" s="279"/>
      <c r="BL248" s="279"/>
      <c r="BM248" s="279"/>
      <c r="BN248" s="279"/>
      <c r="BO248" s="279"/>
      <c r="BP248" s="279"/>
      <c r="BQ248" s="279"/>
      <c r="BR248" s="279"/>
      <c r="BS248" s="279"/>
      <c r="BT248" s="279"/>
      <c r="BU248" s="279"/>
      <c r="BV248" s="279"/>
      <c r="BW248" s="279"/>
      <c r="BX248" s="279"/>
      <c r="BY248" s="279"/>
      <c r="BZ248" s="279"/>
      <c r="CA248" s="279"/>
      <c r="CB248" s="279"/>
      <c r="CC248" s="279"/>
      <c r="CD248" s="279"/>
      <c r="CE248" s="279"/>
      <c r="CF248" s="279"/>
      <c r="CG248" s="279"/>
      <c r="CH248" s="279"/>
      <c r="CI248" s="279"/>
      <c r="CJ248" s="279"/>
      <c r="CK248" s="279"/>
      <c r="CL248" s="279"/>
      <c r="CM248" s="279"/>
      <c r="CN248" s="382"/>
    </row>
    <row r="249" ht="24" customHeight="true" thickBot="true" x14ac:dyDescent="0.3">
      <c r="B249" s="361"/>
      <c r="C249" s="279"/>
      <c r="D249" s="280"/>
      <c r="E249" s="287"/>
      <c r="F249" s="287"/>
      <c r="G249" s="287"/>
      <c r="H249" s="1298">
        <f t="shared" si="11"/>
        <v>50</v>
      </c>
      <c r="I249" s="1259" t="str">
        <f>IF('I. Stream &amp; Compound Data'!AB311&lt;&gt;"",'I. Stream &amp; Compound Data'!AB311,"")</f>
        <v/>
      </c>
      <c r="J249" s="1301" t="str">
        <f t="shared" si="13"/>
        <v/>
      </c>
      <c r="K249" s="1259" t="str">
        <f>IF('I. Stream &amp; Compound Data'!AT311&lt;&gt;"",'I. Stream &amp; Compound Data'!AT311,IF('I. Stream &amp; Compound Data'!AU311&lt;&gt;"",'I. Stream &amp; Compound Data'!AU311,""))</f>
        <v/>
      </c>
      <c r="L249" s="1259" t="str">
        <f>IF('I. Stream &amp; Compound Data'!AR311&lt;&gt;"",'I. Stream &amp; Compound Data'!AR311,IF('I. Stream &amp; Compound Data'!AS311&lt;&gt;"",'I. Stream &amp; Compound Data'!AS311,""))</f>
        <v/>
      </c>
      <c r="M249" s="1308" t="str">
        <f>IF(H249&gt;'I. Stream &amp; Compound Data'!$F$18,"",IF(I249="","N/A",ROUND(IF(I249&lt;=0.1,1,IF(AND(I249&gt;0.1,I249&lt;10000),-0.087*LN(I249)+0.8,0)),3)))</f>
        <v/>
      </c>
      <c r="N249" s="1225" t="str">
        <f>IF(H249&gt;'I. Stream &amp; Compound Data'!$F$18,"",IF(M249="N/A",IF(J249="","N/A",IF(J249="T+",0.7,IF(J249="T",0.5,IF(J249="Xn",0.3,"N/A")))),"N/A"))</f>
        <v/>
      </c>
      <c r="O249" s="1210" t="str">
        <f>IF(H249&gt;'I. Stream &amp; Compound Data'!$F$18,"",IF(AND(M249="N/A",N249="N/A"),IF(K249="","N/A",IF(K249=1,0.8,IF(K249=2,0.7,IF(K249=3,0.5,IF(K249=4,0.3,IF(K249=5,0.1,0)))))),"N/A"))</f>
        <v/>
      </c>
      <c r="P249" s="1309" t="str">
        <f>IF(H249&gt;'I. Stream &amp; Compound Data'!$F$18,"",IF(AND(M249="N/A",N249="N/A",O249="N/A"),IF(L249="","N/A",IF(OR(L249=45,L249=46,L249=47,L249=49,L249=60,L249=61),1,IF(OR(L249=40,L249=62,L249=63,L249=64),0.8,IF(OR(L249=29,L249=32,L249=48),0.7,IF(OR(L249=42,L249=43),0.6,IF(OR(L249=31,L249=33),0.5,0)))))),"N/A"))</f>
        <v/>
      </c>
      <c r="Q249" s="1210" t="str">
        <f>IF(H249&gt;'I. Stream &amp; Compound Data'!$F$18,"",IF(M249&lt;&gt;"N/A",M249,IF(N249&lt;&gt;"N/A",N249,IF(O249&lt;&gt;"N/A",O249,P249))))</f>
        <v/>
      </c>
      <c r="R249" s="1210" t="str">
        <f>IF(H249&gt;'I. Stream &amp; Compound Data'!$F$18,"",IF(Q249="N/A",0,IF(Q249&gt;0,ROUND(10^(5*Q249+2),3),0)))</f>
        <v/>
      </c>
      <c r="S249" s="1210" t="str">
        <f>IF(H249&gt;'I. Stream &amp; Compound Data'!$F$18,"",MAX(K191:L191))</f>
        <v/>
      </c>
      <c r="T249" s="1270" t="str">
        <f>IF(H249&gt;'I. Stream &amp; Compound Data'!$F$18,"",ROUND(R249*S249,3))</f>
        <v/>
      </c>
      <c r="U249" s="299"/>
      <c r="V249" s="279"/>
      <c r="W249" s="279"/>
      <c r="X249" s="279"/>
      <c r="Y249" s="279"/>
      <c r="Z249" s="279"/>
      <c r="AA249" s="279"/>
      <c r="AB249" s="279"/>
      <c r="AC249" s="279"/>
      <c r="AD249" s="279"/>
      <c r="AE249" s="279"/>
      <c r="AF249" s="279"/>
      <c r="AG249" s="279"/>
      <c r="AH249" s="279"/>
      <c r="AI249" s="279"/>
      <c r="AJ249" s="279"/>
      <c r="AK249" s="279"/>
      <c r="AL249" s="279"/>
      <c r="AM249" s="279"/>
      <c r="AN249" s="279"/>
      <c r="AO249" s="279"/>
      <c r="AP249" s="279"/>
      <c r="AQ249" s="279"/>
      <c r="AR249" s="279"/>
      <c r="AS249" s="279"/>
      <c r="AT249" s="279"/>
      <c r="AU249" s="279"/>
      <c r="AV249" s="279"/>
      <c r="AW249" s="279"/>
      <c r="AX249" s="279"/>
      <c r="AY249" s="279"/>
      <c r="AZ249" s="279"/>
      <c r="BA249" s="279"/>
      <c r="BB249" s="279"/>
      <c r="BC249" s="279"/>
      <c r="BD249" s="279"/>
      <c r="BE249" s="279"/>
      <c r="BF249" s="279"/>
      <c r="BG249" s="279"/>
      <c r="BH249" s="279"/>
      <c r="BI249" s="279"/>
      <c r="BJ249" s="279"/>
      <c r="BK249" s="279"/>
      <c r="BL249" s="279"/>
      <c r="BM249" s="279"/>
      <c r="BN249" s="279"/>
      <c r="BO249" s="279"/>
      <c r="BP249" s="279"/>
      <c r="BQ249" s="279"/>
      <c r="BR249" s="279"/>
      <c r="BS249" s="279"/>
      <c r="BT249" s="279"/>
      <c r="BU249" s="279"/>
      <c r="BV249" s="279"/>
      <c r="BW249" s="279"/>
      <c r="BX249" s="279"/>
      <c r="BY249" s="279"/>
      <c r="BZ249" s="279"/>
      <c r="CA249" s="279"/>
      <c r="CB249" s="279"/>
      <c r="CC249" s="279"/>
      <c r="CD249" s="279"/>
      <c r="CE249" s="279"/>
      <c r="CF249" s="279"/>
      <c r="CG249" s="279"/>
      <c r="CH249" s="279"/>
      <c r="CI249" s="279"/>
      <c r="CJ249" s="279"/>
      <c r="CK249" s="279"/>
      <c r="CL249" s="279"/>
      <c r="CM249" s="279"/>
      <c r="CN249" s="382"/>
    </row>
    <row r="250" ht="17.25" customHeight="true" thickBot="true" x14ac:dyDescent="0.35">
      <c r="B250" s="361"/>
      <c r="C250" s="279"/>
      <c r="D250" s="280"/>
      <c r="E250" s="287"/>
      <c r="F250" s="287"/>
      <c r="G250" s="287"/>
      <c r="H250" s="280"/>
      <c r="I250" s="304"/>
      <c r="J250" s="279"/>
      <c r="K250" s="280"/>
      <c r="L250" s="362"/>
      <c r="M250" s="287"/>
      <c r="N250" s="296"/>
      <c r="O250" s="280"/>
      <c r="P250" s="280"/>
      <c r="Q250" s="279"/>
      <c r="R250" s="297"/>
      <c r="S250" s="287" t="s">
        <v>88</v>
      </c>
      <c r="T250" s="1305">
        <f>SUM(T200:T249)</f>
        <v>2888659383.5110002</v>
      </c>
      <c r="U250" s="299"/>
      <c r="V250" s="279"/>
      <c r="W250" s="279"/>
      <c r="X250" s="279"/>
      <c r="Y250" s="279"/>
      <c r="Z250" s="279"/>
      <c r="AA250" s="279"/>
      <c r="AB250" s="279"/>
      <c r="AC250" s="279"/>
      <c r="AD250" s="279"/>
      <c r="AE250" s="279"/>
      <c r="AF250" s="279"/>
      <c r="AG250" s="279"/>
      <c r="AH250" s="279"/>
      <c r="AI250" s="279"/>
      <c r="AJ250" s="279"/>
      <c r="AK250" s="279"/>
      <c r="AL250" s="279"/>
      <c r="AM250" s="279"/>
      <c r="AN250" s="279"/>
      <c r="AO250" s="279"/>
      <c r="AP250" s="279"/>
      <c r="AQ250" s="279"/>
      <c r="AR250" s="279"/>
      <c r="AS250" s="279"/>
      <c r="AT250" s="279"/>
      <c r="AU250" s="279"/>
      <c r="AV250" s="279"/>
      <c r="AW250" s="279"/>
      <c r="AX250" s="279"/>
      <c r="AY250" s="279"/>
      <c r="AZ250" s="279"/>
      <c r="BA250" s="279"/>
      <c r="BB250" s="279"/>
      <c r="BC250" s="279"/>
      <c r="BD250" s="279"/>
      <c r="BE250" s="279"/>
      <c r="BF250" s="279"/>
      <c r="BG250" s="279"/>
      <c r="BH250" s="279"/>
      <c r="BI250" s="279"/>
      <c r="BJ250" s="279"/>
      <c r="BK250" s="279"/>
      <c r="BL250" s="279"/>
      <c r="BM250" s="279"/>
      <c r="BN250" s="279"/>
      <c r="BO250" s="279"/>
      <c r="BP250" s="279"/>
      <c r="BQ250" s="279"/>
      <c r="BR250" s="279"/>
      <c r="BS250" s="279"/>
      <c r="BT250" s="279"/>
      <c r="BU250" s="279"/>
      <c r="BV250" s="279"/>
      <c r="BW250" s="279"/>
      <c r="BX250" s="279"/>
      <c r="BY250" s="279"/>
      <c r="BZ250" s="279"/>
      <c r="CA250" s="279"/>
      <c r="CB250" s="279"/>
      <c r="CC250" s="279"/>
      <c r="CD250" s="279"/>
      <c r="CE250" s="279"/>
      <c r="CF250" s="279"/>
      <c r="CG250" s="279"/>
      <c r="CH250" s="279"/>
      <c r="CI250" s="279"/>
      <c r="CJ250" s="279"/>
      <c r="CK250" s="279"/>
      <c r="CL250" s="279"/>
      <c r="CM250" s="279"/>
      <c r="CN250" s="382"/>
    </row>
    <row r="251" ht="17.25" customHeight="true" x14ac:dyDescent="0.3">
      <c r="B251" s="361"/>
      <c r="C251" s="279"/>
      <c r="D251" s="280"/>
      <c r="E251" s="287"/>
      <c r="F251" s="287"/>
      <c r="G251" s="287"/>
      <c r="H251" s="280"/>
      <c r="I251" s="304"/>
      <c r="J251" s="279"/>
      <c r="K251" s="280"/>
      <c r="L251" s="362"/>
      <c r="M251" s="287"/>
      <c r="N251" s="296"/>
      <c r="O251" s="280"/>
      <c r="P251" s="280"/>
      <c r="Q251" s="279"/>
      <c r="R251" s="297"/>
      <c r="S251" s="287"/>
      <c r="T251" s="287"/>
      <c r="U251" s="299"/>
      <c r="V251" s="279"/>
      <c r="W251" s="279"/>
      <c r="X251" s="279"/>
      <c r="Y251" s="279"/>
      <c r="Z251" s="279"/>
      <c r="AA251" s="279"/>
      <c r="AB251" s="279"/>
      <c r="AC251" s="279"/>
      <c r="AD251" s="279"/>
      <c r="AE251" s="279"/>
      <c r="AF251" s="279"/>
      <c r="AG251" s="279"/>
      <c r="AH251" s="279"/>
      <c r="AI251" s="279"/>
      <c r="AJ251" s="279"/>
      <c r="AK251" s="279"/>
      <c r="AL251" s="279"/>
      <c r="AM251" s="279"/>
      <c r="AN251" s="279"/>
      <c r="AO251" s="279"/>
      <c r="AP251" s="279"/>
      <c r="AQ251" s="279"/>
      <c r="AR251" s="279"/>
      <c r="AS251" s="279"/>
      <c r="AT251" s="279"/>
      <c r="AU251" s="279"/>
      <c r="AV251" s="279"/>
      <c r="AW251" s="279"/>
      <c r="AX251" s="279"/>
      <c r="AY251" s="279"/>
      <c r="AZ251" s="279"/>
      <c r="BA251" s="279"/>
      <c r="BB251" s="279"/>
      <c r="BC251" s="279"/>
      <c r="BD251" s="279"/>
      <c r="BE251" s="279"/>
      <c r="BF251" s="279"/>
      <c r="BG251" s="279"/>
      <c r="BH251" s="279"/>
      <c r="BI251" s="279"/>
      <c r="BJ251" s="279"/>
      <c r="BK251" s="279"/>
      <c r="BL251" s="279"/>
      <c r="BM251" s="279"/>
      <c r="BN251" s="279"/>
      <c r="BO251" s="279"/>
      <c r="BP251" s="279"/>
      <c r="BQ251" s="279"/>
      <c r="BR251" s="279"/>
      <c r="BS251" s="279"/>
      <c r="BT251" s="279"/>
      <c r="BU251" s="279"/>
      <c r="BV251" s="279"/>
      <c r="BW251" s="279"/>
      <c r="BX251" s="279"/>
      <c r="BY251" s="279"/>
      <c r="BZ251" s="279"/>
      <c r="CA251" s="279"/>
      <c r="CB251" s="279"/>
      <c r="CC251" s="279"/>
      <c r="CD251" s="279"/>
      <c r="CE251" s="279"/>
      <c r="CF251" s="279"/>
      <c r="CG251" s="279"/>
      <c r="CH251" s="279"/>
      <c r="CI251" s="279"/>
      <c r="CJ251" s="279"/>
      <c r="CK251" s="279"/>
      <c r="CL251" s="279"/>
      <c r="CM251" s="279"/>
      <c r="CN251" s="382"/>
    </row>
    <row r="252" ht="17.25" customHeight="true" x14ac:dyDescent="0.3">
      <c r="B252" s="361"/>
      <c r="C252" s="279"/>
      <c r="D252" s="280"/>
      <c r="E252" s="287"/>
      <c r="F252" s="287"/>
      <c r="G252" s="287"/>
      <c r="H252" s="280"/>
      <c r="I252" s="304"/>
      <c r="J252" s="279"/>
      <c r="K252" s="280"/>
      <c r="L252" s="362"/>
      <c r="M252" s="287"/>
      <c r="N252" s="296"/>
      <c r="O252" s="280"/>
      <c r="P252" s="280"/>
      <c r="Q252" s="279"/>
      <c r="R252" s="297"/>
      <c r="S252" s="287"/>
      <c r="T252" s="287"/>
      <c r="U252" s="299"/>
      <c r="V252" s="279"/>
      <c r="W252" s="279"/>
      <c r="X252" s="279"/>
      <c r="Y252" s="279"/>
      <c r="Z252" s="279"/>
      <c r="AA252" s="279"/>
      <c r="AB252" s="279"/>
      <c r="AC252" s="279"/>
      <c r="AD252" s="279"/>
      <c r="AE252" s="279"/>
      <c r="AF252" s="279"/>
      <c r="AG252" s="279"/>
      <c r="AH252" s="279"/>
      <c r="AI252" s="279"/>
      <c r="AJ252" s="279"/>
      <c r="AK252" s="279"/>
      <c r="AL252" s="279"/>
      <c r="AM252" s="279"/>
      <c r="AN252" s="279"/>
      <c r="AO252" s="279"/>
      <c r="AP252" s="279"/>
      <c r="AQ252" s="279"/>
      <c r="AR252" s="279"/>
      <c r="AS252" s="279"/>
      <c r="AT252" s="279"/>
      <c r="AU252" s="279"/>
      <c r="AV252" s="279"/>
      <c r="AW252" s="279"/>
      <c r="AX252" s="279"/>
      <c r="AY252" s="279"/>
      <c r="AZ252" s="279"/>
      <c r="BA252" s="279"/>
      <c r="BB252" s="279"/>
      <c r="BC252" s="279"/>
      <c r="BD252" s="279"/>
      <c r="BE252" s="279"/>
      <c r="BF252" s="279"/>
      <c r="BG252" s="279"/>
      <c r="BH252" s="279"/>
      <c r="BI252" s="279"/>
      <c r="BJ252" s="279"/>
      <c r="BK252" s="279"/>
      <c r="BL252" s="279"/>
      <c r="BM252" s="279"/>
      <c r="BN252" s="279"/>
      <c r="BO252" s="279"/>
      <c r="BP252" s="279"/>
      <c r="BQ252" s="279"/>
      <c r="BR252" s="279"/>
      <c r="BS252" s="279"/>
      <c r="BT252" s="279"/>
      <c r="BU252" s="279"/>
      <c r="BV252" s="279"/>
      <c r="BW252" s="279"/>
      <c r="BX252" s="279"/>
      <c r="BY252" s="279"/>
      <c r="BZ252" s="279"/>
      <c r="CA252" s="279"/>
      <c r="CB252" s="279"/>
      <c r="CC252" s="279"/>
      <c r="CD252" s="279"/>
      <c r="CE252" s="279"/>
      <c r="CF252" s="279"/>
      <c r="CG252" s="279"/>
      <c r="CH252" s="279"/>
      <c r="CI252" s="279"/>
      <c r="CJ252" s="279"/>
      <c r="CK252" s="279"/>
      <c r="CL252" s="279"/>
      <c r="CM252" s="279"/>
      <c r="CN252" s="382"/>
    </row>
    <row r="253" ht="17.25" customHeight="true" x14ac:dyDescent="0.3">
      <c r="B253" s="361"/>
      <c r="C253" s="279"/>
      <c r="D253" s="280"/>
      <c r="E253" s="287"/>
      <c r="F253" s="287"/>
      <c r="G253" s="287"/>
      <c r="H253" s="280"/>
      <c r="I253" s="304"/>
      <c r="J253" s="279"/>
      <c r="K253" s="280"/>
      <c r="L253" s="362"/>
      <c r="M253" s="287"/>
      <c r="N253" s="296"/>
      <c r="O253" s="280"/>
      <c r="P253" s="280"/>
      <c r="Q253" s="279"/>
      <c r="R253" s="297"/>
      <c r="S253" s="287"/>
      <c r="T253" s="287"/>
      <c r="U253" s="299"/>
      <c r="V253" s="279"/>
      <c r="W253" s="279"/>
      <c r="X253" s="279"/>
      <c r="Y253" s="279"/>
      <c r="Z253" s="279"/>
      <c r="AA253" s="279"/>
      <c r="AB253" s="279"/>
      <c r="AC253" s="279"/>
      <c r="AD253" s="279"/>
      <c r="AE253" s="279"/>
      <c r="AF253" s="279"/>
      <c r="AG253" s="279"/>
      <c r="AH253" s="279"/>
      <c r="AI253" s="279"/>
      <c r="AJ253" s="279"/>
      <c r="AK253" s="279"/>
      <c r="AL253" s="279"/>
      <c r="AM253" s="279"/>
      <c r="AN253" s="279"/>
      <c r="AO253" s="279"/>
      <c r="AP253" s="279"/>
      <c r="AQ253" s="279"/>
      <c r="AR253" s="279"/>
      <c r="AS253" s="279"/>
      <c r="AT253" s="279"/>
      <c r="AU253" s="279"/>
      <c r="AV253" s="279"/>
      <c r="AW253" s="279"/>
      <c r="AX253" s="279"/>
      <c r="AY253" s="279"/>
      <c r="AZ253" s="279"/>
      <c r="BA253" s="279"/>
      <c r="BB253" s="279"/>
      <c r="BC253" s="279"/>
      <c r="BD253" s="279"/>
      <c r="BE253" s="279"/>
      <c r="BF253" s="279"/>
      <c r="BG253" s="279"/>
      <c r="BH253" s="279"/>
      <c r="BI253" s="279"/>
      <c r="BJ253" s="279"/>
      <c r="BK253" s="279"/>
      <c r="BL253" s="279"/>
      <c r="BM253" s="279"/>
      <c r="BN253" s="279"/>
      <c r="BO253" s="279"/>
      <c r="BP253" s="279"/>
      <c r="BQ253" s="279"/>
      <c r="BR253" s="279"/>
      <c r="BS253" s="279"/>
      <c r="BT253" s="279"/>
      <c r="BU253" s="279"/>
      <c r="BV253" s="279"/>
      <c r="BW253" s="279"/>
      <c r="BX253" s="279"/>
      <c r="BY253" s="279"/>
      <c r="BZ253" s="279"/>
      <c r="CA253" s="279"/>
      <c r="CB253" s="279"/>
      <c r="CC253" s="279"/>
      <c r="CD253" s="279"/>
      <c r="CE253" s="279"/>
      <c r="CF253" s="279"/>
      <c r="CG253" s="279"/>
      <c r="CH253" s="279"/>
      <c r="CI253" s="279"/>
      <c r="CJ253" s="279"/>
      <c r="CK253" s="279"/>
      <c r="CL253" s="279"/>
      <c r="CM253" s="279"/>
      <c r="CN253" s="382"/>
    </row>
    <row r="254" ht="17.25" customHeight="true" x14ac:dyDescent="0.3">
      <c r="B254" s="361"/>
      <c r="C254" s="279"/>
      <c r="D254" s="280"/>
      <c r="E254" s="287"/>
      <c r="F254" s="287"/>
      <c r="G254" s="287"/>
      <c r="H254" s="280"/>
      <c r="I254" s="304"/>
      <c r="J254" s="279"/>
      <c r="K254" s="280"/>
      <c r="L254" s="362"/>
      <c r="M254" s="287"/>
      <c r="N254" s="296"/>
      <c r="O254" s="280"/>
      <c r="P254" s="280"/>
      <c r="Q254" s="279"/>
      <c r="R254" s="297"/>
      <c r="S254" s="298"/>
      <c r="T254" s="298"/>
      <c r="U254" s="299"/>
      <c r="V254" s="279"/>
      <c r="W254" s="279"/>
      <c r="X254" s="279"/>
      <c r="Y254" s="279"/>
      <c r="Z254" s="279"/>
      <c r="AA254" s="279"/>
      <c r="AB254" s="279"/>
      <c r="AC254" s="279"/>
      <c r="AD254" s="279"/>
      <c r="AE254" s="279"/>
      <c r="AF254" s="279"/>
      <c r="AG254" s="279"/>
      <c r="AH254" s="279"/>
      <c r="AI254" s="279"/>
      <c r="AJ254" s="279"/>
      <c r="AK254" s="279"/>
      <c r="AL254" s="279"/>
      <c r="AM254" s="279"/>
      <c r="AN254" s="279"/>
      <c r="AO254" s="279"/>
      <c r="AP254" s="279"/>
      <c r="AQ254" s="279"/>
      <c r="AR254" s="279"/>
      <c r="AS254" s="279"/>
      <c r="AT254" s="279"/>
      <c r="AU254" s="279"/>
      <c r="AV254" s="279"/>
      <c r="AW254" s="279"/>
      <c r="AX254" s="279"/>
      <c r="AY254" s="279"/>
      <c r="AZ254" s="279"/>
      <c r="BA254" s="279"/>
      <c r="BB254" s="279"/>
      <c r="BC254" s="279"/>
      <c r="BD254" s="279"/>
      <c r="BE254" s="279"/>
      <c r="BF254" s="279"/>
      <c r="BG254" s="279"/>
      <c r="BH254" s="279"/>
      <c r="BI254" s="279"/>
      <c r="BJ254" s="279"/>
      <c r="BK254" s="279"/>
      <c r="BL254" s="279"/>
      <c r="BM254" s="279"/>
      <c r="BN254" s="279"/>
      <c r="BO254" s="279"/>
      <c r="BP254" s="279"/>
      <c r="BQ254" s="279"/>
      <c r="BR254" s="279"/>
      <c r="BS254" s="279"/>
      <c r="BT254" s="279"/>
      <c r="BU254" s="279"/>
      <c r="BV254" s="279"/>
      <c r="BW254" s="279"/>
      <c r="BX254" s="279"/>
      <c r="BY254" s="279"/>
      <c r="BZ254" s="279"/>
      <c r="CA254" s="279"/>
      <c r="CB254" s="279"/>
      <c r="CC254" s="279"/>
      <c r="CD254" s="279"/>
      <c r="CE254" s="279"/>
      <c r="CF254" s="279"/>
      <c r="CG254" s="279"/>
      <c r="CH254" s="279"/>
      <c r="CI254" s="279"/>
      <c r="CJ254" s="279"/>
      <c r="CK254" s="279"/>
      <c r="CL254" s="279"/>
      <c r="CM254" s="279"/>
      <c r="CN254" s="382"/>
    </row>
    <row r="255" ht="17.25" customHeight="true" x14ac:dyDescent="0.3">
      <c r="B255" s="361"/>
      <c r="C255" s="279"/>
      <c r="D255" s="280"/>
      <c r="E255" s="287"/>
      <c r="F255" s="287"/>
      <c r="G255" s="287"/>
      <c r="H255" s="280"/>
      <c r="I255" s="304"/>
      <c r="J255" s="279"/>
      <c r="K255" s="280"/>
      <c r="L255" s="362"/>
      <c r="M255" s="287"/>
      <c r="N255" s="296"/>
      <c r="O255" s="280"/>
      <c r="P255" s="280"/>
      <c r="Q255" s="279"/>
      <c r="R255" s="297"/>
      <c r="S255" s="298"/>
      <c r="T255" s="298"/>
      <c r="U255" s="299"/>
      <c r="V255" s="279"/>
      <c r="W255" s="279"/>
      <c r="X255" s="279"/>
      <c r="Y255" s="279"/>
      <c r="Z255" s="279"/>
      <c r="AA255" s="279"/>
      <c r="AB255" s="279"/>
      <c r="AC255" s="279"/>
      <c r="AD255" s="279"/>
      <c r="AE255" s="279"/>
      <c r="AF255" s="279"/>
      <c r="AG255" s="279"/>
      <c r="AH255" s="279"/>
      <c r="AI255" s="279"/>
      <c r="AJ255" s="279"/>
      <c r="AK255" s="279"/>
      <c r="AL255" s="279"/>
      <c r="AM255" s="279"/>
      <c r="AN255" s="279"/>
      <c r="AO255" s="279"/>
      <c r="AP255" s="279"/>
      <c r="AQ255" s="279"/>
      <c r="AR255" s="279"/>
      <c r="AS255" s="279"/>
      <c r="AT255" s="279"/>
      <c r="AU255" s="279"/>
      <c r="AV255" s="279"/>
      <c r="AW255" s="279"/>
      <c r="AX255" s="279"/>
      <c r="AY255" s="279"/>
      <c r="AZ255" s="279"/>
      <c r="BA255" s="279"/>
      <c r="BB255" s="279"/>
      <c r="BC255" s="279"/>
      <c r="BD255" s="279"/>
      <c r="BE255" s="279"/>
      <c r="BF255" s="279"/>
      <c r="BG255" s="279"/>
      <c r="BH255" s="279"/>
      <c r="BI255" s="279"/>
      <c r="BJ255" s="279"/>
      <c r="BK255" s="279"/>
      <c r="BL255" s="279"/>
      <c r="BM255" s="279"/>
      <c r="BN255" s="279"/>
      <c r="BO255" s="279"/>
      <c r="BP255" s="279"/>
      <c r="BQ255" s="279"/>
      <c r="BR255" s="279"/>
      <c r="BS255" s="279"/>
      <c r="BT255" s="279"/>
      <c r="BU255" s="279"/>
      <c r="BV255" s="279"/>
      <c r="BW255" s="279"/>
      <c r="BX255" s="279"/>
      <c r="BY255" s="279"/>
      <c r="BZ255" s="279"/>
      <c r="CA255" s="279"/>
      <c r="CB255" s="279"/>
      <c r="CC255" s="279"/>
      <c r="CD255" s="279"/>
      <c r="CE255" s="279"/>
      <c r="CF255" s="279"/>
      <c r="CG255" s="279"/>
      <c r="CH255" s="279"/>
      <c r="CI255" s="279"/>
      <c r="CJ255" s="279"/>
      <c r="CK255" s="279"/>
      <c r="CL255" s="279"/>
      <c r="CM255" s="279"/>
      <c r="CN255" s="382"/>
    </row>
    <row r="256" ht="17.25" customHeight="true" thickBot="true" x14ac:dyDescent="0.35">
      <c r="B256" s="361"/>
      <c r="C256" s="279"/>
      <c r="D256" s="280"/>
      <c r="E256" s="287"/>
      <c r="F256" s="287"/>
      <c r="G256" s="287"/>
      <c r="H256" s="280"/>
      <c r="I256" s="304"/>
      <c r="J256" s="279"/>
      <c r="K256" s="280"/>
      <c r="L256" s="362"/>
      <c r="M256" s="287"/>
      <c r="N256" s="296"/>
      <c r="O256" s="280"/>
      <c r="P256" s="280"/>
      <c r="Q256" s="279"/>
      <c r="R256" s="297"/>
      <c r="S256" s="298"/>
      <c r="T256" s="298"/>
      <c r="U256" s="299"/>
      <c r="V256" s="279"/>
      <c r="W256" s="279"/>
      <c r="X256" s="279"/>
      <c r="Y256" s="279"/>
      <c r="Z256" s="279"/>
      <c r="AA256" s="279"/>
      <c r="AB256" s="279"/>
      <c r="AC256" s="279"/>
      <c r="AD256" s="279"/>
      <c r="AE256" s="279"/>
      <c r="AF256" s="279"/>
      <c r="AG256" s="279"/>
      <c r="AH256" s="279"/>
      <c r="AI256" s="279"/>
      <c r="AJ256" s="279"/>
      <c r="AK256" s="279"/>
      <c r="AL256" s="279"/>
      <c r="AM256" s="279"/>
      <c r="AN256" s="279"/>
      <c r="AO256" s="279"/>
      <c r="AP256" s="279"/>
      <c r="AQ256" s="279"/>
      <c r="AR256" s="279"/>
      <c r="AS256" s="279"/>
      <c r="AT256" s="279"/>
      <c r="AU256" s="279"/>
      <c r="AV256" s="279"/>
      <c r="AW256" s="279"/>
      <c r="AX256" s="279"/>
      <c r="AY256" s="279"/>
      <c r="AZ256" s="279"/>
      <c r="BA256" s="279"/>
      <c r="BB256" s="279"/>
      <c r="BC256" s="279"/>
      <c r="BD256" s="279"/>
      <c r="BE256" s="279"/>
      <c r="BF256" s="279"/>
      <c r="BG256" s="279"/>
      <c r="BH256" s="279"/>
      <c r="BI256" s="279"/>
      <c r="BJ256" s="279"/>
      <c r="BK256" s="279"/>
      <c r="BL256" s="279"/>
      <c r="BM256" s="279"/>
      <c r="BN256" s="279"/>
      <c r="BO256" s="279"/>
      <c r="BP256" s="279"/>
      <c r="BQ256" s="279"/>
      <c r="BR256" s="279"/>
      <c r="BS256" s="279"/>
      <c r="BT256" s="279"/>
      <c r="BU256" s="279"/>
      <c r="BV256" s="279"/>
      <c r="BW256" s="279"/>
      <c r="BX256" s="279"/>
      <c r="BY256" s="279"/>
      <c r="BZ256" s="279"/>
      <c r="CA256" s="279"/>
      <c r="CB256" s="279"/>
      <c r="CC256" s="279"/>
      <c r="CD256" s="279"/>
      <c r="CE256" s="279"/>
      <c r="CF256" s="279"/>
      <c r="CG256" s="279"/>
      <c r="CH256" s="279"/>
      <c r="CI256" s="279"/>
      <c r="CJ256" s="279"/>
      <c r="CK256" s="279"/>
      <c r="CL256" s="279"/>
      <c r="CM256" s="279"/>
      <c r="CN256" s="382"/>
    </row>
    <row r="257" ht="34.5" customHeight="true" thickBot="true" x14ac:dyDescent="0.35">
      <c r="B257" s="361"/>
      <c r="C257" s="279"/>
      <c r="D257" s="280"/>
      <c r="E257" s="287"/>
      <c r="F257" s="287"/>
      <c r="G257" s="287"/>
      <c r="H257" s="1953" t="s">
        <v>263</v>
      </c>
      <c r="I257" s="1954"/>
      <c r="J257" s="1954"/>
      <c r="K257" s="1954"/>
      <c r="L257" s="1955"/>
      <c r="M257" s="287"/>
      <c r="N257" s="296"/>
      <c r="O257" s="280"/>
      <c r="P257" s="280"/>
      <c r="Q257" s="279"/>
      <c r="R257" s="297"/>
      <c r="S257" s="298"/>
      <c r="T257" s="298"/>
      <c r="U257" s="299"/>
      <c r="V257" s="279"/>
      <c r="W257" s="279"/>
      <c r="X257" s="279"/>
      <c r="Y257" s="279"/>
      <c r="Z257" s="279"/>
      <c r="AA257" s="279"/>
      <c r="AB257" s="279"/>
      <c r="AC257" s="279"/>
      <c r="AD257" s="279"/>
      <c r="AE257" s="279"/>
      <c r="AF257" s="279"/>
      <c r="AG257" s="279"/>
      <c r="AH257" s="279"/>
      <c r="AI257" s="279"/>
      <c r="AJ257" s="279"/>
      <c r="AK257" s="279"/>
      <c r="AL257" s="279"/>
      <c r="AM257" s="279"/>
      <c r="AN257" s="279"/>
      <c r="AO257" s="279"/>
      <c r="AP257" s="279"/>
      <c r="AQ257" s="279"/>
      <c r="AR257" s="279"/>
      <c r="AS257" s="279"/>
      <c r="AT257" s="279"/>
      <c r="AU257" s="279"/>
      <c r="AV257" s="279"/>
      <c r="AW257" s="279"/>
      <c r="AX257" s="279"/>
      <c r="AY257" s="279"/>
      <c r="AZ257" s="279"/>
      <c r="BA257" s="279"/>
      <c r="BB257" s="279"/>
      <c r="BC257" s="279"/>
      <c r="BD257" s="279"/>
      <c r="BE257" s="279"/>
      <c r="BF257" s="279"/>
      <c r="BG257" s="279"/>
      <c r="BH257" s="279"/>
      <c r="BI257" s="279"/>
      <c r="BJ257" s="279"/>
      <c r="BK257" s="279"/>
      <c r="BL257" s="279"/>
      <c r="BM257" s="279"/>
      <c r="BN257" s="279"/>
      <c r="BO257" s="279"/>
      <c r="BP257" s="279"/>
      <c r="BQ257" s="279"/>
      <c r="BR257" s="279"/>
      <c r="BS257" s="279"/>
      <c r="BT257" s="279"/>
      <c r="BU257" s="279"/>
      <c r="BV257" s="279"/>
      <c r="BW257" s="279"/>
      <c r="BX257" s="279"/>
      <c r="BY257" s="279"/>
      <c r="BZ257" s="279"/>
      <c r="CA257" s="279"/>
      <c r="CB257" s="279"/>
      <c r="CC257" s="279"/>
      <c r="CD257" s="279"/>
      <c r="CE257" s="279"/>
      <c r="CF257" s="279"/>
      <c r="CG257" s="279"/>
      <c r="CH257" s="279"/>
      <c r="CI257" s="279"/>
      <c r="CJ257" s="279"/>
      <c r="CK257" s="279"/>
      <c r="CL257" s="279"/>
      <c r="CM257" s="279"/>
      <c r="CN257" s="382"/>
    </row>
    <row r="258" ht="17.25" customHeight="true" x14ac:dyDescent="0.3">
      <c r="B258" s="361"/>
      <c r="C258" s="279"/>
      <c r="D258" s="280"/>
      <c r="E258" s="287"/>
      <c r="F258" s="287"/>
      <c r="G258" s="287"/>
      <c r="H258" s="282" t="s">
        <v>1469</v>
      </c>
      <c r="I258" s="1166" t="s">
        <v>264</v>
      </c>
      <c r="J258" s="267" t="s">
        <v>1841</v>
      </c>
      <c r="K258" s="1960" t="s">
        <v>254</v>
      </c>
      <c r="L258" s="1961"/>
      <c r="M258" s="1184" t="s">
        <v>253</v>
      </c>
      <c r="N258" s="267" t="s">
        <v>401</v>
      </c>
      <c r="O258" s="267" t="s">
        <v>255</v>
      </c>
      <c r="P258" s="276" t="s">
        <v>1576</v>
      </c>
      <c r="Q258" s="279"/>
      <c r="R258" s="297"/>
      <c r="S258" s="298"/>
      <c r="T258" s="298"/>
      <c r="U258" s="299"/>
      <c r="V258" s="279"/>
      <c r="W258" s="279"/>
      <c r="X258" s="279"/>
      <c r="Y258" s="279"/>
      <c r="Z258" s="279"/>
      <c r="AA258" s="279"/>
      <c r="AB258" s="279"/>
      <c r="AC258" s="279"/>
      <c r="AD258" s="279"/>
      <c r="AE258" s="279"/>
      <c r="AF258" s="279"/>
      <c r="AG258" s="279"/>
      <c r="AH258" s="279"/>
      <c r="AI258" s="279"/>
      <c r="AJ258" s="279"/>
      <c r="AK258" s="279"/>
      <c r="AL258" s="279"/>
      <c r="AM258" s="279"/>
      <c r="AN258" s="279"/>
      <c r="AO258" s="279"/>
      <c r="AP258" s="279"/>
      <c r="AQ258" s="279"/>
      <c r="AR258" s="279"/>
      <c r="AS258" s="279"/>
      <c r="AT258" s="279"/>
      <c r="AU258" s="279"/>
      <c r="AV258" s="279"/>
      <c r="AW258" s="279"/>
      <c r="AX258" s="279"/>
      <c r="AY258" s="279"/>
      <c r="AZ258" s="279"/>
      <c r="BA258" s="279"/>
      <c r="BB258" s="279"/>
      <c r="BC258" s="279"/>
      <c r="BD258" s="279"/>
      <c r="BE258" s="279"/>
      <c r="BF258" s="279"/>
      <c r="BG258" s="279"/>
      <c r="BH258" s="279"/>
      <c r="BI258" s="279"/>
      <c r="BJ258" s="279"/>
      <c r="BK258" s="279"/>
      <c r="BL258" s="279"/>
      <c r="BM258" s="279"/>
      <c r="BN258" s="279"/>
      <c r="BO258" s="279"/>
      <c r="BP258" s="279"/>
      <c r="BQ258" s="279"/>
      <c r="BR258" s="279"/>
      <c r="BS258" s="279"/>
      <c r="BT258" s="279"/>
      <c r="BU258" s="279"/>
      <c r="BV258" s="279"/>
      <c r="BW258" s="279"/>
      <c r="BX258" s="279"/>
      <c r="BY258" s="279"/>
      <c r="BZ258" s="279"/>
      <c r="CA258" s="279"/>
      <c r="CB258" s="279"/>
      <c r="CC258" s="279"/>
      <c r="CD258" s="279"/>
      <c r="CE258" s="279"/>
      <c r="CF258" s="279"/>
      <c r="CG258" s="279"/>
      <c r="CH258" s="279"/>
      <c r="CI258" s="279"/>
      <c r="CJ258" s="279"/>
      <c r="CK258" s="279"/>
      <c r="CL258" s="279"/>
      <c r="CM258" s="279"/>
      <c r="CN258" s="382"/>
    </row>
    <row r="259" ht="17.25" customHeight="true" x14ac:dyDescent="0.3">
      <c r="B259" s="361"/>
      <c r="C259" s="279"/>
      <c r="D259" s="280"/>
      <c r="E259" s="287"/>
      <c r="F259" s="287"/>
      <c r="G259" s="287"/>
      <c r="H259" s="1292">
        <f t="shared" ref="H259:H308" si="14">H142</f>
        <v>1</v>
      </c>
      <c r="I259" s="1295">
        <f>IF('I. Stream &amp; Compound Data'!BI262&lt;&gt;"",'I. Stream &amp; Compound Data'!BI262,"")</f>
        <v>57.2</v>
      </c>
      <c r="J259" s="1295">
        <f>IF('I. Stream &amp; Compound Data'!AY262&lt;&gt;"",'I. Stream &amp; Compound Data'!AY262-'I. Stream &amp; Compound Data'!F$19,"")</f>
        <v>-1028.48</v>
      </c>
      <c r="K259" s="1306">
        <f>IF(H259&gt;'I. Stream &amp; Compound Data'!$F$18,"",IF(I259="","N/A",ROUND(IF(I259&lt;=0.0001,0,IF(AND(I259&gt;0.0001,I259&lt;10),0.0869*LN(I259)+0.8,1)),3)))</f>
        <v>1</v>
      </c>
      <c r="L259" s="1242" t="str">
        <f>IF(H259&gt;'I. Stream &amp; Compound Data'!$F$18,"",IF(K259="N/A",IF(J259="","N/A",IF(J259&lt;=0,0.8,IF(AND(J259&gt;0,J259&lt;200),-0.004*LN(J259)+0.8,0))),"N/A"))</f>
        <v>N/A</v>
      </c>
      <c r="M259" s="1242">
        <f>IF(H259&gt;'I. Stream &amp; Compound Data'!$F$18,"",IF(I142="","N/A",IF(K259&lt;&gt;"N/A",K259,IF(L259&lt;&gt;"N/A",L259,"NO DATA AVAILABLE"))))</f>
        <v>1</v>
      </c>
      <c r="N259" s="1242">
        <f>IF(H259&gt;'I. Stream &amp; Compound Data'!$F$18,"",IF(M259="N/A",0,IF(M259&lt;&gt;0,ROUND(10^(5*M259-4),3),0)))</f>
        <v>10</v>
      </c>
      <c r="O259" s="1242">
        <f>IF(H259&gt;'I. Stream &amp; Compound Data'!$F$18,"",MAX(K142:L142))</f>
        <v>2980.7504537999998</v>
      </c>
      <c r="P259" s="1268">
        <f>IF(H259&gt;'I. Stream &amp; Compound Data'!$F$18,"",ROUND(N259*O259,3))</f>
        <v>29807.505000000001</v>
      </c>
      <c r="Q259" s="279"/>
      <c r="R259" s="297"/>
      <c r="S259" s="298"/>
      <c r="T259" s="298"/>
      <c r="U259" s="299"/>
      <c r="V259" s="279"/>
      <c r="W259" s="279"/>
      <c r="X259" s="279"/>
      <c r="Y259" s="279"/>
      <c r="Z259" s="279"/>
      <c r="AA259" s="279"/>
      <c r="AB259" s="279"/>
      <c r="AC259" s="279"/>
      <c r="AD259" s="279"/>
      <c r="AE259" s="279"/>
      <c r="AF259" s="279"/>
      <c r="AG259" s="279"/>
      <c r="AH259" s="279"/>
      <c r="AI259" s="279"/>
      <c r="AJ259" s="279"/>
      <c r="AK259" s="279"/>
      <c r="AL259" s="279"/>
      <c r="AM259" s="279"/>
      <c r="AN259" s="279"/>
      <c r="AO259" s="279"/>
      <c r="AP259" s="279"/>
      <c r="AQ259" s="279"/>
      <c r="AR259" s="279"/>
      <c r="AS259" s="279"/>
      <c r="AT259" s="279"/>
      <c r="AU259" s="279"/>
      <c r="AV259" s="279"/>
      <c r="AW259" s="279"/>
      <c r="AX259" s="279"/>
      <c r="AY259" s="279"/>
      <c r="AZ259" s="279"/>
      <c r="BA259" s="279"/>
      <c r="BB259" s="279"/>
      <c r="BC259" s="279"/>
      <c r="BD259" s="279"/>
      <c r="BE259" s="279"/>
      <c r="BF259" s="279"/>
      <c r="BG259" s="279"/>
      <c r="BH259" s="279"/>
      <c r="BI259" s="279"/>
      <c r="BJ259" s="279"/>
      <c r="BK259" s="279"/>
      <c r="BL259" s="279"/>
      <c r="BM259" s="279"/>
      <c r="BN259" s="279"/>
      <c r="BO259" s="279"/>
      <c r="BP259" s="279"/>
      <c r="BQ259" s="279"/>
      <c r="BR259" s="279"/>
      <c r="BS259" s="279"/>
      <c r="BT259" s="279"/>
      <c r="BU259" s="279"/>
      <c r="BV259" s="279"/>
      <c r="BW259" s="279"/>
      <c r="BX259" s="279"/>
      <c r="BY259" s="279"/>
      <c r="BZ259" s="279"/>
      <c r="CA259" s="279"/>
      <c r="CB259" s="279"/>
      <c r="CC259" s="279"/>
      <c r="CD259" s="279"/>
      <c r="CE259" s="279"/>
      <c r="CF259" s="279"/>
      <c r="CG259" s="279"/>
      <c r="CH259" s="279"/>
      <c r="CI259" s="279"/>
      <c r="CJ259" s="279"/>
      <c r="CK259" s="279"/>
      <c r="CL259" s="279"/>
      <c r="CM259" s="279"/>
      <c r="CN259" s="382"/>
    </row>
    <row r="260" ht="17.25" customHeight="true" x14ac:dyDescent="0.3">
      <c r="B260" s="361"/>
      <c r="C260" s="279"/>
      <c r="D260" s="280"/>
      <c r="E260" s="287"/>
      <c r="F260" s="287"/>
      <c r="G260" s="287"/>
      <c r="H260" s="1292">
        <f t="shared" si="14"/>
        <v>2</v>
      </c>
      <c r="I260" s="1295">
        <f>IF('I. Stream &amp; Compound Data'!BI263&lt;&gt;"",'I. Stream &amp; Compound Data'!BI263,"")</f>
        <v>0.19940338517582701</v>
      </c>
      <c r="J260" s="1295">
        <f>IF('I. Stream &amp; Compound Data'!AY263&lt;&gt;"",'I. Stream &amp; Compound Data'!AY263-'I. Stream &amp; Compound Data'!F$19,"")</f>
        <v>-850</v>
      </c>
      <c r="K260" s="1306">
        <f>IF(H260&gt;'I. Stream &amp; Compound Data'!$F$18,"",IF(I260="","N/A",ROUND(IF(I260&lt;=0.0001,0,IF(AND(I260&gt;0.0001,I260&lt;10),0.0869*LN(I260)+0.8,1)),3)))</f>
        <v>0.66</v>
      </c>
      <c r="L260" s="1242" t="str">
        <f>IF(H260&gt;'I. Stream &amp; Compound Data'!$F$18,"",IF(K260="N/A",IF(J260="","N/A",IF(J260&lt;=0,0.8,IF(AND(J260&gt;0,J260&lt;200),-0.004*LN(J260)+0.8,0))),"N/A"))</f>
        <v>N/A</v>
      </c>
      <c r="M260" s="1242">
        <f>IF(H260&gt;'I. Stream &amp; Compound Data'!$F$18,"",IF(I143="","N/A",IF(K260&lt;&gt;"N/A",K260,IF(L260&lt;&gt;"N/A",L260,"NO DATA AVAILABLE"))))</f>
        <v>0.66</v>
      </c>
      <c r="N260" s="1242">
        <f>IF(H260&gt;'I. Stream &amp; Compound Data'!$F$18,"",IF(M260="N/A",0,IF(M260&lt;&gt;0,ROUND(10^(5*M260-4),3),0)))</f>
        <v>0.2</v>
      </c>
      <c r="O260" s="1242">
        <f>IF(H260&gt;'I. Stream &amp; Compound Data'!$F$18,"",MAX(K143:L143))</f>
        <v>0</v>
      </c>
      <c r="P260" s="1268">
        <f>IF(H260&gt;'I. Stream &amp; Compound Data'!$F$18,"",ROUND(N260*O260,3))</f>
        <v>0</v>
      </c>
      <c r="Q260" s="279"/>
      <c r="R260" s="297"/>
      <c r="S260" s="298"/>
      <c r="T260" s="298"/>
      <c r="U260" s="299"/>
      <c r="V260" s="279"/>
      <c r="W260" s="279"/>
      <c r="X260" s="279"/>
      <c r="Y260" s="279"/>
      <c r="Z260" s="279"/>
      <c r="AA260" s="279"/>
      <c r="AB260" s="279"/>
      <c r="AC260" s="279"/>
      <c r="AD260" s="279"/>
      <c r="AE260" s="279"/>
      <c r="AF260" s="279"/>
      <c r="AG260" s="279"/>
      <c r="AH260" s="279"/>
      <c r="AI260" s="279"/>
      <c r="AJ260" s="279"/>
      <c r="AK260" s="279"/>
      <c r="AL260" s="279"/>
      <c r="AM260" s="279"/>
      <c r="AN260" s="279"/>
      <c r="AO260" s="279"/>
      <c r="AP260" s="279"/>
      <c r="AQ260" s="279"/>
      <c r="AR260" s="279"/>
      <c r="AS260" s="279"/>
      <c r="AT260" s="279"/>
      <c r="AU260" s="279"/>
      <c r="AV260" s="279"/>
      <c r="AW260" s="279"/>
      <c r="AX260" s="279"/>
      <c r="AY260" s="279"/>
      <c r="AZ260" s="279"/>
      <c r="BA260" s="279"/>
      <c r="BB260" s="279"/>
      <c r="BC260" s="279"/>
      <c r="BD260" s="279"/>
      <c r="BE260" s="279"/>
      <c r="BF260" s="279"/>
      <c r="BG260" s="279"/>
      <c r="BH260" s="279"/>
      <c r="BI260" s="279"/>
      <c r="BJ260" s="279"/>
      <c r="BK260" s="279"/>
      <c r="BL260" s="279"/>
      <c r="BM260" s="279"/>
      <c r="BN260" s="279"/>
      <c r="BO260" s="279"/>
      <c r="BP260" s="279"/>
      <c r="BQ260" s="279"/>
      <c r="BR260" s="279"/>
      <c r="BS260" s="279"/>
      <c r="BT260" s="279"/>
      <c r="BU260" s="279"/>
      <c r="BV260" s="279"/>
      <c r="BW260" s="279"/>
      <c r="BX260" s="279"/>
      <c r="BY260" s="279"/>
      <c r="BZ260" s="279"/>
      <c r="CA260" s="279"/>
      <c r="CB260" s="279"/>
      <c r="CC260" s="279"/>
      <c r="CD260" s="279"/>
      <c r="CE260" s="279"/>
      <c r="CF260" s="279"/>
      <c r="CG260" s="279"/>
      <c r="CH260" s="279"/>
      <c r="CI260" s="279"/>
      <c r="CJ260" s="279"/>
      <c r="CK260" s="279"/>
      <c r="CL260" s="279"/>
      <c r="CM260" s="279"/>
      <c r="CN260" s="382"/>
    </row>
    <row r="261" x14ac:dyDescent="0.3">
      <c r="B261" s="361"/>
      <c r="C261" s="279"/>
      <c r="D261" s="280"/>
      <c r="E261" s="287"/>
      <c r="F261" s="287"/>
      <c r="G261" s="287"/>
      <c r="H261" s="1292">
        <f t="shared" si="14"/>
        <v>3</v>
      </c>
      <c r="I261" s="1295">
        <f>IF('I. Stream &amp; Compound Data'!BI264&lt;&gt;"",'I. Stream &amp; Compound Data'!BI264,"")</f>
        <v>0</v>
      </c>
      <c r="J261" s="1295">
        <f>IF('I. Stream &amp; Compound Data'!AY264&lt;&gt;"",'I. Stream &amp; Compound Data'!AY264-'I. Stream &amp; Compound Data'!F$19,"")</f>
        <v>1900</v>
      </c>
      <c r="K261" s="1306">
        <f>IF(H261&gt;'I. Stream &amp; Compound Data'!$F$18,"",IF(I261="","N/A",ROUND(IF(I261&lt;=0.0001,0,IF(AND(I261&gt;0.0001,I261&lt;10),0.0869*LN(I261)+0.8,1)),3)))</f>
        <v>0</v>
      </c>
      <c r="L261" s="1242" t="str">
        <f>IF(H261&gt;'I. Stream &amp; Compound Data'!$F$18,"",IF(K261="N/A",IF(J261="","N/A",IF(J261&lt;=0,0.8,IF(AND(J261&gt;0,J261&lt;200),-0.004*LN(J261)+0.8,0))),"N/A"))</f>
        <v>N/A</v>
      </c>
      <c r="M261" s="1242">
        <f>IF(H261&gt;'I. Stream &amp; Compound Data'!$F$18,"",IF(I144="","N/A",IF(K261&lt;&gt;"N/A",K261,IF(L261&lt;&gt;"N/A",L261,"NO DATA AVAILABLE"))))</f>
        <v>0</v>
      </c>
      <c r="N261" s="1242">
        <f>IF(H261&gt;'I. Stream &amp; Compound Data'!$F$18,"",IF(M261="N/A",0,IF(M261&lt;&gt;0,ROUND(10^(5*M261-4),3),0)))</f>
        <v>0</v>
      </c>
      <c r="O261" s="1242">
        <f>IF(H261&gt;'I. Stream &amp; Compound Data'!$F$18,"",MAX(K144:L144))</f>
        <v>2888.3362910273868</v>
      </c>
      <c r="P261" s="1268">
        <f>IF(H261&gt;'I. Stream &amp; Compound Data'!$F$18,"",ROUND(N261*O261,3))</f>
        <v>0</v>
      </c>
      <c r="Q261" s="279"/>
      <c r="R261" s="297"/>
      <c r="S261" s="298"/>
      <c r="T261" s="298"/>
      <c r="U261" s="299"/>
      <c r="V261" s="279"/>
      <c r="W261" s="279"/>
      <c r="X261" s="279"/>
      <c r="Y261" s="279"/>
      <c r="Z261" s="279"/>
      <c r="AA261" s="279"/>
      <c r="AB261" s="279"/>
      <c r="AC261" s="279"/>
      <c r="AD261" s="279"/>
      <c r="AE261" s="279"/>
      <c r="AF261" s="279"/>
      <c r="AG261" s="279"/>
      <c r="AH261" s="279"/>
      <c r="AI261" s="279"/>
      <c r="AJ261" s="279"/>
      <c r="AK261" s="279"/>
      <c r="AL261" s="279"/>
      <c r="AM261" s="279"/>
      <c r="AN261" s="279"/>
      <c r="AO261" s="279"/>
      <c r="AP261" s="279"/>
      <c r="AQ261" s="279"/>
      <c r="AR261" s="279"/>
      <c r="AS261" s="279"/>
      <c r="AT261" s="279"/>
      <c r="AU261" s="279"/>
      <c r="AV261" s="279"/>
      <c r="AW261" s="279"/>
      <c r="AX261" s="279"/>
      <c r="AY261" s="279"/>
      <c r="AZ261" s="279"/>
      <c r="BA261" s="279"/>
      <c r="BB261" s="279"/>
      <c r="BC261" s="279"/>
      <c r="BD261" s="279"/>
      <c r="BE261" s="279"/>
      <c r="BF261" s="279"/>
      <c r="BG261" s="279"/>
      <c r="BH261" s="279"/>
      <c r="BI261" s="279"/>
      <c r="BJ261" s="279"/>
      <c r="BK261" s="279"/>
      <c r="BL261" s="279"/>
      <c r="BM261" s="279"/>
      <c r="BN261" s="279"/>
      <c r="BO261" s="279"/>
      <c r="BP261" s="279"/>
      <c r="BQ261" s="279"/>
      <c r="BR261" s="279"/>
      <c r="BS261" s="279"/>
      <c r="BT261" s="279"/>
      <c r="BU261" s="279"/>
      <c r="BV261" s="279"/>
      <c r="BW261" s="279"/>
      <c r="BX261" s="279"/>
      <c r="BY261" s="279"/>
      <c r="BZ261" s="279"/>
      <c r="CA261" s="279"/>
      <c r="CB261" s="279"/>
      <c r="CC261" s="279"/>
      <c r="CD261" s="279"/>
      <c r="CE261" s="279"/>
      <c r="CF261" s="279"/>
      <c r="CG261" s="279"/>
      <c r="CH261" s="279"/>
      <c r="CI261" s="279"/>
      <c r="CJ261" s="279"/>
      <c r="CK261" s="279"/>
      <c r="CL261" s="279"/>
      <c r="CM261" s="279"/>
      <c r="CN261" s="382"/>
    </row>
    <row r="262" x14ac:dyDescent="0.3">
      <c r="B262" s="361"/>
      <c r="C262" s="279"/>
      <c r="D262" s="280"/>
      <c r="E262" s="287"/>
      <c r="F262" s="287"/>
      <c r="G262" s="287"/>
      <c r="H262" s="1292">
        <f t="shared" si="14"/>
        <v>4</v>
      </c>
      <c r="I262" s="1295">
        <f>IF('I. Stream &amp; Compound Data'!BI265&lt;&gt;"",'I. Stream &amp; Compound Data'!BI265,"")</f>
        <v>0</v>
      </c>
      <c r="J262" s="1295" t="str">
        <f>IF('I. Stream &amp; Compound Data'!AY265&lt;&gt;"",'I. Stream &amp; Compound Data'!AY265-'I. Stream &amp; Compound Data'!F$19,"")</f>
        <v/>
      </c>
      <c r="K262" s="1306">
        <f>IF(H262&gt;'I. Stream &amp; Compound Data'!$F$18,"",IF(I262="","N/A",ROUND(IF(I262&lt;=0.0001,0,IF(AND(I262&gt;0.0001,I262&lt;10),0.0869*LN(I262)+0.8,1)),3)))</f>
        <v>0</v>
      </c>
      <c r="L262" s="1242" t="str">
        <f>IF(H262&gt;'I. Stream &amp; Compound Data'!$F$18,"",IF(K262="N/A",IF(J262="","N/A",IF(J262&lt;=0,0.8,IF(AND(J262&gt;0,J262&lt;200),-0.004*LN(J262)+0.8,0))),"N/A"))</f>
        <v>N/A</v>
      </c>
      <c r="M262" s="1242">
        <f>IF(H262&gt;'I. Stream &amp; Compound Data'!$F$18,"",IF(I145="","N/A",IF(K262&lt;&gt;"N/A",K262,IF(L262&lt;&gt;"N/A",L262,"NO DATA AVAILABLE"))))</f>
        <v>0</v>
      </c>
      <c r="N262" s="1242">
        <f>IF(H262&gt;'I. Stream &amp; Compound Data'!$F$18,"",IF(M262="N/A",0,IF(M262&lt;&gt;0,ROUND(10^(5*M262-4),3),0)))</f>
        <v>0</v>
      </c>
      <c r="O262" s="1242">
        <f>IF(H262&gt;'I. Stream &amp; Compound Data'!$F$18,"",MAX(K145:L145))</f>
        <v>6778.7792000553327</v>
      </c>
      <c r="P262" s="1268">
        <f>IF(H262&gt;'I. Stream &amp; Compound Data'!$F$18,"",ROUND(N262*O262,3))</f>
        <v>0</v>
      </c>
      <c r="Q262" s="279"/>
      <c r="R262" s="297"/>
      <c r="S262" s="298"/>
      <c r="T262" s="298"/>
      <c r="U262" s="299"/>
      <c r="V262" s="279"/>
      <c r="W262" s="279"/>
      <c r="X262" s="279"/>
      <c r="Y262" s="279"/>
      <c r="Z262" s="279"/>
      <c r="AA262" s="279"/>
      <c r="AB262" s="279"/>
      <c r="AC262" s="279"/>
      <c r="AD262" s="279"/>
      <c r="AE262" s="279"/>
      <c r="AF262" s="279"/>
      <c r="AG262" s="279"/>
      <c r="AH262" s="279"/>
      <c r="AI262" s="279"/>
      <c r="AJ262" s="279"/>
      <c r="AK262" s="279"/>
      <c r="AL262" s="279"/>
      <c r="AM262" s="279"/>
      <c r="AN262" s="279"/>
      <c r="AO262" s="279"/>
      <c r="AP262" s="279"/>
      <c r="AQ262" s="279"/>
      <c r="AR262" s="279"/>
      <c r="AS262" s="279"/>
      <c r="AT262" s="279"/>
      <c r="AU262" s="279"/>
      <c r="AV262" s="279"/>
      <c r="AW262" s="279"/>
      <c r="AX262" s="279"/>
      <c r="AY262" s="279"/>
      <c r="AZ262" s="279"/>
      <c r="BA262" s="279"/>
      <c r="BB262" s="279"/>
      <c r="BC262" s="279"/>
      <c r="BD262" s="279"/>
      <c r="BE262" s="279"/>
      <c r="BF262" s="279"/>
      <c r="BG262" s="279"/>
      <c r="BH262" s="279"/>
      <c r="BI262" s="279"/>
      <c r="BJ262" s="279"/>
      <c r="BK262" s="279"/>
      <c r="BL262" s="279"/>
      <c r="BM262" s="279"/>
      <c r="BN262" s="279"/>
      <c r="BO262" s="279"/>
      <c r="BP262" s="279"/>
      <c r="BQ262" s="279"/>
      <c r="BR262" s="279"/>
      <c r="BS262" s="279"/>
      <c r="BT262" s="279"/>
      <c r="BU262" s="279"/>
      <c r="BV262" s="279"/>
      <c r="BW262" s="279"/>
      <c r="BX262" s="279"/>
      <c r="BY262" s="279"/>
      <c r="BZ262" s="279"/>
      <c r="CA262" s="279"/>
      <c r="CB262" s="279"/>
      <c r="CC262" s="279"/>
      <c r="CD262" s="279"/>
      <c r="CE262" s="279"/>
      <c r="CF262" s="279"/>
      <c r="CG262" s="279"/>
      <c r="CH262" s="279"/>
      <c r="CI262" s="279"/>
      <c r="CJ262" s="279"/>
      <c r="CK262" s="279"/>
      <c r="CL262" s="279"/>
      <c r="CM262" s="279"/>
      <c r="CN262" s="382"/>
    </row>
    <row r="263" x14ac:dyDescent="0.3">
      <c r="B263" s="361"/>
      <c r="C263" s="279"/>
      <c r="D263" s="280"/>
      <c r="E263" s="287"/>
      <c r="F263" s="287"/>
      <c r="G263" s="287"/>
      <c r="H263" s="1292">
        <f t="shared" si="14"/>
        <v>5</v>
      </c>
      <c r="I263" s="1295" t="str">
        <f>IF('I. Stream &amp; Compound Data'!BI266&lt;&gt;"",'I. Stream &amp; Compound Data'!BI266,"")</f>
        <v/>
      </c>
      <c r="J263" s="1295" t="str">
        <f>IF('I. Stream &amp; Compound Data'!AY266&lt;&gt;"",'I. Stream &amp; Compound Data'!AY266-'I. Stream &amp; Compound Data'!F$19,"")</f>
        <v/>
      </c>
      <c r="K263" s="1306" t="str">
        <f>IF(H263&gt;'I. Stream &amp; Compound Data'!$F$18,"",IF(I263="","N/A",ROUND(IF(I263&lt;=0.0001,0,IF(AND(I263&gt;0.0001,I263&lt;10),0.0869*LN(I263)+0.8,1)),3)))</f>
        <v/>
      </c>
      <c r="L263" s="1242" t="str">
        <f>IF(H263&gt;'I. Stream &amp; Compound Data'!$F$18,"",IF(K263="N/A",IF(J263="","N/A",IF(J263&lt;=0,0.8,IF(AND(J263&gt;0,J263&lt;200),-0.004*LN(J263)+0.8,0))),"N/A"))</f>
        <v/>
      </c>
      <c r="M263" s="1242" t="str">
        <f>IF(H263&gt;'I. Stream &amp; Compound Data'!$F$18,"",IF(I146="","N/A",IF(K263&lt;&gt;"N/A",K263,IF(L263&lt;&gt;"N/A",L263,"NO DATA AVAILABLE"))))</f>
        <v/>
      </c>
      <c r="N263" s="1242" t="str">
        <f>IF(H263&gt;'I. Stream &amp; Compound Data'!$F$18,"",IF(M263="N/A",0,IF(M263&lt;&gt;0,ROUND(10^(5*M263-4),3),0)))</f>
        <v/>
      </c>
      <c r="O263" s="1242" t="str">
        <f>IF(H263&gt;'I. Stream &amp; Compound Data'!$F$18,"",MAX(K146:L146))</f>
        <v/>
      </c>
      <c r="P263" s="1268" t="str">
        <f>IF(H263&gt;'I. Stream &amp; Compound Data'!$F$18,"",ROUND(N263*O263,3))</f>
        <v/>
      </c>
      <c r="Q263" s="279"/>
      <c r="R263" s="297"/>
      <c r="S263" s="298"/>
      <c r="T263" s="298"/>
      <c r="U263" s="299"/>
      <c r="V263" s="279"/>
      <c r="W263" s="279"/>
      <c r="X263" s="279"/>
      <c r="Y263" s="279"/>
      <c r="Z263" s="279"/>
      <c r="AA263" s="279"/>
      <c r="AB263" s="279"/>
      <c r="AC263" s="279"/>
      <c r="AD263" s="279"/>
      <c r="AE263" s="279"/>
      <c r="AF263" s="279"/>
      <c r="AG263" s="279"/>
      <c r="AH263" s="279"/>
      <c r="AI263" s="279"/>
      <c r="AJ263" s="279"/>
      <c r="AK263" s="279"/>
      <c r="AL263" s="279"/>
      <c r="AM263" s="279"/>
      <c r="AN263" s="279"/>
      <c r="AO263" s="279"/>
      <c r="AP263" s="279"/>
      <c r="AQ263" s="279"/>
      <c r="AR263" s="279"/>
      <c r="AS263" s="279"/>
      <c r="AT263" s="279"/>
      <c r="AU263" s="279"/>
      <c r="AV263" s="279"/>
      <c r="AW263" s="279"/>
      <c r="AX263" s="279"/>
      <c r="AY263" s="279"/>
      <c r="AZ263" s="279"/>
      <c r="BA263" s="279"/>
      <c r="BB263" s="279"/>
      <c r="BC263" s="279"/>
      <c r="BD263" s="279"/>
      <c r="BE263" s="279"/>
      <c r="BF263" s="279"/>
      <c r="BG263" s="279"/>
      <c r="BH263" s="279"/>
      <c r="BI263" s="279"/>
      <c r="BJ263" s="279"/>
      <c r="BK263" s="279"/>
      <c r="BL263" s="279"/>
      <c r="BM263" s="279"/>
      <c r="BN263" s="279"/>
      <c r="BO263" s="279"/>
      <c r="BP263" s="279"/>
      <c r="BQ263" s="279"/>
      <c r="BR263" s="279"/>
      <c r="BS263" s="279"/>
      <c r="BT263" s="279"/>
      <c r="BU263" s="279"/>
      <c r="BV263" s="279"/>
      <c r="BW263" s="279"/>
      <c r="BX263" s="279"/>
      <c r="BY263" s="279"/>
      <c r="BZ263" s="279"/>
      <c r="CA263" s="279"/>
      <c r="CB263" s="279"/>
      <c r="CC263" s="279"/>
      <c r="CD263" s="279"/>
      <c r="CE263" s="279"/>
      <c r="CF263" s="279"/>
      <c r="CG263" s="279"/>
      <c r="CH263" s="279"/>
      <c r="CI263" s="279"/>
      <c r="CJ263" s="279"/>
      <c r="CK263" s="279"/>
      <c r="CL263" s="279"/>
      <c r="CM263" s="279"/>
      <c r="CN263" s="382"/>
    </row>
    <row r="264" x14ac:dyDescent="0.3">
      <c r="B264" s="361"/>
      <c r="C264" s="279"/>
      <c r="D264" s="280"/>
      <c r="E264" s="287"/>
      <c r="F264" s="287"/>
      <c r="G264" s="287"/>
      <c r="H264" s="1292">
        <f t="shared" si="14"/>
        <v>6</v>
      </c>
      <c r="I264" s="1295" t="str">
        <f>IF('I. Stream &amp; Compound Data'!BI267&lt;&gt;"",'I. Stream &amp; Compound Data'!BI267,"")</f>
        <v/>
      </c>
      <c r="J264" s="1295" t="str">
        <f>IF('I. Stream &amp; Compound Data'!AY267&lt;&gt;"",'I. Stream &amp; Compound Data'!AY267-'I. Stream &amp; Compound Data'!F$19,"")</f>
        <v/>
      </c>
      <c r="K264" s="1306" t="str">
        <f>IF(H264&gt;'I. Stream &amp; Compound Data'!$F$18,"",IF(I264="","N/A",ROUND(IF(I264&lt;=0.0001,0,IF(AND(I264&gt;0.0001,I264&lt;10),0.0869*LN(I264)+0.8,1)),3)))</f>
        <v/>
      </c>
      <c r="L264" s="1242" t="str">
        <f>IF(H264&gt;'I. Stream &amp; Compound Data'!$F$18,"",IF(K264="N/A",IF(J264="","N/A",IF(J264&lt;=0,0.8,IF(AND(J264&gt;0,J264&lt;200),-0.004*LN(J264)+0.8,0))),"N/A"))</f>
        <v/>
      </c>
      <c r="M264" s="1242" t="str">
        <f>IF(H264&gt;'I. Stream &amp; Compound Data'!$F$18,"",IF(I147="","N/A",IF(K264&lt;&gt;"N/A",K264,IF(L264&lt;&gt;"N/A",L264,"NO DATA AVAILABLE"))))</f>
        <v/>
      </c>
      <c r="N264" s="1242" t="str">
        <f>IF(H264&gt;'I. Stream &amp; Compound Data'!$F$18,"",IF(M264="N/A",0,IF(M264&lt;&gt;0,ROUND(10^(5*M264-4),3),0)))</f>
        <v/>
      </c>
      <c r="O264" s="1242" t="str">
        <f>IF(H264&gt;'I. Stream &amp; Compound Data'!$F$18,"",MAX(K147:L147))</f>
        <v/>
      </c>
      <c r="P264" s="1268" t="str">
        <f>IF(H264&gt;'I. Stream &amp; Compound Data'!$F$18,"",ROUND(N264*O264,3))</f>
        <v/>
      </c>
      <c r="Q264" s="279"/>
      <c r="R264" s="297"/>
      <c r="S264" s="298"/>
      <c r="T264" s="298"/>
      <c r="U264" s="299"/>
      <c r="V264" s="279"/>
      <c r="W264" s="279"/>
      <c r="X264" s="279"/>
      <c r="Y264" s="279"/>
      <c r="Z264" s="279"/>
      <c r="AA264" s="279"/>
      <c r="AB264" s="279"/>
      <c r="AC264" s="279"/>
      <c r="AD264" s="279"/>
      <c r="AE264" s="279"/>
      <c r="AF264" s="279"/>
      <c r="AG264" s="279"/>
      <c r="AH264" s="279"/>
      <c r="AI264" s="279"/>
      <c r="AJ264" s="279"/>
      <c r="AK264" s="279"/>
      <c r="AL264" s="279"/>
      <c r="AM264" s="279"/>
      <c r="AN264" s="279"/>
      <c r="AO264" s="279"/>
      <c r="AP264" s="279"/>
      <c r="AQ264" s="279"/>
      <c r="AR264" s="279"/>
      <c r="AS264" s="279"/>
      <c r="AT264" s="279"/>
      <c r="AU264" s="279"/>
      <c r="AV264" s="279"/>
      <c r="AW264" s="279"/>
      <c r="AX264" s="279"/>
      <c r="AY264" s="279"/>
      <c r="AZ264" s="279"/>
      <c r="BA264" s="279"/>
      <c r="BB264" s="279"/>
      <c r="BC264" s="279"/>
      <c r="BD264" s="279"/>
      <c r="BE264" s="279"/>
      <c r="BF264" s="279"/>
      <c r="BG264" s="279"/>
      <c r="BH264" s="279"/>
      <c r="BI264" s="279"/>
      <c r="BJ264" s="279"/>
      <c r="BK264" s="279"/>
      <c r="BL264" s="279"/>
      <c r="BM264" s="279"/>
      <c r="BN264" s="279"/>
      <c r="BO264" s="279"/>
      <c r="BP264" s="279"/>
      <c r="BQ264" s="279"/>
      <c r="BR264" s="279"/>
      <c r="BS264" s="279"/>
      <c r="BT264" s="279"/>
      <c r="BU264" s="279"/>
      <c r="BV264" s="279"/>
      <c r="BW264" s="279"/>
      <c r="BX264" s="279"/>
      <c r="BY264" s="279"/>
      <c r="BZ264" s="279"/>
      <c r="CA264" s="279"/>
      <c r="CB264" s="279"/>
      <c r="CC264" s="279"/>
      <c r="CD264" s="279"/>
      <c r="CE264" s="279"/>
      <c r="CF264" s="279"/>
      <c r="CG264" s="279"/>
      <c r="CH264" s="279"/>
      <c r="CI264" s="279"/>
      <c r="CJ264" s="279"/>
      <c r="CK264" s="279"/>
      <c r="CL264" s="279"/>
      <c r="CM264" s="279"/>
      <c r="CN264" s="382"/>
    </row>
    <row r="265" x14ac:dyDescent="0.3">
      <c r="B265" s="361"/>
      <c r="C265" s="279"/>
      <c r="D265" s="280"/>
      <c r="E265" s="287"/>
      <c r="F265" s="287"/>
      <c r="G265" s="287"/>
      <c r="H265" s="1292">
        <f t="shared" si="14"/>
        <v>7</v>
      </c>
      <c r="I265" s="1295" t="str">
        <f>IF('I. Stream &amp; Compound Data'!BI268&lt;&gt;"",'I. Stream &amp; Compound Data'!BI268,"")</f>
        <v/>
      </c>
      <c r="J265" s="1295" t="str">
        <f>IF('I. Stream &amp; Compound Data'!AY268&lt;&gt;"",'I. Stream &amp; Compound Data'!AY268-'I. Stream &amp; Compound Data'!F$19,"")</f>
        <v/>
      </c>
      <c r="K265" s="1306" t="str">
        <f>IF(H265&gt;'I. Stream &amp; Compound Data'!$F$18,"",IF(I265="","N/A",ROUND(IF(I265&lt;=0.0001,0,IF(AND(I265&gt;0.0001,I265&lt;10),0.0869*LN(I265)+0.8,1)),3)))</f>
        <v/>
      </c>
      <c r="L265" s="1242" t="str">
        <f>IF(H265&gt;'I. Stream &amp; Compound Data'!$F$18,"",IF(K265="N/A",IF(J265="","N/A",IF(J265&lt;=0,0.8,IF(AND(J265&gt;0,J265&lt;200),-0.004*LN(J265)+0.8,0))),"N/A"))</f>
        <v/>
      </c>
      <c r="M265" s="1242" t="str">
        <f>IF(H265&gt;'I. Stream &amp; Compound Data'!$F$18,"",IF(I148="","N/A",IF(K265&lt;&gt;"N/A",K265,IF(L265&lt;&gt;"N/A",L265,"NO DATA AVAILABLE"))))</f>
        <v/>
      </c>
      <c r="N265" s="1242" t="str">
        <f>IF(H265&gt;'I. Stream &amp; Compound Data'!$F$18,"",IF(M265="N/A",0,IF(M265&lt;&gt;0,ROUND(10^(5*M265-4),3),0)))</f>
        <v/>
      </c>
      <c r="O265" s="1242" t="str">
        <f>IF(H265&gt;'I. Stream &amp; Compound Data'!$F$18,"",MAX(K148:L148))</f>
        <v/>
      </c>
      <c r="P265" s="1268" t="str">
        <f>IF(H265&gt;'I. Stream &amp; Compound Data'!$F$18,"",ROUND(N265*O265,3))</f>
        <v/>
      </c>
      <c r="Q265" s="279"/>
      <c r="R265" s="297"/>
      <c r="S265" s="298"/>
      <c r="T265" s="298"/>
      <c r="U265" s="299"/>
      <c r="V265" s="279"/>
      <c r="W265" s="279"/>
      <c r="X265" s="279"/>
      <c r="Y265" s="279"/>
      <c r="Z265" s="279"/>
      <c r="AA265" s="279"/>
      <c r="AB265" s="279"/>
      <c r="AC265" s="279"/>
      <c r="AD265" s="279"/>
      <c r="AE265" s="279"/>
      <c r="AF265" s="279"/>
      <c r="AG265" s="279"/>
      <c r="AH265" s="279"/>
      <c r="AI265" s="279"/>
      <c r="AJ265" s="279"/>
      <c r="AK265" s="279"/>
      <c r="AL265" s="279"/>
      <c r="AM265" s="279"/>
      <c r="AN265" s="279"/>
      <c r="AO265" s="279"/>
      <c r="AP265" s="279"/>
      <c r="AQ265" s="279"/>
      <c r="AR265" s="279"/>
      <c r="AS265" s="279"/>
      <c r="AT265" s="279"/>
      <c r="AU265" s="279"/>
      <c r="AV265" s="279"/>
      <c r="AW265" s="279"/>
      <c r="AX265" s="279"/>
      <c r="AY265" s="279"/>
      <c r="AZ265" s="279"/>
      <c r="BA265" s="279"/>
      <c r="BB265" s="279"/>
      <c r="BC265" s="279"/>
      <c r="BD265" s="279"/>
      <c r="BE265" s="279"/>
      <c r="BF265" s="279"/>
      <c r="BG265" s="279"/>
      <c r="BH265" s="279"/>
      <c r="BI265" s="279"/>
      <c r="BJ265" s="279"/>
      <c r="BK265" s="279"/>
      <c r="BL265" s="279"/>
      <c r="BM265" s="279"/>
      <c r="BN265" s="279"/>
      <c r="BO265" s="279"/>
      <c r="BP265" s="279"/>
      <c r="BQ265" s="279"/>
      <c r="BR265" s="279"/>
      <c r="BS265" s="279"/>
      <c r="BT265" s="279"/>
      <c r="BU265" s="279"/>
      <c r="BV265" s="279"/>
      <c r="BW265" s="279"/>
      <c r="BX265" s="279"/>
      <c r="BY265" s="279"/>
      <c r="BZ265" s="279"/>
      <c r="CA265" s="279"/>
      <c r="CB265" s="279"/>
      <c r="CC265" s="279"/>
      <c r="CD265" s="279"/>
      <c r="CE265" s="279"/>
      <c r="CF265" s="279"/>
      <c r="CG265" s="279"/>
      <c r="CH265" s="279"/>
      <c r="CI265" s="279"/>
      <c r="CJ265" s="279"/>
      <c r="CK265" s="279"/>
      <c r="CL265" s="279"/>
      <c r="CM265" s="279"/>
      <c r="CN265" s="382"/>
    </row>
    <row r="266" x14ac:dyDescent="0.3">
      <c r="B266" s="361"/>
      <c r="C266" s="279"/>
      <c r="D266" s="280"/>
      <c r="E266" s="287"/>
      <c r="F266" s="287"/>
      <c r="G266" s="287"/>
      <c r="H266" s="1292">
        <f t="shared" si="14"/>
        <v>8</v>
      </c>
      <c r="I266" s="1295" t="str">
        <f>IF('I. Stream &amp; Compound Data'!BI269&lt;&gt;"",'I. Stream &amp; Compound Data'!BI269,"")</f>
        <v/>
      </c>
      <c r="J266" s="1295" t="str">
        <f>IF('I. Stream &amp; Compound Data'!AY269&lt;&gt;"",'I. Stream &amp; Compound Data'!AY269-'I. Stream &amp; Compound Data'!F$19,"")</f>
        <v/>
      </c>
      <c r="K266" s="1306" t="str">
        <f>IF(H266&gt;'I. Stream &amp; Compound Data'!$F$18,"",IF(I266="","N/A",ROUND(IF(I266&lt;=0.0001,0,IF(AND(I266&gt;0.0001,I266&lt;10),0.0869*LN(I266)+0.8,1)),3)))</f>
        <v/>
      </c>
      <c r="L266" s="1242" t="str">
        <f>IF(H266&gt;'I. Stream &amp; Compound Data'!$F$18,"",IF(K266="N/A",IF(J266="","N/A",IF(J266&lt;=0,0.8,IF(AND(J266&gt;0,J266&lt;200),-0.004*LN(J266)+0.8,0))),"N/A"))</f>
        <v/>
      </c>
      <c r="M266" s="1242" t="str">
        <f>IF(H266&gt;'I. Stream &amp; Compound Data'!$F$18,"",IF(I149="","N/A",IF(K266&lt;&gt;"N/A",K266,IF(L266&lt;&gt;"N/A",L266,"NO DATA AVAILABLE"))))</f>
        <v/>
      </c>
      <c r="N266" s="1242" t="str">
        <f>IF(H266&gt;'I. Stream &amp; Compound Data'!$F$18,"",IF(M266="N/A",0,IF(M266&lt;&gt;0,ROUND(10^(5*M266-4),3),0)))</f>
        <v/>
      </c>
      <c r="O266" s="1242" t="str">
        <f>IF(H266&gt;'I. Stream &amp; Compound Data'!$F$18,"",MAX(K149:L149))</f>
        <v/>
      </c>
      <c r="P266" s="1268" t="str">
        <f>IF(H266&gt;'I. Stream &amp; Compound Data'!$F$18,"",ROUND(N266*O266,3))</f>
        <v/>
      </c>
      <c r="Q266" s="279"/>
      <c r="R266" s="297"/>
      <c r="S266" s="298"/>
      <c r="T266" s="298"/>
      <c r="U266" s="299"/>
      <c r="V266" s="279"/>
      <c r="W266" s="279"/>
      <c r="X266" s="279"/>
      <c r="Y266" s="279"/>
      <c r="Z266" s="279"/>
      <c r="AA266" s="279"/>
      <c r="AB266" s="279"/>
      <c r="AC266" s="279"/>
      <c r="AD266" s="279"/>
      <c r="AE266" s="279"/>
      <c r="AF266" s="279"/>
      <c r="AG266" s="279"/>
      <c r="AH266" s="279"/>
      <c r="AI266" s="279"/>
      <c r="AJ266" s="279"/>
      <c r="AK266" s="279"/>
      <c r="AL266" s="279"/>
      <c r="AM266" s="279"/>
      <c r="AN266" s="279"/>
      <c r="AO266" s="279"/>
      <c r="AP266" s="279"/>
      <c r="AQ266" s="279"/>
      <c r="AR266" s="279"/>
      <c r="AS266" s="279"/>
      <c r="AT266" s="279"/>
      <c r="AU266" s="279"/>
      <c r="AV266" s="279"/>
      <c r="AW266" s="279"/>
      <c r="AX266" s="279"/>
      <c r="AY266" s="279"/>
      <c r="AZ266" s="279"/>
      <c r="BA266" s="279"/>
      <c r="BB266" s="279"/>
      <c r="BC266" s="279"/>
      <c r="BD266" s="279"/>
      <c r="BE266" s="279"/>
      <c r="BF266" s="279"/>
      <c r="BG266" s="279"/>
      <c r="BH266" s="279"/>
      <c r="BI266" s="279"/>
      <c r="BJ266" s="279"/>
      <c r="BK266" s="279"/>
      <c r="BL266" s="279"/>
      <c r="BM266" s="279"/>
      <c r="BN266" s="279"/>
      <c r="BO266" s="279"/>
      <c r="BP266" s="279"/>
      <c r="BQ266" s="279"/>
      <c r="BR266" s="279"/>
      <c r="BS266" s="279"/>
      <c r="BT266" s="279"/>
      <c r="BU266" s="279"/>
      <c r="BV266" s="279"/>
      <c r="BW266" s="279"/>
      <c r="BX266" s="279"/>
      <c r="BY266" s="279"/>
      <c r="BZ266" s="279"/>
      <c r="CA266" s="279"/>
      <c r="CB266" s="279"/>
      <c r="CC266" s="279"/>
      <c r="CD266" s="279"/>
      <c r="CE266" s="279"/>
      <c r="CF266" s="279"/>
      <c r="CG266" s="279"/>
      <c r="CH266" s="279"/>
      <c r="CI266" s="279"/>
      <c r="CJ266" s="279"/>
      <c r="CK266" s="279"/>
      <c r="CL266" s="279"/>
      <c r="CM266" s="279"/>
      <c r="CN266" s="382"/>
    </row>
    <row r="267" x14ac:dyDescent="0.3">
      <c r="B267" s="361"/>
      <c r="C267" s="279"/>
      <c r="D267" s="280"/>
      <c r="E267" s="287"/>
      <c r="F267" s="287"/>
      <c r="G267" s="287"/>
      <c r="H267" s="1292">
        <f t="shared" si="14"/>
        <v>9</v>
      </c>
      <c r="I267" s="1295" t="str">
        <f>IF('I. Stream &amp; Compound Data'!BI270&lt;&gt;"",'I. Stream &amp; Compound Data'!BI270,"")</f>
        <v/>
      </c>
      <c r="J267" s="1295" t="str">
        <f>IF('I. Stream &amp; Compound Data'!AY270&lt;&gt;"",'I. Stream &amp; Compound Data'!AY270-'I. Stream &amp; Compound Data'!F$19,"")</f>
        <v/>
      </c>
      <c r="K267" s="1306" t="str">
        <f>IF(H267&gt;'I. Stream &amp; Compound Data'!$F$18,"",IF(I267="","N/A",ROUND(IF(I267&lt;=0.0001,0,IF(AND(I267&gt;0.0001,I267&lt;10),0.0869*LN(I267)+0.8,1)),3)))</f>
        <v/>
      </c>
      <c r="L267" s="1242" t="str">
        <f>IF(H267&gt;'I. Stream &amp; Compound Data'!$F$18,"",IF(K267="N/A",IF(J267="","N/A",IF(J267&lt;=0,0.8,IF(AND(J267&gt;0,J267&lt;200),-0.004*LN(J267)+0.8,0))),"N/A"))</f>
        <v/>
      </c>
      <c r="M267" s="1242" t="str">
        <f>IF(H267&gt;'I. Stream &amp; Compound Data'!$F$18,"",IF(I150="","N/A",IF(K267&lt;&gt;"N/A",K267,IF(L267&lt;&gt;"N/A",L267,"NO DATA AVAILABLE"))))</f>
        <v/>
      </c>
      <c r="N267" s="1242" t="str">
        <f>IF(H267&gt;'I. Stream &amp; Compound Data'!$F$18,"",IF(M267="N/A",0,IF(M267&lt;&gt;0,ROUND(10^(5*M267-4),3),0)))</f>
        <v/>
      </c>
      <c r="O267" s="1242" t="str">
        <f>IF(H267&gt;'I. Stream &amp; Compound Data'!$F$18,"",MAX(K150:L150))</f>
        <v/>
      </c>
      <c r="P267" s="1268" t="str">
        <f>IF(H267&gt;'I. Stream &amp; Compound Data'!$F$18,"",ROUND(N267*O267,3))</f>
        <v/>
      </c>
      <c r="Q267" s="279"/>
      <c r="R267" s="297"/>
      <c r="S267" s="298"/>
      <c r="T267" s="298"/>
      <c r="U267" s="299"/>
      <c r="V267" s="279"/>
      <c r="W267" s="279"/>
      <c r="X267" s="279"/>
      <c r="Y267" s="279"/>
      <c r="Z267" s="279"/>
      <c r="AA267" s="279"/>
      <c r="AB267" s="279"/>
      <c r="AC267" s="279"/>
      <c r="AD267" s="279"/>
      <c r="AE267" s="279"/>
      <c r="AF267" s="279"/>
      <c r="AG267" s="279"/>
      <c r="AH267" s="279"/>
      <c r="AI267" s="279"/>
      <c r="AJ267" s="279"/>
      <c r="AK267" s="279"/>
      <c r="AL267" s="279"/>
      <c r="AM267" s="279"/>
      <c r="AN267" s="279"/>
      <c r="AO267" s="279"/>
      <c r="AP267" s="279"/>
      <c r="AQ267" s="279"/>
      <c r="AR267" s="279"/>
      <c r="AS267" s="279"/>
      <c r="AT267" s="279"/>
      <c r="AU267" s="279"/>
      <c r="AV267" s="279"/>
      <c r="AW267" s="279"/>
      <c r="AX267" s="279"/>
      <c r="AY267" s="279"/>
      <c r="AZ267" s="279"/>
      <c r="BA267" s="279"/>
      <c r="BB267" s="279"/>
      <c r="BC267" s="279"/>
      <c r="BD267" s="279"/>
      <c r="BE267" s="279"/>
      <c r="BF267" s="279"/>
      <c r="BG267" s="279"/>
      <c r="BH267" s="279"/>
      <c r="BI267" s="279"/>
      <c r="BJ267" s="279"/>
      <c r="BK267" s="279"/>
      <c r="BL267" s="279"/>
      <c r="BM267" s="279"/>
      <c r="BN267" s="279"/>
      <c r="BO267" s="279"/>
      <c r="BP267" s="279"/>
      <c r="BQ267" s="279"/>
      <c r="BR267" s="279"/>
      <c r="BS267" s="279"/>
      <c r="BT267" s="279"/>
      <c r="BU267" s="279"/>
      <c r="BV267" s="279"/>
      <c r="BW267" s="279"/>
      <c r="BX267" s="279"/>
      <c r="BY267" s="279"/>
      <c r="BZ267" s="279"/>
      <c r="CA267" s="279"/>
      <c r="CB267" s="279"/>
      <c r="CC267" s="279"/>
      <c r="CD267" s="279"/>
      <c r="CE267" s="279"/>
      <c r="CF267" s="279"/>
      <c r="CG267" s="279"/>
      <c r="CH267" s="279"/>
      <c r="CI267" s="279"/>
      <c r="CJ267" s="279"/>
      <c r="CK267" s="279"/>
      <c r="CL267" s="279"/>
      <c r="CM267" s="279"/>
      <c r="CN267" s="382"/>
    </row>
    <row r="268" x14ac:dyDescent="0.3">
      <c r="B268" s="361"/>
      <c r="C268" s="279"/>
      <c r="D268" s="280"/>
      <c r="E268" s="287"/>
      <c r="F268" s="287"/>
      <c r="G268" s="287"/>
      <c r="H268" s="1292">
        <f t="shared" si="14"/>
        <v>10</v>
      </c>
      <c r="I268" s="1295" t="str">
        <f>IF('I. Stream &amp; Compound Data'!BI271&lt;&gt;"",'I. Stream &amp; Compound Data'!BI271,"")</f>
        <v/>
      </c>
      <c r="J268" s="1295" t="str">
        <f>IF('I. Stream &amp; Compound Data'!AY271&lt;&gt;"",'I. Stream &amp; Compound Data'!AY271-'I. Stream &amp; Compound Data'!F$19,"")</f>
        <v/>
      </c>
      <c r="K268" s="1306" t="str">
        <f>IF(H268&gt;'I. Stream &amp; Compound Data'!$F$18,"",IF(I268="","N/A",ROUND(IF(I268&lt;=0.0001,0,IF(AND(I268&gt;0.0001,I268&lt;10),0.0869*LN(I268)+0.8,1)),3)))</f>
        <v/>
      </c>
      <c r="L268" s="1242" t="str">
        <f>IF(H268&gt;'I. Stream &amp; Compound Data'!$F$18,"",IF(K268="N/A",IF(J268="","N/A",IF(J268&lt;=0,0.8,IF(AND(J268&gt;0,J268&lt;200),-0.004*LN(J268)+0.8,0))),"N/A"))</f>
        <v/>
      </c>
      <c r="M268" s="1242" t="str">
        <f>IF(H268&gt;'I. Stream &amp; Compound Data'!$F$18,"",IF(I151="","N/A",IF(K268&lt;&gt;"N/A",K268,IF(L268&lt;&gt;"N/A",L268,"NO DATA AVAILABLE"))))</f>
        <v/>
      </c>
      <c r="N268" s="1242" t="str">
        <f>IF(H268&gt;'I. Stream &amp; Compound Data'!$F$18,"",IF(M268="N/A",0,IF(M268&lt;&gt;0,ROUND(10^(5*M268-4),3),0)))</f>
        <v/>
      </c>
      <c r="O268" s="1242" t="str">
        <f>IF(H268&gt;'I. Stream &amp; Compound Data'!$F$18,"",MAX(K151:L151))</f>
        <v/>
      </c>
      <c r="P268" s="1268" t="str">
        <f>IF(H268&gt;'I. Stream &amp; Compound Data'!$F$18,"",ROUND(N268*O268,3))</f>
        <v/>
      </c>
      <c r="Q268" s="279"/>
      <c r="R268" s="297"/>
      <c r="S268" s="298"/>
      <c r="T268" s="298"/>
      <c r="U268" s="299"/>
      <c r="V268" s="279"/>
      <c r="W268" s="279"/>
      <c r="X268" s="279"/>
      <c r="Y268" s="279"/>
      <c r="Z268" s="279"/>
      <c r="AA268" s="279"/>
      <c r="AB268" s="279"/>
      <c r="AC268" s="279"/>
      <c r="AD268" s="279"/>
      <c r="AE268" s="279"/>
      <c r="AF268" s="279"/>
      <c r="AG268" s="279"/>
      <c r="AH268" s="279"/>
      <c r="AI268" s="279"/>
      <c r="AJ268" s="279"/>
      <c r="AK268" s="279"/>
      <c r="AL268" s="279"/>
      <c r="AM268" s="279"/>
      <c r="AN268" s="279"/>
      <c r="AO268" s="279"/>
      <c r="AP268" s="279"/>
      <c r="AQ268" s="279"/>
      <c r="AR268" s="279"/>
      <c r="AS268" s="279"/>
      <c r="AT268" s="279"/>
      <c r="AU268" s="279"/>
      <c r="AV268" s="279"/>
      <c r="AW268" s="279"/>
      <c r="AX268" s="279"/>
      <c r="AY268" s="279"/>
      <c r="AZ268" s="279"/>
      <c r="BA268" s="279"/>
      <c r="BB268" s="279"/>
      <c r="BC268" s="279"/>
      <c r="BD268" s="279"/>
      <c r="BE268" s="279"/>
      <c r="BF268" s="279"/>
      <c r="BG268" s="279"/>
      <c r="BH268" s="279"/>
      <c r="BI268" s="279"/>
      <c r="BJ268" s="279"/>
      <c r="BK268" s="279"/>
      <c r="BL268" s="279"/>
      <c r="BM268" s="279"/>
      <c r="BN268" s="279"/>
      <c r="BO268" s="279"/>
      <c r="BP268" s="279"/>
      <c r="BQ268" s="279"/>
      <c r="BR268" s="279"/>
      <c r="BS268" s="279"/>
      <c r="BT268" s="279"/>
      <c r="BU268" s="279"/>
      <c r="BV268" s="279"/>
      <c r="BW268" s="279"/>
      <c r="BX268" s="279"/>
      <c r="BY268" s="279"/>
      <c r="BZ268" s="279"/>
      <c r="CA268" s="279"/>
      <c r="CB268" s="279"/>
      <c r="CC268" s="279"/>
      <c r="CD268" s="279"/>
      <c r="CE268" s="279"/>
      <c r="CF268" s="279"/>
      <c r="CG268" s="279"/>
      <c r="CH268" s="279"/>
      <c r="CI268" s="279"/>
      <c r="CJ268" s="279"/>
      <c r="CK268" s="279"/>
      <c r="CL268" s="279"/>
      <c r="CM268" s="279"/>
      <c r="CN268" s="382"/>
    </row>
    <row r="269" x14ac:dyDescent="0.3">
      <c r="B269" s="361"/>
      <c r="C269" s="279"/>
      <c r="D269" s="280"/>
      <c r="E269" s="287"/>
      <c r="F269" s="287"/>
      <c r="G269" s="287"/>
      <c r="H269" s="1292">
        <f t="shared" si="14"/>
        <v>11</v>
      </c>
      <c r="I269" s="1295" t="str">
        <f>IF('I. Stream &amp; Compound Data'!BI272&lt;&gt;"",'I. Stream &amp; Compound Data'!BI272,"")</f>
        <v/>
      </c>
      <c r="J269" s="1295" t="str">
        <f>IF('I. Stream &amp; Compound Data'!AY272&lt;&gt;"",'I. Stream &amp; Compound Data'!AY272-'I. Stream &amp; Compound Data'!F$19,"")</f>
        <v/>
      </c>
      <c r="K269" s="1306" t="str">
        <f>IF(H269&gt;'I. Stream &amp; Compound Data'!$F$18,"",IF(I269="","N/A",ROUND(IF(I269&lt;=0.0001,0,IF(AND(I269&gt;0.0001,I269&lt;10),0.0869*LN(I269)+0.8,1)),3)))</f>
        <v/>
      </c>
      <c r="L269" s="1242" t="str">
        <f>IF(H269&gt;'I. Stream &amp; Compound Data'!$F$18,"",IF(K269="N/A",IF(J269="","N/A",IF(J269&lt;=0,0.8,IF(AND(J269&gt;0,J269&lt;200),-0.004*LN(J269)+0.8,0))),"N/A"))</f>
        <v/>
      </c>
      <c r="M269" s="1242" t="str">
        <f>IF(H269&gt;'I. Stream &amp; Compound Data'!$F$18,"",IF(I152="","N/A",IF(K269&lt;&gt;"N/A",K269,IF(L269&lt;&gt;"N/A",L269,"NO DATA AVAILABLE"))))</f>
        <v/>
      </c>
      <c r="N269" s="1242" t="str">
        <f>IF(H269&gt;'I. Stream &amp; Compound Data'!$F$18,"",IF(M269="N/A",0,IF(M269&lt;&gt;0,ROUND(10^(5*M269-4),3),0)))</f>
        <v/>
      </c>
      <c r="O269" s="1242" t="str">
        <f>IF(H269&gt;'I. Stream &amp; Compound Data'!$F$18,"",MAX(K152:L152))</f>
        <v/>
      </c>
      <c r="P269" s="1268" t="str">
        <f>IF(H269&gt;'I. Stream &amp; Compound Data'!$F$18,"",ROUND(N269*O269,3))</f>
        <v/>
      </c>
      <c r="Q269" s="279"/>
      <c r="R269" s="297"/>
      <c r="S269" s="298"/>
      <c r="T269" s="298"/>
      <c r="U269" s="299"/>
      <c r="V269" s="279"/>
      <c r="W269" s="279"/>
      <c r="X269" s="279"/>
      <c r="Y269" s="279"/>
      <c r="Z269" s="279"/>
      <c r="AA269" s="279"/>
      <c r="AB269" s="279"/>
      <c r="AC269" s="279"/>
      <c r="AD269" s="279"/>
      <c r="AE269" s="279"/>
      <c r="AF269" s="279"/>
      <c r="AG269" s="279"/>
      <c r="AH269" s="279"/>
      <c r="AI269" s="279"/>
      <c r="AJ269" s="279"/>
      <c r="AK269" s="279"/>
      <c r="AL269" s="279"/>
      <c r="AM269" s="279"/>
      <c r="AN269" s="279"/>
      <c r="AO269" s="279"/>
      <c r="AP269" s="279"/>
      <c r="AQ269" s="279"/>
      <c r="AR269" s="279"/>
      <c r="AS269" s="279"/>
      <c r="AT269" s="279"/>
      <c r="AU269" s="279"/>
      <c r="AV269" s="279"/>
      <c r="AW269" s="279"/>
      <c r="AX269" s="279"/>
      <c r="AY269" s="279"/>
      <c r="AZ269" s="279"/>
      <c r="BA269" s="279"/>
      <c r="BB269" s="279"/>
      <c r="BC269" s="279"/>
      <c r="BD269" s="279"/>
      <c r="BE269" s="279"/>
      <c r="BF269" s="279"/>
      <c r="BG269" s="279"/>
      <c r="BH269" s="279"/>
      <c r="BI269" s="279"/>
      <c r="BJ269" s="279"/>
      <c r="BK269" s="279"/>
      <c r="BL269" s="279"/>
      <c r="BM269" s="279"/>
      <c r="BN269" s="279"/>
      <c r="BO269" s="279"/>
      <c r="BP269" s="279"/>
      <c r="BQ269" s="279"/>
      <c r="BR269" s="279"/>
      <c r="BS269" s="279"/>
      <c r="BT269" s="279"/>
      <c r="BU269" s="279"/>
      <c r="BV269" s="279"/>
      <c r="BW269" s="279"/>
      <c r="BX269" s="279"/>
      <c r="BY269" s="279"/>
      <c r="BZ269" s="279"/>
      <c r="CA269" s="279"/>
      <c r="CB269" s="279"/>
      <c r="CC269" s="279"/>
      <c r="CD269" s="279"/>
      <c r="CE269" s="279"/>
      <c r="CF269" s="279"/>
      <c r="CG269" s="279"/>
      <c r="CH269" s="279"/>
      <c r="CI269" s="279"/>
      <c r="CJ269" s="279"/>
      <c r="CK269" s="279"/>
      <c r="CL269" s="279"/>
      <c r="CM269" s="279"/>
      <c r="CN269" s="382"/>
    </row>
    <row r="270" x14ac:dyDescent="0.3">
      <c r="B270" s="361"/>
      <c r="C270" s="279"/>
      <c r="D270" s="280"/>
      <c r="E270" s="287"/>
      <c r="F270" s="287"/>
      <c r="G270" s="287"/>
      <c r="H270" s="1292">
        <f t="shared" si="14"/>
        <v>12</v>
      </c>
      <c r="I270" s="1295" t="str">
        <f>IF('I. Stream &amp; Compound Data'!BI273&lt;&gt;"",'I. Stream &amp; Compound Data'!BI273,"")</f>
        <v/>
      </c>
      <c r="J270" s="1295" t="str">
        <f>IF('I. Stream &amp; Compound Data'!AY273&lt;&gt;"",'I. Stream &amp; Compound Data'!AY273-'I. Stream &amp; Compound Data'!F$19,"")</f>
        <v/>
      </c>
      <c r="K270" s="1306" t="str">
        <f>IF(H270&gt;'I. Stream &amp; Compound Data'!$F$18,"",IF(I270="","N/A",ROUND(IF(I270&lt;=0.0001,0,IF(AND(I270&gt;0.0001,I270&lt;10),0.0869*LN(I270)+0.8,1)),3)))</f>
        <v/>
      </c>
      <c r="L270" s="1242" t="str">
        <f>IF(H270&gt;'I. Stream &amp; Compound Data'!$F$18,"",IF(K270="N/A",IF(J270="","N/A",IF(J270&lt;=0,0.8,IF(AND(J270&gt;0,J270&lt;200),-0.004*LN(J270)+0.8,0))),"N/A"))</f>
        <v/>
      </c>
      <c r="M270" s="1242" t="str">
        <f>IF(H270&gt;'I. Stream &amp; Compound Data'!$F$18,"",IF(I153="","N/A",IF(K270&lt;&gt;"N/A",K270,IF(L270&lt;&gt;"N/A",L270,"NO DATA AVAILABLE"))))</f>
        <v/>
      </c>
      <c r="N270" s="1242" t="str">
        <f>IF(H270&gt;'I. Stream &amp; Compound Data'!$F$18,"",IF(M270="N/A",0,IF(M270&lt;&gt;0,ROUND(10^(5*M270-4),3),0)))</f>
        <v/>
      </c>
      <c r="O270" s="1242" t="str">
        <f>IF(H270&gt;'I. Stream &amp; Compound Data'!$F$18,"",MAX(K153:L153))</f>
        <v/>
      </c>
      <c r="P270" s="1268" t="str">
        <f>IF(H270&gt;'I. Stream &amp; Compound Data'!$F$18,"",ROUND(N270*O270,3))</f>
        <v/>
      </c>
      <c r="Q270" s="279"/>
      <c r="R270" s="297"/>
      <c r="S270" s="298"/>
      <c r="T270" s="298"/>
      <c r="U270" s="299"/>
      <c r="V270" s="279"/>
      <c r="W270" s="279"/>
      <c r="X270" s="279"/>
      <c r="Y270" s="279"/>
      <c r="Z270" s="279"/>
      <c r="AA270" s="279"/>
      <c r="AB270" s="279"/>
      <c r="AC270" s="279"/>
      <c r="AD270" s="279"/>
      <c r="AE270" s="279"/>
      <c r="AF270" s="279"/>
      <c r="AG270" s="279"/>
      <c r="AH270" s="279"/>
      <c r="AI270" s="279"/>
      <c r="AJ270" s="279"/>
      <c r="AK270" s="279"/>
      <c r="AL270" s="279"/>
      <c r="AM270" s="279"/>
      <c r="AN270" s="279"/>
      <c r="AO270" s="279"/>
      <c r="AP270" s="279"/>
      <c r="AQ270" s="279"/>
      <c r="AR270" s="279"/>
      <c r="AS270" s="279"/>
      <c r="AT270" s="279"/>
      <c r="AU270" s="279"/>
      <c r="AV270" s="279"/>
      <c r="AW270" s="279"/>
      <c r="AX270" s="279"/>
      <c r="AY270" s="279"/>
      <c r="AZ270" s="279"/>
      <c r="BA270" s="279"/>
      <c r="BB270" s="279"/>
      <c r="BC270" s="279"/>
      <c r="BD270" s="279"/>
      <c r="BE270" s="279"/>
      <c r="BF270" s="279"/>
      <c r="BG270" s="279"/>
      <c r="BH270" s="279"/>
      <c r="BI270" s="279"/>
      <c r="BJ270" s="279"/>
      <c r="BK270" s="279"/>
      <c r="BL270" s="279"/>
      <c r="BM270" s="279"/>
      <c r="BN270" s="279"/>
      <c r="BO270" s="279"/>
      <c r="BP270" s="279"/>
      <c r="BQ270" s="279"/>
      <c r="BR270" s="279"/>
      <c r="BS270" s="279"/>
      <c r="BT270" s="279"/>
      <c r="BU270" s="279"/>
      <c r="BV270" s="279"/>
      <c r="BW270" s="279"/>
      <c r="BX270" s="279"/>
      <c r="BY270" s="279"/>
      <c r="BZ270" s="279"/>
      <c r="CA270" s="279"/>
      <c r="CB270" s="279"/>
      <c r="CC270" s="279"/>
      <c r="CD270" s="279"/>
      <c r="CE270" s="279"/>
      <c r="CF270" s="279"/>
      <c r="CG270" s="279"/>
      <c r="CH270" s="279"/>
      <c r="CI270" s="279"/>
      <c r="CJ270" s="279"/>
      <c r="CK270" s="279"/>
      <c r="CL270" s="279"/>
      <c r="CM270" s="279"/>
      <c r="CN270" s="382"/>
    </row>
    <row r="271" x14ac:dyDescent="0.3">
      <c r="B271" s="361"/>
      <c r="C271" s="279"/>
      <c r="D271" s="280"/>
      <c r="E271" s="287"/>
      <c r="F271" s="287"/>
      <c r="G271" s="287"/>
      <c r="H271" s="1292">
        <f t="shared" si="14"/>
        <v>13</v>
      </c>
      <c r="I271" s="1295" t="str">
        <f>IF('I. Stream &amp; Compound Data'!BI274&lt;&gt;"",'I. Stream &amp; Compound Data'!BI274,"")</f>
        <v/>
      </c>
      <c r="J271" s="1295" t="str">
        <f>IF('I. Stream &amp; Compound Data'!AY274&lt;&gt;"",'I. Stream &amp; Compound Data'!AY274-'I. Stream &amp; Compound Data'!F$19,"")</f>
        <v/>
      </c>
      <c r="K271" s="1306" t="str">
        <f>IF(H271&gt;'I. Stream &amp; Compound Data'!$F$18,"",IF(I271="","N/A",ROUND(IF(I271&lt;=0.0001,0,IF(AND(I271&gt;0.0001,I271&lt;10),0.0869*LN(I271)+0.8,1)),3)))</f>
        <v/>
      </c>
      <c r="L271" s="1242" t="str">
        <f>IF(H271&gt;'I. Stream &amp; Compound Data'!$F$18,"",IF(K271="N/A",IF(J271="","N/A",IF(J271&lt;=0,0.8,IF(AND(J271&gt;0,J271&lt;200),-0.004*LN(J271)+0.8,0))),"N/A"))</f>
        <v/>
      </c>
      <c r="M271" s="1242" t="str">
        <f>IF(H271&gt;'I. Stream &amp; Compound Data'!$F$18,"",IF(I154="","N/A",IF(K271&lt;&gt;"N/A",K271,IF(L271&lt;&gt;"N/A",L271,"NO DATA AVAILABLE"))))</f>
        <v/>
      </c>
      <c r="N271" s="1242" t="str">
        <f>IF(H271&gt;'I. Stream &amp; Compound Data'!$F$18,"",IF(M271="N/A",0,IF(M271&lt;&gt;0,ROUND(10^(5*M271-4),3),0)))</f>
        <v/>
      </c>
      <c r="O271" s="1242" t="str">
        <f>IF(H271&gt;'I. Stream &amp; Compound Data'!$F$18,"",MAX(K154:L154))</f>
        <v/>
      </c>
      <c r="P271" s="1268" t="str">
        <f>IF(H271&gt;'I. Stream &amp; Compound Data'!$F$18,"",ROUND(N271*O271,3))</f>
        <v/>
      </c>
      <c r="Q271" s="279"/>
      <c r="R271" s="297"/>
      <c r="S271" s="298"/>
      <c r="T271" s="298"/>
      <c r="U271" s="299"/>
      <c r="V271" s="279"/>
      <c r="W271" s="279"/>
      <c r="X271" s="279"/>
      <c r="Y271" s="279"/>
      <c r="Z271" s="279"/>
      <c r="AA271" s="279"/>
      <c r="AB271" s="279"/>
      <c r="AC271" s="279"/>
      <c r="AD271" s="279"/>
      <c r="AE271" s="279"/>
      <c r="AF271" s="279"/>
      <c r="AG271" s="279"/>
      <c r="AH271" s="279"/>
      <c r="AI271" s="279"/>
      <c r="AJ271" s="279"/>
      <c r="AK271" s="279"/>
      <c r="AL271" s="279"/>
      <c r="AM271" s="279"/>
      <c r="AN271" s="279"/>
      <c r="AO271" s="279"/>
      <c r="AP271" s="279"/>
      <c r="AQ271" s="279"/>
      <c r="AR271" s="279"/>
      <c r="AS271" s="279"/>
      <c r="AT271" s="279"/>
      <c r="AU271" s="279"/>
      <c r="AV271" s="279"/>
      <c r="AW271" s="279"/>
      <c r="AX271" s="279"/>
      <c r="AY271" s="279"/>
      <c r="AZ271" s="279"/>
      <c r="BA271" s="279"/>
      <c r="BB271" s="279"/>
      <c r="BC271" s="279"/>
      <c r="BD271" s="279"/>
      <c r="BE271" s="279"/>
      <c r="BF271" s="279"/>
      <c r="BG271" s="279"/>
      <c r="BH271" s="279"/>
      <c r="BI271" s="279"/>
      <c r="BJ271" s="279"/>
      <c r="BK271" s="279"/>
      <c r="BL271" s="279"/>
      <c r="BM271" s="279"/>
      <c r="BN271" s="279"/>
      <c r="BO271" s="279"/>
      <c r="BP271" s="279"/>
      <c r="BQ271" s="279"/>
      <c r="BR271" s="279"/>
      <c r="BS271" s="279"/>
      <c r="BT271" s="279"/>
      <c r="BU271" s="279"/>
      <c r="BV271" s="279"/>
      <c r="BW271" s="279"/>
      <c r="BX271" s="279"/>
      <c r="BY271" s="279"/>
      <c r="BZ271" s="279"/>
      <c r="CA271" s="279"/>
      <c r="CB271" s="279"/>
      <c r="CC271" s="279"/>
      <c r="CD271" s="279"/>
      <c r="CE271" s="279"/>
      <c r="CF271" s="279"/>
      <c r="CG271" s="279"/>
      <c r="CH271" s="279"/>
      <c r="CI271" s="279"/>
      <c r="CJ271" s="279"/>
      <c r="CK271" s="279"/>
      <c r="CL271" s="279"/>
      <c r="CM271" s="279"/>
      <c r="CN271" s="382"/>
    </row>
    <row r="272" x14ac:dyDescent="0.3">
      <c r="B272" s="361"/>
      <c r="C272" s="279"/>
      <c r="D272" s="280"/>
      <c r="E272" s="287"/>
      <c r="F272" s="287"/>
      <c r="G272" s="287"/>
      <c r="H272" s="1292">
        <f t="shared" si="14"/>
        <v>14</v>
      </c>
      <c r="I272" s="1295" t="str">
        <f>IF('I. Stream &amp; Compound Data'!BI275&lt;&gt;"",'I. Stream &amp; Compound Data'!BI275,"")</f>
        <v/>
      </c>
      <c r="J272" s="1295" t="str">
        <f>IF('I. Stream &amp; Compound Data'!AY275&lt;&gt;"",'I. Stream &amp; Compound Data'!AY275-'I. Stream &amp; Compound Data'!F$19,"")</f>
        <v/>
      </c>
      <c r="K272" s="1306" t="str">
        <f>IF(H272&gt;'I. Stream &amp; Compound Data'!$F$18,"",IF(I272="","N/A",ROUND(IF(I272&lt;=0.0001,0,IF(AND(I272&gt;0.0001,I272&lt;10),0.0869*LN(I272)+0.8,1)),3)))</f>
        <v/>
      </c>
      <c r="L272" s="1242" t="str">
        <f>IF(H272&gt;'I. Stream &amp; Compound Data'!$F$18,"",IF(K272="N/A",IF(J272="","N/A",IF(J272&lt;=0,0.8,IF(AND(J272&gt;0,J272&lt;200),-0.004*LN(J272)+0.8,0))),"N/A"))</f>
        <v/>
      </c>
      <c r="M272" s="1242" t="str">
        <f>IF(H272&gt;'I. Stream &amp; Compound Data'!$F$18,"",IF(I155="","N/A",IF(K272&lt;&gt;"N/A",K272,IF(L272&lt;&gt;"N/A",L272,"NO DATA AVAILABLE"))))</f>
        <v/>
      </c>
      <c r="N272" s="1242" t="str">
        <f>IF(H272&gt;'I. Stream &amp; Compound Data'!$F$18,"",IF(M272="N/A",0,IF(M272&lt;&gt;0,ROUND(10^(5*M272-4),3),0)))</f>
        <v/>
      </c>
      <c r="O272" s="1242" t="str">
        <f>IF(H272&gt;'I. Stream &amp; Compound Data'!$F$18,"",MAX(K155:L155))</f>
        <v/>
      </c>
      <c r="P272" s="1268" t="str">
        <f>IF(H272&gt;'I. Stream &amp; Compound Data'!$F$18,"",ROUND(N272*O272,3))</f>
        <v/>
      </c>
      <c r="Q272" s="279"/>
      <c r="R272" s="297"/>
      <c r="S272" s="298"/>
      <c r="T272" s="298"/>
      <c r="U272" s="299"/>
      <c r="V272" s="279"/>
      <c r="W272" s="279"/>
      <c r="X272" s="279"/>
      <c r="Y272" s="279"/>
      <c r="Z272" s="279"/>
      <c r="AA272" s="279"/>
      <c r="AB272" s="279"/>
      <c r="AC272" s="279"/>
      <c r="AD272" s="279"/>
      <c r="AE272" s="279"/>
      <c r="AF272" s="279"/>
      <c r="AG272" s="279"/>
      <c r="AH272" s="279"/>
      <c r="AI272" s="279"/>
      <c r="AJ272" s="279"/>
      <c r="AK272" s="279"/>
      <c r="AL272" s="279"/>
      <c r="AM272" s="279"/>
      <c r="AN272" s="279"/>
      <c r="AO272" s="279"/>
      <c r="AP272" s="279"/>
      <c r="AQ272" s="279"/>
      <c r="AR272" s="279"/>
      <c r="AS272" s="279"/>
      <c r="AT272" s="279"/>
      <c r="AU272" s="279"/>
      <c r="AV272" s="279"/>
      <c r="AW272" s="279"/>
      <c r="AX272" s="279"/>
      <c r="AY272" s="279"/>
      <c r="AZ272" s="279"/>
      <c r="BA272" s="279"/>
      <c r="BB272" s="279"/>
      <c r="BC272" s="279"/>
      <c r="BD272" s="279"/>
      <c r="BE272" s="279"/>
      <c r="BF272" s="279"/>
      <c r="BG272" s="279"/>
      <c r="BH272" s="279"/>
      <c r="BI272" s="279"/>
      <c r="BJ272" s="279"/>
      <c r="BK272" s="279"/>
      <c r="BL272" s="279"/>
      <c r="BM272" s="279"/>
      <c r="BN272" s="279"/>
      <c r="BO272" s="279"/>
      <c r="BP272" s="279"/>
      <c r="BQ272" s="279"/>
      <c r="BR272" s="279"/>
      <c r="BS272" s="279"/>
      <c r="BT272" s="279"/>
      <c r="BU272" s="279"/>
      <c r="BV272" s="279"/>
      <c r="BW272" s="279"/>
      <c r="BX272" s="279"/>
      <c r="BY272" s="279"/>
      <c r="BZ272" s="279"/>
      <c r="CA272" s="279"/>
      <c r="CB272" s="279"/>
      <c r="CC272" s="279"/>
      <c r="CD272" s="279"/>
      <c r="CE272" s="279"/>
      <c r="CF272" s="279"/>
      <c r="CG272" s="279"/>
      <c r="CH272" s="279"/>
      <c r="CI272" s="279"/>
      <c r="CJ272" s="279"/>
      <c r="CK272" s="279"/>
      <c r="CL272" s="279"/>
      <c r="CM272" s="279"/>
      <c r="CN272" s="382"/>
    </row>
    <row r="273" x14ac:dyDescent="0.3">
      <c r="B273" s="361"/>
      <c r="C273" s="279"/>
      <c r="D273" s="280"/>
      <c r="E273" s="287"/>
      <c r="F273" s="287"/>
      <c r="G273" s="287"/>
      <c r="H273" s="1292">
        <f t="shared" si="14"/>
        <v>15</v>
      </c>
      <c r="I273" s="1295" t="str">
        <f>IF('I. Stream &amp; Compound Data'!BI276&lt;&gt;"",'I. Stream &amp; Compound Data'!BI276,"")</f>
        <v/>
      </c>
      <c r="J273" s="1295" t="str">
        <f>IF('I. Stream &amp; Compound Data'!AY276&lt;&gt;"",'I. Stream &amp; Compound Data'!AY276-'I. Stream &amp; Compound Data'!F$19,"")</f>
        <v/>
      </c>
      <c r="K273" s="1306" t="str">
        <f>IF(H273&gt;'I. Stream &amp; Compound Data'!$F$18,"",IF(I273="","N/A",ROUND(IF(I273&lt;=0.0001,0,IF(AND(I273&gt;0.0001,I273&lt;10),0.0869*LN(I273)+0.8,1)),3)))</f>
        <v/>
      </c>
      <c r="L273" s="1242" t="str">
        <f>IF(H273&gt;'I. Stream &amp; Compound Data'!$F$18,"",IF(K273="N/A",IF(J273="","N/A",IF(J273&lt;=0,0.8,IF(AND(J273&gt;0,J273&lt;200),-0.004*LN(J273)+0.8,0))),"N/A"))</f>
        <v/>
      </c>
      <c r="M273" s="1242" t="str">
        <f>IF(H273&gt;'I. Stream &amp; Compound Data'!$F$18,"",IF(I156="","N/A",IF(K273&lt;&gt;"N/A",K273,IF(L273&lt;&gt;"N/A",L273,"NO DATA AVAILABLE"))))</f>
        <v/>
      </c>
      <c r="N273" s="1242" t="str">
        <f>IF(H273&gt;'I. Stream &amp; Compound Data'!$F$18,"",IF(M273="N/A",0,IF(M273&lt;&gt;0,ROUND(10^(5*M273-4),3),0)))</f>
        <v/>
      </c>
      <c r="O273" s="1242" t="str">
        <f>IF(H273&gt;'I. Stream &amp; Compound Data'!$F$18,"",MAX(K156:L156))</f>
        <v/>
      </c>
      <c r="P273" s="1268" t="str">
        <f>IF(H273&gt;'I. Stream &amp; Compound Data'!$F$18,"",ROUND(N273*O273,3))</f>
        <v/>
      </c>
      <c r="Q273" s="279"/>
      <c r="R273" s="297"/>
      <c r="S273" s="298"/>
      <c r="T273" s="298"/>
      <c r="U273" s="299"/>
      <c r="V273" s="279"/>
      <c r="W273" s="279"/>
      <c r="X273" s="279"/>
      <c r="Y273" s="279"/>
      <c r="Z273" s="279"/>
      <c r="AA273" s="279"/>
      <c r="AB273" s="279"/>
      <c r="AC273" s="279"/>
      <c r="AD273" s="279"/>
      <c r="AE273" s="279"/>
      <c r="AF273" s="279"/>
      <c r="AG273" s="279"/>
      <c r="AH273" s="279"/>
      <c r="AI273" s="279"/>
      <c r="AJ273" s="279"/>
      <c r="AK273" s="279"/>
      <c r="AL273" s="279"/>
      <c r="AM273" s="279"/>
      <c r="AN273" s="279"/>
      <c r="AO273" s="279"/>
      <c r="AP273" s="279"/>
      <c r="AQ273" s="279"/>
      <c r="AR273" s="279"/>
      <c r="AS273" s="279"/>
      <c r="AT273" s="279"/>
      <c r="AU273" s="279"/>
      <c r="AV273" s="279"/>
      <c r="AW273" s="279"/>
      <c r="AX273" s="279"/>
      <c r="AY273" s="279"/>
      <c r="AZ273" s="279"/>
      <c r="BA273" s="279"/>
      <c r="BB273" s="279"/>
      <c r="BC273" s="279"/>
      <c r="BD273" s="279"/>
      <c r="BE273" s="279"/>
      <c r="BF273" s="279"/>
      <c r="BG273" s="279"/>
      <c r="BH273" s="279"/>
      <c r="BI273" s="279"/>
      <c r="BJ273" s="279"/>
      <c r="BK273" s="279"/>
      <c r="BL273" s="279"/>
      <c r="BM273" s="279"/>
      <c r="BN273" s="279"/>
      <c r="BO273" s="279"/>
      <c r="BP273" s="279"/>
      <c r="BQ273" s="279"/>
      <c r="BR273" s="279"/>
      <c r="BS273" s="279"/>
      <c r="BT273" s="279"/>
      <c r="BU273" s="279"/>
      <c r="BV273" s="279"/>
      <c r="BW273" s="279"/>
      <c r="BX273" s="279"/>
      <c r="BY273" s="279"/>
      <c r="BZ273" s="279"/>
      <c r="CA273" s="279"/>
      <c r="CB273" s="279"/>
      <c r="CC273" s="279"/>
      <c r="CD273" s="279"/>
      <c r="CE273" s="279"/>
      <c r="CF273" s="279"/>
      <c r="CG273" s="279"/>
      <c r="CH273" s="279"/>
      <c r="CI273" s="279"/>
      <c r="CJ273" s="279"/>
      <c r="CK273" s="279"/>
      <c r="CL273" s="279"/>
      <c r="CM273" s="279"/>
      <c r="CN273" s="382"/>
    </row>
    <row r="274" x14ac:dyDescent="0.3">
      <c r="B274" s="361"/>
      <c r="C274" s="279"/>
      <c r="D274" s="280"/>
      <c r="E274" s="287"/>
      <c r="F274" s="287"/>
      <c r="G274" s="287"/>
      <c r="H274" s="1292">
        <f t="shared" si="14"/>
        <v>16</v>
      </c>
      <c r="I274" s="1295" t="str">
        <f>IF('I. Stream &amp; Compound Data'!BI277&lt;&gt;"",'I. Stream &amp; Compound Data'!BI277,"")</f>
        <v/>
      </c>
      <c r="J274" s="1295" t="str">
        <f>IF('I. Stream &amp; Compound Data'!AY277&lt;&gt;"",'I. Stream &amp; Compound Data'!AY277-'I. Stream &amp; Compound Data'!F$19,"")</f>
        <v/>
      </c>
      <c r="K274" s="1306" t="str">
        <f>IF(H274&gt;'I. Stream &amp; Compound Data'!$F$18,"",IF(I274="","N/A",ROUND(IF(I274&lt;=0.0001,0,IF(AND(I274&gt;0.0001,I274&lt;10),0.0869*LN(I274)+0.8,1)),3)))</f>
        <v/>
      </c>
      <c r="L274" s="1242" t="str">
        <f>IF(H274&gt;'I. Stream &amp; Compound Data'!$F$18,"",IF(K274="N/A",IF(J274="","N/A",IF(J274&lt;=0,0.8,IF(AND(J274&gt;0,J274&lt;200),-0.004*LN(J274)+0.8,0))),"N/A"))</f>
        <v/>
      </c>
      <c r="M274" s="1242" t="str">
        <f>IF(H274&gt;'I. Stream &amp; Compound Data'!$F$18,"",IF(I157="","N/A",IF(K274&lt;&gt;"N/A",K274,IF(L274&lt;&gt;"N/A",L274,"NO DATA AVAILABLE"))))</f>
        <v/>
      </c>
      <c r="N274" s="1242" t="str">
        <f>IF(H274&gt;'I. Stream &amp; Compound Data'!$F$18,"",IF(M274="N/A",0,IF(M274&lt;&gt;0,ROUND(10^(5*M274-4),3),0)))</f>
        <v/>
      </c>
      <c r="O274" s="1242" t="str">
        <f>IF(H274&gt;'I. Stream &amp; Compound Data'!$F$18,"",MAX(K157:L157))</f>
        <v/>
      </c>
      <c r="P274" s="1268" t="str">
        <f>IF(H274&gt;'I. Stream &amp; Compound Data'!$F$18,"",ROUND(N274*O274,3))</f>
        <v/>
      </c>
      <c r="Q274" s="279"/>
      <c r="R274" s="297"/>
      <c r="S274" s="298"/>
      <c r="T274" s="298"/>
      <c r="U274" s="299"/>
      <c r="V274" s="279"/>
      <c r="W274" s="279"/>
      <c r="X274" s="279"/>
      <c r="Y274" s="279"/>
      <c r="Z274" s="279"/>
      <c r="AA274" s="279"/>
      <c r="AB274" s="279"/>
      <c r="AC274" s="279"/>
      <c r="AD274" s="279"/>
      <c r="AE274" s="279"/>
      <c r="AF274" s="279"/>
      <c r="AG274" s="279"/>
      <c r="AH274" s="279"/>
      <c r="AI274" s="279"/>
      <c r="AJ274" s="279"/>
      <c r="AK274" s="279"/>
      <c r="AL274" s="279"/>
      <c r="AM274" s="279"/>
      <c r="AN274" s="279"/>
      <c r="AO274" s="279"/>
      <c r="AP274" s="279"/>
      <c r="AQ274" s="279"/>
      <c r="AR274" s="279"/>
      <c r="AS274" s="279"/>
      <c r="AT274" s="279"/>
      <c r="AU274" s="279"/>
      <c r="AV274" s="279"/>
      <c r="AW274" s="279"/>
      <c r="AX274" s="279"/>
      <c r="AY274" s="279"/>
      <c r="AZ274" s="279"/>
      <c r="BA274" s="279"/>
      <c r="BB274" s="279"/>
      <c r="BC274" s="279"/>
      <c r="BD274" s="279"/>
      <c r="BE274" s="279"/>
      <c r="BF274" s="279"/>
      <c r="BG274" s="279"/>
      <c r="BH274" s="279"/>
      <c r="BI274" s="279"/>
      <c r="BJ274" s="279"/>
      <c r="BK274" s="279"/>
      <c r="BL274" s="279"/>
      <c r="BM274" s="279"/>
      <c r="BN274" s="279"/>
      <c r="BO274" s="279"/>
      <c r="BP274" s="279"/>
      <c r="BQ274" s="279"/>
      <c r="BR274" s="279"/>
      <c r="BS274" s="279"/>
      <c r="BT274" s="279"/>
      <c r="BU274" s="279"/>
      <c r="BV274" s="279"/>
      <c r="BW274" s="279"/>
      <c r="BX274" s="279"/>
      <c r="BY274" s="279"/>
      <c r="BZ274" s="279"/>
      <c r="CA274" s="279"/>
      <c r="CB274" s="279"/>
      <c r="CC274" s="279"/>
      <c r="CD274" s="279"/>
      <c r="CE274" s="279"/>
      <c r="CF274" s="279"/>
      <c r="CG274" s="279"/>
      <c r="CH274" s="279"/>
      <c r="CI274" s="279"/>
      <c r="CJ274" s="279"/>
      <c r="CK274" s="279"/>
      <c r="CL274" s="279"/>
      <c r="CM274" s="279"/>
      <c r="CN274" s="382"/>
    </row>
    <row r="275" x14ac:dyDescent="0.3">
      <c r="B275" s="361"/>
      <c r="C275" s="279"/>
      <c r="D275" s="280"/>
      <c r="E275" s="287"/>
      <c r="F275" s="287"/>
      <c r="G275" s="287"/>
      <c r="H275" s="1292">
        <f t="shared" si="14"/>
        <v>17</v>
      </c>
      <c r="I275" s="1295" t="str">
        <f>IF('I. Stream &amp; Compound Data'!BI278&lt;&gt;"",'I. Stream &amp; Compound Data'!BI278,"")</f>
        <v/>
      </c>
      <c r="J275" s="1295" t="str">
        <f>IF('I. Stream &amp; Compound Data'!AY278&lt;&gt;"",'I. Stream &amp; Compound Data'!AY278-'I. Stream &amp; Compound Data'!F$19,"")</f>
        <v/>
      </c>
      <c r="K275" s="1306" t="str">
        <f>IF(H275&gt;'I. Stream &amp; Compound Data'!$F$18,"",IF(I275="","N/A",ROUND(IF(I275&lt;=0.0001,0,IF(AND(I275&gt;0.0001,I275&lt;10),0.0869*LN(I275)+0.8,1)),3)))</f>
        <v/>
      </c>
      <c r="L275" s="1242" t="str">
        <f>IF(H275&gt;'I. Stream &amp; Compound Data'!$F$18,"",IF(K275="N/A",IF(J275="","N/A",IF(J275&lt;=0,0.8,IF(AND(J275&gt;0,J275&lt;200),-0.004*LN(J275)+0.8,0))),"N/A"))</f>
        <v/>
      </c>
      <c r="M275" s="1242" t="str">
        <f>IF(H275&gt;'I. Stream &amp; Compound Data'!$F$18,"",IF(I158="","N/A",IF(K275&lt;&gt;"N/A",K275,IF(L275&lt;&gt;"N/A",L275,"NO DATA AVAILABLE"))))</f>
        <v/>
      </c>
      <c r="N275" s="1242" t="str">
        <f>IF(H275&gt;'I. Stream &amp; Compound Data'!$F$18,"",IF(M275="N/A",0,IF(M275&lt;&gt;0,ROUND(10^(5*M275-4),3),0)))</f>
        <v/>
      </c>
      <c r="O275" s="1242" t="str">
        <f>IF(H275&gt;'I. Stream &amp; Compound Data'!$F$18,"",MAX(K158:L158))</f>
        <v/>
      </c>
      <c r="P275" s="1268" t="str">
        <f>IF(H275&gt;'I. Stream &amp; Compound Data'!$F$18,"",ROUND(N275*O275,3))</f>
        <v/>
      </c>
      <c r="Q275" s="279"/>
      <c r="R275" s="297"/>
      <c r="S275" s="298"/>
      <c r="T275" s="298"/>
      <c r="U275" s="299"/>
      <c r="V275" s="279"/>
      <c r="W275" s="279"/>
      <c r="X275" s="279"/>
      <c r="Y275" s="279"/>
      <c r="Z275" s="279"/>
      <c r="AA275" s="279"/>
      <c r="AB275" s="279"/>
      <c r="AC275" s="279"/>
      <c r="AD275" s="279"/>
      <c r="AE275" s="279"/>
      <c r="AF275" s="279"/>
      <c r="AG275" s="279"/>
      <c r="AH275" s="279"/>
      <c r="AI275" s="279"/>
      <c r="AJ275" s="279"/>
      <c r="AK275" s="279"/>
      <c r="AL275" s="279"/>
      <c r="AM275" s="279"/>
      <c r="AN275" s="279"/>
      <c r="AO275" s="279"/>
      <c r="AP275" s="279"/>
      <c r="AQ275" s="279"/>
      <c r="AR275" s="279"/>
      <c r="AS275" s="279"/>
      <c r="AT275" s="279"/>
      <c r="AU275" s="279"/>
      <c r="AV275" s="279"/>
      <c r="AW275" s="279"/>
      <c r="AX275" s="279"/>
      <c r="AY275" s="279"/>
      <c r="AZ275" s="279"/>
      <c r="BA275" s="279"/>
      <c r="BB275" s="279"/>
      <c r="BC275" s="279"/>
      <c r="BD275" s="279"/>
      <c r="BE275" s="279"/>
      <c r="BF275" s="279"/>
      <c r="BG275" s="279"/>
      <c r="BH275" s="279"/>
      <c r="BI275" s="279"/>
      <c r="BJ275" s="279"/>
      <c r="BK275" s="279"/>
      <c r="BL275" s="279"/>
      <c r="BM275" s="279"/>
      <c r="BN275" s="279"/>
      <c r="BO275" s="279"/>
      <c r="BP275" s="279"/>
      <c r="BQ275" s="279"/>
      <c r="BR275" s="279"/>
      <c r="BS275" s="279"/>
      <c r="BT275" s="279"/>
      <c r="BU275" s="279"/>
      <c r="BV275" s="279"/>
      <c r="BW275" s="279"/>
      <c r="BX275" s="279"/>
      <c r="BY275" s="279"/>
      <c r="BZ275" s="279"/>
      <c r="CA275" s="279"/>
      <c r="CB275" s="279"/>
      <c r="CC275" s="279"/>
      <c r="CD275" s="279"/>
      <c r="CE275" s="279"/>
      <c r="CF275" s="279"/>
      <c r="CG275" s="279"/>
      <c r="CH275" s="279"/>
      <c r="CI275" s="279"/>
      <c r="CJ275" s="279"/>
      <c r="CK275" s="279"/>
      <c r="CL275" s="279"/>
      <c r="CM275" s="279"/>
      <c r="CN275" s="382"/>
    </row>
    <row r="276" x14ac:dyDescent="0.3">
      <c r="B276" s="361"/>
      <c r="C276" s="279"/>
      <c r="D276" s="280"/>
      <c r="E276" s="287"/>
      <c r="F276" s="287"/>
      <c r="G276" s="287"/>
      <c r="H276" s="1292">
        <f t="shared" si="14"/>
        <v>18</v>
      </c>
      <c r="I276" s="1295" t="str">
        <f>IF('I. Stream &amp; Compound Data'!BI279&lt;&gt;"",'I. Stream &amp; Compound Data'!BI279,"")</f>
        <v/>
      </c>
      <c r="J276" s="1295" t="str">
        <f>IF('I. Stream &amp; Compound Data'!AY279&lt;&gt;"",'I. Stream &amp; Compound Data'!AY279-'I. Stream &amp; Compound Data'!F$19,"")</f>
        <v/>
      </c>
      <c r="K276" s="1306" t="str">
        <f>IF(H276&gt;'I. Stream &amp; Compound Data'!$F$18,"",IF(I276="","N/A",ROUND(IF(I276&lt;=0.0001,0,IF(AND(I276&gt;0.0001,I276&lt;10),0.0869*LN(I276)+0.8,1)),3)))</f>
        <v/>
      </c>
      <c r="L276" s="1242" t="str">
        <f>IF(H276&gt;'I. Stream &amp; Compound Data'!$F$18,"",IF(K276="N/A",IF(J276="","N/A",IF(J276&lt;=0,0.8,IF(AND(J276&gt;0,J276&lt;200),-0.004*LN(J276)+0.8,0))),"N/A"))</f>
        <v/>
      </c>
      <c r="M276" s="1242" t="str">
        <f>IF(H276&gt;'I. Stream &amp; Compound Data'!$F$18,"",IF(I159="","N/A",IF(K276&lt;&gt;"N/A",K276,IF(L276&lt;&gt;"N/A",L276,"NO DATA AVAILABLE"))))</f>
        <v/>
      </c>
      <c r="N276" s="1242" t="str">
        <f>IF(H276&gt;'I. Stream &amp; Compound Data'!$F$18,"",IF(M276="N/A",0,IF(M276&lt;&gt;0,ROUND(10^(5*M276-4),3),0)))</f>
        <v/>
      </c>
      <c r="O276" s="1242" t="str">
        <f>IF(H276&gt;'I. Stream &amp; Compound Data'!$F$18,"",MAX(K159:L159))</f>
        <v/>
      </c>
      <c r="P276" s="1268" t="str">
        <f>IF(H276&gt;'I. Stream &amp; Compound Data'!$F$18,"",ROUND(N276*O276,3))</f>
        <v/>
      </c>
      <c r="Q276" s="279"/>
      <c r="R276" s="297"/>
      <c r="S276" s="298"/>
      <c r="T276" s="298"/>
      <c r="U276" s="299"/>
      <c r="V276" s="279"/>
      <c r="W276" s="279"/>
      <c r="X276" s="279"/>
      <c r="Y276" s="279"/>
      <c r="Z276" s="279"/>
      <c r="AA276" s="279"/>
      <c r="AB276" s="279"/>
      <c r="AC276" s="279"/>
      <c r="AD276" s="279"/>
      <c r="AE276" s="279"/>
      <c r="AF276" s="279"/>
      <c r="AG276" s="279"/>
      <c r="AH276" s="279"/>
      <c r="AI276" s="279"/>
      <c r="AJ276" s="279"/>
      <c r="AK276" s="279"/>
      <c r="AL276" s="279"/>
      <c r="AM276" s="279"/>
      <c r="AN276" s="279"/>
      <c r="AO276" s="279"/>
      <c r="AP276" s="279"/>
      <c r="AQ276" s="279"/>
      <c r="AR276" s="279"/>
      <c r="AS276" s="279"/>
      <c r="AT276" s="279"/>
      <c r="AU276" s="279"/>
      <c r="AV276" s="279"/>
      <c r="AW276" s="279"/>
      <c r="AX276" s="279"/>
      <c r="AY276" s="279"/>
      <c r="AZ276" s="279"/>
      <c r="BA276" s="279"/>
      <c r="BB276" s="279"/>
      <c r="BC276" s="279"/>
      <c r="BD276" s="279"/>
      <c r="BE276" s="279"/>
      <c r="BF276" s="279"/>
      <c r="BG276" s="279"/>
      <c r="BH276" s="279"/>
      <c r="BI276" s="279"/>
      <c r="BJ276" s="279"/>
      <c r="BK276" s="279"/>
      <c r="BL276" s="279"/>
      <c r="BM276" s="279"/>
      <c r="BN276" s="279"/>
      <c r="BO276" s="279"/>
      <c r="BP276" s="279"/>
      <c r="BQ276" s="279"/>
      <c r="BR276" s="279"/>
      <c r="BS276" s="279"/>
      <c r="BT276" s="279"/>
      <c r="BU276" s="279"/>
      <c r="BV276" s="279"/>
      <c r="BW276" s="279"/>
      <c r="BX276" s="279"/>
      <c r="BY276" s="279"/>
      <c r="BZ276" s="279"/>
      <c r="CA276" s="279"/>
      <c r="CB276" s="279"/>
      <c r="CC276" s="279"/>
      <c r="CD276" s="279"/>
      <c r="CE276" s="279"/>
      <c r="CF276" s="279"/>
      <c r="CG276" s="279"/>
      <c r="CH276" s="279"/>
      <c r="CI276" s="279"/>
      <c r="CJ276" s="279"/>
      <c r="CK276" s="279"/>
      <c r="CL276" s="279"/>
      <c r="CM276" s="279"/>
      <c r="CN276" s="382"/>
    </row>
    <row r="277" x14ac:dyDescent="0.3">
      <c r="B277" s="361"/>
      <c r="C277" s="279"/>
      <c r="D277" s="280"/>
      <c r="E277" s="287"/>
      <c r="F277" s="287"/>
      <c r="G277" s="287"/>
      <c r="H277" s="1292">
        <f t="shared" si="14"/>
        <v>19</v>
      </c>
      <c r="I277" s="1295" t="str">
        <f>IF('I. Stream &amp; Compound Data'!BI280&lt;&gt;"",'I. Stream &amp; Compound Data'!BI280,"")</f>
        <v/>
      </c>
      <c r="J277" s="1295" t="str">
        <f>IF('I. Stream &amp; Compound Data'!AY280&lt;&gt;"",'I. Stream &amp; Compound Data'!AY280-'I. Stream &amp; Compound Data'!F$19,"")</f>
        <v/>
      </c>
      <c r="K277" s="1306" t="str">
        <f>IF(H277&gt;'I. Stream &amp; Compound Data'!$F$18,"",IF(I277="","N/A",ROUND(IF(I277&lt;=0.0001,0,IF(AND(I277&gt;0.0001,I277&lt;10),0.0869*LN(I277)+0.8,1)),3)))</f>
        <v/>
      </c>
      <c r="L277" s="1242" t="str">
        <f>IF(H277&gt;'I. Stream &amp; Compound Data'!$F$18,"",IF(K277="N/A",IF(J277="","N/A",IF(J277&lt;=0,0.8,IF(AND(J277&gt;0,J277&lt;200),-0.004*LN(J277)+0.8,0))),"N/A"))</f>
        <v/>
      </c>
      <c r="M277" s="1242" t="str">
        <f>IF(H277&gt;'I. Stream &amp; Compound Data'!$F$18,"",IF(I160="","N/A",IF(K277&lt;&gt;"N/A",K277,IF(L277&lt;&gt;"N/A",L277,"NO DATA AVAILABLE"))))</f>
        <v/>
      </c>
      <c r="N277" s="1242" t="str">
        <f>IF(H277&gt;'I. Stream &amp; Compound Data'!$F$18,"",IF(M277="N/A",0,IF(M277&lt;&gt;0,ROUND(10^(5*M277-4),3),0)))</f>
        <v/>
      </c>
      <c r="O277" s="1242" t="str">
        <f>IF(H277&gt;'I. Stream &amp; Compound Data'!$F$18,"",MAX(K160:L160))</f>
        <v/>
      </c>
      <c r="P277" s="1268" t="str">
        <f>IF(H277&gt;'I. Stream &amp; Compound Data'!$F$18,"",ROUND(N277*O277,3))</f>
        <v/>
      </c>
      <c r="Q277" s="279"/>
      <c r="R277" s="297"/>
      <c r="S277" s="298"/>
      <c r="T277" s="298"/>
      <c r="U277" s="299"/>
      <c r="V277" s="279"/>
      <c r="W277" s="279"/>
      <c r="X277" s="279"/>
      <c r="Y277" s="279"/>
      <c r="Z277" s="279"/>
      <c r="AA277" s="279"/>
      <c r="AB277" s="279"/>
      <c r="AC277" s="279"/>
      <c r="AD277" s="279"/>
      <c r="AE277" s="279"/>
      <c r="AF277" s="279"/>
      <c r="AG277" s="279"/>
      <c r="AH277" s="279"/>
      <c r="AI277" s="279"/>
      <c r="AJ277" s="279"/>
      <c r="AK277" s="279"/>
      <c r="AL277" s="279"/>
      <c r="AM277" s="279"/>
      <c r="AN277" s="279"/>
      <c r="AO277" s="279"/>
      <c r="AP277" s="279"/>
      <c r="AQ277" s="279"/>
      <c r="AR277" s="279"/>
      <c r="AS277" s="279"/>
      <c r="AT277" s="279"/>
      <c r="AU277" s="279"/>
      <c r="AV277" s="279"/>
      <c r="AW277" s="279"/>
      <c r="AX277" s="279"/>
      <c r="AY277" s="279"/>
      <c r="AZ277" s="279"/>
      <c r="BA277" s="279"/>
      <c r="BB277" s="279"/>
      <c r="BC277" s="279"/>
      <c r="BD277" s="279"/>
      <c r="BE277" s="279"/>
      <c r="BF277" s="279"/>
      <c r="BG277" s="279"/>
      <c r="BH277" s="279"/>
      <c r="BI277" s="279"/>
      <c r="BJ277" s="279"/>
      <c r="BK277" s="279"/>
      <c r="BL277" s="279"/>
      <c r="BM277" s="279"/>
      <c r="BN277" s="279"/>
      <c r="BO277" s="279"/>
      <c r="BP277" s="279"/>
      <c r="BQ277" s="279"/>
      <c r="BR277" s="279"/>
      <c r="BS277" s="279"/>
      <c r="BT277" s="279"/>
      <c r="BU277" s="279"/>
      <c r="BV277" s="279"/>
      <c r="BW277" s="279"/>
      <c r="BX277" s="279"/>
      <c r="BY277" s="279"/>
      <c r="BZ277" s="279"/>
      <c r="CA277" s="279"/>
      <c r="CB277" s="279"/>
      <c r="CC277" s="279"/>
      <c r="CD277" s="279"/>
      <c r="CE277" s="279"/>
      <c r="CF277" s="279"/>
      <c r="CG277" s="279"/>
      <c r="CH277" s="279"/>
      <c r="CI277" s="279"/>
      <c r="CJ277" s="279"/>
      <c r="CK277" s="279"/>
      <c r="CL277" s="279"/>
      <c r="CM277" s="279"/>
      <c r="CN277" s="382"/>
    </row>
    <row r="278" x14ac:dyDescent="0.3">
      <c r="B278" s="361"/>
      <c r="C278" s="279"/>
      <c r="D278" s="280"/>
      <c r="E278" s="287"/>
      <c r="F278" s="287"/>
      <c r="G278" s="287"/>
      <c r="H278" s="1292">
        <f t="shared" si="14"/>
        <v>20</v>
      </c>
      <c r="I278" s="1295" t="str">
        <f>IF('I. Stream &amp; Compound Data'!BI281&lt;&gt;"",'I. Stream &amp; Compound Data'!BI281,"")</f>
        <v/>
      </c>
      <c r="J278" s="1295" t="str">
        <f>IF('I. Stream &amp; Compound Data'!AY281&lt;&gt;"",'I. Stream &amp; Compound Data'!AY281-'I. Stream &amp; Compound Data'!F$19,"")</f>
        <v/>
      </c>
      <c r="K278" s="1306" t="str">
        <f>IF(H278&gt;'I. Stream &amp; Compound Data'!$F$18,"",IF(I278="","N/A",ROUND(IF(I278&lt;=0.0001,0,IF(AND(I278&gt;0.0001,I278&lt;10),0.0869*LN(I278)+0.8,1)),3)))</f>
        <v/>
      </c>
      <c r="L278" s="1242" t="str">
        <f>IF(H278&gt;'I. Stream &amp; Compound Data'!$F$18,"",IF(K278="N/A",IF(J278="","N/A",IF(J278&lt;=0,0.8,IF(AND(J278&gt;0,J278&lt;200),-0.004*LN(J278)+0.8,0))),"N/A"))</f>
        <v/>
      </c>
      <c r="M278" s="1242" t="str">
        <f>IF(H278&gt;'I. Stream &amp; Compound Data'!$F$18,"",IF(I161="","N/A",IF(K278&lt;&gt;"N/A",K278,IF(L278&lt;&gt;"N/A",L278,"NO DATA AVAILABLE"))))</f>
        <v/>
      </c>
      <c r="N278" s="1242" t="str">
        <f>IF(H278&gt;'I. Stream &amp; Compound Data'!$F$18,"",IF(M278="N/A",0,IF(M278&lt;&gt;0,ROUND(10^(5*M278-4),3),0)))</f>
        <v/>
      </c>
      <c r="O278" s="1242" t="str">
        <f>IF(H278&gt;'I. Stream &amp; Compound Data'!$F$18,"",MAX(K161:L161))</f>
        <v/>
      </c>
      <c r="P278" s="1268" t="str">
        <f>IF(H278&gt;'I. Stream &amp; Compound Data'!$F$18,"",ROUND(N278*O278,3))</f>
        <v/>
      </c>
      <c r="Q278" s="279"/>
      <c r="R278" s="297"/>
      <c r="S278" s="298"/>
      <c r="T278" s="298"/>
      <c r="U278" s="299"/>
      <c r="V278" s="279"/>
      <c r="W278" s="279"/>
      <c r="X278" s="279"/>
      <c r="Y278" s="279"/>
      <c r="Z278" s="279"/>
      <c r="AA278" s="279"/>
      <c r="AB278" s="279"/>
      <c r="AC278" s="279"/>
      <c r="AD278" s="279"/>
      <c r="AE278" s="279"/>
      <c r="AF278" s="279"/>
      <c r="AG278" s="279"/>
      <c r="AH278" s="279"/>
      <c r="AI278" s="279"/>
      <c r="AJ278" s="279"/>
      <c r="AK278" s="279"/>
      <c r="AL278" s="279"/>
      <c r="AM278" s="279"/>
      <c r="AN278" s="279"/>
      <c r="AO278" s="279"/>
      <c r="AP278" s="279"/>
      <c r="AQ278" s="279"/>
      <c r="AR278" s="279"/>
      <c r="AS278" s="279"/>
      <c r="AT278" s="279"/>
      <c r="AU278" s="279"/>
      <c r="AV278" s="279"/>
      <c r="AW278" s="279"/>
      <c r="AX278" s="279"/>
      <c r="AY278" s="279"/>
      <c r="AZ278" s="279"/>
      <c r="BA278" s="279"/>
      <c r="BB278" s="279"/>
      <c r="BC278" s="279"/>
      <c r="BD278" s="279"/>
      <c r="BE278" s="279"/>
      <c r="BF278" s="279"/>
      <c r="BG278" s="279"/>
      <c r="BH278" s="279"/>
      <c r="BI278" s="279"/>
      <c r="BJ278" s="279"/>
      <c r="BK278" s="279"/>
      <c r="BL278" s="279"/>
      <c r="BM278" s="279"/>
      <c r="BN278" s="279"/>
      <c r="BO278" s="279"/>
      <c r="BP278" s="279"/>
      <c r="BQ278" s="279"/>
      <c r="BR278" s="279"/>
      <c r="BS278" s="279"/>
      <c r="BT278" s="279"/>
      <c r="BU278" s="279"/>
      <c r="BV278" s="279"/>
      <c r="BW278" s="279"/>
      <c r="BX278" s="279"/>
      <c r="BY278" s="279"/>
      <c r="BZ278" s="279"/>
      <c r="CA278" s="279"/>
      <c r="CB278" s="279"/>
      <c r="CC278" s="279"/>
      <c r="CD278" s="279"/>
      <c r="CE278" s="279"/>
      <c r="CF278" s="279"/>
      <c r="CG278" s="279"/>
      <c r="CH278" s="279"/>
      <c r="CI278" s="279"/>
      <c r="CJ278" s="279"/>
      <c r="CK278" s="279"/>
      <c r="CL278" s="279"/>
      <c r="CM278" s="279"/>
      <c r="CN278" s="382"/>
    </row>
    <row r="279" ht="20.25" customHeight="true" x14ac:dyDescent="0.3">
      <c r="B279" s="361"/>
      <c r="C279" s="279"/>
      <c r="D279" s="280"/>
      <c r="E279" s="287"/>
      <c r="F279" s="287"/>
      <c r="G279" s="287"/>
      <c r="H279" s="1292">
        <f t="shared" si="14"/>
        <v>21</v>
      </c>
      <c r="I279" s="1295" t="str">
        <f>IF('I. Stream &amp; Compound Data'!BI282&lt;&gt;"",'I. Stream &amp; Compound Data'!BI282,"")</f>
        <v/>
      </c>
      <c r="J279" s="1295" t="str">
        <f>IF('I. Stream &amp; Compound Data'!AY282&lt;&gt;"",'I. Stream &amp; Compound Data'!AY282-'I. Stream &amp; Compound Data'!F$19,"")</f>
        <v/>
      </c>
      <c r="K279" s="1306" t="str">
        <f>IF(H279&gt;'I. Stream &amp; Compound Data'!$F$18,"",IF(I279="","N/A",ROUND(IF(I279&lt;=0.0001,0,IF(AND(I279&gt;0.0001,I279&lt;10),0.0869*LN(I279)+0.8,1)),3)))</f>
        <v/>
      </c>
      <c r="L279" s="1242" t="str">
        <f>IF(H279&gt;'I. Stream &amp; Compound Data'!$F$18,"",IF(K279="N/A",IF(J279="","N/A",IF(J279&lt;=0,0.8,IF(AND(J279&gt;0,J279&lt;200),-0.004*LN(J279)+0.8,0))),"N/A"))</f>
        <v/>
      </c>
      <c r="M279" s="1242" t="str">
        <f>IF(H279&gt;'I. Stream &amp; Compound Data'!$F$18,"",IF(I162="","N/A",IF(K279&lt;&gt;"N/A",K279,IF(L279&lt;&gt;"N/A",L279,"NO DATA AVAILABLE"))))</f>
        <v/>
      </c>
      <c r="N279" s="1242" t="str">
        <f>IF(H279&gt;'I. Stream &amp; Compound Data'!$F$18,"",IF(M279="N/A",0,IF(M279&lt;&gt;0,ROUND(10^(5*M279-4),3),0)))</f>
        <v/>
      </c>
      <c r="O279" s="1242" t="str">
        <f>IF(H279&gt;'I. Stream &amp; Compound Data'!$F$18,"",MAX(K162:L162))</f>
        <v/>
      </c>
      <c r="P279" s="1268" t="str">
        <f>IF(H279&gt;'I. Stream &amp; Compound Data'!$F$18,"",ROUND(N279*O279,3))</f>
        <v/>
      </c>
      <c r="Q279" s="279"/>
      <c r="R279" s="297"/>
      <c r="S279" s="298"/>
      <c r="T279" s="298"/>
      <c r="U279" s="299"/>
      <c r="V279" s="279"/>
      <c r="W279" s="279"/>
      <c r="X279" s="279"/>
      <c r="Y279" s="279"/>
      <c r="Z279" s="279"/>
      <c r="AA279" s="279"/>
      <c r="AB279" s="279"/>
      <c r="AC279" s="279"/>
      <c r="AD279" s="279"/>
      <c r="AE279" s="279"/>
      <c r="AF279" s="279"/>
      <c r="AG279" s="279"/>
      <c r="AH279" s="279"/>
      <c r="AI279" s="279"/>
      <c r="AJ279" s="279"/>
      <c r="AK279" s="279"/>
      <c r="AL279" s="279"/>
      <c r="AM279" s="279"/>
      <c r="AN279" s="279"/>
      <c r="AO279" s="279"/>
      <c r="AP279" s="279"/>
      <c r="AQ279" s="279"/>
      <c r="AR279" s="279"/>
      <c r="AS279" s="279"/>
      <c r="AT279" s="279"/>
      <c r="AU279" s="279"/>
      <c r="AV279" s="279"/>
      <c r="AW279" s="279"/>
      <c r="AX279" s="279"/>
      <c r="AY279" s="279"/>
      <c r="AZ279" s="279"/>
      <c r="BA279" s="279"/>
      <c r="BB279" s="279"/>
      <c r="BC279" s="279"/>
      <c r="BD279" s="279"/>
      <c r="BE279" s="279"/>
      <c r="BF279" s="279"/>
      <c r="BG279" s="279"/>
      <c r="BH279" s="279"/>
      <c r="BI279" s="279"/>
      <c r="BJ279" s="279"/>
      <c r="BK279" s="279"/>
      <c r="BL279" s="279"/>
      <c r="BM279" s="279"/>
      <c r="BN279" s="279"/>
      <c r="BO279" s="279"/>
      <c r="BP279" s="279"/>
      <c r="BQ279" s="279"/>
      <c r="BR279" s="279"/>
      <c r="BS279" s="279"/>
      <c r="BT279" s="279"/>
      <c r="BU279" s="279"/>
      <c r="BV279" s="279"/>
      <c r="BW279" s="279"/>
      <c r="BX279" s="279"/>
      <c r="BY279" s="279"/>
      <c r="BZ279" s="279"/>
      <c r="CA279" s="279"/>
      <c r="CB279" s="279"/>
      <c r="CC279" s="279"/>
      <c r="CD279" s="279"/>
      <c r="CE279" s="279"/>
      <c r="CF279" s="279"/>
      <c r="CG279" s="279"/>
      <c r="CH279" s="279"/>
      <c r="CI279" s="279"/>
      <c r="CJ279" s="279"/>
      <c r="CK279" s="279"/>
      <c r="CL279" s="279"/>
      <c r="CM279" s="279"/>
      <c r="CN279" s="382"/>
    </row>
    <row r="280" ht="20.25" customHeight="true" x14ac:dyDescent="0.3">
      <c r="B280" s="361"/>
      <c r="C280" s="279"/>
      <c r="D280" s="280"/>
      <c r="E280" s="287"/>
      <c r="F280" s="287"/>
      <c r="G280" s="287"/>
      <c r="H280" s="1292">
        <f t="shared" si="14"/>
        <v>22</v>
      </c>
      <c r="I280" s="1295" t="str">
        <f>IF('I. Stream &amp; Compound Data'!BI283&lt;&gt;"",'I. Stream &amp; Compound Data'!BI283,"")</f>
        <v/>
      </c>
      <c r="J280" s="1295" t="str">
        <f>IF('I. Stream &amp; Compound Data'!AY283&lt;&gt;"",'I. Stream &amp; Compound Data'!AY283-'I. Stream &amp; Compound Data'!F$19,"")</f>
        <v/>
      </c>
      <c r="K280" s="1306" t="str">
        <f>IF(H280&gt;'I. Stream &amp; Compound Data'!$F$18,"",IF(I280="","N/A",ROUND(IF(I280&lt;=0.0001,0,IF(AND(I280&gt;0.0001,I280&lt;10),0.0869*LN(I280)+0.8,1)),3)))</f>
        <v/>
      </c>
      <c r="L280" s="1242" t="str">
        <f>IF(H280&gt;'I. Stream &amp; Compound Data'!$F$18,"",IF(K280="N/A",IF(J280="","N/A",IF(J280&lt;=0,0.8,IF(AND(J280&gt;0,J280&lt;200),-0.004*LN(J280)+0.8,0))),"N/A"))</f>
        <v/>
      </c>
      <c r="M280" s="1242" t="str">
        <f>IF(H280&gt;'I. Stream &amp; Compound Data'!$F$18,"",IF(I163="","N/A",IF(K280&lt;&gt;"N/A",K280,IF(L280&lt;&gt;"N/A",L280,"NO DATA AVAILABLE"))))</f>
        <v/>
      </c>
      <c r="N280" s="1242" t="str">
        <f>IF(H280&gt;'I. Stream &amp; Compound Data'!$F$18,"",IF(M280="N/A",0,IF(M280&lt;&gt;0,ROUND(10^(5*M280-4),3),0)))</f>
        <v/>
      </c>
      <c r="O280" s="1242" t="str">
        <f>IF(H280&gt;'I. Stream &amp; Compound Data'!$F$18,"",MAX(K163:L163))</f>
        <v/>
      </c>
      <c r="P280" s="1268" t="str">
        <f>IF(H280&gt;'I. Stream &amp; Compound Data'!$F$18,"",ROUND(N280*O280,3))</f>
        <v/>
      </c>
      <c r="Q280" s="279"/>
      <c r="R280" s="297"/>
      <c r="S280" s="298"/>
      <c r="T280" s="298"/>
      <c r="U280" s="299"/>
      <c r="V280" s="279"/>
      <c r="W280" s="279"/>
      <c r="X280" s="279"/>
      <c r="Y280" s="279"/>
      <c r="Z280" s="279"/>
      <c r="AA280" s="279"/>
      <c r="AB280" s="279"/>
      <c r="AC280" s="279"/>
      <c r="AD280" s="279"/>
      <c r="AE280" s="279"/>
      <c r="AF280" s="279"/>
      <c r="AG280" s="279"/>
      <c r="AH280" s="279"/>
      <c r="AI280" s="279"/>
      <c r="AJ280" s="279"/>
      <c r="AK280" s="279"/>
      <c r="AL280" s="279"/>
      <c r="AM280" s="279"/>
      <c r="AN280" s="279"/>
      <c r="AO280" s="279"/>
      <c r="AP280" s="279"/>
      <c r="AQ280" s="279"/>
      <c r="AR280" s="279"/>
      <c r="AS280" s="279"/>
      <c r="AT280" s="279"/>
      <c r="AU280" s="279"/>
      <c r="AV280" s="279"/>
      <c r="AW280" s="279"/>
      <c r="AX280" s="279"/>
      <c r="AY280" s="279"/>
      <c r="AZ280" s="279"/>
      <c r="BA280" s="279"/>
      <c r="BB280" s="279"/>
      <c r="BC280" s="279"/>
      <c r="BD280" s="279"/>
      <c r="BE280" s="279"/>
      <c r="BF280" s="279"/>
      <c r="BG280" s="279"/>
      <c r="BH280" s="279"/>
      <c r="BI280" s="279"/>
      <c r="BJ280" s="279"/>
      <c r="BK280" s="279"/>
      <c r="BL280" s="279"/>
      <c r="BM280" s="279"/>
      <c r="BN280" s="279"/>
      <c r="BO280" s="279"/>
      <c r="BP280" s="279"/>
      <c r="BQ280" s="279"/>
      <c r="BR280" s="279"/>
      <c r="BS280" s="279"/>
      <c r="BT280" s="279"/>
      <c r="BU280" s="279"/>
      <c r="BV280" s="279"/>
      <c r="BW280" s="279"/>
      <c r="BX280" s="279"/>
      <c r="BY280" s="279"/>
      <c r="BZ280" s="279"/>
      <c r="CA280" s="279"/>
      <c r="CB280" s="279"/>
      <c r="CC280" s="279"/>
      <c r="CD280" s="279"/>
      <c r="CE280" s="279"/>
      <c r="CF280" s="279"/>
      <c r="CG280" s="279"/>
      <c r="CH280" s="279"/>
      <c r="CI280" s="279"/>
      <c r="CJ280" s="279"/>
      <c r="CK280" s="279"/>
      <c r="CL280" s="279"/>
      <c r="CM280" s="279"/>
      <c r="CN280" s="382"/>
    </row>
    <row r="281" ht="20.25" customHeight="true" x14ac:dyDescent="0.3">
      <c r="B281" s="361"/>
      <c r="C281" s="279"/>
      <c r="D281" s="280"/>
      <c r="E281" s="287"/>
      <c r="F281" s="287"/>
      <c r="G281" s="287"/>
      <c r="H281" s="1292">
        <f t="shared" si="14"/>
        <v>23</v>
      </c>
      <c r="I281" s="1295" t="str">
        <f>IF('I. Stream &amp; Compound Data'!BI284&lt;&gt;"",'I. Stream &amp; Compound Data'!BI284,"")</f>
        <v/>
      </c>
      <c r="J281" s="1295" t="str">
        <f>IF('I. Stream &amp; Compound Data'!AY284&lt;&gt;"",'I. Stream &amp; Compound Data'!AY284-'I. Stream &amp; Compound Data'!F$19,"")</f>
        <v/>
      </c>
      <c r="K281" s="1306" t="str">
        <f>IF(H281&gt;'I. Stream &amp; Compound Data'!$F$18,"",IF(I281="","N/A",ROUND(IF(I281&lt;=0.0001,0,IF(AND(I281&gt;0.0001,I281&lt;10),0.0869*LN(I281)+0.8,1)),3)))</f>
        <v/>
      </c>
      <c r="L281" s="1242" t="str">
        <f>IF(H281&gt;'I. Stream &amp; Compound Data'!$F$18,"",IF(K281="N/A",IF(J281="","N/A",IF(J281&lt;=0,0.8,IF(AND(J281&gt;0,J281&lt;200),-0.004*LN(J281)+0.8,0))),"N/A"))</f>
        <v/>
      </c>
      <c r="M281" s="1242" t="str">
        <f>IF(H281&gt;'I. Stream &amp; Compound Data'!$F$18,"",IF(I164="","N/A",IF(K281&lt;&gt;"N/A",K281,IF(L281&lt;&gt;"N/A",L281,"NO DATA AVAILABLE"))))</f>
        <v/>
      </c>
      <c r="N281" s="1242" t="str">
        <f>IF(H281&gt;'I. Stream &amp; Compound Data'!$F$18,"",IF(M281="N/A",0,IF(M281&lt;&gt;0,ROUND(10^(5*M281-4),3),0)))</f>
        <v/>
      </c>
      <c r="O281" s="1242" t="str">
        <f>IF(H281&gt;'I. Stream &amp; Compound Data'!$F$18,"",MAX(K164:L164))</f>
        <v/>
      </c>
      <c r="P281" s="1268" t="str">
        <f>IF(H281&gt;'I. Stream &amp; Compound Data'!$F$18,"",ROUND(N281*O281,3))</f>
        <v/>
      </c>
      <c r="Q281" s="279"/>
      <c r="R281" s="297"/>
      <c r="S281" s="298"/>
      <c r="T281" s="298"/>
      <c r="U281" s="299"/>
      <c r="V281" s="279"/>
      <c r="W281" s="279"/>
      <c r="X281" s="279"/>
      <c r="Y281" s="279"/>
      <c r="Z281" s="279"/>
      <c r="AA281" s="279"/>
      <c r="AB281" s="279"/>
      <c r="AC281" s="279"/>
      <c r="AD281" s="279"/>
      <c r="AE281" s="279"/>
      <c r="AF281" s="279"/>
      <c r="AG281" s="279"/>
      <c r="AH281" s="279"/>
      <c r="AI281" s="279"/>
      <c r="AJ281" s="279"/>
      <c r="AK281" s="279"/>
      <c r="AL281" s="279"/>
      <c r="AM281" s="279"/>
      <c r="AN281" s="279"/>
      <c r="AO281" s="279"/>
      <c r="AP281" s="279"/>
      <c r="AQ281" s="279"/>
      <c r="AR281" s="279"/>
      <c r="AS281" s="279"/>
      <c r="AT281" s="279"/>
      <c r="AU281" s="279"/>
      <c r="AV281" s="279"/>
      <c r="AW281" s="279"/>
      <c r="AX281" s="279"/>
      <c r="AY281" s="279"/>
      <c r="AZ281" s="279"/>
      <c r="BA281" s="279"/>
      <c r="BB281" s="279"/>
      <c r="BC281" s="279"/>
      <c r="BD281" s="279"/>
      <c r="BE281" s="279"/>
      <c r="BF281" s="279"/>
      <c r="BG281" s="279"/>
      <c r="BH281" s="279"/>
      <c r="BI281" s="279"/>
      <c r="BJ281" s="279"/>
      <c r="BK281" s="279"/>
      <c r="BL281" s="279"/>
      <c r="BM281" s="279"/>
      <c r="BN281" s="279"/>
      <c r="BO281" s="279"/>
      <c r="BP281" s="279"/>
      <c r="BQ281" s="279"/>
      <c r="BR281" s="279"/>
      <c r="BS281" s="279"/>
      <c r="BT281" s="279"/>
      <c r="BU281" s="279"/>
      <c r="BV281" s="279"/>
      <c r="BW281" s="279"/>
      <c r="BX281" s="279"/>
      <c r="BY281" s="279"/>
      <c r="BZ281" s="279"/>
      <c r="CA281" s="279"/>
      <c r="CB281" s="279"/>
      <c r="CC281" s="279"/>
      <c r="CD281" s="279"/>
      <c r="CE281" s="279"/>
      <c r="CF281" s="279"/>
      <c r="CG281" s="279"/>
      <c r="CH281" s="279"/>
      <c r="CI281" s="279"/>
      <c r="CJ281" s="279"/>
      <c r="CK281" s="279"/>
      <c r="CL281" s="279"/>
      <c r="CM281" s="279"/>
      <c r="CN281" s="382"/>
    </row>
    <row r="282" ht="20.25" customHeight="true" x14ac:dyDescent="0.3">
      <c r="B282" s="361"/>
      <c r="C282" s="279"/>
      <c r="D282" s="280"/>
      <c r="E282" s="287"/>
      <c r="F282" s="287"/>
      <c r="G282" s="287"/>
      <c r="H282" s="1292">
        <f t="shared" si="14"/>
        <v>24</v>
      </c>
      <c r="I282" s="1295" t="str">
        <f>IF('I. Stream &amp; Compound Data'!BI285&lt;&gt;"",'I. Stream &amp; Compound Data'!BI285,"")</f>
        <v/>
      </c>
      <c r="J282" s="1295" t="str">
        <f>IF('I. Stream &amp; Compound Data'!AY285&lt;&gt;"",'I. Stream &amp; Compound Data'!AY285-'I. Stream &amp; Compound Data'!F$19,"")</f>
        <v/>
      </c>
      <c r="K282" s="1306" t="str">
        <f>IF(H282&gt;'I. Stream &amp; Compound Data'!$F$18,"",IF(I282="","N/A",ROUND(IF(I282&lt;=0.0001,0,IF(AND(I282&gt;0.0001,I282&lt;10),0.0869*LN(I282)+0.8,1)),3)))</f>
        <v/>
      </c>
      <c r="L282" s="1242" t="str">
        <f>IF(H282&gt;'I. Stream &amp; Compound Data'!$F$18,"",IF(K282="N/A",IF(J282="","N/A",IF(J282&lt;=0,0.8,IF(AND(J282&gt;0,J282&lt;200),-0.004*LN(J282)+0.8,0))),"N/A"))</f>
        <v/>
      </c>
      <c r="M282" s="1242" t="str">
        <f>IF(H282&gt;'I. Stream &amp; Compound Data'!$F$18,"",IF(I165="","N/A",IF(K282&lt;&gt;"N/A",K282,IF(L282&lt;&gt;"N/A",L282,"NO DATA AVAILABLE"))))</f>
        <v/>
      </c>
      <c r="N282" s="1242" t="str">
        <f>IF(H282&gt;'I. Stream &amp; Compound Data'!$F$18,"",IF(M282="N/A",0,IF(M282&lt;&gt;0,ROUND(10^(5*M282-4),3),0)))</f>
        <v/>
      </c>
      <c r="O282" s="1242" t="str">
        <f>IF(H282&gt;'I. Stream &amp; Compound Data'!$F$18,"",MAX(K165:L165))</f>
        <v/>
      </c>
      <c r="P282" s="1268" t="str">
        <f>IF(H282&gt;'I. Stream &amp; Compound Data'!$F$18,"",ROUND(N282*O282,3))</f>
        <v/>
      </c>
      <c r="Q282" s="279"/>
      <c r="R282" s="297"/>
      <c r="S282" s="298"/>
      <c r="T282" s="298"/>
      <c r="U282" s="299"/>
      <c r="V282" s="279"/>
      <c r="W282" s="279"/>
      <c r="X282" s="279"/>
      <c r="Y282" s="279"/>
      <c r="Z282" s="279"/>
      <c r="AA282" s="279"/>
      <c r="AB282" s="279"/>
      <c r="AC282" s="279"/>
      <c r="AD282" s="279"/>
      <c r="AE282" s="279"/>
      <c r="AF282" s="279"/>
      <c r="AG282" s="279"/>
      <c r="AH282" s="279"/>
      <c r="AI282" s="279"/>
      <c r="AJ282" s="279"/>
      <c r="AK282" s="279"/>
      <c r="AL282" s="279"/>
      <c r="AM282" s="279"/>
      <c r="AN282" s="279"/>
      <c r="AO282" s="279"/>
      <c r="AP282" s="279"/>
      <c r="AQ282" s="279"/>
      <c r="AR282" s="279"/>
      <c r="AS282" s="279"/>
      <c r="AT282" s="279"/>
      <c r="AU282" s="279"/>
      <c r="AV282" s="279"/>
      <c r="AW282" s="279"/>
      <c r="AX282" s="279"/>
      <c r="AY282" s="279"/>
      <c r="AZ282" s="279"/>
      <c r="BA282" s="279"/>
      <c r="BB282" s="279"/>
      <c r="BC282" s="279"/>
      <c r="BD282" s="279"/>
      <c r="BE282" s="279"/>
      <c r="BF282" s="279"/>
      <c r="BG282" s="279"/>
      <c r="BH282" s="279"/>
      <c r="BI282" s="279"/>
      <c r="BJ282" s="279"/>
      <c r="BK282" s="279"/>
      <c r="BL282" s="279"/>
      <c r="BM282" s="279"/>
      <c r="BN282" s="279"/>
      <c r="BO282" s="279"/>
      <c r="BP282" s="279"/>
      <c r="BQ282" s="279"/>
      <c r="BR282" s="279"/>
      <c r="BS282" s="279"/>
      <c r="BT282" s="279"/>
      <c r="BU282" s="279"/>
      <c r="BV282" s="279"/>
      <c r="BW282" s="279"/>
      <c r="BX282" s="279"/>
      <c r="BY282" s="279"/>
      <c r="BZ282" s="279"/>
      <c r="CA282" s="279"/>
      <c r="CB282" s="279"/>
      <c r="CC282" s="279"/>
      <c r="CD282" s="279"/>
      <c r="CE282" s="279"/>
      <c r="CF282" s="279"/>
      <c r="CG282" s="279"/>
      <c r="CH282" s="279"/>
      <c r="CI282" s="279"/>
      <c r="CJ282" s="279"/>
      <c r="CK282" s="279"/>
      <c r="CL282" s="279"/>
      <c r="CM282" s="279"/>
      <c r="CN282" s="382"/>
    </row>
    <row r="283" ht="20.25" customHeight="true" x14ac:dyDescent="0.3">
      <c r="B283" s="361"/>
      <c r="C283" s="279"/>
      <c r="D283" s="280"/>
      <c r="E283" s="287"/>
      <c r="F283" s="287"/>
      <c r="G283" s="287"/>
      <c r="H283" s="1292">
        <f t="shared" si="14"/>
        <v>25</v>
      </c>
      <c r="I283" s="1295" t="str">
        <f>IF('I. Stream &amp; Compound Data'!BI286&lt;&gt;"",'I. Stream &amp; Compound Data'!BI286,"")</f>
        <v/>
      </c>
      <c r="J283" s="1295" t="str">
        <f>IF('I. Stream &amp; Compound Data'!AY286&lt;&gt;"",'I. Stream &amp; Compound Data'!AY286-'I. Stream &amp; Compound Data'!F$19,"")</f>
        <v/>
      </c>
      <c r="K283" s="1306" t="str">
        <f>IF(H283&gt;'I. Stream &amp; Compound Data'!$F$18,"",IF(I283="","N/A",ROUND(IF(I283&lt;=0.0001,0,IF(AND(I283&gt;0.0001,I283&lt;10),0.0869*LN(I283)+0.8,1)),3)))</f>
        <v/>
      </c>
      <c r="L283" s="1242" t="str">
        <f>IF(H283&gt;'I. Stream &amp; Compound Data'!$F$18,"",IF(K283="N/A",IF(J283="","N/A",IF(J283&lt;=0,0.8,IF(AND(J283&gt;0,J283&lt;200),-0.004*LN(J283)+0.8,0))),"N/A"))</f>
        <v/>
      </c>
      <c r="M283" s="1242" t="str">
        <f>IF(H283&gt;'I. Stream &amp; Compound Data'!$F$18,"",IF(I166="","N/A",IF(K283&lt;&gt;"N/A",K283,IF(L283&lt;&gt;"N/A",L283,"NO DATA AVAILABLE"))))</f>
        <v/>
      </c>
      <c r="N283" s="1242" t="str">
        <f>IF(H283&gt;'I. Stream &amp; Compound Data'!$F$18,"",IF(M283="N/A",0,IF(M283&lt;&gt;0,ROUND(10^(5*M283-4),3),0)))</f>
        <v/>
      </c>
      <c r="O283" s="1242" t="str">
        <f>IF(H283&gt;'I. Stream &amp; Compound Data'!$F$18,"",MAX(K166:L166))</f>
        <v/>
      </c>
      <c r="P283" s="1268" t="str">
        <f>IF(H283&gt;'I. Stream &amp; Compound Data'!$F$18,"",ROUND(N283*O283,3))</f>
        <v/>
      </c>
      <c r="Q283" s="279"/>
      <c r="R283" s="297"/>
      <c r="S283" s="298"/>
      <c r="T283" s="298"/>
      <c r="U283" s="299"/>
      <c r="V283" s="279"/>
      <c r="W283" s="279"/>
      <c r="X283" s="279"/>
      <c r="Y283" s="279"/>
      <c r="Z283" s="279"/>
      <c r="AA283" s="279"/>
      <c r="AB283" s="279"/>
      <c r="AC283" s="279"/>
      <c r="AD283" s="279"/>
      <c r="AE283" s="279"/>
      <c r="AF283" s="279"/>
      <c r="AG283" s="279"/>
      <c r="AH283" s="279"/>
      <c r="AI283" s="279"/>
      <c r="AJ283" s="279"/>
      <c r="AK283" s="279"/>
      <c r="AL283" s="279"/>
      <c r="AM283" s="279"/>
      <c r="AN283" s="279"/>
      <c r="AO283" s="279"/>
      <c r="AP283" s="279"/>
      <c r="AQ283" s="279"/>
      <c r="AR283" s="279"/>
      <c r="AS283" s="279"/>
      <c r="AT283" s="279"/>
      <c r="AU283" s="279"/>
      <c r="AV283" s="279"/>
      <c r="AW283" s="279"/>
      <c r="AX283" s="279"/>
      <c r="AY283" s="279"/>
      <c r="AZ283" s="279"/>
      <c r="BA283" s="279"/>
      <c r="BB283" s="279"/>
      <c r="BC283" s="279"/>
      <c r="BD283" s="279"/>
      <c r="BE283" s="279"/>
      <c r="BF283" s="279"/>
      <c r="BG283" s="279"/>
      <c r="BH283" s="279"/>
      <c r="BI283" s="279"/>
      <c r="BJ283" s="279"/>
      <c r="BK283" s="279"/>
      <c r="BL283" s="279"/>
      <c r="BM283" s="279"/>
      <c r="BN283" s="279"/>
      <c r="BO283" s="279"/>
      <c r="BP283" s="279"/>
      <c r="BQ283" s="279"/>
      <c r="BR283" s="279"/>
      <c r="BS283" s="279"/>
      <c r="BT283" s="279"/>
      <c r="BU283" s="279"/>
      <c r="BV283" s="279"/>
      <c r="BW283" s="279"/>
      <c r="BX283" s="279"/>
      <c r="BY283" s="279"/>
      <c r="BZ283" s="279"/>
      <c r="CA283" s="279"/>
      <c r="CB283" s="279"/>
      <c r="CC283" s="279"/>
      <c r="CD283" s="279"/>
      <c r="CE283" s="279"/>
      <c r="CF283" s="279"/>
      <c r="CG283" s="279"/>
      <c r="CH283" s="279"/>
      <c r="CI283" s="279"/>
      <c r="CJ283" s="279"/>
      <c r="CK283" s="279"/>
      <c r="CL283" s="279"/>
      <c r="CM283" s="279"/>
      <c r="CN283" s="382"/>
    </row>
    <row r="284" ht="20.25" customHeight="true" x14ac:dyDescent="0.3">
      <c r="B284" s="361"/>
      <c r="C284" s="279"/>
      <c r="D284" s="280"/>
      <c r="E284" s="287"/>
      <c r="F284" s="287"/>
      <c r="G284" s="287"/>
      <c r="H284" s="1292">
        <f t="shared" si="14"/>
        <v>26</v>
      </c>
      <c r="I284" s="1295" t="str">
        <f>IF('I. Stream &amp; Compound Data'!BI287&lt;&gt;"",'I. Stream &amp; Compound Data'!BI287,"")</f>
        <v/>
      </c>
      <c r="J284" s="1295" t="str">
        <f>IF('I. Stream &amp; Compound Data'!AY287&lt;&gt;"",'I. Stream &amp; Compound Data'!AY287-'I. Stream &amp; Compound Data'!F$19,"")</f>
        <v/>
      </c>
      <c r="K284" s="1306" t="str">
        <f>IF(H284&gt;'I. Stream &amp; Compound Data'!$F$18,"",IF(I284="","N/A",ROUND(IF(I284&lt;=0.0001,0,IF(AND(I284&gt;0.0001,I284&lt;10),0.0869*LN(I284)+0.8,1)),3)))</f>
        <v/>
      </c>
      <c r="L284" s="1242" t="str">
        <f>IF(H284&gt;'I. Stream &amp; Compound Data'!$F$18,"",IF(K284="N/A",IF(J284="","N/A",IF(J284&lt;=0,0.8,IF(AND(J284&gt;0,J284&lt;200),-0.004*LN(J284)+0.8,0))),"N/A"))</f>
        <v/>
      </c>
      <c r="M284" s="1242" t="str">
        <f>IF(H284&gt;'I. Stream &amp; Compound Data'!$F$18,"",IF(I167="","N/A",IF(K284&lt;&gt;"N/A",K284,IF(L284&lt;&gt;"N/A",L284,"NO DATA AVAILABLE"))))</f>
        <v/>
      </c>
      <c r="N284" s="1242" t="str">
        <f>IF(H284&gt;'I. Stream &amp; Compound Data'!$F$18,"",IF(M284="N/A",0,IF(M284&lt;&gt;0,ROUND(10^(5*M284-4),3),0)))</f>
        <v/>
      </c>
      <c r="O284" s="1242" t="str">
        <f>IF(H284&gt;'I. Stream &amp; Compound Data'!$F$18,"",MAX(K167:L167))</f>
        <v/>
      </c>
      <c r="P284" s="1268" t="str">
        <f>IF(H284&gt;'I. Stream &amp; Compound Data'!$F$18,"",ROUND(N284*O284,3))</f>
        <v/>
      </c>
      <c r="Q284" s="279"/>
      <c r="R284" s="297"/>
      <c r="S284" s="298"/>
      <c r="T284" s="298"/>
      <c r="U284" s="299"/>
      <c r="V284" s="279"/>
      <c r="W284" s="279"/>
      <c r="X284" s="279"/>
      <c r="Y284" s="279"/>
      <c r="Z284" s="279"/>
      <c r="AA284" s="279"/>
      <c r="AB284" s="279"/>
      <c r="AC284" s="279"/>
      <c r="AD284" s="279"/>
      <c r="AE284" s="279"/>
      <c r="AF284" s="279"/>
      <c r="AG284" s="279"/>
      <c r="AH284" s="279"/>
      <c r="AI284" s="279"/>
      <c r="AJ284" s="279"/>
      <c r="AK284" s="279"/>
      <c r="AL284" s="279"/>
      <c r="AM284" s="279"/>
      <c r="AN284" s="279"/>
      <c r="AO284" s="279"/>
      <c r="AP284" s="279"/>
      <c r="AQ284" s="279"/>
      <c r="AR284" s="279"/>
      <c r="AS284" s="279"/>
      <c r="AT284" s="279"/>
      <c r="AU284" s="279"/>
      <c r="AV284" s="279"/>
      <c r="AW284" s="279"/>
      <c r="AX284" s="279"/>
      <c r="AY284" s="279"/>
      <c r="AZ284" s="279"/>
      <c r="BA284" s="279"/>
      <c r="BB284" s="279"/>
      <c r="BC284" s="279"/>
      <c r="BD284" s="279"/>
      <c r="BE284" s="279"/>
      <c r="BF284" s="279"/>
      <c r="BG284" s="279"/>
      <c r="BH284" s="279"/>
      <c r="BI284" s="279"/>
      <c r="BJ284" s="279"/>
      <c r="BK284" s="279"/>
      <c r="BL284" s="279"/>
      <c r="BM284" s="279"/>
      <c r="BN284" s="279"/>
      <c r="BO284" s="279"/>
      <c r="BP284" s="279"/>
      <c r="BQ284" s="279"/>
      <c r="BR284" s="279"/>
      <c r="BS284" s="279"/>
      <c r="BT284" s="279"/>
      <c r="BU284" s="279"/>
      <c r="BV284" s="279"/>
      <c r="BW284" s="279"/>
      <c r="BX284" s="279"/>
      <c r="BY284" s="279"/>
      <c r="BZ284" s="279"/>
      <c r="CA284" s="279"/>
      <c r="CB284" s="279"/>
      <c r="CC284" s="279"/>
      <c r="CD284" s="279"/>
      <c r="CE284" s="279"/>
      <c r="CF284" s="279"/>
      <c r="CG284" s="279"/>
      <c r="CH284" s="279"/>
      <c r="CI284" s="279"/>
      <c r="CJ284" s="279"/>
      <c r="CK284" s="279"/>
      <c r="CL284" s="279"/>
      <c r="CM284" s="279"/>
      <c r="CN284" s="382"/>
    </row>
    <row r="285" ht="20.25" customHeight="true" x14ac:dyDescent="0.3">
      <c r="B285" s="361"/>
      <c r="C285" s="279"/>
      <c r="D285" s="280"/>
      <c r="E285" s="287"/>
      <c r="F285" s="287"/>
      <c r="G285" s="287"/>
      <c r="H285" s="1292">
        <f t="shared" si="14"/>
        <v>27</v>
      </c>
      <c r="I285" s="1295" t="str">
        <f>IF('I. Stream &amp; Compound Data'!BI288&lt;&gt;"",'I. Stream &amp; Compound Data'!BI288,"")</f>
        <v/>
      </c>
      <c r="J285" s="1295" t="str">
        <f>IF('I. Stream &amp; Compound Data'!AY288&lt;&gt;"",'I. Stream &amp; Compound Data'!AY288-'I. Stream &amp; Compound Data'!F$19,"")</f>
        <v/>
      </c>
      <c r="K285" s="1306" t="str">
        <f>IF(H285&gt;'I. Stream &amp; Compound Data'!$F$18,"",IF(I285="","N/A",ROUND(IF(I285&lt;=0.0001,0,IF(AND(I285&gt;0.0001,I285&lt;10),0.0869*LN(I285)+0.8,1)),3)))</f>
        <v/>
      </c>
      <c r="L285" s="1242" t="str">
        <f>IF(H285&gt;'I. Stream &amp; Compound Data'!$F$18,"",IF(K285="N/A",IF(J285="","N/A",IF(J285&lt;=0,0.8,IF(AND(J285&gt;0,J285&lt;200),-0.004*LN(J285)+0.8,0))),"N/A"))</f>
        <v/>
      </c>
      <c r="M285" s="1242" t="str">
        <f>IF(H285&gt;'I. Stream &amp; Compound Data'!$F$18,"",IF(I168="","N/A",IF(K285&lt;&gt;"N/A",K285,IF(L285&lt;&gt;"N/A",L285,"NO DATA AVAILABLE"))))</f>
        <v/>
      </c>
      <c r="N285" s="1242" t="str">
        <f>IF(H285&gt;'I. Stream &amp; Compound Data'!$F$18,"",IF(M285="N/A",0,IF(M285&lt;&gt;0,ROUND(10^(5*M285-4),3),0)))</f>
        <v/>
      </c>
      <c r="O285" s="1242" t="str">
        <f>IF(H285&gt;'I. Stream &amp; Compound Data'!$F$18,"",MAX(K168:L168))</f>
        <v/>
      </c>
      <c r="P285" s="1268" t="str">
        <f>IF(H285&gt;'I. Stream &amp; Compound Data'!$F$18,"",ROUND(N285*O285,3))</f>
        <v/>
      </c>
      <c r="Q285" s="279"/>
      <c r="R285" s="297"/>
      <c r="S285" s="298"/>
      <c r="T285" s="298"/>
      <c r="U285" s="299"/>
      <c r="V285" s="279"/>
      <c r="W285" s="279"/>
      <c r="X285" s="279"/>
      <c r="Y285" s="279"/>
      <c r="Z285" s="279"/>
      <c r="AA285" s="279"/>
      <c r="AB285" s="279"/>
      <c r="AC285" s="279"/>
      <c r="AD285" s="279"/>
      <c r="AE285" s="279"/>
      <c r="AF285" s="279"/>
      <c r="AG285" s="279"/>
      <c r="AH285" s="279"/>
      <c r="AI285" s="279"/>
      <c r="AJ285" s="279"/>
      <c r="AK285" s="279"/>
      <c r="AL285" s="279"/>
      <c r="AM285" s="279"/>
      <c r="AN285" s="279"/>
      <c r="AO285" s="279"/>
      <c r="AP285" s="279"/>
      <c r="AQ285" s="279"/>
      <c r="AR285" s="279"/>
      <c r="AS285" s="279"/>
      <c r="AT285" s="279"/>
      <c r="AU285" s="279"/>
      <c r="AV285" s="279"/>
      <c r="AW285" s="279"/>
      <c r="AX285" s="279"/>
      <c r="AY285" s="279"/>
      <c r="AZ285" s="279"/>
      <c r="BA285" s="279"/>
      <c r="BB285" s="279"/>
      <c r="BC285" s="279"/>
      <c r="BD285" s="279"/>
      <c r="BE285" s="279"/>
      <c r="BF285" s="279"/>
      <c r="BG285" s="279"/>
      <c r="BH285" s="279"/>
      <c r="BI285" s="279"/>
      <c r="BJ285" s="279"/>
      <c r="BK285" s="279"/>
      <c r="BL285" s="279"/>
      <c r="BM285" s="279"/>
      <c r="BN285" s="279"/>
      <c r="BO285" s="279"/>
      <c r="BP285" s="279"/>
      <c r="BQ285" s="279"/>
      <c r="BR285" s="279"/>
      <c r="BS285" s="279"/>
      <c r="BT285" s="279"/>
      <c r="BU285" s="279"/>
      <c r="BV285" s="279"/>
      <c r="BW285" s="279"/>
      <c r="BX285" s="279"/>
      <c r="BY285" s="279"/>
      <c r="BZ285" s="279"/>
      <c r="CA285" s="279"/>
      <c r="CB285" s="279"/>
      <c r="CC285" s="279"/>
      <c r="CD285" s="279"/>
      <c r="CE285" s="279"/>
      <c r="CF285" s="279"/>
      <c r="CG285" s="279"/>
      <c r="CH285" s="279"/>
      <c r="CI285" s="279"/>
      <c r="CJ285" s="279"/>
      <c r="CK285" s="279"/>
      <c r="CL285" s="279"/>
      <c r="CM285" s="279"/>
      <c r="CN285" s="382"/>
    </row>
    <row r="286" ht="20.25" customHeight="true" x14ac:dyDescent="0.3">
      <c r="B286" s="361"/>
      <c r="C286" s="279"/>
      <c r="D286" s="280"/>
      <c r="E286" s="287"/>
      <c r="F286" s="287"/>
      <c r="G286" s="287"/>
      <c r="H286" s="1292">
        <f t="shared" si="14"/>
        <v>28</v>
      </c>
      <c r="I286" s="1295" t="str">
        <f>IF('I. Stream &amp; Compound Data'!BI289&lt;&gt;"",'I. Stream &amp; Compound Data'!BI289,"")</f>
        <v/>
      </c>
      <c r="J286" s="1295" t="str">
        <f>IF('I. Stream &amp; Compound Data'!AY289&lt;&gt;"",'I. Stream &amp; Compound Data'!AY289-'I. Stream &amp; Compound Data'!F$19,"")</f>
        <v/>
      </c>
      <c r="K286" s="1306" t="str">
        <f>IF(H286&gt;'I. Stream &amp; Compound Data'!$F$18,"",IF(I286="","N/A",ROUND(IF(I286&lt;=0.0001,0,IF(AND(I286&gt;0.0001,I286&lt;10),0.0869*LN(I286)+0.8,1)),3)))</f>
        <v/>
      </c>
      <c r="L286" s="1242" t="str">
        <f>IF(H286&gt;'I. Stream &amp; Compound Data'!$F$18,"",IF(K286="N/A",IF(J286="","N/A",IF(J286&lt;=0,0.8,IF(AND(J286&gt;0,J286&lt;200),-0.004*LN(J286)+0.8,0))),"N/A"))</f>
        <v/>
      </c>
      <c r="M286" s="1242" t="str">
        <f>IF(H286&gt;'I. Stream &amp; Compound Data'!$F$18,"",IF(I169="","N/A",IF(K286&lt;&gt;"N/A",K286,IF(L286&lt;&gt;"N/A",L286,"NO DATA AVAILABLE"))))</f>
        <v/>
      </c>
      <c r="N286" s="1242" t="str">
        <f>IF(H286&gt;'I. Stream &amp; Compound Data'!$F$18,"",IF(M286="N/A",0,IF(M286&lt;&gt;0,ROUND(10^(5*M286-4),3),0)))</f>
        <v/>
      </c>
      <c r="O286" s="1242" t="str">
        <f>IF(H286&gt;'I. Stream &amp; Compound Data'!$F$18,"",MAX(K169:L169))</f>
        <v/>
      </c>
      <c r="P286" s="1268" t="str">
        <f>IF(H286&gt;'I. Stream &amp; Compound Data'!$F$18,"",ROUND(N286*O286,3))</f>
        <v/>
      </c>
      <c r="Q286" s="279"/>
      <c r="R286" s="297"/>
      <c r="S286" s="298"/>
      <c r="T286" s="298"/>
      <c r="U286" s="299"/>
      <c r="V286" s="279"/>
      <c r="W286" s="279"/>
      <c r="X286" s="279"/>
      <c r="Y286" s="279"/>
      <c r="Z286" s="279"/>
      <c r="AA286" s="279"/>
      <c r="AB286" s="279"/>
      <c r="AC286" s="279"/>
      <c r="AD286" s="279"/>
      <c r="AE286" s="279"/>
      <c r="AF286" s="279"/>
      <c r="AG286" s="279"/>
      <c r="AH286" s="279"/>
      <c r="AI286" s="279"/>
      <c r="AJ286" s="279"/>
      <c r="AK286" s="279"/>
      <c r="AL286" s="279"/>
      <c r="AM286" s="279"/>
      <c r="AN286" s="279"/>
      <c r="AO286" s="279"/>
      <c r="AP286" s="279"/>
      <c r="AQ286" s="279"/>
      <c r="AR286" s="279"/>
      <c r="AS286" s="279"/>
      <c r="AT286" s="279"/>
      <c r="AU286" s="279"/>
      <c r="AV286" s="279"/>
      <c r="AW286" s="279"/>
      <c r="AX286" s="279"/>
      <c r="AY286" s="279"/>
      <c r="AZ286" s="279"/>
      <c r="BA286" s="279"/>
      <c r="BB286" s="279"/>
      <c r="BC286" s="279"/>
      <c r="BD286" s="279"/>
      <c r="BE286" s="279"/>
      <c r="BF286" s="279"/>
      <c r="BG286" s="279"/>
      <c r="BH286" s="279"/>
      <c r="BI286" s="279"/>
      <c r="BJ286" s="279"/>
      <c r="BK286" s="279"/>
      <c r="BL286" s="279"/>
      <c r="BM286" s="279"/>
      <c r="BN286" s="279"/>
      <c r="BO286" s="279"/>
      <c r="BP286" s="279"/>
      <c r="BQ286" s="279"/>
      <c r="BR286" s="279"/>
      <c r="BS286" s="279"/>
      <c r="BT286" s="279"/>
      <c r="BU286" s="279"/>
      <c r="BV286" s="279"/>
      <c r="BW286" s="279"/>
      <c r="BX286" s="279"/>
      <c r="BY286" s="279"/>
      <c r="BZ286" s="279"/>
      <c r="CA286" s="279"/>
      <c r="CB286" s="279"/>
      <c r="CC286" s="279"/>
      <c r="CD286" s="279"/>
      <c r="CE286" s="279"/>
      <c r="CF286" s="279"/>
      <c r="CG286" s="279"/>
      <c r="CH286" s="279"/>
      <c r="CI286" s="279"/>
      <c r="CJ286" s="279"/>
      <c r="CK286" s="279"/>
      <c r="CL286" s="279"/>
      <c r="CM286" s="279"/>
      <c r="CN286" s="382"/>
    </row>
    <row r="287" ht="20.25" customHeight="true" x14ac:dyDescent="0.3">
      <c r="B287" s="361"/>
      <c r="C287" s="279"/>
      <c r="D287" s="280"/>
      <c r="E287" s="287"/>
      <c r="F287" s="287"/>
      <c r="G287" s="287"/>
      <c r="H287" s="1292">
        <f t="shared" si="14"/>
        <v>29</v>
      </c>
      <c r="I287" s="1295" t="str">
        <f>IF('I. Stream &amp; Compound Data'!BI290&lt;&gt;"",'I. Stream &amp; Compound Data'!BI290,"")</f>
        <v/>
      </c>
      <c r="J287" s="1295" t="str">
        <f>IF('I. Stream &amp; Compound Data'!AY290&lt;&gt;"",'I. Stream &amp; Compound Data'!AY290-'I. Stream &amp; Compound Data'!F$19,"")</f>
        <v/>
      </c>
      <c r="K287" s="1306" t="str">
        <f>IF(H287&gt;'I. Stream &amp; Compound Data'!$F$18,"",IF(I287="","N/A",ROUND(IF(I287&lt;=0.0001,0,IF(AND(I287&gt;0.0001,I287&lt;10),0.0869*LN(I287)+0.8,1)),3)))</f>
        <v/>
      </c>
      <c r="L287" s="1242" t="str">
        <f>IF(H287&gt;'I. Stream &amp; Compound Data'!$F$18,"",IF(K287="N/A",IF(J287="","N/A",IF(J287&lt;=0,0.8,IF(AND(J287&gt;0,J287&lt;200),-0.004*LN(J287)+0.8,0))),"N/A"))</f>
        <v/>
      </c>
      <c r="M287" s="1242" t="str">
        <f>IF(H287&gt;'I. Stream &amp; Compound Data'!$F$18,"",IF(I170="","N/A",IF(K287&lt;&gt;"N/A",K287,IF(L287&lt;&gt;"N/A",L287,"NO DATA AVAILABLE"))))</f>
        <v/>
      </c>
      <c r="N287" s="1242" t="str">
        <f>IF(H287&gt;'I. Stream &amp; Compound Data'!$F$18,"",IF(M287="N/A",0,IF(M287&lt;&gt;0,ROUND(10^(5*M287-4),3),0)))</f>
        <v/>
      </c>
      <c r="O287" s="1242" t="str">
        <f>IF(H287&gt;'I. Stream &amp; Compound Data'!$F$18,"",MAX(K170:L170))</f>
        <v/>
      </c>
      <c r="P287" s="1268" t="str">
        <f>IF(H287&gt;'I. Stream &amp; Compound Data'!$F$18,"",ROUND(N287*O287,3))</f>
        <v/>
      </c>
      <c r="Q287" s="279"/>
      <c r="R287" s="297"/>
      <c r="S287" s="298"/>
      <c r="T287" s="298"/>
      <c r="U287" s="299"/>
      <c r="V287" s="279"/>
      <c r="W287" s="279"/>
      <c r="X287" s="279"/>
      <c r="Y287" s="279"/>
      <c r="Z287" s="279"/>
      <c r="AA287" s="279"/>
      <c r="AB287" s="279"/>
      <c r="AC287" s="279"/>
      <c r="AD287" s="279"/>
      <c r="AE287" s="279"/>
      <c r="AF287" s="279"/>
      <c r="AG287" s="279"/>
      <c r="AH287" s="279"/>
      <c r="AI287" s="279"/>
      <c r="AJ287" s="279"/>
      <c r="AK287" s="279"/>
      <c r="AL287" s="279"/>
      <c r="AM287" s="279"/>
      <c r="AN287" s="279"/>
      <c r="AO287" s="279"/>
      <c r="AP287" s="279"/>
      <c r="AQ287" s="279"/>
      <c r="AR287" s="279"/>
      <c r="AS287" s="279"/>
      <c r="AT287" s="279"/>
      <c r="AU287" s="279"/>
      <c r="AV287" s="279"/>
      <c r="AW287" s="279"/>
      <c r="AX287" s="279"/>
      <c r="AY287" s="279"/>
      <c r="AZ287" s="279"/>
      <c r="BA287" s="279"/>
      <c r="BB287" s="279"/>
      <c r="BC287" s="279"/>
      <c r="BD287" s="279"/>
      <c r="BE287" s="279"/>
      <c r="BF287" s="279"/>
      <c r="BG287" s="279"/>
      <c r="BH287" s="279"/>
      <c r="BI287" s="279"/>
      <c r="BJ287" s="279"/>
      <c r="BK287" s="279"/>
      <c r="BL287" s="279"/>
      <c r="BM287" s="279"/>
      <c r="BN287" s="279"/>
      <c r="BO287" s="279"/>
      <c r="BP287" s="279"/>
      <c r="BQ287" s="279"/>
      <c r="BR287" s="279"/>
      <c r="BS287" s="279"/>
      <c r="BT287" s="279"/>
      <c r="BU287" s="279"/>
      <c r="BV287" s="279"/>
      <c r="BW287" s="279"/>
      <c r="BX287" s="279"/>
      <c r="BY287" s="279"/>
      <c r="BZ287" s="279"/>
      <c r="CA287" s="279"/>
      <c r="CB287" s="279"/>
      <c r="CC287" s="279"/>
      <c r="CD287" s="279"/>
      <c r="CE287" s="279"/>
      <c r="CF287" s="279"/>
      <c r="CG287" s="279"/>
      <c r="CH287" s="279"/>
      <c r="CI287" s="279"/>
      <c r="CJ287" s="279"/>
      <c r="CK287" s="279"/>
      <c r="CL287" s="279"/>
      <c r="CM287" s="279"/>
      <c r="CN287" s="382"/>
    </row>
    <row r="288" ht="20.25" customHeight="true" x14ac:dyDescent="0.3">
      <c r="B288" s="361"/>
      <c r="C288" s="279"/>
      <c r="D288" s="280"/>
      <c r="E288" s="287"/>
      <c r="F288" s="287"/>
      <c r="G288" s="287"/>
      <c r="H288" s="1292">
        <f t="shared" si="14"/>
        <v>30</v>
      </c>
      <c r="I288" s="1295" t="str">
        <f>IF('I. Stream &amp; Compound Data'!BI291&lt;&gt;"",'I. Stream &amp; Compound Data'!BI291,"")</f>
        <v/>
      </c>
      <c r="J288" s="1295" t="str">
        <f>IF('I. Stream &amp; Compound Data'!AY291&lt;&gt;"",'I. Stream &amp; Compound Data'!AY291-'I. Stream &amp; Compound Data'!F$19,"")</f>
        <v/>
      </c>
      <c r="K288" s="1306" t="str">
        <f>IF(H288&gt;'I. Stream &amp; Compound Data'!$F$18,"",IF(I288="","N/A",ROUND(IF(I288&lt;=0.0001,0,IF(AND(I288&gt;0.0001,I288&lt;10),0.0869*LN(I288)+0.8,1)),3)))</f>
        <v/>
      </c>
      <c r="L288" s="1242" t="str">
        <f>IF(H288&gt;'I. Stream &amp; Compound Data'!$F$18,"",IF(K288="N/A",IF(J288="","N/A",IF(J288&lt;=0,0.8,IF(AND(J288&gt;0,J288&lt;200),-0.004*LN(J288)+0.8,0))),"N/A"))</f>
        <v/>
      </c>
      <c r="M288" s="1242" t="str">
        <f>IF(H288&gt;'I. Stream &amp; Compound Data'!$F$18,"",IF(I171="","N/A",IF(K288&lt;&gt;"N/A",K288,IF(L288&lt;&gt;"N/A",L288,"NO DATA AVAILABLE"))))</f>
        <v/>
      </c>
      <c r="N288" s="1242" t="str">
        <f>IF(H288&gt;'I. Stream &amp; Compound Data'!$F$18,"",IF(M288="N/A",0,IF(M288&lt;&gt;0,ROUND(10^(5*M288-4),3),0)))</f>
        <v/>
      </c>
      <c r="O288" s="1242" t="str">
        <f>IF(H288&gt;'I. Stream &amp; Compound Data'!$F$18,"",MAX(K171:L171))</f>
        <v/>
      </c>
      <c r="P288" s="1268" t="str">
        <f>IF(H288&gt;'I. Stream &amp; Compound Data'!$F$18,"",ROUND(N288*O288,3))</f>
        <v/>
      </c>
      <c r="Q288" s="279"/>
      <c r="R288" s="297"/>
      <c r="S288" s="298"/>
      <c r="T288" s="298"/>
      <c r="U288" s="299"/>
      <c r="V288" s="279"/>
      <c r="W288" s="279"/>
      <c r="X288" s="279"/>
      <c r="Y288" s="279"/>
      <c r="Z288" s="279"/>
      <c r="AA288" s="279"/>
      <c r="AB288" s="279"/>
      <c r="AC288" s="279"/>
      <c r="AD288" s="279"/>
      <c r="AE288" s="279"/>
      <c r="AF288" s="279"/>
      <c r="AG288" s="279"/>
      <c r="AH288" s="279"/>
      <c r="AI288" s="279"/>
      <c r="AJ288" s="279"/>
      <c r="AK288" s="279"/>
      <c r="AL288" s="279"/>
      <c r="AM288" s="279"/>
      <c r="AN288" s="279"/>
      <c r="AO288" s="279"/>
      <c r="AP288" s="279"/>
      <c r="AQ288" s="279"/>
      <c r="AR288" s="279"/>
      <c r="AS288" s="279"/>
      <c r="AT288" s="279"/>
      <c r="AU288" s="279"/>
      <c r="AV288" s="279"/>
      <c r="AW288" s="279"/>
      <c r="AX288" s="279"/>
      <c r="AY288" s="279"/>
      <c r="AZ288" s="279"/>
      <c r="BA288" s="279"/>
      <c r="BB288" s="279"/>
      <c r="BC288" s="279"/>
      <c r="BD288" s="279"/>
      <c r="BE288" s="279"/>
      <c r="BF288" s="279"/>
      <c r="BG288" s="279"/>
      <c r="BH288" s="279"/>
      <c r="BI288" s="279"/>
      <c r="BJ288" s="279"/>
      <c r="BK288" s="279"/>
      <c r="BL288" s="279"/>
      <c r="BM288" s="279"/>
      <c r="BN288" s="279"/>
      <c r="BO288" s="279"/>
      <c r="BP288" s="279"/>
      <c r="BQ288" s="279"/>
      <c r="BR288" s="279"/>
      <c r="BS288" s="279"/>
      <c r="BT288" s="279"/>
      <c r="BU288" s="279"/>
      <c r="BV288" s="279"/>
      <c r="BW288" s="279"/>
      <c r="BX288" s="279"/>
      <c r="BY288" s="279"/>
      <c r="BZ288" s="279"/>
      <c r="CA288" s="279"/>
      <c r="CB288" s="279"/>
      <c r="CC288" s="279"/>
      <c r="CD288" s="279"/>
      <c r="CE288" s="279"/>
      <c r="CF288" s="279"/>
      <c r="CG288" s="279"/>
      <c r="CH288" s="279"/>
      <c r="CI288" s="279"/>
      <c r="CJ288" s="279"/>
      <c r="CK288" s="279"/>
      <c r="CL288" s="279"/>
      <c r="CM288" s="279"/>
      <c r="CN288" s="382"/>
    </row>
    <row r="289" ht="20.25" customHeight="true" x14ac:dyDescent="0.3">
      <c r="B289" s="361"/>
      <c r="C289" s="279"/>
      <c r="D289" s="280"/>
      <c r="E289" s="287"/>
      <c r="F289" s="287"/>
      <c r="G289" s="287"/>
      <c r="H289" s="1292">
        <f t="shared" si="14"/>
        <v>31</v>
      </c>
      <c r="I289" s="1295" t="str">
        <f>IF('I. Stream &amp; Compound Data'!BI292&lt;&gt;"",'I. Stream &amp; Compound Data'!BI292,"")</f>
        <v/>
      </c>
      <c r="J289" s="1295" t="str">
        <f>IF('I. Stream &amp; Compound Data'!AY292&lt;&gt;"",'I. Stream &amp; Compound Data'!AY292-'I. Stream &amp; Compound Data'!F$19,"")</f>
        <v/>
      </c>
      <c r="K289" s="1306" t="str">
        <f>IF(H289&gt;'I. Stream &amp; Compound Data'!$F$18,"",IF(I289="","N/A",ROUND(IF(I289&lt;=0.0001,0,IF(AND(I289&gt;0.0001,I289&lt;10),0.0869*LN(I289)+0.8,1)),3)))</f>
        <v/>
      </c>
      <c r="L289" s="1242" t="str">
        <f>IF(H289&gt;'I. Stream &amp; Compound Data'!$F$18,"",IF(K289="N/A",IF(J289="","N/A",IF(J289&lt;=0,0.8,IF(AND(J289&gt;0,J289&lt;200),-0.004*LN(J289)+0.8,0))),"N/A"))</f>
        <v/>
      </c>
      <c r="M289" s="1242" t="str">
        <f>IF(H289&gt;'I. Stream &amp; Compound Data'!$F$18,"",IF(I172="","N/A",IF(K289&lt;&gt;"N/A",K289,IF(L289&lt;&gt;"N/A",L289,"NO DATA AVAILABLE"))))</f>
        <v/>
      </c>
      <c r="N289" s="1242" t="str">
        <f>IF(H289&gt;'I. Stream &amp; Compound Data'!$F$18,"",IF(M289="N/A",0,IF(M289&lt;&gt;0,ROUND(10^(5*M289-4),3),0)))</f>
        <v/>
      </c>
      <c r="O289" s="1242" t="str">
        <f>IF(H289&gt;'I. Stream &amp; Compound Data'!$F$18,"",MAX(K172:L172))</f>
        <v/>
      </c>
      <c r="P289" s="1268" t="str">
        <f>IF(H289&gt;'I. Stream &amp; Compound Data'!$F$18,"",ROUND(N289*O289,3))</f>
        <v/>
      </c>
      <c r="Q289" s="279"/>
      <c r="R289" s="297"/>
      <c r="S289" s="298"/>
      <c r="T289" s="298"/>
      <c r="U289" s="299"/>
      <c r="V289" s="279"/>
      <c r="W289" s="279"/>
      <c r="X289" s="279"/>
      <c r="Y289" s="279"/>
      <c r="Z289" s="279"/>
      <c r="AA289" s="279"/>
      <c r="AB289" s="279"/>
      <c r="AC289" s="279"/>
      <c r="AD289" s="279"/>
      <c r="AE289" s="279"/>
      <c r="AF289" s="279"/>
      <c r="AG289" s="279"/>
      <c r="AH289" s="279"/>
      <c r="AI289" s="279"/>
      <c r="AJ289" s="279"/>
      <c r="AK289" s="279"/>
      <c r="AL289" s="279"/>
      <c r="AM289" s="279"/>
      <c r="AN289" s="279"/>
      <c r="AO289" s="279"/>
      <c r="AP289" s="279"/>
      <c r="AQ289" s="279"/>
      <c r="AR289" s="279"/>
      <c r="AS289" s="279"/>
      <c r="AT289" s="279"/>
      <c r="AU289" s="279"/>
      <c r="AV289" s="279"/>
      <c r="AW289" s="279"/>
      <c r="AX289" s="279"/>
      <c r="AY289" s="279"/>
      <c r="AZ289" s="279"/>
      <c r="BA289" s="279"/>
      <c r="BB289" s="279"/>
      <c r="BC289" s="279"/>
      <c r="BD289" s="279"/>
      <c r="BE289" s="279"/>
      <c r="BF289" s="279"/>
      <c r="BG289" s="279"/>
      <c r="BH289" s="279"/>
      <c r="BI289" s="279"/>
      <c r="BJ289" s="279"/>
      <c r="BK289" s="279"/>
      <c r="BL289" s="279"/>
      <c r="BM289" s="279"/>
      <c r="BN289" s="279"/>
      <c r="BO289" s="279"/>
      <c r="BP289" s="279"/>
      <c r="BQ289" s="279"/>
      <c r="BR289" s="279"/>
      <c r="BS289" s="279"/>
      <c r="BT289" s="279"/>
      <c r="BU289" s="279"/>
      <c r="BV289" s="279"/>
      <c r="BW289" s="279"/>
      <c r="BX289" s="279"/>
      <c r="BY289" s="279"/>
      <c r="BZ289" s="279"/>
      <c r="CA289" s="279"/>
      <c r="CB289" s="279"/>
      <c r="CC289" s="279"/>
      <c r="CD289" s="279"/>
      <c r="CE289" s="279"/>
      <c r="CF289" s="279"/>
      <c r="CG289" s="279"/>
      <c r="CH289" s="279"/>
      <c r="CI289" s="279"/>
      <c r="CJ289" s="279"/>
      <c r="CK289" s="279"/>
      <c r="CL289" s="279"/>
      <c r="CM289" s="279"/>
      <c r="CN289" s="382"/>
    </row>
    <row r="290" ht="20.25" customHeight="true" x14ac:dyDescent="0.3">
      <c r="B290" s="361"/>
      <c r="C290" s="279"/>
      <c r="D290" s="280"/>
      <c r="E290" s="287"/>
      <c r="F290" s="287"/>
      <c r="G290" s="287"/>
      <c r="H290" s="1292">
        <f t="shared" si="14"/>
        <v>32</v>
      </c>
      <c r="I290" s="1295" t="str">
        <f>IF('I. Stream &amp; Compound Data'!BI293&lt;&gt;"",'I. Stream &amp; Compound Data'!BI293,"")</f>
        <v/>
      </c>
      <c r="J290" s="1295" t="str">
        <f>IF('I. Stream &amp; Compound Data'!AY293&lt;&gt;"",'I. Stream &amp; Compound Data'!AY293-'I. Stream &amp; Compound Data'!F$19,"")</f>
        <v/>
      </c>
      <c r="K290" s="1306" t="str">
        <f>IF(H290&gt;'I. Stream &amp; Compound Data'!$F$18,"",IF(I290="","N/A",ROUND(IF(I290&lt;=0.0001,0,IF(AND(I290&gt;0.0001,I290&lt;10),0.0869*LN(I290)+0.8,1)),3)))</f>
        <v/>
      </c>
      <c r="L290" s="1242" t="str">
        <f>IF(H290&gt;'I. Stream &amp; Compound Data'!$F$18,"",IF(K290="N/A",IF(J290="","N/A",IF(J290&lt;=0,0.8,IF(AND(J290&gt;0,J290&lt;200),-0.004*LN(J290)+0.8,0))),"N/A"))</f>
        <v/>
      </c>
      <c r="M290" s="1242" t="str">
        <f>IF(H290&gt;'I. Stream &amp; Compound Data'!$F$18,"",IF(I173="","N/A",IF(K290&lt;&gt;"N/A",K290,IF(L290&lt;&gt;"N/A",L290,"NO DATA AVAILABLE"))))</f>
        <v/>
      </c>
      <c r="N290" s="1242" t="str">
        <f>IF(H290&gt;'I. Stream &amp; Compound Data'!$F$18,"",IF(M290="N/A",0,IF(M290&lt;&gt;0,ROUND(10^(5*M290-4),3),0)))</f>
        <v/>
      </c>
      <c r="O290" s="1242" t="str">
        <f>IF(H290&gt;'I. Stream &amp; Compound Data'!$F$18,"",MAX(K173:L173))</f>
        <v/>
      </c>
      <c r="P290" s="1268" t="str">
        <f>IF(H290&gt;'I. Stream &amp; Compound Data'!$F$18,"",ROUND(N290*O290,3))</f>
        <v/>
      </c>
      <c r="Q290" s="279"/>
      <c r="R290" s="297"/>
      <c r="S290" s="298"/>
      <c r="T290" s="298"/>
      <c r="U290" s="299"/>
      <c r="V290" s="279"/>
      <c r="W290" s="279"/>
      <c r="X290" s="279"/>
      <c r="Y290" s="279"/>
      <c r="Z290" s="279"/>
      <c r="AA290" s="279"/>
      <c r="AB290" s="279"/>
      <c r="AC290" s="279"/>
      <c r="AD290" s="279"/>
      <c r="AE290" s="279"/>
      <c r="AF290" s="279"/>
      <c r="AG290" s="279"/>
      <c r="AH290" s="279"/>
      <c r="AI290" s="279"/>
      <c r="AJ290" s="279"/>
      <c r="AK290" s="279"/>
      <c r="AL290" s="279"/>
      <c r="AM290" s="279"/>
      <c r="AN290" s="279"/>
      <c r="AO290" s="279"/>
      <c r="AP290" s="279"/>
      <c r="AQ290" s="279"/>
      <c r="AR290" s="279"/>
      <c r="AS290" s="279"/>
      <c r="AT290" s="279"/>
      <c r="AU290" s="279"/>
      <c r="AV290" s="279"/>
      <c r="AW290" s="279"/>
      <c r="AX290" s="279"/>
      <c r="AY290" s="279"/>
      <c r="AZ290" s="279"/>
      <c r="BA290" s="279"/>
      <c r="BB290" s="279"/>
      <c r="BC290" s="279"/>
      <c r="BD290" s="279"/>
      <c r="BE290" s="279"/>
      <c r="BF290" s="279"/>
      <c r="BG290" s="279"/>
      <c r="BH290" s="279"/>
      <c r="BI290" s="279"/>
      <c r="BJ290" s="279"/>
      <c r="BK290" s="279"/>
      <c r="BL290" s="279"/>
      <c r="BM290" s="279"/>
      <c r="BN290" s="279"/>
      <c r="BO290" s="279"/>
      <c r="BP290" s="279"/>
      <c r="BQ290" s="279"/>
      <c r="BR290" s="279"/>
      <c r="BS290" s="279"/>
      <c r="BT290" s="279"/>
      <c r="BU290" s="279"/>
      <c r="BV290" s="279"/>
      <c r="BW290" s="279"/>
      <c r="BX290" s="279"/>
      <c r="BY290" s="279"/>
      <c r="BZ290" s="279"/>
      <c r="CA290" s="279"/>
      <c r="CB290" s="279"/>
      <c r="CC290" s="279"/>
      <c r="CD290" s="279"/>
      <c r="CE290" s="279"/>
      <c r="CF290" s="279"/>
      <c r="CG290" s="279"/>
      <c r="CH290" s="279"/>
      <c r="CI290" s="279"/>
      <c r="CJ290" s="279"/>
      <c r="CK290" s="279"/>
      <c r="CL290" s="279"/>
      <c r="CM290" s="279"/>
      <c r="CN290" s="382"/>
    </row>
    <row r="291" ht="20.25" customHeight="true" x14ac:dyDescent="0.3">
      <c r="B291" s="361"/>
      <c r="C291" s="279"/>
      <c r="D291" s="280"/>
      <c r="E291" s="287"/>
      <c r="F291" s="287"/>
      <c r="G291" s="287"/>
      <c r="H291" s="1292">
        <f t="shared" si="14"/>
        <v>33</v>
      </c>
      <c r="I291" s="1295" t="str">
        <f>IF('I. Stream &amp; Compound Data'!BI294&lt;&gt;"",'I. Stream &amp; Compound Data'!BI294,"")</f>
        <v/>
      </c>
      <c r="J291" s="1295" t="str">
        <f>IF('I. Stream &amp; Compound Data'!AY294&lt;&gt;"",'I. Stream &amp; Compound Data'!AY294-'I. Stream &amp; Compound Data'!F$19,"")</f>
        <v/>
      </c>
      <c r="K291" s="1306" t="str">
        <f>IF(H291&gt;'I. Stream &amp; Compound Data'!$F$18,"",IF(I291="","N/A",ROUND(IF(I291&lt;=0.0001,0,IF(AND(I291&gt;0.0001,I291&lt;10),0.0869*LN(I291)+0.8,1)),3)))</f>
        <v/>
      </c>
      <c r="L291" s="1242" t="str">
        <f>IF(H291&gt;'I. Stream &amp; Compound Data'!$F$18,"",IF(K291="N/A",IF(J291="","N/A",IF(J291&lt;=0,0.8,IF(AND(J291&gt;0,J291&lt;200),-0.004*LN(J291)+0.8,0))),"N/A"))</f>
        <v/>
      </c>
      <c r="M291" s="1242" t="str">
        <f>IF(H291&gt;'I. Stream &amp; Compound Data'!$F$18,"",IF(I174="","N/A",IF(K291&lt;&gt;"N/A",K291,IF(L291&lt;&gt;"N/A",L291,"NO DATA AVAILABLE"))))</f>
        <v/>
      </c>
      <c r="N291" s="1242" t="str">
        <f>IF(H291&gt;'I. Stream &amp; Compound Data'!$F$18,"",IF(M291="N/A",0,IF(M291&lt;&gt;0,ROUND(10^(5*M291-4),3),0)))</f>
        <v/>
      </c>
      <c r="O291" s="1242" t="str">
        <f>IF(H291&gt;'I. Stream &amp; Compound Data'!$F$18,"",MAX(K174:L174))</f>
        <v/>
      </c>
      <c r="P291" s="1268" t="str">
        <f>IF(H291&gt;'I. Stream &amp; Compound Data'!$F$18,"",ROUND(N291*O291,3))</f>
        <v/>
      </c>
      <c r="Q291" s="279"/>
      <c r="R291" s="297"/>
      <c r="S291" s="298"/>
      <c r="T291" s="298"/>
      <c r="U291" s="299"/>
      <c r="V291" s="279"/>
      <c r="W291" s="279"/>
      <c r="X291" s="279"/>
      <c r="Y291" s="279"/>
      <c r="Z291" s="279"/>
      <c r="AA291" s="279"/>
      <c r="AB291" s="279"/>
      <c r="AC291" s="279"/>
      <c r="AD291" s="279"/>
      <c r="AE291" s="279"/>
      <c r="AF291" s="279"/>
      <c r="AG291" s="279"/>
      <c r="AH291" s="279"/>
      <c r="AI291" s="279"/>
      <c r="AJ291" s="279"/>
      <c r="AK291" s="279"/>
      <c r="AL291" s="279"/>
      <c r="AM291" s="279"/>
      <c r="AN291" s="279"/>
      <c r="AO291" s="279"/>
      <c r="AP291" s="279"/>
      <c r="AQ291" s="279"/>
      <c r="AR291" s="279"/>
      <c r="AS291" s="279"/>
      <c r="AT291" s="279"/>
      <c r="AU291" s="279"/>
      <c r="AV291" s="279"/>
      <c r="AW291" s="279"/>
      <c r="AX291" s="279"/>
      <c r="AY291" s="279"/>
      <c r="AZ291" s="279"/>
      <c r="BA291" s="279"/>
      <c r="BB291" s="279"/>
      <c r="BC291" s="279"/>
      <c r="BD291" s="279"/>
      <c r="BE291" s="279"/>
      <c r="BF291" s="279"/>
      <c r="BG291" s="279"/>
      <c r="BH291" s="279"/>
      <c r="BI291" s="279"/>
      <c r="BJ291" s="279"/>
      <c r="BK291" s="279"/>
      <c r="BL291" s="279"/>
      <c r="BM291" s="279"/>
      <c r="BN291" s="279"/>
      <c r="BO291" s="279"/>
      <c r="BP291" s="279"/>
      <c r="BQ291" s="279"/>
      <c r="BR291" s="279"/>
      <c r="BS291" s="279"/>
      <c r="BT291" s="279"/>
      <c r="BU291" s="279"/>
      <c r="BV291" s="279"/>
      <c r="BW291" s="279"/>
      <c r="BX291" s="279"/>
      <c r="BY291" s="279"/>
      <c r="BZ291" s="279"/>
      <c r="CA291" s="279"/>
      <c r="CB291" s="279"/>
      <c r="CC291" s="279"/>
      <c r="CD291" s="279"/>
      <c r="CE291" s="279"/>
      <c r="CF291" s="279"/>
      <c r="CG291" s="279"/>
      <c r="CH291" s="279"/>
      <c r="CI291" s="279"/>
      <c r="CJ291" s="279"/>
      <c r="CK291" s="279"/>
      <c r="CL291" s="279"/>
      <c r="CM291" s="279"/>
      <c r="CN291" s="382"/>
    </row>
    <row r="292" ht="20.25" customHeight="true" x14ac:dyDescent="0.3">
      <c r="B292" s="361"/>
      <c r="C292" s="279"/>
      <c r="D292" s="280"/>
      <c r="E292" s="287"/>
      <c r="F292" s="287"/>
      <c r="G292" s="287"/>
      <c r="H292" s="1292">
        <f t="shared" si="14"/>
        <v>34</v>
      </c>
      <c r="I292" s="1295" t="str">
        <f>IF('I. Stream &amp; Compound Data'!BI295&lt;&gt;"",'I. Stream &amp; Compound Data'!BI295,"")</f>
        <v/>
      </c>
      <c r="J292" s="1295" t="str">
        <f>IF('I. Stream &amp; Compound Data'!AY295&lt;&gt;"",'I. Stream &amp; Compound Data'!AY295-'I. Stream &amp; Compound Data'!F$19,"")</f>
        <v/>
      </c>
      <c r="K292" s="1306" t="str">
        <f>IF(H292&gt;'I. Stream &amp; Compound Data'!$F$18,"",IF(I292="","N/A",ROUND(IF(I292&lt;=0.0001,0,IF(AND(I292&gt;0.0001,I292&lt;10),0.0869*LN(I292)+0.8,1)),3)))</f>
        <v/>
      </c>
      <c r="L292" s="1242" t="str">
        <f>IF(H292&gt;'I. Stream &amp; Compound Data'!$F$18,"",IF(K292="N/A",IF(J292="","N/A",IF(J292&lt;=0,0.8,IF(AND(J292&gt;0,J292&lt;200),-0.004*LN(J292)+0.8,0))),"N/A"))</f>
        <v/>
      </c>
      <c r="M292" s="1242" t="str">
        <f>IF(H292&gt;'I. Stream &amp; Compound Data'!$F$18,"",IF(I175="","N/A",IF(K292&lt;&gt;"N/A",K292,IF(L292&lt;&gt;"N/A",L292,"NO DATA AVAILABLE"))))</f>
        <v/>
      </c>
      <c r="N292" s="1242" t="str">
        <f>IF(H292&gt;'I. Stream &amp; Compound Data'!$F$18,"",IF(M292="N/A",0,IF(M292&lt;&gt;0,ROUND(10^(5*M292-4),3),0)))</f>
        <v/>
      </c>
      <c r="O292" s="1242" t="str">
        <f>IF(H292&gt;'I. Stream &amp; Compound Data'!$F$18,"",MAX(K175:L175))</f>
        <v/>
      </c>
      <c r="P292" s="1268" t="str">
        <f>IF(H292&gt;'I. Stream &amp; Compound Data'!$F$18,"",ROUND(N292*O292,3))</f>
        <v/>
      </c>
      <c r="Q292" s="279"/>
      <c r="R292" s="297"/>
      <c r="S292" s="298"/>
      <c r="T292" s="298"/>
      <c r="U292" s="299"/>
      <c r="V292" s="279"/>
      <c r="W292" s="279"/>
      <c r="X292" s="279"/>
      <c r="Y292" s="279"/>
      <c r="Z292" s="279"/>
      <c r="AA292" s="279"/>
      <c r="AB292" s="279"/>
      <c r="AC292" s="279"/>
      <c r="AD292" s="279"/>
      <c r="AE292" s="279"/>
      <c r="AF292" s="279"/>
      <c r="AG292" s="279"/>
      <c r="AH292" s="279"/>
      <c r="AI292" s="279"/>
      <c r="AJ292" s="279"/>
      <c r="AK292" s="279"/>
      <c r="AL292" s="279"/>
      <c r="AM292" s="279"/>
      <c r="AN292" s="279"/>
      <c r="AO292" s="279"/>
      <c r="AP292" s="279"/>
      <c r="AQ292" s="279"/>
      <c r="AR292" s="279"/>
      <c r="AS292" s="279"/>
      <c r="AT292" s="279"/>
      <c r="AU292" s="279"/>
      <c r="AV292" s="279"/>
      <c r="AW292" s="279"/>
      <c r="AX292" s="279"/>
      <c r="AY292" s="279"/>
      <c r="AZ292" s="279"/>
      <c r="BA292" s="279"/>
      <c r="BB292" s="279"/>
      <c r="BC292" s="279"/>
      <c r="BD292" s="279"/>
      <c r="BE292" s="279"/>
      <c r="BF292" s="279"/>
      <c r="BG292" s="279"/>
      <c r="BH292" s="279"/>
      <c r="BI292" s="279"/>
      <c r="BJ292" s="279"/>
      <c r="BK292" s="279"/>
      <c r="BL292" s="279"/>
      <c r="BM292" s="279"/>
      <c r="BN292" s="279"/>
      <c r="BO292" s="279"/>
      <c r="BP292" s="279"/>
      <c r="BQ292" s="279"/>
      <c r="BR292" s="279"/>
      <c r="BS292" s="279"/>
      <c r="BT292" s="279"/>
      <c r="BU292" s="279"/>
      <c r="BV292" s="279"/>
      <c r="BW292" s="279"/>
      <c r="BX292" s="279"/>
      <c r="BY292" s="279"/>
      <c r="BZ292" s="279"/>
      <c r="CA292" s="279"/>
      <c r="CB292" s="279"/>
      <c r="CC292" s="279"/>
      <c r="CD292" s="279"/>
      <c r="CE292" s="279"/>
      <c r="CF292" s="279"/>
      <c r="CG292" s="279"/>
      <c r="CH292" s="279"/>
      <c r="CI292" s="279"/>
      <c r="CJ292" s="279"/>
      <c r="CK292" s="279"/>
      <c r="CL292" s="279"/>
      <c r="CM292" s="279"/>
      <c r="CN292" s="382"/>
    </row>
    <row r="293" ht="20.25" customHeight="true" x14ac:dyDescent="0.3">
      <c r="B293" s="361"/>
      <c r="C293" s="279"/>
      <c r="D293" s="280"/>
      <c r="E293" s="287"/>
      <c r="F293" s="287"/>
      <c r="G293" s="287"/>
      <c r="H293" s="1292">
        <f t="shared" si="14"/>
        <v>35</v>
      </c>
      <c r="I293" s="1295" t="str">
        <f>IF('I. Stream &amp; Compound Data'!BI296&lt;&gt;"",'I. Stream &amp; Compound Data'!BI296,"")</f>
        <v/>
      </c>
      <c r="J293" s="1295" t="str">
        <f>IF('I. Stream &amp; Compound Data'!AY296&lt;&gt;"",'I. Stream &amp; Compound Data'!AY296-'I. Stream &amp; Compound Data'!F$19,"")</f>
        <v/>
      </c>
      <c r="K293" s="1306" t="str">
        <f>IF(H293&gt;'I. Stream &amp; Compound Data'!$F$18,"",IF(I293="","N/A",ROUND(IF(I293&lt;=0.0001,0,IF(AND(I293&gt;0.0001,I293&lt;10),0.0869*LN(I293)+0.8,1)),3)))</f>
        <v/>
      </c>
      <c r="L293" s="1242" t="str">
        <f>IF(H293&gt;'I. Stream &amp; Compound Data'!$F$18,"",IF(K293="N/A",IF(J293="","N/A",IF(J293&lt;=0,0.8,IF(AND(J293&gt;0,J293&lt;200),-0.004*LN(J293)+0.8,0))),"N/A"))</f>
        <v/>
      </c>
      <c r="M293" s="1242" t="str">
        <f>IF(H293&gt;'I. Stream &amp; Compound Data'!$F$18,"",IF(I176="","N/A",IF(K293&lt;&gt;"N/A",K293,IF(L293&lt;&gt;"N/A",L293,"NO DATA AVAILABLE"))))</f>
        <v/>
      </c>
      <c r="N293" s="1242" t="str">
        <f>IF(H293&gt;'I. Stream &amp; Compound Data'!$F$18,"",IF(M293="N/A",0,IF(M293&lt;&gt;0,ROUND(10^(5*M293-4),3),0)))</f>
        <v/>
      </c>
      <c r="O293" s="1242" t="str">
        <f>IF(H293&gt;'I. Stream &amp; Compound Data'!$F$18,"",MAX(K176:L176))</f>
        <v/>
      </c>
      <c r="P293" s="1268" t="str">
        <f>IF(H293&gt;'I. Stream &amp; Compound Data'!$F$18,"",ROUND(N293*O293,3))</f>
        <v/>
      </c>
      <c r="Q293" s="279"/>
      <c r="R293" s="297"/>
      <c r="S293" s="298"/>
      <c r="T293" s="298"/>
      <c r="U293" s="299"/>
      <c r="V293" s="279"/>
      <c r="W293" s="279"/>
      <c r="X293" s="279"/>
      <c r="Y293" s="279"/>
      <c r="Z293" s="279"/>
      <c r="AA293" s="279"/>
      <c r="AB293" s="279"/>
      <c r="AC293" s="279"/>
      <c r="AD293" s="279"/>
      <c r="AE293" s="279"/>
      <c r="AF293" s="279"/>
      <c r="AG293" s="279"/>
      <c r="AH293" s="279"/>
      <c r="AI293" s="279"/>
      <c r="AJ293" s="279"/>
      <c r="AK293" s="279"/>
      <c r="AL293" s="279"/>
      <c r="AM293" s="279"/>
      <c r="AN293" s="279"/>
      <c r="AO293" s="279"/>
      <c r="AP293" s="279"/>
      <c r="AQ293" s="279"/>
      <c r="AR293" s="279"/>
      <c r="AS293" s="279"/>
      <c r="AT293" s="279"/>
      <c r="AU293" s="279"/>
      <c r="AV293" s="279"/>
      <c r="AW293" s="279"/>
      <c r="AX293" s="279"/>
      <c r="AY293" s="279"/>
      <c r="AZ293" s="279"/>
      <c r="BA293" s="279"/>
      <c r="BB293" s="279"/>
      <c r="BC293" s="279"/>
      <c r="BD293" s="279"/>
      <c r="BE293" s="279"/>
      <c r="BF293" s="279"/>
      <c r="BG293" s="279"/>
      <c r="BH293" s="279"/>
      <c r="BI293" s="279"/>
      <c r="BJ293" s="279"/>
      <c r="BK293" s="279"/>
      <c r="BL293" s="279"/>
      <c r="BM293" s="279"/>
      <c r="BN293" s="279"/>
      <c r="BO293" s="279"/>
      <c r="BP293" s="279"/>
      <c r="BQ293" s="279"/>
      <c r="BR293" s="279"/>
      <c r="BS293" s="279"/>
      <c r="BT293" s="279"/>
      <c r="BU293" s="279"/>
      <c r="BV293" s="279"/>
      <c r="BW293" s="279"/>
      <c r="BX293" s="279"/>
      <c r="BY293" s="279"/>
      <c r="BZ293" s="279"/>
      <c r="CA293" s="279"/>
      <c r="CB293" s="279"/>
      <c r="CC293" s="279"/>
      <c r="CD293" s="279"/>
      <c r="CE293" s="279"/>
      <c r="CF293" s="279"/>
      <c r="CG293" s="279"/>
      <c r="CH293" s="279"/>
      <c r="CI293" s="279"/>
      <c r="CJ293" s="279"/>
      <c r="CK293" s="279"/>
      <c r="CL293" s="279"/>
      <c r="CM293" s="279"/>
      <c r="CN293" s="382"/>
    </row>
    <row r="294" ht="20.25" customHeight="true" x14ac:dyDescent="0.3">
      <c r="B294" s="361"/>
      <c r="C294" s="279"/>
      <c r="D294" s="280"/>
      <c r="E294" s="287"/>
      <c r="F294" s="287"/>
      <c r="G294" s="287"/>
      <c r="H294" s="1292">
        <f t="shared" si="14"/>
        <v>36</v>
      </c>
      <c r="I294" s="1295" t="str">
        <f>IF('I. Stream &amp; Compound Data'!BI297&lt;&gt;"",'I. Stream &amp; Compound Data'!BI297,"")</f>
        <v/>
      </c>
      <c r="J294" s="1295" t="str">
        <f>IF('I. Stream &amp; Compound Data'!AY297&lt;&gt;"",'I. Stream &amp; Compound Data'!AY297-'I. Stream &amp; Compound Data'!F$19,"")</f>
        <v/>
      </c>
      <c r="K294" s="1306" t="str">
        <f>IF(H294&gt;'I. Stream &amp; Compound Data'!$F$18,"",IF(I294="","N/A",ROUND(IF(I294&lt;=0.0001,0,IF(AND(I294&gt;0.0001,I294&lt;10),0.0869*LN(I294)+0.8,1)),3)))</f>
        <v/>
      </c>
      <c r="L294" s="1242" t="str">
        <f>IF(H294&gt;'I. Stream &amp; Compound Data'!$F$18,"",IF(K294="N/A",IF(J294="","N/A",IF(J294&lt;=0,0.8,IF(AND(J294&gt;0,J294&lt;200),-0.004*LN(J294)+0.8,0))),"N/A"))</f>
        <v/>
      </c>
      <c r="M294" s="1242" t="str">
        <f>IF(H294&gt;'I. Stream &amp; Compound Data'!$F$18,"",IF(I177="","N/A",IF(K294&lt;&gt;"N/A",K294,IF(L294&lt;&gt;"N/A",L294,"NO DATA AVAILABLE"))))</f>
        <v/>
      </c>
      <c r="N294" s="1242" t="str">
        <f>IF(H294&gt;'I. Stream &amp; Compound Data'!$F$18,"",IF(M294="N/A",0,IF(M294&lt;&gt;0,ROUND(10^(5*M294-4),3),0)))</f>
        <v/>
      </c>
      <c r="O294" s="1242" t="str">
        <f>IF(H294&gt;'I. Stream &amp; Compound Data'!$F$18,"",MAX(K177:L177))</f>
        <v/>
      </c>
      <c r="P294" s="1268" t="str">
        <f>IF(H294&gt;'I. Stream &amp; Compound Data'!$F$18,"",ROUND(N294*O294,3))</f>
        <v/>
      </c>
      <c r="Q294" s="279"/>
      <c r="R294" s="297"/>
      <c r="S294" s="298"/>
      <c r="T294" s="298"/>
      <c r="U294" s="299"/>
      <c r="V294" s="279"/>
      <c r="W294" s="279"/>
      <c r="X294" s="279"/>
      <c r="Y294" s="279"/>
      <c r="Z294" s="279"/>
      <c r="AA294" s="279"/>
      <c r="AB294" s="279"/>
      <c r="AC294" s="279"/>
      <c r="AD294" s="279"/>
      <c r="AE294" s="279"/>
      <c r="AF294" s="279"/>
      <c r="AG294" s="279"/>
      <c r="AH294" s="279"/>
      <c r="AI294" s="279"/>
      <c r="AJ294" s="279"/>
      <c r="AK294" s="279"/>
      <c r="AL294" s="279"/>
      <c r="AM294" s="279"/>
      <c r="AN294" s="279"/>
      <c r="AO294" s="279"/>
      <c r="AP294" s="279"/>
      <c r="AQ294" s="279"/>
      <c r="AR294" s="279"/>
      <c r="AS294" s="279"/>
      <c r="AT294" s="279"/>
      <c r="AU294" s="279"/>
      <c r="AV294" s="279"/>
      <c r="AW294" s="279"/>
      <c r="AX294" s="279"/>
      <c r="AY294" s="279"/>
      <c r="AZ294" s="279"/>
      <c r="BA294" s="279"/>
      <c r="BB294" s="279"/>
      <c r="BC294" s="279"/>
      <c r="BD294" s="279"/>
      <c r="BE294" s="279"/>
      <c r="BF294" s="279"/>
      <c r="BG294" s="279"/>
      <c r="BH294" s="279"/>
      <c r="BI294" s="279"/>
      <c r="BJ294" s="279"/>
      <c r="BK294" s="279"/>
      <c r="BL294" s="279"/>
      <c r="BM294" s="279"/>
      <c r="BN294" s="279"/>
      <c r="BO294" s="279"/>
      <c r="BP294" s="279"/>
      <c r="BQ294" s="279"/>
      <c r="BR294" s="279"/>
      <c r="BS294" s="279"/>
      <c r="BT294" s="279"/>
      <c r="BU294" s="279"/>
      <c r="BV294" s="279"/>
      <c r="BW294" s="279"/>
      <c r="BX294" s="279"/>
      <c r="BY294" s="279"/>
      <c r="BZ294" s="279"/>
      <c r="CA294" s="279"/>
      <c r="CB294" s="279"/>
      <c r="CC294" s="279"/>
      <c r="CD294" s="279"/>
      <c r="CE294" s="279"/>
      <c r="CF294" s="279"/>
      <c r="CG294" s="279"/>
      <c r="CH294" s="279"/>
      <c r="CI294" s="279"/>
      <c r="CJ294" s="279"/>
      <c r="CK294" s="279"/>
      <c r="CL294" s="279"/>
      <c r="CM294" s="279"/>
      <c r="CN294" s="382"/>
    </row>
    <row r="295" ht="20.25" customHeight="true" x14ac:dyDescent="0.3">
      <c r="B295" s="361"/>
      <c r="C295" s="279"/>
      <c r="D295" s="280"/>
      <c r="E295" s="287"/>
      <c r="F295" s="287"/>
      <c r="G295" s="287"/>
      <c r="H295" s="1292">
        <f t="shared" si="14"/>
        <v>37</v>
      </c>
      <c r="I295" s="1295" t="str">
        <f>IF('I. Stream &amp; Compound Data'!BI298&lt;&gt;"",'I. Stream &amp; Compound Data'!BI298,"")</f>
        <v/>
      </c>
      <c r="J295" s="1295" t="str">
        <f>IF('I. Stream &amp; Compound Data'!AY298&lt;&gt;"",'I. Stream &amp; Compound Data'!AY298-'I. Stream &amp; Compound Data'!F$19,"")</f>
        <v/>
      </c>
      <c r="K295" s="1306" t="str">
        <f>IF(H295&gt;'I. Stream &amp; Compound Data'!$F$18,"",IF(I295="","N/A",ROUND(IF(I295&lt;=0.0001,0,IF(AND(I295&gt;0.0001,I295&lt;10),0.0869*LN(I295)+0.8,1)),3)))</f>
        <v/>
      </c>
      <c r="L295" s="1242" t="str">
        <f>IF(H295&gt;'I. Stream &amp; Compound Data'!$F$18,"",IF(K295="N/A",IF(J295="","N/A",IF(J295&lt;=0,0.8,IF(AND(J295&gt;0,J295&lt;200),-0.004*LN(J295)+0.8,0))),"N/A"))</f>
        <v/>
      </c>
      <c r="M295" s="1242" t="str">
        <f>IF(H295&gt;'I. Stream &amp; Compound Data'!$F$18,"",IF(I178="","N/A",IF(K295&lt;&gt;"N/A",K295,IF(L295&lt;&gt;"N/A",L295,"NO DATA AVAILABLE"))))</f>
        <v/>
      </c>
      <c r="N295" s="1242" t="str">
        <f>IF(H295&gt;'I. Stream &amp; Compound Data'!$F$18,"",IF(M295="N/A",0,IF(M295&lt;&gt;0,ROUND(10^(5*M295-4),3),0)))</f>
        <v/>
      </c>
      <c r="O295" s="1242" t="str">
        <f>IF(H295&gt;'I. Stream &amp; Compound Data'!$F$18,"",MAX(K178:L178))</f>
        <v/>
      </c>
      <c r="P295" s="1268" t="str">
        <f>IF(H295&gt;'I. Stream &amp; Compound Data'!$F$18,"",ROUND(N295*O295,3))</f>
        <v/>
      </c>
      <c r="Q295" s="279"/>
      <c r="R295" s="297"/>
      <c r="S295" s="298"/>
      <c r="T295" s="298"/>
      <c r="U295" s="299"/>
      <c r="V295" s="279"/>
      <c r="W295" s="279"/>
      <c r="X295" s="279"/>
      <c r="Y295" s="279"/>
      <c r="Z295" s="279"/>
      <c r="AA295" s="279"/>
      <c r="AB295" s="279"/>
      <c r="AC295" s="279"/>
      <c r="AD295" s="279"/>
      <c r="AE295" s="279"/>
      <c r="AF295" s="279"/>
      <c r="AG295" s="279"/>
      <c r="AH295" s="279"/>
      <c r="AI295" s="279"/>
      <c r="AJ295" s="279"/>
      <c r="AK295" s="279"/>
      <c r="AL295" s="279"/>
      <c r="AM295" s="279"/>
      <c r="AN295" s="279"/>
      <c r="AO295" s="279"/>
      <c r="AP295" s="279"/>
      <c r="AQ295" s="279"/>
      <c r="AR295" s="279"/>
      <c r="AS295" s="279"/>
      <c r="AT295" s="279"/>
      <c r="AU295" s="279"/>
      <c r="AV295" s="279"/>
      <c r="AW295" s="279"/>
      <c r="AX295" s="279"/>
      <c r="AY295" s="279"/>
      <c r="AZ295" s="279"/>
      <c r="BA295" s="279"/>
      <c r="BB295" s="279"/>
      <c r="BC295" s="279"/>
      <c r="BD295" s="279"/>
      <c r="BE295" s="279"/>
      <c r="BF295" s="279"/>
      <c r="BG295" s="279"/>
      <c r="BH295" s="279"/>
      <c r="BI295" s="279"/>
      <c r="BJ295" s="279"/>
      <c r="BK295" s="279"/>
      <c r="BL295" s="279"/>
      <c r="BM295" s="279"/>
      <c r="BN295" s="279"/>
      <c r="BO295" s="279"/>
      <c r="BP295" s="279"/>
      <c r="BQ295" s="279"/>
      <c r="BR295" s="279"/>
      <c r="BS295" s="279"/>
      <c r="BT295" s="279"/>
      <c r="BU295" s="279"/>
      <c r="BV295" s="279"/>
      <c r="BW295" s="279"/>
      <c r="BX295" s="279"/>
      <c r="BY295" s="279"/>
      <c r="BZ295" s="279"/>
      <c r="CA295" s="279"/>
      <c r="CB295" s="279"/>
      <c r="CC295" s="279"/>
      <c r="CD295" s="279"/>
      <c r="CE295" s="279"/>
      <c r="CF295" s="279"/>
      <c r="CG295" s="279"/>
      <c r="CH295" s="279"/>
      <c r="CI295" s="279"/>
      <c r="CJ295" s="279"/>
      <c r="CK295" s="279"/>
      <c r="CL295" s="279"/>
      <c r="CM295" s="279"/>
      <c r="CN295" s="382"/>
    </row>
    <row r="296" ht="20.25" customHeight="true" x14ac:dyDescent="0.3">
      <c r="B296" s="361"/>
      <c r="C296" s="279"/>
      <c r="D296" s="280"/>
      <c r="E296" s="287"/>
      <c r="F296" s="287"/>
      <c r="G296" s="287"/>
      <c r="H296" s="1292">
        <f t="shared" si="14"/>
        <v>38</v>
      </c>
      <c r="I296" s="1295" t="str">
        <f>IF('I. Stream &amp; Compound Data'!BI299&lt;&gt;"",'I. Stream &amp; Compound Data'!BI299,"")</f>
        <v/>
      </c>
      <c r="J296" s="1295" t="str">
        <f>IF('I. Stream &amp; Compound Data'!AY299&lt;&gt;"",'I. Stream &amp; Compound Data'!AY299-'I. Stream &amp; Compound Data'!F$19,"")</f>
        <v/>
      </c>
      <c r="K296" s="1306" t="str">
        <f>IF(H296&gt;'I. Stream &amp; Compound Data'!$F$18,"",IF(I296="","N/A",ROUND(IF(I296&lt;=0.0001,0,IF(AND(I296&gt;0.0001,I296&lt;10),0.0869*LN(I296)+0.8,1)),3)))</f>
        <v/>
      </c>
      <c r="L296" s="1242" t="str">
        <f>IF(H296&gt;'I. Stream &amp; Compound Data'!$F$18,"",IF(K296="N/A",IF(J296="","N/A",IF(J296&lt;=0,0.8,IF(AND(J296&gt;0,J296&lt;200),-0.004*LN(J296)+0.8,0))),"N/A"))</f>
        <v/>
      </c>
      <c r="M296" s="1242" t="str">
        <f>IF(H296&gt;'I. Stream &amp; Compound Data'!$F$18,"",IF(I179="","N/A",IF(K296&lt;&gt;"N/A",K296,IF(L296&lt;&gt;"N/A",L296,"NO DATA AVAILABLE"))))</f>
        <v/>
      </c>
      <c r="N296" s="1242" t="str">
        <f>IF(H296&gt;'I. Stream &amp; Compound Data'!$F$18,"",IF(M296="N/A",0,IF(M296&lt;&gt;0,ROUND(10^(5*M296-4),3),0)))</f>
        <v/>
      </c>
      <c r="O296" s="1242" t="str">
        <f>IF(H296&gt;'I. Stream &amp; Compound Data'!$F$18,"",MAX(K179:L179))</f>
        <v/>
      </c>
      <c r="P296" s="1268" t="str">
        <f>IF(H296&gt;'I. Stream &amp; Compound Data'!$F$18,"",ROUND(N296*O296,3))</f>
        <v/>
      </c>
      <c r="Q296" s="279"/>
      <c r="R296" s="297"/>
      <c r="S296" s="298"/>
      <c r="T296" s="298"/>
      <c r="U296" s="299"/>
      <c r="V296" s="279"/>
      <c r="W296" s="279"/>
      <c r="X296" s="279"/>
      <c r="Y296" s="279"/>
      <c r="Z296" s="279"/>
      <c r="AA296" s="279"/>
      <c r="AB296" s="279"/>
      <c r="AC296" s="279"/>
      <c r="AD296" s="279"/>
      <c r="AE296" s="279"/>
      <c r="AF296" s="279"/>
      <c r="AG296" s="279"/>
      <c r="AH296" s="279"/>
      <c r="AI296" s="279"/>
      <c r="AJ296" s="279"/>
      <c r="AK296" s="279"/>
      <c r="AL296" s="279"/>
      <c r="AM296" s="279"/>
      <c r="AN296" s="279"/>
      <c r="AO296" s="279"/>
      <c r="AP296" s="279"/>
      <c r="AQ296" s="279"/>
      <c r="AR296" s="279"/>
      <c r="AS296" s="279"/>
      <c r="AT296" s="279"/>
      <c r="AU296" s="279"/>
      <c r="AV296" s="279"/>
      <c r="AW296" s="279"/>
      <c r="AX296" s="279"/>
      <c r="AY296" s="279"/>
      <c r="AZ296" s="279"/>
      <c r="BA296" s="279"/>
      <c r="BB296" s="279"/>
      <c r="BC296" s="279"/>
      <c r="BD296" s="279"/>
      <c r="BE296" s="279"/>
      <c r="BF296" s="279"/>
      <c r="BG296" s="279"/>
      <c r="BH296" s="279"/>
      <c r="BI296" s="279"/>
      <c r="BJ296" s="279"/>
      <c r="BK296" s="279"/>
      <c r="BL296" s="279"/>
      <c r="BM296" s="279"/>
      <c r="BN296" s="279"/>
      <c r="BO296" s="279"/>
      <c r="BP296" s="279"/>
      <c r="BQ296" s="279"/>
      <c r="BR296" s="279"/>
      <c r="BS296" s="279"/>
      <c r="BT296" s="279"/>
      <c r="BU296" s="279"/>
      <c r="BV296" s="279"/>
      <c r="BW296" s="279"/>
      <c r="BX296" s="279"/>
      <c r="BY296" s="279"/>
      <c r="BZ296" s="279"/>
      <c r="CA296" s="279"/>
      <c r="CB296" s="279"/>
      <c r="CC296" s="279"/>
      <c r="CD296" s="279"/>
      <c r="CE296" s="279"/>
      <c r="CF296" s="279"/>
      <c r="CG296" s="279"/>
      <c r="CH296" s="279"/>
      <c r="CI296" s="279"/>
      <c r="CJ296" s="279"/>
      <c r="CK296" s="279"/>
      <c r="CL296" s="279"/>
      <c r="CM296" s="279"/>
      <c r="CN296" s="382"/>
    </row>
    <row r="297" ht="20.25" customHeight="true" x14ac:dyDescent="0.3">
      <c r="B297" s="361"/>
      <c r="C297" s="279"/>
      <c r="D297" s="280"/>
      <c r="E297" s="287"/>
      <c r="F297" s="287"/>
      <c r="G297" s="287"/>
      <c r="H297" s="1292">
        <f t="shared" si="14"/>
        <v>39</v>
      </c>
      <c r="I297" s="1295" t="str">
        <f>IF('I. Stream &amp; Compound Data'!BI300&lt;&gt;"",'I. Stream &amp; Compound Data'!BI300,"")</f>
        <v/>
      </c>
      <c r="J297" s="1295" t="str">
        <f>IF('I. Stream &amp; Compound Data'!AY300&lt;&gt;"",'I. Stream &amp; Compound Data'!AY300-'I. Stream &amp; Compound Data'!F$19,"")</f>
        <v/>
      </c>
      <c r="K297" s="1306" t="str">
        <f>IF(H297&gt;'I. Stream &amp; Compound Data'!$F$18,"",IF(I297="","N/A",ROUND(IF(I297&lt;=0.0001,0,IF(AND(I297&gt;0.0001,I297&lt;10),0.0869*LN(I297)+0.8,1)),3)))</f>
        <v/>
      </c>
      <c r="L297" s="1242" t="str">
        <f>IF(H297&gt;'I. Stream &amp; Compound Data'!$F$18,"",IF(K297="N/A",IF(J297="","N/A",IF(J297&lt;=0,0.8,IF(AND(J297&gt;0,J297&lt;200),-0.004*LN(J297)+0.8,0))),"N/A"))</f>
        <v/>
      </c>
      <c r="M297" s="1242" t="str">
        <f>IF(H297&gt;'I. Stream &amp; Compound Data'!$F$18,"",IF(I180="","N/A",IF(K297&lt;&gt;"N/A",K297,IF(L297&lt;&gt;"N/A",L297,"NO DATA AVAILABLE"))))</f>
        <v/>
      </c>
      <c r="N297" s="1242" t="str">
        <f>IF(H297&gt;'I. Stream &amp; Compound Data'!$F$18,"",IF(M297="N/A",0,IF(M297&lt;&gt;0,ROUND(10^(5*M297-4),3),0)))</f>
        <v/>
      </c>
      <c r="O297" s="1242" t="str">
        <f>IF(H297&gt;'I. Stream &amp; Compound Data'!$F$18,"",MAX(K180:L180))</f>
        <v/>
      </c>
      <c r="P297" s="1268" t="str">
        <f>IF(H297&gt;'I. Stream &amp; Compound Data'!$F$18,"",ROUND(N297*O297,3))</f>
        <v/>
      </c>
      <c r="Q297" s="279"/>
      <c r="R297" s="297"/>
      <c r="S297" s="298"/>
      <c r="T297" s="298"/>
      <c r="U297" s="299"/>
      <c r="V297" s="279"/>
      <c r="W297" s="279"/>
      <c r="X297" s="279"/>
      <c r="Y297" s="279"/>
      <c r="Z297" s="279"/>
      <c r="AA297" s="279"/>
      <c r="AB297" s="279"/>
      <c r="AC297" s="279"/>
      <c r="AD297" s="279"/>
      <c r="AE297" s="279"/>
      <c r="AF297" s="279"/>
      <c r="AG297" s="279"/>
      <c r="AH297" s="279"/>
      <c r="AI297" s="279"/>
      <c r="AJ297" s="279"/>
      <c r="AK297" s="279"/>
      <c r="AL297" s="279"/>
      <c r="AM297" s="279"/>
      <c r="AN297" s="279"/>
      <c r="AO297" s="279"/>
      <c r="AP297" s="279"/>
      <c r="AQ297" s="279"/>
      <c r="AR297" s="279"/>
      <c r="AS297" s="279"/>
      <c r="AT297" s="279"/>
      <c r="AU297" s="279"/>
      <c r="AV297" s="279"/>
      <c r="AW297" s="279"/>
      <c r="AX297" s="279"/>
      <c r="AY297" s="279"/>
      <c r="AZ297" s="279"/>
      <c r="BA297" s="279"/>
      <c r="BB297" s="279"/>
      <c r="BC297" s="279"/>
      <c r="BD297" s="279"/>
      <c r="BE297" s="279"/>
      <c r="BF297" s="279"/>
      <c r="BG297" s="279"/>
      <c r="BH297" s="279"/>
      <c r="BI297" s="279"/>
      <c r="BJ297" s="279"/>
      <c r="BK297" s="279"/>
      <c r="BL297" s="279"/>
      <c r="BM297" s="279"/>
      <c r="BN297" s="279"/>
      <c r="BO297" s="279"/>
      <c r="BP297" s="279"/>
      <c r="BQ297" s="279"/>
      <c r="BR297" s="279"/>
      <c r="BS297" s="279"/>
      <c r="BT297" s="279"/>
      <c r="BU297" s="279"/>
      <c r="BV297" s="279"/>
      <c r="BW297" s="279"/>
      <c r="BX297" s="279"/>
      <c r="BY297" s="279"/>
      <c r="BZ297" s="279"/>
      <c r="CA297" s="279"/>
      <c r="CB297" s="279"/>
      <c r="CC297" s="279"/>
      <c r="CD297" s="279"/>
      <c r="CE297" s="279"/>
      <c r="CF297" s="279"/>
      <c r="CG297" s="279"/>
      <c r="CH297" s="279"/>
      <c r="CI297" s="279"/>
      <c r="CJ297" s="279"/>
      <c r="CK297" s="279"/>
      <c r="CL297" s="279"/>
      <c r="CM297" s="279"/>
      <c r="CN297" s="382"/>
    </row>
    <row r="298" ht="20.25" customHeight="true" x14ac:dyDescent="0.3">
      <c r="B298" s="361"/>
      <c r="C298" s="279"/>
      <c r="D298" s="280"/>
      <c r="E298" s="287"/>
      <c r="F298" s="287"/>
      <c r="G298" s="287"/>
      <c r="H298" s="1292">
        <f t="shared" si="14"/>
        <v>40</v>
      </c>
      <c r="I298" s="1295" t="str">
        <f>IF('I. Stream &amp; Compound Data'!BI301&lt;&gt;"",'I. Stream &amp; Compound Data'!BI301,"")</f>
        <v/>
      </c>
      <c r="J298" s="1295" t="str">
        <f>IF('I. Stream &amp; Compound Data'!AY301&lt;&gt;"",'I. Stream &amp; Compound Data'!AY301-'I. Stream &amp; Compound Data'!F$19,"")</f>
        <v/>
      </c>
      <c r="K298" s="1306" t="str">
        <f>IF(H298&gt;'I. Stream &amp; Compound Data'!$F$18,"",IF(I298="","N/A",ROUND(IF(I298&lt;=0.0001,0,IF(AND(I298&gt;0.0001,I298&lt;10),0.0869*LN(I298)+0.8,1)),3)))</f>
        <v/>
      </c>
      <c r="L298" s="1242" t="str">
        <f>IF(H298&gt;'I. Stream &amp; Compound Data'!$F$18,"",IF(K298="N/A",IF(J298="","N/A",IF(J298&lt;=0,0.8,IF(AND(J298&gt;0,J298&lt;200),-0.004*LN(J298)+0.8,0))),"N/A"))</f>
        <v/>
      </c>
      <c r="M298" s="1242" t="str">
        <f>IF(H298&gt;'I. Stream &amp; Compound Data'!$F$18,"",IF(I181="","N/A",IF(K298&lt;&gt;"N/A",K298,IF(L298&lt;&gt;"N/A",L298,"NO DATA AVAILABLE"))))</f>
        <v/>
      </c>
      <c r="N298" s="1242" t="str">
        <f>IF(H298&gt;'I. Stream &amp; Compound Data'!$F$18,"",IF(M298="N/A",0,IF(M298&lt;&gt;0,ROUND(10^(5*M298-4),3),0)))</f>
        <v/>
      </c>
      <c r="O298" s="1242" t="str">
        <f>IF(H298&gt;'I. Stream &amp; Compound Data'!$F$18,"",MAX(K181:L181))</f>
        <v/>
      </c>
      <c r="P298" s="1268" t="str">
        <f>IF(H298&gt;'I. Stream &amp; Compound Data'!$F$18,"",ROUND(N298*O298,3))</f>
        <v/>
      </c>
      <c r="Q298" s="279"/>
      <c r="R298" s="297"/>
      <c r="S298" s="298"/>
      <c r="T298" s="298"/>
      <c r="U298" s="299"/>
      <c r="V298" s="279"/>
      <c r="W298" s="279"/>
      <c r="X298" s="279"/>
      <c r="Y298" s="279"/>
      <c r="Z298" s="279"/>
      <c r="AA298" s="279"/>
      <c r="AB298" s="279"/>
      <c r="AC298" s="279"/>
      <c r="AD298" s="279"/>
      <c r="AE298" s="279"/>
      <c r="AF298" s="279"/>
      <c r="AG298" s="279"/>
      <c r="AH298" s="279"/>
      <c r="AI298" s="279"/>
      <c r="AJ298" s="279"/>
      <c r="AK298" s="279"/>
      <c r="AL298" s="279"/>
      <c r="AM298" s="279"/>
      <c r="AN298" s="279"/>
      <c r="AO298" s="279"/>
      <c r="AP298" s="279"/>
      <c r="AQ298" s="279"/>
      <c r="AR298" s="279"/>
      <c r="AS298" s="279"/>
      <c r="AT298" s="279"/>
      <c r="AU298" s="279"/>
      <c r="AV298" s="279"/>
      <c r="AW298" s="279"/>
      <c r="AX298" s="279"/>
      <c r="AY298" s="279"/>
      <c r="AZ298" s="279"/>
      <c r="BA298" s="279"/>
      <c r="BB298" s="279"/>
      <c r="BC298" s="279"/>
      <c r="BD298" s="279"/>
      <c r="BE298" s="279"/>
      <c r="BF298" s="279"/>
      <c r="BG298" s="279"/>
      <c r="BH298" s="279"/>
      <c r="BI298" s="279"/>
      <c r="BJ298" s="279"/>
      <c r="BK298" s="279"/>
      <c r="BL298" s="279"/>
      <c r="BM298" s="279"/>
      <c r="BN298" s="279"/>
      <c r="BO298" s="279"/>
      <c r="BP298" s="279"/>
      <c r="BQ298" s="279"/>
      <c r="BR298" s="279"/>
      <c r="BS298" s="279"/>
      <c r="BT298" s="279"/>
      <c r="BU298" s="279"/>
      <c r="BV298" s="279"/>
      <c r="BW298" s="279"/>
      <c r="BX298" s="279"/>
      <c r="BY298" s="279"/>
      <c r="BZ298" s="279"/>
      <c r="CA298" s="279"/>
      <c r="CB298" s="279"/>
      <c r="CC298" s="279"/>
      <c r="CD298" s="279"/>
      <c r="CE298" s="279"/>
      <c r="CF298" s="279"/>
      <c r="CG298" s="279"/>
      <c r="CH298" s="279"/>
      <c r="CI298" s="279"/>
      <c r="CJ298" s="279"/>
      <c r="CK298" s="279"/>
      <c r="CL298" s="279"/>
      <c r="CM298" s="279"/>
      <c r="CN298" s="382"/>
    </row>
    <row r="299" ht="20.25" customHeight="true" x14ac:dyDescent="0.3">
      <c r="B299" s="361"/>
      <c r="C299" s="279"/>
      <c r="D299" s="280"/>
      <c r="E299" s="287"/>
      <c r="F299" s="287"/>
      <c r="G299" s="287"/>
      <c r="H299" s="1292">
        <f t="shared" si="14"/>
        <v>41</v>
      </c>
      <c r="I299" s="1295" t="str">
        <f>IF('I. Stream &amp; Compound Data'!BI302&lt;&gt;"",'I. Stream &amp; Compound Data'!BI302,"")</f>
        <v/>
      </c>
      <c r="J299" s="1295" t="str">
        <f>IF('I. Stream &amp; Compound Data'!AY302&lt;&gt;"",'I. Stream &amp; Compound Data'!AY302-'I. Stream &amp; Compound Data'!F$19,"")</f>
        <v/>
      </c>
      <c r="K299" s="1306" t="str">
        <f>IF(H299&gt;'I. Stream &amp; Compound Data'!$F$18,"",IF(I299="","N/A",ROUND(IF(I299&lt;=0.0001,0,IF(AND(I299&gt;0.0001,I299&lt;10),0.0869*LN(I299)+0.8,1)),3)))</f>
        <v/>
      </c>
      <c r="L299" s="1242" t="str">
        <f>IF(H299&gt;'I. Stream &amp; Compound Data'!$F$18,"",IF(K299="N/A",IF(J299="","N/A",IF(J299&lt;=0,0.8,IF(AND(J299&gt;0,J299&lt;200),-0.004*LN(J299)+0.8,0))),"N/A"))</f>
        <v/>
      </c>
      <c r="M299" s="1242" t="str">
        <f>IF(H299&gt;'I. Stream &amp; Compound Data'!$F$18,"",IF(I182="","N/A",IF(K299&lt;&gt;"N/A",K299,IF(L299&lt;&gt;"N/A",L299,"NO DATA AVAILABLE"))))</f>
        <v/>
      </c>
      <c r="N299" s="1242" t="str">
        <f>IF(H299&gt;'I. Stream &amp; Compound Data'!$F$18,"",IF(M299="N/A",0,IF(M299&lt;&gt;0,ROUND(10^(5*M299-4),3),0)))</f>
        <v/>
      </c>
      <c r="O299" s="1242" t="str">
        <f>IF(H299&gt;'I. Stream &amp; Compound Data'!$F$18,"",MAX(K182:L182))</f>
        <v/>
      </c>
      <c r="P299" s="1268" t="str">
        <f>IF(H299&gt;'I. Stream &amp; Compound Data'!$F$18,"",ROUND(N299*O299,3))</f>
        <v/>
      </c>
      <c r="Q299" s="279"/>
      <c r="R299" s="297"/>
      <c r="S299" s="298"/>
      <c r="T299" s="298"/>
      <c r="U299" s="299"/>
      <c r="V299" s="279"/>
      <c r="W299" s="279"/>
      <c r="X299" s="279"/>
      <c r="Y299" s="279"/>
      <c r="Z299" s="279"/>
      <c r="AA299" s="279"/>
      <c r="AB299" s="279"/>
      <c r="AC299" s="279"/>
      <c r="AD299" s="279"/>
      <c r="AE299" s="279"/>
      <c r="AF299" s="279"/>
      <c r="AG299" s="279"/>
      <c r="AH299" s="279"/>
      <c r="AI299" s="279"/>
      <c r="AJ299" s="279"/>
      <c r="AK299" s="279"/>
      <c r="AL299" s="279"/>
      <c r="AM299" s="279"/>
      <c r="AN299" s="279"/>
      <c r="AO299" s="279"/>
      <c r="AP299" s="279"/>
      <c r="AQ299" s="279"/>
      <c r="AR299" s="279"/>
      <c r="AS299" s="279"/>
      <c r="AT299" s="279"/>
      <c r="AU299" s="279"/>
      <c r="AV299" s="279"/>
      <c r="AW299" s="279"/>
      <c r="AX299" s="279"/>
      <c r="AY299" s="279"/>
      <c r="AZ299" s="279"/>
      <c r="BA299" s="279"/>
      <c r="BB299" s="279"/>
      <c r="BC299" s="279"/>
      <c r="BD299" s="279"/>
      <c r="BE299" s="279"/>
      <c r="BF299" s="279"/>
      <c r="BG299" s="279"/>
      <c r="BH299" s="279"/>
      <c r="BI299" s="279"/>
      <c r="BJ299" s="279"/>
      <c r="BK299" s="279"/>
      <c r="BL299" s="279"/>
      <c r="BM299" s="279"/>
      <c r="BN299" s="279"/>
      <c r="BO299" s="279"/>
      <c r="BP299" s="279"/>
      <c r="BQ299" s="279"/>
      <c r="BR299" s="279"/>
      <c r="BS299" s="279"/>
      <c r="BT299" s="279"/>
      <c r="BU299" s="279"/>
      <c r="BV299" s="279"/>
      <c r="BW299" s="279"/>
      <c r="BX299" s="279"/>
      <c r="BY299" s="279"/>
      <c r="BZ299" s="279"/>
      <c r="CA299" s="279"/>
      <c r="CB299" s="279"/>
      <c r="CC299" s="279"/>
      <c r="CD299" s="279"/>
      <c r="CE299" s="279"/>
      <c r="CF299" s="279"/>
      <c r="CG299" s="279"/>
      <c r="CH299" s="279"/>
      <c r="CI299" s="279"/>
      <c r="CJ299" s="279"/>
      <c r="CK299" s="279"/>
      <c r="CL299" s="279"/>
      <c r="CM299" s="279"/>
      <c r="CN299" s="382"/>
    </row>
    <row r="300" ht="20.25" customHeight="true" x14ac:dyDescent="0.3">
      <c r="B300" s="361"/>
      <c r="C300" s="279"/>
      <c r="D300" s="280"/>
      <c r="E300" s="287"/>
      <c r="F300" s="287"/>
      <c r="G300" s="287"/>
      <c r="H300" s="1292">
        <f t="shared" si="14"/>
        <v>42</v>
      </c>
      <c r="I300" s="1295" t="str">
        <f>IF('I. Stream &amp; Compound Data'!BI303&lt;&gt;"",'I. Stream &amp; Compound Data'!BI303,"")</f>
        <v/>
      </c>
      <c r="J300" s="1295" t="str">
        <f>IF('I. Stream &amp; Compound Data'!AY303&lt;&gt;"",'I. Stream &amp; Compound Data'!AY303-'I. Stream &amp; Compound Data'!F$19,"")</f>
        <v/>
      </c>
      <c r="K300" s="1306" t="str">
        <f>IF(H300&gt;'I. Stream &amp; Compound Data'!$F$18,"",IF(I300="","N/A",ROUND(IF(I300&lt;=0.0001,0,IF(AND(I300&gt;0.0001,I300&lt;10),0.0869*LN(I300)+0.8,1)),3)))</f>
        <v/>
      </c>
      <c r="L300" s="1242" t="str">
        <f>IF(H300&gt;'I. Stream &amp; Compound Data'!$F$18,"",IF(K300="N/A",IF(J300="","N/A",IF(J300&lt;=0,0.8,IF(AND(J300&gt;0,J300&lt;200),-0.004*LN(J300)+0.8,0))),"N/A"))</f>
        <v/>
      </c>
      <c r="M300" s="1242" t="str">
        <f>IF(H300&gt;'I. Stream &amp; Compound Data'!$F$18,"",IF(I183="","N/A",IF(K300&lt;&gt;"N/A",K300,IF(L300&lt;&gt;"N/A",L300,"NO DATA AVAILABLE"))))</f>
        <v/>
      </c>
      <c r="N300" s="1242" t="str">
        <f>IF(H300&gt;'I. Stream &amp; Compound Data'!$F$18,"",IF(M300="N/A",0,IF(M300&lt;&gt;0,ROUND(10^(5*M300-4),3),0)))</f>
        <v/>
      </c>
      <c r="O300" s="1242" t="str">
        <f>IF(H300&gt;'I. Stream &amp; Compound Data'!$F$18,"",MAX(K183:L183))</f>
        <v/>
      </c>
      <c r="P300" s="1268" t="str">
        <f>IF(H300&gt;'I. Stream &amp; Compound Data'!$F$18,"",ROUND(N300*O300,3))</f>
        <v/>
      </c>
      <c r="Q300" s="279"/>
      <c r="R300" s="297"/>
      <c r="S300" s="298"/>
      <c r="T300" s="298"/>
      <c r="U300" s="299"/>
      <c r="V300" s="279"/>
      <c r="W300" s="279"/>
      <c r="X300" s="279"/>
      <c r="Y300" s="279"/>
      <c r="Z300" s="279"/>
      <c r="AA300" s="279"/>
      <c r="AB300" s="279"/>
      <c r="AC300" s="279"/>
      <c r="AD300" s="279"/>
      <c r="AE300" s="279"/>
      <c r="AF300" s="279"/>
      <c r="AG300" s="279"/>
      <c r="AH300" s="279"/>
      <c r="AI300" s="279"/>
      <c r="AJ300" s="279"/>
      <c r="AK300" s="279"/>
      <c r="AL300" s="279"/>
      <c r="AM300" s="279"/>
      <c r="AN300" s="279"/>
      <c r="AO300" s="279"/>
      <c r="AP300" s="279"/>
      <c r="AQ300" s="279"/>
      <c r="AR300" s="279"/>
      <c r="AS300" s="279"/>
      <c r="AT300" s="279"/>
      <c r="AU300" s="279"/>
      <c r="AV300" s="279"/>
      <c r="AW300" s="279"/>
      <c r="AX300" s="279"/>
      <c r="AY300" s="279"/>
      <c r="AZ300" s="279"/>
      <c r="BA300" s="279"/>
      <c r="BB300" s="279"/>
      <c r="BC300" s="279"/>
      <c r="BD300" s="279"/>
      <c r="BE300" s="279"/>
      <c r="BF300" s="279"/>
      <c r="BG300" s="279"/>
      <c r="BH300" s="279"/>
      <c r="BI300" s="279"/>
      <c r="BJ300" s="279"/>
      <c r="BK300" s="279"/>
      <c r="BL300" s="279"/>
      <c r="BM300" s="279"/>
      <c r="BN300" s="279"/>
      <c r="BO300" s="279"/>
      <c r="BP300" s="279"/>
      <c r="BQ300" s="279"/>
      <c r="BR300" s="279"/>
      <c r="BS300" s="279"/>
      <c r="BT300" s="279"/>
      <c r="BU300" s="279"/>
      <c r="BV300" s="279"/>
      <c r="BW300" s="279"/>
      <c r="BX300" s="279"/>
      <c r="BY300" s="279"/>
      <c r="BZ300" s="279"/>
      <c r="CA300" s="279"/>
      <c r="CB300" s="279"/>
      <c r="CC300" s="279"/>
      <c r="CD300" s="279"/>
      <c r="CE300" s="279"/>
      <c r="CF300" s="279"/>
      <c r="CG300" s="279"/>
      <c r="CH300" s="279"/>
      <c r="CI300" s="279"/>
      <c r="CJ300" s="279"/>
      <c r="CK300" s="279"/>
      <c r="CL300" s="279"/>
      <c r="CM300" s="279"/>
      <c r="CN300" s="382"/>
    </row>
    <row r="301" ht="20.25" customHeight="true" x14ac:dyDescent="0.3">
      <c r="B301" s="361"/>
      <c r="C301" s="279"/>
      <c r="D301" s="280"/>
      <c r="E301" s="287"/>
      <c r="F301" s="287"/>
      <c r="G301" s="287"/>
      <c r="H301" s="1292">
        <f t="shared" si="14"/>
        <v>43</v>
      </c>
      <c r="I301" s="1295" t="str">
        <f>IF('I. Stream &amp; Compound Data'!BI304&lt;&gt;"",'I. Stream &amp; Compound Data'!BI304,"")</f>
        <v/>
      </c>
      <c r="J301" s="1295" t="str">
        <f>IF('I. Stream &amp; Compound Data'!AY304&lt;&gt;"",'I. Stream &amp; Compound Data'!AY304-'I. Stream &amp; Compound Data'!F$19,"")</f>
        <v/>
      </c>
      <c r="K301" s="1306" t="str">
        <f>IF(H301&gt;'I. Stream &amp; Compound Data'!$F$18,"",IF(I301="","N/A",ROUND(IF(I301&lt;=0.0001,0,IF(AND(I301&gt;0.0001,I301&lt;10),0.0869*LN(I301)+0.8,1)),3)))</f>
        <v/>
      </c>
      <c r="L301" s="1242" t="str">
        <f>IF(H301&gt;'I. Stream &amp; Compound Data'!$F$18,"",IF(K301="N/A",IF(J301="","N/A",IF(J301&lt;=0,0.8,IF(AND(J301&gt;0,J301&lt;200),-0.004*LN(J301)+0.8,0))),"N/A"))</f>
        <v/>
      </c>
      <c r="M301" s="1242" t="str">
        <f>IF(H301&gt;'I. Stream &amp; Compound Data'!$F$18,"",IF(I184="","N/A",IF(K301&lt;&gt;"N/A",K301,IF(L301&lt;&gt;"N/A",L301,"NO DATA AVAILABLE"))))</f>
        <v/>
      </c>
      <c r="N301" s="1242" t="str">
        <f>IF(H301&gt;'I. Stream &amp; Compound Data'!$F$18,"",IF(M301="N/A",0,IF(M301&lt;&gt;0,ROUND(10^(5*M301-4),3),0)))</f>
        <v/>
      </c>
      <c r="O301" s="1242" t="str">
        <f>IF(H301&gt;'I. Stream &amp; Compound Data'!$F$18,"",MAX(K184:L184))</f>
        <v/>
      </c>
      <c r="P301" s="1268" t="str">
        <f>IF(H301&gt;'I. Stream &amp; Compound Data'!$F$18,"",ROUND(N301*O301,3))</f>
        <v/>
      </c>
      <c r="Q301" s="279"/>
      <c r="R301" s="297"/>
      <c r="S301" s="298"/>
      <c r="T301" s="298"/>
      <c r="U301" s="299"/>
      <c r="V301" s="279"/>
      <c r="W301" s="279"/>
      <c r="X301" s="279"/>
      <c r="Y301" s="279"/>
      <c r="Z301" s="279"/>
      <c r="AA301" s="279"/>
      <c r="AB301" s="279"/>
      <c r="AC301" s="279"/>
      <c r="AD301" s="279"/>
      <c r="AE301" s="279"/>
      <c r="AF301" s="279"/>
      <c r="AG301" s="279"/>
      <c r="AH301" s="279"/>
      <c r="AI301" s="279"/>
      <c r="AJ301" s="279"/>
      <c r="AK301" s="279"/>
      <c r="AL301" s="279"/>
      <c r="AM301" s="279"/>
      <c r="AN301" s="279"/>
      <c r="AO301" s="279"/>
      <c r="AP301" s="279"/>
      <c r="AQ301" s="279"/>
      <c r="AR301" s="279"/>
      <c r="AS301" s="279"/>
      <c r="AT301" s="279"/>
      <c r="AU301" s="279"/>
      <c r="AV301" s="279"/>
      <c r="AW301" s="279"/>
      <c r="AX301" s="279"/>
      <c r="AY301" s="279"/>
      <c r="AZ301" s="279"/>
      <c r="BA301" s="279"/>
      <c r="BB301" s="279"/>
      <c r="BC301" s="279"/>
      <c r="BD301" s="279"/>
      <c r="BE301" s="279"/>
      <c r="BF301" s="279"/>
      <c r="BG301" s="279"/>
      <c r="BH301" s="279"/>
      <c r="BI301" s="279"/>
      <c r="BJ301" s="279"/>
      <c r="BK301" s="279"/>
      <c r="BL301" s="279"/>
      <c r="BM301" s="279"/>
      <c r="BN301" s="279"/>
      <c r="BO301" s="279"/>
      <c r="BP301" s="279"/>
      <c r="BQ301" s="279"/>
      <c r="BR301" s="279"/>
      <c r="BS301" s="279"/>
      <c r="BT301" s="279"/>
      <c r="BU301" s="279"/>
      <c r="BV301" s="279"/>
      <c r="BW301" s="279"/>
      <c r="BX301" s="279"/>
      <c r="BY301" s="279"/>
      <c r="BZ301" s="279"/>
      <c r="CA301" s="279"/>
      <c r="CB301" s="279"/>
      <c r="CC301" s="279"/>
      <c r="CD301" s="279"/>
      <c r="CE301" s="279"/>
      <c r="CF301" s="279"/>
      <c r="CG301" s="279"/>
      <c r="CH301" s="279"/>
      <c r="CI301" s="279"/>
      <c r="CJ301" s="279"/>
      <c r="CK301" s="279"/>
      <c r="CL301" s="279"/>
      <c r="CM301" s="279"/>
      <c r="CN301" s="382"/>
    </row>
    <row r="302" ht="20.25" customHeight="true" x14ac:dyDescent="0.3">
      <c r="B302" s="361"/>
      <c r="C302" s="279"/>
      <c r="D302" s="280"/>
      <c r="E302" s="287"/>
      <c r="F302" s="287"/>
      <c r="G302" s="287"/>
      <c r="H302" s="1292">
        <f t="shared" si="14"/>
        <v>44</v>
      </c>
      <c r="I302" s="1295" t="str">
        <f>IF('I. Stream &amp; Compound Data'!BI305&lt;&gt;"",'I. Stream &amp; Compound Data'!BI305,"")</f>
        <v/>
      </c>
      <c r="J302" s="1295" t="str">
        <f>IF('I. Stream &amp; Compound Data'!AY305&lt;&gt;"",'I. Stream &amp; Compound Data'!AY305-'I. Stream &amp; Compound Data'!F$19,"")</f>
        <v/>
      </c>
      <c r="K302" s="1306" t="str">
        <f>IF(H302&gt;'I. Stream &amp; Compound Data'!$F$18,"",IF(I302="","N/A",ROUND(IF(I302&lt;=0.0001,0,IF(AND(I302&gt;0.0001,I302&lt;10),0.0869*LN(I302)+0.8,1)),3)))</f>
        <v/>
      </c>
      <c r="L302" s="1242" t="str">
        <f>IF(H302&gt;'I. Stream &amp; Compound Data'!$F$18,"",IF(K302="N/A",IF(J302="","N/A",IF(J302&lt;=0,0.8,IF(AND(J302&gt;0,J302&lt;200),-0.004*LN(J302)+0.8,0))),"N/A"))</f>
        <v/>
      </c>
      <c r="M302" s="1242" t="str">
        <f>IF(H302&gt;'I. Stream &amp; Compound Data'!$F$18,"",IF(I185="","N/A",IF(K302&lt;&gt;"N/A",K302,IF(L302&lt;&gt;"N/A",L302,"NO DATA AVAILABLE"))))</f>
        <v/>
      </c>
      <c r="N302" s="1242" t="str">
        <f>IF(H302&gt;'I. Stream &amp; Compound Data'!$F$18,"",IF(M302="N/A",0,IF(M302&lt;&gt;0,ROUND(10^(5*M302-4),3),0)))</f>
        <v/>
      </c>
      <c r="O302" s="1242" t="str">
        <f>IF(H302&gt;'I. Stream &amp; Compound Data'!$F$18,"",MAX(K185:L185))</f>
        <v/>
      </c>
      <c r="P302" s="1268" t="str">
        <f>IF(H302&gt;'I. Stream &amp; Compound Data'!$F$18,"",ROUND(N302*O302,3))</f>
        <v/>
      </c>
      <c r="Q302" s="279"/>
      <c r="R302" s="297"/>
      <c r="S302" s="298"/>
      <c r="T302" s="298"/>
      <c r="U302" s="299"/>
      <c r="V302" s="279"/>
      <c r="W302" s="279"/>
      <c r="X302" s="279"/>
      <c r="Y302" s="279"/>
      <c r="Z302" s="279"/>
      <c r="AA302" s="279"/>
      <c r="AB302" s="279"/>
      <c r="AC302" s="279"/>
      <c r="AD302" s="279"/>
      <c r="AE302" s="279"/>
      <c r="AF302" s="279"/>
      <c r="AG302" s="279"/>
      <c r="AH302" s="279"/>
      <c r="AI302" s="279"/>
      <c r="AJ302" s="279"/>
      <c r="AK302" s="279"/>
      <c r="AL302" s="279"/>
      <c r="AM302" s="279"/>
      <c r="AN302" s="279"/>
      <c r="AO302" s="279"/>
      <c r="AP302" s="279"/>
      <c r="AQ302" s="279"/>
      <c r="AR302" s="279"/>
      <c r="AS302" s="279"/>
      <c r="AT302" s="279"/>
      <c r="AU302" s="279"/>
      <c r="AV302" s="279"/>
      <c r="AW302" s="279"/>
      <c r="AX302" s="279"/>
      <c r="AY302" s="279"/>
      <c r="AZ302" s="279"/>
      <c r="BA302" s="279"/>
      <c r="BB302" s="279"/>
      <c r="BC302" s="279"/>
      <c r="BD302" s="279"/>
      <c r="BE302" s="279"/>
      <c r="BF302" s="279"/>
      <c r="BG302" s="279"/>
      <c r="BH302" s="279"/>
      <c r="BI302" s="279"/>
      <c r="BJ302" s="279"/>
      <c r="BK302" s="279"/>
      <c r="BL302" s="279"/>
      <c r="BM302" s="279"/>
      <c r="BN302" s="279"/>
      <c r="BO302" s="279"/>
      <c r="BP302" s="279"/>
      <c r="BQ302" s="279"/>
      <c r="BR302" s="279"/>
      <c r="BS302" s="279"/>
      <c r="BT302" s="279"/>
      <c r="BU302" s="279"/>
      <c r="BV302" s="279"/>
      <c r="BW302" s="279"/>
      <c r="BX302" s="279"/>
      <c r="BY302" s="279"/>
      <c r="BZ302" s="279"/>
      <c r="CA302" s="279"/>
      <c r="CB302" s="279"/>
      <c r="CC302" s="279"/>
      <c r="CD302" s="279"/>
      <c r="CE302" s="279"/>
      <c r="CF302" s="279"/>
      <c r="CG302" s="279"/>
      <c r="CH302" s="279"/>
      <c r="CI302" s="279"/>
      <c r="CJ302" s="279"/>
      <c r="CK302" s="279"/>
      <c r="CL302" s="279"/>
      <c r="CM302" s="279"/>
      <c r="CN302" s="382"/>
    </row>
    <row r="303" ht="20.25" customHeight="true" x14ac:dyDescent="0.3">
      <c r="B303" s="361"/>
      <c r="C303" s="279"/>
      <c r="D303" s="280"/>
      <c r="E303" s="287"/>
      <c r="F303" s="287"/>
      <c r="G303" s="287"/>
      <c r="H303" s="1292">
        <f t="shared" si="14"/>
        <v>45</v>
      </c>
      <c r="I303" s="1295" t="str">
        <f>IF('I. Stream &amp; Compound Data'!BI306&lt;&gt;"",'I. Stream &amp; Compound Data'!BI306,"")</f>
        <v/>
      </c>
      <c r="J303" s="1295" t="str">
        <f>IF('I. Stream &amp; Compound Data'!AY306&lt;&gt;"",'I. Stream &amp; Compound Data'!AY306-'I. Stream &amp; Compound Data'!F$19,"")</f>
        <v/>
      </c>
      <c r="K303" s="1306" t="str">
        <f>IF(H303&gt;'I. Stream &amp; Compound Data'!$F$18,"",IF(I303="","N/A",ROUND(IF(I303&lt;=0.0001,0,IF(AND(I303&gt;0.0001,I303&lt;10),0.0869*LN(I303)+0.8,1)),3)))</f>
        <v/>
      </c>
      <c r="L303" s="1242" t="str">
        <f>IF(H303&gt;'I. Stream &amp; Compound Data'!$F$18,"",IF(K303="N/A",IF(J303="","N/A",IF(J303&lt;=0,0.8,IF(AND(J303&gt;0,J303&lt;200),-0.004*LN(J303)+0.8,0))),"N/A"))</f>
        <v/>
      </c>
      <c r="M303" s="1242" t="str">
        <f>IF(H303&gt;'I. Stream &amp; Compound Data'!$F$18,"",IF(I186="","N/A",IF(K303&lt;&gt;"N/A",K303,IF(L303&lt;&gt;"N/A",L303,"NO DATA AVAILABLE"))))</f>
        <v/>
      </c>
      <c r="N303" s="1242" t="str">
        <f>IF(H303&gt;'I. Stream &amp; Compound Data'!$F$18,"",IF(M303="N/A",0,IF(M303&lt;&gt;0,ROUND(10^(5*M303-4),3),0)))</f>
        <v/>
      </c>
      <c r="O303" s="1242" t="str">
        <f>IF(H303&gt;'I. Stream &amp; Compound Data'!$F$18,"",MAX(K186:L186))</f>
        <v/>
      </c>
      <c r="P303" s="1268" t="str">
        <f>IF(H303&gt;'I. Stream &amp; Compound Data'!$F$18,"",ROUND(N303*O303,3))</f>
        <v/>
      </c>
      <c r="Q303" s="279"/>
      <c r="R303" s="297"/>
      <c r="S303" s="298"/>
      <c r="T303" s="298"/>
      <c r="U303" s="299"/>
      <c r="V303" s="279"/>
      <c r="W303" s="279"/>
      <c r="X303" s="279"/>
      <c r="Y303" s="279"/>
      <c r="Z303" s="279"/>
      <c r="AA303" s="279"/>
      <c r="AB303" s="279"/>
      <c r="AC303" s="279"/>
      <c r="AD303" s="279"/>
      <c r="AE303" s="279"/>
      <c r="AF303" s="279"/>
      <c r="AG303" s="279"/>
      <c r="AH303" s="279"/>
      <c r="AI303" s="279"/>
      <c r="AJ303" s="279"/>
      <c r="AK303" s="279"/>
      <c r="AL303" s="279"/>
      <c r="AM303" s="279"/>
      <c r="AN303" s="279"/>
      <c r="AO303" s="279"/>
      <c r="AP303" s="279"/>
      <c r="AQ303" s="279"/>
      <c r="AR303" s="279"/>
      <c r="AS303" s="279"/>
      <c r="AT303" s="279"/>
      <c r="AU303" s="279"/>
      <c r="AV303" s="279"/>
      <c r="AW303" s="279"/>
      <c r="AX303" s="279"/>
      <c r="AY303" s="279"/>
      <c r="AZ303" s="279"/>
      <c r="BA303" s="279"/>
      <c r="BB303" s="279"/>
      <c r="BC303" s="279"/>
      <c r="BD303" s="279"/>
      <c r="BE303" s="279"/>
      <c r="BF303" s="279"/>
      <c r="BG303" s="279"/>
      <c r="BH303" s="279"/>
      <c r="BI303" s="279"/>
      <c r="BJ303" s="279"/>
      <c r="BK303" s="279"/>
      <c r="BL303" s="279"/>
      <c r="BM303" s="279"/>
      <c r="BN303" s="279"/>
      <c r="BO303" s="279"/>
      <c r="BP303" s="279"/>
      <c r="BQ303" s="279"/>
      <c r="BR303" s="279"/>
      <c r="BS303" s="279"/>
      <c r="BT303" s="279"/>
      <c r="BU303" s="279"/>
      <c r="BV303" s="279"/>
      <c r="BW303" s="279"/>
      <c r="BX303" s="279"/>
      <c r="BY303" s="279"/>
      <c r="BZ303" s="279"/>
      <c r="CA303" s="279"/>
      <c r="CB303" s="279"/>
      <c r="CC303" s="279"/>
      <c r="CD303" s="279"/>
      <c r="CE303" s="279"/>
      <c r="CF303" s="279"/>
      <c r="CG303" s="279"/>
      <c r="CH303" s="279"/>
      <c r="CI303" s="279"/>
      <c r="CJ303" s="279"/>
      <c r="CK303" s="279"/>
      <c r="CL303" s="279"/>
      <c r="CM303" s="279"/>
      <c r="CN303" s="382"/>
    </row>
    <row r="304" ht="20.25" customHeight="true" x14ac:dyDescent="0.3">
      <c r="B304" s="361"/>
      <c r="C304" s="279"/>
      <c r="D304" s="280"/>
      <c r="E304" s="287"/>
      <c r="F304" s="287"/>
      <c r="G304" s="287"/>
      <c r="H304" s="1292">
        <f t="shared" si="14"/>
        <v>46</v>
      </c>
      <c r="I304" s="1295" t="str">
        <f>IF('I. Stream &amp; Compound Data'!BI307&lt;&gt;"",'I. Stream &amp; Compound Data'!BI307,"")</f>
        <v/>
      </c>
      <c r="J304" s="1295" t="str">
        <f>IF('I. Stream &amp; Compound Data'!AY307&lt;&gt;"",'I. Stream &amp; Compound Data'!AY307-'I. Stream &amp; Compound Data'!F$19,"")</f>
        <v/>
      </c>
      <c r="K304" s="1306" t="str">
        <f>IF(H304&gt;'I. Stream &amp; Compound Data'!$F$18,"",IF(I304="","N/A",ROUND(IF(I304&lt;=0.0001,0,IF(AND(I304&gt;0.0001,I304&lt;10),0.0869*LN(I304)+0.8,1)),3)))</f>
        <v/>
      </c>
      <c r="L304" s="1242" t="str">
        <f>IF(H304&gt;'I. Stream &amp; Compound Data'!$F$18,"",IF(K304="N/A",IF(J304="","N/A",IF(J304&lt;=0,0.8,IF(AND(J304&gt;0,J304&lt;200),-0.004*LN(J304)+0.8,0))),"N/A"))</f>
        <v/>
      </c>
      <c r="M304" s="1242" t="str">
        <f>IF(H304&gt;'I. Stream &amp; Compound Data'!$F$18,"",IF(I187="","N/A",IF(K304&lt;&gt;"N/A",K304,IF(L304&lt;&gt;"N/A",L304,"NO DATA AVAILABLE"))))</f>
        <v/>
      </c>
      <c r="N304" s="1242" t="str">
        <f>IF(H304&gt;'I. Stream &amp; Compound Data'!$F$18,"",IF(M304="N/A",0,IF(M304&lt;&gt;0,ROUND(10^(5*M304-4),3),0)))</f>
        <v/>
      </c>
      <c r="O304" s="1242" t="str">
        <f>IF(H304&gt;'I. Stream &amp; Compound Data'!$F$18,"",MAX(K187:L187))</f>
        <v/>
      </c>
      <c r="P304" s="1268" t="str">
        <f>IF(H304&gt;'I. Stream &amp; Compound Data'!$F$18,"",ROUND(N304*O304,3))</f>
        <v/>
      </c>
      <c r="Q304" s="279"/>
      <c r="R304" s="297"/>
      <c r="S304" s="298"/>
      <c r="T304" s="298"/>
      <c r="U304" s="299"/>
      <c r="V304" s="279"/>
      <c r="W304" s="279"/>
      <c r="X304" s="279"/>
      <c r="Y304" s="279"/>
      <c r="Z304" s="279"/>
      <c r="AA304" s="279"/>
      <c r="AB304" s="279"/>
      <c r="AC304" s="279"/>
      <c r="AD304" s="279"/>
      <c r="AE304" s="279"/>
      <c r="AF304" s="279"/>
      <c r="AG304" s="279"/>
      <c r="AH304" s="279"/>
      <c r="AI304" s="279"/>
      <c r="AJ304" s="279"/>
      <c r="AK304" s="279"/>
      <c r="AL304" s="279"/>
      <c r="AM304" s="279"/>
      <c r="AN304" s="279"/>
      <c r="AO304" s="279"/>
      <c r="AP304" s="279"/>
      <c r="AQ304" s="279"/>
      <c r="AR304" s="279"/>
      <c r="AS304" s="279"/>
      <c r="AT304" s="279"/>
      <c r="AU304" s="279"/>
      <c r="AV304" s="279"/>
      <c r="AW304" s="279"/>
      <c r="AX304" s="279"/>
      <c r="AY304" s="279"/>
      <c r="AZ304" s="279"/>
      <c r="BA304" s="279"/>
      <c r="BB304" s="279"/>
      <c r="BC304" s="279"/>
      <c r="BD304" s="279"/>
      <c r="BE304" s="279"/>
      <c r="BF304" s="279"/>
      <c r="BG304" s="279"/>
      <c r="BH304" s="279"/>
      <c r="BI304" s="279"/>
      <c r="BJ304" s="279"/>
      <c r="BK304" s="279"/>
      <c r="BL304" s="279"/>
      <c r="BM304" s="279"/>
      <c r="BN304" s="279"/>
      <c r="BO304" s="279"/>
      <c r="BP304" s="279"/>
      <c r="BQ304" s="279"/>
      <c r="BR304" s="279"/>
      <c r="BS304" s="279"/>
      <c r="BT304" s="279"/>
      <c r="BU304" s="279"/>
      <c r="BV304" s="279"/>
      <c r="BW304" s="279"/>
      <c r="BX304" s="279"/>
      <c r="BY304" s="279"/>
      <c r="BZ304" s="279"/>
      <c r="CA304" s="279"/>
      <c r="CB304" s="279"/>
      <c r="CC304" s="279"/>
      <c r="CD304" s="279"/>
      <c r="CE304" s="279"/>
      <c r="CF304" s="279"/>
      <c r="CG304" s="279"/>
      <c r="CH304" s="279"/>
      <c r="CI304" s="279"/>
      <c r="CJ304" s="279"/>
      <c r="CK304" s="279"/>
      <c r="CL304" s="279"/>
      <c r="CM304" s="279"/>
      <c r="CN304" s="382"/>
    </row>
    <row r="305" ht="20.25" customHeight="true" x14ac:dyDescent="0.3">
      <c r="B305" s="361"/>
      <c r="C305" s="279"/>
      <c r="D305" s="280"/>
      <c r="E305" s="287"/>
      <c r="F305" s="287"/>
      <c r="G305" s="287"/>
      <c r="H305" s="1292">
        <f t="shared" si="14"/>
        <v>47</v>
      </c>
      <c r="I305" s="1295" t="str">
        <f>IF('I. Stream &amp; Compound Data'!BI308&lt;&gt;"",'I. Stream &amp; Compound Data'!BI308,"")</f>
        <v/>
      </c>
      <c r="J305" s="1295" t="str">
        <f>IF('I. Stream &amp; Compound Data'!AY308&lt;&gt;"",'I. Stream &amp; Compound Data'!AY308-'I. Stream &amp; Compound Data'!F$19,"")</f>
        <v/>
      </c>
      <c r="K305" s="1306" t="str">
        <f>IF(H305&gt;'I. Stream &amp; Compound Data'!$F$18,"",IF(I305="","N/A",ROUND(IF(I305&lt;=0.0001,0,IF(AND(I305&gt;0.0001,I305&lt;10),0.0869*LN(I305)+0.8,1)),3)))</f>
        <v/>
      </c>
      <c r="L305" s="1242" t="str">
        <f>IF(H305&gt;'I. Stream &amp; Compound Data'!$F$18,"",IF(K305="N/A",IF(J305="","N/A",IF(J305&lt;=0,0.8,IF(AND(J305&gt;0,J305&lt;200),-0.004*LN(J305)+0.8,0))),"N/A"))</f>
        <v/>
      </c>
      <c r="M305" s="1242" t="str">
        <f>IF(H305&gt;'I. Stream &amp; Compound Data'!$F$18,"",IF(I188="","N/A",IF(K305&lt;&gt;"N/A",K305,IF(L305&lt;&gt;"N/A",L305,"NO DATA AVAILABLE"))))</f>
        <v/>
      </c>
      <c r="N305" s="1242" t="str">
        <f>IF(H305&gt;'I. Stream &amp; Compound Data'!$F$18,"",IF(M305="N/A",0,IF(M305&lt;&gt;0,ROUND(10^(5*M305-4),3),0)))</f>
        <v/>
      </c>
      <c r="O305" s="1242" t="str">
        <f>IF(H305&gt;'I. Stream &amp; Compound Data'!$F$18,"",MAX(K188:L188))</f>
        <v/>
      </c>
      <c r="P305" s="1268" t="str">
        <f>IF(H305&gt;'I. Stream &amp; Compound Data'!$F$18,"",ROUND(N305*O305,3))</f>
        <v/>
      </c>
      <c r="Q305" s="279"/>
      <c r="R305" s="297"/>
      <c r="S305" s="298"/>
      <c r="T305" s="298"/>
      <c r="U305" s="299"/>
      <c r="V305" s="279"/>
      <c r="W305" s="279"/>
      <c r="X305" s="279"/>
      <c r="Y305" s="279"/>
      <c r="Z305" s="279"/>
      <c r="AA305" s="279"/>
      <c r="AB305" s="279"/>
      <c r="AC305" s="279"/>
      <c r="AD305" s="279"/>
      <c r="AE305" s="279"/>
      <c r="AF305" s="279"/>
      <c r="AG305" s="279"/>
      <c r="AH305" s="279"/>
      <c r="AI305" s="279"/>
      <c r="AJ305" s="279"/>
      <c r="AK305" s="279"/>
      <c r="AL305" s="279"/>
      <c r="AM305" s="279"/>
      <c r="AN305" s="279"/>
      <c r="AO305" s="279"/>
      <c r="AP305" s="279"/>
      <c r="AQ305" s="279"/>
      <c r="AR305" s="279"/>
      <c r="AS305" s="279"/>
      <c r="AT305" s="279"/>
      <c r="AU305" s="279"/>
      <c r="AV305" s="279"/>
      <c r="AW305" s="279"/>
      <c r="AX305" s="279"/>
      <c r="AY305" s="279"/>
      <c r="AZ305" s="279"/>
      <c r="BA305" s="279"/>
      <c r="BB305" s="279"/>
      <c r="BC305" s="279"/>
      <c r="BD305" s="279"/>
      <c r="BE305" s="279"/>
      <c r="BF305" s="279"/>
      <c r="BG305" s="279"/>
      <c r="BH305" s="279"/>
      <c r="BI305" s="279"/>
      <c r="BJ305" s="279"/>
      <c r="BK305" s="279"/>
      <c r="BL305" s="279"/>
      <c r="BM305" s="279"/>
      <c r="BN305" s="279"/>
      <c r="BO305" s="279"/>
      <c r="BP305" s="279"/>
      <c r="BQ305" s="279"/>
      <c r="BR305" s="279"/>
      <c r="BS305" s="279"/>
      <c r="BT305" s="279"/>
      <c r="BU305" s="279"/>
      <c r="BV305" s="279"/>
      <c r="BW305" s="279"/>
      <c r="BX305" s="279"/>
      <c r="BY305" s="279"/>
      <c r="BZ305" s="279"/>
      <c r="CA305" s="279"/>
      <c r="CB305" s="279"/>
      <c r="CC305" s="279"/>
      <c r="CD305" s="279"/>
      <c r="CE305" s="279"/>
      <c r="CF305" s="279"/>
      <c r="CG305" s="279"/>
      <c r="CH305" s="279"/>
      <c r="CI305" s="279"/>
      <c r="CJ305" s="279"/>
      <c r="CK305" s="279"/>
      <c r="CL305" s="279"/>
      <c r="CM305" s="279"/>
      <c r="CN305" s="382"/>
    </row>
    <row r="306" ht="20.25" customHeight="true" x14ac:dyDescent="0.3">
      <c r="B306" s="361"/>
      <c r="C306" s="279"/>
      <c r="D306" s="280"/>
      <c r="E306" s="287"/>
      <c r="F306" s="287"/>
      <c r="G306" s="287"/>
      <c r="H306" s="1292">
        <f t="shared" si="14"/>
        <v>48</v>
      </c>
      <c r="I306" s="1295" t="str">
        <f>IF('I. Stream &amp; Compound Data'!BI309&lt;&gt;"",'I. Stream &amp; Compound Data'!BI309,"")</f>
        <v/>
      </c>
      <c r="J306" s="1295" t="str">
        <f>IF('I. Stream &amp; Compound Data'!AY309&lt;&gt;"",'I. Stream &amp; Compound Data'!AY309-'I. Stream &amp; Compound Data'!F$19,"")</f>
        <v/>
      </c>
      <c r="K306" s="1306" t="str">
        <f>IF(H306&gt;'I. Stream &amp; Compound Data'!$F$18,"",IF(I306="","N/A",ROUND(IF(I306&lt;=0.0001,0,IF(AND(I306&gt;0.0001,I306&lt;10),0.0869*LN(I306)+0.8,1)),3)))</f>
        <v/>
      </c>
      <c r="L306" s="1242" t="str">
        <f>IF(H306&gt;'I. Stream &amp; Compound Data'!$F$18,"",IF(K306="N/A",IF(J306="","N/A",IF(J306&lt;=0,0.8,IF(AND(J306&gt;0,J306&lt;200),-0.004*LN(J306)+0.8,0))),"N/A"))</f>
        <v/>
      </c>
      <c r="M306" s="1242" t="str">
        <f>IF(H306&gt;'I. Stream &amp; Compound Data'!$F$18,"",IF(I189="","N/A",IF(K306&lt;&gt;"N/A",K306,IF(L306&lt;&gt;"N/A",L306,"NO DATA AVAILABLE"))))</f>
        <v/>
      </c>
      <c r="N306" s="1242" t="str">
        <f>IF(H306&gt;'I. Stream &amp; Compound Data'!$F$18,"",IF(M306="N/A",0,IF(M306&lt;&gt;0,ROUND(10^(5*M306-4),3),0)))</f>
        <v/>
      </c>
      <c r="O306" s="1242" t="str">
        <f>IF(H306&gt;'I. Stream &amp; Compound Data'!$F$18,"",MAX(K189:L189))</f>
        <v/>
      </c>
      <c r="P306" s="1268" t="str">
        <f>IF(H306&gt;'I. Stream &amp; Compound Data'!$F$18,"",ROUND(N306*O306,3))</f>
        <v/>
      </c>
      <c r="Q306" s="279"/>
      <c r="R306" s="297"/>
      <c r="S306" s="298"/>
      <c r="T306" s="298"/>
      <c r="U306" s="299"/>
      <c r="V306" s="279"/>
      <c r="W306" s="279"/>
      <c r="X306" s="279"/>
      <c r="Y306" s="279"/>
      <c r="Z306" s="279"/>
      <c r="AA306" s="279"/>
      <c r="AB306" s="279"/>
      <c r="AC306" s="279"/>
      <c r="AD306" s="279"/>
      <c r="AE306" s="279"/>
      <c r="AF306" s="279"/>
      <c r="AG306" s="279"/>
      <c r="AH306" s="279"/>
      <c r="AI306" s="279"/>
      <c r="AJ306" s="279"/>
      <c r="AK306" s="279"/>
      <c r="AL306" s="279"/>
      <c r="AM306" s="279"/>
      <c r="AN306" s="279"/>
      <c r="AO306" s="279"/>
      <c r="AP306" s="279"/>
      <c r="AQ306" s="279"/>
      <c r="AR306" s="279"/>
      <c r="AS306" s="279"/>
      <c r="AT306" s="279"/>
      <c r="AU306" s="279"/>
      <c r="AV306" s="279"/>
      <c r="AW306" s="279"/>
      <c r="AX306" s="279"/>
      <c r="AY306" s="279"/>
      <c r="AZ306" s="279"/>
      <c r="BA306" s="279"/>
      <c r="BB306" s="279"/>
      <c r="BC306" s="279"/>
      <c r="BD306" s="279"/>
      <c r="BE306" s="279"/>
      <c r="BF306" s="279"/>
      <c r="BG306" s="279"/>
      <c r="BH306" s="279"/>
      <c r="BI306" s="279"/>
      <c r="BJ306" s="279"/>
      <c r="BK306" s="279"/>
      <c r="BL306" s="279"/>
      <c r="BM306" s="279"/>
      <c r="BN306" s="279"/>
      <c r="BO306" s="279"/>
      <c r="BP306" s="279"/>
      <c r="BQ306" s="279"/>
      <c r="BR306" s="279"/>
      <c r="BS306" s="279"/>
      <c r="BT306" s="279"/>
      <c r="BU306" s="279"/>
      <c r="BV306" s="279"/>
      <c r="BW306" s="279"/>
      <c r="BX306" s="279"/>
      <c r="BY306" s="279"/>
      <c r="BZ306" s="279"/>
      <c r="CA306" s="279"/>
      <c r="CB306" s="279"/>
      <c r="CC306" s="279"/>
      <c r="CD306" s="279"/>
      <c r="CE306" s="279"/>
      <c r="CF306" s="279"/>
      <c r="CG306" s="279"/>
      <c r="CH306" s="279"/>
      <c r="CI306" s="279"/>
      <c r="CJ306" s="279"/>
      <c r="CK306" s="279"/>
      <c r="CL306" s="279"/>
      <c r="CM306" s="279"/>
      <c r="CN306" s="382"/>
    </row>
    <row r="307" ht="20.25" customHeight="true" x14ac:dyDescent="0.3">
      <c r="B307" s="361"/>
      <c r="C307" s="279"/>
      <c r="D307" s="280"/>
      <c r="E307" s="287"/>
      <c r="F307" s="287"/>
      <c r="G307" s="287"/>
      <c r="H307" s="1292">
        <f t="shared" si="14"/>
        <v>49</v>
      </c>
      <c r="I307" s="1295" t="str">
        <f>IF('I. Stream &amp; Compound Data'!BI310&lt;&gt;"",'I. Stream &amp; Compound Data'!BI310,"")</f>
        <v/>
      </c>
      <c r="J307" s="1295" t="str">
        <f>IF('I. Stream &amp; Compound Data'!AY310&lt;&gt;"",'I. Stream &amp; Compound Data'!AY310-'I. Stream &amp; Compound Data'!F$19,"")</f>
        <v/>
      </c>
      <c r="K307" s="1306" t="str">
        <f>IF(H307&gt;'I. Stream &amp; Compound Data'!$F$18,"",IF(I307="","N/A",ROUND(IF(I307&lt;=0.0001,0,IF(AND(I307&gt;0.0001,I307&lt;10),0.0869*LN(I307)+0.8,1)),3)))</f>
        <v/>
      </c>
      <c r="L307" s="1242" t="str">
        <f>IF(H307&gt;'I. Stream &amp; Compound Data'!$F$18,"",IF(K307="N/A",IF(J307="","N/A",IF(J307&lt;=0,0.8,IF(AND(J307&gt;0,J307&lt;200),-0.004*LN(J307)+0.8,0))),"N/A"))</f>
        <v/>
      </c>
      <c r="M307" s="1242" t="str">
        <f>IF(H307&gt;'I. Stream &amp; Compound Data'!$F$18,"",IF(I190="","N/A",IF(K307&lt;&gt;"N/A",K307,IF(L307&lt;&gt;"N/A",L307,"NO DATA AVAILABLE"))))</f>
        <v/>
      </c>
      <c r="N307" s="1242" t="str">
        <f>IF(H307&gt;'I. Stream &amp; Compound Data'!$F$18,"",IF(M307="N/A",0,IF(M307&lt;&gt;0,ROUND(10^(5*M307-4),3),0)))</f>
        <v/>
      </c>
      <c r="O307" s="1242" t="str">
        <f>IF(H307&gt;'I. Stream &amp; Compound Data'!$F$18,"",MAX(K190:L190))</f>
        <v/>
      </c>
      <c r="P307" s="1268" t="str">
        <f>IF(H307&gt;'I. Stream &amp; Compound Data'!$F$18,"",ROUND(N307*O307,3))</f>
        <v/>
      </c>
      <c r="Q307" s="279"/>
      <c r="R307" s="297"/>
      <c r="S307" s="298"/>
      <c r="T307" s="298"/>
      <c r="U307" s="299"/>
      <c r="V307" s="279"/>
      <c r="W307" s="279"/>
      <c r="X307" s="279"/>
      <c r="Y307" s="279"/>
      <c r="Z307" s="279"/>
      <c r="AA307" s="279"/>
      <c r="AB307" s="279"/>
      <c r="AC307" s="279"/>
      <c r="AD307" s="279"/>
      <c r="AE307" s="279"/>
      <c r="AF307" s="279"/>
      <c r="AG307" s="279"/>
      <c r="AH307" s="279"/>
      <c r="AI307" s="279"/>
      <c r="AJ307" s="279"/>
      <c r="AK307" s="279"/>
      <c r="AL307" s="279"/>
      <c r="AM307" s="279"/>
      <c r="AN307" s="279"/>
      <c r="AO307" s="279"/>
      <c r="AP307" s="279"/>
      <c r="AQ307" s="279"/>
      <c r="AR307" s="279"/>
      <c r="AS307" s="279"/>
      <c r="AT307" s="279"/>
      <c r="AU307" s="279"/>
      <c r="AV307" s="279"/>
      <c r="AW307" s="279"/>
      <c r="AX307" s="279"/>
      <c r="AY307" s="279"/>
      <c r="AZ307" s="279"/>
      <c r="BA307" s="279"/>
      <c r="BB307" s="279"/>
      <c r="BC307" s="279"/>
      <c r="BD307" s="279"/>
      <c r="BE307" s="279"/>
      <c r="BF307" s="279"/>
      <c r="BG307" s="279"/>
      <c r="BH307" s="279"/>
      <c r="BI307" s="279"/>
      <c r="BJ307" s="279"/>
      <c r="BK307" s="279"/>
      <c r="BL307" s="279"/>
      <c r="BM307" s="279"/>
      <c r="BN307" s="279"/>
      <c r="BO307" s="279"/>
      <c r="BP307" s="279"/>
      <c r="BQ307" s="279"/>
      <c r="BR307" s="279"/>
      <c r="BS307" s="279"/>
      <c r="BT307" s="279"/>
      <c r="BU307" s="279"/>
      <c r="BV307" s="279"/>
      <c r="BW307" s="279"/>
      <c r="BX307" s="279"/>
      <c r="BY307" s="279"/>
      <c r="BZ307" s="279"/>
      <c r="CA307" s="279"/>
      <c r="CB307" s="279"/>
      <c r="CC307" s="279"/>
      <c r="CD307" s="279"/>
      <c r="CE307" s="279"/>
      <c r="CF307" s="279"/>
      <c r="CG307" s="279"/>
      <c r="CH307" s="279"/>
      <c r="CI307" s="279"/>
      <c r="CJ307" s="279"/>
      <c r="CK307" s="279"/>
      <c r="CL307" s="279"/>
      <c r="CM307" s="279"/>
      <c r="CN307" s="382"/>
    </row>
    <row r="308" ht="20.25" customHeight="true" thickBot="true" x14ac:dyDescent="0.35">
      <c r="B308" s="361"/>
      <c r="C308" s="279"/>
      <c r="D308" s="280"/>
      <c r="E308" s="287"/>
      <c r="F308" s="287"/>
      <c r="G308" s="287"/>
      <c r="H308" s="1298">
        <f t="shared" si="14"/>
        <v>50</v>
      </c>
      <c r="I308" s="1301" t="str">
        <f>IF('I. Stream &amp; Compound Data'!BI311&lt;&gt;"",'I. Stream &amp; Compound Data'!BI311,"")</f>
        <v/>
      </c>
      <c r="J308" s="1301" t="str">
        <f>IF('I. Stream &amp; Compound Data'!AY311&lt;&gt;"",'I. Stream &amp; Compound Data'!AY311-'I. Stream &amp; Compound Data'!F$19,"")</f>
        <v/>
      </c>
      <c r="K308" s="1308" t="str">
        <f>IF(H308&gt;'I. Stream &amp; Compound Data'!$F$18,"",IF(I308="","N/A",ROUND(IF(I308&lt;=0.0001,0,IF(AND(I308&gt;0.0001,I308&lt;10),0.0869*LN(I308)+0.8,1)),3)))</f>
        <v/>
      </c>
      <c r="L308" s="1210" t="str">
        <f>IF(H308&gt;'I. Stream &amp; Compound Data'!$F$18,"",IF(K308="N/A",IF(J308="","N/A",IF(J308&lt;=0,0.8,IF(AND(J308&gt;0,J308&lt;200),-0.004*LN(J308)+0.8,0))),"N/A"))</f>
        <v/>
      </c>
      <c r="M308" s="1210" t="str">
        <f>IF(H308&gt;'I. Stream &amp; Compound Data'!$F$18,"",IF(I191="","N/A",IF(K308&lt;&gt;"N/A",K308,IF(L308&lt;&gt;"N/A",L308,"NO DATA AVAILABLE"))))</f>
        <v/>
      </c>
      <c r="N308" s="1210" t="str">
        <f>IF(H308&gt;'I. Stream &amp; Compound Data'!$F$18,"",IF(M308="N/A",0,IF(M308&lt;&gt;0,ROUND(10^(5*M308-4),3),0)))</f>
        <v/>
      </c>
      <c r="O308" s="1210" t="str">
        <f>IF(H308&gt;'I. Stream &amp; Compound Data'!$F$18,"",MAX(K191:L191))</f>
        <v/>
      </c>
      <c r="P308" s="1270" t="str">
        <f>IF(H308&gt;'I. Stream &amp; Compound Data'!$F$18,"",ROUND(N308*O308,3))</f>
        <v/>
      </c>
      <c r="Q308" s="279"/>
      <c r="R308" s="297"/>
      <c r="S308" s="298"/>
      <c r="T308" s="298"/>
      <c r="U308" s="299"/>
      <c r="V308" s="279"/>
      <c r="W308" s="279"/>
      <c r="X308" s="279"/>
      <c r="Y308" s="279"/>
      <c r="Z308" s="279"/>
      <c r="AA308" s="279"/>
      <c r="AB308" s="279"/>
      <c r="AC308" s="279"/>
      <c r="AD308" s="279"/>
      <c r="AE308" s="279"/>
      <c r="AF308" s="279"/>
      <c r="AG308" s="279"/>
      <c r="AH308" s="279"/>
      <c r="AI308" s="279"/>
      <c r="AJ308" s="279"/>
      <c r="AK308" s="279"/>
      <c r="AL308" s="279"/>
      <c r="AM308" s="279"/>
      <c r="AN308" s="279"/>
      <c r="AO308" s="279"/>
      <c r="AP308" s="279"/>
      <c r="AQ308" s="279"/>
      <c r="AR308" s="279"/>
      <c r="AS308" s="279"/>
      <c r="AT308" s="279"/>
      <c r="AU308" s="279"/>
      <c r="AV308" s="279"/>
      <c r="AW308" s="279"/>
      <c r="AX308" s="279"/>
      <c r="AY308" s="279"/>
      <c r="AZ308" s="279"/>
      <c r="BA308" s="279"/>
      <c r="BB308" s="279"/>
      <c r="BC308" s="279"/>
      <c r="BD308" s="279"/>
      <c r="BE308" s="279"/>
      <c r="BF308" s="279"/>
      <c r="BG308" s="279"/>
      <c r="BH308" s="279"/>
      <c r="BI308" s="279"/>
      <c r="BJ308" s="279"/>
      <c r="BK308" s="279"/>
      <c r="BL308" s="279"/>
      <c r="BM308" s="279"/>
      <c r="BN308" s="279"/>
      <c r="BO308" s="279"/>
      <c r="BP308" s="279"/>
      <c r="BQ308" s="279"/>
      <c r="BR308" s="279"/>
      <c r="BS308" s="279"/>
      <c r="BT308" s="279"/>
      <c r="BU308" s="279"/>
      <c r="BV308" s="279"/>
      <c r="BW308" s="279"/>
      <c r="BX308" s="279"/>
      <c r="BY308" s="279"/>
      <c r="BZ308" s="279"/>
      <c r="CA308" s="279"/>
      <c r="CB308" s="279"/>
      <c r="CC308" s="279"/>
      <c r="CD308" s="279"/>
      <c r="CE308" s="279"/>
      <c r="CF308" s="279"/>
      <c r="CG308" s="279"/>
      <c r="CH308" s="279"/>
      <c r="CI308" s="279"/>
      <c r="CJ308" s="279"/>
      <c r="CK308" s="279"/>
      <c r="CL308" s="279"/>
      <c r="CM308" s="279"/>
      <c r="CN308" s="382"/>
    </row>
    <row r="309" ht="20.25" customHeight="true" thickBot="true" x14ac:dyDescent="0.35">
      <c r="B309" s="361"/>
      <c r="C309" s="279"/>
      <c r="D309" s="280"/>
      <c r="E309" s="287"/>
      <c r="F309" s="287"/>
      <c r="G309" s="287"/>
      <c r="H309" s="280"/>
      <c r="I309" s="304"/>
      <c r="J309" s="279"/>
      <c r="K309" s="280"/>
      <c r="L309" s="362"/>
      <c r="M309" s="280"/>
      <c r="N309" s="280"/>
      <c r="O309" s="287" t="s">
        <v>88</v>
      </c>
      <c r="P309" s="1305">
        <f>SUM(P259:P308)</f>
        <v>29807.505000000001</v>
      </c>
      <c r="Q309" s="279"/>
      <c r="R309" s="297"/>
      <c r="S309" s="298"/>
      <c r="T309" s="298"/>
      <c r="U309" s="299"/>
      <c r="V309" s="279"/>
      <c r="W309" s="279"/>
      <c r="X309" s="279"/>
      <c r="Y309" s="279"/>
      <c r="Z309" s="279"/>
      <c r="AA309" s="279"/>
      <c r="AB309" s="279"/>
      <c r="AC309" s="279"/>
      <c r="AD309" s="279"/>
      <c r="AE309" s="279"/>
      <c r="AF309" s="279"/>
      <c r="AG309" s="279"/>
      <c r="AH309" s="279"/>
      <c r="AI309" s="279"/>
      <c r="AJ309" s="279"/>
      <c r="AK309" s="279"/>
      <c r="AL309" s="279"/>
      <c r="AM309" s="279"/>
      <c r="AN309" s="279"/>
      <c r="AO309" s="279"/>
      <c r="AP309" s="279"/>
      <c r="AQ309" s="279"/>
      <c r="AR309" s="279"/>
      <c r="AS309" s="279"/>
      <c r="AT309" s="279"/>
      <c r="AU309" s="279"/>
      <c r="AV309" s="279"/>
      <c r="AW309" s="279"/>
      <c r="AX309" s="279"/>
      <c r="AY309" s="279"/>
      <c r="AZ309" s="279"/>
      <c r="BA309" s="279"/>
      <c r="BB309" s="279"/>
      <c r="BC309" s="279"/>
      <c r="BD309" s="279"/>
      <c r="BE309" s="279"/>
      <c r="BF309" s="279"/>
      <c r="BG309" s="279"/>
      <c r="BH309" s="279"/>
      <c r="BI309" s="279"/>
      <c r="BJ309" s="279"/>
      <c r="BK309" s="279"/>
      <c r="BL309" s="279"/>
      <c r="BM309" s="279"/>
      <c r="BN309" s="279"/>
      <c r="BO309" s="279"/>
      <c r="BP309" s="279"/>
      <c r="BQ309" s="279"/>
      <c r="BR309" s="279"/>
      <c r="BS309" s="279"/>
      <c r="BT309" s="279"/>
      <c r="BU309" s="279"/>
      <c r="BV309" s="279"/>
      <c r="BW309" s="279"/>
      <c r="BX309" s="279"/>
      <c r="BY309" s="279"/>
      <c r="BZ309" s="279"/>
      <c r="CA309" s="279"/>
      <c r="CB309" s="279"/>
      <c r="CC309" s="279"/>
      <c r="CD309" s="279"/>
      <c r="CE309" s="279"/>
      <c r="CF309" s="279"/>
      <c r="CG309" s="279"/>
      <c r="CH309" s="279"/>
      <c r="CI309" s="279"/>
      <c r="CJ309" s="279"/>
      <c r="CK309" s="279"/>
      <c r="CL309" s="279"/>
      <c r="CM309" s="279"/>
      <c r="CN309" s="382"/>
    </row>
    <row r="310" ht="20.25" customHeight="true" x14ac:dyDescent="0.3">
      <c r="B310" s="361"/>
      <c r="C310" s="279"/>
      <c r="D310" s="280"/>
      <c r="E310" s="287"/>
      <c r="F310" s="287"/>
      <c r="G310" s="287"/>
      <c r="H310" s="280"/>
      <c r="I310" s="304"/>
      <c r="J310" s="279"/>
      <c r="K310" s="280"/>
      <c r="L310" s="362"/>
      <c r="M310" s="280"/>
      <c r="N310" s="280"/>
      <c r="O310" s="287"/>
      <c r="P310" s="287"/>
      <c r="Q310" s="279"/>
      <c r="R310" s="297"/>
      <c r="S310" s="298"/>
      <c r="T310" s="298"/>
      <c r="U310" s="299"/>
      <c r="V310" s="279"/>
      <c r="W310" s="279"/>
      <c r="X310" s="279"/>
      <c r="Y310" s="279"/>
      <c r="Z310" s="279"/>
      <c r="AA310" s="279"/>
      <c r="AB310" s="279"/>
      <c r="AC310" s="279"/>
      <c r="AD310" s="279"/>
      <c r="AE310" s="279"/>
      <c r="AF310" s="279"/>
      <c r="AG310" s="279"/>
      <c r="AH310" s="279"/>
      <c r="AI310" s="279"/>
      <c r="AJ310" s="279"/>
      <c r="AK310" s="279"/>
      <c r="AL310" s="279"/>
      <c r="AM310" s="279"/>
      <c r="AN310" s="279"/>
      <c r="AO310" s="279"/>
      <c r="AP310" s="279"/>
      <c r="AQ310" s="279"/>
      <c r="AR310" s="279"/>
      <c r="AS310" s="279"/>
      <c r="AT310" s="279"/>
      <c r="AU310" s="279"/>
      <c r="AV310" s="279"/>
      <c r="AW310" s="279"/>
      <c r="AX310" s="279"/>
      <c r="AY310" s="279"/>
      <c r="AZ310" s="279"/>
      <c r="BA310" s="279"/>
      <c r="BB310" s="279"/>
      <c r="BC310" s="279"/>
      <c r="BD310" s="279"/>
      <c r="BE310" s="279"/>
      <c r="BF310" s="279"/>
      <c r="BG310" s="279"/>
      <c r="BH310" s="279"/>
      <c r="BI310" s="279"/>
      <c r="BJ310" s="279"/>
      <c r="BK310" s="279"/>
      <c r="BL310" s="279"/>
      <c r="BM310" s="279"/>
      <c r="BN310" s="279"/>
      <c r="BO310" s="279"/>
      <c r="BP310" s="279"/>
      <c r="BQ310" s="279"/>
      <c r="BR310" s="279"/>
      <c r="BS310" s="279"/>
      <c r="BT310" s="279"/>
      <c r="BU310" s="279"/>
      <c r="BV310" s="279"/>
      <c r="BW310" s="279"/>
      <c r="BX310" s="279"/>
      <c r="BY310" s="279"/>
      <c r="BZ310" s="279"/>
      <c r="CA310" s="279"/>
      <c r="CB310" s="279"/>
      <c r="CC310" s="279"/>
      <c r="CD310" s="279"/>
      <c r="CE310" s="279"/>
      <c r="CF310" s="279"/>
      <c r="CG310" s="279"/>
      <c r="CH310" s="279"/>
      <c r="CI310" s="279"/>
      <c r="CJ310" s="279"/>
      <c r="CK310" s="279"/>
      <c r="CL310" s="279"/>
      <c r="CM310" s="279"/>
      <c r="CN310" s="382"/>
    </row>
    <row r="311" ht="20.25" customHeight="true" x14ac:dyDescent="0.3">
      <c r="B311" s="361"/>
      <c r="C311" s="279"/>
      <c r="D311" s="280"/>
      <c r="E311" s="287"/>
      <c r="F311" s="287"/>
      <c r="G311" s="287"/>
      <c r="H311" s="280"/>
      <c r="I311" s="304"/>
      <c r="J311" s="279"/>
      <c r="K311" s="280"/>
      <c r="L311" s="362"/>
      <c r="M311" s="280"/>
      <c r="N311" s="280"/>
      <c r="O311" s="287"/>
      <c r="P311" s="287"/>
      <c r="Q311" s="279"/>
      <c r="R311" s="297"/>
      <c r="S311" s="298"/>
      <c r="T311" s="298"/>
      <c r="U311" s="299"/>
      <c r="V311" s="279"/>
      <c r="W311" s="279"/>
      <c r="X311" s="279"/>
      <c r="Y311" s="279"/>
      <c r="Z311" s="279"/>
      <c r="AA311" s="279"/>
      <c r="AB311" s="279"/>
      <c r="AC311" s="279"/>
      <c r="AD311" s="279"/>
      <c r="AE311" s="279"/>
      <c r="AF311" s="279"/>
      <c r="AG311" s="279"/>
      <c r="AH311" s="279"/>
      <c r="AI311" s="279"/>
      <c r="AJ311" s="279"/>
      <c r="AK311" s="279"/>
      <c r="AL311" s="279"/>
      <c r="AM311" s="279"/>
      <c r="AN311" s="279"/>
      <c r="AO311" s="279"/>
      <c r="AP311" s="279"/>
      <c r="AQ311" s="279"/>
      <c r="AR311" s="279"/>
      <c r="AS311" s="279"/>
      <c r="AT311" s="279"/>
      <c r="AU311" s="279"/>
      <c r="AV311" s="279"/>
      <c r="AW311" s="279"/>
      <c r="AX311" s="279"/>
      <c r="AY311" s="279"/>
      <c r="AZ311" s="279"/>
      <c r="BA311" s="279"/>
      <c r="BB311" s="279"/>
      <c r="BC311" s="279"/>
      <c r="BD311" s="279"/>
      <c r="BE311" s="279"/>
      <c r="BF311" s="279"/>
      <c r="BG311" s="279"/>
      <c r="BH311" s="279"/>
      <c r="BI311" s="279"/>
      <c r="BJ311" s="279"/>
      <c r="BK311" s="279"/>
      <c r="BL311" s="279"/>
      <c r="BM311" s="279"/>
      <c r="BN311" s="279"/>
      <c r="BO311" s="279"/>
      <c r="BP311" s="279"/>
      <c r="BQ311" s="279"/>
      <c r="BR311" s="279"/>
      <c r="BS311" s="279"/>
      <c r="BT311" s="279"/>
      <c r="BU311" s="279"/>
      <c r="BV311" s="279"/>
      <c r="BW311" s="279"/>
      <c r="BX311" s="279"/>
      <c r="BY311" s="279"/>
      <c r="BZ311" s="279"/>
      <c r="CA311" s="279"/>
      <c r="CB311" s="279"/>
      <c r="CC311" s="279"/>
      <c r="CD311" s="279"/>
      <c r="CE311" s="279"/>
      <c r="CF311" s="279"/>
      <c r="CG311" s="279"/>
      <c r="CH311" s="279"/>
      <c r="CI311" s="279"/>
      <c r="CJ311" s="279"/>
      <c r="CK311" s="279"/>
      <c r="CL311" s="279"/>
      <c r="CM311" s="279"/>
      <c r="CN311" s="382"/>
    </row>
    <row r="312" ht="20.25" customHeight="true" x14ac:dyDescent="0.3">
      <c r="B312" s="361"/>
      <c r="C312" s="279"/>
      <c r="D312" s="280"/>
      <c r="E312" s="287"/>
      <c r="F312" s="287"/>
      <c r="G312" s="287"/>
      <c r="H312" s="280"/>
      <c r="I312" s="304"/>
      <c r="J312" s="279"/>
      <c r="K312" s="280"/>
      <c r="L312" s="362"/>
      <c r="M312" s="280"/>
      <c r="N312" s="280"/>
      <c r="O312" s="287"/>
      <c r="P312" s="287"/>
      <c r="Q312" s="279"/>
      <c r="R312" s="297"/>
      <c r="S312" s="298"/>
      <c r="T312" s="298"/>
      <c r="U312" s="299"/>
      <c r="V312" s="279"/>
      <c r="W312" s="279"/>
      <c r="X312" s="279"/>
      <c r="Y312" s="279"/>
      <c r="Z312" s="279"/>
      <c r="AA312" s="279"/>
      <c r="AB312" s="279"/>
      <c r="AC312" s="279"/>
      <c r="AD312" s="279"/>
      <c r="AE312" s="279"/>
      <c r="AF312" s="279"/>
      <c r="AG312" s="279"/>
      <c r="AH312" s="279"/>
      <c r="AI312" s="279"/>
      <c r="AJ312" s="279"/>
      <c r="AK312" s="279"/>
      <c r="AL312" s="279"/>
      <c r="AM312" s="279"/>
      <c r="AN312" s="279"/>
      <c r="AO312" s="279"/>
      <c r="AP312" s="279"/>
      <c r="AQ312" s="279"/>
      <c r="AR312" s="279"/>
      <c r="AS312" s="279"/>
      <c r="AT312" s="279"/>
      <c r="AU312" s="279"/>
      <c r="AV312" s="279"/>
      <c r="AW312" s="279"/>
      <c r="AX312" s="279"/>
      <c r="AY312" s="279"/>
      <c r="AZ312" s="279"/>
      <c r="BA312" s="279"/>
      <c r="BB312" s="279"/>
      <c r="BC312" s="279"/>
      <c r="BD312" s="279"/>
      <c r="BE312" s="279"/>
      <c r="BF312" s="279"/>
      <c r="BG312" s="279"/>
      <c r="BH312" s="279"/>
      <c r="BI312" s="279"/>
      <c r="BJ312" s="279"/>
      <c r="BK312" s="279"/>
      <c r="BL312" s="279"/>
      <c r="BM312" s="279"/>
      <c r="BN312" s="279"/>
      <c r="BO312" s="279"/>
      <c r="BP312" s="279"/>
      <c r="BQ312" s="279"/>
      <c r="BR312" s="279"/>
      <c r="BS312" s="279"/>
      <c r="BT312" s="279"/>
      <c r="BU312" s="279"/>
      <c r="BV312" s="279"/>
      <c r="BW312" s="279"/>
      <c r="BX312" s="279"/>
      <c r="BY312" s="279"/>
      <c r="BZ312" s="279"/>
      <c r="CA312" s="279"/>
      <c r="CB312" s="279"/>
      <c r="CC312" s="279"/>
      <c r="CD312" s="279"/>
      <c r="CE312" s="279"/>
      <c r="CF312" s="279"/>
      <c r="CG312" s="279"/>
      <c r="CH312" s="279"/>
      <c r="CI312" s="279"/>
      <c r="CJ312" s="279"/>
      <c r="CK312" s="279"/>
      <c r="CL312" s="279"/>
      <c r="CM312" s="279"/>
      <c r="CN312" s="382"/>
    </row>
    <row r="313" ht="20.25" customHeight="true" x14ac:dyDescent="0.3">
      <c r="B313" s="361"/>
      <c r="C313" s="279"/>
      <c r="D313" s="280"/>
      <c r="E313" s="287"/>
      <c r="F313" s="287"/>
      <c r="G313" s="287"/>
      <c r="H313" s="280"/>
      <c r="I313" s="304"/>
      <c r="J313" s="279"/>
      <c r="K313" s="280"/>
      <c r="L313" s="362"/>
      <c r="M313" s="280"/>
      <c r="N313" s="280"/>
      <c r="O313" s="287"/>
      <c r="P313" s="287"/>
      <c r="Q313" s="279"/>
      <c r="R313" s="297"/>
      <c r="S313" s="298"/>
      <c r="T313" s="298"/>
      <c r="U313" s="299"/>
      <c r="V313" s="279"/>
      <c r="W313" s="279"/>
      <c r="X313" s="279"/>
      <c r="Y313" s="279"/>
      <c r="Z313" s="279"/>
      <c r="AA313" s="279"/>
      <c r="AB313" s="279"/>
      <c r="AC313" s="279"/>
      <c r="AD313" s="279"/>
      <c r="AE313" s="279"/>
      <c r="AF313" s="279"/>
      <c r="AG313" s="279"/>
      <c r="AH313" s="279"/>
      <c r="AI313" s="279"/>
      <c r="AJ313" s="279"/>
      <c r="AK313" s="279"/>
      <c r="AL313" s="279"/>
      <c r="AM313" s="279"/>
      <c r="AN313" s="279"/>
      <c r="AO313" s="279"/>
      <c r="AP313" s="279"/>
      <c r="AQ313" s="279"/>
      <c r="AR313" s="279"/>
      <c r="AS313" s="279"/>
      <c r="AT313" s="279"/>
      <c r="AU313" s="279"/>
      <c r="AV313" s="279"/>
      <c r="AW313" s="279"/>
      <c r="AX313" s="279"/>
      <c r="AY313" s="279"/>
      <c r="AZ313" s="279"/>
      <c r="BA313" s="279"/>
      <c r="BB313" s="279"/>
      <c r="BC313" s="279"/>
      <c r="BD313" s="279"/>
      <c r="BE313" s="279"/>
      <c r="BF313" s="279"/>
      <c r="BG313" s="279"/>
      <c r="BH313" s="279"/>
      <c r="BI313" s="279"/>
      <c r="BJ313" s="279"/>
      <c r="BK313" s="279"/>
      <c r="BL313" s="279"/>
      <c r="BM313" s="279"/>
      <c r="BN313" s="279"/>
      <c r="BO313" s="279"/>
      <c r="BP313" s="279"/>
      <c r="BQ313" s="279"/>
      <c r="BR313" s="279"/>
      <c r="BS313" s="279"/>
      <c r="BT313" s="279"/>
      <c r="BU313" s="279"/>
      <c r="BV313" s="279"/>
      <c r="BW313" s="279"/>
      <c r="BX313" s="279"/>
      <c r="BY313" s="279"/>
      <c r="BZ313" s="279"/>
      <c r="CA313" s="279"/>
      <c r="CB313" s="279"/>
      <c r="CC313" s="279"/>
      <c r="CD313" s="279"/>
      <c r="CE313" s="279"/>
      <c r="CF313" s="279"/>
      <c r="CG313" s="279"/>
      <c r="CH313" s="279"/>
      <c r="CI313" s="279"/>
      <c r="CJ313" s="279"/>
      <c r="CK313" s="279"/>
      <c r="CL313" s="279"/>
      <c r="CM313" s="279"/>
      <c r="CN313" s="382"/>
    </row>
    <row r="314" x14ac:dyDescent="0.3">
      <c r="B314" s="361"/>
      <c r="C314" s="279"/>
      <c r="D314" s="280"/>
      <c r="E314" s="287"/>
      <c r="F314" s="287"/>
      <c r="G314" s="287"/>
      <c r="H314" s="280"/>
      <c r="I314" s="304"/>
      <c r="J314" s="279"/>
      <c r="K314" s="280"/>
      <c r="L314" s="362"/>
      <c r="M314" s="280"/>
      <c r="N314" s="280"/>
      <c r="O314" s="287"/>
      <c r="P314" s="287"/>
      <c r="Q314" s="279"/>
      <c r="R314" s="297"/>
      <c r="S314" s="298"/>
      <c r="T314" s="298"/>
      <c r="U314" s="299"/>
      <c r="V314" s="279"/>
      <c r="W314" s="279"/>
      <c r="X314" s="279"/>
      <c r="Y314" s="279"/>
      <c r="Z314" s="279"/>
      <c r="AA314" s="279"/>
      <c r="AB314" s="279"/>
      <c r="AC314" s="279"/>
      <c r="AD314" s="279"/>
      <c r="AE314" s="279"/>
      <c r="AF314" s="279"/>
      <c r="AG314" s="279"/>
      <c r="AH314" s="279"/>
      <c r="AI314" s="279"/>
      <c r="AJ314" s="279"/>
      <c r="AK314" s="279"/>
      <c r="AL314" s="279"/>
      <c r="AM314" s="279"/>
      <c r="AN314" s="279"/>
      <c r="AO314" s="279"/>
      <c r="AP314" s="279"/>
      <c r="AQ314" s="279"/>
      <c r="AR314" s="279"/>
      <c r="AS314" s="279"/>
      <c r="AT314" s="279"/>
      <c r="AU314" s="279"/>
      <c r="AV314" s="279"/>
      <c r="AW314" s="279"/>
      <c r="AX314" s="279"/>
      <c r="AY314" s="279"/>
      <c r="AZ314" s="279"/>
      <c r="BA314" s="279"/>
      <c r="BB314" s="279"/>
      <c r="BC314" s="279"/>
      <c r="BD314" s="279"/>
      <c r="BE314" s="279"/>
      <c r="BF314" s="279"/>
      <c r="BG314" s="279"/>
      <c r="BH314" s="279"/>
      <c r="BI314" s="279"/>
      <c r="BJ314" s="279"/>
      <c r="BK314" s="279"/>
      <c r="BL314" s="279"/>
      <c r="BM314" s="279"/>
      <c r="BN314" s="279"/>
      <c r="BO314" s="279"/>
      <c r="BP314" s="279"/>
      <c r="BQ314" s="279"/>
      <c r="BR314" s="279"/>
      <c r="BS314" s="279"/>
      <c r="BT314" s="279"/>
      <c r="BU314" s="279"/>
      <c r="BV314" s="279"/>
      <c r="BW314" s="279"/>
      <c r="BX314" s="279"/>
      <c r="BY314" s="279"/>
      <c r="BZ314" s="279"/>
      <c r="CA314" s="279"/>
      <c r="CB314" s="279"/>
      <c r="CC314" s="279"/>
      <c r="CD314" s="279"/>
      <c r="CE314" s="279"/>
      <c r="CF314" s="279"/>
      <c r="CG314" s="279"/>
      <c r="CH314" s="279"/>
      <c r="CI314" s="279"/>
      <c r="CJ314" s="279"/>
      <c r="CK314" s="279"/>
      <c r="CL314" s="279"/>
      <c r="CM314" s="279"/>
      <c r="CN314" s="382"/>
    </row>
    <row r="315" x14ac:dyDescent="0.3">
      <c r="B315" s="361"/>
      <c r="C315" s="279"/>
      <c r="D315" s="280"/>
      <c r="E315" s="287"/>
      <c r="F315" s="287"/>
      <c r="G315" s="287"/>
      <c r="H315" s="280"/>
      <c r="I315" s="304"/>
      <c r="J315" s="279"/>
      <c r="K315" s="280"/>
      <c r="L315" s="362"/>
      <c r="M315" s="280"/>
      <c r="N315" s="280"/>
      <c r="O315" s="287"/>
      <c r="P315" s="287"/>
      <c r="Q315" s="279"/>
      <c r="R315" s="297"/>
      <c r="S315" s="298"/>
      <c r="T315" s="298"/>
      <c r="U315" s="299"/>
      <c r="V315" s="279"/>
      <c r="W315" s="279"/>
      <c r="X315" s="279"/>
      <c r="Y315" s="279"/>
      <c r="Z315" s="279"/>
      <c r="AA315" s="279"/>
      <c r="AB315" s="279"/>
      <c r="AC315" s="279"/>
      <c r="AD315" s="279"/>
      <c r="AE315" s="279"/>
      <c r="AF315" s="279"/>
      <c r="AG315" s="279"/>
      <c r="AH315" s="279"/>
      <c r="AI315" s="279"/>
      <c r="AJ315" s="279"/>
      <c r="AK315" s="279"/>
      <c r="AL315" s="279"/>
      <c r="AM315" s="279"/>
      <c r="AN315" s="279"/>
      <c r="AO315" s="279"/>
      <c r="AP315" s="279"/>
      <c r="AQ315" s="279"/>
      <c r="AR315" s="279"/>
      <c r="AS315" s="279"/>
      <c r="AT315" s="279"/>
      <c r="AU315" s="279"/>
      <c r="AV315" s="279"/>
      <c r="AW315" s="279"/>
      <c r="AX315" s="279"/>
      <c r="AY315" s="279"/>
      <c r="AZ315" s="279"/>
      <c r="BA315" s="279"/>
      <c r="BB315" s="279"/>
      <c r="BC315" s="279"/>
      <c r="BD315" s="279"/>
      <c r="BE315" s="279"/>
      <c r="BF315" s="279"/>
      <c r="BG315" s="279"/>
      <c r="BH315" s="279"/>
      <c r="BI315" s="279"/>
      <c r="BJ315" s="279"/>
      <c r="BK315" s="279"/>
      <c r="BL315" s="279"/>
      <c r="BM315" s="279"/>
      <c r="BN315" s="279"/>
      <c r="BO315" s="279"/>
      <c r="BP315" s="279"/>
      <c r="BQ315" s="279"/>
      <c r="BR315" s="279"/>
      <c r="BS315" s="279"/>
      <c r="BT315" s="279"/>
      <c r="BU315" s="279"/>
      <c r="BV315" s="279"/>
      <c r="BW315" s="279"/>
      <c r="BX315" s="279"/>
      <c r="BY315" s="279"/>
      <c r="BZ315" s="279"/>
      <c r="CA315" s="279"/>
      <c r="CB315" s="279"/>
      <c r="CC315" s="279"/>
      <c r="CD315" s="279"/>
      <c r="CE315" s="279"/>
      <c r="CF315" s="279"/>
      <c r="CG315" s="279"/>
      <c r="CH315" s="279"/>
      <c r="CI315" s="279"/>
      <c r="CJ315" s="279"/>
      <c r="CK315" s="279"/>
      <c r="CL315" s="279"/>
      <c r="CM315" s="279"/>
      <c r="CN315" s="382"/>
    </row>
    <row r="316" ht="16.2" thickBot="true" x14ac:dyDescent="0.35">
      <c r="B316" s="361"/>
      <c r="C316" s="279"/>
      <c r="D316" s="280"/>
      <c r="E316" s="287"/>
      <c r="F316" s="287"/>
      <c r="G316" s="287"/>
      <c r="H316" s="280"/>
      <c r="I316" s="304"/>
      <c r="J316" s="279"/>
      <c r="K316" s="280"/>
      <c r="L316" s="362"/>
      <c r="M316" s="280"/>
      <c r="N316" s="280"/>
      <c r="O316" s="287"/>
      <c r="P316" s="287"/>
      <c r="Q316" s="279"/>
      <c r="R316" s="297"/>
      <c r="S316" s="298"/>
      <c r="T316" s="298"/>
      <c r="U316" s="299"/>
      <c r="V316" s="279"/>
      <c r="W316" s="279"/>
      <c r="X316" s="279"/>
      <c r="Y316" s="279"/>
      <c r="Z316" s="279"/>
      <c r="AA316" s="279"/>
      <c r="AB316" s="279"/>
      <c r="AC316" s="279"/>
      <c r="AD316" s="279"/>
      <c r="AE316" s="279"/>
      <c r="AF316" s="279"/>
      <c r="AG316" s="279"/>
      <c r="AH316" s="279"/>
      <c r="AI316" s="279"/>
      <c r="AJ316" s="279"/>
      <c r="AK316" s="279"/>
      <c r="AL316" s="279"/>
      <c r="AM316" s="279"/>
      <c r="AN316" s="279"/>
      <c r="AO316" s="279"/>
      <c r="AP316" s="279"/>
      <c r="AQ316" s="279"/>
      <c r="AR316" s="279"/>
      <c r="AS316" s="279"/>
      <c r="AT316" s="279"/>
      <c r="AU316" s="279"/>
      <c r="AV316" s="279"/>
      <c r="AW316" s="279"/>
      <c r="AX316" s="279"/>
      <c r="AY316" s="279"/>
      <c r="AZ316" s="279"/>
      <c r="BA316" s="279"/>
      <c r="BB316" s="279"/>
      <c r="BC316" s="279"/>
      <c r="BD316" s="279"/>
      <c r="BE316" s="279"/>
      <c r="BF316" s="279"/>
      <c r="BG316" s="279"/>
      <c r="BH316" s="279"/>
      <c r="BI316" s="279"/>
      <c r="BJ316" s="279"/>
      <c r="BK316" s="279"/>
      <c r="BL316" s="279"/>
      <c r="BM316" s="279"/>
      <c r="BN316" s="279"/>
      <c r="BO316" s="279"/>
      <c r="BP316" s="279"/>
      <c r="BQ316" s="279"/>
      <c r="BR316" s="279"/>
      <c r="BS316" s="279"/>
      <c r="BT316" s="279"/>
      <c r="BU316" s="279"/>
      <c r="BV316" s="279"/>
      <c r="BW316" s="279"/>
      <c r="BX316" s="279"/>
      <c r="BY316" s="279"/>
      <c r="BZ316" s="279"/>
      <c r="CA316" s="279"/>
      <c r="CB316" s="279"/>
      <c r="CC316" s="279"/>
      <c r="CD316" s="279"/>
      <c r="CE316" s="279"/>
      <c r="CF316" s="279"/>
      <c r="CG316" s="279"/>
      <c r="CH316" s="279"/>
      <c r="CI316" s="279"/>
      <c r="CJ316" s="279"/>
      <c r="CK316" s="279"/>
      <c r="CL316" s="279"/>
      <c r="CM316" s="279"/>
      <c r="CN316" s="382"/>
    </row>
    <row r="317" ht="27" customHeight="true" thickBot="true" x14ac:dyDescent="0.35">
      <c r="B317" s="361"/>
      <c r="C317" s="279"/>
      <c r="D317" s="280"/>
      <c r="E317" s="287"/>
      <c r="F317" s="287"/>
      <c r="G317" s="287"/>
      <c r="H317" s="1950" t="s">
        <v>266</v>
      </c>
      <c r="I317" s="1951"/>
      <c r="J317" s="1951"/>
      <c r="K317" s="1951"/>
      <c r="L317" s="1952"/>
      <c r="M317" s="287"/>
      <c r="N317" s="296"/>
      <c r="O317" s="280"/>
      <c r="P317" s="280"/>
      <c r="Q317" s="279"/>
      <c r="R317" s="297"/>
      <c r="S317" s="298"/>
      <c r="T317" s="298"/>
      <c r="U317" s="299"/>
      <c r="V317" s="279"/>
      <c r="W317" s="279"/>
      <c r="X317" s="279"/>
      <c r="Y317" s="279"/>
      <c r="Z317" s="279"/>
      <c r="AA317" s="279"/>
      <c r="AB317" s="279"/>
      <c r="AC317" s="279"/>
      <c r="AD317" s="279"/>
      <c r="AE317" s="279"/>
      <c r="AF317" s="279"/>
      <c r="AG317" s="279"/>
      <c r="AH317" s="279"/>
      <c r="AI317" s="279"/>
      <c r="AJ317" s="279"/>
      <c r="AK317" s="279"/>
      <c r="AL317" s="279"/>
      <c r="AM317" s="279"/>
      <c r="AN317" s="279"/>
      <c r="AO317" s="279"/>
      <c r="AP317" s="279"/>
      <c r="AQ317" s="279"/>
      <c r="AR317" s="279"/>
      <c r="AS317" s="279"/>
      <c r="AT317" s="279"/>
      <c r="AU317" s="279"/>
      <c r="AV317" s="279"/>
      <c r="AW317" s="279"/>
      <c r="AX317" s="279"/>
      <c r="AY317" s="279"/>
      <c r="AZ317" s="279"/>
      <c r="BA317" s="279"/>
      <c r="BB317" s="279"/>
      <c r="BC317" s="279"/>
      <c r="BD317" s="279"/>
      <c r="BE317" s="279"/>
      <c r="BF317" s="279"/>
      <c r="BG317" s="279"/>
      <c r="BH317" s="279"/>
      <c r="BI317" s="279"/>
      <c r="BJ317" s="279"/>
      <c r="BK317" s="279"/>
      <c r="BL317" s="279"/>
      <c r="BM317" s="279"/>
      <c r="BN317" s="279"/>
      <c r="BO317" s="279"/>
      <c r="BP317" s="279"/>
      <c r="BQ317" s="279"/>
      <c r="BR317" s="279"/>
      <c r="BS317" s="279"/>
      <c r="BT317" s="279"/>
      <c r="BU317" s="279"/>
      <c r="BV317" s="279"/>
      <c r="BW317" s="279"/>
      <c r="BX317" s="279"/>
      <c r="BY317" s="279"/>
      <c r="BZ317" s="279"/>
      <c r="CA317" s="279"/>
      <c r="CB317" s="279"/>
      <c r="CC317" s="279"/>
      <c r="CD317" s="279"/>
      <c r="CE317" s="279"/>
      <c r="CF317" s="279"/>
      <c r="CG317" s="279"/>
      <c r="CH317" s="279"/>
      <c r="CI317" s="279"/>
      <c r="CJ317" s="279"/>
      <c r="CK317" s="279"/>
      <c r="CL317" s="279"/>
      <c r="CM317" s="279"/>
      <c r="CN317" s="382"/>
    </row>
    <row r="318" ht="31.2" x14ac:dyDescent="0.25">
      <c r="B318" s="361"/>
      <c r="C318" s="279"/>
      <c r="D318" s="280"/>
      <c r="E318" s="287"/>
      <c r="F318" s="287"/>
      <c r="G318" s="287"/>
      <c r="H318" s="282" t="s">
        <v>1469</v>
      </c>
      <c r="I318" s="267" t="s">
        <v>267</v>
      </c>
      <c r="J318" s="1166" t="s">
        <v>205</v>
      </c>
      <c r="K318" s="1166" t="s">
        <v>248</v>
      </c>
      <c r="L318" s="267" t="s">
        <v>268</v>
      </c>
      <c r="M318" s="1962" t="s">
        <v>254</v>
      </c>
      <c r="N318" s="1962"/>
      <c r="O318" s="1962"/>
      <c r="P318" s="1186" t="s">
        <v>253</v>
      </c>
      <c r="Q318" s="283" t="s">
        <v>273</v>
      </c>
      <c r="R318" s="283" t="s">
        <v>255</v>
      </c>
      <c r="S318" s="283" t="s">
        <v>1577</v>
      </c>
      <c r="T318" s="291" t="s">
        <v>1578</v>
      </c>
      <c r="U318" s="279"/>
      <c r="V318" s="279"/>
      <c r="W318" s="279"/>
      <c r="X318" s="279"/>
      <c r="Y318" s="279"/>
      <c r="Z318" s="279"/>
      <c r="AA318" s="279"/>
      <c r="AB318" s="279"/>
      <c r="AC318" s="279"/>
      <c r="AD318" s="279"/>
      <c r="AE318" s="279"/>
      <c r="AF318" s="279"/>
      <c r="AG318" s="279"/>
      <c r="AH318" s="279"/>
      <c r="AI318" s="279"/>
      <c r="AJ318" s="279"/>
      <c r="AK318" s="279"/>
      <c r="AL318" s="279"/>
      <c r="AM318" s="279"/>
      <c r="AN318" s="279"/>
      <c r="AO318" s="279"/>
      <c r="AP318" s="279"/>
      <c r="AQ318" s="279"/>
      <c r="AR318" s="279"/>
      <c r="AS318" s="279"/>
      <c r="AT318" s="279"/>
      <c r="AU318" s="279"/>
      <c r="AV318" s="279"/>
      <c r="AW318" s="279"/>
      <c r="AX318" s="279"/>
      <c r="AY318" s="279"/>
      <c r="AZ318" s="279"/>
      <c r="BA318" s="279"/>
      <c r="BB318" s="279"/>
      <c r="BC318" s="279"/>
      <c r="BD318" s="279"/>
      <c r="BE318" s="279"/>
      <c r="BF318" s="279"/>
      <c r="BG318" s="279"/>
      <c r="BH318" s="279"/>
      <c r="BI318" s="279"/>
      <c r="BJ318" s="279"/>
      <c r="BK318" s="279"/>
      <c r="BL318" s="279"/>
      <c r="BM318" s="279"/>
      <c r="BN318" s="279"/>
      <c r="BO318" s="279"/>
      <c r="BP318" s="279"/>
      <c r="BQ318" s="279"/>
      <c r="BR318" s="279"/>
      <c r="BS318" s="279"/>
      <c r="BT318" s="279"/>
      <c r="BU318" s="279"/>
      <c r="BV318" s="279"/>
      <c r="BW318" s="279"/>
      <c r="BX318" s="279"/>
      <c r="BY318" s="279"/>
      <c r="BZ318" s="279"/>
      <c r="CA318" s="279"/>
      <c r="CB318" s="279"/>
      <c r="CC318" s="279"/>
      <c r="CD318" s="279"/>
      <c r="CE318" s="279"/>
      <c r="CF318" s="279"/>
      <c r="CG318" s="279"/>
      <c r="CH318" s="279"/>
      <c r="CI318" s="279"/>
      <c r="CJ318" s="279"/>
      <c r="CK318" s="279"/>
      <c r="CL318" s="279"/>
      <c r="CM318" s="279"/>
      <c r="CN318" s="382"/>
    </row>
    <row r="319" x14ac:dyDescent="0.25">
      <c r="B319" s="361"/>
      <c r="C319" s="279"/>
      <c r="D319" s="280"/>
      <c r="E319" s="287"/>
      <c r="F319" s="287"/>
      <c r="G319" s="287"/>
      <c r="H319" s="1292">
        <f t="shared" ref="H319:H368" si="15">H142</f>
        <v>1</v>
      </c>
      <c r="I319" s="1295" t="str">
        <f>IF('I. Stream &amp; Compound Data'!BA262&lt;&gt;"",'I. Stream &amp; Compound Data'!BA262-'I. Stream &amp; Compound Data'!F$19,"")</f>
        <v/>
      </c>
      <c r="J319" s="1295" t="str">
        <f>IF('I. Stream &amp; Compound Data'!AR262&lt;&gt;"",'I. Stream &amp; Compound Data'!AR262,IF('I. Stream &amp; Compound Data'!AS262&lt;&gt;"",'I. Stream &amp; Compound Data'!AS262,""))</f>
        <v>26/27/28</v>
      </c>
      <c r="K319" s="1190">
        <f>IF('I. Stream &amp; Compound Data'!AV262&lt;&gt;"",'I. Stream &amp; Compound Data'!AV262,"")</f>
        <v>0</v>
      </c>
      <c r="L319" s="1190">
        <f>IF(H319&gt;'I. Stream &amp; Compound Data'!$F$18,"",IF('I. Stream &amp; Compound Data'!BB262&lt;&gt;"",'I. Stream &amp; Compound Data'!BB262,0))</f>
        <v>0</v>
      </c>
      <c r="M319" s="1306" t="str">
        <f>IF(H319&gt;'I. Stream &amp; Compound Data'!$F$18,"",IF(I319="","N/A",ROUND(IF(I319&lt;=0,1,IF(AND(I319&gt;0,I319&lt;200),-0.005*I319+1,0)),3)))</f>
        <v>N/A</v>
      </c>
      <c r="N319" s="1168">
        <f>IF(H319&gt;'I. Stream &amp; Compound Data'!$F$18,"",IF(M319="N/A",IF(J319="","N/A",IF(OR(J319=12,J319=15,J319=17,J319=18),1,IF(OR(J319=11,J319=30),0.875,IF(J319=10,0.75,0)))),"N/A"))</f>
        <v>0</v>
      </c>
      <c r="O319" s="1242" t="str">
        <f>IF(H319&gt;'I. Stream &amp; Compound Data'!$F$18,"",IF(AND(M319="N/A",N319="N/A"),IF(K319="","N/A",IF(K319=4,1,IF(K319=3,0.833,IF(K319=2,0.667,IF(K319=1,0.5,0))))),"N/A"))</f>
        <v>N/A</v>
      </c>
      <c r="P319" s="1242">
        <f>IF(H319&gt;'I. Stream &amp; Compound Data'!$F$18,"",IF(I142="","N/A",IF(M319&lt;&gt;"N/A",M319,IF(N319&lt;&gt;"N/A",N319,IF(O319&lt;&gt;"N/A",O319,"NO DATA AVAILABLE")))))</f>
        <v>0</v>
      </c>
      <c r="Q319" s="1242">
        <f>IF(H319&gt;'I. Stream &amp; Compound Data'!$F$18,"",IF(P319="N/A",0,L319*10^(4*P319-4)))</f>
        <v>0</v>
      </c>
      <c r="R319" s="1242">
        <f>IF(H319&gt;'I. Stream &amp; Compound Data'!$F$18,"",MAX(K142:L142))</f>
        <v>2980.7504537999998</v>
      </c>
      <c r="S319" s="1242">
        <f>IF(H319&gt;'I. Stream &amp; Compound Data'!$F$18,"",ROUND(Q319*R319,3))</f>
        <v>0</v>
      </c>
      <c r="T319" s="1268">
        <f>IF(H319&gt;'I. Stream &amp; Compound Data'!$F$18,"",IF(L319="",0,ROUND(L319*R319,3)))</f>
        <v>0</v>
      </c>
      <c r="U319" s="279"/>
      <c r="V319" s="279"/>
      <c r="W319" s="279"/>
      <c r="X319" s="279"/>
      <c r="Y319" s="279"/>
      <c r="Z319" s="279"/>
      <c r="AA319" s="279"/>
      <c r="AB319" s="279"/>
      <c r="AC319" s="279"/>
      <c r="AD319" s="279"/>
      <c r="AE319" s="279"/>
      <c r="AF319" s="279"/>
      <c r="AG319" s="279"/>
      <c r="AH319" s="279"/>
      <c r="AI319" s="279"/>
      <c r="AJ319" s="279"/>
      <c r="AK319" s="279"/>
      <c r="AL319" s="279"/>
      <c r="AM319" s="279"/>
      <c r="AN319" s="279"/>
      <c r="AO319" s="279"/>
      <c r="AP319" s="279"/>
      <c r="AQ319" s="279"/>
      <c r="AR319" s="279"/>
      <c r="AS319" s="279"/>
      <c r="AT319" s="279"/>
      <c r="AU319" s="279"/>
      <c r="AV319" s="279"/>
      <c r="AW319" s="279"/>
      <c r="AX319" s="279"/>
      <c r="AY319" s="279"/>
      <c r="AZ319" s="279"/>
      <c r="BA319" s="279"/>
      <c r="BB319" s="279"/>
      <c r="BC319" s="279"/>
      <c r="BD319" s="279"/>
      <c r="BE319" s="279"/>
      <c r="BF319" s="279"/>
      <c r="BG319" s="279"/>
      <c r="BH319" s="279"/>
      <c r="BI319" s="279"/>
      <c r="BJ319" s="279"/>
      <c r="BK319" s="279"/>
      <c r="BL319" s="279"/>
      <c r="BM319" s="279"/>
      <c r="BN319" s="279"/>
      <c r="BO319" s="279"/>
      <c r="BP319" s="279"/>
      <c r="BQ319" s="279"/>
      <c r="BR319" s="279"/>
      <c r="BS319" s="279"/>
      <c r="BT319" s="279"/>
      <c r="BU319" s="279"/>
      <c r="BV319" s="279"/>
      <c r="BW319" s="279"/>
      <c r="BX319" s="279"/>
      <c r="BY319" s="279"/>
      <c r="BZ319" s="279"/>
      <c r="CA319" s="279"/>
      <c r="CB319" s="279"/>
      <c r="CC319" s="279"/>
      <c r="CD319" s="279"/>
      <c r="CE319" s="279"/>
      <c r="CF319" s="279"/>
      <c r="CG319" s="279"/>
      <c r="CH319" s="279"/>
      <c r="CI319" s="279"/>
      <c r="CJ319" s="279"/>
      <c r="CK319" s="279"/>
      <c r="CL319" s="279"/>
      <c r="CM319" s="279"/>
      <c r="CN319" s="382"/>
    </row>
    <row r="320" x14ac:dyDescent="0.25">
      <c r="B320" s="361"/>
      <c r="C320" s="279"/>
      <c r="D320" s="280"/>
      <c r="E320" s="287"/>
      <c r="F320" s="287"/>
      <c r="G320" s="287"/>
      <c r="H320" s="1292">
        <f t="shared" si="15"/>
        <v>2</v>
      </c>
      <c r="I320" s="1295" t="str">
        <f>IF('I. Stream &amp; Compound Data'!BA263&lt;&gt;"",'I. Stream &amp; Compound Data'!BA263-'I. Stream &amp; Compound Data'!F$19,"")</f>
        <v/>
      </c>
      <c r="J320" s="1295" t="str">
        <f>IF('I. Stream &amp; Compound Data'!AR263&lt;&gt;"",'I. Stream &amp; Compound Data'!AR263,IF('I. Stream &amp; Compound Data'!AS263&lt;&gt;"",'I. Stream &amp; Compound Data'!AS263,""))</f>
        <v/>
      </c>
      <c r="K320" s="1190">
        <f>IF('I. Stream &amp; Compound Data'!AV263&lt;&gt;"",'I. Stream &amp; Compound Data'!AV263,"")</f>
        <v>0</v>
      </c>
      <c r="L320" s="1190">
        <f>IF(H320&gt;'I. Stream &amp; Compound Data'!$F$18,"",IF('I. Stream &amp; Compound Data'!BB263&lt;&gt;"",'I. Stream &amp; Compound Data'!BB263,0))</f>
        <v>0</v>
      </c>
      <c r="M320" s="1306" t="str">
        <f>IF(H320&gt;'I. Stream &amp; Compound Data'!$F$18,"",IF(I320="","N/A",ROUND(IF(I320&lt;=0,1,IF(AND(I320&gt;0,I320&lt;200),-0.005*I320+1,0)),3)))</f>
        <v>N/A</v>
      </c>
      <c r="N320" s="1168" t="str">
        <f>IF(H320&gt;'I. Stream &amp; Compound Data'!$F$18,"",IF(M320="N/A",IF(J320="","N/A",IF(OR(J320=12,J320=15,J320=17,J320=18),1,IF(OR(J320=11,J320=30),0.875,IF(J320=10,0.75,0)))),"N/A"))</f>
        <v>N/A</v>
      </c>
      <c r="O320" s="1242">
        <f>IF(H320&gt;'I. Stream &amp; Compound Data'!$F$18,"",IF(AND(M320="N/A",N320="N/A"),IF(K320="","N/A",IF(K320=4,1,IF(K320=3,0.833,IF(K320=2,0.667,IF(K320=1,0.5,0))))),"N/A"))</f>
        <v>0</v>
      </c>
      <c r="P320" s="1242">
        <f>IF(H320&gt;'I. Stream &amp; Compound Data'!$F$18,"",IF(I143="","N/A",IF(M320&lt;&gt;"N/A",M320,IF(N320&lt;&gt;"N/A",N320,IF(O320&lt;&gt;"N/A",O320,"NO DATA AVAILABLE")))))</f>
        <v>0</v>
      </c>
      <c r="Q320" s="1242">
        <f>IF(H320&gt;'I. Stream &amp; Compound Data'!$F$18,"",IF(P320="N/A",0,L320*10^(4*P320-4)))</f>
        <v>0</v>
      </c>
      <c r="R320" s="1242">
        <f>IF(H320&gt;'I. Stream &amp; Compound Data'!$F$18,"",MAX(K143:L143))</f>
        <v>0</v>
      </c>
      <c r="S320" s="1242">
        <f>IF(H320&gt;'I. Stream &amp; Compound Data'!$F$18,"",ROUND(Q320*R320,3))</f>
        <v>0</v>
      </c>
      <c r="T320" s="1268">
        <f>IF(H320&gt;'I. Stream &amp; Compound Data'!$F$18,"",IF(L320="",0,ROUND(L320*R320,3)))</f>
        <v>0</v>
      </c>
      <c r="U320" s="279"/>
      <c r="V320" s="279"/>
      <c r="W320" s="279"/>
      <c r="X320" s="279"/>
      <c r="Y320" s="279"/>
      <c r="Z320" s="279"/>
      <c r="AA320" s="279"/>
      <c r="AB320" s="279"/>
      <c r="AC320" s="279"/>
      <c r="AD320" s="279"/>
      <c r="AE320" s="279"/>
      <c r="AF320" s="279"/>
      <c r="AG320" s="279"/>
      <c r="AH320" s="279"/>
      <c r="AI320" s="279"/>
      <c r="AJ320" s="279"/>
      <c r="AK320" s="279"/>
      <c r="AL320" s="279"/>
      <c r="AM320" s="279"/>
      <c r="AN320" s="279"/>
      <c r="AO320" s="279"/>
      <c r="AP320" s="279"/>
      <c r="AQ320" s="279"/>
      <c r="AR320" s="279"/>
      <c r="AS320" s="279"/>
      <c r="AT320" s="279"/>
      <c r="AU320" s="279"/>
      <c r="AV320" s="279"/>
      <c r="AW320" s="279"/>
      <c r="AX320" s="279"/>
      <c r="AY320" s="279"/>
      <c r="AZ320" s="279"/>
      <c r="BA320" s="279"/>
      <c r="BB320" s="279"/>
      <c r="BC320" s="279"/>
      <c r="BD320" s="279"/>
      <c r="BE320" s="279"/>
      <c r="BF320" s="279"/>
      <c r="BG320" s="279"/>
      <c r="BH320" s="279"/>
      <c r="BI320" s="279"/>
      <c r="BJ320" s="279"/>
      <c r="BK320" s="279"/>
      <c r="BL320" s="279"/>
      <c r="BM320" s="279"/>
      <c r="BN320" s="279"/>
      <c r="BO320" s="279"/>
      <c r="BP320" s="279"/>
      <c r="BQ320" s="279"/>
      <c r="BR320" s="279"/>
      <c r="BS320" s="279"/>
      <c r="BT320" s="279"/>
      <c r="BU320" s="279"/>
      <c r="BV320" s="279"/>
      <c r="BW320" s="279"/>
      <c r="BX320" s="279"/>
      <c r="BY320" s="279"/>
      <c r="BZ320" s="279"/>
      <c r="CA320" s="279"/>
      <c r="CB320" s="279"/>
      <c r="CC320" s="279"/>
      <c r="CD320" s="279"/>
      <c r="CE320" s="279"/>
      <c r="CF320" s="279"/>
      <c r="CG320" s="279"/>
      <c r="CH320" s="279"/>
      <c r="CI320" s="279"/>
      <c r="CJ320" s="279"/>
      <c r="CK320" s="279"/>
      <c r="CL320" s="279"/>
      <c r="CM320" s="279"/>
      <c r="CN320" s="382"/>
    </row>
    <row r="321" x14ac:dyDescent="0.25">
      <c r="B321" s="361"/>
      <c r="C321" s="279"/>
      <c r="D321" s="280"/>
      <c r="E321" s="287"/>
      <c r="F321" s="287"/>
      <c r="G321" s="287"/>
      <c r="H321" s="1292">
        <f t="shared" si="15"/>
        <v>3</v>
      </c>
      <c r="I321" s="1295" t="str">
        <f>IF('I. Stream &amp; Compound Data'!BA264&lt;&gt;"",'I. Stream &amp; Compound Data'!BA264-'I. Stream &amp; Compound Data'!F$19,"")</f>
        <v/>
      </c>
      <c r="J321" s="1295" t="str">
        <f>IF('I. Stream &amp; Compound Data'!AR264&lt;&gt;"",'I. Stream &amp; Compound Data'!AR264,IF('I. Stream &amp; Compound Data'!AS264&lt;&gt;"",'I. Stream &amp; Compound Data'!AS264,""))</f>
        <v>20/21/22</v>
      </c>
      <c r="K321" s="1190">
        <f>IF('I. Stream &amp; Compound Data'!AV264&lt;&gt;"",'I. Stream &amp; Compound Data'!AV264,"")</f>
        <v>0</v>
      </c>
      <c r="L321" s="1190">
        <f>IF(H321&gt;'I. Stream &amp; Compound Data'!$F$18,"",IF('I. Stream &amp; Compound Data'!BB264&lt;&gt;"",'I. Stream &amp; Compound Data'!BB264,0))</f>
        <v>0</v>
      </c>
      <c r="M321" s="1306" t="str">
        <f>IF(H321&gt;'I. Stream &amp; Compound Data'!$F$18,"",IF(I321="","N/A",ROUND(IF(I321&lt;=0,1,IF(AND(I321&gt;0,I321&lt;200),-0.005*I321+1,0)),3)))</f>
        <v>N/A</v>
      </c>
      <c r="N321" s="1168">
        <f>IF(H321&gt;'I. Stream &amp; Compound Data'!$F$18,"",IF(M321="N/A",IF(J321="","N/A",IF(OR(J321=12,J321=15,J321=17,J321=18),1,IF(OR(J321=11,J321=30),0.875,IF(J321=10,0.75,0)))),"N/A"))</f>
        <v>0</v>
      </c>
      <c r="O321" s="1242" t="str">
        <f>IF(H321&gt;'I. Stream &amp; Compound Data'!$F$18,"",IF(AND(M321="N/A",N321="N/A"),IF(K321="","N/A",IF(K321=4,1,IF(K321=3,0.833,IF(K321=2,0.667,IF(K321=1,0.5,0))))),"N/A"))</f>
        <v>N/A</v>
      </c>
      <c r="P321" s="1242">
        <f>IF(H321&gt;'I. Stream &amp; Compound Data'!$F$18,"",IF(I144="","N/A",IF(M321&lt;&gt;"N/A",M321,IF(N321&lt;&gt;"N/A",N321,IF(O321&lt;&gt;"N/A",O321,"NO DATA AVAILABLE")))))</f>
        <v>0</v>
      </c>
      <c r="Q321" s="1242">
        <f>IF(H321&gt;'I. Stream &amp; Compound Data'!$F$18,"",IF(P321="N/A",0,L321*10^(4*P321-4)))</f>
        <v>0</v>
      </c>
      <c r="R321" s="1242">
        <f>IF(H321&gt;'I. Stream &amp; Compound Data'!$F$18,"",MAX(K144:L144))</f>
        <v>2888.3362910273868</v>
      </c>
      <c r="S321" s="1242">
        <f>IF(H321&gt;'I. Stream &amp; Compound Data'!$F$18,"",ROUND(Q321*R321,3))</f>
        <v>0</v>
      </c>
      <c r="T321" s="1268">
        <f>IF(H321&gt;'I. Stream &amp; Compound Data'!$F$18,"",IF(L321="",0,ROUND(L321*R321,3)))</f>
        <v>0</v>
      </c>
      <c r="U321" s="279"/>
      <c r="V321" s="279"/>
      <c r="W321" s="279"/>
      <c r="X321" s="279"/>
      <c r="Y321" s="279"/>
      <c r="Z321" s="279"/>
      <c r="AA321" s="279"/>
      <c r="AB321" s="279"/>
      <c r="AC321" s="279"/>
      <c r="AD321" s="279"/>
      <c r="AE321" s="279"/>
      <c r="AF321" s="279"/>
      <c r="AG321" s="279"/>
      <c r="AH321" s="279"/>
      <c r="AI321" s="279"/>
      <c r="AJ321" s="279"/>
      <c r="AK321" s="279"/>
      <c r="AL321" s="279"/>
      <c r="AM321" s="279"/>
      <c r="AN321" s="279"/>
      <c r="AO321" s="279"/>
      <c r="AP321" s="279"/>
      <c r="AQ321" s="279"/>
      <c r="AR321" s="279"/>
      <c r="AS321" s="279"/>
      <c r="AT321" s="279"/>
      <c r="AU321" s="279"/>
      <c r="AV321" s="279"/>
      <c r="AW321" s="279"/>
      <c r="AX321" s="279"/>
      <c r="AY321" s="279"/>
      <c r="AZ321" s="279"/>
      <c r="BA321" s="279"/>
      <c r="BB321" s="279"/>
      <c r="BC321" s="279"/>
      <c r="BD321" s="279"/>
      <c r="BE321" s="279"/>
      <c r="BF321" s="279"/>
      <c r="BG321" s="279"/>
      <c r="BH321" s="279"/>
      <c r="BI321" s="279"/>
      <c r="BJ321" s="279"/>
      <c r="BK321" s="279"/>
      <c r="BL321" s="279"/>
      <c r="BM321" s="279"/>
      <c r="BN321" s="279"/>
      <c r="BO321" s="279"/>
      <c r="BP321" s="279"/>
      <c r="BQ321" s="279"/>
      <c r="BR321" s="279"/>
      <c r="BS321" s="279"/>
      <c r="BT321" s="279"/>
      <c r="BU321" s="279"/>
      <c r="BV321" s="279"/>
      <c r="BW321" s="279"/>
      <c r="BX321" s="279"/>
      <c r="BY321" s="279"/>
      <c r="BZ321" s="279"/>
      <c r="CA321" s="279"/>
      <c r="CB321" s="279"/>
      <c r="CC321" s="279"/>
      <c r="CD321" s="279"/>
      <c r="CE321" s="279"/>
      <c r="CF321" s="279"/>
      <c r="CG321" s="279"/>
      <c r="CH321" s="279"/>
      <c r="CI321" s="279"/>
      <c r="CJ321" s="279"/>
      <c r="CK321" s="279"/>
      <c r="CL321" s="279"/>
      <c r="CM321" s="279"/>
      <c r="CN321" s="382"/>
    </row>
    <row r="322" x14ac:dyDescent="0.25">
      <c r="B322" s="361"/>
      <c r="C322" s="279"/>
      <c r="D322" s="280"/>
      <c r="E322" s="287"/>
      <c r="F322" s="287"/>
      <c r="G322" s="287"/>
      <c r="H322" s="1292">
        <f t="shared" si="15"/>
        <v>4</v>
      </c>
      <c r="I322" s="1295" t="str">
        <f>IF('I. Stream &amp; Compound Data'!BA265&lt;&gt;"",'I. Stream &amp; Compound Data'!BA265-'I. Stream &amp; Compound Data'!F$19,"")</f>
        <v/>
      </c>
      <c r="J322" s="1295">
        <f>IF('I. Stream &amp; Compound Data'!AR265&lt;&gt;"",'I. Stream &amp; Compound Data'!AR265,IF('I. Stream &amp; Compound Data'!AS265&lt;&gt;"",'I. Stream &amp; Compound Data'!AS265,""))</f>
        <v>36</v>
      </c>
      <c r="K322" s="1190">
        <f>IF('I. Stream &amp; Compound Data'!AV265&lt;&gt;"",'I. Stream &amp; Compound Data'!AV265,"")</f>
        <v>0</v>
      </c>
      <c r="L322" s="1190">
        <f>IF(H322&gt;'I. Stream &amp; Compound Data'!$F$18,"",IF('I. Stream &amp; Compound Data'!BB265&lt;&gt;"",'I. Stream &amp; Compound Data'!BB265,0))</f>
        <v>0</v>
      </c>
      <c r="M322" s="1306" t="str">
        <f>IF(H322&gt;'I. Stream &amp; Compound Data'!$F$18,"",IF(I322="","N/A",ROUND(IF(I322&lt;=0,1,IF(AND(I322&gt;0,I322&lt;200),-0.005*I322+1,0)),3)))</f>
        <v>N/A</v>
      </c>
      <c r="N322" s="1168">
        <f>IF(H322&gt;'I. Stream &amp; Compound Data'!$F$18,"",IF(M322="N/A",IF(J322="","N/A",IF(OR(J322=12,J322=15,J322=17,J322=18),1,IF(OR(J322=11,J322=30),0.875,IF(J322=10,0.75,0)))),"N/A"))</f>
        <v>0</v>
      </c>
      <c r="O322" s="1242" t="str">
        <f>IF(H322&gt;'I. Stream &amp; Compound Data'!$F$18,"",IF(AND(M322="N/A",N322="N/A"),IF(K322="","N/A",IF(K322=4,1,IF(K322=3,0.833,IF(K322=2,0.667,IF(K322=1,0.5,0))))),"N/A"))</f>
        <v>N/A</v>
      </c>
      <c r="P322" s="1242">
        <f>IF(H322&gt;'I. Stream &amp; Compound Data'!$F$18,"",IF(I145="","N/A",IF(M322&lt;&gt;"N/A",M322,IF(N322&lt;&gt;"N/A",N322,IF(O322&lt;&gt;"N/A",O322,"NO DATA AVAILABLE")))))</f>
        <v>0</v>
      </c>
      <c r="Q322" s="1242">
        <f>IF(H322&gt;'I. Stream &amp; Compound Data'!$F$18,"",IF(P322="N/A",0,L322*10^(4*P322-4)))</f>
        <v>0</v>
      </c>
      <c r="R322" s="1242">
        <f>IF(H322&gt;'I. Stream &amp; Compound Data'!$F$18,"",MAX(K145:L145))</f>
        <v>6778.7792000553327</v>
      </c>
      <c r="S322" s="1242">
        <f>IF(H322&gt;'I. Stream &amp; Compound Data'!$F$18,"",ROUND(Q322*R322,3))</f>
        <v>0</v>
      </c>
      <c r="T322" s="1268">
        <f>IF(H322&gt;'I. Stream &amp; Compound Data'!$F$18,"",IF(L322="",0,ROUND(L322*R322,3)))</f>
        <v>0</v>
      </c>
      <c r="U322" s="279"/>
      <c r="V322" s="279"/>
      <c r="W322" s="279"/>
      <c r="X322" s="279"/>
      <c r="Y322" s="279"/>
      <c r="Z322" s="279"/>
      <c r="AA322" s="279"/>
      <c r="AB322" s="279"/>
      <c r="AC322" s="279"/>
      <c r="AD322" s="279"/>
      <c r="AE322" s="279"/>
      <c r="AF322" s="279"/>
      <c r="AG322" s="279"/>
      <c r="AH322" s="279"/>
      <c r="AI322" s="279"/>
      <c r="AJ322" s="279"/>
      <c r="AK322" s="279"/>
      <c r="AL322" s="279"/>
      <c r="AM322" s="279"/>
      <c r="AN322" s="279"/>
      <c r="AO322" s="279"/>
      <c r="AP322" s="279"/>
      <c r="AQ322" s="279"/>
      <c r="AR322" s="279"/>
      <c r="AS322" s="279"/>
      <c r="AT322" s="279"/>
      <c r="AU322" s="279"/>
      <c r="AV322" s="279"/>
      <c r="AW322" s="279"/>
      <c r="AX322" s="279"/>
      <c r="AY322" s="279"/>
      <c r="AZ322" s="279"/>
      <c r="BA322" s="279"/>
      <c r="BB322" s="279"/>
      <c r="BC322" s="279"/>
      <c r="BD322" s="279"/>
      <c r="BE322" s="279"/>
      <c r="BF322" s="279"/>
      <c r="BG322" s="279"/>
      <c r="BH322" s="279"/>
      <c r="BI322" s="279"/>
      <c r="BJ322" s="279"/>
      <c r="BK322" s="279"/>
      <c r="BL322" s="279"/>
      <c r="BM322" s="279"/>
      <c r="BN322" s="279"/>
      <c r="BO322" s="279"/>
      <c r="BP322" s="279"/>
      <c r="BQ322" s="279"/>
      <c r="BR322" s="279"/>
      <c r="BS322" s="279"/>
      <c r="BT322" s="279"/>
      <c r="BU322" s="279"/>
      <c r="BV322" s="279"/>
      <c r="BW322" s="279"/>
      <c r="BX322" s="279"/>
      <c r="BY322" s="279"/>
      <c r="BZ322" s="279"/>
      <c r="CA322" s="279"/>
      <c r="CB322" s="279"/>
      <c r="CC322" s="279"/>
      <c r="CD322" s="279"/>
      <c r="CE322" s="279"/>
      <c r="CF322" s="279"/>
      <c r="CG322" s="279"/>
      <c r="CH322" s="279"/>
      <c r="CI322" s="279"/>
      <c r="CJ322" s="279"/>
      <c r="CK322" s="279"/>
      <c r="CL322" s="279"/>
      <c r="CM322" s="279"/>
      <c r="CN322" s="382"/>
    </row>
    <row r="323" ht="15" customHeight="true" x14ac:dyDescent="0.25">
      <c r="B323" s="361"/>
      <c r="C323" s="279"/>
      <c r="D323" s="280"/>
      <c r="E323" s="287"/>
      <c r="F323" s="287"/>
      <c r="G323" s="287"/>
      <c r="H323" s="1292">
        <f t="shared" si="15"/>
        <v>5</v>
      </c>
      <c r="I323" s="1295" t="str">
        <f>IF('I. Stream &amp; Compound Data'!BA266&lt;&gt;"",'I. Stream &amp; Compound Data'!BA266-'I. Stream &amp; Compound Data'!F$19,"")</f>
        <v/>
      </c>
      <c r="J323" s="1295" t="str">
        <f>IF('I. Stream &amp; Compound Data'!AR266&lt;&gt;"",'I. Stream &amp; Compound Data'!AR266,IF('I. Stream &amp; Compound Data'!AS266&lt;&gt;"",'I. Stream &amp; Compound Data'!AS266,""))</f>
        <v/>
      </c>
      <c r="K323" s="1190" t="str">
        <f>IF('I. Stream &amp; Compound Data'!AV266&lt;&gt;"",'I. Stream &amp; Compound Data'!AV266,"")</f>
        <v/>
      </c>
      <c r="L323" s="1190" t="str">
        <f>IF(H323&gt;'I. Stream &amp; Compound Data'!$F$18,"",IF('I. Stream &amp; Compound Data'!BB266&lt;&gt;"",'I. Stream &amp; Compound Data'!BB266,0))</f>
        <v/>
      </c>
      <c r="M323" s="1306" t="str">
        <f>IF(H323&gt;'I. Stream &amp; Compound Data'!$F$18,"",IF(I323="","N/A",ROUND(IF(I323&lt;=0,1,IF(AND(I323&gt;0,I323&lt;200),-0.005*I323+1,0)),3)))</f>
        <v/>
      </c>
      <c r="N323" s="1168" t="str">
        <f>IF(H323&gt;'I. Stream &amp; Compound Data'!$F$18,"",IF(M323="N/A",IF(J323="","N/A",IF(OR(J323=12,J323=15,J323=17,J323=18),1,IF(OR(J323=11,J323=30),0.875,IF(J323=10,0.75,0)))),"N/A"))</f>
        <v/>
      </c>
      <c r="O323" s="1242" t="str">
        <f>IF(H323&gt;'I. Stream &amp; Compound Data'!$F$18,"",IF(AND(M323="N/A",N323="N/A"),IF(K323="","N/A",IF(K323=4,1,IF(K323=3,0.833,IF(K323=2,0.667,IF(K323=1,0.5,0))))),"N/A"))</f>
        <v/>
      </c>
      <c r="P323" s="1242" t="str">
        <f>IF(H323&gt;'I. Stream &amp; Compound Data'!$F$18,"",IF(I146="","N/A",IF(M323&lt;&gt;"N/A",M323,IF(N323&lt;&gt;"N/A",N323,IF(O323&lt;&gt;"N/A",O323,"NO DATA AVAILABLE")))))</f>
        <v/>
      </c>
      <c r="Q323" s="1242" t="str">
        <f>IF(H323&gt;'I. Stream &amp; Compound Data'!$F$18,"",IF(P323="N/A",0,L323*10^(4*P323-4)))</f>
        <v/>
      </c>
      <c r="R323" s="1242" t="str">
        <f>IF(H323&gt;'I. Stream &amp; Compound Data'!$F$18,"",MAX(K146:L146))</f>
        <v/>
      </c>
      <c r="S323" s="1242" t="str">
        <f>IF(H323&gt;'I. Stream &amp; Compound Data'!$F$18,"",ROUND(Q323*R323,3))</f>
        <v/>
      </c>
      <c r="T323" s="1268" t="str">
        <f>IF(H323&gt;'I. Stream &amp; Compound Data'!$F$18,"",IF(L323="",0,ROUND(L323*R323,3)))</f>
        <v/>
      </c>
      <c r="U323" s="279"/>
      <c r="V323" s="279"/>
      <c r="W323" s="279"/>
      <c r="X323" s="279"/>
      <c r="Y323" s="279"/>
      <c r="Z323" s="279"/>
      <c r="AA323" s="279"/>
      <c r="AB323" s="279"/>
      <c r="AC323" s="279"/>
      <c r="AD323" s="279"/>
      <c r="AE323" s="279"/>
      <c r="AF323" s="279"/>
      <c r="AG323" s="279"/>
      <c r="AH323" s="279"/>
      <c r="AI323" s="279"/>
      <c r="AJ323" s="279"/>
      <c r="AK323" s="279"/>
      <c r="AL323" s="279"/>
      <c r="AM323" s="279"/>
      <c r="AN323" s="279"/>
      <c r="AO323" s="279"/>
      <c r="AP323" s="279"/>
      <c r="AQ323" s="279"/>
      <c r="AR323" s="279"/>
      <c r="AS323" s="279"/>
      <c r="AT323" s="279"/>
      <c r="AU323" s="279"/>
      <c r="AV323" s="279"/>
      <c r="AW323" s="279"/>
      <c r="AX323" s="279"/>
      <c r="AY323" s="279"/>
      <c r="AZ323" s="279"/>
      <c r="BA323" s="279"/>
      <c r="BB323" s="279"/>
      <c r="BC323" s="279"/>
      <c r="BD323" s="279"/>
      <c r="BE323" s="279"/>
      <c r="BF323" s="279"/>
      <c r="BG323" s="279"/>
      <c r="BH323" s="279"/>
      <c r="BI323" s="279"/>
      <c r="BJ323" s="279"/>
      <c r="BK323" s="279"/>
      <c r="BL323" s="279"/>
      <c r="BM323" s="279"/>
      <c r="BN323" s="279"/>
      <c r="BO323" s="279"/>
      <c r="BP323" s="279"/>
      <c r="BQ323" s="279"/>
      <c r="BR323" s="279"/>
      <c r="BS323" s="279"/>
      <c r="BT323" s="279"/>
      <c r="BU323" s="279"/>
      <c r="BV323" s="279"/>
      <c r="BW323" s="279"/>
      <c r="BX323" s="279"/>
      <c r="BY323" s="279"/>
      <c r="BZ323" s="279"/>
      <c r="CA323" s="279"/>
      <c r="CB323" s="279"/>
      <c r="CC323" s="279"/>
      <c r="CD323" s="279"/>
      <c r="CE323" s="279"/>
      <c r="CF323" s="279"/>
      <c r="CG323" s="279"/>
      <c r="CH323" s="279"/>
      <c r="CI323" s="279"/>
      <c r="CJ323" s="279"/>
      <c r="CK323" s="279"/>
      <c r="CL323" s="279"/>
      <c r="CM323" s="279"/>
      <c r="CN323" s="382"/>
    </row>
    <row r="324" ht="15" customHeight="true" x14ac:dyDescent="0.25">
      <c r="B324" s="361"/>
      <c r="C324" s="279"/>
      <c r="D324" s="280"/>
      <c r="E324" s="287"/>
      <c r="F324" s="287"/>
      <c r="G324" s="287"/>
      <c r="H324" s="1292">
        <f t="shared" si="15"/>
        <v>6</v>
      </c>
      <c r="I324" s="1295" t="str">
        <f>IF('I. Stream &amp; Compound Data'!BA267&lt;&gt;"",'I. Stream &amp; Compound Data'!BA267-'I. Stream &amp; Compound Data'!F$19,"")</f>
        <v/>
      </c>
      <c r="J324" s="1295" t="str">
        <f>IF('I. Stream &amp; Compound Data'!AR267&lt;&gt;"",'I. Stream &amp; Compound Data'!AR267,IF('I. Stream &amp; Compound Data'!AS267&lt;&gt;"",'I. Stream &amp; Compound Data'!AS267,""))</f>
        <v/>
      </c>
      <c r="K324" s="1190" t="str">
        <f>IF('I. Stream &amp; Compound Data'!AV267&lt;&gt;"",'I. Stream &amp; Compound Data'!AV267,"")</f>
        <v/>
      </c>
      <c r="L324" s="1190" t="str">
        <f>IF(H324&gt;'I. Stream &amp; Compound Data'!$F$18,"",IF('I. Stream &amp; Compound Data'!BB267&lt;&gt;"",'I. Stream &amp; Compound Data'!BB267,0))</f>
        <v/>
      </c>
      <c r="M324" s="1306" t="str">
        <f>IF(H324&gt;'I. Stream &amp; Compound Data'!$F$18,"",IF(I324="","N/A",ROUND(IF(I324&lt;=0,1,IF(AND(I324&gt;0,I324&lt;200),-0.005*I324+1,0)),3)))</f>
        <v/>
      </c>
      <c r="N324" s="1168" t="str">
        <f>IF(H324&gt;'I. Stream &amp; Compound Data'!$F$18,"",IF(M324="N/A",IF(J324="","N/A",IF(OR(J324=12,J324=15,J324=17,J324=18),1,IF(OR(J324=11,J324=30),0.875,IF(J324=10,0.75,0)))),"N/A"))</f>
        <v/>
      </c>
      <c r="O324" s="1242" t="str">
        <f>IF(H324&gt;'I. Stream &amp; Compound Data'!$F$18,"",IF(AND(M324="N/A",N324="N/A"),IF(K324="","N/A",IF(K324=4,1,IF(K324=3,0.833,IF(K324=2,0.667,IF(K324=1,0.5,0))))),"N/A"))</f>
        <v/>
      </c>
      <c r="P324" s="1242" t="str">
        <f>IF(H324&gt;'I. Stream &amp; Compound Data'!$F$18,"",IF(I147="","N/A",IF(M324&lt;&gt;"N/A",M324,IF(N324&lt;&gt;"N/A",N324,IF(O324&lt;&gt;"N/A",O324,"NO DATA AVAILABLE")))))</f>
        <v/>
      </c>
      <c r="Q324" s="1242" t="str">
        <f>IF(H324&gt;'I. Stream &amp; Compound Data'!$F$18,"",IF(P324="N/A",0,L324*10^(4*P324-4)))</f>
        <v/>
      </c>
      <c r="R324" s="1242" t="str">
        <f>IF(H324&gt;'I. Stream &amp; Compound Data'!$F$18,"",MAX(K147:L147))</f>
        <v/>
      </c>
      <c r="S324" s="1242" t="str">
        <f>IF(H324&gt;'I. Stream &amp; Compound Data'!$F$18,"",ROUND(Q324*R324,3))</f>
        <v/>
      </c>
      <c r="T324" s="1268" t="str">
        <f>IF(H324&gt;'I. Stream &amp; Compound Data'!$F$18,"",IF(L324="",0,ROUND(L324*R324,3)))</f>
        <v/>
      </c>
      <c r="U324" s="279"/>
      <c r="V324" s="279"/>
      <c r="W324" s="279"/>
      <c r="X324" s="279"/>
      <c r="Y324" s="279"/>
      <c r="Z324" s="279"/>
      <c r="AA324" s="279"/>
      <c r="AB324" s="279"/>
      <c r="AC324" s="279"/>
      <c r="AD324" s="279"/>
      <c r="AE324" s="279"/>
      <c r="AF324" s="279"/>
      <c r="AG324" s="279"/>
      <c r="AH324" s="279"/>
      <c r="AI324" s="279"/>
      <c r="AJ324" s="279"/>
      <c r="AK324" s="279"/>
      <c r="AL324" s="279"/>
      <c r="AM324" s="279"/>
      <c r="AN324" s="279"/>
      <c r="AO324" s="279"/>
      <c r="AP324" s="279"/>
      <c r="AQ324" s="279"/>
      <c r="AR324" s="279"/>
      <c r="AS324" s="279"/>
      <c r="AT324" s="279"/>
      <c r="AU324" s="279"/>
      <c r="AV324" s="279"/>
      <c r="AW324" s="279"/>
      <c r="AX324" s="279"/>
      <c r="AY324" s="279"/>
      <c r="AZ324" s="279"/>
      <c r="BA324" s="279"/>
      <c r="BB324" s="279"/>
      <c r="BC324" s="279"/>
      <c r="BD324" s="279"/>
      <c r="BE324" s="279"/>
      <c r="BF324" s="279"/>
      <c r="BG324" s="279"/>
      <c r="BH324" s="279"/>
      <c r="BI324" s="279"/>
      <c r="BJ324" s="279"/>
      <c r="BK324" s="279"/>
      <c r="BL324" s="279"/>
      <c r="BM324" s="279"/>
      <c r="BN324" s="279"/>
      <c r="BO324" s="279"/>
      <c r="BP324" s="279"/>
      <c r="BQ324" s="279"/>
      <c r="BR324" s="279"/>
      <c r="BS324" s="279"/>
      <c r="BT324" s="279"/>
      <c r="BU324" s="279"/>
      <c r="BV324" s="279"/>
      <c r="BW324" s="279"/>
      <c r="BX324" s="279"/>
      <c r="BY324" s="279"/>
      <c r="BZ324" s="279"/>
      <c r="CA324" s="279"/>
      <c r="CB324" s="279"/>
      <c r="CC324" s="279"/>
      <c r="CD324" s="279"/>
      <c r="CE324" s="279"/>
      <c r="CF324" s="279"/>
      <c r="CG324" s="279"/>
      <c r="CH324" s="279"/>
      <c r="CI324" s="279"/>
      <c r="CJ324" s="279"/>
      <c r="CK324" s="279"/>
      <c r="CL324" s="279"/>
      <c r="CM324" s="279"/>
      <c r="CN324" s="382"/>
    </row>
    <row r="325" ht="15" customHeight="true" x14ac:dyDescent="0.25">
      <c r="B325" s="361"/>
      <c r="C325" s="279"/>
      <c r="D325" s="280"/>
      <c r="E325" s="287"/>
      <c r="F325" s="287"/>
      <c r="G325" s="287"/>
      <c r="H325" s="1292">
        <f t="shared" si="15"/>
        <v>7</v>
      </c>
      <c r="I325" s="1295" t="str">
        <f>IF('I. Stream &amp; Compound Data'!BA268&lt;&gt;"",'I. Stream &amp; Compound Data'!BA268-'I. Stream &amp; Compound Data'!F$19,"")</f>
        <v/>
      </c>
      <c r="J325" s="1295" t="str">
        <f>IF('I. Stream &amp; Compound Data'!AR268&lt;&gt;"",'I. Stream &amp; Compound Data'!AR268,IF('I. Stream &amp; Compound Data'!AS268&lt;&gt;"",'I. Stream &amp; Compound Data'!AS268,""))</f>
        <v/>
      </c>
      <c r="K325" s="1190" t="str">
        <f>IF('I. Stream &amp; Compound Data'!AV268&lt;&gt;"",'I. Stream &amp; Compound Data'!AV268,"")</f>
        <v/>
      </c>
      <c r="L325" s="1190" t="str">
        <f>IF(H325&gt;'I. Stream &amp; Compound Data'!$F$18,"",IF('I. Stream &amp; Compound Data'!BB268&lt;&gt;"",'I. Stream &amp; Compound Data'!BB268,0))</f>
        <v/>
      </c>
      <c r="M325" s="1306" t="str">
        <f>IF(H325&gt;'I. Stream &amp; Compound Data'!$F$18,"",IF(I325="","N/A",ROUND(IF(I325&lt;=0,1,IF(AND(I325&gt;0,I325&lt;200),-0.005*I325+1,0)),3)))</f>
        <v/>
      </c>
      <c r="N325" s="1168" t="str">
        <f>IF(H325&gt;'I. Stream &amp; Compound Data'!$F$18,"",IF(M325="N/A",IF(J325="","N/A",IF(OR(J325=12,J325=15,J325=17,J325=18),1,IF(OR(J325=11,J325=30),0.875,IF(J325=10,0.75,0)))),"N/A"))</f>
        <v/>
      </c>
      <c r="O325" s="1242" t="str">
        <f>IF(H325&gt;'I. Stream &amp; Compound Data'!$F$18,"",IF(AND(M325="N/A",N325="N/A"),IF(K325="","N/A",IF(K325=4,1,IF(K325=3,0.833,IF(K325=2,0.667,IF(K325=1,0.5,0))))),"N/A"))</f>
        <v/>
      </c>
      <c r="P325" s="1242" t="str">
        <f>IF(H325&gt;'I. Stream &amp; Compound Data'!$F$18,"",IF(I148="","N/A",IF(M325&lt;&gt;"N/A",M325,IF(N325&lt;&gt;"N/A",N325,IF(O325&lt;&gt;"N/A",O325,"NO DATA AVAILABLE")))))</f>
        <v/>
      </c>
      <c r="Q325" s="1242" t="str">
        <f>IF(H325&gt;'I. Stream &amp; Compound Data'!$F$18,"",IF(P325="N/A",0,L325*10^(4*P325-4)))</f>
        <v/>
      </c>
      <c r="R325" s="1242" t="str">
        <f>IF(H325&gt;'I. Stream &amp; Compound Data'!$F$18,"",MAX(K148:L148))</f>
        <v/>
      </c>
      <c r="S325" s="1242" t="str">
        <f>IF(H325&gt;'I. Stream &amp; Compound Data'!$F$18,"",ROUND(Q325*R325,3))</f>
        <v/>
      </c>
      <c r="T325" s="1268" t="str">
        <f>IF(H325&gt;'I. Stream &amp; Compound Data'!$F$18,"",IF(L325="",0,ROUND(L325*R325,3)))</f>
        <v/>
      </c>
      <c r="U325" s="279"/>
      <c r="V325" s="279"/>
      <c r="W325" s="279"/>
      <c r="X325" s="279"/>
      <c r="Y325" s="279"/>
      <c r="Z325" s="279"/>
      <c r="AA325" s="279"/>
      <c r="AB325" s="279"/>
      <c r="AC325" s="279"/>
      <c r="AD325" s="279"/>
      <c r="AE325" s="279"/>
      <c r="AF325" s="279"/>
      <c r="AG325" s="279"/>
      <c r="AH325" s="279"/>
      <c r="AI325" s="279"/>
      <c r="AJ325" s="279"/>
      <c r="AK325" s="279"/>
      <c r="AL325" s="279"/>
      <c r="AM325" s="279"/>
      <c r="AN325" s="279"/>
      <c r="AO325" s="279"/>
      <c r="AP325" s="279"/>
      <c r="AQ325" s="279"/>
      <c r="AR325" s="279"/>
      <c r="AS325" s="279"/>
      <c r="AT325" s="279"/>
      <c r="AU325" s="279"/>
      <c r="AV325" s="279"/>
      <c r="AW325" s="279"/>
      <c r="AX325" s="279"/>
      <c r="AY325" s="279"/>
      <c r="AZ325" s="279"/>
      <c r="BA325" s="279"/>
      <c r="BB325" s="279"/>
      <c r="BC325" s="279"/>
      <c r="BD325" s="279"/>
      <c r="BE325" s="279"/>
      <c r="BF325" s="279"/>
      <c r="BG325" s="279"/>
      <c r="BH325" s="279"/>
      <c r="BI325" s="279"/>
      <c r="BJ325" s="279"/>
      <c r="BK325" s="279"/>
      <c r="BL325" s="279"/>
      <c r="BM325" s="279"/>
      <c r="BN325" s="279"/>
      <c r="BO325" s="279"/>
      <c r="BP325" s="279"/>
      <c r="BQ325" s="279"/>
      <c r="BR325" s="279"/>
      <c r="BS325" s="279"/>
      <c r="BT325" s="279"/>
      <c r="BU325" s="279"/>
      <c r="BV325" s="279"/>
      <c r="BW325" s="279"/>
      <c r="BX325" s="279"/>
      <c r="BY325" s="279"/>
      <c r="BZ325" s="279"/>
      <c r="CA325" s="279"/>
      <c r="CB325" s="279"/>
      <c r="CC325" s="279"/>
      <c r="CD325" s="279"/>
      <c r="CE325" s="279"/>
      <c r="CF325" s="279"/>
      <c r="CG325" s="279"/>
      <c r="CH325" s="279"/>
      <c r="CI325" s="279"/>
      <c r="CJ325" s="279"/>
      <c r="CK325" s="279"/>
      <c r="CL325" s="279"/>
      <c r="CM325" s="279"/>
      <c r="CN325" s="382"/>
    </row>
    <row r="326" ht="15" customHeight="true" x14ac:dyDescent="0.25">
      <c r="B326" s="361"/>
      <c r="C326" s="279"/>
      <c r="D326" s="280"/>
      <c r="E326" s="287"/>
      <c r="F326" s="287"/>
      <c r="G326" s="287"/>
      <c r="H326" s="1292">
        <f t="shared" si="15"/>
        <v>8</v>
      </c>
      <c r="I326" s="1295" t="str">
        <f>IF('I. Stream &amp; Compound Data'!BA269&lt;&gt;"",'I. Stream &amp; Compound Data'!BA269-'I. Stream &amp; Compound Data'!F$19,"")</f>
        <v/>
      </c>
      <c r="J326" s="1295" t="str">
        <f>IF('I. Stream &amp; Compound Data'!AR269&lt;&gt;"",'I. Stream &amp; Compound Data'!AR269,IF('I. Stream &amp; Compound Data'!AS269&lt;&gt;"",'I. Stream &amp; Compound Data'!AS269,""))</f>
        <v/>
      </c>
      <c r="K326" s="1190" t="str">
        <f>IF('I. Stream &amp; Compound Data'!AV269&lt;&gt;"",'I. Stream &amp; Compound Data'!AV269,"")</f>
        <v/>
      </c>
      <c r="L326" s="1190" t="str">
        <f>IF(H326&gt;'I. Stream &amp; Compound Data'!$F$18,"",IF('I. Stream &amp; Compound Data'!BB269&lt;&gt;"",'I. Stream &amp; Compound Data'!BB269,0))</f>
        <v/>
      </c>
      <c r="M326" s="1306" t="str">
        <f>IF(H326&gt;'I. Stream &amp; Compound Data'!$F$18,"",IF(I326="","N/A",ROUND(IF(I326&lt;=0,1,IF(AND(I326&gt;0,I326&lt;200),-0.005*I326+1,0)),3)))</f>
        <v/>
      </c>
      <c r="N326" s="1168" t="str">
        <f>IF(H326&gt;'I. Stream &amp; Compound Data'!$F$18,"",IF(M326="N/A",IF(J326="","N/A",IF(OR(J326=12,J326=15,J326=17,J326=18),1,IF(OR(J326=11,J326=30),0.875,IF(J326=10,0.75,0)))),"N/A"))</f>
        <v/>
      </c>
      <c r="O326" s="1242" t="str">
        <f>IF(H326&gt;'I. Stream &amp; Compound Data'!$F$18,"",IF(AND(M326="N/A",N326="N/A"),IF(K326="","N/A",IF(K326=4,1,IF(K326=3,0.833,IF(K326=2,0.667,IF(K326=1,0.5,0))))),"N/A"))</f>
        <v/>
      </c>
      <c r="P326" s="1242" t="str">
        <f>IF(H326&gt;'I. Stream &amp; Compound Data'!$F$18,"",IF(I149="","N/A",IF(M326&lt;&gt;"N/A",M326,IF(N326&lt;&gt;"N/A",N326,IF(O326&lt;&gt;"N/A",O326,"NO DATA AVAILABLE")))))</f>
        <v/>
      </c>
      <c r="Q326" s="1242" t="str">
        <f>IF(H326&gt;'I. Stream &amp; Compound Data'!$F$18,"",IF(P326="N/A",0,L326*10^(4*P326-4)))</f>
        <v/>
      </c>
      <c r="R326" s="1242" t="str">
        <f>IF(H326&gt;'I. Stream &amp; Compound Data'!$F$18,"",MAX(K149:L149))</f>
        <v/>
      </c>
      <c r="S326" s="1242" t="str">
        <f>IF(H326&gt;'I. Stream &amp; Compound Data'!$F$18,"",ROUND(Q326*R326,3))</f>
        <v/>
      </c>
      <c r="T326" s="1268" t="str">
        <f>IF(H326&gt;'I. Stream &amp; Compound Data'!$F$18,"",IF(L326="",0,ROUND(L326*R326,3)))</f>
        <v/>
      </c>
      <c r="U326" s="279"/>
      <c r="V326" s="279"/>
      <c r="W326" s="279"/>
      <c r="X326" s="279"/>
      <c r="Y326" s="279"/>
      <c r="Z326" s="279"/>
      <c r="AA326" s="279"/>
      <c r="AB326" s="279"/>
      <c r="AC326" s="279"/>
      <c r="AD326" s="279"/>
      <c r="AE326" s="279"/>
      <c r="AF326" s="279"/>
      <c r="AG326" s="279"/>
      <c r="AH326" s="279"/>
      <c r="AI326" s="279"/>
      <c r="AJ326" s="279"/>
      <c r="AK326" s="279"/>
      <c r="AL326" s="279"/>
      <c r="AM326" s="279"/>
      <c r="AN326" s="279"/>
      <c r="AO326" s="279"/>
      <c r="AP326" s="279"/>
      <c r="AQ326" s="279"/>
      <c r="AR326" s="279"/>
      <c r="AS326" s="279"/>
      <c r="AT326" s="279"/>
      <c r="AU326" s="279"/>
      <c r="AV326" s="279"/>
      <c r="AW326" s="279"/>
      <c r="AX326" s="279"/>
      <c r="AY326" s="279"/>
      <c r="AZ326" s="279"/>
      <c r="BA326" s="279"/>
      <c r="BB326" s="279"/>
      <c r="BC326" s="279"/>
      <c r="BD326" s="279"/>
      <c r="BE326" s="279"/>
      <c r="BF326" s="279"/>
      <c r="BG326" s="279"/>
      <c r="BH326" s="279"/>
      <c r="BI326" s="279"/>
      <c r="BJ326" s="279"/>
      <c r="BK326" s="279"/>
      <c r="BL326" s="279"/>
      <c r="BM326" s="279"/>
      <c r="BN326" s="279"/>
      <c r="BO326" s="279"/>
      <c r="BP326" s="279"/>
      <c r="BQ326" s="279"/>
      <c r="BR326" s="279"/>
      <c r="BS326" s="279"/>
      <c r="BT326" s="279"/>
      <c r="BU326" s="279"/>
      <c r="BV326" s="279"/>
      <c r="BW326" s="279"/>
      <c r="BX326" s="279"/>
      <c r="BY326" s="279"/>
      <c r="BZ326" s="279"/>
      <c r="CA326" s="279"/>
      <c r="CB326" s="279"/>
      <c r="CC326" s="279"/>
      <c r="CD326" s="279"/>
      <c r="CE326" s="279"/>
      <c r="CF326" s="279"/>
      <c r="CG326" s="279"/>
      <c r="CH326" s="279"/>
      <c r="CI326" s="279"/>
      <c r="CJ326" s="279"/>
      <c r="CK326" s="279"/>
      <c r="CL326" s="279"/>
      <c r="CM326" s="279"/>
      <c r="CN326" s="382"/>
    </row>
    <row r="327" ht="15" customHeight="true" x14ac:dyDescent="0.25">
      <c r="B327" s="361"/>
      <c r="C327" s="279"/>
      <c r="D327" s="280"/>
      <c r="E327" s="287"/>
      <c r="F327" s="287"/>
      <c r="G327" s="287"/>
      <c r="H327" s="1292">
        <f t="shared" si="15"/>
        <v>9</v>
      </c>
      <c r="I327" s="1295" t="str">
        <f>IF('I. Stream &amp; Compound Data'!BA270&lt;&gt;"",'I. Stream &amp; Compound Data'!BA270-'I. Stream &amp; Compound Data'!F$19,"")</f>
        <v/>
      </c>
      <c r="J327" s="1295" t="str">
        <f>IF('I. Stream &amp; Compound Data'!AR270&lt;&gt;"",'I. Stream &amp; Compound Data'!AR270,IF('I. Stream &amp; Compound Data'!AS270&lt;&gt;"",'I. Stream &amp; Compound Data'!AS270,""))</f>
        <v/>
      </c>
      <c r="K327" s="1190" t="str">
        <f>IF('I. Stream &amp; Compound Data'!AV270&lt;&gt;"",'I. Stream &amp; Compound Data'!AV270,"")</f>
        <v/>
      </c>
      <c r="L327" s="1190" t="str">
        <f>IF(H327&gt;'I. Stream &amp; Compound Data'!$F$18,"",IF('I. Stream &amp; Compound Data'!BB270&lt;&gt;"",'I. Stream &amp; Compound Data'!BB270,0))</f>
        <v/>
      </c>
      <c r="M327" s="1306" t="str">
        <f>IF(H327&gt;'I. Stream &amp; Compound Data'!$F$18,"",IF(I327="","N/A",ROUND(IF(I327&lt;=0,1,IF(AND(I327&gt;0,I327&lt;200),-0.005*I327+1,0)),3)))</f>
        <v/>
      </c>
      <c r="N327" s="1168" t="str">
        <f>IF(H327&gt;'I. Stream &amp; Compound Data'!$F$18,"",IF(M327="N/A",IF(J327="","N/A",IF(OR(J327=12,J327=15,J327=17,J327=18),1,IF(OR(J327=11,J327=30),0.875,IF(J327=10,0.75,0)))),"N/A"))</f>
        <v/>
      </c>
      <c r="O327" s="1242" t="str">
        <f>IF(H327&gt;'I. Stream &amp; Compound Data'!$F$18,"",IF(AND(M327="N/A",N327="N/A"),IF(K327="","N/A",IF(K327=4,1,IF(K327=3,0.833,IF(K327=2,0.667,IF(K327=1,0.5,0))))),"N/A"))</f>
        <v/>
      </c>
      <c r="P327" s="1242" t="str">
        <f>IF(H327&gt;'I. Stream &amp; Compound Data'!$F$18,"",IF(I150="","N/A",IF(M327&lt;&gt;"N/A",M327,IF(N327&lt;&gt;"N/A",N327,IF(O327&lt;&gt;"N/A",O327,"NO DATA AVAILABLE")))))</f>
        <v/>
      </c>
      <c r="Q327" s="1242" t="str">
        <f>IF(H327&gt;'I. Stream &amp; Compound Data'!$F$18,"",IF(P327="N/A",0,L327*10^(4*P327-4)))</f>
        <v/>
      </c>
      <c r="R327" s="1242" t="str">
        <f>IF(H327&gt;'I. Stream &amp; Compound Data'!$F$18,"",MAX(K150:L150))</f>
        <v/>
      </c>
      <c r="S327" s="1242" t="str">
        <f>IF(H327&gt;'I. Stream &amp; Compound Data'!$F$18,"",ROUND(Q327*R327,3))</f>
        <v/>
      </c>
      <c r="T327" s="1268" t="str">
        <f>IF(H327&gt;'I. Stream &amp; Compound Data'!$F$18,"",IF(L327="",0,ROUND(L327*R327,3)))</f>
        <v/>
      </c>
      <c r="U327" s="279"/>
      <c r="V327" s="279"/>
      <c r="W327" s="279"/>
      <c r="X327" s="279"/>
      <c r="Y327" s="279"/>
      <c r="Z327" s="279"/>
      <c r="AA327" s="279"/>
      <c r="AB327" s="279"/>
      <c r="AC327" s="279"/>
      <c r="AD327" s="279"/>
      <c r="AE327" s="279"/>
      <c r="AF327" s="279"/>
      <c r="AG327" s="279"/>
      <c r="AH327" s="279"/>
      <c r="AI327" s="279"/>
      <c r="AJ327" s="279"/>
      <c r="AK327" s="279"/>
      <c r="AL327" s="279"/>
      <c r="AM327" s="279"/>
      <c r="AN327" s="279"/>
      <c r="AO327" s="279"/>
      <c r="AP327" s="279"/>
      <c r="AQ327" s="279"/>
      <c r="AR327" s="279"/>
      <c r="AS327" s="279"/>
      <c r="AT327" s="279"/>
      <c r="AU327" s="279"/>
      <c r="AV327" s="279"/>
      <c r="AW327" s="279"/>
      <c r="AX327" s="279"/>
      <c r="AY327" s="279"/>
      <c r="AZ327" s="279"/>
      <c r="BA327" s="279"/>
      <c r="BB327" s="279"/>
      <c r="BC327" s="279"/>
      <c r="BD327" s="279"/>
      <c r="BE327" s="279"/>
      <c r="BF327" s="279"/>
      <c r="BG327" s="279"/>
      <c r="BH327" s="279"/>
      <c r="BI327" s="279"/>
      <c r="BJ327" s="279"/>
      <c r="BK327" s="279"/>
      <c r="BL327" s="279"/>
      <c r="BM327" s="279"/>
      <c r="BN327" s="279"/>
      <c r="BO327" s="279"/>
      <c r="BP327" s="279"/>
      <c r="BQ327" s="279"/>
      <c r="BR327" s="279"/>
      <c r="BS327" s="279"/>
      <c r="BT327" s="279"/>
      <c r="BU327" s="279"/>
      <c r="BV327" s="279"/>
      <c r="BW327" s="279"/>
      <c r="BX327" s="279"/>
      <c r="BY327" s="279"/>
      <c r="BZ327" s="279"/>
      <c r="CA327" s="279"/>
      <c r="CB327" s="279"/>
      <c r="CC327" s="279"/>
      <c r="CD327" s="279"/>
      <c r="CE327" s="279"/>
      <c r="CF327" s="279"/>
      <c r="CG327" s="279"/>
      <c r="CH327" s="279"/>
      <c r="CI327" s="279"/>
      <c r="CJ327" s="279"/>
      <c r="CK327" s="279"/>
      <c r="CL327" s="279"/>
      <c r="CM327" s="279"/>
      <c r="CN327" s="382"/>
    </row>
    <row r="328" ht="15" customHeight="true" x14ac:dyDescent="0.25">
      <c r="B328" s="361"/>
      <c r="C328" s="279"/>
      <c r="D328" s="280"/>
      <c r="E328" s="287"/>
      <c r="F328" s="287"/>
      <c r="G328" s="287"/>
      <c r="H328" s="1292">
        <f t="shared" si="15"/>
        <v>10</v>
      </c>
      <c r="I328" s="1295" t="str">
        <f>IF('I. Stream &amp; Compound Data'!BA271&lt;&gt;"",'I. Stream &amp; Compound Data'!BA271-'I. Stream &amp; Compound Data'!F$19,"")</f>
        <v/>
      </c>
      <c r="J328" s="1295" t="str">
        <f>IF('I. Stream &amp; Compound Data'!AR271&lt;&gt;"",'I. Stream &amp; Compound Data'!AR271,IF('I. Stream &amp; Compound Data'!AS271&lt;&gt;"",'I. Stream &amp; Compound Data'!AS271,""))</f>
        <v/>
      </c>
      <c r="K328" s="1190" t="str">
        <f>IF('I. Stream &amp; Compound Data'!AV271&lt;&gt;"",'I. Stream &amp; Compound Data'!AV271,"")</f>
        <v/>
      </c>
      <c r="L328" s="1190" t="str">
        <f>IF(H328&gt;'I. Stream &amp; Compound Data'!$F$18,"",IF('I. Stream &amp; Compound Data'!BB271&lt;&gt;"",'I. Stream &amp; Compound Data'!BB271,0))</f>
        <v/>
      </c>
      <c r="M328" s="1306" t="str">
        <f>IF(H328&gt;'I. Stream &amp; Compound Data'!$F$18,"",IF(I328="","N/A",ROUND(IF(I328&lt;=0,1,IF(AND(I328&gt;0,I328&lt;200),-0.005*I328+1,0)),3)))</f>
        <v/>
      </c>
      <c r="N328" s="1168" t="str">
        <f>IF(H328&gt;'I. Stream &amp; Compound Data'!$F$18,"",IF(M328="N/A",IF(J328="","N/A",IF(OR(J328=12,J328=15,J328=17,J328=18),1,IF(OR(J328=11,J328=30),0.875,IF(J328=10,0.75,0)))),"N/A"))</f>
        <v/>
      </c>
      <c r="O328" s="1242" t="str">
        <f>IF(H328&gt;'I. Stream &amp; Compound Data'!$F$18,"",IF(AND(M328="N/A",N328="N/A"),IF(K328="","N/A",IF(K328=4,1,IF(K328=3,0.833,IF(K328=2,0.667,IF(K328=1,0.5,0))))),"N/A"))</f>
        <v/>
      </c>
      <c r="P328" s="1242" t="str">
        <f>IF(H328&gt;'I. Stream &amp; Compound Data'!$F$18,"",IF(I151="","N/A",IF(M328&lt;&gt;"N/A",M328,IF(N328&lt;&gt;"N/A",N328,IF(O328&lt;&gt;"N/A",O328,"NO DATA AVAILABLE")))))</f>
        <v/>
      </c>
      <c r="Q328" s="1242" t="str">
        <f>IF(H328&gt;'I. Stream &amp; Compound Data'!$F$18,"",IF(P328="N/A",0,L328*10^(4*P328-4)))</f>
        <v/>
      </c>
      <c r="R328" s="1242" t="str">
        <f>IF(H328&gt;'I. Stream &amp; Compound Data'!$F$18,"",MAX(K151:L151))</f>
        <v/>
      </c>
      <c r="S328" s="1242" t="str">
        <f>IF(H328&gt;'I. Stream &amp; Compound Data'!$F$18,"",ROUND(Q328*R328,3))</f>
        <v/>
      </c>
      <c r="T328" s="1268" t="str">
        <f>IF(H328&gt;'I. Stream &amp; Compound Data'!$F$18,"",IF(L328="",0,ROUND(L328*R328,3)))</f>
        <v/>
      </c>
      <c r="U328" s="279"/>
      <c r="V328" s="279"/>
      <c r="W328" s="279"/>
      <c r="X328" s="279"/>
      <c r="Y328" s="279"/>
      <c r="Z328" s="279"/>
      <c r="AA328" s="279"/>
      <c r="AB328" s="279"/>
      <c r="AC328" s="279"/>
      <c r="AD328" s="279"/>
      <c r="AE328" s="279"/>
      <c r="AF328" s="279"/>
      <c r="AG328" s="279"/>
      <c r="AH328" s="279"/>
      <c r="AI328" s="279"/>
      <c r="AJ328" s="279"/>
      <c r="AK328" s="279"/>
      <c r="AL328" s="279"/>
      <c r="AM328" s="279"/>
      <c r="AN328" s="279"/>
      <c r="AO328" s="279"/>
      <c r="AP328" s="279"/>
      <c r="AQ328" s="279"/>
      <c r="AR328" s="279"/>
      <c r="AS328" s="279"/>
      <c r="AT328" s="279"/>
      <c r="AU328" s="279"/>
      <c r="AV328" s="279"/>
      <c r="AW328" s="279"/>
      <c r="AX328" s="279"/>
      <c r="AY328" s="279"/>
      <c r="AZ328" s="279"/>
      <c r="BA328" s="279"/>
      <c r="BB328" s="279"/>
      <c r="BC328" s="279"/>
      <c r="BD328" s="279"/>
      <c r="BE328" s="279"/>
      <c r="BF328" s="279"/>
      <c r="BG328" s="279"/>
      <c r="BH328" s="279"/>
      <c r="BI328" s="279"/>
      <c r="BJ328" s="279"/>
      <c r="BK328" s="279"/>
      <c r="BL328" s="279"/>
      <c r="BM328" s="279"/>
      <c r="BN328" s="279"/>
      <c r="BO328" s="279"/>
      <c r="BP328" s="279"/>
      <c r="BQ328" s="279"/>
      <c r="BR328" s="279"/>
      <c r="BS328" s="279"/>
      <c r="BT328" s="279"/>
      <c r="BU328" s="279"/>
      <c r="BV328" s="279"/>
      <c r="BW328" s="279"/>
      <c r="BX328" s="279"/>
      <c r="BY328" s="279"/>
      <c r="BZ328" s="279"/>
      <c r="CA328" s="279"/>
      <c r="CB328" s="279"/>
      <c r="CC328" s="279"/>
      <c r="CD328" s="279"/>
      <c r="CE328" s="279"/>
      <c r="CF328" s="279"/>
      <c r="CG328" s="279"/>
      <c r="CH328" s="279"/>
      <c r="CI328" s="279"/>
      <c r="CJ328" s="279"/>
      <c r="CK328" s="279"/>
      <c r="CL328" s="279"/>
      <c r="CM328" s="279"/>
      <c r="CN328" s="382"/>
    </row>
    <row r="329" ht="15" customHeight="true" x14ac:dyDescent="0.25">
      <c r="B329" s="361"/>
      <c r="C329" s="279"/>
      <c r="D329" s="280"/>
      <c r="E329" s="287"/>
      <c r="F329" s="287"/>
      <c r="G329" s="287"/>
      <c r="H329" s="1292">
        <f t="shared" si="15"/>
        <v>11</v>
      </c>
      <c r="I329" s="1295" t="str">
        <f>IF('I. Stream &amp; Compound Data'!BA272&lt;&gt;"",'I. Stream &amp; Compound Data'!BA272-'I. Stream &amp; Compound Data'!F$19,"")</f>
        <v/>
      </c>
      <c r="J329" s="1295" t="str">
        <f>IF('I. Stream &amp; Compound Data'!AR272&lt;&gt;"",'I. Stream &amp; Compound Data'!AR272,IF('I. Stream &amp; Compound Data'!AS272&lt;&gt;"",'I. Stream &amp; Compound Data'!AS272,""))</f>
        <v/>
      </c>
      <c r="K329" s="1190" t="str">
        <f>IF('I. Stream &amp; Compound Data'!AV272&lt;&gt;"",'I. Stream &amp; Compound Data'!AV272,"")</f>
        <v/>
      </c>
      <c r="L329" s="1190" t="str">
        <f>IF(H329&gt;'I. Stream &amp; Compound Data'!$F$18,"",IF('I. Stream &amp; Compound Data'!BB272&lt;&gt;"",'I. Stream &amp; Compound Data'!BB272,0))</f>
        <v/>
      </c>
      <c r="M329" s="1306" t="str">
        <f>IF(H329&gt;'I. Stream &amp; Compound Data'!$F$18,"",IF(I329="","N/A",ROUND(IF(I329&lt;=0,1,IF(AND(I329&gt;0,I329&lt;200),-0.005*I329+1,0)),3)))</f>
        <v/>
      </c>
      <c r="N329" s="1168" t="str">
        <f>IF(H329&gt;'I. Stream &amp; Compound Data'!$F$18,"",IF(M329="N/A",IF(J329="","N/A",IF(OR(J329=12,J329=15,J329=17,J329=18),1,IF(OR(J329=11,J329=30),0.875,IF(J329=10,0.75,0)))),"N/A"))</f>
        <v/>
      </c>
      <c r="O329" s="1242" t="str">
        <f>IF(H329&gt;'I. Stream &amp; Compound Data'!$F$18,"",IF(AND(M329="N/A",N329="N/A"),IF(K329="","N/A",IF(K329=4,1,IF(K329=3,0.833,IF(K329=2,0.667,IF(K329=1,0.5,0))))),"N/A"))</f>
        <v/>
      </c>
      <c r="P329" s="1242" t="str">
        <f>IF(H329&gt;'I. Stream &amp; Compound Data'!$F$18,"",IF(I152="","N/A",IF(M329&lt;&gt;"N/A",M329,IF(N329&lt;&gt;"N/A",N329,IF(O329&lt;&gt;"N/A",O329,"NO DATA AVAILABLE")))))</f>
        <v/>
      </c>
      <c r="Q329" s="1242" t="str">
        <f>IF(H329&gt;'I. Stream &amp; Compound Data'!$F$18,"",IF(P329="N/A",0,L329*10^(4*P329-4)))</f>
        <v/>
      </c>
      <c r="R329" s="1242" t="str">
        <f>IF(H329&gt;'I. Stream &amp; Compound Data'!$F$18,"",MAX(K152:L152))</f>
        <v/>
      </c>
      <c r="S329" s="1242" t="str">
        <f>IF(H329&gt;'I. Stream &amp; Compound Data'!$F$18,"",ROUND(Q329*R329,3))</f>
        <v/>
      </c>
      <c r="T329" s="1268" t="str">
        <f>IF(H329&gt;'I. Stream &amp; Compound Data'!$F$18,"",IF(L329="",0,ROUND(L329*R329,3)))</f>
        <v/>
      </c>
      <c r="U329" s="279"/>
      <c r="V329" s="279"/>
      <c r="W329" s="279"/>
      <c r="X329" s="279"/>
      <c r="Y329" s="279"/>
      <c r="Z329" s="279"/>
      <c r="AA329" s="279"/>
      <c r="AB329" s="279"/>
      <c r="AC329" s="279"/>
      <c r="AD329" s="279"/>
      <c r="AE329" s="279"/>
      <c r="AF329" s="279"/>
      <c r="AG329" s="279"/>
      <c r="AH329" s="279"/>
      <c r="AI329" s="279"/>
      <c r="AJ329" s="279"/>
      <c r="AK329" s="279"/>
      <c r="AL329" s="279"/>
      <c r="AM329" s="279"/>
      <c r="AN329" s="279"/>
      <c r="AO329" s="279"/>
      <c r="AP329" s="279"/>
      <c r="AQ329" s="279"/>
      <c r="AR329" s="279"/>
      <c r="AS329" s="279"/>
      <c r="AT329" s="279"/>
      <c r="AU329" s="279"/>
      <c r="AV329" s="279"/>
      <c r="AW329" s="279"/>
      <c r="AX329" s="279"/>
      <c r="AY329" s="279"/>
      <c r="AZ329" s="279"/>
      <c r="BA329" s="279"/>
      <c r="BB329" s="279"/>
      <c r="BC329" s="279"/>
      <c r="BD329" s="279"/>
      <c r="BE329" s="279"/>
      <c r="BF329" s="279"/>
      <c r="BG329" s="279"/>
      <c r="BH329" s="279"/>
      <c r="BI329" s="279"/>
      <c r="BJ329" s="279"/>
      <c r="BK329" s="279"/>
      <c r="BL329" s="279"/>
      <c r="BM329" s="279"/>
      <c r="BN329" s="279"/>
      <c r="BO329" s="279"/>
      <c r="BP329" s="279"/>
      <c r="BQ329" s="279"/>
      <c r="BR329" s="279"/>
      <c r="BS329" s="279"/>
      <c r="BT329" s="279"/>
      <c r="BU329" s="279"/>
      <c r="BV329" s="279"/>
      <c r="BW329" s="279"/>
      <c r="BX329" s="279"/>
      <c r="BY329" s="279"/>
      <c r="BZ329" s="279"/>
      <c r="CA329" s="279"/>
      <c r="CB329" s="279"/>
      <c r="CC329" s="279"/>
      <c r="CD329" s="279"/>
      <c r="CE329" s="279"/>
      <c r="CF329" s="279"/>
      <c r="CG329" s="279"/>
      <c r="CH329" s="279"/>
      <c r="CI329" s="279"/>
      <c r="CJ329" s="279"/>
      <c r="CK329" s="279"/>
      <c r="CL329" s="279"/>
      <c r="CM329" s="279"/>
      <c r="CN329" s="382"/>
    </row>
    <row r="330" ht="15" customHeight="true" x14ac:dyDescent="0.25">
      <c r="B330" s="361"/>
      <c r="C330" s="279"/>
      <c r="D330" s="280"/>
      <c r="E330" s="287"/>
      <c r="F330" s="287"/>
      <c r="G330" s="287"/>
      <c r="H330" s="1292">
        <f t="shared" si="15"/>
        <v>12</v>
      </c>
      <c r="I330" s="1295" t="str">
        <f>IF('I. Stream &amp; Compound Data'!BA273&lt;&gt;"",'I. Stream &amp; Compound Data'!BA273-'I. Stream &amp; Compound Data'!F$19,"")</f>
        <v/>
      </c>
      <c r="J330" s="1295" t="str">
        <f>IF('I. Stream &amp; Compound Data'!AR273&lt;&gt;"",'I. Stream &amp; Compound Data'!AR273,IF('I. Stream &amp; Compound Data'!AS273&lt;&gt;"",'I. Stream &amp; Compound Data'!AS273,""))</f>
        <v/>
      </c>
      <c r="K330" s="1190" t="str">
        <f>IF('I. Stream &amp; Compound Data'!AV273&lt;&gt;"",'I. Stream &amp; Compound Data'!AV273,"")</f>
        <v/>
      </c>
      <c r="L330" s="1190" t="str">
        <f>IF(H330&gt;'I. Stream &amp; Compound Data'!$F$18,"",IF('I. Stream &amp; Compound Data'!BB273&lt;&gt;"",'I. Stream &amp; Compound Data'!BB273,0))</f>
        <v/>
      </c>
      <c r="M330" s="1306" t="str">
        <f>IF(H330&gt;'I. Stream &amp; Compound Data'!$F$18,"",IF(I330="","N/A",ROUND(IF(I330&lt;=0,1,IF(AND(I330&gt;0,I330&lt;200),-0.005*I330+1,0)),3)))</f>
        <v/>
      </c>
      <c r="N330" s="1168" t="str">
        <f>IF(H330&gt;'I. Stream &amp; Compound Data'!$F$18,"",IF(M330="N/A",IF(J330="","N/A",IF(OR(J330=12,J330=15,J330=17,J330=18),1,IF(OR(J330=11,J330=30),0.875,IF(J330=10,0.75,0)))),"N/A"))</f>
        <v/>
      </c>
      <c r="O330" s="1242" t="str">
        <f>IF(H330&gt;'I. Stream &amp; Compound Data'!$F$18,"",IF(AND(M330="N/A",N330="N/A"),IF(K330="","N/A",IF(K330=4,1,IF(K330=3,0.833,IF(K330=2,0.667,IF(K330=1,0.5,0))))),"N/A"))</f>
        <v/>
      </c>
      <c r="P330" s="1242" t="str">
        <f>IF(H330&gt;'I. Stream &amp; Compound Data'!$F$18,"",IF(I153="","N/A",IF(M330&lt;&gt;"N/A",M330,IF(N330&lt;&gt;"N/A",N330,IF(O330&lt;&gt;"N/A",O330,"NO DATA AVAILABLE")))))</f>
        <v/>
      </c>
      <c r="Q330" s="1242" t="str">
        <f>IF(H330&gt;'I. Stream &amp; Compound Data'!$F$18,"",IF(P330="N/A",0,L330*10^(4*P330-4)))</f>
        <v/>
      </c>
      <c r="R330" s="1242" t="str">
        <f>IF(H330&gt;'I. Stream &amp; Compound Data'!$F$18,"",MAX(K153:L153))</f>
        <v/>
      </c>
      <c r="S330" s="1242" t="str">
        <f>IF(H330&gt;'I. Stream &amp; Compound Data'!$F$18,"",ROUND(Q330*R330,3))</f>
        <v/>
      </c>
      <c r="T330" s="1268" t="str">
        <f>IF(H330&gt;'I. Stream &amp; Compound Data'!$F$18,"",IF(L330="",0,ROUND(L330*R330,3)))</f>
        <v/>
      </c>
      <c r="U330" s="279"/>
      <c r="V330" s="279"/>
      <c r="W330" s="279"/>
      <c r="X330" s="279"/>
      <c r="Y330" s="279"/>
      <c r="Z330" s="279"/>
      <c r="AA330" s="279"/>
      <c r="AB330" s="279"/>
      <c r="AC330" s="279"/>
      <c r="AD330" s="279"/>
      <c r="AE330" s="279"/>
      <c r="AF330" s="279"/>
      <c r="AG330" s="279"/>
      <c r="AH330" s="279"/>
      <c r="AI330" s="279"/>
      <c r="AJ330" s="279"/>
      <c r="AK330" s="279"/>
      <c r="AL330" s="279"/>
      <c r="AM330" s="279"/>
      <c r="AN330" s="279"/>
      <c r="AO330" s="279"/>
      <c r="AP330" s="279"/>
      <c r="AQ330" s="279"/>
      <c r="AR330" s="279"/>
      <c r="AS330" s="279"/>
      <c r="AT330" s="279"/>
      <c r="AU330" s="279"/>
      <c r="AV330" s="279"/>
      <c r="AW330" s="279"/>
      <c r="AX330" s="279"/>
      <c r="AY330" s="279"/>
      <c r="AZ330" s="279"/>
      <c r="BA330" s="279"/>
      <c r="BB330" s="279"/>
      <c r="BC330" s="279"/>
      <c r="BD330" s="279"/>
      <c r="BE330" s="279"/>
      <c r="BF330" s="279"/>
      <c r="BG330" s="279"/>
      <c r="BH330" s="279"/>
      <c r="BI330" s="279"/>
      <c r="BJ330" s="279"/>
      <c r="BK330" s="279"/>
      <c r="BL330" s="279"/>
      <c r="BM330" s="279"/>
      <c r="BN330" s="279"/>
      <c r="BO330" s="279"/>
      <c r="BP330" s="279"/>
      <c r="BQ330" s="279"/>
      <c r="BR330" s="279"/>
      <c r="BS330" s="279"/>
      <c r="BT330" s="279"/>
      <c r="BU330" s="279"/>
      <c r="BV330" s="279"/>
      <c r="BW330" s="279"/>
      <c r="BX330" s="279"/>
      <c r="BY330" s="279"/>
      <c r="BZ330" s="279"/>
      <c r="CA330" s="279"/>
      <c r="CB330" s="279"/>
      <c r="CC330" s="279"/>
      <c r="CD330" s="279"/>
      <c r="CE330" s="279"/>
      <c r="CF330" s="279"/>
      <c r="CG330" s="279"/>
      <c r="CH330" s="279"/>
      <c r="CI330" s="279"/>
      <c r="CJ330" s="279"/>
      <c r="CK330" s="279"/>
      <c r="CL330" s="279"/>
      <c r="CM330" s="279"/>
      <c r="CN330" s="382"/>
    </row>
    <row r="331" ht="15" customHeight="true" x14ac:dyDescent="0.25">
      <c r="B331" s="361"/>
      <c r="C331" s="279"/>
      <c r="D331" s="280"/>
      <c r="E331" s="287"/>
      <c r="F331" s="287"/>
      <c r="G331" s="287"/>
      <c r="H331" s="1292">
        <f t="shared" si="15"/>
        <v>13</v>
      </c>
      <c r="I331" s="1295" t="str">
        <f>IF('I. Stream &amp; Compound Data'!BA274&lt;&gt;"",'I. Stream &amp; Compound Data'!BA274-'I. Stream &amp; Compound Data'!F$19,"")</f>
        <v/>
      </c>
      <c r="J331" s="1295" t="str">
        <f>IF('I. Stream &amp; Compound Data'!AR274&lt;&gt;"",'I. Stream &amp; Compound Data'!AR274,IF('I. Stream &amp; Compound Data'!AS274&lt;&gt;"",'I. Stream &amp; Compound Data'!AS274,""))</f>
        <v/>
      </c>
      <c r="K331" s="1190" t="str">
        <f>IF('I. Stream &amp; Compound Data'!AV274&lt;&gt;"",'I. Stream &amp; Compound Data'!AV274,"")</f>
        <v/>
      </c>
      <c r="L331" s="1190" t="str">
        <f>IF(H331&gt;'I. Stream &amp; Compound Data'!$F$18,"",IF('I. Stream &amp; Compound Data'!BB274&lt;&gt;"",'I. Stream &amp; Compound Data'!BB274,0))</f>
        <v/>
      </c>
      <c r="M331" s="1306" t="str">
        <f>IF(H331&gt;'I. Stream &amp; Compound Data'!$F$18,"",IF(I331="","N/A",ROUND(IF(I331&lt;=0,1,IF(AND(I331&gt;0,I331&lt;200),-0.005*I331+1,0)),3)))</f>
        <v/>
      </c>
      <c r="N331" s="1168" t="str">
        <f>IF(H331&gt;'I. Stream &amp; Compound Data'!$F$18,"",IF(M331="N/A",IF(J331="","N/A",IF(OR(J331=12,J331=15,J331=17,J331=18),1,IF(OR(J331=11,J331=30),0.875,IF(J331=10,0.75,0)))),"N/A"))</f>
        <v/>
      </c>
      <c r="O331" s="1242" t="str">
        <f>IF(H331&gt;'I. Stream &amp; Compound Data'!$F$18,"",IF(AND(M331="N/A",N331="N/A"),IF(K331="","N/A",IF(K331=4,1,IF(K331=3,0.833,IF(K331=2,0.667,IF(K331=1,0.5,0))))),"N/A"))</f>
        <v/>
      </c>
      <c r="P331" s="1242" t="str">
        <f>IF(H331&gt;'I. Stream &amp; Compound Data'!$F$18,"",IF(I154="","N/A",IF(M331&lt;&gt;"N/A",M331,IF(N331&lt;&gt;"N/A",N331,IF(O331&lt;&gt;"N/A",O331,"NO DATA AVAILABLE")))))</f>
        <v/>
      </c>
      <c r="Q331" s="1242" t="str">
        <f>IF(H331&gt;'I. Stream &amp; Compound Data'!$F$18,"",IF(P331="N/A",0,L331*10^(4*P331-4)))</f>
        <v/>
      </c>
      <c r="R331" s="1242" t="str">
        <f>IF(H331&gt;'I. Stream &amp; Compound Data'!$F$18,"",MAX(K154:L154))</f>
        <v/>
      </c>
      <c r="S331" s="1242" t="str">
        <f>IF(H331&gt;'I. Stream &amp; Compound Data'!$F$18,"",ROUND(Q331*R331,3))</f>
        <v/>
      </c>
      <c r="T331" s="1268" t="str">
        <f>IF(H331&gt;'I. Stream &amp; Compound Data'!$F$18,"",IF(L331="",0,ROUND(L331*R331,3)))</f>
        <v/>
      </c>
      <c r="U331" s="279"/>
      <c r="V331" s="279"/>
      <c r="W331" s="279"/>
      <c r="X331" s="279"/>
      <c r="Y331" s="279"/>
      <c r="Z331" s="279"/>
      <c r="AA331" s="279"/>
      <c r="AB331" s="279"/>
      <c r="AC331" s="279"/>
      <c r="AD331" s="279"/>
      <c r="AE331" s="279"/>
      <c r="AF331" s="279"/>
      <c r="AG331" s="279"/>
      <c r="AH331" s="279"/>
      <c r="AI331" s="279"/>
      <c r="AJ331" s="279"/>
      <c r="AK331" s="279"/>
      <c r="AL331" s="279"/>
      <c r="AM331" s="279"/>
      <c r="AN331" s="279"/>
      <c r="AO331" s="279"/>
      <c r="AP331" s="279"/>
      <c r="AQ331" s="279"/>
      <c r="AR331" s="279"/>
      <c r="AS331" s="279"/>
      <c r="AT331" s="279"/>
      <c r="AU331" s="279"/>
      <c r="AV331" s="279"/>
      <c r="AW331" s="279"/>
      <c r="AX331" s="279"/>
      <c r="AY331" s="279"/>
      <c r="AZ331" s="279"/>
      <c r="BA331" s="279"/>
      <c r="BB331" s="279"/>
      <c r="BC331" s="279"/>
      <c r="BD331" s="279"/>
      <c r="BE331" s="279"/>
      <c r="BF331" s="279"/>
      <c r="BG331" s="279"/>
      <c r="BH331" s="279"/>
      <c r="BI331" s="279"/>
      <c r="BJ331" s="279"/>
      <c r="BK331" s="279"/>
      <c r="BL331" s="279"/>
      <c r="BM331" s="279"/>
      <c r="BN331" s="279"/>
      <c r="BO331" s="279"/>
      <c r="BP331" s="279"/>
      <c r="BQ331" s="279"/>
      <c r="BR331" s="279"/>
      <c r="BS331" s="279"/>
      <c r="BT331" s="279"/>
      <c r="BU331" s="279"/>
      <c r="BV331" s="279"/>
      <c r="BW331" s="279"/>
      <c r="BX331" s="279"/>
      <c r="BY331" s="279"/>
      <c r="BZ331" s="279"/>
      <c r="CA331" s="279"/>
      <c r="CB331" s="279"/>
      <c r="CC331" s="279"/>
      <c r="CD331" s="279"/>
      <c r="CE331" s="279"/>
      <c r="CF331" s="279"/>
      <c r="CG331" s="279"/>
      <c r="CH331" s="279"/>
      <c r="CI331" s="279"/>
      <c r="CJ331" s="279"/>
      <c r="CK331" s="279"/>
      <c r="CL331" s="279"/>
      <c r="CM331" s="279"/>
      <c r="CN331" s="382"/>
    </row>
    <row r="332" x14ac:dyDescent="0.25">
      <c r="B332" s="361"/>
      <c r="C332" s="279"/>
      <c r="D332" s="280"/>
      <c r="E332" s="287"/>
      <c r="F332" s="287"/>
      <c r="G332" s="287"/>
      <c r="H332" s="1292">
        <f t="shared" si="15"/>
        <v>14</v>
      </c>
      <c r="I332" s="1295" t="str">
        <f>IF('I. Stream &amp; Compound Data'!BA275&lt;&gt;"",'I. Stream &amp; Compound Data'!BA275-'I. Stream &amp; Compound Data'!F$19,"")</f>
        <v/>
      </c>
      <c r="J332" s="1295" t="str">
        <f>IF('I. Stream &amp; Compound Data'!AR275&lt;&gt;"",'I. Stream &amp; Compound Data'!AR275,IF('I. Stream &amp; Compound Data'!AS275&lt;&gt;"",'I. Stream &amp; Compound Data'!AS275,""))</f>
        <v/>
      </c>
      <c r="K332" s="1190" t="str">
        <f>IF('I. Stream &amp; Compound Data'!AV275&lt;&gt;"",'I. Stream &amp; Compound Data'!AV275,"")</f>
        <v/>
      </c>
      <c r="L332" s="1190" t="str">
        <f>IF(H332&gt;'I. Stream &amp; Compound Data'!$F$18,"",IF('I. Stream &amp; Compound Data'!BB275&lt;&gt;"",'I. Stream &amp; Compound Data'!BB275,0))</f>
        <v/>
      </c>
      <c r="M332" s="1306" t="str">
        <f>IF(H332&gt;'I. Stream &amp; Compound Data'!$F$18,"",IF(I332="","N/A",ROUND(IF(I332&lt;=0,1,IF(AND(I332&gt;0,I332&lt;200),-0.005*I332+1,0)),3)))</f>
        <v/>
      </c>
      <c r="N332" s="1168" t="str">
        <f>IF(H332&gt;'I. Stream &amp; Compound Data'!$F$18,"",IF(M332="N/A",IF(J332="","N/A",IF(OR(J332=12,J332=15,J332=17,J332=18),1,IF(OR(J332=11,J332=30),0.875,IF(J332=10,0.75,0)))),"N/A"))</f>
        <v/>
      </c>
      <c r="O332" s="1242" t="str">
        <f>IF(H332&gt;'I. Stream &amp; Compound Data'!$F$18,"",IF(AND(M332="N/A",N332="N/A"),IF(K332="","N/A",IF(K332=4,1,IF(K332=3,0.833,IF(K332=2,0.667,IF(K332=1,0.5,0))))),"N/A"))</f>
        <v/>
      </c>
      <c r="P332" s="1242" t="str">
        <f>IF(H332&gt;'I. Stream &amp; Compound Data'!$F$18,"",IF(I155="","N/A",IF(M332&lt;&gt;"N/A",M332,IF(N332&lt;&gt;"N/A",N332,IF(O332&lt;&gt;"N/A",O332,"NO DATA AVAILABLE")))))</f>
        <v/>
      </c>
      <c r="Q332" s="1242" t="str">
        <f>IF(H332&gt;'I. Stream &amp; Compound Data'!$F$18,"",IF(P332="N/A",0,L332*10^(4*P332-4)))</f>
        <v/>
      </c>
      <c r="R332" s="1242" t="str">
        <f>IF(H332&gt;'I. Stream &amp; Compound Data'!$F$18,"",MAX(K155:L155))</f>
        <v/>
      </c>
      <c r="S332" s="1242" t="str">
        <f>IF(H332&gt;'I. Stream &amp; Compound Data'!$F$18,"",ROUND(Q332*R332,3))</f>
        <v/>
      </c>
      <c r="T332" s="1268" t="str">
        <f>IF(H332&gt;'I. Stream &amp; Compound Data'!$F$18,"",IF(L332="",0,ROUND(L332*R332,3)))</f>
        <v/>
      </c>
      <c r="U332" s="279"/>
      <c r="V332" s="279"/>
      <c r="W332" s="279"/>
      <c r="X332" s="279"/>
      <c r="Y332" s="279"/>
      <c r="Z332" s="279"/>
      <c r="AA332" s="279"/>
      <c r="AB332" s="279"/>
      <c r="AC332" s="279"/>
      <c r="AD332" s="279"/>
      <c r="AE332" s="279"/>
      <c r="AF332" s="279"/>
      <c r="AG332" s="279"/>
      <c r="AH332" s="279"/>
      <c r="AI332" s="279"/>
      <c r="AJ332" s="279"/>
      <c r="AK332" s="279"/>
      <c r="AL332" s="279"/>
      <c r="AM332" s="279"/>
      <c r="AN332" s="279"/>
      <c r="AO332" s="279"/>
      <c r="AP332" s="279"/>
      <c r="AQ332" s="279"/>
      <c r="AR332" s="279"/>
      <c r="AS332" s="279"/>
      <c r="AT332" s="279"/>
      <c r="AU332" s="279"/>
      <c r="AV332" s="279"/>
      <c r="AW332" s="279"/>
      <c r="AX332" s="279"/>
      <c r="AY332" s="279"/>
      <c r="AZ332" s="279"/>
      <c r="BA332" s="279"/>
      <c r="BB332" s="279"/>
      <c r="BC332" s="279"/>
      <c r="BD332" s="279"/>
      <c r="BE332" s="279"/>
      <c r="BF332" s="279"/>
      <c r="BG332" s="279"/>
      <c r="BH332" s="279"/>
      <c r="BI332" s="279"/>
      <c r="BJ332" s="279"/>
      <c r="BK332" s="279"/>
      <c r="BL332" s="279"/>
      <c r="BM332" s="279"/>
      <c r="BN332" s="279"/>
      <c r="BO332" s="279"/>
      <c r="BP332" s="279"/>
      <c r="BQ332" s="279"/>
      <c r="BR332" s="279"/>
      <c r="BS332" s="279"/>
      <c r="BT332" s="279"/>
      <c r="BU332" s="279"/>
      <c r="BV332" s="279"/>
      <c r="BW332" s="279"/>
      <c r="BX332" s="279"/>
      <c r="BY332" s="279"/>
      <c r="BZ332" s="279"/>
      <c r="CA332" s="279"/>
      <c r="CB332" s="279"/>
      <c r="CC332" s="279"/>
      <c r="CD332" s="279"/>
      <c r="CE332" s="279"/>
      <c r="CF332" s="279"/>
      <c r="CG332" s="279"/>
      <c r="CH332" s="279"/>
      <c r="CI332" s="279"/>
      <c r="CJ332" s="279"/>
      <c r="CK332" s="279"/>
      <c r="CL332" s="279"/>
      <c r="CM332" s="279"/>
      <c r="CN332" s="382"/>
    </row>
    <row r="333" x14ac:dyDescent="0.25">
      <c r="B333" s="361"/>
      <c r="C333" s="279"/>
      <c r="D333" s="280"/>
      <c r="E333" s="287"/>
      <c r="F333" s="287"/>
      <c r="G333" s="287"/>
      <c r="H333" s="1292">
        <f t="shared" si="15"/>
        <v>15</v>
      </c>
      <c r="I333" s="1295" t="str">
        <f>IF('I. Stream &amp; Compound Data'!BA276&lt;&gt;"",'I. Stream &amp; Compound Data'!BA276-'I. Stream &amp; Compound Data'!F$19,"")</f>
        <v/>
      </c>
      <c r="J333" s="1295" t="str">
        <f>IF('I. Stream &amp; Compound Data'!AR276&lt;&gt;"",'I. Stream &amp; Compound Data'!AR276,IF('I. Stream &amp; Compound Data'!AS276&lt;&gt;"",'I. Stream &amp; Compound Data'!AS276,""))</f>
        <v/>
      </c>
      <c r="K333" s="1190" t="str">
        <f>IF('I. Stream &amp; Compound Data'!AV276&lt;&gt;"",'I. Stream &amp; Compound Data'!AV276,"")</f>
        <v/>
      </c>
      <c r="L333" s="1190" t="str">
        <f>IF(H333&gt;'I. Stream &amp; Compound Data'!$F$18,"",IF('I. Stream &amp; Compound Data'!BB276&lt;&gt;"",'I. Stream &amp; Compound Data'!BB276,0))</f>
        <v/>
      </c>
      <c r="M333" s="1306" t="str">
        <f>IF(H333&gt;'I. Stream &amp; Compound Data'!$F$18,"",IF(I333="","N/A",ROUND(IF(I333&lt;=0,1,IF(AND(I333&gt;0,I333&lt;200),-0.005*I333+1,0)),3)))</f>
        <v/>
      </c>
      <c r="N333" s="1168" t="str">
        <f>IF(H333&gt;'I. Stream &amp; Compound Data'!$F$18,"",IF(M333="N/A",IF(J333="","N/A",IF(OR(J333=12,J333=15,J333=17,J333=18),1,IF(OR(J333=11,J333=30),0.875,IF(J333=10,0.75,0)))),"N/A"))</f>
        <v/>
      </c>
      <c r="O333" s="1242" t="str">
        <f>IF(H333&gt;'I. Stream &amp; Compound Data'!$F$18,"",IF(AND(M333="N/A",N333="N/A"),IF(K333="","N/A",IF(K333=4,1,IF(K333=3,0.833,IF(K333=2,0.667,IF(K333=1,0.5,0))))),"N/A"))</f>
        <v/>
      </c>
      <c r="P333" s="1242" t="str">
        <f>IF(H333&gt;'I. Stream &amp; Compound Data'!$F$18,"",IF(I156="","N/A",IF(M333&lt;&gt;"N/A",M333,IF(N333&lt;&gt;"N/A",N333,IF(O333&lt;&gt;"N/A",O333,"NO DATA AVAILABLE")))))</f>
        <v/>
      </c>
      <c r="Q333" s="1242" t="str">
        <f>IF(H333&gt;'I. Stream &amp; Compound Data'!$F$18,"",IF(P333="N/A",0,L333*10^(4*P333-4)))</f>
        <v/>
      </c>
      <c r="R333" s="1242" t="str">
        <f>IF(H333&gt;'I. Stream &amp; Compound Data'!$F$18,"",MAX(K156:L156))</f>
        <v/>
      </c>
      <c r="S333" s="1242" t="str">
        <f>IF(H333&gt;'I. Stream &amp; Compound Data'!$F$18,"",ROUND(Q333*R333,3))</f>
        <v/>
      </c>
      <c r="T333" s="1268" t="str">
        <f>IF(H333&gt;'I. Stream &amp; Compound Data'!$F$18,"",IF(L333="",0,ROUND(L333*R333,3)))</f>
        <v/>
      </c>
      <c r="U333" s="279"/>
      <c r="V333" s="279"/>
      <c r="W333" s="279"/>
      <c r="X333" s="279"/>
      <c r="Y333" s="279"/>
      <c r="Z333" s="279"/>
      <c r="AA333" s="279"/>
      <c r="AB333" s="279"/>
      <c r="AC333" s="279"/>
      <c r="AD333" s="279"/>
      <c r="AE333" s="279"/>
      <c r="AF333" s="279"/>
      <c r="AG333" s="279"/>
      <c r="AH333" s="279"/>
      <c r="AI333" s="279"/>
      <c r="AJ333" s="279"/>
      <c r="AK333" s="279"/>
      <c r="AL333" s="279"/>
      <c r="AM333" s="279"/>
      <c r="AN333" s="279"/>
      <c r="AO333" s="279"/>
      <c r="AP333" s="279"/>
      <c r="AQ333" s="279"/>
      <c r="AR333" s="279"/>
      <c r="AS333" s="279"/>
      <c r="AT333" s="279"/>
      <c r="AU333" s="279"/>
      <c r="AV333" s="279"/>
      <c r="AW333" s="279"/>
      <c r="AX333" s="279"/>
      <c r="AY333" s="279"/>
      <c r="AZ333" s="279"/>
      <c r="BA333" s="279"/>
      <c r="BB333" s="279"/>
      <c r="BC333" s="279"/>
      <c r="BD333" s="279"/>
      <c r="BE333" s="279"/>
      <c r="BF333" s="279"/>
      <c r="BG333" s="279"/>
      <c r="BH333" s="279"/>
      <c r="BI333" s="279"/>
      <c r="BJ333" s="279"/>
      <c r="BK333" s="279"/>
      <c r="BL333" s="279"/>
      <c r="BM333" s="279"/>
      <c r="BN333" s="279"/>
      <c r="BO333" s="279"/>
      <c r="BP333" s="279"/>
      <c r="BQ333" s="279"/>
      <c r="BR333" s="279"/>
      <c r="BS333" s="279"/>
      <c r="BT333" s="279"/>
      <c r="BU333" s="279"/>
      <c r="BV333" s="279"/>
      <c r="BW333" s="279"/>
      <c r="BX333" s="279"/>
      <c r="BY333" s="279"/>
      <c r="BZ333" s="279"/>
      <c r="CA333" s="279"/>
      <c r="CB333" s="279"/>
      <c r="CC333" s="279"/>
      <c r="CD333" s="279"/>
      <c r="CE333" s="279"/>
      <c r="CF333" s="279"/>
      <c r="CG333" s="279"/>
      <c r="CH333" s="279"/>
      <c r="CI333" s="279"/>
      <c r="CJ333" s="279"/>
      <c r="CK333" s="279"/>
      <c r="CL333" s="279"/>
      <c r="CM333" s="279"/>
      <c r="CN333" s="382"/>
    </row>
    <row r="334" x14ac:dyDescent="0.25">
      <c r="B334" s="361"/>
      <c r="C334" s="279"/>
      <c r="D334" s="280"/>
      <c r="E334" s="287"/>
      <c r="F334" s="287"/>
      <c r="G334" s="287"/>
      <c r="H334" s="1292">
        <f t="shared" si="15"/>
        <v>16</v>
      </c>
      <c r="I334" s="1295" t="str">
        <f>IF('I. Stream &amp; Compound Data'!BA277&lt;&gt;"",'I. Stream &amp; Compound Data'!BA277-'I. Stream &amp; Compound Data'!F$19,"")</f>
        <v/>
      </c>
      <c r="J334" s="1295" t="str">
        <f>IF('I. Stream &amp; Compound Data'!AR277&lt;&gt;"",'I. Stream &amp; Compound Data'!AR277,IF('I. Stream &amp; Compound Data'!AS277&lt;&gt;"",'I. Stream &amp; Compound Data'!AS277,""))</f>
        <v/>
      </c>
      <c r="K334" s="1190" t="str">
        <f>IF('I. Stream &amp; Compound Data'!AV277&lt;&gt;"",'I. Stream &amp; Compound Data'!AV277,"")</f>
        <v/>
      </c>
      <c r="L334" s="1190" t="str">
        <f>IF(H334&gt;'I. Stream &amp; Compound Data'!$F$18,"",IF('I. Stream &amp; Compound Data'!BB277&lt;&gt;"",'I. Stream &amp; Compound Data'!BB277,0))</f>
        <v/>
      </c>
      <c r="M334" s="1306" t="str">
        <f>IF(H334&gt;'I. Stream &amp; Compound Data'!$F$18,"",IF(I334="","N/A",ROUND(IF(I334&lt;=0,1,IF(AND(I334&gt;0,I334&lt;200),-0.005*I334+1,0)),3)))</f>
        <v/>
      </c>
      <c r="N334" s="1168" t="str">
        <f>IF(H334&gt;'I. Stream &amp; Compound Data'!$F$18,"",IF(M334="N/A",IF(J334="","N/A",IF(OR(J334=12,J334=15,J334=17,J334=18),1,IF(OR(J334=11,J334=30),0.875,IF(J334=10,0.75,0)))),"N/A"))</f>
        <v/>
      </c>
      <c r="O334" s="1242" t="str">
        <f>IF(H334&gt;'I. Stream &amp; Compound Data'!$F$18,"",IF(AND(M334="N/A",N334="N/A"),IF(K334="","N/A",IF(K334=4,1,IF(K334=3,0.833,IF(K334=2,0.667,IF(K334=1,0.5,0))))),"N/A"))</f>
        <v/>
      </c>
      <c r="P334" s="1242" t="str">
        <f>IF(H334&gt;'I. Stream &amp; Compound Data'!$F$18,"",IF(I157="","N/A",IF(M334&lt;&gt;"N/A",M334,IF(N334&lt;&gt;"N/A",N334,IF(O334&lt;&gt;"N/A",O334,"NO DATA AVAILABLE")))))</f>
        <v/>
      </c>
      <c r="Q334" s="1242" t="str">
        <f>IF(H334&gt;'I. Stream &amp; Compound Data'!$F$18,"",IF(P334="N/A",0,L334*10^(4*P334-4)))</f>
        <v/>
      </c>
      <c r="R334" s="1242" t="str">
        <f>IF(H334&gt;'I. Stream &amp; Compound Data'!$F$18,"",MAX(K157:L157))</f>
        <v/>
      </c>
      <c r="S334" s="1242" t="str">
        <f>IF(H334&gt;'I. Stream &amp; Compound Data'!$F$18,"",ROUND(Q334*R334,3))</f>
        <v/>
      </c>
      <c r="T334" s="1268" t="str">
        <f>IF(H334&gt;'I. Stream &amp; Compound Data'!$F$18,"",IF(L334="",0,ROUND(L334*R334,3)))</f>
        <v/>
      </c>
      <c r="U334" s="279"/>
      <c r="V334" s="279"/>
      <c r="W334" s="279"/>
      <c r="X334" s="279"/>
      <c r="Y334" s="279"/>
      <c r="Z334" s="279"/>
      <c r="AA334" s="279"/>
      <c r="AB334" s="279"/>
      <c r="AC334" s="279"/>
      <c r="AD334" s="279"/>
      <c r="AE334" s="279"/>
      <c r="AF334" s="279"/>
      <c r="AG334" s="279"/>
      <c r="AH334" s="279"/>
      <c r="AI334" s="279"/>
      <c r="AJ334" s="279"/>
      <c r="AK334" s="279"/>
      <c r="AL334" s="279"/>
      <c r="AM334" s="279"/>
      <c r="AN334" s="279"/>
      <c r="AO334" s="279"/>
      <c r="AP334" s="279"/>
      <c r="AQ334" s="279"/>
      <c r="AR334" s="279"/>
      <c r="AS334" s="279"/>
      <c r="AT334" s="279"/>
      <c r="AU334" s="279"/>
      <c r="AV334" s="279"/>
      <c r="AW334" s="279"/>
      <c r="AX334" s="279"/>
      <c r="AY334" s="279"/>
      <c r="AZ334" s="279"/>
      <c r="BA334" s="279"/>
      <c r="BB334" s="279"/>
      <c r="BC334" s="279"/>
      <c r="BD334" s="279"/>
      <c r="BE334" s="279"/>
      <c r="BF334" s="279"/>
      <c r="BG334" s="279"/>
      <c r="BH334" s="279"/>
      <c r="BI334" s="279"/>
      <c r="BJ334" s="279"/>
      <c r="BK334" s="279"/>
      <c r="BL334" s="279"/>
      <c r="BM334" s="279"/>
      <c r="BN334" s="279"/>
      <c r="BO334" s="279"/>
      <c r="BP334" s="279"/>
      <c r="BQ334" s="279"/>
      <c r="BR334" s="279"/>
      <c r="BS334" s="279"/>
      <c r="BT334" s="279"/>
      <c r="BU334" s="279"/>
      <c r="BV334" s="279"/>
      <c r="BW334" s="279"/>
      <c r="BX334" s="279"/>
      <c r="BY334" s="279"/>
      <c r="BZ334" s="279"/>
      <c r="CA334" s="279"/>
      <c r="CB334" s="279"/>
      <c r="CC334" s="279"/>
      <c r="CD334" s="279"/>
      <c r="CE334" s="279"/>
      <c r="CF334" s="279"/>
      <c r="CG334" s="279"/>
      <c r="CH334" s="279"/>
      <c r="CI334" s="279"/>
      <c r="CJ334" s="279"/>
      <c r="CK334" s="279"/>
      <c r="CL334" s="279"/>
      <c r="CM334" s="279"/>
      <c r="CN334" s="382"/>
    </row>
    <row r="335" x14ac:dyDescent="0.25">
      <c r="B335" s="361"/>
      <c r="C335" s="279"/>
      <c r="D335" s="280"/>
      <c r="E335" s="287"/>
      <c r="F335" s="287"/>
      <c r="G335" s="287"/>
      <c r="H335" s="1292">
        <f t="shared" si="15"/>
        <v>17</v>
      </c>
      <c r="I335" s="1295" t="str">
        <f>IF('I. Stream &amp; Compound Data'!BA278&lt;&gt;"",'I. Stream &amp; Compound Data'!BA278-'I. Stream &amp; Compound Data'!F$19,"")</f>
        <v/>
      </c>
      <c r="J335" s="1295" t="str">
        <f>IF('I. Stream &amp; Compound Data'!AR278&lt;&gt;"",'I. Stream &amp; Compound Data'!AR278,IF('I. Stream &amp; Compound Data'!AS278&lt;&gt;"",'I. Stream &amp; Compound Data'!AS278,""))</f>
        <v/>
      </c>
      <c r="K335" s="1190" t="str">
        <f>IF('I. Stream &amp; Compound Data'!AV278&lt;&gt;"",'I. Stream &amp; Compound Data'!AV278,"")</f>
        <v/>
      </c>
      <c r="L335" s="1190" t="str">
        <f>IF(H335&gt;'I. Stream &amp; Compound Data'!$F$18,"",IF('I. Stream &amp; Compound Data'!BB278&lt;&gt;"",'I. Stream &amp; Compound Data'!BB278,0))</f>
        <v/>
      </c>
      <c r="M335" s="1306" t="str">
        <f>IF(H335&gt;'I. Stream &amp; Compound Data'!$F$18,"",IF(I335="","N/A",ROUND(IF(I335&lt;=0,1,IF(AND(I335&gt;0,I335&lt;200),-0.005*I335+1,0)),3)))</f>
        <v/>
      </c>
      <c r="N335" s="1168" t="str">
        <f>IF(H335&gt;'I. Stream &amp; Compound Data'!$F$18,"",IF(M335="N/A",IF(J335="","N/A",IF(OR(J335=12,J335=15,J335=17,J335=18),1,IF(OR(J335=11,J335=30),0.875,IF(J335=10,0.75,0)))),"N/A"))</f>
        <v/>
      </c>
      <c r="O335" s="1242" t="str">
        <f>IF(H335&gt;'I. Stream &amp; Compound Data'!$F$18,"",IF(AND(M335="N/A",N335="N/A"),IF(K335="","N/A",IF(K335=4,1,IF(K335=3,0.833,IF(K335=2,0.667,IF(K335=1,0.5,0))))),"N/A"))</f>
        <v/>
      </c>
      <c r="P335" s="1242" t="str">
        <f>IF(H335&gt;'I. Stream &amp; Compound Data'!$F$18,"",IF(I158="","N/A",IF(M335&lt;&gt;"N/A",M335,IF(N335&lt;&gt;"N/A",N335,IF(O335&lt;&gt;"N/A",O335,"NO DATA AVAILABLE")))))</f>
        <v/>
      </c>
      <c r="Q335" s="1242" t="str">
        <f>IF(H335&gt;'I. Stream &amp; Compound Data'!$F$18,"",IF(P335="N/A",0,L335*10^(4*P335-4)))</f>
        <v/>
      </c>
      <c r="R335" s="1242" t="str">
        <f>IF(H335&gt;'I. Stream &amp; Compound Data'!$F$18,"",MAX(K158:L158))</f>
        <v/>
      </c>
      <c r="S335" s="1242" t="str">
        <f>IF(H335&gt;'I. Stream &amp; Compound Data'!$F$18,"",ROUND(Q335*R335,3))</f>
        <v/>
      </c>
      <c r="T335" s="1268" t="str">
        <f>IF(H335&gt;'I. Stream &amp; Compound Data'!$F$18,"",IF(L335="",0,ROUND(L335*R335,3)))</f>
        <v/>
      </c>
      <c r="U335" s="279"/>
      <c r="V335" s="279"/>
      <c r="W335" s="279"/>
      <c r="X335" s="279"/>
      <c r="Y335" s="279"/>
      <c r="Z335" s="279"/>
      <c r="AA335" s="279"/>
      <c r="AB335" s="279"/>
      <c r="AC335" s="279"/>
      <c r="AD335" s="279"/>
      <c r="AE335" s="279"/>
      <c r="AF335" s="279"/>
      <c r="AG335" s="279"/>
      <c r="AH335" s="279"/>
      <c r="AI335" s="279"/>
      <c r="AJ335" s="279"/>
      <c r="AK335" s="279"/>
      <c r="AL335" s="279"/>
      <c r="AM335" s="279"/>
      <c r="AN335" s="279"/>
      <c r="AO335" s="279"/>
      <c r="AP335" s="279"/>
      <c r="AQ335" s="279"/>
      <c r="AR335" s="279"/>
      <c r="AS335" s="279"/>
      <c r="AT335" s="279"/>
      <c r="AU335" s="279"/>
      <c r="AV335" s="279"/>
      <c r="AW335" s="279"/>
      <c r="AX335" s="279"/>
      <c r="AY335" s="279"/>
      <c r="AZ335" s="279"/>
      <c r="BA335" s="279"/>
      <c r="BB335" s="279"/>
      <c r="BC335" s="279"/>
      <c r="BD335" s="279"/>
      <c r="BE335" s="279"/>
      <c r="BF335" s="279"/>
      <c r="BG335" s="279"/>
      <c r="BH335" s="279"/>
      <c r="BI335" s="279"/>
      <c r="BJ335" s="279"/>
      <c r="BK335" s="279"/>
      <c r="BL335" s="279"/>
      <c r="BM335" s="279"/>
      <c r="BN335" s="279"/>
      <c r="BO335" s="279"/>
      <c r="BP335" s="279"/>
      <c r="BQ335" s="279"/>
      <c r="BR335" s="279"/>
      <c r="BS335" s="279"/>
      <c r="BT335" s="279"/>
      <c r="BU335" s="279"/>
      <c r="BV335" s="279"/>
      <c r="BW335" s="279"/>
      <c r="BX335" s="279"/>
      <c r="BY335" s="279"/>
      <c r="BZ335" s="279"/>
      <c r="CA335" s="279"/>
      <c r="CB335" s="279"/>
      <c r="CC335" s="279"/>
      <c r="CD335" s="279"/>
      <c r="CE335" s="279"/>
      <c r="CF335" s="279"/>
      <c r="CG335" s="279"/>
      <c r="CH335" s="279"/>
      <c r="CI335" s="279"/>
      <c r="CJ335" s="279"/>
      <c r="CK335" s="279"/>
      <c r="CL335" s="279"/>
      <c r="CM335" s="279"/>
      <c r="CN335" s="382"/>
    </row>
    <row r="336" x14ac:dyDescent="0.25">
      <c r="B336" s="361"/>
      <c r="C336" s="279"/>
      <c r="D336" s="280"/>
      <c r="E336" s="287"/>
      <c r="F336" s="287"/>
      <c r="G336" s="287"/>
      <c r="H336" s="1292">
        <f t="shared" si="15"/>
        <v>18</v>
      </c>
      <c r="I336" s="1295" t="str">
        <f>IF('I. Stream &amp; Compound Data'!BA279&lt;&gt;"",'I. Stream &amp; Compound Data'!BA279-'I. Stream &amp; Compound Data'!F$19,"")</f>
        <v/>
      </c>
      <c r="J336" s="1295" t="str">
        <f>IF('I. Stream &amp; Compound Data'!AR279&lt;&gt;"",'I. Stream &amp; Compound Data'!AR279,IF('I. Stream &amp; Compound Data'!AS279&lt;&gt;"",'I. Stream &amp; Compound Data'!AS279,""))</f>
        <v/>
      </c>
      <c r="K336" s="1190" t="str">
        <f>IF('I. Stream &amp; Compound Data'!AV279&lt;&gt;"",'I. Stream &amp; Compound Data'!AV279,"")</f>
        <v/>
      </c>
      <c r="L336" s="1190" t="str">
        <f>IF(H336&gt;'I. Stream &amp; Compound Data'!$F$18,"",IF('I. Stream &amp; Compound Data'!BB279&lt;&gt;"",'I. Stream &amp; Compound Data'!BB279,0))</f>
        <v/>
      </c>
      <c r="M336" s="1306" t="str">
        <f>IF(H336&gt;'I. Stream &amp; Compound Data'!$F$18,"",IF(I336="","N/A",ROUND(IF(I336&lt;=0,1,IF(AND(I336&gt;0,I336&lt;200),-0.005*I336+1,0)),3)))</f>
        <v/>
      </c>
      <c r="N336" s="1168" t="str">
        <f>IF(H336&gt;'I. Stream &amp; Compound Data'!$F$18,"",IF(M336="N/A",IF(J336="","N/A",IF(OR(J336=12,J336=15,J336=17,J336=18),1,IF(OR(J336=11,J336=30),0.875,IF(J336=10,0.75,0)))),"N/A"))</f>
        <v/>
      </c>
      <c r="O336" s="1242" t="str">
        <f>IF(H336&gt;'I. Stream &amp; Compound Data'!$F$18,"",IF(AND(M336="N/A",N336="N/A"),IF(K336="","N/A",IF(K336=4,1,IF(K336=3,0.833,IF(K336=2,0.667,IF(K336=1,0.5,0))))),"N/A"))</f>
        <v/>
      </c>
      <c r="P336" s="1242" t="str">
        <f>IF(H336&gt;'I. Stream &amp; Compound Data'!$F$18,"",IF(I159="","N/A",IF(M336&lt;&gt;"N/A",M336,IF(N336&lt;&gt;"N/A",N336,IF(O336&lt;&gt;"N/A",O336,"NO DATA AVAILABLE")))))</f>
        <v/>
      </c>
      <c r="Q336" s="1242" t="str">
        <f>IF(H336&gt;'I. Stream &amp; Compound Data'!$F$18,"",IF(P336="N/A",0,L336*10^(4*P336-4)))</f>
        <v/>
      </c>
      <c r="R336" s="1242" t="str">
        <f>IF(H336&gt;'I. Stream &amp; Compound Data'!$F$18,"",MAX(K159:L159))</f>
        <v/>
      </c>
      <c r="S336" s="1242" t="str">
        <f>IF(H336&gt;'I. Stream &amp; Compound Data'!$F$18,"",ROUND(Q336*R336,3))</f>
        <v/>
      </c>
      <c r="T336" s="1268" t="str">
        <f>IF(H336&gt;'I. Stream &amp; Compound Data'!$F$18,"",IF(L336="",0,ROUND(L336*R336,3)))</f>
        <v/>
      </c>
      <c r="U336" s="279"/>
      <c r="V336" s="279"/>
      <c r="W336" s="279"/>
      <c r="X336" s="279"/>
      <c r="Y336" s="279"/>
      <c r="Z336" s="279"/>
      <c r="AA336" s="279"/>
      <c r="AB336" s="279"/>
      <c r="AC336" s="279"/>
      <c r="AD336" s="279"/>
      <c r="AE336" s="279"/>
      <c r="AF336" s="279"/>
      <c r="AG336" s="279"/>
      <c r="AH336" s="279"/>
      <c r="AI336" s="279"/>
      <c r="AJ336" s="279"/>
      <c r="AK336" s="279"/>
      <c r="AL336" s="279"/>
      <c r="AM336" s="279"/>
      <c r="AN336" s="279"/>
      <c r="AO336" s="279"/>
      <c r="AP336" s="279"/>
      <c r="AQ336" s="279"/>
      <c r="AR336" s="279"/>
      <c r="AS336" s="279"/>
      <c r="AT336" s="279"/>
      <c r="AU336" s="279"/>
      <c r="AV336" s="279"/>
      <c r="AW336" s="279"/>
      <c r="AX336" s="279"/>
      <c r="AY336" s="279"/>
      <c r="AZ336" s="279"/>
      <c r="BA336" s="279"/>
      <c r="BB336" s="279"/>
      <c r="BC336" s="279"/>
      <c r="BD336" s="279"/>
      <c r="BE336" s="279"/>
      <c r="BF336" s="279"/>
      <c r="BG336" s="279"/>
      <c r="BH336" s="279"/>
      <c r="BI336" s="279"/>
      <c r="BJ336" s="279"/>
      <c r="BK336" s="279"/>
      <c r="BL336" s="279"/>
      <c r="BM336" s="279"/>
      <c r="BN336" s="279"/>
      <c r="BO336" s="279"/>
      <c r="BP336" s="279"/>
      <c r="BQ336" s="279"/>
      <c r="BR336" s="279"/>
      <c r="BS336" s="279"/>
      <c r="BT336" s="279"/>
      <c r="BU336" s="279"/>
      <c r="BV336" s="279"/>
      <c r="BW336" s="279"/>
      <c r="BX336" s="279"/>
      <c r="BY336" s="279"/>
      <c r="BZ336" s="279"/>
      <c r="CA336" s="279"/>
      <c r="CB336" s="279"/>
      <c r="CC336" s="279"/>
      <c r="CD336" s="279"/>
      <c r="CE336" s="279"/>
      <c r="CF336" s="279"/>
      <c r="CG336" s="279"/>
      <c r="CH336" s="279"/>
      <c r="CI336" s="279"/>
      <c r="CJ336" s="279"/>
      <c r="CK336" s="279"/>
      <c r="CL336" s="279"/>
      <c r="CM336" s="279"/>
      <c r="CN336" s="382"/>
    </row>
    <row r="337" x14ac:dyDescent="0.25">
      <c r="B337" s="361"/>
      <c r="C337" s="279"/>
      <c r="D337" s="280"/>
      <c r="E337" s="287"/>
      <c r="F337" s="287"/>
      <c r="G337" s="287"/>
      <c r="H337" s="1292">
        <f t="shared" si="15"/>
        <v>19</v>
      </c>
      <c r="I337" s="1295" t="str">
        <f>IF('I. Stream &amp; Compound Data'!BA280&lt;&gt;"",'I. Stream &amp; Compound Data'!BA280-'I. Stream &amp; Compound Data'!F$19,"")</f>
        <v/>
      </c>
      <c r="J337" s="1295" t="str">
        <f>IF('I. Stream &amp; Compound Data'!AR280&lt;&gt;"",'I. Stream &amp; Compound Data'!AR280,IF('I. Stream &amp; Compound Data'!AS280&lt;&gt;"",'I. Stream &amp; Compound Data'!AS280,""))</f>
        <v/>
      </c>
      <c r="K337" s="1190" t="str">
        <f>IF('I. Stream &amp; Compound Data'!AV280&lt;&gt;"",'I. Stream &amp; Compound Data'!AV280,"")</f>
        <v/>
      </c>
      <c r="L337" s="1190" t="str">
        <f>IF(H337&gt;'I. Stream &amp; Compound Data'!$F$18,"",IF('I. Stream &amp; Compound Data'!BB280&lt;&gt;"",'I. Stream &amp; Compound Data'!BB280,0))</f>
        <v/>
      </c>
      <c r="M337" s="1306" t="str">
        <f>IF(H337&gt;'I. Stream &amp; Compound Data'!$F$18,"",IF(I337="","N/A",ROUND(IF(I337&lt;=0,1,IF(AND(I337&gt;0,I337&lt;200),-0.005*I337+1,0)),3)))</f>
        <v/>
      </c>
      <c r="N337" s="1168" t="str">
        <f>IF(H337&gt;'I. Stream &amp; Compound Data'!$F$18,"",IF(M337="N/A",IF(J337="","N/A",IF(OR(J337=12,J337=15,J337=17,J337=18),1,IF(OR(J337=11,J337=30),0.875,IF(J337=10,0.75,0)))),"N/A"))</f>
        <v/>
      </c>
      <c r="O337" s="1242" t="str">
        <f>IF(H337&gt;'I. Stream &amp; Compound Data'!$F$18,"",IF(AND(M337="N/A",N337="N/A"),IF(K337="","N/A",IF(K337=4,1,IF(K337=3,0.833,IF(K337=2,0.667,IF(K337=1,0.5,0))))),"N/A"))</f>
        <v/>
      </c>
      <c r="P337" s="1242" t="str">
        <f>IF(H337&gt;'I. Stream &amp; Compound Data'!$F$18,"",IF(I160="","N/A",IF(M337&lt;&gt;"N/A",M337,IF(N337&lt;&gt;"N/A",N337,IF(O337&lt;&gt;"N/A",O337,"NO DATA AVAILABLE")))))</f>
        <v/>
      </c>
      <c r="Q337" s="1242" t="str">
        <f>IF(H337&gt;'I. Stream &amp; Compound Data'!$F$18,"",IF(P337="N/A",0,L337*10^(4*P337-4)))</f>
        <v/>
      </c>
      <c r="R337" s="1242" t="str">
        <f>IF(H337&gt;'I. Stream &amp; Compound Data'!$F$18,"",MAX(K160:L160))</f>
        <v/>
      </c>
      <c r="S337" s="1242" t="str">
        <f>IF(H337&gt;'I. Stream &amp; Compound Data'!$F$18,"",ROUND(Q337*R337,3))</f>
        <v/>
      </c>
      <c r="T337" s="1268" t="str">
        <f>IF(H337&gt;'I. Stream &amp; Compound Data'!$F$18,"",IF(L337="",0,ROUND(L337*R337,3)))</f>
        <v/>
      </c>
      <c r="U337" s="279"/>
      <c r="V337" s="279"/>
      <c r="W337" s="279"/>
      <c r="X337" s="279"/>
      <c r="Y337" s="279"/>
      <c r="Z337" s="279"/>
      <c r="AA337" s="279"/>
      <c r="AB337" s="279"/>
      <c r="AC337" s="279"/>
      <c r="AD337" s="279"/>
      <c r="AE337" s="279"/>
      <c r="AF337" s="279"/>
      <c r="AG337" s="279"/>
      <c r="AH337" s="279"/>
      <c r="AI337" s="279"/>
      <c r="AJ337" s="279"/>
      <c r="AK337" s="279"/>
      <c r="AL337" s="279"/>
      <c r="AM337" s="279"/>
      <c r="AN337" s="279"/>
      <c r="AO337" s="279"/>
      <c r="AP337" s="279"/>
      <c r="AQ337" s="279"/>
      <c r="AR337" s="279"/>
      <c r="AS337" s="279"/>
      <c r="AT337" s="279"/>
      <c r="AU337" s="279"/>
      <c r="AV337" s="279"/>
      <c r="AW337" s="279"/>
      <c r="AX337" s="279"/>
      <c r="AY337" s="279"/>
      <c r="AZ337" s="279"/>
      <c r="BA337" s="279"/>
      <c r="BB337" s="279"/>
      <c r="BC337" s="279"/>
      <c r="BD337" s="279"/>
      <c r="BE337" s="279"/>
      <c r="BF337" s="279"/>
      <c r="BG337" s="279"/>
      <c r="BH337" s="279"/>
      <c r="BI337" s="279"/>
      <c r="BJ337" s="279"/>
      <c r="BK337" s="279"/>
      <c r="BL337" s="279"/>
      <c r="BM337" s="279"/>
      <c r="BN337" s="279"/>
      <c r="BO337" s="279"/>
      <c r="BP337" s="279"/>
      <c r="BQ337" s="279"/>
      <c r="BR337" s="279"/>
      <c r="BS337" s="279"/>
      <c r="BT337" s="279"/>
      <c r="BU337" s="279"/>
      <c r="BV337" s="279"/>
      <c r="BW337" s="279"/>
      <c r="BX337" s="279"/>
      <c r="BY337" s="279"/>
      <c r="BZ337" s="279"/>
      <c r="CA337" s="279"/>
      <c r="CB337" s="279"/>
      <c r="CC337" s="279"/>
      <c r="CD337" s="279"/>
      <c r="CE337" s="279"/>
      <c r="CF337" s="279"/>
      <c r="CG337" s="279"/>
      <c r="CH337" s="279"/>
      <c r="CI337" s="279"/>
      <c r="CJ337" s="279"/>
      <c r="CK337" s="279"/>
      <c r="CL337" s="279"/>
      <c r="CM337" s="279"/>
      <c r="CN337" s="382"/>
    </row>
    <row r="338" x14ac:dyDescent="0.25">
      <c r="B338" s="361"/>
      <c r="C338" s="279"/>
      <c r="D338" s="280"/>
      <c r="E338" s="287"/>
      <c r="F338" s="287"/>
      <c r="G338" s="287"/>
      <c r="H338" s="1292">
        <f t="shared" si="15"/>
        <v>20</v>
      </c>
      <c r="I338" s="1295" t="str">
        <f>IF('I. Stream &amp; Compound Data'!BA281&lt;&gt;"",'I. Stream &amp; Compound Data'!BA281-'I. Stream &amp; Compound Data'!F$19,"")</f>
        <v/>
      </c>
      <c r="J338" s="1295" t="str">
        <f>IF('I. Stream &amp; Compound Data'!AR281&lt;&gt;"",'I. Stream &amp; Compound Data'!AR281,IF('I. Stream &amp; Compound Data'!AS281&lt;&gt;"",'I. Stream &amp; Compound Data'!AS281,""))</f>
        <v/>
      </c>
      <c r="K338" s="1190" t="str">
        <f>IF('I. Stream &amp; Compound Data'!AV281&lt;&gt;"",'I. Stream &amp; Compound Data'!AV281,"")</f>
        <v/>
      </c>
      <c r="L338" s="1190" t="str">
        <f>IF(H338&gt;'I. Stream &amp; Compound Data'!$F$18,"",IF('I. Stream &amp; Compound Data'!BB281&lt;&gt;"",'I. Stream &amp; Compound Data'!BB281,0))</f>
        <v/>
      </c>
      <c r="M338" s="1306" t="str">
        <f>IF(H338&gt;'I. Stream &amp; Compound Data'!$F$18,"",IF(I338="","N/A",ROUND(IF(I338&lt;=0,1,IF(AND(I338&gt;0,I338&lt;200),-0.005*I338+1,0)),3)))</f>
        <v/>
      </c>
      <c r="N338" s="1168" t="str">
        <f>IF(H338&gt;'I. Stream &amp; Compound Data'!$F$18,"",IF(M338="N/A",IF(J338="","N/A",IF(OR(J338=12,J338=15,J338=17,J338=18),1,IF(OR(J338=11,J338=30),0.875,IF(J338=10,0.75,0)))),"N/A"))</f>
        <v/>
      </c>
      <c r="O338" s="1242" t="str">
        <f>IF(H338&gt;'I. Stream &amp; Compound Data'!$F$18,"",IF(AND(M338="N/A",N338="N/A"),IF(K338="","N/A",IF(K338=4,1,IF(K338=3,0.833,IF(K338=2,0.667,IF(K338=1,0.5,0))))),"N/A"))</f>
        <v/>
      </c>
      <c r="P338" s="1242" t="str">
        <f>IF(H338&gt;'I. Stream &amp; Compound Data'!$F$18,"",IF(I161="","N/A",IF(M338&lt;&gt;"N/A",M338,IF(N338&lt;&gt;"N/A",N338,IF(O338&lt;&gt;"N/A",O338,"NO DATA AVAILABLE")))))</f>
        <v/>
      </c>
      <c r="Q338" s="1242" t="str">
        <f>IF(H338&gt;'I. Stream &amp; Compound Data'!$F$18,"",IF(P338="N/A",0,L338*10^(4*P338-4)))</f>
        <v/>
      </c>
      <c r="R338" s="1242" t="str">
        <f>IF(H338&gt;'I. Stream &amp; Compound Data'!$F$18,"",MAX(K161:L161))</f>
        <v/>
      </c>
      <c r="S338" s="1242" t="str">
        <f>IF(H338&gt;'I. Stream &amp; Compound Data'!$F$18,"",ROUND(Q338*R338,3))</f>
        <v/>
      </c>
      <c r="T338" s="1268" t="str">
        <f>IF(H338&gt;'I. Stream &amp; Compound Data'!$F$18,"",IF(L338="",0,ROUND(L338*R338,3)))</f>
        <v/>
      </c>
      <c r="U338" s="279"/>
      <c r="V338" s="279"/>
      <c r="W338" s="279"/>
      <c r="X338" s="279"/>
      <c r="Y338" s="279"/>
      <c r="Z338" s="279"/>
      <c r="AA338" s="279"/>
      <c r="AB338" s="279"/>
      <c r="AC338" s="279"/>
      <c r="AD338" s="279"/>
      <c r="AE338" s="279"/>
      <c r="AF338" s="279"/>
      <c r="AG338" s="279"/>
      <c r="AH338" s="279"/>
      <c r="AI338" s="279"/>
      <c r="AJ338" s="279"/>
      <c r="AK338" s="279"/>
      <c r="AL338" s="279"/>
      <c r="AM338" s="279"/>
      <c r="AN338" s="279"/>
      <c r="AO338" s="279"/>
      <c r="AP338" s="279"/>
      <c r="AQ338" s="279"/>
      <c r="AR338" s="279"/>
      <c r="AS338" s="279"/>
      <c r="AT338" s="279"/>
      <c r="AU338" s="279"/>
      <c r="AV338" s="279"/>
      <c r="AW338" s="279"/>
      <c r="AX338" s="279"/>
      <c r="AY338" s="279"/>
      <c r="AZ338" s="279"/>
      <c r="BA338" s="279"/>
      <c r="BB338" s="279"/>
      <c r="BC338" s="279"/>
      <c r="BD338" s="279"/>
      <c r="BE338" s="279"/>
      <c r="BF338" s="279"/>
      <c r="BG338" s="279"/>
      <c r="BH338" s="279"/>
      <c r="BI338" s="279"/>
      <c r="BJ338" s="279"/>
      <c r="BK338" s="279"/>
      <c r="BL338" s="279"/>
      <c r="BM338" s="279"/>
      <c r="BN338" s="279"/>
      <c r="BO338" s="279"/>
      <c r="BP338" s="279"/>
      <c r="BQ338" s="279"/>
      <c r="BR338" s="279"/>
      <c r="BS338" s="279"/>
      <c r="BT338" s="279"/>
      <c r="BU338" s="279"/>
      <c r="BV338" s="279"/>
      <c r="BW338" s="279"/>
      <c r="BX338" s="279"/>
      <c r="BY338" s="279"/>
      <c r="BZ338" s="279"/>
      <c r="CA338" s="279"/>
      <c r="CB338" s="279"/>
      <c r="CC338" s="279"/>
      <c r="CD338" s="279"/>
      <c r="CE338" s="279"/>
      <c r="CF338" s="279"/>
      <c r="CG338" s="279"/>
      <c r="CH338" s="279"/>
      <c r="CI338" s="279"/>
      <c r="CJ338" s="279"/>
      <c r="CK338" s="279"/>
      <c r="CL338" s="279"/>
      <c r="CM338" s="279"/>
      <c r="CN338" s="382"/>
    </row>
    <row r="339" ht="20.25" customHeight="true" x14ac:dyDescent="0.25">
      <c r="B339" s="361"/>
      <c r="C339" s="279"/>
      <c r="D339" s="280"/>
      <c r="E339" s="287"/>
      <c r="F339" s="287"/>
      <c r="G339" s="287"/>
      <c r="H339" s="1292">
        <f t="shared" si="15"/>
        <v>21</v>
      </c>
      <c r="I339" s="1295" t="str">
        <f>IF('I. Stream &amp; Compound Data'!BA282&lt;&gt;"",'I. Stream &amp; Compound Data'!BA282-'I. Stream &amp; Compound Data'!F$19,"")</f>
        <v/>
      </c>
      <c r="J339" s="1295" t="str">
        <f>IF('I. Stream &amp; Compound Data'!AR282&lt;&gt;"",'I. Stream &amp; Compound Data'!AR282,IF('I. Stream &amp; Compound Data'!AS282&lt;&gt;"",'I. Stream &amp; Compound Data'!AS282,""))</f>
        <v/>
      </c>
      <c r="K339" s="1190" t="str">
        <f>IF('I. Stream &amp; Compound Data'!AV282&lt;&gt;"",'I. Stream &amp; Compound Data'!AV282,"")</f>
        <v/>
      </c>
      <c r="L339" s="1190" t="str">
        <f>IF(H339&gt;'I. Stream &amp; Compound Data'!$F$18,"",IF('I. Stream &amp; Compound Data'!BB282&lt;&gt;"",'I. Stream &amp; Compound Data'!BB282,0))</f>
        <v/>
      </c>
      <c r="M339" s="1306" t="str">
        <f>IF(H339&gt;'I. Stream &amp; Compound Data'!$F$18,"",IF(I339="","N/A",ROUND(IF(I339&lt;=0,1,IF(AND(I339&gt;0,I339&lt;200),-0.005*I339+1,0)),3)))</f>
        <v/>
      </c>
      <c r="N339" s="1168" t="str">
        <f>IF(H339&gt;'I. Stream &amp; Compound Data'!$F$18,"",IF(M339="N/A",IF(J339="","N/A",IF(OR(J339=12,J339=15,J339=17,J339=18),1,IF(OR(J339=11,J339=30),0.875,IF(J339=10,0.75,0)))),"N/A"))</f>
        <v/>
      </c>
      <c r="O339" s="1242" t="str">
        <f>IF(H339&gt;'I. Stream &amp; Compound Data'!$F$18,"",IF(AND(M339="N/A",N339="N/A"),IF(K339="","N/A",IF(K339=4,1,IF(K339=3,0.833,IF(K339=2,0.667,IF(K339=1,0.5,0))))),"N/A"))</f>
        <v/>
      </c>
      <c r="P339" s="1242" t="str">
        <f>IF(H339&gt;'I. Stream &amp; Compound Data'!$F$18,"",IF(I162="","N/A",IF(M339&lt;&gt;"N/A",M339,IF(N339&lt;&gt;"N/A",N339,IF(O339&lt;&gt;"N/A",O339,"NO DATA AVAILABLE")))))</f>
        <v/>
      </c>
      <c r="Q339" s="1242" t="str">
        <f>IF(H339&gt;'I. Stream &amp; Compound Data'!$F$18,"",IF(P339="N/A",0,L339*10^(4*P339-4)))</f>
        <v/>
      </c>
      <c r="R339" s="1242" t="str">
        <f>IF(H339&gt;'I. Stream &amp; Compound Data'!$F$18,"",MAX(K162:L162))</f>
        <v/>
      </c>
      <c r="S339" s="1242" t="str">
        <f>IF(H339&gt;'I. Stream &amp; Compound Data'!$F$18,"",ROUND(Q339*R339,3))</f>
        <v/>
      </c>
      <c r="T339" s="1268" t="str">
        <f>IF(H339&gt;'I. Stream &amp; Compound Data'!$F$18,"",IF(L339="",0,ROUND(L339*R339,3)))</f>
        <v/>
      </c>
      <c r="U339" s="279"/>
      <c r="V339" s="279"/>
      <c r="W339" s="279"/>
      <c r="X339" s="279"/>
      <c r="Y339" s="279"/>
      <c r="Z339" s="279"/>
      <c r="AA339" s="279"/>
      <c r="AB339" s="279"/>
      <c r="AC339" s="279"/>
      <c r="AD339" s="279"/>
      <c r="AE339" s="279"/>
      <c r="AF339" s="279"/>
      <c r="AG339" s="279"/>
      <c r="AH339" s="279"/>
      <c r="AI339" s="279"/>
      <c r="AJ339" s="279"/>
      <c r="AK339" s="279"/>
      <c r="AL339" s="279"/>
      <c r="AM339" s="279"/>
      <c r="AN339" s="279"/>
      <c r="AO339" s="279"/>
      <c r="AP339" s="279"/>
      <c r="AQ339" s="279"/>
      <c r="AR339" s="279"/>
      <c r="AS339" s="279"/>
      <c r="AT339" s="279"/>
      <c r="AU339" s="279"/>
      <c r="AV339" s="279"/>
      <c r="AW339" s="279"/>
      <c r="AX339" s="279"/>
      <c r="AY339" s="279"/>
      <c r="AZ339" s="279"/>
      <c r="BA339" s="279"/>
      <c r="BB339" s="279"/>
      <c r="BC339" s="279"/>
      <c r="BD339" s="279"/>
      <c r="BE339" s="279"/>
      <c r="BF339" s="279"/>
      <c r="BG339" s="279"/>
      <c r="BH339" s="279"/>
      <c r="BI339" s="279"/>
      <c r="BJ339" s="279"/>
      <c r="BK339" s="279"/>
      <c r="BL339" s="279"/>
      <c r="BM339" s="279"/>
      <c r="BN339" s="279"/>
      <c r="BO339" s="279"/>
      <c r="BP339" s="279"/>
      <c r="BQ339" s="279"/>
      <c r="BR339" s="279"/>
      <c r="BS339" s="279"/>
      <c r="BT339" s="279"/>
      <c r="BU339" s="279"/>
      <c r="BV339" s="279"/>
      <c r="BW339" s="279"/>
      <c r="BX339" s="279"/>
      <c r="BY339" s="279"/>
      <c r="BZ339" s="279"/>
      <c r="CA339" s="279"/>
      <c r="CB339" s="279"/>
      <c r="CC339" s="279"/>
      <c r="CD339" s="279"/>
      <c r="CE339" s="279"/>
      <c r="CF339" s="279"/>
      <c r="CG339" s="279"/>
      <c r="CH339" s="279"/>
      <c r="CI339" s="279"/>
      <c r="CJ339" s="279"/>
      <c r="CK339" s="279"/>
      <c r="CL339" s="279"/>
      <c r="CM339" s="279"/>
      <c r="CN339" s="382"/>
    </row>
    <row r="340" ht="20.25" customHeight="true" x14ac:dyDescent="0.25">
      <c r="B340" s="361"/>
      <c r="C340" s="279"/>
      <c r="D340" s="280"/>
      <c r="E340" s="287"/>
      <c r="F340" s="287"/>
      <c r="G340" s="287"/>
      <c r="H340" s="1292">
        <f t="shared" si="15"/>
        <v>22</v>
      </c>
      <c r="I340" s="1295" t="str">
        <f>IF('I. Stream &amp; Compound Data'!BA283&lt;&gt;"",'I. Stream &amp; Compound Data'!BA283-'I. Stream &amp; Compound Data'!F$19,"")</f>
        <v/>
      </c>
      <c r="J340" s="1295" t="str">
        <f>IF('I. Stream &amp; Compound Data'!AR283&lt;&gt;"",'I. Stream &amp; Compound Data'!AR283,IF('I. Stream &amp; Compound Data'!AS283&lt;&gt;"",'I. Stream &amp; Compound Data'!AS283,""))</f>
        <v/>
      </c>
      <c r="K340" s="1190" t="str">
        <f>IF('I. Stream &amp; Compound Data'!AV283&lt;&gt;"",'I. Stream &amp; Compound Data'!AV283,"")</f>
        <v/>
      </c>
      <c r="L340" s="1190" t="str">
        <f>IF(H340&gt;'I. Stream &amp; Compound Data'!$F$18,"",IF('I. Stream &amp; Compound Data'!BB283&lt;&gt;"",'I. Stream &amp; Compound Data'!BB283,0))</f>
        <v/>
      </c>
      <c r="M340" s="1306" t="str">
        <f>IF(H340&gt;'I. Stream &amp; Compound Data'!$F$18,"",IF(I340="","N/A",ROUND(IF(I340&lt;=0,1,IF(AND(I340&gt;0,I340&lt;200),-0.005*I340+1,0)),3)))</f>
        <v/>
      </c>
      <c r="N340" s="1168" t="str">
        <f>IF(H340&gt;'I. Stream &amp; Compound Data'!$F$18,"",IF(M340="N/A",IF(J340="","N/A",IF(OR(J340=12,J340=15,J340=17,J340=18),1,IF(OR(J340=11,J340=30),0.875,IF(J340=10,0.75,0)))),"N/A"))</f>
        <v/>
      </c>
      <c r="O340" s="1242" t="str">
        <f>IF(H340&gt;'I. Stream &amp; Compound Data'!$F$18,"",IF(AND(M340="N/A",N340="N/A"),IF(K340="","N/A",IF(K340=4,1,IF(K340=3,0.833,IF(K340=2,0.667,IF(K340=1,0.5,0))))),"N/A"))</f>
        <v/>
      </c>
      <c r="P340" s="1242" t="str">
        <f>IF(H340&gt;'I. Stream &amp; Compound Data'!$F$18,"",IF(I163="","N/A",IF(M340&lt;&gt;"N/A",M340,IF(N340&lt;&gt;"N/A",N340,IF(O340&lt;&gt;"N/A",O340,"NO DATA AVAILABLE")))))</f>
        <v/>
      </c>
      <c r="Q340" s="1242" t="str">
        <f>IF(H340&gt;'I. Stream &amp; Compound Data'!$F$18,"",IF(P340="N/A",0,L340*10^(4*P340-4)))</f>
        <v/>
      </c>
      <c r="R340" s="1242" t="str">
        <f>IF(H340&gt;'I. Stream &amp; Compound Data'!$F$18,"",MAX(K163:L163))</f>
        <v/>
      </c>
      <c r="S340" s="1242" t="str">
        <f>IF(H340&gt;'I. Stream &amp; Compound Data'!$F$18,"",ROUND(Q340*R340,3))</f>
        <v/>
      </c>
      <c r="T340" s="1268" t="str">
        <f>IF(H340&gt;'I. Stream &amp; Compound Data'!$F$18,"",IF(L340="",0,ROUND(L340*R340,3)))</f>
        <v/>
      </c>
      <c r="U340" s="279"/>
      <c r="V340" s="279"/>
      <c r="W340" s="279"/>
      <c r="X340" s="279"/>
      <c r="Y340" s="279"/>
      <c r="Z340" s="279"/>
      <c r="AA340" s="279"/>
      <c r="AB340" s="279"/>
      <c r="AC340" s="279"/>
      <c r="AD340" s="279"/>
      <c r="AE340" s="279"/>
      <c r="AF340" s="279"/>
      <c r="AG340" s="279"/>
      <c r="AH340" s="279"/>
      <c r="AI340" s="279"/>
      <c r="AJ340" s="279"/>
      <c r="AK340" s="279"/>
      <c r="AL340" s="279"/>
      <c r="AM340" s="279"/>
      <c r="AN340" s="279"/>
      <c r="AO340" s="279"/>
      <c r="AP340" s="279"/>
      <c r="AQ340" s="279"/>
      <c r="AR340" s="279"/>
      <c r="AS340" s="279"/>
      <c r="AT340" s="279"/>
      <c r="AU340" s="279"/>
      <c r="AV340" s="279"/>
      <c r="AW340" s="279"/>
      <c r="AX340" s="279"/>
      <c r="AY340" s="279"/>
      <c r="AZ340" s="279"/>
      <c r="BA340" s="279"/>
      <c r="BB340" s="279"/>
      <c r="BC340" s="279"/>
      <c r="BD340" s="279"/>
      <c r="BE340" s="279"/>
      <c r="BF340" s="279"/>
      <c r="BG340" s="279"/>
      <c r="BH340" s="279"/>
      <c r="BI340" s="279"/>
      <c r="BJ340" s="279"/>
      <c r="BK340" s="279"/>
      <c r="BL340" s="279"/>
      <c r="BM340" s="279"/>
      <c r="BN340" s="279"/>
      <c r="BO340" s="279"/>
      <c r="BP340" s="279"/>
      <c r="BQ340" s="279"/>
      <c r="BR340" s="279"/>
      <c r="BS340" s="279"/>
      <c r="BT340" s="279"/>
      <c r="BU340" s="279"/>
      <c r="BV340" s="279"/>
      <c r="BW340" s="279"/>
      <c r="BX340" s="279"/>
      <c r="BY340" s="279"/>
      <c r="BZ340" s="279"/>
      <c r="CA340" s="279"/>
      <c r="CB340" s="279"/>
      <c r="CC340" s="279"/>
      <c r="CD340" s="279"/>
      <c r="CE340" s="279"/>
      <c r="CF340" s="279"/>
      <c r="CG340" s="279"/>
      <c r="CH340" s="279"/>
      <c r="CI340" s="279"/>
      <c r="CJ340" s="279"/>
      <c r="CK340" s="279"/>
      <c r="CL340" s="279"/>
      <c r="CM340" s="279"/>
      <c r="CN340" s="382"/>
    </row>
    <row r="341" ht="20.25" customHeight="true" x14ac:dyDescent="0.25">
      <c r="B341" s="361"/>
      <c r="C341" s="279"/>
      <c r="D341" s="280"/>
      <c r="E341" s="287"/>
      <c r="F341" s="287"/>
      <c r="G341" s="287"/>
      <c r="H341" s="1292">
        <f t="shared" si="15"/>
        <v>23</v>
      </c>
      <c r="I341" s="1295" t="str">
        <f>IF('I. Stream &amp; Compound Data'!BA284&lt;&gt;"",'I. Stream &amp; Compound Data'!BA284-'I. Stream &amp; Compound Data'!F$19,"")</f>
        <v/>
      </c>
      <c r="J341" s="1295" t="str">
        <f>IF('I. Stream &amp; Compound Data'!AR284&lt;&gt;"",'I. Stream &amp; Compound Data'!AR284,IF('I. Stream &amp; Compound Data'!AS284&lt;&gt;"",'I. Stream &amp; Compound Data'!AS284,""))</f>
        <v/>
      </c>
      <c r="K341" s="1190" t="str">
        <f>IF('I. Stream &amp; Compound Data'!AV284&lt;&gt;"",'I. Stream &amp; Compound Data'!AV284,"")</f>
        <v/>
      </c>
      <c r="L341" s="1190" t="str">
        <f>IF(H341&gt;'I. Stream &amp; Compound Data'!$F$18,"",IF('I. Stream &amp; Compound Data'!BB284&lt;&gt;"",'I. Stream &amp; Compound Data'!BB284,0))</f>
        <v/>
      </c>
      <c r="M341" s="1306" t="str">
        <f>IF(H341&gt;'I. Stream &amp; Compound Data'!$F$18,"",IF(I341="","N/A",ROUND(IF(I341&lt;=0,1,IF(AND(I341&gt;0,I341&lt;200),-0.005*I341+1,0)),3)))</f>
        <v/>
      </c>
      <c r="N341" s="1168" t="str">
        <f>IF(H341&gt;'I. Stream &amp; Compound Data'!$F$18,"",IF(M341="N/A",IF(J341="","N/A",IF(OR(J341=12,J341=15,J341=17,J341=18),1,IF(OR(J341=11,J341=30),0.875,IF(J341=10,0.75,0)))),"N/A"))</f>
        <v/>
      </c>
      <c r="O341" s="1242" t="str">
        <f>IF(H341&gt;'I. Stream &amp; Compound Data'!$F$18,"",IF(AND(M341="N/A",N341="N/A"),IF(K341="","N/A",IF(K341=4,1,IF(K341=3,0.833,IF(K341=2,0.667,IF(K341=1,0.5,0))))),"N/A"))</f>
        <v/>
      </c>
      <c r="P341" s="1242" t="str">
        <f>IF(H341&gt;'I. Stream &amp; Compound Data'!$F$18,"",IF(I164="","N/A",IF(M341&lt;&gt;"N/A",M341,IF(N341&lt;&gt;"N/A",N341,IF(O341&lt;&gt;"N/A",O341,"NO DATA AVAILABLE")))))</f>
        <v/>
      </c>
      <c r="Q341" s="1242" t="str">
        <f>IF(H341&gt;'I. Stream &amp; Compound Data'!$F$18,"",IF(P341="N/A",0,L341*10^(4*P341-4)))</f>
        <v/>
      </c>
      <c r="R341" s="1242" t="str">
        <f>IF(H341&gt;'I. Stream &amp; Compound Data'!$F$18,"",MAX(K164:L164))</f>
        <v/>
      </c>
      <c r="S341" s="1242" t="str">
        <f>IF(H341&gt;'I. Stream &amp; Compound Data'!$F$18,"",ROUND(Q341*R341,3))</f>
        <v/>
      </c>
      <c r="T341" s="1268" t="str">
        <f>IF(H341&gt;'I. Stream &amp; Compound Data'!$F$18,"",IF(L341="",0,ROUND(L341*R341,3)))</f>
        <v/>
      </c>
      <c r="U341" s="279"/>
      <c r="V341" s="279"/>
      <c r="W341" s="279"/>
      <c r="X341" s="279"/>
      <c r="Y341" s="279"/>
      <c r="Z341" s="279"/>
      <c r="AA341" s="279"/>
      <c r="AB341" s="279"/>
      <c r="AC341" s="279"/>
      <c r="AD341" s="279"/>
      <c r="AE341" s="279"/>
      <c r="AF341" s="279"/>
      <c r="AG341" s="279"/>
      <c r="AH341" s="279"/>
      <c r="AI341" s="279"/>
      <c r="AJ341" s="279"/>
      <c r="AK341" s="279"/>
      <c r="AL341" s="279"/>
      <c r="AM341" s="279"/>
      <c r="AN341" s="279"/>
      <c r="AO341" s="279"/>
      <c r="AP341" s="279"/>
      <c r="AQ341" s="279"/>
      <c r="AR341" s="279"/>
      <c r="AS341" s="279"/>
      <c r="AT341" s="279"/>
      <c r="AU341" s="279"/>
      <c r="AV341" s="279"/>
      <c r="AW341" s="279"/>
      <c r="AX341" s="279"/>
      <c r="AY341" s="279"/>
      <c r="AZ341" s="279"/>
      <c r="BA341" s="279"/>
      <c r="BB341" s="279"/>
      <c r="BC341" s="279"/>
      <c r="BD341" s="279"/>
      <c r="BE341" s="279"/>
      <c r="BF341" s="279"/>
      <c r="BG341" s="279"/>
      <c r="BH341" s="279"/>
      <c r="BI341" s="279"/>
      <c r="BJ341" s="279"/>
      <c r="BK341" s="279"/>
      <c r="BL341" s="279"/>
      <c r="BM341" s="279"/>
      <c r="BN341" s="279"/>
      <c r="BO341" s="279"/>
      <c r="BP341" s="279"/>
      <c r="BQ341" s="279"/>
      <c r="BR341" s="279"/>
      <c r="BS341" s="279"/>
      <c r="BT341" s="279"/>
      <c r="BU341" s="279"/>
      <c r="BV341" s="279"/>
      <c r="BW341" s="279"/>
      <c r="BX341" s="279"/>
      <c r="BY341" s="279"/>
      <c r="BZ341" s="279"/>
      <c r="CA341" s="279"/>
      <c r="CB341" s="279"/>
      <c r="CC341" s="279"/>
      <c r="CD341" s="279"/>
      <c r="CE341" s="279"/>
      <c r="CF341" s="279"/>
      <c r="CG341" s="279"/>
      <c r="CH341" s="279"/>
      <c r="CI341" s="279"/>
      <c r="CJ341" s="279"/>
      <c r="CK341" s="279"/>
      <c r="CL341" s="279"/>
      <c r="CM341" s="279"/>
      <c r="CN341" s="382"/>
    </row>
    <row r="342" ht="20.25" customHeight="true" x14ac:dyDescent="0.25">
      <c r="B342" s="361"/>
      <c r="C342" s="279"/>
      <c r="D342" s="280"/>
      <c r="E342" s="287"/>
      <c r="F342" s="287"/>
      <c r="G342" s="287"/>
      <c r="H342" s="1292">
        <f t="shared" si="15"/>
        <v>24</v>
      </c>
      <c r="I342" s="1295" t="str">
        <f>IF('I. Stream &amp; Compound Data'!BA285&lt;&gt;"",'I. Stream &amp; Compound Data'!BA285-'I. Stream &amp; Compound Data'!F$19,"")</f>
        <v/>
      </c>
      <c r="J342" s="1295" t="str">
        <f>IF('I. Stream &amp; Compound Data'!AR285&lt;&gt;"",'I. Stream &amp; Compound Data'!AR285,IF('I. Stream &amp; Compound Data'!AS285&lt;&gt;"",'I. Stream &amp; Compound Data'!AS285,""))</f>
        <v/>
      </c>
      <c r="K342" s="1190" t="str">
        <f>IF('I. Stream &amp; Compound Data'!AV285&lt;&gt;"",'I. Stream &amp; Compound Data'!AV285,"")</f>
        <v/>
      </c>
      <c r="L342" s="1190" t="str">
        <f>IF(H342&gt;'I. Stream &amp; Compound Data'!$F$18,"",IF('I. Stream &amp; Compound Data'!BB285&lt;&gt;"",'I. Stream &amp; Compound Data'!BB285,0))</f>
        <v/>
      </c>
      <c r="M342" s="1306" t="str">
        <f>IF(H342&gt;'I. Stream &amp; Compound Data'!$F$18,"",IF(I342="","N/A",ROUND(IF(I342&lt;=0,1,IF(AND(I342&gt;0,I342&lt;200),-0.005*I342+1,0)),3)))</f>
        <v/>
      </c>
      <c r="N342" s="1168" t="str">
        <f>IF(H342&gt;'I. Stream &amp; Compound Data'!$F$18,"",IF(M342="N/A",IF(J342="","N/A",IF(OR(J342=12,J342=15,J342=17,J342=18),1,IF(OR(J342=11,J342=30),0.875,IF(J342=10,0.75,0)))),"N/A"))</f>
        <v/>
      </c>
      <c r="O342" s="1242" t="str">
        <f>IF(H342&gt;'I. Stream &amp; Compound Data'!$F$18,"",IF(AND(M342="N/A",N342="N/A"),IF(K342="","N/A",IF(K342=4,1,IF(K342=3,0.833,IF(K342=2,0.667,IF(K342=1,0.5,0))))),"N/A"))</f>
        <v/>
      </c>
      <c r="P342" s="1242" t="str">
        <f>IF(H342&gt;'I. Stream &amp; Compound Data'!$F$18,"",IF(I165="","N/A",IF(M342&lt;&gt;"N/A",M342,IF(N342&lt;&gt;"N/A",N342,IF(O342&lt;&gt;"N/A",O342,"NO DATA AVAILABLE")))))</f>
        <v/>
      </c>
      <c r="Q342" s="1242" t="str">
        <f>IF(H342&gt;'I. Stream &amp; Compound Data'!$F$18,"",IF(P342="N/A",0,L342*10^(4*P342-4)))</f>
        <v/>
      </c>
      <c r="R342" s="1242" t="str">
        <f>IF(H342&gt;'I. Stream &amp; Compound Data'!$F$18,"",MAX(K165:L165))</f>
        <v/>
      </c>
      <c r="S342" s="1242" t="str">
        <f>IF(H342&gt;'I. Stream &amp; Compound Data'!$F$18,"",ROUND(Q342*R342,3))</f>
        <v/>
      </c>
      <c r="T342" s="1268" t="str">
        <f>IF(H342&gt;'I. Stream &amp; Compound Data'!$F$18,"",IF(L342="",0,ROUND(L342*R342,3)))</f>
        <v/>
      </c>
      <c r="U342" s="279"/>
      <c r="V342" s="279"/>
      <c r="W342" s="279"/>
      <c r="X342" s="279"/>
      <c r="Y342" s="279"/>
      <c r="Z342" s="279"/>
      <c r="AA342" s="279"/>
      <c r="AB342" s="279"/>
      <c r="AC342" s="279"/>
      <c r="AD342" s="279"/>
      <c r="AE342" s="279"/>
      <c r="AF342" s="279"/>
      <c r="AG342" s="279"/>
      <c r="AH342" s="279"/>
      <c r="AI342" s="279"/>
      <c r="AJ342" s="279"/>
      <c r="AK342" s="279"/>
      <c r="AL342" s="279"/>
      <c r="AM342" s="279"/>
      <c r="AN342" s="279"/>
      <c r="AO342" s="279"/>
      <c r="AP342" s="279"/>
      <c r="AQ342" s="279"/>
      <c r="AR342" s="279"/>
      <c r="AS342" s="279"/>
      <c r="AT342" s="279"/>
      <c r="AU342" s="279"/>
      <c r="AV342" s="279"/>
      <c r="AW342" s="279"/>
      <c r="AX342" s="279"/>
      <c r="AY342" s="279"/>
      <c r="AZ342" s="279"/>
      <c r="BA342" s="279"/>
      <c r="BB342" s="279"/>
      <c r="BC342" s="279"/>
      <c r="BD342" s="279"/>
      <c r="BE342" s="279"/>
      <c r="BF342" s="279"/>
      <c r="BG342" s="279"/>
      <c r="BH342" s="279"/>
      <c r="BI342" s="279"/>
      <c r="BJ342" s="279"/>
      <c r="BK342" s="279"/>
      <c r="BL342" s="279"/>
      <c r="BM342" s="279"/>
      <c r="BN342" s="279"/>
      <c r="BO342" s="279"/>
      <c r="BP342" s="279"/>
      <c r="BQ342" s="279"/>
      <c r="BR342" s="279"/>
      <c r="BS342" s="279"/>
      <c r="BT342" s="279"/>
      <c r="BU342" s="279"/>
      <c r="BV342" s="279"/>
      <c r="BW342" s="279"/>
      <c r="BX342" s="279"/>
      <c r="BY342" s="279"/>
      <c r="BZ342" s="279"/>
      <c r="CA342" s="279"/>
      <c r="CB342" s="279"/>
      <c r="CC342" s="279"/>
      <c r="CD342" s="279"/>
      <c r="CE342" s="279"/>
      <c r="CF342" s="279"/>
      <c r="CG342" s="279"/>
      <c r="CH342" s="279"/>
      <c r="CI342" s="279"/>
      <c r="CJ342" s="279"/>
      <c r="CK342" s="279"/>
      <c r="CL342" s="279"/>
      <c r="CM342" s="279"/>
      <c r="CN342" s="382"/>
    </row>
    <row r="343" ht="20.25" customHeight="true" x14ac:dyDescent="0.25">
      <c r="B343" s="361"/>
      <c r="C343" s="279"/>
      <c r="D343" s="280"/>
      <c r="E343" s="287"/>
      <c r="F343" s="287"/>
      <c r="G343" s="287"/>
      <c r="H343" s="1292">
        <f t="shared" si="15"/>
        <v>25</v>
      </c>
      <c r="I343" s="1295" t="str">
        <f>IF('I. Stream &amp; Compound Data'!BA286&lt;&gt;"",'I. Stream &amp; Compound Data'!BA286-'I. Stream &amp; Compound Data'!F$19,"")</f>
        <v/>
      </c>
      <c r="J343" s="1295" t="str">
        <f>IF('I. Stream &amp; Compound Data'!AR286&lt;&gt;"",'I. Stream &amp; Compound Data'!AR286,IF('I. Stream &amp; Compound Data'!AS286&lt;&gt;"",'I. Stream &amp; Compound Data'!AS286,""))</f>
        <v/>
      </c>
      <c r="K343" s="1190" t="str">
        <f>IF('I. Stream &amp; Compound Data'!AV286&lt;&gt;"",'I. Stream &amp; Compound Data'!AV286,"")</f>
        <v/>
      </c>
      <c r="L343" s="1190" t="str">
        <f>IF(H343&gt;'I. Stream &amp; Compound Data'!$F$18,"",IF('I. Stream &amp; Compound Data'!BB286&lt;&gt;"",'I. Stream &amp; Compound Data'!BB286,0))</f>
        <v/>
      </c>
      <c r="M343" s="1306" t="str">
        <f>IF(H343&gt;'I. Stream &amp; Compound Data'!$F$18,"",IF(I343="","N/A",ROUND(IF(I343&lt;=0,1,IF(AND(I343&gt;0,I343&lt;200),-0.005*I343+1,0)),3)))</f>
        <v/>
      </c>
      <c r="N343" s="1168" t="str">
        <f>IF(H343&gt;'I. Stream &amp; Compound Data'!$F$18,"",IF(M343="N/A",IF(J343="","N/A",IF(OR(J343=12,J343=15,J343=17,J343=18),1,IF(OR(J343=11,J343=30),0.875,IF(J343=10,0.75,0)))),"N/A"))</f>
        <v/>
      </c>
      <c r="O343" s="1242" t="str">
        <f>IF(H343&gt;'I. Stream &amp; Compound Data'!$F$18,"",IF(AND(M343="N/A",N343="N/A"),IF(K343="","N/A",IF(K343=4,1,IF(K343=3,0.833,IF(K343=2,0.667,IF(K343=1,0.5,0))))),"N/A"))</f>
        <v/>
      </c>
      <c r="P343" s="1242" t="str">
        <f>IF(H343&gt;'I. Stream &amp; Compound Data'!$F$18,"",IF(I166="","N/A",IF(M343&lt;&gt;"N/A",M343,IF(N343&lt;&gt;"N/A",N343,IF(O343&lt;&gt;"N/A",O343,"NO DATA AVAILABLE")))))</f>
        <v/>
      </c>
      <c r="Q343" s="1242" t="str">
        <f>IF(H343&gt;'I. Stream &amp; Compound Data'!$F$18,"",IF(P343="N/A",0,L343*10^(4*P343-4)))</f>
        <v/>
      </c>
      <c r="R343" s="1242" t="str">
        <f>IF(H343&gt;'I. Stream &amp; Compound Data'!$F$18,"",MAX(K166:L166))</f>
        <v/>
      </c>
      <c r="S343" s="1242" t="str">
        <f>IF(H343&gt;'I. Stream &amp; Compound Data'!$F$18,"",ROUND(Q343*R343,3))</f>
        <v/>
      </c>
      <c r="T343" s="1268" t="str">
        <f>IF(H343&gt;'I. Stream &amp; Compound Data'!$F$18,"",IF(L343="",0,ROUND(L343*R343,3)))</f>
        <v/>
      </c>
      <c r="U343" s="279"/>
      <c r="V343" s="279"/>
      <c r="W343" s="279"/>
      <c r="X343" s="279"/>
      <c r="Y343" s="279"/>
      <c r="Z343" s="279"/>
      <c r="AA343" s="279"/>
      <c r="AB343" s="279"/>
      <c r="AC343" s="279"/>
      <c r="AD343" s="279"/>
      <c r="AE343" s="279"/>
      <c r="AF343" s="279"/>
      <c r="AG343" s="279"/>
      <c r="AH343" s="279"/>
      <c r="AI343" s="279"/>
      <c r="AJ343" s="279"/>
      <c r="AK343" s="279"/>
      <c r="AL343" s="279"/>
      <c r="AM343" s="279"/>
      <c r="AN343" s="279"/>
      <c r="AO343" s="279"/>
      <c r="AP343" s="279"/>
      <c r="AQ343" s="279"/>
      <c r="AR343" s="279"/>
      <c r="AS343" s="279"/>
      <c r="AT343" s="279"/>
      <c r="AU343" s="279"/>
      <c r="AV343" s="279"/>
      <c r="AW343" s="279"/>
      <c r="AX343" s="279"/>
      <c r="AY343" s="279"/>
      <c r="AZ343" s="279"/>
      <c r="BA343" s="279"/>
      <c r="BB343" s="279"/>
      <c r="BC343" s="279"/>
      <c r="BD343" s="279"/>
      <c r="BE343" s="279"/>
      <c r="BF343" s="279"/>
      <c r="BG343" s="279"/>
      <c r="BH343" s="279"/>
      <c r="BI343" s="279"/>
      <c r="BJ343" s="279"/>
      <c r="BK343" s="279"/>
      <c r="BL343" s="279"/>
      <c r="BM343" s="279"/>
      <c r="BN343" s="279"/>
      <c r="BO343" s="279"/>
      <c r="BP343" s="279"/>
      <c r="BQ343" s="279"/>
      <c r="BR343" s="279"/>
      <c r="BS343" s="279"/>
      <c r="BT343" s="279"/>
      <c r="BU343" s="279"/>
      <c r="BV343" s="279"/>
      <c r="BW343" s="279"/>
      <c r="BX343" s="279"/>
      <c r="BY343" s="279"/>
      <c r="BZ343" s="279"/>
      <c r="CA343" s="279"/>
      <c r="CB343" s="279"/>
      <c r="CC343" s="279"/>
      <c r="CD343" s="279"/>
      <c r="CE343" s="279"/>
      <c r="CF343" s="279"/>
      <c r="CG343" s="279"/>
      <c r="CH343" s="279"/>
      <c r="CI343" s="279"/>
      <c r="CJ343" s="279"/>
      <c r="CK343" s="279"/>
      <c r="CL343" s="279"/>
      <c r="CM343" s="279"/>
      <c r="CN343" s="382"/>
    </row>
    <row r="344" ht="20.25" customHeight="true" x14ac:dyDescent="0.25">
      <c r="B344" s="361"/>
      <c r="C344" s="279"/>
      <c r="D344" s="280"/>
      <c r="E344" s="287"/>
      <c r="F344" s="287"/>
      <c r="G344" s="287"/>
      <c r="H344" s="1292">
        <f t="shared" si="15"/>
        <v>26</v>
      </c>
      <c r="I344" s="1295" t="str">
        <f>IF('I. Stream &amp; Compound Data'!BA287&lt;&gt;"",'I. Stream &amp; Compound Data'!BA287-'I. Stream &amp; Compound Data'!F$19,"")</f>
        <v/>
      </c>
      <c r="J344" s="1295" t="str">
        <f>IF('I. Stream &amp; Compound Data'!AR287&lt;&gt;"",'I. Stream &amp; Compound Data'!AR287,IF('I. Stream &amp; Compound Data'!AS287&lt;&gt;"",'I. Stream &amp; Compound Data'!AS287,""))</f>
        <v/>
      </c>
      <c r="K344" s="1190" t="str">
        <f>IF('I. Stream &amp; Compound Data'!AV287&lt;&gt;"",'I. Stream &amp; Compound Data'!AV287,"")</f>
        <v/>
      </c>
      <c r="L344" s="1190" t="str">
        <f>IF(H344&gt;'I. Stream &amp; Compound Data'!$F$18,"",IF('I. Stream &amp; Compound Data'!BB287&lt;&gt;"",'I. Stream &amp; Compound Data'!BB287,0))</f>
        <v/>
      </c>
      <c r="M344" s="1306" t="str">
        <f>IF(H344&gt;'I. Stream &amp; Compound Data'!$F$18,"",IF(I344="","N/A",ROUND(IF(I344&lt;=0,1,IF(AND(I344&gt;0,I344&lt;200),-0.005*I344+1,0)),3)))</f>
        <v/>
      </c>
      <c r="N344" s="1168" t="str">
        <f>IF(H344&gt;'I. Stream &amp; Compound Data'!$F$18,"",IF(M344="N/A",IF(J344="","N/A",IF(OR(J344=12,J344=15,J344=17,J344=18),1,IF(OR(J344=11,J344=30),0.875,IF(J344=10,0.75,0)))),"N/A"))</f>
        <v/>
      </c>
      <c r="O344" s="1242" t="str">
        <f>IF(H344&gt;'I. Stream &amp; Compound Data'!$F$18,"",IF(AND(M344="N/A",N344="N/A"),IF(K344="","N/A",IF(K344=4,1,IF(K344=3,0.833,IF(K344=2,0.667,IF(K344=1,0.5,0))))),"N/A"))</f>
        <v/>
      </c>
      <c r="P344" s="1242" t="str">
        <f>IF(H344&gt;'I. Stream &amp; Compound Data'!$F$18,"",IF(I167="","N/A",IF(M344&lt;&gt;"N/A",M344,IF(N344&lt;&gt;"N/A",N344,IF(O344&lt;&gt;"N/A",O344,"NO DATA AVAILABLE")))))</f>
        <v/>
      </c>
      <c r="Q344" s="1242" t="str">
        <f>IF(H344&gt;'I. Stream &amp; Compound Data'!$F$18,"",IF(P344="N/A",0,L344*10^(4*P344-4)))</f>
        <v/>
      </c>
      <c r="R344" s="1242" t="str">
        <f>IF(H344&gt;'I. Stream &amp; Compound Data'!$F$18,"",MAX(K167:L167))</f>
        <v/>
      </c>
      <c r="S344" s="1242" t="str">
        <f>IF(H344&gt;'I. Stream &amp; Compound Data'!$F$18,"",ROUND(Q344*R344,3))</f>
        <v/>
      </c>
      <c r="T344" s="1268" t="str">
        <f>IF(H344&gt;'I. Stream &amp; Compound Data'!$F$18,"",IF(L344="",0,ROUND(L344*R344,3)))</f>
        <v/>
      </c>
      <c r="U344" s="279"/>
      <c r="V344" s="279"/>
      <c r="W344" s="279"/>
      <c r="X344" s="279"/>
      <c r="Y344" s="279"/>
      <c r="Z344" s="279"/>
      <c r="AA344" s="279"/>
      <c r="AB344" s="279"/>
      <c r="AC344" s="279"/>
      <c r="AD344" s="279"/>
      <c r="AE344" s="279"/>
      <c r="AF344" s="279"/>
      <c r="AG344" s="279"/>
      <c r="AH344" s="279"/>
      <c r="AI344" s="279"/>
      <c r="AJ344" s="279"/>
      <c r="AK344" s="279"/>
      <c r="AL344" s="279"/>
      <c r="AM344" s="279"/>
      <c r="AN344" s="279"/>
      <c r="AO344" s="279"/>
      <c r="AP344" s="279"/>
      <c r="AQ344" s="279"/>
      <c r="AR344" s="279"/>
      <c r="AS344" s="279"/>
      <c r="AT344" s="279"/>
      <c r="AU344" s="279"/>
      <c r="AV344" s="279"/>
      <c r="AW344" s="279"/>
      <c r="AX344" s="279"/>
      <c r="AY344" s="279"/>
      <c r="AZ344" s="279"/>
      <c r="BA344" s="279"/>
      <c r="BB344" s="279"/>
      <c r="BC344" s="279"/>
      <c r="BD344" s="279"/>
      <c r="BE344" s="279"/>
      <c r="BF344" s="279"/>
      <c r="BG344" s="279"/>
      <c r="BH344" s="279"/>
      <c r="BI344" s="279"/>
      <c r="BJ344" s="279"/>
      <c r="BK344" s="279"/>
      <c r="BL344" s="279"/>
      <c r="BM344" s="279"/>
      <c r="BN344" s="279"/>
      <c r="BO344" s="279"/>
      <c r="BP344" s="279"/>
      <c r="BQ344" s="279"/>
      <c r="BR344" s="279"/>
      <c r="BS344" s="279"/>
      <c r="BT344" s="279"/>
      <c r="BU344" s="279"/>
      <c r="BV344" s="279"/>
      <c r="BW344" s="279"/>
      <c r="BX344" s="279"/>
      <c r="BY344" s="279"/>
      <c r="BZ344" s="279"/>
      <c r="CA344" s="279"/>
      <c r="CB344" s="279"/>
      <c r="CC344" s="279"/>
      <c r="CD344" s="279"/>
      <c r="CE344" s="279"/>
      <c r="CF344" s="279"/>
      <c r="CG344" s="279"/>
      <c r="CH344" s="279"/>
      <c r="CI344" s="279"/>
      <c r="CJ344" s="279"/>
      <c r="CK344" s="279"/>
      <c r="CL344" s="279"/>
      <c r="CM344" s="279"/>
      <c r="CN344" s="382"/>
    </row>
    <row r="345" ht="20.25" customHeight="true" x14ac:dyDescent="0.25">
      <c r="B345" s="361"/>
      <c r="C345" s="279"/>
      <c r="D345" s="280"/>
      <c r="E345" s="287"/>
      <c r="F345" s="287"/>
      <c r="G345" s="287"/>
      <c r="H345" s="1292">
        <f t="shared" si="15"/>
        <v>27</v>
      </c>
      <c r="I345" s="1295" t="str">
        <f>IF('I. Stream &amp; Compound Data'!BA288&lt;&gt;"",'I. Stream &amp; Compound Data'!BA288-'I. Stream &amp; Compound Data'!F$19,"")</f>
        <v/>
      </c>
      <c r="J345" s="1295" t="str">
        <f>IF('I. Stream &amp; Compound Data'!AR288&lt;&gt;"",'I. Stream &amp; Compound Data'!AR288,IF('I. Stream &amp; Compound Data'!AS288&lt;&gt;"",'I. Stream &amp; Compound Data'!AS288,""))</f>
        <v/>
      </c>
      <c r="K345" s="1190" t="str">
        <f>IF('I. Stream &amp; Compound Data'!AV288&lt;&gt;"",'I. Stream &amp; Compound Data'!AV288,"")</f>
        <v/>
      </c>
      <c r="L345" s="1190" t="str">
        <f>IF(H345&gt;'I. Stream &amp; Compound Data'!$F$18,"",IF('I. Stream &amp; Compound Data'!BB288&lt;&gt;"",'I. Stream &amp; Compound Data'!BB288,0))</f>
        <v/>
      </c>
      <c r="M345" s="1306" t="str">
        <f>IF(H345&gt;'I. Stream &amp; Compound Data'!$F$18,"",IF(I345="","N/A",ROUND(IF(I345&lt;=0,1,IF(AND(I345&gt;0,I345&lt;200),-0.005*I345+1,0)),3)))</f>
        <v/>
      </c>
      <c r="N345" s="1168" t="str">
        <f>IF(H345&gt;'I. Stream &amp; Compound Data'!$F$18,"",IF(M345="N/A",IF(J345="","N/A",IF(OR(J345=12,J345=15,J345=17,J345=18),1,IF(OR(J345=11,J345=30),0.875,IF(J345=10,0.75,0)))),"N/A"))</f>
        <v/>
      </c>
      <c r="O345" s="1242" t="str">
        <f>IF(H345&gt;'I. Stream &amp; Compound Data'!$F$18,"",IF(AND(M345="N/A",N345="N/A"),IF(K345="","N/A",IF(K345=4,1,IF(K345=3,0.833,IF(K345=2,0.667,IF(K345=1,0.5,0))))),"N/A"))</f>
        <v/>
      </c>
      <c r="P345" s="1242" t="str">
        <f>IF(H345&gt;'I. Stream &amp; Compound Data'!$F$18,"",IF(I168="","N/A",IF(M345&lt;&gt;"N/A",M345,IF(N345&lt;&gt;"N/A",N345,IF(O345&lt;&gt;"N/A",O345,"NO DATA AVAILABLE")))))</f>
        <v/>
      </c>
      <c r="Q345" s="1242" t="str">
        <f>IF(H345&gt;'I. Stream &amp; Compound Data'!$F$18,"",IF(P345="N/A",0,L345*10^(4*P345-4)))</f>
        <v/>
      </c>
      <c r="R345" s="1242" t="str">
        <f>IF(H345&gt;'I. Stream &amp; Compound Data'!$F$18,"",MAX(K168:L168))</f>
        <v/>
      </c>
      <c r="S345" s="1242" t="str">
        <f>IF(H345&gt;'I. Stream &amp; Compound Data'!$F$18,"",ROUND(Q345*R345,3))</f>
        <v/>
      </c>
      <c r="T345" s="1268" t="str">
        <f>IF(H345&gt;'I. Stream &amp; Compound Data'!$F$18,"",IF(L345="",0,ROUND(L345*R345,3)))</f>
        <v/>
      </c>
      <c r="U345" s="279"/>
      <c r="V345" s="279"/>
      <c r="W345" s="279"/>
      <c r="X345" s="279"/>
      <c r="Y345" s="279"/>
      <c r="Z345" s="279"/>
      <c r="AA345" s="279"/>
      <c r="AB345" s="279"/>
      <c r="AC345" s="279"/>
      <c r="AD345" s="279"/>
      <c r="AE345" s="279"/>
      <c r="AF345" s="279"/>
      <c r="AG345" s="279"/>
      <c r="AH345" s="279"/>
      <c r="AI345" s="279"/>
      <c r="AJ345" s="279"/>
      <c r="AK345" s="279"/>
      <c r="AL345" s="279"/>
      <c r="AM345" s="279"/>
      <c r="AN345" s="279"/>
      <c r="AO345" s="279"/>
      <c r="AP345" s="279"/>
      <c r="AQ345" s="279"/>
      <c r="AR345" s="279"/>
      <c r="AS345" s="279"/>
      <c r="AT345" s="279"/>
      <c r="AU345" s="279"/>
      <c r="AV345" s="279"/>
      <c r="AW345" s="279"/>
      <c r="AX345" s="279"/>
      <c r="AY345" s="279"/>
      <c r="AZ345" s="279"/>
      <c r="BA345" s="279"/>
      <c r="BB345" s="279"/>
      <c r="BC345" s="279"/>
      <c r="BD345" s="279"/>
      <c r="BE345" s="279"/>
      <c r="BF345" s="279"/>
      <c r="BG345" s="279"/>
      <c r="BH345" s="279"/>
      <c r="BI345" s="279"/>
      <c r="BJ345" s="279"/>
      <c r="BK345" s="279"/>
      <c r="BL345" s="279"/>
      <c r="BM345" s="279"/>
      <c r="BN345" s="279"/>
      <c r="BO345" s="279"/>
      <c r="BP345" s="279"/>
      <c r="BQ345" s="279"/>
      <c r="BR345" s="279"/>
      <c r="BS345" s="279"/>
      <c r="BT345" s="279"/>
      <c r="BU345" s="279"/>
      <c r="BV345" s="279"/>
      <c r="BW345" s="279"/>
      <c r="BX345" s="279"/>
      <c r="BY345" s="279"/>
      <c r="BZ345" s="279"/>
      <c r="CA345" s="279"/>
      <c r="CB345" s="279"/>
      <c r="CC345" s="279"/>
      <c r="CD345" s="279"/>
      <c r="CE345" s="279"/>
      <c r="CF345" s="279"/>
      <c r="CG345" s="279"/>
      <c r="CH345" s="279"/>
      <c r="CI345" s="279"/>
      <c r="CJ345" s="279"/>
      <c r="CK345" s="279"/>
      <c r="CL345" s="279"/>
      <c r="CM345" s="279"/>
      <c r="CN345" s="382"/>
    </row>
    <row r="346" ht="20.25" customHeight="true" x14ac:dyDescent="0.25">
      <c r="B346" s="361"/>
      <c r="C346" s="279"/>
      <c r="D346" s="280"/>
      <c r="E346" s="287"/>
      <c r="F346" s="287"/>
      <c r="G346" s="287"/>
      <c r="H346" s="1292">
        <f t="shared" si="15"/>
        <v>28</v>
      </c>
      <c r="I346" s="1295" t="str">
        <f>IF('I. Stream &amp; Compound Data'!BA289&lt;&gt;"",'I. Stream &amp; Compound Data'!BA289-'I. Stream &amp; Compound Data'!F$19,"")</f>
        <v/>
      </c>
      <c r="J346" s="1295" t="str">
        <f>IF('I. Stream &amp; Compound Data'!AR289&lt;&gt;"",'I. Stream &amp; Compound Data'!AR289,IF('I. Stream &amp; Compound Data'!AS289&lt;&gt;"",'I. Stream &amp; Compound Data'!AS289,""))</f>
        <v/>
      </c>
      <c r="K346" s="1190" t="str">
        <f>IF('I. Stream &amp; Compound Data'!AV289&lt;&gt;"",'I. Stream &amp; Compound Data'!AV289,"")</f>
        <v/>
      </c>
      <c r="L346" s="1190" t="str">
        <f>IF(H346&gt;'I. Stream &amp; Compound Data'!$F$18,"",IF('I. Stream &amp; Compound Data'!BB289&lt;&gt;"",'I. Stream &amp; Compound Data'!BB289,0))</f>
        <v/>
      </c>
      <c r="M346" s="1306" t="str">
        <f>IF(H346&gt;'I. Stream &amp; Compound Data'!$F$18,"",IF(I346="","N/A",ROUND(IF(I346&lt;=0,1,IF(AND(I346&gt;0,I346&lt;200),-0.005*I346+1,0)),3)))</f>
        <v/>
      </c>
      <c r="N346" s="1168" t="str">
        <f>IF(H346&gt;'I. Stream &amp; Compound Data'!$F$18,"",IF(M346="N/A",IF(J346="","N/A",IF(OR(J346=12,J346=15,J346=17,J346=18),1,IF(OR(J346=11,J346=30),0.875,IF(J346=10,0.75,0)))),"N/A"))</f>
        <v/>
      </c>
      <c r="O346" s="1242" t="str">
        <f>IF(H346&gt;'I. Stream &amp; Compound Data'!$F$18,"",IF(AND(M346="N/A",N346="N/A"),IF(K346="","N/A",IF(K346=4,1,IF(K346=3,0.833,IF(K346=2,0.667,IF(K346=1,0.5,0))))),"N/A"))</f>
        <v/>
      </c>
      <c r="P346" s="1242" t="str">
        <f>IF(H346&gt;'I. Stream &amp; Compound Data'!$F$18,"",IF(I169="","N/A",IF(M346&lt;&gt;"N/A",M346,IF(N346&lt;&gt;"N/A",N346,IF(O346&lt;&gt;"N/A",O346,"NO DATA AVAILABLE")))))</f>
        <v/>
      </c>
      <c r="Q346" s="1242" t="str">
        <f>IF(H346&gt;'I. Stream &amp; Compound Data'!$F$18,"",IF(P346="N/A",0,L346*10^(4*P346-4)))</f>
        <v/>
      </c>
      <c r="R346" s="1242" t="str">
        <f>IF(H346&gt;'I. Stream &amp; Compound Data'!$F$18,"",MAX(K169:L169))</f>
        <v/>
      </c>
      <c r="S346" s="1242" t="str">
        <f>IF(H346&gt;'I. Stream &amp; Compound Data'!$F$18,"",ROUND(Q346*R346,3))</f>
        <v/>
      </c>
      <c r="T346" s="1268" t="str">
        <f>IF(H346&gt;'I. Stream &amp; Compound Data'!$F$18,"",IF(L346="",0,ROUND(L346*R346,3)))</f>
        <v/>
      </c>
      <c r="U346" s="279"/>
      <c r="V346" s="279"/>
      <c r="W346" s="279"/>
      <c r="X346" s="279"/>
      <c r="Y346" s="279"/>
      <c r="Z346" s="279"/>
      <c r="AA346" s="279"/>
      <c r="AB346" s="279"/>
      <c r="AC346" s="279"/>
      <c r="AD346" s="279"/>
      <c r="AE346" s="279"/>
      <c r="AF346" s="279"/>
      <c r="AG346" s="279"/>
      <c r="AH346" s="279"/>
      <c r="AI346" s="279"/>
      <c r="AJ346" s="279"/>
      <c r="AK346" s="279"/>
      <c r="AL346" s="279"/>
      <c r="AM346" s="279"/>
      <c r="AN346" s="279"/>
      <c r="AO346" s="279"/>
      <c r="AP346" s="279"/>
      <c r="AQ346" s="279"/>
      <c r="AR346" s="279"/>
      <c r="AS346" s="279"/>
      <c r="AT346" s="279"/>
      <c r="AU346" s="279"/>
      <c r="AV346" s="279"/>
      <c r="AW346" s="279"/>
      <c r="AX346" s="279"/>
      <c r="AY346" s="279"/>
      <c r="AZ346" s="279"/>
      <c r="BA346" s="279"/>
      <c r="BB346" s="279"/>
      <c r="BC346" s="279"/>
      <c r="BD346" s="279"/>
      <c r="BE346" s="279"/>
      <c r="BF346" s="279"/>
      <c r="BG346" s="279"/>
      <c r="BH346" s="279"/>
      <c r="BI346" s="279"/>
      <c r="BJ346" s="279"/>
      <c r="BK346" s="279"/>
      <c r="BL346" s="279"/>
      <c r="BM346" s="279"/>
      <c r="BN346" s="279"/>
      <c r="BO346" s="279"/>
      <c r="BP346" s="279"/>
      <c r="BQ346" s="279"/>
      <c r="BR346" s="279"/>
      <c r="BS346" s="279"/>
      <c r="BT346" s="279"/>
      <c r="BU346" s="279"/>
      <c r="BV346" s="279"/>
      <c r="BW346" s="279"/>
      <c r="BX346" s="279"/>
      <c r="BY346" s="279"/>
      <c r="BZ346" s="279"/>
      <c r="CA346" s="279"/>
      <c r="CB346" s="279"/>
      <c r="CC346" s="279"/>
      <c r="CD346" s="279"/>
      <c r="CE346" s="279"/>
      <c r="CF346" s="279"/>
      <c r="CG346" s="279"/>
      <c r="CH346" s="279"/>
      <c r="CI346" s="279"/>
      <c r="CJ346" s="279"/>
      <c r="CK346" s="279"/>
      <c r="CL346" s="279"/>
      <c r="CM346" s="279"/>
      <c r="CN346" s="382"/>
    </row>
    <row r="347" ht="20.25" customHeight="true" x14ac:dyDescent="0.25">
      <c r="B347" s="361"/>
      <c r="C347" s="279"/>
      <c r="D347" s="280"/>
      <c r="E347" s="287"/>
      <c r="F347" s="287"/>
      <c r="G347" s="287"/>
      <c r="H347" s="1292">
        <f t="shared" si="15"/>
        <v>29</v>
      </c>
      <c r="I347" s="1295" t="str">
        <f>IF('I. Stream &amp; Compound Data'!BA290&lt;&gt;"",'I. Stream &amp; Compound Data'!BA290-'I. Stream &amp; Compound Data'!F$19,"")</f>
        <v/>
      </c>
      <c r="J347" s="1295" t="str">
        <f>IF('I. Stream &amp; Compound Data'!AR290&lt;&gt;"",'I. Stream &amp; Compound Data'!AR290,IF('I. Stream &amp; Compound Data'!AS290&lt;&gt;"",'I. Stream &amp; Compound Data'!AS290,""))</f>
        <v/>
      </c>
      <c r="K347" s="1190" t="str">
        <f>IF('I. Stream &amp; Compound Data'!AV290&lt;&gt;"",'I. Stream &amp; Compound Data'!AV290,"")</f>
        <v/>
      </c>
      <c r="L347" s="1190" t="str">
        <f>IF(H347&gt;'I. Stream &amp; Compound Data'!$F$18,"",IF('I. Stream &amp; Compound Data'!BB290&lt;&gt;"",'I. Stream &amp; Compound Data'!BB290,0))</f>
        <v/>
      </c>
      <c r="M347" s="1306" t="str">
        <f>IF(H347&gt;'I. Stream &amp; Compound Data'!$F$18,"",IF(I347="","N/A",ROUND(IF(I347&lt;=0,1,IF(AND(I347&gt;0,I347&lt;200),-0.005*I347+1,0)),3)))</f>
        <v/>
      </c>
      <c r="N347" s="1168" t="str">
        <f>IF(H347&gt;'I. Stream &amp; Compound Data'!$F$18,"",IF(M347="N/A",IF(J347="","N/A",IF(OR(J347=12,J347=15,J347=17,J347=18),1,IF(OR(J347=11,J347=30),0.875,IF(J347=10,0.75,0)))),"N/A"))</f>
        <v/>
      </c>
      <c r="O347" s="1242" t="str">
        <f>IF(H347&gt;'I. Stream &amp; Compound Data'!$F$18,"",IF(AND(M347="N/A",N347="N/A"),IF(K347="","N/A",IF(K347=4,1,IF(K347=3,0.833,IF(K347=2,0.667,IF(K347=1,0.5,0))))),"N/A"))</f>
        <v/>
      </c>
      <c r="P347" s="1242" t="str">
        <f>IF(H347&gt;'I. Stream &amp; Compound Data'!$F$18,"",IF(I170="","N/A",IF(M347&lt;&gt;"N/A",M347,IF(N347&lt;&gt;"N/A",N347,IF(O347&lt;&gt;"N/A",O347,"NO DATA AVAILABLE")))))</f>
        <v/>
      </c>
      <c r="Q347" s="1242" t="str">
        <f>IF(H347&gt;'I. Stream &amp; Compound Data'!$F$18,"",IF(P347="N/A",0,L347*10^(4*P347-4)))</f>
        <v/>
      </c>
      <c r="R347" s="1242" t="str">
        <f>IF(H347&gt;'I. Stream &amp; Compound Data'!$F$18,"",MAX(K170:L170))</f>
        <v/>
      </c>
      <c r="S347" s="1242" t="str">
        <f>IF(H347&gt;'I. Stream &amp; Compound Data'!$F$18,"",ROUND(Q347*R347,3))</f>
        <v/>
      </c>
      <c r="T347" s="1268" t="str">
        <f>IF(H347&gt;'I. Stream &amp; Compound Data'!$F$18,"",IF(L347="",0,ROUND(L347*R347,3)))</f>
        <v/>
      </c>
      <c r="U347" s="279"/>
      <c r="V347" s="279"/>
      <c r="W347" s="279"/>
      <c r="X347" s="279"/>
      <c r="Y347" s="279"/>
      <c r="Z347" s="279"/>
      <c r="AA347" s="279"/>
      <c r="AB347" s="279"/>
      <c r="AC347" s="279"/>
      <c r="AD347" s="279"/>
      <c r="AE347" s="279"/>
      <c r="AF347" s="279"/>
      <c r="AG347" s="279"/>
      <c r="AH347" s="279"/>
      <c r="AI347" s="279"/>
      <c r="AJ347" s="279"/>
      <c r="AK347" s="279"/>
      <c r="AL347" s="279"/>
      <c r="AM347" s="279"/>
      <c r="AN347" s="279"/>
      <c r="AO347" s="279"/>
      <c r="AP347" s="279"/>
      <c r="AQ347" s="279"/>
      <c r="AR347" s="279"/>
      <c r="AS347" s="279"/>
      <c r="AT347" s="279"/>
      <c r="AU347" s="279"/>
      <c r="AV347" s="279"/>
      <c r="AW347" s="279"/>
      <c r="AX347" s="279"/>
      <c r="AY347" s="279"/>
      <c r="AZ347" s="279"/>
      <c r="BA347" s="279"/>
      <c r="BB347" s="279"/>
      <c r="BC347" s="279"/>
      <c r="BD347" s="279"/>
      <c r="BE347" s="279"/>
      <c r="BF347" s="279"/>
      <c r="BG347" s="279"/>
      <c r="BH347" s="279"/>
      <c r="BI347" s="279"/>
      <c r="BJ347" s="279"/>
      <c r="BK347" s="279"/>
      <c r="BL347" s="279"/>
      <c r="BM347" s="279"/>
      <c r="BN347" s="279"/>
      <c r="BO347" s="279"/>
      <c r="BP347" s="279"/>
      <c r="BQ347" s="279"/>
      <c r="BR347" s="279"/>
      <c r="BS347" s="279"/>
      <c r="BT347" s="279"/>
      <c r="BU347" s="279"/>
      <c r="BV347" s="279"/>
      <c r="BW347" s="279"/>
      <c r="BX347" s="279"/>
      <c r="BY347" s="279"/>
      <c r="BZ347" s="279"/>
      <c r="CA347" s="279"/>
      <c r="CB347" s="279"/>
      <c r="CC347" s="279"/>
      <c r="CD347" s="279"/>
      <c r="CE347" s="279"/>
      <c r="CF347" s="279"/>
      <c r="CG347" s="279"/>
      <c r="CH347" s="279"/>
      <c r="CI347" s="279"/>
      <c r="CJ347" s="279"/>
      <c r="CK347" s="279"/>
      <c r="CL347" s="279"/>
      <c r="CM347" s="279"/>
      <c r="CN347" s="382"/>
    </row>
    <row r="348" ht="20.25" customHeight="true" x14ac:dyDescent="0.25">
      <c r="B348" s="361"/>
      <c r="C348" s="279"/>
      <c r="D348" s="280"/>
      <c r="E348" s="287"/>
      <c r="F348" s="287"/>
      <c r="G348" s="287"/>
      <c r="H348" s="1292">
        <f t="shared" si="15"/>
        <v>30</v>
      </c>
      <c r="I348" s="1295" t="str">
        <f>IF('I. Stream &amp; Compound Data'!BA291&lt;&gt;"",'I. Stream &amp; Compound Data'!BA291-'I. Stream &amp; Compound Data'!F$19,"")</f>
        <v/>
      </c>
      <c r="J348" s="1295" t="str">
        <f>IF('I. Stream &amp; Compound Data'!AR291&lt;&gt;"",'I. Stream &amp; Compound Data'!AR291,IF('I. Stream &amp; Compound Data'!AS291&lt;&gt;"",'I. Stream &amp; Compound Data'!AS291,""))</f>
        <v/>
      </c>
      <c r="K348" s="1190" t="str">
        <f>IF('I. Stream &amp; Compound Data'!AV291&lt;&gt;"",'I. Stream &amp; Compound Data'!AV291,"")</f>
        <v/>
      </c>
      <c r="L348" s="1190" t="str">
        <f>IF(H348&gt;'I. Stream &amp; Compound Data'!$F$18,"",IF('I. Stream &amp; Compound Data'!BB291&lt;&gt;"",'I. Stream &amp; Compound Data'!BB291,0))</f>
        <v/>
      </c>
      <c r="M348" s="1306" t="str">
        <f>IF(H348&gt;'I. Stream &amp; Compound Data'!$F$18,"",IF(I348="","N/A",ROUND(IF(I348&lt;=0,1,IF(AND(I348&gt;0,I348&lt;200),-0.005*I348+1,0)),3)))</f>
        <v/>
      </c>
      <c r="N348" s="1168" t="str">
        <f>IF(H348&gt;'I. Stream &amp; Compound Data'!$F$18,"",IF(M348="N/A",IF(J348="","N/A",IF(OR(J348=12,J348=15,J348=17,J348=18),1,IF(OR(J348=11,J348=30),0.875,IF(J348=10,0.75,0)))),"N/A"))</f>
        <v/>
      </c>
      <c r="O348" s="1242" t="str">
        <f>IF(H348&gt;'I. Stream &amp; Compound Data'!$F$18,"",IF(AND(M348="N/A",N348="N/A"),IF(K348="","N/A",IF(K348=4,1,IF(K348=3,0.833,IF(K348=2,0.667,IF(K348=1,0.5,0))))),"N/A"))</f>
        <v/>
      </c>
      <c r="P348" s="1242" t="str">
        <f>IF(H348&gt;'I. Stream &amp; Compound Data'!$F$18,"",IF(I171="","N/A",IF(M348&lt;&gt;"N/A",M348,IF(N348&lt;&gt;"N/A",N348,IF(O348&lt;&gt;"N/A",O348,"NO DATA AVAILABLE")))))</f>
        <v/>
      </c>
      <c r="Q348" s="1242" t="str">
        <f>IF(H348&gt;'I. Stream &amp; Compound Data'!$F$18,"",IF(P348="N/A",0,L348*10^(4*P348-4)))</f>
        <v/>
      </c>
      <c r="R348" s="1242" t="str">
        <f>IF(H348&gt;'I. Stream &amp; Compound Data'!$F$18,"",MAX(K171:L171))</f>
        <v/>
      </c>
      <c r="S348" s="1242" t="str">
        <f>IF(H348&gt;'I. Stream &amp; Compound Data'!$F$18,"",ROUND(Q348*R348,3))</f>
        <v/>
      </c>
      <c r="T348" s="1268" t="str">
        <f>IF(H348&gt;'I. Stream &amp; Compound Data'!$F$18,"",IF(L348="",0,ROUND(L348*R348,3)))</f>
        <v/>
      </c>
      <c r="U348" s="279"/>
      <c r="V348" s="279"/>
      <c r="W348" s="279"/>
      <c r="X348" s="279"/>
      <c r="Y348" s="279"/>
      <c r="Z348" s="279"/>
      <c r="AA348" s="279"/>
      <c r="AB348" s="279"/>
      <c r="AC348" s="279"/>
      <c r="AD348" s="279"/>
      <c r="AE348" s="279"/>
      <c r="AF348" s="279"/>
      <c r="AG348" s="279"/>
      <c r="AH348" s="279"/>
      <c r="AI348" s="279"/>
      <c r="AJ348" s="279"/>
      <c r="AK348" s="279"/>
      <c r="AL348" s="279"/>
      <c r="AM348" s="279"/>
      <c r="AN348" s="279"/>
      <c r="AO348" s="279"/>
      <c r="AP348" s="279"/>
      <c r="AQ348" s="279"/>
      <c r="AR348" s="279"/>
      <c r="AS348" s="279"/>
      <c r="AT348" s="279"/>
      <c r="AU348" s="279"/>
      <c r="AV348" s="279"/>
      <c r="AW348" s="279"/>
      <c r="AX348" s="279"/>
      <c r="AY348" s="279"/>
      <c r="AZ348" s="279"/>
      <c r="BA348" s="279"/>
      <c r="BB348" s="279"/>
      <c r="BC348" s="279"/>
      <c r="BD348" s="279"/>
      <c r="BE348" s="279"/>
      <c r="BF348" s="279"/>
      <c r="BG348" s="279"/>
      <c r="BH348" s="279"/>
      <c r="BI348" s="279"/>
      <c r="BJ348" s="279"/>
      <c r="BK348" s="279"/>
      <c r="BL348" s="279"/>
      <c r="BM348" s="279"/>
      <c r="BN348" s="279"/>
      <c r="BO348" s="279"/>
      <c r="BP348" s="279"/>
      <c r="BQ348" s="279"/>
      <c r="BR348" s="279"/>
      <c r="BS348" s="279"/>
      <c r="BT348" s="279"/>
      <c r="BU348" s="279"/>
      <c r="BV348" s="279"/>
      <c r="BW348" s="279"/>
      <c r="BX348" s="279"/>
      <c r="BY348" s="279"/>
      <c r="BZ348" s="279"/>
      <c r="CA348" s="279"/>
      <c r="CB348" s="279"/>
      <c r="CC348" s="279"/>
      <c r="CD348" s="279"/>
      <c r="CE348" s="279"/>
      <c r="CF348" s="279"/>
      <c r="CG348" s="279"/>
      <c r="CH348" s="279"/>
      <c r="CI348" s="279"/>
      <c r="CJ348" s="279"/>
      <c r="CK348" s="279"/>
      <c r="CL348" s="279"/>
      <c r="CM348" s="279"/>
      <c r="CN348" s="382"/>
    </row>
    <row r="349" ht="20.25" customHeight="true" x14ac:dyDescent="0.25">
      <c r="B349" s="361"/>
      <c r="C349" s="279"/>
      <c r="D349" s="280"/>
      <c r="E349" s="287"/>
      <c r="F349" s="287"/>
      <c r="G349" s="287"/>
      <c r="H349" s="1292">
        <f t="shared" si="15"/>
        <v>31</v>
      </c>
      <c r="I349" s="1295" t="str">
        <f>IF('I. Stream &amp; Compound Data'!BA292&lt;&gt;"",'I. Stream &amp; Compound Data'!BA292-'I. Stream &amp; Compound Data'!F$19,"")</f>
        <v/>
      </c>
      <c r="J349" s="1295" t="str">
        <f>IF('I. Stream &amp; Compound Data'!AR292&lt;&gt;"",'I. Stream &amp; Compound Data'!AR292,IF('I. Stream &amp; Compound Data'!AS292&lt;&gt;"",'I. Stream &amp; Compound Data'!AS292,""))</f>
        <v/>
      </c>
      <c r="K349" s="1190" t="str">
        <f>IF('I. Stream &amp; Compound Data'!AV292&lt;&gt;"",'I. Stream &amp; Compound Data'!AV292,"")</f>
        <v/>
      </c>
      <c r="L349" s="1190" t="str">
        <f>IF(H349&gt;'I. Stream &amp; Compound Data'!$F$18,"",IF('I. Stream &amp; Compound Data'!BB292&lt;&gt;"",'I. Stream &amp; Compound Data'!BB292,0))</f>
        <v/>
      </c>
      <c r="M349" s="1306" t="str">
        <f>IF(H349&gt;'I. Stream &amp; Compound Data'!$F$18,"",IF(I349="","N/A",ROUND(IF(I349&lt;=0,1,IF(AND(I349&gt;0,I349&lt;200),-0.005*I349+1,0)),3)))</f>
        <v/>
      </c>
      <c r="N349" s="1168" t="str">
        <f>IF(H349&gt;'I. Stream &amp; Compound Data'!$F$18,"",IF(M349="N/A",IF(J349="","N/A",IF(OR(J349=12,J349=15,J349=17,J349=18),1,IF(OR(J349=11,J349=30),0.875,IF(J349=10,0.75,0)))),"N/A"))</f>
        <v/>
      </c>
      <c r="O349" s="1242" t="str">
        <f>IF(H349&gt;'I. Stream &amp; Compound Data'!$F$18,"",IF(AND(M349="N/A",N349="N/A"),IF(K349="","N/A",IF(K349=4,1,IF(K349=3,0.833,IF(K349=2,0.667,IF(K349=1,0.5,0))))),"N/A"))</f>
        <v/>
      </c>
      <c r="P349" s="1242" t="str">
        <f>IF(H349&gt;'I. Stream &amp; Compound Data'!$F$18,"",IF(I172="","N/A",IF(M349&lt;&gt;"N/A",M349,IF(N349&lt;&gt;"N/A",N349,IF(O349&lt;&gt;"N/A",O349,"NO DATA AVAILABLE")))))</f>
        <v/>
      </c>
      <c r="Q349" s="1242" t="str">
        <f>IF(H349&gt;'I. Stream &amp; Compound Data'!$F$18,"",IF(P349="N/A",0,L349*10^(4*P349-4)))</f>
        <v/>
      </c>
      <c r="R349" s="1242" t="str">
        <f>IF(H349&gt;'I. Stream &amp; Compound Data'!$F$18,"",MAX(K172:L172))</f>
        <v/>
      </c>
      <c r="S349" s="1242" t="str">
        <f>IF(H349&gt;'I. Stream &amp; Compound Data'!$F$18,"",ROUND(Q349*R349,3))</f>
        <v/>
      </c>
      <c r="T349" s="1268" t="str">
        <f>IF(H349&gt;'I. Stream &amp; Compound Data'!$F$18,"",IF(L349="",0,ROUND(L349*R349,3)))</f>
        <v/>
      </c>
      <c r="U349" s="279"/>
      <c r="V349" s="279"/>
      <c r="W349" s="279"/>
      <c r="X349" s="279"/>
      <c r="Y349" s="279"/>
      <c r="Z349" s="279"/>
      <c r="AA349" s="279"/>
      <c r="AB349" s="279"/>
      <c r="AC349" s="279"/>
      <c r="AD349" s="279"/>
      <c r="AE349" s="279"/>
      <c r="AF349" s="279"/>
      <c r="AG349" s="279"/>
      <c r="AH349" s="279"/>
      <c r="AI349" s="279"/>
      <c r="AJ349" s="279"/>
      <c r="AK349" s="279"/>
      <c r="AL349" s="279"/>
      <c r="AM349" s="279"/>
      <c r="AN349" s="279"/>
      <c r="AO349" s="279"/>
      <c r="AP349" s="279"/>
      <c r="AQ349" s="279"/>
      <c r="AR349" s="279"/>
      <c r="AS349" s="279"/>
      <c r="AT349" s="279"/>
      <c r="AU349" s="279"/>
      <c r="AV349" s="279"/>
      <c r="AW349" s="279"/>
      <c r="AX349" s="279"/>
      <c r="AY349" s="279"/>
      <c r="AZ349" s="279"/>
      <c r="BA349" s="279"/>
      <c r="BB349" s="279"/>
      <c r="BC349" s="279"/>
      <c r="BD349" s="279"/>
      <c r="BE349" s="279"/>
      <c r="BF349" s="279"/>
      <c r="BG349" s="279"/>
      <c r="BH349" s="279"/>
      <c r="BI349" s="279"/>
      <c r="BJ349" s="279"/>
      <c r="BK349" s="279"/>
      <c r="BL349" s="279"/>
      <c r="BM349" s="279"/>
      <c r="BN349" s="279"/>
      <c r="BO349" s="279"/>
      <c r="BP349" s="279"/>
      <c r="BQ349" s="279"/>
      <c r="BR349" s="279"/>
      <c r="BS349" s="279"/>
      <c r="BT349" s="279"/>
      <c r="BU349" s="279"/>
      <c r="BV349" s="279"/>
      <c r="BW349" s="279"/>
      <c r="BX349" s="279"/>
      <c r="BY349" s="279"/>
      <c r="BZ349" s="279"/>
      <c r="CA349" s="279"/>
      <c r="CB349" s="279"/>
      <c r="CC349" s="279"/>
      <c r="CD349" s="279"/>
      <c r="CE349" s="279"/>
      <c r="CF349" s="279"/>
      <c r="CG349" s="279"/>
      <c r="CH349" s="279"/>
      <c r="CI349" s="279"/>
      <c r="CJ349" s="279"/>
      <c r="CK349" s="279"/>
      <c r="CL349" s="279"/>
      <c r="CM349" s="279"/>
      <c r="CN349" s="382"/>
    </row>
    <row r="350" ht="20.25" customHeight="true" x14ac:dyDescent="0.25">
      <c r="B350" s="361"/>
      <c r="C350" s="279"/>
      <c r="D350" s="280"/>
      <c r="E350" s="287"/>
      <c r="F350" s="287"/>
      <c r="G350" s="287"/>
      <c r="H350" s="1292">
        <f t="shared" si="15"/>
        <v>32</v>
      </c>
      <c r="I350" s="1295" t="str">
        <f>IF('I. Stream &amp; Compound Data'!BA293&lt;&gt;"",'I. Stream &amp; Compound Data'!BA293-'I. Stream &amp; Compound Data'!F$19,"")</f>
        <v/>
      </c>
      <c r="J350" s="1295" t="str">
        <f>IF('I. Stream &amp; Compound Data'!AR293&lt;&gt;"",'I. Stream &amp; Compound Data'!AR293,IF('I. Stream &amp; Compound Data'!AS293&lt;&gt;"",'I. Stream &amp; Compound Data'!AS293,""))</f>
        <v/>
      </c>
      <c r="K350" s="1190" t="str">
        <f>IF('I. Stream &amp; Compound Data'!AV293&lt;&gt;"",'I. Stream &amp; Compound Data'!AV293,"")</f>
        <v/>
      </c>
      <c r="L350" s="1190" t="str">
        <f>IF(H350&gt;'I. Stream &amp; Compound Data'!$F$18,"",IF('I. Stream &amp; Compound Data'!BB293&lt;&gt;"",'I. Stream &amp; Compound Data'!BB293,0))</f>
        <v/>
      </c>
      <c r="M350" s="1306" t="str">
        <f>IF(H350&gt;'I. Stream &amp; Compound Data'!$F$18,"",IF(I350="","N/A",ROUND(IF(I350&lt;=0,1,IF(AND(I350&gt;0,I350&lt;200),-0.005*I350+1,0)),3)))</f>
        <v/>
      </c>
      <c r="N350" s="1168" t="str">
        <f>IF(H350&gt;'I. Stream &amp; Compound Data'!$F$18,"",IF(M350="N/A",IF(J350="","N/A",IF(OR(J350=12,J350=15,J350=17,J350=18),1,IF(OR(J350=11,J350=30),0.875,IF(J350=10,0.75,0)))),"N/A"))</f>
        <v/>
      </c>
      <c r="O350" s="1242" t="str">
        <f>IF(H350&gt;'I. Stream &amp; Compound Data'!$F$18,"",IF(AND(M350="N/A",N350="N/A"),IF(K350="","N/A",IF(K350=4,1,IF(K350=3,0.833,IF(K350=2,0.667,IF(K350=1,0.5,0))))),"N/A"))</f>
        <v/>
      </c>
      <c r="P350" s="1242" t="str">
        <f>IF(H350&gt;'I. Stream &amp; Compound Data'!$F$18,"",IF(I173="","N/A",IF(M350&lt;&gt;"N/A",M350,IF(N350&lt;&gt;"N/A",N350,IF(O350&lt;&gt;"N/A",O350,"NO DATA AVAILABLE")))))</f>
        <v/>
      </c>
      <c r="Q350" s="1242" t="str">
        <f>IF(H350&gt;'I. Stream &amp; Compound Data'!$F$18,"",IF(P350="N/A",0,L350*10^(4*P350-4)))</f>
        <v/>
      </c>
      <c r="R350" s="1242" t="str">
        <f>IF(H350&gt;'I. Stream &amp; Compound Data'!$F$18,"",MAX(K173:L173))</f>
        <v/>
      </c>
      <c r="S350" s="1242" t="str">
        <f>IF(H350&gt;'I. Stream &amp; Compound Data'!$F$18,"",ROUND(Q350*R350,3))</f>
        <v/>
      </c>
      <c r="T350" s="1268" t="str">
        <f>IF(H350&gt;'I. Stream &amp; Compound Data'!$F$18,"",IF(L350="",0,ROUND(L350*R350,3)))</f>
        <v/>
      </c>
      <c r="U350" s="279"/>
      <c r="V350" s="279"/>
      <c r="W350" s="279"/>
      <c r="X350" s="279"/>
      <c r="Y350" s="279"/>
      <c r="Z350" s="279"/>
      <c r="AA350" s="279"/>
      <c r="AB350" s="279"/>
      <c r="AC350" s="279"/>
      <c r="AD350" s="279"/>
      <c r="AE350" s="279"/>
      <c r="AF350" s="279"/>
      <c r="AG350" s="279"/>
      <c r="AH350" s="279"/>
      <c r="AI350" s="279"/>
      <c r="AJ350" s="279"/>
      <c r="AK350" s="279"/>
      <c r="AL350" s="279"/>
      <c r="AM350" s="279"/>
      <c r="AN350" s="279"/>
      <c r="AO350" s="279"/>
      <c r="AP350" s="279"/>
      <c r="AQ350" s="279"/>
      <c r="AR350" s="279"/>
      <c r="AS350" s="279"/>
      <c r="AT350" s="279"/>
      <c r="AU350" s="279"/>
      <c r="AV350" s="279"/>
      <c r="AW350" s="279"/>
      <c r="AX350" s="279"/>
      <c r="AY350" s="279"/>
      <c r="AZ350" s="279"/>
      <c r="BA350" s="279"/>
      <c r="BB350" s="279"/>
      <c r="BC350" s="279"/>
      <c r="BD350" s="279"/>
      <c r="BE350" s="279"/>
      <c r="BF350" s="279"/>
      <c r="BG350" s="279"/>
      <c r="BH350" s="279"/>
      <c r="BI350" s="279"/>
      <c r="BJ350" s="279"/>
      <c r="BK350" s="279"/>
      <c r="BL350" s="279"/>
      <c r="BM350" s="279"/>
      <c r="BN350" s="279"/>
      <c r="BO350" s="279"/>
      <c r="BP350" s="279"/>
      <c r="BQ350" s="279"/>
      <c r="BR350" s="279"/>
      <c r="BS350" s="279"/>
      <c r="BT350" s="279"/>
      <c r="BU350" s="279"/>
      <c r="BV350" s="279"/>
      <c r="BW350" s="279"/>
      <c r="BX350" s="279"/>
      <c r="BY350" s="279"/>
      <c r="BZ350" s="279"/>
      <c r="CA350" s="279"/>
      <c r="CB350" s="279"/>
      <c r="CC350" s="279"/>
      <c r="CD350" s="279"/>
      <c r="CE350" s="279"/>
      <c r="CF350" s="279"/>
      <c r="CG350" s="279"/>
      <c r="CH350" s="279"/>
      <c r="CI350" s="279"/>
      <c r="CJ350" s="279"/>
      <c r="CK350" s="279"/>
      <c r="CL350" s="279"/>
      <c r="CM350" s="279"/>
      <c r="CN350" s="382"/>
    </row>
    <row r="351" ht="20.25" customHeight="true" x14ac:dyDescent="0.25">
      <c r="B351" s="361"/>
      <c r="C351" s="279"/>
      <c r="D351" s="280"/>
      <c r="E351" s="287"/>
      <c r="F351" s="287"/>
      <c r="G351" s="287"/>
      <c r="H351" s="1292">
        <f t="shared" si="15"/>
        <v>33</v>
      </c>
      <c r="I351" s="1295" t="str">
        <f>IF('I. Stream &amp; Compound Data'!BA294&lt;&gt;"",'I. Stream &amp; Compound Data'!BA294-'I. Stream &amp; Compound Data'!F$19,"")</f>
        <v/>
      </c>
      <c r="J351" s="1295" t="str">
        <f>IF('I. Stream &amp; Compound Data'!AR294&lt;&gt;"",'I. Stream &amp; Compound Data'!AR294,IF('I. Stream &amp; Compound Data'!AS294&lt;&gt;"",'I. Stream &amp; Compound Data'!AS294,""))</f>
        <v/>
      </c>
      <c r="K351" s="1190" t="str">
        <f>IF('I. Stream &amp; Compound Data'!AV294&lt;&gt;"",'I. Stream &amp; Compound Data'!AV294,"")</f>
        <v/>
      </c>
      <c r="L351" s="1190" t="str">
        <f>IF(H351&gt;'I. Stream &amp; Compound Data'!$F$18,"",IF('I. Stream &amp; Compound Data'!BB294&lt;&gt;"",'I. Stream &amp; Compound Data'!BB294,0))</f>
        <v/>
      </c>
      <c r="M351" s="1306" t="str">
        <f>IF(H351&gt;'I. Stream &amp; Compound Data'!$F$18,"",IF(I351="","N/A",ROUND(IF(I351&lt;=0,1,IF(AND(I351&gt;0,I351&lt;200),-0.005*I351+1,0)),3)))</f>
        <v/>
      </c>
      <c r="N351" s="1168" t="str">
        <f>IF(H351&gt;'I. Stream &amp; Compound Data'!$F$18,"",IF(M351="N/A",IF(J351="","N/A",IF(OR(J351=12,J351=15,J351=17,J351=18),1,IF(OR(J351=11,J351=30),0.875,IF(J351=10,0.75,0)))),"N/A"))</f>
        <v/>
      </c>
      <c r="O351" s="1242" t="str">
        <f>IF(H351&gt;'I. Stream &amp; Compound Data'!$F$18,"",IF(AND(M351="N/A",N351="N/A"),IF(K351="","N/A",IF(K351=4,1,IF(K351=3,0.833,IF(K351=2,0.667,IF(K351=1,0.5,0))))),"N/A"))</f>
        <v/>
      </c>
      <c r="P351" s="1242" t="str">
        <f>IF(H351&gt;'I. Stream &amp; Compound Data'!$F$18,"",IF(I174="","N/A",IF(M351&lt;&gt;"N/A",M351,IF(N351&lt;&gt;"N/A",N351,IF(O351&lt;&gt;"N/A",O351,"NO DATA AVAILABLE")))))</f>
        <v/>
      </c>
      <c r="Q351" s="1242" t="str">
        <f>IF(H351&gt;'I. Stream &amp; Compound Data'!$F$18,"",IF(P351="N/A",0,L351*10^(4*P351-4)))</f>
        <v/>
      </c>
      <c r="R351" s="1242" t="str">
        <f>IF(H351&gt;'I. Stream &amp; Compound Data'!$F$18,"",MAX(K174:L174))</f>
        <v/>
      </c>
      <c r="S351" s="1242" t="str">
        <f>IF(H351&gt;'I. Stream &amp; Compound Data'!$F$18,"",ROUND(Q351*R351,3))</f>
        <v/>
      </c>
      <c r="T351" s="1268" t="str">
        <f>IF(H351&gt;'I. Stream &amp; Compound Data'!$F$18,"",IF(L351="",0,ROUND(L351*R351,3)))</f>
        <v/>
      </c>
      <c r="U351" s="279"/>
      <c r="V351" s="279"/>
      <c r="W351" s="279"/>
      <c r="X351" s="279"/>
      <c r="Y351" s="279"/>
      <c r="Z351" s="279"/>
      <c r="AA351" s="279"/>
      <c r="AB351" s="279"/>
      <c r="AC351" s="279"/>
      <c r="AD351" s="279"/>
      <c r="AE351" s="279"/>
      <c r="AF351" s="279"/>
      <c r="AG351" s="279"/>
      <c r="AH351" s="279"/>
      <c r="AI351" s="279"/>
      <c r="AJ351" s="279"/>
      <c r="AK351" s="279"/>
      <c r="AL351" s="279"/>
      <c r="AM351" s="279"/>
      <c r="AN351" s="279"/>
      <c r="AO351" s="279"/>
      <c r="AP351" s="279"/>
      <c r="AQ351" s="279"/>
      <c r="AR351" s="279"/>
      <c r="AS351" s="279"/>
      <c r="AT351" s="279"/>
      <c r="AU351" s="279"/>
      <c r="AV351" s="279"/>
      <c r="AW351" s="279"/>
      <c r="AX351" s="279"/>
      <c r="AY351" s="279"/>
      <c r="AZ351" s="279"/>
      <c r="BA351" s="279"/>
      <c r="BB351" s="279"/>
      <c r="BC351" s="279"/>
      <c r="BD351" s="279"/>
      <c r="BE351" s="279"/>
      <c r="BF351" s="279"/>
      <c r="BG351" s="279"/>
      <c r="BH351" s="279"/>
      <c r="BI351" s="279"/>
      <c r="BJ351" s="279"/>
      <c r="BK351" s="279"/>
      <c r="BL351" s="279"/>
      <c r="BM351" s="279"/>
      <c r="BN351" s="279"/>
      <c r="BO351" s="279"/>
      <c r="BP351" s="279"/>
      <c r="BQ351" s="279"/>
      <c r="BR351" s="279"/>
      <c r="BS351" s="279"/>
      <c r="BT351" s="279"/>
      <c r="BU351" s="279"/>
      <c r="BV351" s="279"/>
      <c r="BW351" s="279"/>
      <c r="BX351" s="279"/>
      <c r="BY351" s="279"/>
      <c r="BZ351" s="279"/>
      <c r="CA351" s="279"/>
      <c r="CB351" s="279"/>
      <c r="CC351" s="279"/>
      <c r="CD351" s="279"/>
      <c r="CE351" s="279"/>
      <c r="CF351" s="279"/>
      <c r="CG351" s="279"/>
      <c r="CH351" s="279"/>
      <c r="CI351" s="279"/>
      <c r="CJ351" s="279"/>
      <c r="CK351" s="279"/>
      <c r="CL351" s="279"/>
      <c r="CM351" s="279"/>
      <c r="CN351" s="382"/>
    </row>
    <row r="352" ht="20.25" customHeight="true" x14ac:dyDescent="0.25">
      <c r="B352" s="361"/>
      <c r="C352" s="279"/>
      <c r="D352" s="280"/>
      <c r="E352" s="287"/>
      <c r="F352" s="287"/>
      <c r="G352" s="287"/>
      <c r="H352" s="1292">
        <f t="shared" si="15"/>
        <v>34</v>
      </c>
      <c r="I352" s="1295" t="str">
        <f>IF('I. Stream &amp; Compound Data'!BA295&lt;&gt;"",'I. Stream &amp; Compound Data'!BA295-'I. Stream &amp; Compound Data'!F$19,"")</f>
        <v/>
      </c>
      <c r="J352" s="1295" t="str">
        <f>IF('I. Stream &amp; Compound Data'!AR295&lt;&gt;"",'I. Stream &amp; Compound Data'!AR295,IF('I. Stream &amp; Compound Data'!AS295&lt;&gt;"",'I. Stream &amp; Compound Data'!AS295,""))</f>
        <v/>
      </c>
      <c r="K352" s="1190" t="str">
        <f>IF('I. Stream &amp; Compound Data'!AV295&lt;&gt;"",'I. Stream &amp; Compound Data'!AV295,"")</f>
        <v/>
      </c>
      <c r="L352" s="1190" t="str">
        <f>IF(H352&gt;'I. Stream &amp; Compound Data'!$F$18,"",IF('I. Stream &amp; Compound Data'!BB295&lt;&gt;"",'I. Stream &amp; Compound Data'!BB295,0))</f>
        <v/>
      </c>
      <c r="M352" s="1306" t="str">
        <f>IF(H352&gt;'I. Stream &amp; Compound Data'!$F$18,"",IF(I352="","N/A",ROUND(IF(I352&lt;=0,1,IF(AND(I352&gt;0,I352&lt;200),-0.005*I352+1,0)),3)))</f>
        <v/>
      </c>
      <c r="N352" s="1168" t="str">
        <f>IF(H352&gt;'I. Stream &amp; Compound Data'!$F$18,"",IF(M352="N/A",IF(J352="","N/A",IF(OR(J352=12,J352=15,J352=17,J352=18),1,IF(OR(J352=11,J352=30),0.875,IF(J352=10,0.75,0)))),"N/A"))</f>
        <v/>
      </c>
      <c r="O352" s="1242" t="str">
        <f>IF(H352&gt;'I. Stream &amp; Compound Data'!$F$18,"",IF(AND(M352="N/A",N352="N/A"),IF(K352="","N/A",IF(K352=4,1,IF(K352=3,0.833,IF(K352=2,0.667,IF(K352=1,0.5,0))))),"N/A"))</f>
        <v/>
      </c>
      <c r="P352" s="1242" t="str">
        <f>IF(H352&gt;'I. Stream &amp; Compound Data'!$F$18,"",IF(I175="","N/A",IF(M352&lt;&gt;"N/A",M352,IF(N352&lt;&gt;"N/A",N352,IF(O352&lt;&gt;"N/A",O352,"NO DATA AVAILABLE")))))</f>
        <v/>
      </c>
      <c r="Q352" s="1242" t="str">
        <f>IF(H352&gt;'I. Stream &amp; Compound Data'!$F$18,"",IF(P352="N/A",0,L352*10^(4*P352-4)))</f>
        <v/>
      </c>
      <c r="R352" s="1242" t="str">
        <f>IF(H352&gt;'I. Stream &amp; Compound Data'!$F$18,"",MAX(K175:L175))</f>
        <v/>
      </c>
      <c r="S352" s="1242" t="str">
        <f>IF(H352&gt;'I. Stream &amp; Compound Data'!$F$18,"",ROUND(Q352*R352,3))</f>
        <v/>
      </c>
      <c r="T352" s="1268" t="str">
        <f>IF(H352&gt;'I. Stream &amp; Compound Data'!$F$18,"",IF(L352="",0,ROUND(L352*R352,3)))</f>
        <v/>
      </c>
      <c r="U352" s="279"/>
      <c r="V352" s="279"/>
      <c r="W352" s="279"/>
      <c r="X352" s="279"/>
      <c r="Y352" s="279"/>
      <c r="Z352" s="279"/>
      <c r="AA352" s="279"/>
      <c r="AB352" s="279"/>
      <c r="AC352" s="279"/>
      <c r="AD352" s="279"/>
      <c r="AE352" s="279"/>
      <c r="AF352" s="279"/>
      <c r="AG352" s="279"/>
      <c r="AH352" s="279"/>
      <c r="AI352" s="279"/>
      <c r="AJ352" s="279"/>
      <c r="AK352" s="279"/>
      <c r="AL352" s="279"/>
      <c r="AM352" s="279"/>
      <c r="AN352" s="279"/>
      <c r="AO352" s="279"/>
      <c r="AP352" s="279"/>
      <c r="AQ352" s="279"/>
      <c r="AR352" s="279"/>
      <c r="AS352" s="279"/>
      <c r="AT352" s="279"/>
      <c r="AU352" s="279"/>
      <c r="AV352" s="279"/>
      <c r="AW352" s="279"/>
      <c r="AX352" s="279"/>
      <c r="AY352" s="279"/>
      <c r="AZ352" s="279"/>
      <c r="BA352" s="279"/>
      <c r="BB352" s="279"/>
      <c r="BC352" s="279"/>
      <c r="BD352" s="279"/>
      <c r="BE352" s="279"/>
      <c r="BF352" s="279"/>
      <c r="BG352" s="279"/>
      <c r="BH352" s="279"/>
      <c r="BI352" s="279"/>
      <c r="BJ352" s="279"/>
      <c r="BK352" s="279"/>
      <c r="BL352" s="279"/>
      <c r="BM352" s="279"/>
      <c r="BN352" s="279"/>
      <c r="BO352" s="279"/>
      <c r="BP352" s="279"/>
      <c r="BQ352" s="279"/>
      <c r="BR352" s="279"/>
      <c r="BS352" s="279"/>
      <c r="BT352" s="279"/>
      <c r="BU352" s="279"/>
      <c r="BV352" s="279"/>
      <c r="BW352" s="279"/>
      <c r="BX352" s="279"/>
      <c r="BY352" s="279"/>
      <c r="BZ352" s="279"/>
      <c r="CA352" s="279"/>
      <c r="CB352" s="279"/>
      <c r="CC352" s="279"/>
      <c r="CD352" s="279"/>
      <c r="CE352" s="279"/>
      <c r="CF352" s="279"/>
      <c r="CG352" s="279"/>
      <c r="CH352" s="279"/>
      <c r="CI352" s="279"/>
      <c r="CJ352" s="279"/>
      <c r="CK352" s="279"/>
      <c r="CL352" s="279"/>
      <c r="CM352" s="279"/>
      <c r="CN352" s="382"/>
    </row>
    <row r="353" ht="20.25" customHeight="true" x14ac:dyDescent="0.25">
      <c r="B353" s="361"/>
      <c r="C353" s="279"/>
      <c r="D353" s="280"/>
      <c r="E353" s="287"/>
      <c r="F353" s="287"/>
      <c r="G353" s="287"/>
      <c r="H353" s="1292">
        <f t="shared" si="15"/>
        <v>35</v>
      </c>
      <c r="I353" s="1295" t="str">
        <f>IF('I. Stream &amp; Compound Data'!BA296&lt;&gt;"",'I. Stream &amp; Compound Data'!BA296-'I. Stream &amp; Compound Data'!F$19,"")</f>
        <v/>
      </c>
      <c r="J353" s="1295" t="str">
        <f>IF('I. Stream &amp; Compound Data'!AR296&lt;&gt;"",'I. Stream &amp; Compound Data'!AR296,IF('I. Stream &amp; Compound Data'!AS296&lt;&gt;"",'I. Stream &amp; Compound Data'!AS296,""))</f>
        <v/>
      </c>
      <c r="K353" s="1190" t="str">
        <f>IF('I. Stream &amp; Compound Data'!AV296&lt;&gt;"",'I. Stream &amp; Compound Data'!AV296,"")</f>
        <v/>
      </c>
      <c r="L353" s="1190" t="str">
        <f>IF(H353&gt;'I. Stream &amp; Compound Data'!$F$18,"",IF('I. Stream &amp; Compound Data'!BB296&lt;&gt;"",'I. Stream &amp; Compound Data'!BB296,0))</f>
        <v/>
      </c>
      <c r="M353" s="1306" t="str">
        <f>IF(H353&gt;'I. Stream &amp; Compound Data'!$F$18,"",IF(I353="","N/A",ROUND(IF(I353&lt;=0,1,IF(AND(I353&gt;0,I353&lt;200),-0.005*I353+1,0)),3)))</f>
        <v/>
      </c>
      <c r="N353" s="1168" t="str">
        <f>IF(H353&gt;'I. Stream &amp; Compound Data'!$F$18,"",IF(M353="N/A",IF(J353="","N/A",IF(OR(J353=12,J353=15,J353=17,J353=18),1,IF(OR(J353=11,J353=30),0.875,IF(J353=10,0.75,0)))),"N/A"))</f>
        <v/>
      </c>
      <c r="O353" s="1242" t="str">
        <f>IF(H353&gt;'I. Stream &amp; Compound Data'!$F$18,"",IF(AND(M353="N/A",N353="N/A"),IF(K353="","N/A",IF(K353=4,1,IF(K353=3,0.833,IF(K353=2,0.667,IF(K353=1,0.5,0))))),"N/A"))</f>
        <v/>
      </c>
      <c r="P353" s="1242" t="str">
        <f>IF(H353&gt;'I. Stream &amp; Compound Data'!$F$18,"",IF(I176="","N/A",IF(M353&lt;&gt;"N/A",M353,IF(N353&lt;&gt;"N/A",N353,IF(O353&lt;&gt;"N/A",O353,"NO DATA AVAILABLE")))))</f>
        <v/>
      </c>
      <c r="Q353" s="1242" t="str">
        <f>IF(H353&gt;'I. Stream &amp; Compound Data'!$F$18,"",IF(P353="N/A",0,L353*10^(4*P353-4)))</f>
        <v/>
      </c>
      <c r="R353" s="1242" t="str">
        <f>IF(H353&gt;'I. Stream &amp; Compound Data'!$F$18,"",MAX(K176:L176))</f>
        <v/>
      </c>
      <c r="S353" s="1242" t="str">
        <f>IF(H353&gt;'I. Stream &amp; Compound Data'!$F$18,"",ROUND(Q353*R353,3))</f>
        <v/>
      </c>
      <c r="T353" s="1268" t="str">
        <f>IF(H353&gt;'I. Stream &amp; Compound Data'!$F$18,"",IF(L353="",0,ROUND(L353*R353,3)))</f>
        <v/>
      </c>
      <c r="U353" s="279"/>
      <c r="V353" s="279"/>
      <c r="W353" s="279"/>
      <c r="X353" s="279"/>
      <c r="Y353" s="279"/>
      <c r="Z353" s="279"/>
      <c r="AA353" s="279"/>
      <c r="AB353" s="279"/>
      <c r="AC353" s="279"/>
      <c r="AD353" s="279"/>
      <c r="AE353" s="279"/>
      <c r="AF353" s="279"/>
      <c r="AG353" s="279"/>
      <c r="AH353" s="279"/>
      <c r="AI353" s="279"/>
      <c r="AJ353" s="279"/>
      <c r="AK353" s="279"/>
      <c r="AL353" s="279"/>
      <c r="AM353" s="279"/>
      <c r="AN353" s="279"/>
      <c r="AO353" s="279"/>
      <c r="AP353" s="279"/>
      <c r="AQ353" s="279"/>
      <c r="AR353" s="279"/>
      <c r="AS353" s="279"/>
      <c r="AT353" s="279"/>
      <c r="AU353" s="279"/>
      <c r="AV353" s="279"/>
      <c r="AW353" s="279"/>
      <c r="AX353" s="279"/>
      <c r="AY353" s="279"/>
      <c r="AZ353" s="279"/>
      <c r="BA353" s="279"/>
      <c r="BB353" s="279"/>
      <c r="BC353" s="279"/>
      <c r="BD353" s="279"/>
      <c r="BE353" s="279"/>
      <c r="BF353" s="279"/>
      <c r="BG353" s="279"/>
      <c r="BH353" s="279"/>
      <c r="BI353" s="279"/>
      <c r="BJ353" s="279"/>
      <c r="BK353" s="279"/>
      <c r="BL353" s="279"/>
      <c r="BM353" s="279"/>
      <c r="BN353" s="279"/>
      <c r="BO353" s="279"/>
      <c r="BP353" s="279"/>
      <c r="BQ353" s="279"/>
      <c r="BR353" s="279"/>
      <c r="BS353" s="279"/>
      <c r="BT353" s="279"/>
      <c r="BU353" s="279"/>
      <c r="BV353" s="279"/>
      <c r="BW353" s="279"/>
      <c r="BX353" s="279"/>
      <c r="BY353" s="279"/>
      <c r="BZ353" s="279"/>
      <c r="CA353" s="279"/>
      <c r="CB353" s="279"/>
      <c r="CC353" s="279"/>
      <c r="CD353" s="279"/>
      <c r="CE353" s="279"/>
      <c r="CF353" s="279"/>
      <c r="CG353" s="279"/>
      <c r="CH353" s="279"/>
      <c r="CI353" s="279"/>
      <c r="CJ353" s="279"/>
      <c r="CK353" s="279"/>
      <c r="CL353" s="279"/>
      <c r="CM353" s="279"/>
      <c r="CN353" s="382"/>
    </row>
    <row r="354" ht="20.25" customHeight="true" x14ac:dyDescent="0.25">
      <c r="B354" s="361"/>
      <c r="C354" s="279"/>
      <c r="D354" s="280"/>
      <c r="E354" s="287"/>
      <c r="F354" s="287"/>
      <c r="G354" s="287"/>
      <c r="H354" s="1292">
        <f t="shared" si="15"/>
        <v>36</v>
      </c>
      <c r="I354" s="1295" t="str">
        <f>IF('I. Stream &amp; Compound Data'!BA297&lt;&gt;"",'I. Stream &amp; Compound Data'!BA297-'I. Stream &amp; Compound Data'!F$19,"")</f>
        <v/>
      </c>
      <c r="J354" s="1295" t="str">
        <f>IF('I. Stream &amp; Compound Data'!AR297&lt;&gt;"",'I. Stream &amp; Compound Data'!AR297,IF('I. Stream &amp; Compound Data'!AS297&lt;&gt;"",'I. Stream &amp; Compound Data'!AS297,""))</f>
        <v/>
      </c>
      <c r="K354" s="1190" t="str">
        <f>IF('I. Stream &amp; Compound Data'!AV297&lt;&gt;"",'I. Stream &amp; Compound Data'!AV297,"")</f>
        <v/>
      </c>
      <c r="L354" s="1190" t="str">
        <f>IF(H354&gt;'I. Stream &amp; Compound Data'!$F$18,"",IF('I. Stream &amp; Compound Data'!BB297&lt;&gt;"",'I. Stream &amp; Compound Data'!BB297,0))</f>
        <v/>
      </c>
      <c r="M354" s="1306" t="str">
        <f>IF(H354&gt;'I. Stream &amp; Compound Data'!$F$18,"",IF(I354="","N/A",ROUND(IF(I354&lt;=0,1,IF(AND(I354&gt;0,I354&lt;200),-0.005*I354+1,0)),3)))</f>
        <v/>
      </c>
      <c r="N354" s="1168" t="str">
        <f>IF(H354&gt;'I. Stream &amp; Compound Data'!$F$18,"",IF(M354="N/A",IF(J354="","N/A",IF(OR(J354=12,J354=15,J354=17,J354=18),1,IF(OR(J354=11,J354=30),0.875,IF(J354=10,0.75,0)))),"N/A"))</f>
        <v/>
      </c>
      <c r="O354" s="1242" t="str">
        <f>IF(H354&gt;'I. Stream &amp; Compound Data'!$F$18,"",IF(AND(M354="N/A",N354="N/A"),IF(K354="","N/A",IF(K354=4,1,IF(K354=3,0.833,IF(K354=2,0.667,IF(K354=1,0.5,0))))),"N/A"))</f>
        <v/>
      </c>
      <c r="P354" s="1242" t="str">
        <f>IF(H354&gt;'I. Stream &amp; Compound Data'!$F$18,"",IF(I177="","N/A",IF(M354&lt;&gt;"N/A",M354,IF(N354&lt;&gt;"N/A",N354,IF(O354&lt;&gt;"N/A",O354,"NO DATA AVAILABLE")))))</f>
        <v/>
      </c>
      <c r="Q354" s="1242" t="str">
        <f>IF(H354&gt;'I. Stream &amp; Compound Data'!$F$18,"",IF(P354="N/A",0,L354*10^(4*P354-4)))</f>
        <v/>
      </c>
      <c r="R354" s="1242" t="str">
        <f>IF(H354&gt;'I. Stream &amp; Compound Data'!$F$18,"",MAX(K177:L177))</f>
        <v/>
      </c>
      <c r="S354" s="1242" t="str">
        <f>IF(H354&gt;'I. Stream &amp; Compound Data'!$F$18,"",ROUND(Q354*R354,3))</f>
        <v/>
      </c>
      <c r="T354" s="1268" t="str">
        <f>IF(H354&gt;'I. Stream &amp; Compound Data'!$F$18,"",IF(L354="",0,ROUND(L354*R354,3)))</f>
        <v/>
      </c>
      <c r="U354" s="279"/>
      <c r="V354" s="279"/>
      <c r="W354" s="279"/>
      <c r="X354" s="279"/>
      <c r="Y354" s="279"/>
      <c r="Z354" s="279"/>
      <c r="AA354" s="279"/>
      <c r="AB354" s="279"/>
      <c r="AC354" s="279"/>
      <c r="AD354" s="279"/>
      <c r="AE354" s="279"/>
      <c r="AF354" s="279"/>
      <c r="AG354" s="279"/>
      <c r="AH354" s="279"/>
      <c r="AI354" s="279"/>
      <c r="AJ354" s="279"/>
      <c r="AK354" s="279"/>
      <c r="AL354" s="279"/>
      <c r="AM354" s="279"/>
      <c r="AN354" s="279"/>
      <c r="AO354" s="279"/>
      <c r="AP354" s="279"/>
      <c r="AQ354" s="279"/>
      <c r="AR354" s="279"/>
      <c r="AS354" s="279"/>
      <c r="AT354" s="279"/>
      <c r="AU354" s="279"/>
      <c r="AV354" s="279"/>
      <c r="AW354" s="279"/>
      <c r="AX354" s="279"/>
      <c r="AY354" s="279"/>
      <c r="AZ354" s="279"/>
      <c r="BA354" s="279"/>
      <c r="BB354" s="279"/>
      <c r="BC354" s="279"/>
      <c r="BD354" s="279"/>
      <c r="BE354" s="279"/>
      <c r="BF354" s="279"/>
      <c r="BG354" s="279"/>
      <c r="BH354" s="279"/>
      <c r="BI354" s="279"/>
      <c r="BJ354" s="279"/>
      <c r="BK354" s="279"/>
      <c r="BL354" s="279"/>
      <c r="BM354" s="279"/>
      <c r="BN354" s="279"/>
      <c r="BO354" s="279"/>
      <c r="BP354" s="279"/>
      <c r="BQ354" s="279"/>
      <c r="BR354" s="279"/>
      <c r="BS354" s="279"/>
      <c r="BT354" s="279"/>
      <c r="BU354" s="279"/>
      <c r="BV354" s="279"/>
      <c r="BW354" s="279"/>
      <c r="BX354" s="279"/>
      <c r="BY354" s="279"/>
      <c r="BZ354" s="279"/>
      <c r="CA354" s="279"/>
      <c r="CB354" s="279"/>
      <c r="CC354" s="279"/>
      <c r="CD354" s="279"/>
      <c r="CE354" s="279"/>
      <c r="CF354" s="279"/>
      <c r="CG354" s="279"/>
      <c r="CH354" s="279"/>
      <c r="CI354" s="279"/>
      <c r="CJ354" s="279"/>
      <c r="CK354" s="279"/>
      <c r="CL354" s="279"/>
      <c r="CM354" s="279"/>
      <c r="CN354" s="382"/>
    </row>
    <row r="355" ht="20.25" customHeight="true" x14ac:dyDescent="0.25">
      <c r="B355" s="361"/>
      <c r="C355" s="279"/>
      <c r="D355" s="280"/>
      <c r="E355" s="287"/>
      <c r="F355" s="287"/>
      <c r="G355" s="287"/>
      <c r="H355" s="1292">
        <f t="shared" si="15"/>
        <v>37</v>
      </c>
      <c r="I355" s="1295" t="str">
        <f>IF('I. Stream &amp; Compound Data'!BA298&lt;&gt;"",'I. Stream &amp; Compound Data'!BA298-'I. Stream &amp; Compound Data'!F$19,"")</f>
        <v/>
      </c>
      <c r="J355" s="1295" t="str">
        <f>IF('I. Stream &amp; Compound Data'!AR298&lt;&gt;"",'I. Stream &amp; Compound Data'!AR298,IF('I. Stream &amp; Compound Data'!AS298&lt;&gt;"",'I. Stream &amp; Compound Data'!AS298,""))</f>
        <v/>
      </c>
      <c r="K355" s="1190" t="str">
        <f>IF('I. Stream &amp; Compound Data'!AV298&lt;&gt;"",'I. Stream &amp; Compound Data'!AV298,"")</f>
        <v/>
      </c>
      <c r="L355" s="1190" t="str">
        <f>IF(H355&gt;'I. Stream &amp; Compound Data'!$F$18,"",IF('I. Stream &amp; Compound Data'!BB298&lt;&gt;"",'I. Stream &amp; Compound Data'!BB298,0))</f>
        <v/>
      </c>
      <c r="M355" s="1306" t="str">
        <f>IF(H355&gt;'I. Stream &amp; Compound Data'!$F$18,"",IF(I355="","N/A",ROUND(IF(I355&lt;=0,1,IF(AND(I355&gt;0,I355&lt;200),-0.005*I355+1,0)),3)))</f>
        <v/>
      </c>
      <c r="N355" s="1168" t="str">
        <f>IF(H355&gt;'I. Stream &amp; Compound Data'!$F$18,"",IF(M355="N/A",IF(J355="","N/A",IF(OR(J355=12,J355=15,J355=17,J355=18),1,IF(OR(J355=11,J355=30),0.875,IF(J355=10,0.75,0)))),"N/A"))</f>
        <v/>
      </c>
      <c r="O355" s="1242" t="str">
        <f>IF(H355&gt;'I. Stream &amp; Compound Data'!$F$18,"",IF(AND(M355="N/A",N355="N/A"),IF(K355="","N/A",IF(K355=4,1,IF(K355=3,0.833,IF(K355=2,0.667,IF(K355=1,0.5,0))))),"N/A"))</f>
        <v/>
      </c>
      <c r="P355" s="1242" t="str">
        <f>IF(H355&gt;'I. Stream &amp; Compound Data'!$F$18,"",IF(I178="","N/A",IF(M355&lt;&gt;"N/A",M355,IF(N355&lt;&gt;"N/A",N355,IF(O355&lt;&gt;"N/A",O355,"NO DATA AVAILABLE")))))</f>
        <v/>
      </c>
      <c r="Q355" s="1242" t="str">
        <f>IF(H355&gt;'I. Stream &amp; Compound Data'!$F$18,"",IF(P355="N/A",0,L355*10^(4*P355-4)))</f>
        <v/>
      </c>
      <c r="R355" s="1242" t="str">
        <f>IF(H355&gt;'I. Stream &amp; Compound Data'!$F$18,"",MAX(K178:L178))</f>
        <v/>
      </c>
      <c r="S355" s="1242" t="str">
        <f>IF(H355&gt;'I. Stream &amp; Compound Data'!$F$18,"",ROUND(Q355*R355,3))</f>
        <v/>
      </c>
      <c r="T355" s="1268" t="str">
        <f>IF(H355&gt;'I. Stream &amp; Compound Data'!$F$18,"",IF(L355="",0,ROUND(L355*R355,3)))</f>
        <v/>
      </c>
      <c r="U355" s="279"/>
      <c r="V355" s="279"/>
      <c r="W355" s="279"/>
      <c r="X355" s="279"/>
      <c r="Y355" s="279"/>
      <c r="Z355" s="279"/>
      <c r="AA355" s="279"/>
      <c r="AB355" s="279"/>
      <c r="AC355" s="279"/>
      <c r="AD355" s="279"/>
      <c r="AE355" s="279"/>
      <c r="AF355" s="279"/>
      <c r="AG355" s="279"/>
      <c r="AH355" s="279"/>
      <c r="AI355" s="279"/>
      <c r="AJ355" s="279"/>
      <c r="AK355" s="279"/>
      <c r="AL355" s="279"/>
      <c r="AM355" s="279"/>
      <c r="AN355" s="279"/>
      <c r="AO355" s="279"/>
      <c r="AP355" s="279"/>
      <c r="AQ355" s="279"/>
      <c r="AR355" s="279"/>
      <c r="AS355" s="279"/>
      <c r="AT355" s="279"/>
      <c r="AU355" s="279"/>
      <c r="AV355" s="279"/>
      <c r="AW355" s="279"/>
      <c r="AX355" s="279"/>
      <c r="AY355" s="279"/>
      <c r="AZ355" s="279"/>
      <c r="BA355" s="279"/>
      <c r="BB355" s="279"/>
      <c r="BC355" s="279"/>
      <c r="BD355" s="279"/>
      <c r="BE355" s="279"/>
      <c r="BF355" s="279"/>
      <c r="BG355" s="279"/>
      <c r="BH355" s="279"/>
      <c r="BI355" s="279"/>
      <c r="BJ355" s="279"/>
      <c r="BK355" s="279"/>
      <c r="BL355" s="279"/>
      <c r="BM355" s="279"/>
      <c r="BN355" s="279"/>
      <c r="BO355" s="279"/>
      <c r="BP355" s="279"/>
      <c r="BQ355" s="279"/>
      <c r="BR355" s="279"/>
      <c r="BS355" s="279"/>
      <c r="BT355" s="279"/>
      <c r="BU355" s="279"/>
      <c r="BV355" s="279"/>
      <c r="BW355" s="279"/>
      <c r="BX355" s="279"/>
      <c r="BY355" s="279"/>
      <c r="BZ355" s="279"/>
      <c r="CA355" s="279"/>
      <c r="CB355" s="279"/>
      <c r="CC355" s="279"/>
      <c r="CD355" s="279"/>
      <c r="CE355" s="279"/>
      <c r="CF355" s="279"/>
      <c r="CG355" s="279"/>
      <c r="CH355" s="279"/>
      <c r="CI355" s="279"/>
      <c r="CJ355" s="279"/>
      <c r="CK355" s="279"/>
      <c r="CL355" s="279"/>
      <c r="CM355" s="279"/>
      <c r="CN355" s="382"/>
    </row>
    <row r="356" ht="20.25" customHeight="true" x14ac:dyDescent="0.25">
      <c r="B356" s="361"/>
      <c r="C356" s="279"/>
      <c r="D356" s="280"/>
      <c r="E356" s="287"/>
      <c r="F356" s="287"/>
      <c r="G356" s="287"/>
      <c r="H356" s="1292">
        <f t="shared" si="15"/>
        <v>38</v>
      </c>
      <c r="I356" s="1295" t="str">
        <f>IF('I. Stream &amp; Compound Data'!BA299&lt;&gt;"",'I. Stream &amp; Compound Data'!BA299-'I. Stream &amp; Compound Data'!F$19,"")</f>
        <v/>
      </c>
      <c r="J356" s="1295" t="str">
        <f>IF('I. Stream &amp; Compound Data'!AR299&lt;&gt;"",'I. Stream &amp; Compound Data'!AR299,IF('I. Stream &amp; Compound Data'!AS299&lt;&gt;"",'I. Stream &amp; Compound Data'!AS299,""))</f>
        <v/>
      </c>
      <c r="K356" s="1190" t="str">
        <f>IF('I. Stream &amp; Compound Data'!AV299&lt;&gt;"",'I. Stream &amp; Compound Data'!AV299,"")</f>
        <v/>
      </c>
      <c r="L356" s="1190" t="str">
        <f>IF(H356&gt;'I. Stream &amp; Compound Data'!$F$18,"",IF('I. Stream &amp; Compound Data'!BB299&lt;&gt;"",'I. Stream &amp; Compound Data'!BB299,0))</f>
        <v/>
      </c>
      <c r="M356" s="1306" t="str">
        <f>IF(H356&gt;'I. Stream &amp; Compound Data'!$F$18,"",IF(I356="","N/A",ROUND(IF(I356&lt;=0,1,IF(AND(I356&gt;0,I356&lt;200),-0.005*I356+1,0)),3)))</f>
        <v/>
      </c>
      <c r="N356" s="1168" t="str">
        <f>IF(H356&gt;'I. Stream &amp; Compound Data'!$F$18,"",IF(M356="N/A",IF(J356="","N/A",IF(OR(J356=12,J356=15,J356=17,J356=18),1,IF(OR(J356=11,J356=30),0.875,IF(J356=10,0.75,0)))),"N/A"))</f>
        <v/>
      </c>
      <c r="O356" s="1242" t="str">
        <f>IF(H356&gt;'I. Stream &amp; Compound Data'!$F$18,"",IF(AND(M356="N/A",N356="N/A"),IF(K356="","N/A",IF(K356=4,1,IF(K356=3,0.833,IF(K356=2,0.667,IF(K356=1,0.5,0))))),"N/A"))</f>
        <v/>
      </c>
      <c r="P356" s="1242" t="str">
        <f>IF(H356&gt;'I. Stream &amp; Compound Data'!$F$18,"",IF(I179="","N/A",IF(M356&lt;&gt;"N/A",M356,IF(N356&lt;&gt;"N/A",N356,IF(O356&lt;&gt;"N/A",O356,"NO DATA AVAILABLE")))))</f>
        <v/>
      </c>
      <c r="Q356" s="1242" t="str">
        <f>IF(H356&gt;'I. Stream &amp; Compound Data'!$F$18,"",IF(P356="N/A",0,L356*10^(4*P356-4)))</f>
        <v/>
      </c>
      <c r="R356" s="1242" t="str">
        <f>IF(H356&gt;'I. Stream &amp; Compound Data'!$F$18,"",MAX(K179:L179))</f>
        <v/>
      </c>
      <c r="S356" s="1242" t="str">
        <f>IF(H356&gt;'I. Stream &amp; Compound Data'!$F$18,"",ROUND(Q356*R356,3))</f>
        <v/>
      </c>
      <c r="T356" s="1268" t="str">
        <f>IF(H356&gt;'I. Stream &amp; Compound Data'!$F$18,"",IF(L356="",0,ROUND(L356*R356,3)))</f>
        <v/>
      </c>
      <c r="U356" s="279"/>
      <c r="V356" s="279"/>
      <c r="W356" s="279"/>
      <c r="X356" s="279"/>
      <c r="Y356" s="279"/>
      <c r="Z356" s="279"/>
      <c r="AA356" s="279"/>
      <c r="AB356" s="279"/>
      <c r="AC356" s="279"/>
      <c r="AD356" s="279"/>
      <c r="AE356" s="279"/>
      <c r="AF356" s="279"/>
      <c r="AG356" s="279"/>
      <c r="AH356" s="279"/>
      <c r="AI356" s="279"/>
      <c r="AJ356" s="279"/>
      <c r="AK356" s="279"/>
      <c r="AL356" s="279"/>
      <c r="AM356" s="279"/>
      <c r="AN356" s="279"/>
      <c r="AO356" s="279"/>
      <c r="AP356" s="279"/>
      <c r="AQ356" s="279"/>
      <c r="AR356" s="279"/>
      <c r="AS356" s="279"/>
      <c r="AT356" s="279"/>
      <c r="AU356" s="279"/>
      <c r="AV356" s="279"/>
      <c r="AW356" s="279"/>
      <c r="AX356" s="279"/>
      <c r="AY356" s="279"/>
      <c r="AZ356" s="279"/>
      <c r="BA356" s="279"/>
      <c r="BB356" s="279"/>
      <c r="BC356" s="279"/>
      <c r="BD356" s="279"/>
      <c r="BE356" s="279"/>
      <c r="BF356" s="279"/>
      <c r="BG356" s="279"/>
      <c r="BH356" s="279"/>
      <c r="BI356" s="279"/>
      <c r="BJ356" s="279"/>
      <c r="BK356" s="279"/>
      <c r="BL356" s="279"/>
      <c r="BM356" s="279"/>
      <c r="BN356" s="279"/>
      <c r="BO356" s="279"/>
      <c r="BP356" s="279"/>
      <c r="BQ356" s="279"/>
      <c r="BR356" s="279"/>
      <c r="BS356" s="279"/>
      <c r="BT356" s="279"/>
      <c r="BU356" s="279"/>
      <c r="BV356" s="279"/>
      <c r="BW356" s="279"/>
      <c r="BX356" s="279"/>
      <c r="BY356" s="279"/>
      <c r="BZ356" s="279"/>
      <c r="CA356" s="279"/>
      <c r="CB356" s="279"/>
      <c r="CC356" s="279"/>
      <c r="CD356" s="279"/>
      <c r="CE356" s="279"/>
      <c r="CF356" s="279"/>
      <c r="CG356" s="279"/>
      <c r="CH356" s="279"/>
      <c r="CI356" s="279"/>
      <c r="CJ356" s="279"/>
      <c r="CK356" s="279"/>
      <c r="CL356" s="279"/>
      <c r="CM356" s="279"/>
      <c r="CN356" s="382"/>
    </row>
    <row r="357" ht="20.25" customHeight="true" x14ac:dyDescent="0.25">
      <c r="B357" s="361"/>
      <c r="C357" s="279"/>
      <c r="D357" s="280"/>
      <c r="E357" s="287"/>
      <c r="F357" s="287"/>
      <c r="G357" s="287"/>
      <c r="H357" s="1292">
        <f t="shared" si="15"/>
        <v>39</v>
      </c>
      <c r="I357" s="1295" t="str">
        <f>IF('I. Stream &amp; Compound Data'!BA300&lt;&gt;"",'I. Stream &amp; Compound Data'!BA300-'I. Stream &amp; Compound Data'!F$19,"")</f>
        <v/>
      </c>
      <c r="J357" s="1295" t="str">
        <f>IF('I. Stream &amp; Compound Data'!AR300&lt;&gt;"",'I. Stream &amp; Compound Data'!AR300,IF('I. Stream &amp; Compound Data'!AS300&lt;&gt;"",'I. Stream &amp; Compound Data'!AS300,""))</f>
        <v/>
      </c>
      <c r="K357" s="1190" t="str">
        <f>IF('I. Stream &amp; Compound Data'!AV300&lt;&gt;"",'I. Stream &amp; Compound Data'!AV300,"")</f>
        <v/>
      </c>
      <c r="L357" s="1190" t="str">
        <f>IF(H357&gt;'I. Stream &amp; Compound Data'!$F$18,"",IF('I. Stream &amp; Compound Data'!BB300&lt;&gt;"",'I. Stream &amp; Compound Data'!BB300,0))</f>
        <v/>
      </c>
      <c r="M357" s="1306" t="str">
        <f>IF(H357&gt;'I. Stream &amp; Compound Data'!$F$18,"",IF(I357="","N/A",ROUND(IF(I357&lt;=0,1,IF(AND(I357&gt;0,I357&lt;200),-0.005*I357+1,0)),3)))</f>
        <v/>
      </c>
      <c r="N357" s="1168" t="str">
        <f>IF(H357&gt;'I. Stream &amp; Compound Data'!$F$18,"",IF(M357="N/A",IF(J357="","N/A",IF(OR(J357=12,J357=15,J357=17,J357=18),1,IF(OR(J357=11,J357=30),0.875,IF(J357=10,0.75,0)))),"N/A"))</f>
        <v/>
      </c>
      <c r="O357" s="1242" t="str">
        <f>IF(H357&gt;'I. Stream &amp; Compound Data'!$F$18,"",IF(AND(M357="N/A",N357="N/A"),IF(K357="","N/A",IF(K357=4,1,IF(K357=3,0.833,IF(K357=2,0.667,IF(K357=1,0.5,0))))),"N/A"))</f>
        <v/>
      </c>
      <c r="P357" s="1242" t="str">
        <f>IF(H357&gt;'I. Stream &amp; Compound Data'!$F$18,"",IF(I180="","N/A",IF(M357&lt;&gt;"N/A",M357,IF(N357&lt;&gt;"N/A",N357,IF(O357&lt;&gt;"N/A",O357,"NO DATA AVAILABLE")))))</f>
        <v/>
      </c>
      <c r="Q357" s="1242" t="str">
        <f>IF(H357&gt;'I. Stream &amp; Compound Data'!$F$18,"",IF(P357="N/A",0,L357*10^(4*P357-4)))</f>
        <v/>
      </c>
      <c r="R357" s="1242" t="str">
        <f>IF(H357&gt;'I. Stream &amp; Compound Data'!$F$18,"",MAX(K180:L180))</f>
        <v/>
      </c>
      <c r="S357" s="1242" t="str">
        <f>IF(H357&gt;'I. Stream &amp; Compound Data'!$F$18,"",ROUND(Q357*R357,3))</f>
        <v/>
      </c>
      <c r="T357" s="1268" t="str">
        <f>IF(H357&gt;'I. Stream &amp; Compound Data'!$F$18,"",IF(L357="",0,ROUND(L357*R357,3)))</f>
        <v/>
      </c>
      <c r="U357" s="279"/>
      <c r="V357" s="279"/>
      <c r="W357" s="279"/>
      <c r="X357" s="279"/>
      <c r="Y357" s="279"/>
      <c r="Z357" s="279"/>
      <c r="AA357" s="279"/>
      <c r="AB357" s="279"/>
      <c r="AC357" s="279"/>
      <c r="AD357" s="279"/>
      <c r="AE357" s="279"/>
      <c r="AF357" s="279"/>
      <c r="AG357" s="279"/>
      <c r="AH357" s="279"/>
      <c r="AI357" s="279"/>
      <c r="AJ357" s="279"/>
      <c r="AK357" s="279"/>
      <c r="AL357" s="279"/>
      <c r="AM357" s="279"/>
      <c r="AN357" s="279"/>
      <c r="AO357" s="279"/>
      <c r="AP357" s="279"/>
      <c r="AQ357" s="279"/>
      <c r="AR357" s="279"/>
      <c r="AS357" s="279"/>
      <c r="AT357" s="279"/>
      <c r="AU357" s="279"/>
      <c r="AV357" s="279"/>
      <c r="AW357" s="279"/>
      <c r="AX357" s="279"/>
      <c r="AY357" s="279"/>
      <c r="AZ357" s="279"/>
      <c r="BA357" s="279"/>
      <c r="BB357" s="279"/>
      <c r="BC357" s="279"/>
      <c r="BD357" s="279"/>
      <c r="BE357" s="279"/>
      <c r="BF357" s="279"/>
      <c r="BG357" s="279"/>
      <c r="BH357" s="279"/>
      <c r="BI357" s="279"/>
      <c r="BJ357" s="279"/>
      <c r="BK357" s="279"/>
      <c r="BL357" s="279"/>
      <c r="BM357" s="279"/>
      <c r="BN357" s="279"/>
      <c r="BO357" s="279"/>
      <c r="BP357" s="279"/>
      <c r="BQ357" s="279"/>
      <c r="BR357" s="279"/>
      <c r="BS357" s="279"/>
      <c r="BT357" s="279"/>
      <c r="BU357" s="279"/>
      <c r="BV357" s="279"/>
      <c r="BW357" s="279"/>
      <c r="BX357" s="279"/>
      <c r="BY357" s="279"/>
      <c r="BZ357" s="279"/>
      <c r="CA357" s="279"/>
      <c r="CB357" s="279"/>
      <c r="CC357" s="279"/>
      <c r="CD357" s="279"/>
      <c r="CE357" s="279"/>
      <c r="CF357" s="279"/>
      <c r="CG357" s="279"/>
      <c r="CH357" s="279"/>
      <c r="CI357" s="279"/>
      <c r="CJ357" s="279"/>
      <c r="CK357" s="279"/>
      <c r="CL357" s="279"/>
      <c r="CM357" s="279"/>
      <c r="CN357" s="382"/>
    </row>
    <row r="358" ht="20.25" customHeight="true" x14ac:dyDescent="0.25">
      <c r="B358" s="361"/>
      <c r="C358" s="279"/>
      <c r="D358" s="280"/>
      <c r="E358" s="287"/>
      <c r="F358" s="287"/>
      <c r="G358" s="287"/>
      <c r="H358" s="1292">
        <f t="shared" si="15"/>
        <v>40</v>
      </c>
      <c r="I358" s="1295" t="str">
        <f>IF('I. Stream &amp; Compound Data'!BA301&lt;&gt;"",'I. Stream &amp; Compound Data'!BA301-'I. Stream &amp; Compound Data'!F$19,"")</f>
        <v/>
      </c>
      <c r="J358" s="1295" t="str">
        <f>IF('I. Stream &amp; Compound Data'!AR301&lt;&gt;"",'I. Stream &amp; Compound Data'!AR301,IF('I. Stream &amp; Compound Data'!AS301&lt;&gt;"",'I. Stream &amp; Compound Data'!AS301,""))</f>
        <v/>
      </c>
      <c r="K358" s="1190" t="str">
        <f>IF('I. Stream &amp; Compound Data'!AV301&lt;&gt;"",'I. Stream &amp; Compound Data'!AV301,"")</f>
        <v/>
      </c>
      <c r="L358" s="1190" t="str">
        <f>IF(H358&gt;'I. Stream &amp; Compound Data'!$F$18,"",IF('I. Stream &amp; Compound Data'!BB301&lt;&gt;"",'I. Stream &amp; Compound Data'!BB301,0))</f>
        <v/>
      </c>
      <c r="M358" s="1306" t="str">
        <f>IF(H358&gt;'I. Stream &amp; Compound Data'!$F$18,"",IF(I358="","N/A",ROUND(IF(I358&lt;=0,1,IF(AND(I358&gt;0,I358&lt;200),-0.005*I358+1,0)),3)))</f>
        <v/>
      </c>
      <c r="N358" s="1168" t="str">
        <f>IF(H358&gt;'I. Stream &amp; Compound Data'!$F$18,"",IF(M358="N/A",IF(J358="","N/A",IF(OR(J358=12,J358=15,J358=17,J358=18),1,IF(OR(J358=11,J358=30),0.875,IF(J358=10,0.75,0)))),"N/A"))</f>
        <v/>
      </c>
      <c r="O358" s="1242" t="str">
        <f>IF(H358&gt;'I. Stream &amp; Compound Data'!$F$18,"",IF(AND(M358="N/A",N358="N/A"),IF(K358="","N/A",IF(K358=4,1,IF(K358=3,0.833,IF(K358=2,0.667,IF(K358=1,0.5,0))))),"N/A"))</f>
        <v/>
      </c>
      <c r="P358" s="1242" t="str">
        <f>IF(H358&gt;'I. Stream &amp; Compound Data'!$F$18,"",IF(I181="","N/A",IF(M358&lt;&gt;"N/A",M358,IF(N358&lt;&gt;"N/A",N358,IF(O358&lt;&gt;"N/A",O358,"NO DATA AVAILABLE")))))</f>
        <v/>
      </c>
      <c r="Q358" s="1242" t="str">
        <f>IF(H358&gt;'I. Stream &amp; Compound Data'!$F$18,"",IF(P358="N/A",0,L358*10^(4*P358-4)))</f>
        <v/>
      </c>
      <c r="R358" s="1242" t="str">
        <f>IF(H358&gt;'I. Stream &amp; Compound Data'!$F$18,"",MAX(K181:L181))</f>
        <v/>
      </c>
      <c r="S358" s="1242" t="str">
        <f>IF(H358&gt;'I. Stream &amp; Compound Data'!$F$18,"",ROUND(Q358*R358,3))</f>
        <v/>
      </c>
      <c r="T358" s="1268" t="str">
        <f>IF(H358&gt;'I. Stream &amp; Compound Data'!$F$18,"",IF(L358="",0,ROUND(L358*R358,3)))</f>
        <v/>
      </c>
      <c r="U358" s="279"/>
      <c r="V358" s="279"/>
      <c r="W358" s="279"/>
      <c r="X358" s="279"/>
      <c r="Y358" s="279"/>
      <c r="Z358" s="279"/>
      <c r="AA358" s="279"/>
      <c r="AB358" s="279"/>
      <c r="AC358" s="279"/>
      <c r="AD358" s="279"/>
      <c r="AE358" s="279"/>
      <c r="AF358" s="279"/>
      <c r="AG358" s="279"/>
      <c r="AH358" s="279"/>
      <c r="AI358" s="279"/>
      <c r="AJ358" s="279"/>
      <c r="AK358" s="279"/>
      <c r="AL358" s="279"/>
      <c r="AM358" s="279"/>
      <c r="AN358" s="279"/>
      <c r="AO358" s="279"/>
      <c r="AP358" s="279"/>
      <c r="AQ358" s="279"/>
      <c r="AR358" s="279"/>
      <c r="AS358" s="279"/>
      <c r="AT358" s="279"/>
      <c r="AU358" s="279"/>
      <c r="AV358" s="279"/>
      <c r="AW358" s="279"/>
      <c r="AX358" s="279"/>
      <c r="AY358" s="279"/>
      <c r="AZ358" s="279"/>
      <c r="BA358" s="279"/>
      <c r="BB358" s="279"/>
      <c r="BC358" s="279"/>
      <c r="BD358" s="279"/>
      <c r="BE358" s="279"/>
      <c r="BF358" s="279"/>
      <c r="BG358" s="279"/>
      <c r="BH358" s="279"/>
      <c r="BI358" s="279"/>
      <c r="BJ358" s="279"/>
      <c r="BK358" s="279"/>
      <c r="BL358" s="279"/>
      <c r="BM358" s="279"/>
      <c r="BN358" s="279"/>
      <c r="BO358" s="279"/>
      <c r="BP358" s="279"/>
      <c r="BQ358" s="279"/>
      <c r="BR358" s="279"/>
      <c r="BS358" s="279"/>
      <c r="BT358" s="279"/>
      <c r="BU358" s="279"/>
      <c r="BV358" s="279"/>
      <c r="BW358" s="279"/>
      <c r="BX358" s="279"/>
      <c r="BY358" s="279"/>
      <c r="BZ358" s="279"/>
      <c r="CA358" s="279"/>
      <c r="CB358" s="279"/>
      <c r="CC358" s="279"/>
      <c r="CD358" s="279"/>
      <c r="CE358" s="279"/>
      <c r="CF358" s="279"/>
      <c r="CG358" s="279"/>
      <c r="CH358" s="279"/>
      <c r="CI358" s="279"/>
      <c r="CJ358" s="279"/>
      <c r="CK358" s="279"/>
      <c r="CL358" s="279"/>
      <c r="CM358" s="279"/>
      <c r="CN358" s="382"/>
    </row>
    <row r="359" ht="20.25" customHeight="true" x14ac:dyDescent="0.25">
      <c r="B359" s="361"/>
      <c r="C359" s="279"/>
      <c r="D359" s="280"/>
      <c r="E359" s="287"/>
      <c r="F359" s="287"/>
      <c r="G359" s="287"/>
      <c r="H359" s="1292">
        <f t="shared" si="15"/>
        <v>41</v>
      </c>
      <c r="I359" s="1295" t="str">
        <f>IF('I. Stream &amp; Compound Data'!BA302&lt;&gt;"",'I. Stream &amp; Compound Data'!BA302-'I. Stream &amp; Compound Data'!F$19,"")</f>
        <v/>
      </c>
      <c r="J359" s="1295" t="str">
        <f>IF('I. Stream &amp; Compound Data'!AR302&lt;&gt;"",'I. Stream &amp; Compound Data'!AR302,IF('I. Stream &amp; Compound Data'!AS302&lt;&gt;"",'I. Stream &amp; Compound Data'!AS302,""))</f>
        <v/>
      </c>
      <c r="K359" s="1190" t="str">
        <f>IF('I. Stream &amp; Compound Data'!AV302&lt;&gt;"",'I. Stream &amp; Compound Data'!AV302,"")</f>
        <v/>
      </c>
      <c r="L359" s="1190" t="str">
        <f>IF(H359&gt;'I. Stream &amp; Compound Data'!$F$18,"",IF('I. Stream &amp; Compound Data'!BB302&lt;&gt;"",'I. Stream &amp; Compound Data'!BB302,0))</f>
        <v/>
      </c>
      <c r="M359" s="1306" t="str">
        <f>IF(H359&gt;'I. Stream &amp; Compound Data'!$F$18,"",IF(I359="","N/A",ROUND(IF(I359&lt;=0,1,IF(AND(I359&gt;0,I359&lt;200),-0.005*I359+1,0)),3)))</f>
        <v/>
      </c>
      <c r="N359" s="1168" t="str">
        <f>IF(H359&gt;'I. Stream &amp; Compound Data'!$F$18,"",IF(M359="N/A",IF(J359="","N/A",IF(OR(J359=12,J359=15,J359=17,J359=18),1,IF(OR(J359=11,J359=30),0.875,IF(J359=10,0.75,0)))),"N/A"))</f>
        <v/>
      </c>
      <c r="O359" s="1242" t="str">
        <f>IF(H359&gt;'I. Stream &amp; Compound Data'!$F$18,"",IF(AND(M359="N/A",N359="N/A"),IF(K359="","N/A",IF(K359=4,1,IF(K359=3,0.833,IF(K359=2,0.667,IF(K359=1,0.5,0))))),"N/A"))</f>
        <v/>
      </c>
      <c r="P359" s="1242" t="str">
        <f>IF(H359&gt;'I. Stream &amp; Compound Data'!$F$18,"",IF(I182="","N/A",IF(M359&lt;&gt;"N/A",M359,IF(N359&lt;&gt;"N/A",N359,IF(O359&lt;&gt;"N/A",O359,"NO DATA AVAILABLE")))))</f>
        <v/>
      </c>
      <c r="Q359" s="1242" t="str">
        <f>IF(H359&gt;'I. Stream &amp; Compound Data'!$F$18,"",IF(P359="N/A",0,L359*10^(4*P359-4)))</f>
        <v/>
      </c>
      <c r="R359" s="1242" t="str">
        <f>IF(H359&gt;'I. Stream &amp; Compound Data'!$F$18,"",MAX(K182:L182))</f>
        <v/>
      </c>
      <c r="S359" s="1242" t="str">
        <f>IF(H359&gt;'I. Stream &amp; Compound Data'!$F$18,"",ROUND(Q359*R359,3))</f>
        <v/>
      </c>
      <c r="T359" s="1268" t="str">
        <f>IF(H359&gt;'I. Stream &amp; Compound Data'!$F$18,"",IF(L359="",0,ROUND(L359*R359,3)))</f>
        <v/>
      </c>
      <c r="U359" s="279"/>
      <c r="V359" s="279"/>
      <c r="W359" s="279"/>
      <c r="X359" s="279"/>
      <c r="Y359" s="279"/>
      <c r="Z359" s="279"/>
      <c r="AA359" s="279"/>
      <c r="AB359" s="279"/>
      <c r="AC359" s="279"/>
      <c r="AD359" s="279"/>
      <c r="AE359" s="279"/>
      <c r="AF359" s="279"/>
      <c r="AG359" s="279"/>
      <c r="AH359" s="279"/>
      <c r="AI359" s="279"/>
      <c r="AJ359" s="279"/>
      <c r="AK359" s="279"/>
      <c r="AL359" s="279"/>
      <c r="AM359" s="279"/>
      <c r="AN359" s="279"/>
      <c r="AO359" s="279"/>
      <c r="AP359" s="279"/>
      <c r="AQ359" s="279"/>
      <c r="AR359" s="279"/>
      <c r="AS359" s="279"/>
      <c r="AT359" s="279"/>
      <c r="AU359" s="279"/>
      <c r="AV359" s="279"/>
      <c r="AW359" s="279"/>
      <c r="AX359" s="279"/>
      <c r="AY359" s="279"/>
      <c r="AZ359" s="279"/>
      <c r="BA359" s="279"/>
      <c r="BB359" s="279"/>
      <c r="BC359" s="279"/>
      <c r="BD359" s="279"/>
      <c r="BE359" s="279"/>
      <c r="BF359" s="279"/>
      <c r="BG359" s="279"/>
      <c r="BH359" s="279"/>
      <c r="BI359" s="279"/>
      <c r="BJ359" s="279"/>
      <c r="BK359" s="279"/>
      <c r="BL359" s="279"/>
      <c r="BM359" s="279"/>
      <c r="BN359" s="279"/>
      <c r="BO359" s="279"/>
      <c r="BP359" s="279"/>
      <c r="BQ359" s="279"/>
      <c r="BR359" s="279"/>
      <c r="BS359" s="279"/>
      <c r="BT359" s="279"/>
      <c r="BU359" s="279"/>
      <c r="BV359" s="279"/>
      <c r="BW359" s="279"/>
      <c r="BX359" s="279"/>
      <c r="BY359" s="279"/>
      <c r="BZ359" s="279"/>
      <c r="CA359" s="279"/>
      <c r="CB359" s="279"/>
      <c r="CC359" s="279"/>
      <c r="CD359" s="279"/>
      <c r="CE359" s="279"/>
      <c r="CF359" s="279"/>
      <c r="CG359" s="279"/>
      <c r="CH359" s="279"/>
      <c r="CI359" s="279"/>
      <c r="CJ359" s="279"/>
      <c r="CK359" s="279"/>
      <c r="CL359" s="279"/>
      <c r="CM359" s="279"/>
      <c r="CN359" s="382"/>
    </row>
    <row r="360" ht="20.25" customHeight="true" x14ac:dyDescent="0.25">
      <c r="B360" s="361"/>
      <c r="C360" s="279"/>
      <c r="D360" s="280"/>
      <c r="E360" s="287"/>
      <c r="F360" s="287"/>
      <c r="G360" s="287"/>
      <c r="H360" s="1292">
        <f t="shared" si="15"/>
        <v>42</v>
      </c>
      <c r="I360" s="1295" t="str">
        <f>IF('I. Stream &amp; Compound Data'!BA303&lt;&gt;"",'I. Stream &amp; Compound Data'!BA303-'I. Stream &amp; Compound Data'!F$19,"")</f>
        <v/>
      </c>
      <c r="J360" s="1295" t="str">
        <f>IF('I. Stream &amp; Compound Data'!AR303&lt;&gt;"",'I. Stream &amp; Compound Data'!AR303,IF('I. Stream &amp; Compound Data'!AS303&lt;&gt;"",'I. Stream &amp; Compound Data'!AS303,""))</f>
        <v/>
      </c>
      <c r="K360" s="1190" t="str">
        <f>IF('I. Stream &amp; Compound Data'!AV303&lt;&gt;"",'I. Stream &amp; Compound Data'!AV303,"")</f>
        <v/>
      </c>
      <c r="L360" s="1190" t="str">
        <f>IF(H360&gt;'I. Stream &amp; Compound Data'!$F$18,"",IF('I. Stream &amp; Compound Data'!BB303&lt;&gt;"",'I. Stream &amp; Compound Data'!BB303,0))</f>
        <v/>
      </c>
      <c r="M360" s="1306" t="str">
        <f>IF(H360&gt;'I. Stream &amp; Compound Data'!$F$18,"",IF(I360="","N/A",ROUND(IF(I360&lt;=0,1,IF(AND(I360&gt;0,I360&lt;200),-0.005*I360+1,0)),3)))</f>
        <v/>
      </c>
      <c r="N360" s="1168" t="str">
        <f>IF(H360&gt;'I. Stream &amp; Compound Data'!$F$18,"",IF(M360="N/A",IF(J360="","N/A",IF(OR(J360=12,J360=15,J360=17,J360=18),1,IF(OR(J360=11,J360=30),0.875,IF(J360=10,0.75,0)))),"N/A"))</f>
        <v/>
      </c>
      <c r="O360" s="1242" t="str">
        <f>IF(H360&gt;'I. Stream &amp; Compound Data'!$F$18,"",IF(AND(M360="N/A",N360="N/A"),IF(K360="","N/A",IF(K360=4,1,IF(K360=3,0.833,IF(K360=2,0.667,IF(K360=1,0.5,0))))),"N/A"))</f>
        <v/>
      </c>
      <c r="P360" s="1242" t="str">
        <f>IF(H360&gt;'I. Stream &amp; Compound Data'!$F$18,"",IF(I183="","N/A",IF(M360&lt;&gt;"N/A",M360,IF(N360&lt;&gt;"N/A",N360,IF(O360&lt;&gt;"N/A",O360,"NO DATA AVAILABLE")))))</f>
        <v/>
      </c>
      <c r="Q360" s="1242" t="str">
        <f>IF(H360&gt;'I. Stream &amp; Compound Data'!$F$18,"",IF(P360="N/A",0,L360*10^(4*P360-4)))</f>
        <v/>
      </c>
      <c r="R360" s="1242" t="str">
        <f>IF(H360&gt;'I. Stream &amp; Compound Data'!$F$18,"",MAX(K183:L183))</f>
        <v/>
      </c>
      <c r="S360" s="1242" t="str">
        <f>IF(H360&gt;'I. Stream &amp; Compound Data'!$F$18,"",ROUND(Q360*R360,3))</f>
        <v/>
      </c>
      <c r="T360" s="1268" t="str">
        <f>IF(H360&gt;'I. Stream &amp; Compound Data'!$F$18,"",IF(L360="",0,ROUND(L360*R360,3)))</f>
        <v/>
      </c>
      <c r="U360" s="279"/>
      <c r="V360" s="279"/>
      <c r="W360" s="279"/>
      <c r="X360" s="279"/>
      <c r="Y360" s="279"/>
      <c r="Z360" s="279"/>
      <c r="AA360" s="279"/>
      <c r="AB360" s="279"/>
      <c r="AC360" s="279"/>
      <c r="AD360" s="279"/>
      <c r="AE360" s="279"/>
      <c r="AF360" s="279"/>
      <c r="AG360" s="279"/>
      <c r="AH360" s="279"/>
      <c r="AI360" s="279"/>
      <c r="AJ360" s="279"/>
      <c r="AK360" s="279"/>
      <c r="AL360" s="279"/>
      <c r="AM360" s="279"/>
      <c r="AN360" s="279"/>
      <c r="AO360" s="279"/>
      <c r="AP360" s="279"/>
      <c r="AQ360" s="279"/>
      <c r="AR360" s="279"/>
      <c r="AS360" s="279"/>
      <c r="AT360" s="279"/>
      <c r="AU360" s="279"/>
      <c r="AV360" s="279"/>
      <c r="AW360" s="279"/>
      <c r="AX360" s="279"/>
      <c r="AY360" s="279"/>
      <c r="AZ360" s="279"/>
      <c r="BA360" s="279"/>
      <c r="BB360" s="279"/>
      <c r="BC360" s="279"/>
      <c r="BD360" s="279"/>
      <c r="BE360" s="279"/>
      <c r="BF360" s="279"/>
      <c r="BG360" s="279"/>
      <c r="BH360" s="279"/>
      <c r="BI360" s="279"/>
      <c r="BJ360" s="279"/>
      <c r="BK360" s="279"/>
      <c r="BL360" s="279"/>
      <c r="BM360" s="279"/>
      <c r="BN360" s="279"/>
      <c r="BO360" s="279"/>
      <c r="BP360" s="279"/>
      <c r="BQ360" s="279"/>
      <c r="BR360" s="279"/>
      <c r="BS360" s="279"/>
      <c r="BT360" s="279"/>
      <c r="BU360" s="279"/>
      <c r="BV360" s="279"/>
      <c r="BW360" s="279"/>
      <c r="BX360" s="279"/>
      <c r="BY360" s="279"/>
      <c r="BZ360" s="279"/>
      <c r="CA360" s="279"/>
      <c r="CB360" s="279"/>
      <c r="CC360" s="279"/>
      <c r="CD360" s="279"/>
      <c r="CE360" s="279"/>
      <c r="CF360" s="279"/>
      <c r="CG360" s="279"/>
      <c r="CH360" s="279"/>
      <c r="CI360" s="279"/>
      <c r="CJ360" s="279"/>
      <c r="CK360" s="279"/>
      <c r="CL360" s="279"/>
      <c r="CM360" s="279"/>
      <c r="CN360" s="382"/>
    </row>
    <row r="361" ht="20.25" customHeight="true" x14ac:dyDescent="0.25">
      <c r="B361" s="361"/>
      <c r="C361" s="279"/>
      <c r="D361" s="280"/>
      <c r="E361" s="287"/>
      <c r="F361" s="287"/>
      <c r="G361" s="287"/>
      <c r="H361" s="1292">
        <f t="shared" si="15"/>
        <v>43</v>
      </c>
      <c r="I361" s="1295" t="str">
        <f>IF('I. Stream &amp; Compound Data'!BA304&lt;&gt;"",'I. Stream &amp; Compound Data'!BA304-'I. Stream &amp; Compound Data'!F$19,"")</f>
        <v/>
      </c>
      <c r="J361" s="1295" t="str">
        <f>IF('I. Stream &amp; Compound Data'!AR304&lt;&gt;"",'I. Stream &amp; Compound Data'!AR304,IF('I. Stream &amp; Compound Data'!AS304&lt;&gt;"",'I. Stream &amp; Compound Data'!AS304,""))</f>
        <v/>
      </c>
      <c r="K361" s="1190" t="str">
        <f>IF('I. Stream &amp; Compound Data'!AV304&lt;&gt;"",'I. Stream &amp; Compound Data'!AV304,"")</f>
        <v/>
      </c>
      <c r="L361" s="1190" t="str">
        <f>IF(H361&gt;'I. Stream &amp; Compound Data'!$F$18,"",IF('I. Stream &amp; Compound Data'!BB304&lt;&gt;"",'I. Stream &amp; Compound Data'!BB304,0))</f>
        <v/>
      </c>
      <c r="M361" s="1306" t="str">
        <f>IF(H361&gt;'I. Stream &amp; Compound Data'!$F$18,"",IF(I361="","N/A",ROUND(IF(I361&lt;=0,1,IF(AND(I361&gt;0,I361&lt;200),-0.005*I361+1,0)),3)))</f>
        <v/>
      </c>
      <c r="N361" s="1168" t="str">
        <f>IF(H361&gt;'I. Stream &amp; Compound Data'!$F$18,"",IF(M361="N/A",IF(J361="","N/A",IF(OR(J361=12,J361=15,J361=17,J361=18),1,IF(OR(J361=11,J361=30),0.875,IF(J361=10,0.75,0)))),"N/A"))</f>
        <v/>
      </c>
      <c r="O361" s="1242" t="str">
        <f>IF(H361&gt;'I. Stream &amp; Compound Data'!$F$18,"",IF(AND(M361="N/A",N361="N/A"),IF(K361="","N/A",IF(K361=4,1,IF(K361=3,0.833,IF(K361=2,0.667,IF(K361=1,0.5,0))))),"N/A"))</f>
        <v/>
      </c>
      <c r="P361" s="1242" t="str">
        <f>IF(H361&gt;'I. Stream &amp; Compound Data'!$F$18,"",IF(I184="","N/A",IF(M361&lt;&gt;"N/A",M361,IF(N361&lt;&gt;"N/A",N361,IF(O361&lt;&gt;"N/A",O361,"NO DATA AVAILABLE")))))</f>
        <v/>
      </c>
      <c r="Q361" s="1242" t="str">
        <f>IF(H361&gt;'I. Stream &amp; Compound Data'!$F$18,"",IF(P361="N/A",0,L361*10^(4*P361-4)))</f>
        <v/>
      </c>
      <c r="R361" s="1242" t="str">
        <f>IF(H361&gt;'I. Stream &amp; Compound Data'!$F$18,"",MAX(K184:L184))</f>
        <v/>
      </c>
      <c r="S361" s="1242" t="str">
        <f>IF(H361&gt;'I. Stream &amp; Compound Data'!$F$18,"",ROUND(Q361*R361,3))</f>
        <v/>
      </c>
      <c r="T361" s="1268" t="str">
        <f>IF(H361&gt;'I. Stream &amp; Compound Data'!$F$18,"",IF(L361="",0,ROUND(L361*R361,3)))</f>
        <v/>
      </c>
      <c r="U361" s="279"/>
      <c r="V361" s="279"/>
      <c r="W361" s="279"/>
      <c r="X361" s="279"/>
      <c r="Y361" s="279"/>
      <c r="Z361" s="279"/>
      <c r="AA361" s="279"/>
      <c r="AB361" s="279"/>
      <c r="AC361" s="279"/>
      <c r="AD361" s="279"/>
      <c r="AE361" s="279"/>
      <c r="AF361" s="279"/>
      <c r="AG361" s="279"/>
      <c r="AH361" s="279"/>
      <c r="AI361" s="279"/>
      <c r="AJ361" s="279"/>
      <c r="AK361" s="279"/>
      <c r="AL361" s="279"/>
      <c r="AM361" s="279"/>
      <c r="AN361" s="279"/>
      <c r="AO361" s="279"/>
      <c r="AP361" s="279"/>
      <c r="AQ361" s="279"/>
      <c r="AR361" s="279"/>
      <c r="AS361" s="279"/>
      <c r="AT361" s="279"/>
      <c r="AU361" s="279"/>
      <c r="AV361" s="279"/>
      <c r="AW361" s="279"/>
      <c r="AX361" s="279"/>
      <c r="AY361" s="279"/>
      <c r="AZ361" s="279"/>
      <c r="BA361" s="279"/>
      <c r="BB361" s="279"/>
      <c r="BC361" s="279"/>
      <c r="BD361" s="279"/>
      <c r="BE361" s="279"/>
      <c r="BF361" s="279"/>
      <c r="BG361" s="279"/>
      <c r="BH361" s="279"/>
      <c r="BI361" s="279"/>
      <c r="BJ361" s="279"/>
      <c r="BK361" s="279"/>
      <c r="BL361" s="279"/>
      <c r="BM361" s="279"/>
      <c r="BN361" s="279"/>
      <c r="BO361" s="279"/>
      <c r="BP361" s="279"/>
      <c r="BQ361" s="279"/>
      <c r="BR361" s="279"/>
      <c r="BS361" s="279"/>
      <c r="BT361" s="279"/>
      <c r="BU361" s="279"/>
      <c r="BV361" s="279"/>
      <c r="BW361" s="279"/>
      <c r="BX361" s="279"/>
      <c r="BY361" s="279"/>
      <c r="BZ361" s="279"/>
      <c r="CA361" s="279"/>
      <c r="CB361" s="279"/>
      <c r="CC361" s="279"/>
      <c r="CD361" s="279"/>
      <c r="CE361" s="279"/>
      <c r="CF361" s="279"/>
      <c r="CG361" s="279"/>
      <c r="CH361" s="279"/>
      <c r="CI361" s="279"/>
      <c r="CJ361" s="279"/>
      <c r="CK361" s="279"/>
      <c r="CL361" s="279"/>
      <c r="CM361" s="279"/>
      <c r="CN361" s="382"/>
    </row>
    <row r="362" ht="20.25" customHeight="true" x14ac:dyDescent="0.25">
      <c r="B362" s="361"/>
      <c r="C362" s="279"/>
      <c r="D362" s="280"/>
      <c r="E362" s="287"/>
      <c r="F362" s="287"/>
      <c r="G362" s="287"/>
      <c r="H362" s="1292">
        <f t="shared" si="15"/>
        <v>44</v>
      </c>
      <c r="I362" s="1295" t="str">
        <f>IF('I. Stream &amp; Compound Data'!BA305&lt;&gt;"",'I. Stream &amp; Compound Data'!BA305-'I. Stream &amp; Compound Data'!F$19,"")</f>
        <v/>
      </c>
      <c r="J362" s="1295" t="str">
        <f>IF('I. Stream &amp; Compound Data'!AR305&lt;&gt;"",'I. Stream &amp; Compound Data'!AR305,IF('I. Stream &amp; Compound Data'!AS305&lt;&gt;"",'I. Stream &amp; Compound Data'!AS305,""))</f>
        <v/>
      </c>
      <c r="K362" s="1190" t="str">
        <f>IF('I. Stream &amp; Compound Data'!AV305&lt;&gt;"",'I. Stream &amp; Compound Data'!AV305,"")</f>
        <v/>
      </c>
      <c r="L362" s="1190" t="str">
        <f>IF(H362&gt;'I. Stream &amp; Compound Data'!$F$18,"",IF('I. Stream &amp; Compound Data'!BB305&lt;&gt;"",'I. Stream &amp; Compound Data'!BB305,0))</f>
        <v/>
      </c>
      <c r="M362" s="1306" t="str">
        <f>IF(H362&gt;'I. Stream &amp; Compound Data'!$F$18,"",IF(I362="","N/A",ROUND(IF(I362&lt;=0,1,IF(AND(I362&gt;0,I362&lt;200),-0.005*I362+1,0)),3)))</f>
        <v/>
      </c>
      <c r="N362" s="1168" t="str">
        <f>IF(H362&gt;'I. Stream &amp; Compound Data'!$F$18,"",IF(M362="N/A",IF(J362="","N/A",IF(OR(J362=12,J362=15,J362=17,J362=18),1,IF(OR(J362=11,J362=30),0.875,IF(J362=10,0.75,0)))),"N/A"))</f>
        <v/>
      </c>
      <c r="O362" s="1242" t="str">
        <f>IF(H362&gt;'I. Stream &amp; Compound Data'!$F$18,"",IF(AND(M362="N/A",N362="N/A"),IF(K362="","N/A",IF(K362=4,1,IF(K362=3,0.833,IF(K362=2,0.667,IF(K362=1,0.5,0))))),"N/A"))</f>
        <v/>
      </c>
      <c r="P362" s="1242" t="str">
        <f>IF(H362&gt;'I. Stream &amp; Compound Data'!$F$18,"",IF(I185="","N/A",IF(M362&lt;&gt;"N/A",M362,IF(N362&lt;&gt;"N/A",N362,IF(O362&lt;&gt;"N/A",O362,"NO DATA AVAILABLE")))))</f>
        <v/>
      </c>
      <c r="Q362" s="1242" t="str">
        <f>IF(H362&gt;'I. Stream &amp; Compound Data'!$F$18,"",IF(P362="N/A",0,L362*10^(4*P362-4)))</f>
        <v/>
      </c>
      <c r="R362" s="1242" t="str">
        <f>IF(H362&gt;'I. Stream &amp; Compound Data'!$F$18,"",MAX(K185:L185))</f>
        <v/>
      </c>
      <c r="S362" s="1242" t="str">
        <f>IF(H362&gt;'I. Stream &amp; Compound Data'!$F$18,"",ROUND(Q362*R362,3))</f>
        <v/>
      </c>
      <c r="T362" s="1268" t="str">
        <f>IF(H362&gt;'I. Stream &amp; Compound Data'!$F$18,"",IF(L362="",0,ROUND(L362*R362,3)))</f>
        <v/>
      </c>
      <c r="U362" s="279"/>
      <c r="V362" s="279"/>
      <c r="W362" s="279"/>
      <c r="X362" s="279"/>
      <c r="Y362" s="279"/>
      <c r="Z362" s="279"/>
      <c r="AA362" s="279"/>
      <c r="AB362" s="279"/>
      <c r="AC362" s="279"/>
      <c r="AD362" s="279"/>
      <c r="AE362" s="279"/>
      <c r="AF362" s="279"/>
      <c r="AG362" s="279"/>
      <c r="AH362" s="279"/>
      <c r="AI362" s="279"/>
      <c r="AJ362" s="279"/>
      <c r="AK362" s="279"/>
      <c r="AL362" s="279"/>
      <c r="AM362" s="279"/>
      <c r="AN362" s="279"/>
      <c r="AO362" s="279"/>
      <c r="AP362" s="279"/>
      <c r="AQ362" s="279"/>
      <c r="AR362" s="279"/>
      <c r="AS362" s="279"/>
      <c r="AT362" s="279"/>
      <c r="AU362" s="279"/>
      <c r="AV362" s="279"/>
      <c r="AW362" s="279"/>
      <c r="AX362" s="279"/>
      <c r="AY362" s="279"/>
      <c r="AZ362" s="279"/>
      <c r="BA362" s="279"/>
      <c r="BB362" s="279"/>
      <c r="BC362" s="279"/>
      <c r="BD362" s="279"/>
      <c r="BE362" s="279"/>
      <c r="BF362" s="279"/>
      <c r="BG362" s="279"/>
      <c r="BH362" s="279"/>
      <c r="BI362" s="279"/>
      <c r="BJ362" s="279"/>
      <c r="BK362" s="279"/>
      <c r="BL362" s="279"/>
      <c r="BM362" s="279"/>
      <c r="BN362" s="279"/>
      <c r="BO362" s="279"/>
      <c r="BP362" s="279"/>
      <c r="BQ362" s="279"/>
      <c r="BR362" s="279"/>
      <c r="BS362" s="279"/>
      <c r="BT362" s="279"/>
      <c r="BU362" s="279"/>
      <c r="BV362" s="279"/>
      <c r="BW362" s="279"/>
      <c r="BX362" s="279"/>
      <c r="BY362" s="279"/>
      <c r="BZ362" s="279"/>
      <c r="CA362" s="279"/>
      <c r="CB362" s="279"/>
      <c r="CC362" s="279"/>
      <c r="CD362" s="279"/>
      <c r="CE362" s="279"/>
      <c r="CF362" s="279"/>
      <c r="CG362" s="279"/>
      <c r="CH362" s="279"/>
      <c r="CI362" s="279"/>
      <c r="CJ362" s="279"/>
      <c r="CK362" s="279"/>
      <c r="CL362" s="279"/>
      <c r="CM362" s="279"/>
      <c r="CN362" s="382"/>
    </row>
    <row r="363" ht="20.25" customHeight="true" x14ac:dyDescent="0.25">
      <c r="B363" s="361"/>
      <c r="C363" s="279"/>
      <c r="D363" s="280"/>
      <c r="E363" s="287"/>
      <c r="F363" s="287"/>
      <c r="G363" s="287"/>
      <c r="H363" s="1292">
        <f t="shared" si="15"/>
        <v>45</v>
      </c>
      <c r="I363" s="1295" t="str">
        <f>IF('I. Stream &amp; Compound Data'!BA306&lt;&gt;"",'I. Stream &amp; Compound Data'!BA306-'I. Stream &amp; Compound Data'!F$19,"")</f>
        <v/>
      </c>
      <c r="J363" s="1295" t="str">
        <f>IF('I. Stream &amp; Compound Data'!AR306&lt;&gt;"",'I. Stream &amp; Compound Data'!AR306,IF('I. Stream &amp; Compound Data'!AS306&lt;&gt;"",'I. Stream &amp; Compound Data'!AS306,""))</f>
        <v/>
      </c>
      <c r="K363" s="1190" t="str">
        <f>IF('I. Stream &amp; Compound Data'!AV306&lt;&gt;"",'I. Stream &amp; Compound Data'!AV306,"")</f>
        <v/>
      </c>
      <c r="L363" s="1190" t="str">
        <f>IF(H363&gt;'I. Stream &amp; Compound Data'!$F$18,"",IF('I. Stream &amp; Compound Data'!BB306&lt;&gt;"",'I. Stream &amp; Compound Data'!BB306,0))</f>
        <v/>
      </c>
      <c r="M363" s="1306" t="str">
        <f>IF(H363&gt;'I. Stream &amp; Compound Data'!$F$18,"",IF(I363="","N/A",ROUND(IF(I363&lt;=0,1,IF(AND(I363&gt;0,I363&lt;200),-0.005*I363+1,0)),3)))</f>
        <v/>
      </c>
      <c r="N363" s="1168" t="str">
        <f>IF(H363&gt;'I. Stream &amp; Compound Data'!$F$18,"",IF(M363="N/A",IF(J363="","N/A",IF(OR(J363=12,J363=15,J363=17,J363=18),1,IF(OR(J363=11,J363=30),0.875,IF(J363=10,0.75,0)))),"N/A"))</f>
        <v/>
      </c>
      <c r="O363" s="1242" t="str">
        <f>IF(H363&gt;'I. Stream &amp; Compound Data'!$F$18,"",IF(AND(M363="N/A",N363="N/A"),IF(K363="","N/A",IF(K363=4,1,IF(K363=3,0.833,IF(K363=2,0.667,IF(K363=1,0.5,0))))),"N/A"))</f>
        <v/>
      </c>
      <c r="P363" s="1242" t="str">
        <f>IF(H363&gt;'I. Stream &amp; Compound Data'!$F$18,"",IF(I186="","N/A",IF(M363&lt;&gt;"N/A",M363,IF(N363&lt;&gt;"N/A",N363,IF(O363&lt;&gt;"N/A",O363,"NO DATA AVAILABLE")))))</f>
        <v/>
      </c>
      <c r="Q363" s="1242" t="str">
        <f>IF(H363&gt;'I. Stream &amp; Compound Data'!$F$18,"",IF(P363="N/A",0,L363*10^(4*P363-4)))</f>
        <v/>
      </c>
      <c r="R363" s="1242" t="str">
        <f>IF(H363&gt;'I. Stream &amp; Compound Data'!$F$18,"",MAX(K186:L186))</f>
        <v/>
      </c>
      <c r="S363" s="1242" t="str">
        <f>IF(H363&gt;'I. Stream &amp; Compound Data'!$F$18,"",ROUND(Q363*R363,3))</f>
        <v/>
      </c>
      <c r="T363" s="1268" t="str">
        <f>IF(H363&gt;'I. Stream &amp; Compound Data'!$F$18,"",IF(L363="",0,ROUND(L363*R363,3)))</f>
        <v/>
      </c>
      <c r="U363" s="279"/>
      <c r="V363" s="279"/>
      <c r="W363" s="279"/>
      <c r="X363" s="279"/>
      <c r="Y363" s="279"/>
      <c r="Z363" s="279"/>
      <c r="AA363" s="279"/>
      <c r="AB363" s="279"/>
      <c r="AC363" s="279"/>
      <c r="AD363" s="279"/>
      <c r="AE363" s="279"/>
      <c r="AF363" s="279"/>
      <c r="AG363" s="279"/>
      <c r="AH363" s="279"/>
      <c r="AI363" s="279"/>
      <c r="AJ363" s="279"/>
      <c r="AK363" s="279"/>
      <c r="AL363" s="279"/>
      <c r="AM363" s="279"/>
      <c r="AN363" s="279"/>
      <c r="AO363" s="279"/>
      <c r="AP363" s="279"/>
      <c r="AQ363" s="279"/>
      <c r="AR363" s="279"/>
      <c r="AS363" s="279"/>
      <c r="AT363" s="279"/>
      <c r="AU363" s="279"/>
      <c r="AV363" s="279"/>
      <c r="AW363" s="279"/>
      <c r="AX363" s="279"/>
      <c r="AY363" s="279"/>
      <c r="AZ363" s="279"/>
      <c r="BA363" s="279"/>
      <c r="BB363" s="279"/>
      <c r="BC363" s="279"/>
      <c r="BD363" s="279"/>
      <c r="BE363" s="279"/>
      <c r="BF363" s="279"/>
      <c r="BG363" s="279"/>
      <c r="BH363" s="279"/>
      <c r="BI363" s="279"/>
      <c r="BJ363" s="279"/>
      <c r="BK363" s="279"/>
      <c r="BL363" s="279"/>
      <c r="BM363" s="279"/>
      <c r="BN363" s="279"/>
      <c r="BO363" s="279"/>
      <c r="BP363" s="279"/>
      <c r="BQ363" s="279"/>
      <c r="BR363" s="279"/>
      <c r="BS363" s="279"/>
      <c r="BT363" s="279"/>
      <c r="BU363" s="279"/>
      <c r="BV363" s="279"/>
      <c r="BW363" s="279"/>
      <c r="BX363" s="279"/>
      <c r="BY363" s="279"/>
      <c r="BZ363" s="279"/>
      <c r="CA363" s="279"/>
      <c r="CB363" s="279"/>
      <c r="CC363" s="279"/>
      <c r="CD363" s="279"/>
      <c r="CE363" s="279"/>
      <c r="CF363" s="279"/>
      <c r="CG363" s="279"/>
      <c r="CH363" s="279"/>
      <c r="CI363" s="279"/>
      <c r="CJ363" s="279"/>
      <c r="CK363" s="279"/>
      <c r="CL363" s="279"/>
      <c r="CM363" s="279"/>
      <c r="CN363" s="382"/>
    </row>
    <row r="364" ht="20.25" customHeight="true" x14ac:dyDescent="0.25">
      <c r="B364" s="361"/>
      <c r="C364" s="279"/>
      <c r="D364" s="280"/>
      <c r="E364" s="287"/>
      <c r="F364" s="287"/>
      <c r="G364" s="287"/>
      <c r="H364" s="1292">
        <f t="shared" si="15"/>
        <v>46</v>
      </c>
      <c r="I364" s="1295" t="str">
        <f>IF('I. Stream &amp; Compound Data'!BA307&lt;&gt;"",'I. Stream &amp; Compound Data'!BA307-'I. Stream &amp; Compound Data'!F$19,"")</f>
        <v/>
      </c>
      <c r="J364" s="1295" t="str">
        <f>IF('I. Stream &amp; Compound Data'!AR307&lt;&gt;"",'I. Stream &amp; Compound Data'!AR307,IF('I. Stream &amp; Compound Data'!AS307&lt;&gt;"",'I. Stream &amp; Compound Data'!AS307,""))</f>
        <v/>
      </c>
      <c r="K364" s="1190" t="str">
        <f>IF('I. Stream &amp; Compound Data'!AV307&lt;&gt;"",'I. Stream &amp; Compound Data'!AV307,"")</f>
        <v/>
      </c>
      <c r="L364" s="1190" t="str">
        <f>IF(H364&gt;'I. Stream &amp; Compound Data'!$F$18,"",IF('I. Stream &amp; Compound Data'!BB307&lt;&gt;"",'I. Stream &amp; Compound Data'!BB307,0))</f>
        <v/>
      </c>
      <c r="M364" s="1306" t="str">
        <f>IF(H364&gt;'I. Stream &amp; Compound Data'!$F$18,"",IF(I364="","N/A",ROUND(IF(I364&lt;=0,1,IF(AND(I364&gt;0,I364&lt;200),-0.005*I364+1,0)),3)))</f>
        <v/>
      </c>
      <c r="N364" s="1168" t="str">
        <f>IF(H364&gt;'I. Stream &amp; Compound Data'!$F$18,"",IF(M364="N/A",IF(J364="","N/A",IF(OR(J364=12,J364=15,J364=17,J364=18),1,IF(OR(J364=11,J364=30),0.875,IF(J364=10,0.75,0)))),"N/A"))</f>
        <v/>
      </c>
      <c r="O364" s="1242" t="str">
        <f>IF(H364&gt;'I. Stream &amp; Compound Data'!$F$18,"",IF(AND(M364="N/A",N364="N/A"),IF(K364="","N/A",IF(K364=4,1,IF(K364=3,0.833,IF(K364=2,0.667,IF(K364=1,0.5,0))))),"N/A"))</f>
        <v/>
      </c>
      <c r="P364" s="1242" t="str">
        <f>IF(H364&gt;'I. Stream &amp; Compound Data'!$F$18,"",IF(I187="","N/A",IF(M364&lt;&gt;"N/A",M364,IF(N364&lt;&gt;"N/A",N364,IF(O364&lt;&gt;"N/A",O364,"NO DATA AVAILABLE")))))</f>
        <v/>
      </c>
      <c r="Q364" s="1242" t="str">
        <f>IF(H364&gt;'I. Stream &amp; Compound Data'!$F$18,"",IF(P364="N/A",0,L364*10^(4*P364-4)))</f>
        <v/>
      </c>
      <c r="R364" s="1242" t="str">
        <f>IF(H364&gt;'I. Stream &amp; Compound Data'!$F$18,"",MAX(K187:L187))</f>
        <v/>
      </c>
      <c r="S364" s="1242" t="str">
        <f>IF(H364&gt;'I. Stream &amp; Compound Data'!$F$18,"",ROUND(Q364*R364,3))</f>
        <v/>
      </c>
      <c r="T364" s="1268" t="str">
        <f>IF(H364&gt;'I. Stream &amp; Compound Data'!$F$18,"",IF(L364="",0,ROUND(L364*R364,3)))</f>
        <v/>
      </c>
      <c r="U364" s="279"/>
      <c r="V364" s="279"/>
      <c r="W364" s="279"/>
      <c r="X364" s="279"/>
      <c r="Y364" s="279"/>
      <c r="Z364" s="279"/>
      <c r="AA364" s="279"/>
      <c r="AB364" s="279"/>
      <c r="AC364" s="279"/>
      <c r="AD364" s="279"/>
      <c r="AE364" s="279"/>
      <c r="AF364" s="279"/>
      <c r="AG364" s="279"/>
      <c r="AH364" s="279"/>
      <c r="AI364" s="279"/>
      <c r="AJ364" s="279"/>
      <c r="AK364" s="279"/>
      <c r="AL364" s="279"/>
      <c r="AM364" s="279"/>
      <c r="AN364" s="279"/>
      <c r="AO364" s="279"/>
      <c r="AP364" s="279"/>
      <c r="AQ364" s="279"/>
      <c r="AR364" s="279"/>
      <c r="AS364" s="279"/>
      <c r="AT364" s="279"/>
      <c r="AU364" s="279"/>
      <c r="AV364" s="279"/>
      <c r="AW364" s="279"/>
      <c r="AX364" s="279"/>
      <c r="AY364" s="279"/>
      <c r="AZ364" s="279"/>
      <c r="BA364" s="279"/>
      <c r="BB364" s="279"/>
      <c r="BC364" s="279"/>
      <c r="BD364" s="279"/>
      <c r="BE364" s="279"/>
      <c r="BF364" s="279"/>
      <c r="BG364" s="279"/>
      <c r="BH364" s="279"/>
      <c r="BI364" s="279"/>
      <c r="BJ364" s="279"/>
      <c r="BK364" s="279"/>
      <c r="BL364" s="279"/>
      <c r="BM364" s="279"/>
      <c r="BN364" s="279"/>
      <c r="BO364" s="279"/>
      <c r="BP364" s="279"/>
      <c r="BQ364" s="279"/>
      <c r="BR364" s="279"/>
      <c r="BS364" s="279"/>
      <c r="BT364" s="279"/>
      <c r="BU364" s="279"/>
      <c r="BV364" s="279"/>
      <c r="BW364" s="279"/>
      <c r="BX364" s="279"/>
      <c r="BY364" s="279"/>
      <c r="BZ364" s="279"/>
      <c r="CA364" s="279"/>
      <c r="CB364" s="279"/>
      <c r="CC364" s="279"/>
      <c r="CD364" s="279"/>
      <c r="CE364" s="279"/>
      <c r="CF364" s="279"/>
      <c r="CG364" s="279"/>
      <c r="CH364" s="279"/>
      <c r="CI364" s="279"/>
      <c r="CJ364" s="279"/>
      <c r="CK364" s="279"/>
      <c r="CL364" s="279"/>
      <c r="CM364" s="279"/>
      <c r="CN364" s="382"/>
    </row>
    <row r="365" ht="20.25" customHeight="true" x14ac:dyDescent="0.25">
      <c r="B365" s="361"/>
      <c r="C365" s="279"/>
      <c r="D365" s="280"/>
      <c r="E365" s="287"/>
      <c r="F365" s="287"/>
      <c r="G365" s="287"/>
      <c r="H365" s="1292">
        <f t="shared" si="15"/>
        <v>47</v>
      </c>
      <c r="I365" s="1295" t="str">
        <f>IF('I. Stream &amp; Compound Data'!BA308&lt;&gt;"",'I. Stream &amp; Compound Data'!BA308-'I. Stream &amp; Compound Data'!F$19,"")</f>
        <v/>
      </c>
      <c r="J365" s="1295" t="str">
        <f>IF('I. Stream &amp; Compound Data'!AR308&lt;&gt;"",'I. Stream &amp; Compound Data'!AR308,IF('I. Stream &amp; Compound Data'!AS308&lt;&gt;"",'I. Stream &amp; Compound Data'!AS308,""))</f>
        <v/>
      </c>
      <c r="K365" s="1190" t="str">
        <f>IF('I. Stream &amp; Compound Data'!AV308&lt;&gt;"",'I. Stream &amp; Compound Data'!AV308,"")</f>
        <v/>
      </c>
      <c r="L365" s="1190" t="str">
        <f>IF(H365&gt;'I. Stream &amp; Compound Data'!$F$18,"",IF('I. Stream &amp; Compound Data'!BB308&lt;&gt;"",'I. Stream &amp; Compound Data'!BB308,0))</f>
        <v/>
      </c>
      <c r="M365" s="1306" t="str">
        <f>IF(H365&gt;'I. Stream &amp; Compound Data'!$F$18,"",IF(I365="","N/A",ROUND(IF(I365&lt;=0,1,IF(AND(I365&gt;0,I365&lt;200),-0.005*I365+1,0)),3)))</f>
        <v/>
      </c>
      <c r="N365" s="1168" t="str">
        <f>IF(H365&gt;'I. Stream &amp; Compound Data'!$F$18,"",IF(M365="N/A",IF(J365="","N/A",IF(OR(J365=12,J365=15,J365=17,J365=18),1,IF(OR(J365=11,J365=30),0.875,IF(J365=10,0.75,0)))),"N/A"))</f>
        <v/>
      </c>
      <c r="O365" s="1242" t="str">
        <f>IF(H365&gt;'I. Stream &amp; Compound Data'!$F$18,"",IF(AND(M365="N/A",N365="N/A"),IF(K365="","N/A",IF(K365=4,1,IF(K365=3,0.833,IF(K365=2,0.667,IF(K365=1,0.5,0))))),"N/A"))</f>
        <v/>
      </c>
      <c r="P365" s="1242" t="str">
        <f>IF(H365&gt;'I. Stream &amp; Compound Data'!$F$18,"",IF(I188="","N/A",IF(M365&lt;&gt;"N/A",M365,IF(N365&lt;&gt;"N/A",N365,IF(O365&lt;&gt;"N/A",O365,"NO DATA AVAILABLE")))))</f>
        <v/>
      </c>
      <c r="Q365" s="1242" t="str">
        <f>IF(H365&gt;'I. Stream &amp; Compound Data'!$F$18,"",IF(P365="N/A",0,L365*10^(4*P365-4)))</f>
        <v/>
      </c>
      <c r="R365" s="1242" t="str">
        <f>IF(H365&gt;'I. Stream &amp; Compound Data'!$F$18,"",MAX(K188:L188))</f>
        <v/>
      </c>
      <c r="S365" s="1242" t="str">
        <f>IF(H365&gt;'I. Stream &amp; Compound Data'!$F$18,"",ROUND(Q365*R365,3))</f>
        <v/>
      </c>
      <c r="T365" s="1268" t="str">
        <f>IF(H365&gt;'I. Stream &amp; Compound Data'!$F$18,"",IF(L365="",0,ROUND(L365*R365,3)))</f>
        <v/>
      </c>
      <c r="U365" s="279"/>
      <c r="V365" s="279"/>
      <c r="W365" s="279"/>
      <c r="X365" s="279"/>
      <c r="Y365" s="279"/>
      <c r="Z365" s="279"/>
      <c r="AA365" s="279"/>
      <c r="AB365" s="279"/>
      <c r="AC365" s="279"/>
      <c r="AD365" s="279"/>
      <c r="AE365" s="279"/>
      <c r="AF365" s="279"/>
      <c r="AG365" s="279"/>
      <c r="AH365" s="279"/>
      <c r="AI365" s="279"/>
      <c r="AJ365" s="279"/>
      <c r="AK365" s="279"/>
      <c r="AL365" s="279"/>
      <c r="AM365" s="279"/>
      <c r="AN365" s="279"/>
      <c r="AO365" s="279"/>
      <c r="AP365" s="279"/>
      <c r="AQ365" s="279"/>
      <c r="AR365" s="279"/>
      <c r="AS365" s="279"/>
      <c r="AT365" s="279"/>
      <c r="AU365" s="279"/>
      <c r="AV365" s="279"/>
      <c r="AW365" s="279"/>
      <c r="AX365" s="279"/>
      <c r="AY365" s="279"/>
      <c r="AZ365" s="279"/>
      <c r="BA365" s="279"/>
      <c r="BB365" s="279"/>
      <c r="BC365" s="279"/>
      <c r="BD365" s="279"/>
      <c r="BE365" s="279"/>
      <c r="BF365" s="279"/>
      <c r="BG365" s="279"/>
      <c r="BH365" s="279"/>
      <c r="BI365" s="279"/>
      <c r="BJ365" s="279"/>
      <c r="BK365" s="279"/>
      <c r="BL365" s="279"/>
      <c r="BM365" s="279"/>
      <c r="BN365" s="279"/>
      <c r="BO365" s="279"/>
      <c r="BP365" s="279"/>
      <c r="BQ365" s="279"/>
      <c r="BR365" s="279"/>
      <c r="BS365" s="279"/>
      <c r="BT365" s="279"/>
      <c r="BU365" s="279"/>
      <c r="BV365" s="279"/>
      <c r="BW365" s="279"/>
      <c r="BX365" s="279"/>
      <c r="BY365" s="279"/>
      <c r="BZ365" s="279"/>
      <c r="CA365" s="279"/>
      <c r="CB365" s="279"/>
      <c r="CC365" s="279"/>
      <c r="CD365" s="279"/>
      <c r="CE365" s="279"/>
      <c r="CF365" s="279"/>
      <c r="CG365" s="279"/>
      <c r="CH365" s="279"/>
      <c r="CI365" s="279"/>
      <c r="CJ365" s="279"/>
      <c r="CK365" s="279"/>
      <c r="CL365" s="279"/>
      <c r="CM365" s="279"/>
      <c r="CN365" s="382"/>
    </row>
    <row r="366" ht="20.25" customHeight="true" x14ac:dyDescent="0.25">
      <c r="B366" s="361"/>
      <c r="C366" s="279"/>
      <c r="D366" s="280"/>
      <c r="E366" s="287"/>
      <c r="F366" s="287"/>
      <c r="G366" s="287"/>
      <c r="H366" s="1292">
        <f t="shared" si="15"/>
        <v>48</v>
      </c>
      <c r="I366" s="1295" t="str">
        <f>IF('I. Stream &amp; Compound Data'!BA309&lt;&gt;"",'I. Stream &amp; Compound Data'!BA309-'I. Stream &amp; Compound Data'!F$19,"")</f>
        <v/>
      </c>
      <c r="J366" s="1295" t="str">
        <f>IF('I. Stream &amp; Compound Data'!AR309&lt;&gt;"",'I. Stream &amp; Compound Data'!AR309,IF('I. Stream &amp; Compound Data'!AS309&lt;&gt;"",'I. Stream &amp; Compound Data'!AS309,""))</f>
        <v/>
      </c>
      <c r="K366" s="1190" t="str">
        <f>IF('I. Stream &amp; Compound Data'!AV309&lt;&gt;"",'I. Stream &amp; Compound Data'!AV309,"")</f>
        <v/>
      </c>
      <c r="L366" s="1190" t="str">
        <f>IF(H366&gt;'I. Stream &amp; Compound Data'!$F$18,"",IF('I. Stream &amp; Compound Data'!BB309&lt;&gt;"",'I. Stream &amp; Compound Data'!BB309,0))</f>
        <v/>
      </c>
      <c r="M366" s="1306" t="str">
        <f>IF(H366&gt;'I. Stream &amp; Compound Data'!$F$18,"",IF(I366="","N/A",ROUND(IF(I366&lt;=0,1,IF(AND(I366&gt;0,I366&lt;200),-0.005*I366+1,0)),3)))</f>
        <v/>
      </c>
      <c r="N366" s="1168" t="str">
        <f>IF(H366&gt;'I. Stream &amp; Compound Data'!$F$18,"",IF(M366="N/A",IF(J366="","N/A",IF(OR(J366=12,J366=15,J366=17,J366=18),1,IF(OR(J366=11,J366=30),0.875,IF(J366=10,0.75,0)))),"N/A"))</f>
        <v/>
      </c>
      <c r="O366" s="1242" t="str">
        <f>IF(H366&gt;'I. Stream &amp; Compound Data'!$F$18,"",IF(AND(M366="N/A",N366="N/A"),IF(K366="","N/A",IF(K366=4,1,IF(K366=3,0.833,IF(K366=2,0.667,IF(K366=1,0.5,0))))),"N/A"))</f>
        <v/>
      </c>
      <c r="P366" s="1242" t="str">
        <f>IF(H366&gt;'I. Stream &amp; Compound Data'!$F$18,"",IF(I189="","N/A",IF(M366&lt;&gt;"N/A",M366,IF(N366&lt;&gt;"N/A",N366,IF(O366&lt;&gt;"N/A",O366,"NO DATA AVAILABLE")))))</f>
        <v/>
      </c>
      <c r="Q366" s="1242" t="str">
        <f>IF(H366&gt;'I. Stream &amp; Compound Data'!$F$18,"",IF(P366="N/A",0,L366*10^(4*P366-4)))</f>
        <v/>
      </c>
      <c r="R366" s="1242" t="str">
        <f>IF(H366&gt;'I. Stream &amp; Compound Data'!$F$18,"",MAX(K189:L189))</f>
        <v/>
      </c>
      <c r="S366" s="1242" t="str">
        <f>IF(H366&gt;'I. Stream &amp; Compound Data'!$F$18,"",ROUND(Q366*R366,3))</f>
        <v/>
      </c>
      <c r="T366" s="1268" t="str">
        <f>IF(H366&gt;'I. Stream &amp; Compound Data'!$F$18,"",IF(L366="",0,ROUND(L366*R366,3)))</f>
        <v/>
      </c>
      <c r="U366" s="279"/>
      <c r="V366" s="279"/>
      <c r="W366" s="279"/>
      <c r="X366" s="279"/>
      <c r="Y366" s="279"/>
      <c r="Z366" s="279"/>
      <c r="AA366" s="279"/>
      <c r="AB366" s="279"/>
      <c r="AC366" s="279"/>
      <c r="AD366" s="279"/>
      <c r="AE366" s="279"/>
      <c r="AF366" s="279"/>
      <c r="AG366" s="279"/>
      <c r="AH366" s="279"/>
      <c r="AI366" s="279"/>
      <c r="AJ366" s="279"/>
      <c r="AK366" s="279"/>
      <c r="AL366" s="279"/>
      <c r="AM366" s="279"/>
      <c r="AN366" s="279"/>
      <c r="AO366" s="279"/>
      <c r="AP366" s="279"/>
      <c r="AQ366" s="279"/>
      <c r="AR366" s="279"/>
      <c r="AS366" s="279"/>
      <c r="AT366" s="279"/>
      <c r="AU366" s="279"/>
      <c r="AV366" s="279"/>
      <c r="AW366" s="279"/>
      <c r="AX366" s="279"/>
      <c r="AY366" s="279"/>
      <c r="AZ366" s="279"/>
      <c r="BA366" s="279"/>
      <c r="BB366" s="279"/>
      <c r="BC366" s="279"/>
      <c r="BD366" s="279"/>
      <c r="BE366" s="279"/>
      <c r="BF366" s="279"/>
      <c r="BG366" s="279"/>
      <c r="BH366" s="279"/>
      <c r="BI366" s="279"/>
      <c r="BJ366" s="279"/>
      <c r="BK366" s="279"/>
      <c r="BL366" s="279"/>
      <c r="BM366" s="279"/>
      <c r="BN366" s="279"/>
      <c r="BO366" s="279"/>
      <c r="BP366" s="279"/>
      <c r="BQ366" s="279"/>
      <c r="BR366" s="279"/>
      <c r="BS366" s="279"/>
      <c r="BT366" s="279"/>
      <c r="BU366" s="279"/>
      <c r="BV366" s="279"/>
      <c r="BW366" s="279"/>
      <c r="BX366" s="279"/>
      <c r="BY366" s="279"/>
      <c r="BZ366" s="279"/>
      <c r="CA366" s="279"/>
      <c r="CB366" s="279"/>
      <c r="CC366" s="279"/>
      <c r="CD366" s="279"/>
      <c r="CE366" s="279"/>
      <c r="CF366" s="279"/>
      <c r="CG366" s="279"/>
      <c r="CH366" s="279"/>
      <c r="CI366" s="279"/>
      <c r="CJ366" s="279"/>
      <c r="CK366" s="279"/>
      <c r="CL366" s="279"/>
      <c r="CM366" s="279"/>
      <c r="CN366" s="382"/>
    </row>
    <row r="367" ht="20.25" customHeight="true" x14ac:dyDescent="0.25">
      <c r="B367" s="361"/>
      <c r="C367" s="279"/>
      <c r="D367" s="280"/>
      <c r="E367" s="287"/>
      <c r="F367" s="287"/>
      <c r="G367" s="287"/>
      <c r="H367" s="1292">
        <f t="shared" si="15"/>
        <v>49</v>
      </c>
      <c r="I367" s="1295" t="str">
        <f>IF('I. Stream &amp; Compound Data'!BA310&lt;&gt;"",'I. Stream &amp; Compound Data'!BA310-'I. Stream &amp; Compound Data'!F$19,"")</f>
        <v/>
      </c>
      <c r="J367" s="1295" t="str">
        <f>IF('I. Stream &amp; Compound Data'!AR310&lt;&gt;"",'I. Stream &amp; Compound Data'!AR310,IF('I. Stream &amp; Compound Data'!AS310&lt;&gt;"",'I. Stream &amp; Compound Data'!AS310,""))</f>
        <v/>
      </c>
      <c r="K367" s="1190" t="str">
        <f>IF('I. Stream &amp; Compound Data'!AV310&lt;&gt;"",'I. Stream &amp; Compound Data'!AV310,"")</f>
        <v/>
      </c>
      <c r="L367" s="1190" t="str">
        <f>IF(H367&gt;'I. Stream &amp; Compound Data'!$F$18,"",IF('I. Stream &amp; Compound Data'!BB310&lt;&gt;"",'I. Stream &amp; Compound Data'!BB310,0))</f>
        <v/>
      </c>
      <c r="M367" s="1306" t="str">
        <f>IF(H367&gt;'I. Stream &amp; Compound Data'!$F$18,"",IF(I367="","N/A",ROUND(IF(I367&lt;=0,1,IF(AND(I367&gt;0,I367&lt;200),-0.005*I367+1,0)),3)))</f>
        <v/>
      </c>
      <c r="N367" s="1168" t="str">
        <f>IF(H367&gt;'I. Stream &amp; Compound Data'!$F$18,"",IF(M367="N/A",IF(J367="","N/A",IF(OR(J367=12,J367=15,J367=17,J367=18),1,IF(OR(J367=11,J367=30),0.875,IF(J367=10,0.75,0)))),"N/A"))</f>
        <v/>
      </c>
      <c r="O367" s="1242" t="str">
        <f>IF(H367&gt;'I. Stream &amp; Compound Data'!$F$18,"",IF(AND(M367="N/A",N367="N/A"),IF(K367="","N/A",IF(K367=4,1,IF(K367=3,0.833,IF(K367=2,0.667,IF(K367=1,0.5,0))))),"N/A"))</f>
        <v/>
      </c>
      <c r="P367" s="1242" t="str">
        <f>IF(H367&gt;'I. Stream &amp; Compound Data'!$F$18,"",IF(I190="","N/A",IF(M367&lt;&gt;"N/A",M367,IF(N367&lt;&gt;"N/A",N367,IF(O367&lt;&gt;"N/A",O367,"NO DATA AVAILABLE")))))</f>
        <v/>
      </c>
      <c r="Q367" s="1242" t="str">
        <f>IF(H367&gt;'I. Stream &amp; Compound Data'!$F$18,"",IF(P367="N/A",0,L367*10^(4*P367-4)))</f>
        <v/>
      </c>
      <c r="R367" s="1242" t="str">
        <f>IF(H367&gt;'I. Stream &amp; Compound Data'!$F$18,"",MAX(K190:L190))</f>
        <v/>
      </c>
      <c r="S367" s="1242" t="str">
        <f>IF(H367&gt;'I. Stream &amp; Compound Data'!$F$18,"",ROUND(Q367*R367,3))</f>
        <v/>
      </c>
      <c r="T367" s="1268" t="str">
        <f>IF(H367&gt;'I. Stream &amp; Compound Data'!$F$18,"",IF(L367="",0,ROUND(L367*R367,3)))</f>
        <v/>
      </c>
      <c r="U367" s="279"/>
      <c r="V367" s="279"/>
      <c r="W367" s="279"/>
      <c r="X367" s="279"/>
      <c r="Y367" s="279"/>
      <c r="Z367" s="279"/>
      <c r="AA367" s="279"/>
      <c r="AB367" s="279"/>
      <c r="AC367" s="279"/>
      <c r="AD367" s="279"/>
      <c r="AE367" s="279"/>
      <c r="AF367" s="279"/>
      <c r="AG367" s="279"/>
      <c r="AH367" s="279"/>
      <c r="AI367" s="279"/>
      <c r="AJ367" s="279"/>
      <c r="AK367" s="279"/>
      <c r="AL367" s="279"/>
      <c r="AM367" s="279"/>
      <c r="AN367" s="279"/>
      <c r="AO367" s="279"/>
      <c r="AP367" s="279"/>
      <c r="AQ367" s="279"/>
      <c r="AR367" s="279"/>
      <c r="AS367" s="279"/>
      <c r="AT367" s="279"/>
      <c r="AU367" s="279"/>
      <c r="AV367" s="279"/>
      <c r="AW367" s="279"/>
      <c r="AX367" s="279"/>
      <c r="AY367" s="279"/>
      <c r="AZ367" s="279"/>
      <c r="BA367" s="279"/>
      <c r="BB367" s="279"/>
      <c r="BC367" s="279"/>
      <c r="BD367" s="279"/>
      <c r="BE367" s="279"/>
      <c r="BF367" s="279"/>
      <c r="BG367" s="279"/>
      <c r="BH367" s="279"/>
      <c r="BI367" s="279"/>
      <c r="BJ367" s="279"/>
      <c r="BK367" s="279"/>
      <c r="BL367" s="279"/>
      <c r="BM367" s="279"/>
      <c r="BN367" s="279"/>
      <c r="BO367" s="279"/>
      <c r="BP367" s="279"/>
      <c r="BQ367" s="279"/>
      <c r="BR367" s="279"/>
      <c r="BS367" s="279"/>
      <c r="BT367" s="279"/>
      <c r="BU367" s="279"/>
      <c r="BV367" s="279"/>
      <c r="BW367" s="279"/>
      <c r="BX367" s="279"/>
      <c r="BY367" s="279"/>
      <c r="BZ367" s="279"/>
      <c r="CA367" s="279"/>
      <c r="CB367" s="279"/>
      <c r="CC367" s="279"/>
      <c r="CD367" s="279"/>
      <c r="CE367" s="279"/>
      <c r="CF367" s="279"/>
      <c r="CG367" s="279"/>
      <c r="CH367" s="279"/>
      <c r="CI367" s="279"/>
      <c r="CJ367" s="279"/>
      <c r="CK367" s="279"/>
      <c r="CL367" s="279"/>
      <c r="CM367" s="279"/>
      <c r="CN367" s="382"/>
    </row>
    <row r="368" ht="20.25" customHeight="true" thickBot="true" x14ac:dyDescent="0.3">
      <c r="B368" s="361"/>
      <c r="C368" s="279"/>
      <c r="D368" s="280"/>
      <c r="E368" s="287"/>
      <c r="F368" s="287"/>
      <c r="G368" s="287"/>
      <c r="H368" s="1298">
        <f t="shared" si="15"/>
        <v>50</v>
      </c>
      <c r="I368" s="1301" t="str">
        <f>IF('I. Stream &amp; Compound Data'!BA311&lt;&gt;"",'I. Stream &amp; Compound Data'!BA311-'I. Stream &amp; Compound Data'!F$19,"")</f>
        <v/>
      </c>
      <c r="J368" s="1301" t="str">
        <f>IF('I. Stream &amp; Compound Data'!AR311&lt;&gt;"",'I. Stream &amp; Compound Data'!AR311,IF('I. Stream &amp; Compound Data'!AS311&lt;&gt;"",'I. Stream &amp; Compound Data'!AS311,""))</f>
        <v/>
      </c>
      <c r="K368" s="1259" t="str">
        <f>IF('I. Stream &amp; Compound Data'!AV311&lt;&gt;"",'I. Stream &amp; Compound Data'!AV311,"")</f>
        <v/>
      </c>
      <c r="L368" s="1259" t="str">
        <f>IF(H368&gt;'I. Stream &amp; Compound Data'!$F$18,"",IF('I. Stream &amp; Compound Data'!BB311&lt;&gt;"",'I. Stream &amp; Compound Data'!BB311,0))</f>
        <v/>
      </c>
      <c r="M368" s="1308" t="str">
        <f>IF(H368&gt;'I. Stream &amp; Compound Data'!$F$18,"",IF(I368="","N/A",ROUND(IF(I368&lt;=0,1,IF(AND(I368&gt;0,I368&lt;200),-0.005*I368+1,0)),3)))</f>
        <v/>
      </c>
      <c r="N368" s="1225" t="str">
        <f>IF(H368&gt;'I. Stream &amp; Compound Data'!$F$18,"",IF(M368="N/A",IF(J368="","N/A",IF(OR(J368=12,J368=15,J368=17,J368=18),1,IF(OR(J368=11,J368=30),0.875,IF(J368=10,0.75,0)))),"N/A"))</f>
        <v/>
      </c>
      <c r="O368" s="1210" t="str">
        <f>IF(H368&gt;'I. Stream &amp; Compound Data'!$F$18,"",IF(AND(M368="N/A",N368="N/A"),IF(K368="","N/A",IF(K368=4,1,IF(K368=3,0.833,IF(K368=2,0.667,IF(K368=1,0.5,0))))),"N/A"))</f>
        <v/>
      </c>
      <c r="P368" s="1210" t="str">
        <f>IF(H368&gt;'I. Stream &amp; Compound Data'!$F$18,"",IF(I191="","N/A",IF(M368&lt;&gt;"N/A",M368,IF(N368&lt;&gt;"N/A",N368,IF(O368&lt;&gt;"N/A",O368,"NO DATA AVAILABLE")))))</f>
        <v/>
      </c>
      <c r="Q368" s="1210" t="str">
        <f>IF(H368&gt;'I. Stream &amp; Compound Data'!$F$18,"",IF(P368="N/A",0,L368*10^(4*P368-4)))</f>
        <v/>
      </c>
      <c r="R368" s="1210" t="str">
        <f>IF(H368&gt;'I. Stream &amp; Compound Data'!$F$18,"",MAX(K191:L191))</f>
        <v/>
      </c>
      <c r="S368" s="1210" t="str">
        <f>IF(H368&gt;'I. Stream &amp; Compound Data'!$F$18,"",ROUND(Q368*R368,3))</f>
        <v/>
      </c>
      <c r="T368" s="1270" t="str">
        <f>IF(H368&gt;'I. Stream &amp; Compound Data'!$F$18,"",IF(L368="",0,ROUND(L368*R368,3)))</f>
        <v/>
      </c>
      <c r="U368" s="279"/>
      <c r="V368" s="279"/>
      <c r="W368" s="279"/>
      <c r="X368" s="279"/>
      <c r="Y368" s="279"/>
      <c r="Z368" s="279"/>
      <c r="AA368" s="279"/>
      <c r="AB368" s="279"/>
      <c r="AC368" s="279"/>
      <c r="AD368" s="279"/>
      <c r="AE368" s="279"/>
      <c r="AF368" s="279"/>
      <c r="AG368" s="279"/>
      <c r="AH368" s="279"/>
      <c r="AI368" s="279"/>
      <c r="AJ368" s="279"/>
      <c r="AK368" s="279"/>
      <c r="AL368" s="279"/>
      <c r="AM368" s="279"/>
      <c r="AN368" s="279"/>
      <c r="AO368" s="279"/>
      <c r="AP368" s="279"/>
      <c r="AQ368" s="279"/>
      <c r="AR368" s="279"/>
      <c r="AS368" s="279"/>
      <c r="AT368" s="279"/>
      <c r="AU368" s="279"/>
      <c r="AV368" s="279"/>
      <c r="AW368" s="279"/>
      <c r="AX368" s="279"/>
      <c r="AY368" s="279"/>
      <c r="AZ368" s="279"/>
      <c r="BA368" s="279"/>
      <c r="BB368" s="279"/>
      <c r="BC368" s="279"/>
      <c r="BD368" s="279"/>
      <c r="BE368" s="279"/>
      <c r="BF368" s="279"/>
      <c r="BG368" s="279"/>
      <c r="BH368" s="279"/>
      <c r="BI368" s="279"/>
      <c r="BJ368" s="279"/>
      <c r="BK368" s="279"/>
      <c r="BL368" s="279"/>
      <c r="BM368" s="279"/>
      <c r="BN368" s="279"/>
      <c r="BO368" s="279"/>
      <c r="BP368" s="279"/>
      <c r="BQ368" s="279"/>
      <c r="BR368" s="279"/>
      <c r="BS368" s="279"/>
      <c r="BT368" s="279"/>
      <c r="BU368" s="279"/>
      <c r="BV368" s="279"/>
      <c r="BW368" s="279"/>
      <c r="BX368" s="279"/>
      <c r="BY368" s="279"/>
      <c r="BZ368" s="279"/>
      <c r="CA368" s="279"/>
      <c r="CB368" s="279"/>
      <c r="CC368" s="279"/>
      <c r="CD368" s="279"/>
      <c r="CE368" s="279"/>
      <c r="CF368" s="279"/>
      <c r="CG368" s="279"/>
      <c r="CH368" s="279"/>
      <c r="CI368" s="279"/>
      <c r="CJ368" s="279"/>
      <c r="CK368" s="279"/>
      <c r="CL368" s="279"/>
      <c r="CM368" s="279"/>
      <c r="CN368" s="382"/>
    </row>
    <row r="369" ht="20.25" customHeight="true" thickBot="true" x14ac:dyDescent="0.3">
      <c r="B369" s="361"/>
      <c r="C369" s="279"/>
      <c r="D369" s="280"/>
      <c r="E369" s="287"/>
      <c r="F369" s="287"/>
      <c r="G369" s="287"/>
      <c r="H369" s="280"/>
      <c r="I369" s="570"/>
      <c r="J369" s="570"/>
      <c r="K369" s="570"/>
      <c r="L369" s="292"/>
      <c r="M369" s="570"/>
      <c r="N369" s="570"/>
      <c r="O369" s="570"/>
      <c r="P369" s="570"/>
      <c r="Q369" s="570"/>
      <c r="R369" s="292" t="s">
        <v>88</v>
      </c>
      <c r="S369" s="1310">
        <f>SUM(S319:S368)</f>
        <v>0</v>
      </c>
      <c r="T369" s="1310">
        <f>SUM(T319:T368)</f>
        <v>0</v>
      </c>
      <c r="U369" s="279"/>
      <c r="V369" s="279"/>
      <c r="W369" s="279"/>
      <c r="X369" s="279"/>
      <c r="Y369" s="279"/>
      <c r="Z369" s="279"/>
      <c r="AA369" s="279"/>
      <c r="AB369" s="279"/>
      <c r="AC369" s="279"/>
      <c r="AD369" s="279"/>
      <c r="AE369" s="279"/>
      <c r="AF369" s="279"/>
      <c r="AG369" s="279"/>
      <c r="AH369" s="279"/>
      <c r="AI369" s="279"/>
      <c r="AJ369" s="279"/>
      <c r="AK369" s="279"/>
      <c r="AL369" s="279"/>
      <c r="AM369" s="279"/>
      <c r="AN369" s="279"/>
      <c r="AO369" s="279"/>
      <c r="AP369" s="279"/>
      <c r="AQ369" s="279"/>
      <c r="AR369" s="279"/>
      <c r="AS369" s="279"/>
      <c r="AT369" s="279"/>
      <c r="AU369" s="279"/>
      <c r="AV369" s="279"/>
      <c r="AW369" s="279"/>
      <c r="AX369" s="279"/>
      <c r="AY369" s="279"/>
      <c r="AZ369" s="279"/>
      <c r="BA369" s="279"/>
      <c r="BB369" s="279"/>
      <c r="BC369" s="279"/>
      <c r="BD369" s="279"/>
      <c r="BE369" s="279"/>
      <c r="BF369" s="279"/>
      <c r="BG369" s="279"/>
      <c r="BH369" s="279"/>
      <c r="BI369" s="279"/>
      <c r="BJ369" s="279"/>
      <c r="BK369" s="279"/>
      <c r="BL369" s="279"/>
      <c r="BM369" s="279"/>
      <c r="BN369" s="279"/>
      <c r="BO369" s="279"/>
      <c r="BP369" s="279"/>
      <c r="BQ369" s="279"/>
      <c r="BR369" s="279"/>
      <c r="BS369" s="279"/>
      <c r="BT369" s="279"/>
      <c r="BU369" s="279"/>
      <c r="BV369" s="279"/>
      <c r="BW369" s="279"/>
      <c r="BX369" s="279"/>
      <c r="BY369" s="279"/>
      <c r="BZ369" s="279"/>
      <c r="CA369" s="279"/>
      <c r="CB369" s="279"/>
      <c r="CC369" s="279"/>
      <c r="CD369" s="279"/>
      <c r="CE369" s="279"/>
      <c r="CF369" s="279"/>
      <c r="CG369" s="279"/>
      <c r="CH369" s="279"/>
      <c r="CI369" s="279"/>
      <c r="CJ369" s="279"/>
      <c r="CK369" s="279"/>
      <c r="CL369" s="279"/>
      <c r="CM369" s="279"/>
      <c r="CN369" s="382"/>
    </row>
    <row r="370" ht="20.25" customHeight="true" x14ac:dyDescent="0.25">
      <c r="B370" s="361"/>
      <c r="C370" s="279"/>
      <c r="D370" s="280"/>
      <c r="E370" s="287"/>
      <c r="F370" s="287"/>
      <c r="G370" s="287"/>
      <c r="H370" s="280"/>
      <c r="I370" s="570"/>
      <c r="J370" s="570"/>
      <c r="K370" s="570"/>
      <c r="L370" s="292"/>
      <c r="M370" s="570"/>
      <c r="N370" s="570"/>
      <c r="O370" s="570"/>
      <c r="P370" s="570"/>
      <c r="Q370" s="570"/>
      <c r="R370" s="292"/>
      <c r="S370" s="292"/>
      <c r="T370" s="292"/>
      <c r="U370" s="279"/>
      <c r="V370" s="279"/>
      <c r="W370" s="279"/>
      <c r="X370" s="279"/>
      <c r="Y370" s="279"/>
      <c r="Z370" s="279"/>
      <c r="AA370" s="279"/>
      <c r="AB370" s="279"/>
      <c r="AC370" s="279"/>
      <c r="AD370" s="279"/>
      <c r="AE370" s="279"/>
      <c r="AF370" s="279"/>
      <c r="AG370" s="279"/>
      <c r="AH370" s="279"/>
      <c r="AI370" s="279"/>
      <c r="AJ370" s="279"/>
      <c r="AK370" s="279"/>
      <c r="AL370" s="279"/>
      <c r="AM370" s="279"/>
      <c r="AN370" s="279"/>
      <c r="AO370" s="279"/>
      <c r="AP370" s="279"/>
      <c r="AQ370" s="279"/>
      <c r="AR370" s="279"/>
      <c r="AS370" s="279"/>
      <c r="AT370" s="279"/>
      <c r="AU370" s="279"/>
      <c r="AV370" s="279"/>
      <c r="AW370" s="279"/>
      <c r="AX370" s="279"/>
      <c r="AY370" s="279"/>
      <c r="AZ370" s="279"/>
      <c r="BA370" s="279"/>
      <c r="BB370" s="279"/>
      <c r="BC370" s="279"/>
      <c r="BD370" s="279"/>
      <c r="BE370" s="279"/>
      <c r="BF370" s="279"/>
      <c r="BG370" s="279"/>
      <c r="BH370" s="279"/>
      <c r="BI370" s="279"/>
      <c r="BJ370" s="279"/>
      <c r="BK370" s="279"/>
      <c r="BL370" s="279"/>
      <c r="BM370" s="279"/>
      <c r="BN370" s="279"/>
      <c r="BO370" s="279"/>
      <c r="BP370" s="279"/>
      <c r="BQ370" s="279"/>
      <c r="BR370" s="279"/>
      <c r="BS370" s="279"/>
      <c r="BT370" s="279"/>
      <c r="BU370" s="279"/>
      <c r="BV370" s="279"/>
      <c r="BW370" s="279"/>
      <c r="BX370" s="279"/>
      <c r="BY370" s="279"/>
      <c r="BZ370" s="279"/>
      <c r="CA370" s="279"/>
      <c r="CB370" s="279"/>
      <c r="CC370" s="279"/>
      <c r="CD370" s="279"/>
      <c r="CE370" s="279"/>
      <c r="CF370" s="279"/>
      <c r="CG370" s="279"/>
      <c r="CH370" s="279"/>
      <c r="CI370" s="279"/>
      <c r="CJ370" s="279"/>
      <c r="CK370" s="279"/>
      <c r="CL370" s="279"/>
      <c r="CM370" s="279"/>
      <c r="CN370" s="382"/>
    </row>
    <row r="371" ht="20.25" customHeight="true" x14ac:dyDescent="0.25">
      <c r="B371" s="361"/>
      <c r="C371" s="279"/>
      <c r="D371" s="280"/>
      <c r="E371" s="287"/>
      <c r="F371" s="287"/>
      <c r="G371" s="287"/>
      <c r="H371" s="280"/>
      <c r="I371" s="570"/>
      <c r="J371" s="570"/>
      <c r="K371" s="570"/>
      <c r="L371" s="292"/>
      <c r="M371" s="570"/>
      <c r="N371" s="570"/>
      <c r="O371" s="570"/>
      <c r="P371" s="570"/>
      <c r="Q371" s="570"/>
      <c r="R371" s="292"/>
      <c r="S371" s="292"/>
      <c r="T371" s="292"/>
      <c r="U371" s="279"/>
      <c r="V371" s="279"/>
      <c r="W371" s="279"/>
      <c r="X371" s="279"/>
      <c r="Y371" s="279"/>
      <c r="Z371" s="279"/>
      <c r="AA371" s="279"/>
      <c r="AB371" s="279"/>
      <c r="AC371" s="279"/>
      <c r="AD371" s="279"/>
      <c r="AE371" s="279"/>
      <c r="AF371" s="279"/>
      <c r="AG371" s="279"/>
      <c r="AH371" s="279"/>
      <c r="AI371" s="279"/>
      <c r="AJ371" s="279"/>
      <c r="AK371" s="279"/>
      <c r="AL371" s="279"/>
      <c r="AM371" s="279"/>
      <c r="AN371" s="279"/>
      <c r="AO371" s="279"/>
      <c r="AP371" s="279"/>
      <c r="AQ371" s="279"/>
      <c r="AR371" s="279"/>
      <c r="AS371" s="279"/>
      <c r="AT371" s="279"/>
      <c r="AU371" s="279"/>
      <c r="AV371" s="279"/>
      <c r="AW371" s="279"/>
      <c r="AX371" s="279"/>
      <c r="AY371" s="279"/>
      <c r="AZ371" s="279"/>
      <c r="BA371" s="279"/>
      <c r="BB371" s="279"/>
      <c r="BC371" s="279"/>
      <c r="BD371" s="279"/>
      <c r="BE371" s="279"/>
      <c r="BF371" s="279"/>
      <c r="BG371" s="279"/>
      <c r="BH371" s="279"/>
      <c r="BI371" s="279"/>
      <c r="BJ371" s="279"/>
      <c r="BK371" s="279"/>
      <c r="BL371" s="279"/>
      <c r="BM371" s="279"/>
      <c r="BN371" s="279"/>
      <c r="BO371" s="279"/>
      <c r="BP371" s="279"/>
      <c r="BQ371" s="279"/>
      <c r="BR371" s="279"/>
      <c r="BS371" s="279"/>
      <c r="BT371" s="279"/>
      <c r="BU371" s="279"/>
      <c r="BV371" s="279"/>
      <c r="BW371" s="279"/>
      <c r="BX371" s="279"/>
      <c r="BY371" s="279"/>
      <c r="BZ371" s="279"/>
      <c r="CA371" s="279"/>
      <c r="CB371" s="279"/>
      <c r="CC371" s="279"/>
      <c r="CD371" s="279"/>
      <c r="CE371" s="279"/>
      <c r="CF371" s="279"/>
      <c r="CG371" s="279"/>
      <c r="CH371" s="279"/>
      <c r="CI371" s="279"/>
      <c r="CJ371" s="279"/>
      <c r="CK371" s="279"/>
      <c r="CL371" s="279"/>
      <c r="CM371" s="279"/>
      <c r="CN371" s="382"/>
    </row>
    <row r="372" ht="20.25" customHeight="true" x14ac:dyDescent="0.25">
      <c r="B372" s="361"/>
      <c r="C372" s="279"/>
      <c r="D372" s="280"/>
      <c r="E372" s="287"/>
      <c r="F372" s="287"/>
      <c r="G372" s="287"/>
      <c r="H372" s="280"/>
      <c r="I372" s="570"/>
      <c r="J372" s="570"/>
      <c r="K372" s="570"/>
      <c r="L372" s="292"/>
      <c r="M372" s="570"/>
      <c r="N372" s="570"/>
      <c r="O372" s="570"/>
      <c r="P372" s="570"/>
      <c r="Q372" s="570"/>
      <c r="R372" s="292"/>
      <c r="S372" s="292"/>
      <c r="T372" s="292"/>
      <c r="U372" s="279"/>
      <c r="V372" s="279"/>
      <c r="W372" s="279"/>
      <c r="X372" s="279"/>
      <c r="Y372" s="279"/>
      <c r="Z372" s="279"/>
      <c r="AA372" s="279"/>
      <c r="AB372" s="279"/>
      <c r="AC372" s="279"/>
      <c r="AD372" s="279"/>
      <c r="AE372" s="279"/>
      <c r="AF372" s="279"/>
      <c r="AG372" s="279"/>
      <c r="AH372" s="279"/>
      <c r="AI372" s="279"/>
      <c r="AJ372" s="279"/>
      <c r="AK372" s="279"/>
      <c r="AL372" s="279"/>
      <c r="AM372" s="279"/>
      <c r="AN372" s="279"/>
      <c r="AO372" s="279"/>
      <c r="AP372" s="279"/>
      <c r="AQ372" s="279"/>
      <c r="AR372" s="279"/>
      <c r="AS372" s="279"/>
      <c r="AT372" s="279"/>
      <c r="AU372" s="279"/>
      <c r="AV372" s="279"/>
      <c r="AW372" s="279"/>
      <c r="AX372" s="279"/>
      <c r="AY372" s="279"/>
      <c r="AZ372" s="279"/>
      <c r="BA372" s="279"/>
      <c r="BB372" s="279"/>
      <c r="BC372" s="279"/>
      <c r="BD372" s="279"/>
      <c r="BE372" s="279"/>
      <c r="BF372" s="279"/>
      <c r="BG372" s="279"/>
      <c r="BH372" s="279"/>
      <c r="BI372" s="279"/>
      <c r="BJ372" s="279"/>
      <c r="BK372" s="279"/>
      <c r="BL372" s="279"/>
      <c r="BM372" s="279"/>
      <c r="BN372" s="279"/>
      <c r="BO372" s="279"/>
      <c r="BP372" s="279"/>
      <c r="BQ372" s="279"/>
      <c r="BR372" s="279"/>
      <c r="BS372" s="279"/>
      <c r="BT372" s="279"/>
      <c r="BU372" s="279"/>
      <c r="BV372" s="279"/>
      <c r="BW372" s="279"/>
      <c r="BX372" s="279"/>
      <c r="BY372" s="279"/>
      <c r="BZ372" s="279"/>
      <c r="CA372" s="279"/>
      <c r="CB372" s="279"/>
      <c r="CC372" s="279"/>
      <c r="CD372" s="279"/>
      <c r="CE372" s="279"/>
      <c r="CF372" s="279"/>
      <c r="CG372" s="279"/>
      <c r="CH372" s="279"/>
      <c r="CI372" s="279"/>
      <c r="CJ372" s="279"/>
      <c r="CK372" s="279"/>
      <c r="CL372" s="279"/>
      <c r="CM372" s="279"/>
      <c r="CN372" s="382"/>
    </row>
    <row r="373" x14ac:dyDescent="0.25">
      <c r="B373" s="361"/>
      <c r="C373" s="279"/>
      <c r="D373" s="280"/>
      <c r="E373" s="287"/>
      <c r="F373" s="287"/>
      <c r="G373" s="287"/>
      <c r="H373" s="280"/>
      <c r="I373" s="279"/>
      <c r="J373" s="279"/>
      <c r="K373" s="279"/>
      <c r="L373" s="280"/>
      <c r="M373" s="279"/>
      <c r="N373" s="279"/>
      <c r="O373" s="279"/>
      <c r="P373" s="279"/>
      <c r="Q373" s="279"/>
      <c r="R373" s="279"/>
      <c r="S373" s="279"/>
      <c r="T373" s="279"/>
      <c r="U373" s="279"/>
      <c r="V373" s="279"/>
      <c r="W373" s="279"/>
      <c r="X373" s="279"/>
      <c r="Y373" s="279"/>
      <c r="Z373" s="279"/>
      <c r="AA373" s="279"/>
      <c r="AB373" s="279"/>
      <c r="AC373" s="279"/>
      <c r="AD373" s="279"/>
      <c r="AE373" s="279"/>
      <c r="AF373" s="279"/>
      <c r="AG373" s="279"/>
      <c r="AH373" s="279"/>
      <c r="AI373" s="279"/>
      <c r="AJ373" s="279"/>
      <c r="AK373" s="279"/>
      <c r="AL373" s="279"/>
      <c r="AM373" s="279"/>
      <c r="AN373" s="279"/>
      <c r="AO373" s="279"/>
      <c r="AP373" s="279"/>
      <c r="AQ373" s="279"/>
      <c r="AR373" s="279"/>
      <c r="AS373" s="279"/>
      <c r="AT373" s="279"/>
      <c r="AU373" s="279"/>
      <c r="AV373" s="279"/>
      <c r="AW373" s="279"/>
      <c r="AX373" s="279"/>
      <c r="AY373" s="279"/>
      <c r="AZ373" s="279"/>
      <c r="BA373" s="279"/>
      <c r="BB373" s="279"/>
      <c r="BC373" s="279"/>
      <c r="BD373" s="279"/>
      <c r="BE373" s="279"/>
      <c r="BF373" s="279"/>
      <c r="BG373" s="279"/>
      <c r="BH373" s="279"/>
      <c r="BI373" s="279"/>
      <c r="BJ373" s="279"/>
      <c r="BK373" s="279"/>
      <c r="BL373" s="279"/>
      <c r="BM373" s="279"/>
      <c r="BN373" s="279"/>
      <c r="BO373" s="279"/>
      <c r="BP373" s="279"/>
      <c r="BQ373" s="279"/>
      <c r="BR373" s="279"/>
      <c r="BS373" s="279"/>
      <c r="BT373" s="279"/>
      <c r="BU373" s="279"/>
      <c r="BV373" s="279"/>
      <c r="BW373" s="279"/>
      <c r="BX373" s="279"/>
      <c r="BY373" s="279"/>
      <c r="BZ373" s="279"/>
      <c r="CA373" s="279"/>
      <c r="CB373" s="279"/>
      <c r="CC373" s="279"/>
      <c r="CD373" s="279"/>
      <c r="CE373" s="279"/>
      <c r="CF373" s="279"/>
      <c r="CG373" s="279"/>
      <c r="CH373" s="279"/>
      <c r="CI373" s="279"/>
      <c r="CJ373" s="279"/>
      <c r="CK373" s="279"/>
      <c r="CL373" s="279"/>
      <c r="CM373" s="279"/>
      <c r="CN373" s="382"/>
    </row>
    <row r="374" x14ac:dyDescent="0.25">
      <c r="B374" s="361"/>
      <c r="C374" s="279"/>
      <c r="D374" s="280"/>
      <c r="E374" s="287"/>
      <c r="F374" s="287"/>
      <c r="G374" s="287"/>
      <c r="H374" s="279"/>
      <c r="I374" s="279"/>
      <c r="J374" s="279"/>
      <c r="K374" s="279"/>
      <c r="L374" s="280"/>
      <c r="M374" s="279"/>
      <c r="N374" s="279"/>
      <c r="O374" s="279"/>
      <c r="P374" s="279"/>
      <c r="Q374" s="279"/>
      <c r="R374" s="279"/>
      <c r="S374" s="279"/>
      <c r="T374" s="279"/>
      <c r="U374" s="279"/>
      <c r="V374" s="279"/>
      <c r="W374" s="279"/>
      <c r="X374" s="279"/>
      <c r="Y374" s="279"/>
      <c r="Z374" s="279"/>
      <c r="AA374" s="279"/>
      <c r="AB374" s="279"/>
      <c r="AC374" s="279"/>
      <c r="AD374" s="279"/>
      <c r="AE374" s="279"/>
      <c r="AF374" s="279"/>
      <c r="AG374" s="279"/>
      <c r="AH374" s="279"/>
      <c r="AI374" s="279"/>
      <c r="AJ374" s="279"/>
      <c r="AK374" s="279"/>
      <c r="AL374" s="279"/>
      <c r="AM374" s="279"/>
      <c r="AN374" s="279"/>
      <c r="AO374" s="279"/>
      <c r="AP374" s="279"/>
      <c r="AQ374" s="279"/>
      <c r="AR374" s="279"/>
      <c r="AS374" s="279"/>
      <c r="AT374" s="279"/>
      <c r="AU374" s="279"/>
      <c r="AV374" s="279"/>
      <c r="AW374" s="279"/>
      <c r="AX374" s="279"/>
      <c r="AY374" s="279"/>
      <c r="AZ374" s="279"/>
      <c r="BA374" s="279"/>
      <c r="BB374" s="279"/>
      <c r="BC374" s="279"/>
      <c r="BD374" s="279"/>
      <c r="BE374" s="279"/>
      <c r="BF374" s="279"/>
      <c r="BG374" s="279"/>
      <c r="BH374" s="279"/>
      <c r="BI374" s="279"/>
      <c r="BJ374" s="279"/>
      <c r="BK374" s="279"/>
      <c r="BL374" s="279"/>
      <c r="BM374" s="279"/>
      <c r="BN374" s="279"/>
      <c r="BO374" s="279"/>
      <c r="BP374" s="279"/>
      <c r="BQ374" s="279"/>
      <c r="BR374" s="279"/>
      <c r="BS374" s="279"/>
      <c r="BT374" s="279"/>
      <c r="BU374" s="279"/>
      <c r="BV374" s="279"/>
      <c r="BW374" s="279"/>
      <c r="BX374" s="279"/>
      <c r="BY374" s="279"/>
      <c r="BZ374" s="279"/>
      <c r="CA374" s="279"/>
      <c r="CB374" s="279"/>
      <c r="CC374" s="279"/>
      <c r="CD374" s="279"/>
      <c r="CE374" s="279"/>
      <c r="CF374" s="279"/>
      <c r="CG374" s="279"/>
      <c r="CH374" s="279"/>
      <c r="CI374" s="279"/>
      <c r="CJ374" s="279"/>
      <c r="CK374" s="279"/>
      <c r="CL374" s="279"/>
      <c r="CM374" s="279"/>
      <c r="CN374" s="382"/>
    </row>
    <row r="375" ht="16.2" thickBot="true" x14ac:dyDescent="0.3">
      <c r="B375" s="361"/>
      <c r="C375" s="279"/>
      <c r="D375" s="280"/>
      <c r="E375" s="287"/>
      <c r="F375" s="287"/>
      <c r="G375" s="287"/>
      <c r="H375" s="279"/>
      <c r="I375" s="279"/>
      <c r="J375" s="279"/>
      <c r="K375" s="279"/>
      <c r="L375" s="280"/>
      <c r="M375" s="279"/>
      <c r="N375" s="279"/>
      <c r="O375" s="279"/>
      <c r="P375" s="279"/>
      <c r="Q375" s="279"/>
      <c r="R375" s="279"/>
      <c r="S375" s="279"/>
      <c r="T375" s="279"/>
      <c r="U375" s="279"/>
      <c r="V375" s="279"/>
      <c r="W375" s="279"/>
      <c r="X375" s="279"/>
      <c r="Y375" s="279"/>
      <c r="Z375" s="279"/>
      <c r="AA375" s="279"/>
      <c r="AB375" s="279"/>
      <c r="AC375" s="279"/>
      <c r="AD375" s="279"/>
      <c r="AE375" s="279"/>
      <c r="AF375" s="279"/>
      <c r="AG375" s="279"/>
      <c r="AH375" s="279"/>
      <c r="AI375" s="279"/>
      <c r="AJ375" s="279"/>
      <c r="AK375" s="279"/>
      <c r="AL375" s="279"/>
      <c r="AM375" s="279"/>
      <c r="AN375" s="279"/>
      <c r="AO375" s="279"/>
      <c r="AP375" s="279"/>
      <c r="AQ375" s="279"/>
      <c r="AR375" s="279"/>
      <c r="AS375" s="279"/>
      <c r="AT375" s="279"/>
      <c r="AU375" s="279"/>
      <c r="AV375" s="279"/>
      <c r="AW375" s="279"/>
      <c r="AX375" s="279"/>
      <c r="AY375" s="279"/>
      <c r="AZ375" s="279"/>
      <c r="BA375" s="279"/>
      <c r="BB375" s="279"/>
      <c r="BC375" s="279"/>
      <c r="BD375" s="279"/>
      <c r="BE375" s="279"/>
      <c r="BF375" s="279"/>
      <c r="BG375" s="279"/>
      <c r="BH375" s="279"/>
      <c r="BI375" s="279"/>
      <c r="BJ375" s="279"/>
      <c r="BK375" s="279"/>
      <c r="BL375" s="279"/>
      <c r="BM375" s="279"/>
      <c r="BN375" s="279"/>
      <c r="BO375" s="279"/>
      <c r="BP375" s="279"/>
      <c r="BQ375" s="279"/>
      <c r="BR375" s="279"/>
      <c r="BS375" s="279"/>
      <c r="BT375" s="279"/>
      <c r="BU375" s="279"/>
      <c r="BV375" s="279"/>
      <c r="BW375" s="279"/>
      <c r="BX375" s="279"/>
      <c r="BY375" s="279"/>
      <c r="BZ375" s="279"/>
      <c r="CA375" s="279"/>
      <c r="CB375" s="279"/>
      <c r="CC375" s="279"/>
      <c r="CD375" s="279"/>
      <c r="CE375" s="279"/>
      <c r="CF375" s="279"/>
      <c r="CG375" s="279"/>
      <c r="CH375" s="279"/>
      <c r="CI375" s="279"/>
      <c r="CJ375" s="279"/>
      <c r="CK375" s="279"/>
      <c r="CL375" s="279"/>
      <c r="CM375" s="279"/>
      <c r="CN375" s="382"/>
    </row>
    <row r="376" ht="27" customHeight="true" thickBot="true" x14ac:dyDescent="0.35">
      <c r="B376" s="361"/>
      <c r="C376" s="279"/>
      <c r="D376" s="280"/>
      <c r="E376" s="287"/>
      <c r="F376" s="287"/>
      <c r="G376" s="287"/>
      <c r="H376" s="1950" t="s">
        <v>271</v>
      </c>
      <c r="I376" s="1951"/>
      <c r="J376" s="1951"/>
      <c r="K376" s="1951"/>
      <c r="L376" s="1952"/>
      <c r="M376" s="287"/>
      <c r="N376" s="296"/>
      <c r="O376" s="280"/>
      <c r="P376" s="280"/>
      <c r="Q376" s="279"/>
      <c r="R376" s="297"/>
      <c r="S376" s="298"/>
      <c r="T376" s="279"/>
      <c r="U376" s="279"/>
      <c r="V376" s="279"/>
      <c r="W376" s="279"/>
      <c r="X376" s="279"/>
      <c r="Y376" s="279"/>
      <c r="Z376" s="279"/>
      <c r="AA376" s="279"/>
      <c r="AB376" s="279"/>
      <c r="AC376" s="279"/>
      <c r="AD376" s="279"/>
      <c r="AE376" s="279"/>
      <c r="AF376" s="279"/>
      <c r="AG376" s="279"/>
      <c r="AH376" s="279"/>
      <c r="AI376" s="279"/>
      <c r="AJ376" s="279"/>
      <c r="AK376" s="279"/>
      <c r="AL376" s="279"/>
      <c r="AM376" s="279"/>
      <c r="AN376" s="279"/>
      <c r="AO376" s="279"/>
      <c r="AP376" s="279"/>
      <c r="AQ376" s="279"/>
      <c r="AR376" s="279"/>
      <c r="AS376" s="279"/>
      <c r="AT376" s="279"/>
      <c r="AU376" s="279"/>
      <c r="AV376" s="279"/>
      <c r="AW376" s="279"/>
      <c r="AX376" s="279"/>
      <c r="AY376" s="279"/>
      <c r="AZ376" s="279"/>
      <c r="BA376" s="279"/>
      <c r="BB376" s="279"/>
      <c r="BC376" s="279"/>
      <c r="BD376" s="279"/>
      <c r="BE376" s="279"/>
      <c r="BF376" s="279"/>
      <c r="BG376" s="279"/>
      <c r="BH376" s="279"/>
      <c r="BI376" s="279"/>
      <c r="BJ376" s="279"/>
      <c r="BK376" s="279"/>
      <c r="BL376" s="279"/>
      <c r="BM376" s="279"/>
      <c r="BN376" s="279"/>
      <c r="BO376" s="279"/>
      <c r="BP376" s="279"/>
      <c r="BQ376" s="279"/>
      <c r="BR376" s="279"/>
      <c r="BS376" s="279"/>
      <c r="BT376" s="279"/>
      <c r="BU376" s="279"/>
      <c r="BV376" s="279"/>
      <c r="BW376" s="279"/>
      <c r="BX376" s="279"/>
      <c r="BY376" s="279"/>
      <c r="BZ376" s="279"/>
      <c r="CA376" s="279"/>
      <c r="CB376" s="279"/>
      <c r="CC376" s="279"/>
      <c r="CD376" s="279"/>
      <c r="CE376" s="279"/>
      <c r="CF376" s="279"/>
      <c r="CG376" s="279"/>
      <c r="CH376" s="279"/>
      <c r="CI376" s="279"/>
      <c r="CJ376" s="279"/>
      <c r="CK376" s="279"/>
      <c r="CL376" s="279"/>
      <c r="CM376" s="279"/>
      <c r="CN376" s="382"/>
    </row>
    <row r="377" ht="21" x14ac:dyDescent="0.3">
      <c r="B377" s="361"/>
      <c r="C377" s="279"/>
      <c r="D377" s="280"/>
      <c r="E377" s="287"/>
      <c r="F377" s="287"/>
      <c r="G377" s="287"/>
      <c r="H377" s="282" t="s">
        <v>1469</v>
      </c>
      <c r="I377" s="1166" t="s">
        <v>249</v>
      </c>
      <c r="J377" s="1166" t="s">
        <v>205</v>
      </c>
      <c r="K377" s="267" t="s">
        <v>272</v>
      </c>
      <c r="L377" s="1949" t="s">
        <v>254</v>
      </c>
      <c r="M377" s="1949"/>
      <c r="N377" s="1949"/>
      <c r="O377" s="288" t="s">
        <v>253</v>
      </c>
      <c r="P377" s="283" t="s">
        <v>255</v>
      </c>
      <c r="Q377" s="293" t="s">
        <v>274</v>
      </c>
      <c r="R377" s="297"/>
      <c r="S377" s="298"/>
      <c r="T377" s="298"/>
      <c r="U377" s="299"/>
      <c r="V377" s="279"/>
      <c r="W377" s="279"/>
      <c r="X377" s="279"/>
      <c r="Y377" s="279"/>
      <c r="Z377" s="279"/>
      <c r="AA377" s="279"/>
      <c r="AB377" s="279"/>
      <c r="AC377" s="279"/>
      <c r="AD377" s="279"/>
      <c r="AE377" s="279"/>
      <c r="AF377" s="279"/>
      <c r="AG377" s="279"/>
      <c r="AH377" s="279"/>
      <c r="AI377" s="279"/>
      <c r="AJ377" s="279"/>
      <c r="AK377" s="279"/>
      <c r="AL377" s="279"/>
      <c r="AM377" s="279"/>
      <c r="AN377" s="279"/>
      <c r="AO377" s="279"/>
      <c r="AP377" s="279"/>
      <c r="AQ377" s="279"/>
      <c r="AR377" s="279"/>
      <c r="AS377" s="279"/>
      <c r="AT377" s="279"/>
      <c r="AU377" s="279"/>
      <c r="AV377" s="279"/>
      <c r="AW377" s="279"/>
      <c r="AX377" s="279"/>
      <c r="AY377" s="279"/>
      <c r="AZ377" s="279"/>
      <c r="BA377" s="279"/>
      <c r="BB377" s="279"/>
      <c r="BC377" s="279"/>
      <c r="BD377" s="279"/>
      <c r="BE377" s="279"/>
      <c r="BF377" s="279"/>
      <c r="BG377" s="279"/>
      <c r="BH377" s="279"/>
      <c r="BI377" s="279"/>
      <c r="BJ377" s="279"/>
      <c r="BK377" s="279"/>
      <c r="BL377" s="279"/>
      <c r="BM377" s="279"/>
      <c r="BN377" s="279"/>
      <c r="BO377" s="279"/>
      <c r="BP377" s="279"/>
      <c r="BQ377" s="279"/>
      <c r="BR377" s="279"/>
      <c r="BS377" s="279"/>
      <c r="BT377" s="279"/>
      <c r="BU377" s="279"/>
      <c r="BV377" s="279"/>
      <c r="BW377" s="279"/>
      <c r="BX377" s="279"/>
      <c r="BY377" s="279"/>
      <c r="BZ377" s="279"/>
      <c r="CA377" s="279"/>
      <c r="CB377" s="279"/>
      <c r="CC377" s="279"/>
      <c r="CD377" s="279"/>
      <c r="CE377" s="279"/>
      <c r="CF377" s="279"/>
      <c r="CG377" s="279"/>
      <c r="CH377" s="279"/>
      <c r="CI377" s="279"/>
      <c r="CJ377" s="279"/>
      <c r="CK377" s="279"/>
      <c r="CL377" s="279"/>
      <c r="CM377" s="279"/>
      <c r="CN377" s="382"/>
    </row>
    <row r="378" x14ac:dyDescent="0.3">
      <c r="B378" s="361"/>
      <c r="C378" s="279"/>
      <c r="D378" s="280"/>
      <c r="E378" s="287"/>
      <c r="F378" s="287"/>
      <c r="G378" s="287"/>
      <c r="H378" s="1292">
        <f t="shared" ref="H378:H427" si="16">H142</f>
        <v>1</v>
      </c>
      <c r="I378" s="1190">
        <f>IF('I. Stream &amp; Compound Data'!AW262&lt;&gt;"",'I. Stream &amp; Compound Data'!AW262,"")</f>
        <v>0</v>
      </c>
      <c r="J378" s="1295" t="str">
        <f>IF('I. Stream &amp; Compound Data'!AR262&lt;&gt;"",'I. Stream &amp; Compound Data'!AR262,IF('I. Stream &amp; Compound Data'!AS262&lt;&gt;"",'I. Stream &amp; Compound Data'!AS262,""))</f>
        <v>26/27/28</v>
      </c>
      <c r="K378" s="1295" t="str">
        <f>IF('I. Stream &amp; Compound Data'!BC262&lt;&gt;"",'I. Stream &amp; Compound Data'!BC262-'I. Stream &amp; Compound Data'!F$19,"")</f>
        <v/>
      </c>
      <c r="L378" s="1306">
        <f>IF(H378&gt;'I. Stream &amp; Compound Data'!$F$18,"",IF(I378="","N/A",IF(OR(I378=3,I378=4),1,IF(I378=2,0.8,IF(I378=1,0.6,0)))))</f>
        <v>0</v>
      </c>
      <c r="M378" s="1168" t="str">
        <f>IF(H378&gt;'I. Stream &amp; Compound Data'!$F$18,"",IF(L378="N/A",IF(J378="","N/A",IF(OR(J378=1,J378=2,J378=3,J378=6,J378=17),1,IF(OR(J378=5,J378=19,J378=44),0.8,"N/A"))),"N/A"))</f>
        <v>N/A</v>
      </c>
      <c r="N378" s="1242" t="str">
        <f>IF(H378&gt;'I. Stream &amp; Compound Data'!$F$18,"",IF(AND(L378="N/A",M378="N/A"),IF(K378="","N/A",ROUND(IF(K378&lt;=0,1,IF(AND(K378&gt;0,K378&lt;200),-0.005*K378+1,0)),3)),"N/A"))</f>
        <v>N/A</v>
      </c>
      <c r="O378" s="1242">
        <f>IF(H378&gt;'I. Stream &amp; Compound Data'!$F$18,"",IF(I142="","N/A",IF(L378&lt;&gt;"N/A",L378,IF(M378&lt;&gt;"N/A",M378,IF(N378&lt;&gt;"N/A",N378,"NO DATA AVAILABLE")))))</f>
        <v>0</v>
      </c>
      <c r="P378" s="1242">
        <f>IF(H378&gt;'I. Stream &amp; Compound Data'!$F$18,"",MAX(K142:L142))</f>
        <v>2980.7504537999998</v>
      </c>
      <c r="Q378" s="1268">
        <f>IF(H378&gt;'I. Stream &amp; Compound Data'!$F$18,"",IF(O378="N/A",0,O378/'I. Stream &amp; Compound Data'!F$18))</f>
        <v>0</v>
      </c>
      <c r="R378" s="297"/>
      <c r="S378" s="298"/>
      <c r="T378" s="298"/>
      <c r="U378" s="299"/>
      <c r="V378" s="279"/>
      <c r="W378" s="279"/>
      <c r="X378" s="279"/>
      <c r="Y378" s="279"/>
      <c r="Z378" s="279"/>
      <c r="AA378" s="279"/>
      <c r="AB378" s="279"/>
      <c r="AC378" s="279"/>
      <c r="AD378" s="279"/>
      <c r="AE378" s="279"/>
      <c r="AF378" s="279"/>
      <c r="AG378" s="279"/>
      <c r="AH378" s="279"/>
      <c r="AI378" s="279"/>
      <c r="AJ378" s="279"/>
      <c r="AK378" s="279"/>
      <c r="AL378" s="279"/>
      <c r="AM378" s="279"/>
      <c r="AN378" s="279"/>
      <c r="AO378" s="279"/>
      <c r="AP378" s="279"/>
      <c r="AQ378" s="279"/>
      <c r="AR378" s="279"/>
      <c r="AS378" s="279"/>
      <c r="AT378" s="279"/>
      <c r="AU378" s="279"/>
      <c r="AV378" s="279"/>
      <c r="AW378" s="279"/>
      <c r="AX378" s="279"/>
      <c r="AY378" s="279"/>
      <c r="AZ378" s="279"/>
      <c r="BA378" s="279"/>
      <c r="BB378" s="279"/>
      <c r="BC378" s="279"/>
      <c r="BD378" s="279"/>
      <c r="BE378" s="279"/>
      <c r="BF378" s="279"/>
      <c r="BG378" s="279"/>
      <c r="BH378" s="279"/>
      <c r="BI378" s="279"/>
      <c r="BJ378" s="279"/>
      <c r="BK378" s="279"/>
      <c r="BL378" s="279"/>
      <c r="BM378" s="279"/>
      <c r="BN378" s="279"/>
      <c r="BO378" s="279"/>
      <c r="BP378" s="279"/>
      <c r="BQ378" s="279"/>
      <c r="BR378" s="279"/>
      <c r="BS378" s="279"/>
      <c r="BT378" s="279"/>
      <c r="BU378" s="279"/>
      <c r="BV378" s="279"/>
      <c r="BW378" s="279"/>
      <c r="BX378" s="279"/>
      <c r="BY378" s="279"/>
      <c r="BZ378" s="279"/>
      <c r="CA378" s="279"/>
      <c r="CB378" s="279"/>
      <c r="CC378" s="279"/>
      <c r="CD378" s="279"/>
      <c r="CE378" s="279"/>
      <c r="CF378" s="279"/>
      <c r="CG378" s="279"/>
      <c r="CH378" s="279"/>
      <c r="CI378" s="279"/>
      <c r="CJ378" s="279"/>
      <c r="CK378" s="279"/>
      <c r="CL378" s="279"/>
      <c r="CM378" s="279"/>
      <c r="CN378" s="382"/>
    </row>
    <row r="379" x14ac:dyDescent="0.3">
      <c r="B379" s="361"/>
      <c r="C379" s="279"/>
      <c r="D379" s="280"/>
      <c r="E379" s="287"/>
      <c r="F379" s="287"/>
      <c r="G379" s="287"/>
      <c r="H379" s="1292">
        <f t="shared" si="16"/>
        <v>2</v>
      </c>
      <c r="I379" s="1190">
        <f>IF('I. Stream &amp; Compound Data'!AW263&lt;&gt;"",'I. Stream &amp; Compound Data'!AW263,"")</f>
        <v>0</v>
      </c>
      <c r="J379" s="1295" t="str">
        <f>IF('I. Stream &amp; Compound Data'!AR263&lt;&gt;"",'I. Stream &amp; Compound Data'!AR263,IF('I. Stream &amp; Compound Data'!AS263&lt;&gt;"",'I. Stream &amp; Compound Data'!AS263,""))</f>
        <v/>
      </c>
      <c r="K379" s="1295">
        <f>IF('I. Stream &amp; Compound Data'!BC263&lt;&gt;"",'I. Stream &amp; Compound Data'!BC263-'I. Stream &amp; Compound Data'!F$19,"")</f>
        <v>1050</v>
      </c>
      <c r="L379" s="1306">
        <f>IF(H379&gt;'I. Stream &amp; Compound Data'!$F$18,"",IF(I379="","N/A",IF(OR(I379=3,I379=4),1,IF(I379=2,0.8,IF(I379=1,0.6,0)))))</f>
        <v>0</v>
      </c>
      <c r="M379" s="1168" t="str">
        <f>IF(H379&gt;'I. Stream &amp; Compound Data'!$F$18,"",IF(L379="N/A",IF(J379="","N/A",IF(OR(J379=1,J379=2,J379=3,J379=6,J379=17),1,IF(OR(J379=5,J379=19,J379=44),0.8,"N/A"))),"N/A"))</f>
        <v>N/A</v>
      </c>
      <c r="N379" s="1242" t="str">
        <f>IF(H379&gt;'I. Stream &amp; Compound Data'!$F$18,"",IF(AND(L379="N/A",M379="N/A"),IF(K379="","N/A",ROUND(IF(K379&lt;=0,1,IF(AND(K379&gt;0,K379&lt;200),-0.005*K379+1,0)),3)),"N/A"))</f>
        <v>N/A</v>
      </c>
      <c r="O379" s="1242">
        <f>IF(H379&gt;'I. Stream &amp; Compound Data'!$F$18,"",IF(I143="","N/A",IF(L379&lt;&gt;"N/A",L379,IF(M379&lt;&gt;"N/A",M379,IF(N379&lt;&gt;"N/A",N379,"NO DATA AVAILABLE")))))</f>
        <v>0</v>
      </c>
      <c r="P379" s="1242">
        <f>IF(H379&gt;'I. Stream &amp; Compound Data'!$F$18,"",MAX(K143:L143))</f>
        <v>0</v>
      </c>
      <c r="Q379" s="1268">
        <f>IF(H379&gt;'I. Stream &amp; Compound Data'!$F$18,"",IF(O379="N/A",0,O379/'I. Stream &amp; Compound Data'!F$18))</f>
        <v>0</v>
      </c>
      <c r="R379" s="297"/>
      <c r="S379" s="298"/>
      <c r="T379" s="298"/>
      <c r="U379" s="299"/>
      <c r="V379" s="279"/>
      <c r="W379" s="279"/>
      <c r="X379" s="279"/>
      <c r="Y379" s="279"/>
      <c r="Z379" s="279"/>
      <c r="AA379" s="279"/>
      <c r="AB379" s="279"/>
      <c r="AC379" s="279"/>
      <c r="AD379" s="279"/>
      <c r="AE379" s="279"/>
      <c r="AF379" s="279"/>
      <c r="AG379" s="279"/>
      <c r="AH379" s="279"/>
      <c r="AI379" s="279"/>
      <c r="AJ379" s="279"/>
      <c r="AK379" s="279"/>
      <c r="AL379" s="279"/>
      <c r="AM379" s="279"/>
      <c r="AN379" s="279"/>
      <c r="AO379" s="279"/>
      <c r="AP379" s="279"/>
      <c r="AQ379" s="279"/>
      <c r="AR379" s="279"/>
      <c r="AS379" s="279"/>
      <c r="AT379" s="279"/>
      <c r="AU379" s="279"/>
      <c r="AV379" s="279"/>
      <c r="AW379" s="279"/>
      <c r="AX379" s="279"/>
      <c r="AY379" s="279"/>
      <c r="AZ379" s="279"/>
      <c r="BA379" s="279"/>
      <c r="BB379" s="279"/>
      <c r="BC379" s="279"/>
      <c r="BD379" s="279"/>
      <c r="BE379" s="279"/>
      <c r="BF379" s="279"/>
      <c r="BG379" s="279"/>
      <c r="BH379" s="279"/>
      <c r="BI379" s="279"/>
      <c r="BJ379" s="279"/>
      <c r="BK379" s="279"/>
      <c r="BL379" s="279"/>
      <c r="BM379" s="279"/>
      <c r="BN379" s="279"/>
      <c r="BO379" s="279"/>
      <c r="BP379" s="279"/>
      <c r="BQ379" s="279"/>
      <c r="BR379" s="279"/>
      <c r="BS379" s="279"/>
      <c r="BT379" s="279"/>
      <c r="BU379" s="279"/>
      <c r="BV379" s="279"/>
      <c r="BW379" s="279"/>
      <c r="BX379" s="279"/>
      <c r="BY379" s="279"/>
      <c r="BZ379" s="279"/>
      <c r="CA379" s="279"/>
      <c r="CB379" s="279"/>
      <c r="CC379" s="279"/>
      <c r="CD379" s="279"/>
      <c r="CE379" s="279"/>
      <c r="CF379" s="279"/>
      <c r="CG379" s="279"/>
      <c r="CH379" s="279"/>
      <c r="CI379" s="279"/>
      <c r="CJ379" s="279"/>
      <c r="CK379" s="279"/>
      <c r="CL379" s="279"/>
      <c r="CM379" s="279"/>
      <c r="CN379" s="382"/>
    </row>
    <row r="380" x14ac:dyDescent="0.3">
      <c r="B380" s="361"/>
      <c r="C380" s="279"/>
      <c r="D380" s="280"/>
      <c r="E380" s="287"/>
      <c r="F380" s="287"/>
      <c r="G380" s="287"/>
      <c r="H380" s="1292">
        <f t="shared" si="16"/>
        <v>3</v>
      </c>
      <c r="I380" s="1190">
        <f>IF('I. Stream &amp; Compound Data'!AW264&lt;&gt;"",'I. Stream &amp; Compound Data'!AW264,"")</f>
        <v>1</v>
      </c>
      <c r="J380" s="1295" t="str">
        <f>IF('I. Stream &amp; Compound Data'!AR264&lt;&gt;"",'I. Stream &amp; Compound Data'!AR264,IF('I. Stream &amp; Compound Data'!AS264&lt;&gt;"",'I. Stream &amp; Compound Data'!AS264,""))</f>
        <v>20/21/22</v>
      </c>
      <c r="K380" s="1295" t="str">
        <f>IF('I. Stream &amp; Compound Data'!BC264&lt;&gt;"",'I. Stream &amp; Compound Data'!BC264-'I. Stream &amp; Compound Data'!F$19,"")</f>
        <v/>
      </c>
      <c r="L380" s="1306">
        <f>IF(H380&gt;'I. Stream &amp; Compound Data'!$F$18,"",IF(I380="","N/A",IF(OR(I380=3,I380=4),1,IF(I380=2,0.8,IF(I380=1,0.6,0)))))</f>
        <v>0.6</v>
      </c>
      <c r="M380" s="1168" t="str">
        <f>IF(H380&gt;'I. Stream &amp; Compound Data'!$F$18,"",IF(L380="N/A",IF(J380="","N/A",IF(OR(J380=1,J380=2,J380=3,J380=6,J380=17),1,IF(OR(J380=5,J380=19,J380=44),0.8,"N/A"))),"N/A"))</f>
        <v>N/A</v>
      </c>
      <c r="N380" s="1242" t="str">
        <f>IF(H380&gt;'I. Stream &amp; Compound Data'!$F$18,"",IF(AND(L380="N/A",M380="N/A"),IF(K380="","N/A",ROUND(IF(K380&lt;=0,1,IF(AND(K380&gt;0,K380&lt;200),-0.005*K380+1,0)),3)),"N/A"))</f>
        <v>N/A</v>
      </c>
      <c r="O380" s="1242">
        <f>IF(H380&gt;'I. Stream &amp; Compound Data'!$F$18,"",IF(I144="","N/A",IF(L380&lt;&gt;"N/A",L380,IF(M380&lt;&gt;"N/A",M380,IF(N380&lt;&gt;"N/A",N380,"NO DATA AVAILABLE")))))</f>
        <v>0.6</v>
      </c>
      <c r="P380" s="1242">
        <f>IF(H380&gt;'I. Stream &amp; Compound Data'!$F$18,"",MAX(K144:L144))</f>
        <v>2888.3362910273868</v>
      </c>
      <c r="Q380" s="1268">
        <f>IF(H380&gt;'I. Stream &amp; Compound Data'!$F$18,"",IF(O380="N/A",0,O380/'I. Stream &amp; Compound Data'!F$18))</f>
        <v>0.15</v>
      </c>
      <c r="R380" s="297"/>
      <c r="S380" s="298"/>
      <c r="T380" s="298"/>
      <c r="U380" s="299"/>
      <c r="V380" s="279"/>
      <c r="W380" s="279"/>
      <c r="X380" s="279"/>
      <c r="Y380" s="279"/>
      <c r="Z380" s="279"/>
      <c r="AA380" s="279"/>
      <c r="AB380" s="279"/>
      <c r="AC380" s="279"/>
      <c r="AD380" s="279"/>
      <c r="AE380" s="279"/>
      <c r="AF380" s="279"/>
      <c r="AG380" s="279"/>
      <c r="AH380" s="279"/>
      <c r="AI380" s="279"/>
      <c r="AJ380" s="279"/>
      <c r="AK380" s="279"/>
      <c r="AL380" s="279"/>
      <c r="AM380" s="279"/>
      <c r="AN380" s="279"/>
      <c r="AO380" s="279"/>
      <c r="AP380" s="279"/>
      <c r="AQ380" s="279"/>
      <c r="AR380" s="279"/>
      <c r="AS380" s="279"/>
      <c r="AT380" s="279"/>
      <c r="AU380" s="279"/>
      <c r="AV380" s="279"/>
      <c r="AW380" s="279"/>
      <c r="AX380" s="279"/>
      <c r="AY380" s="279"/>
      <c r="AZ380" s="279"/>
      <c r="BA380" s="279"/>
      <c r="BB380" s="279"/>
      <c r="BC380" s="279"/>
      <c r="BD380" s="279"/>
      <c r="BE380" s="279"/>
      <c r="BF380" s="279"/>
      <c r="BG380" s="279"/>
      <c r="BH380" s="279"/>
      <c r="BI380" s="279"/>
      <c r="BJ380" s="279"/>
      <c r="BK380" s="279"/>
      <c r="BL380" s="279"/>
      <c r="BM380" s="279"/>
      <c r="BN380" s="279"/>
      <c r="BO380" s="279"/>
      <c r="BP380" s="279"/>
      <c r="BQ380" s="279"/>
      <c r="BR380" s="279"/>
      <c r="BS380" s="279"/>
      <c r="BT380" s="279"/>
      <c r="BU380" s="279"/>
      <c r="BV380" s="279"/>
      <c r="BW380" s="279"/>
      <c r="BX380" s="279"/>
      <c r="BY380" s="279"/>
      <c r="BZ380" s="279"/>
      <c r="CA380" s="279"/>
      <c r="CB380" s="279"/>
      <c r="CC380" s="279"/>
      <c r="CD380" s="279"/>
      <c r="CE380" s="279"/>
      <c r="CF380" s="279"/>
      <c r="CG380" s="279"/>
      <c r="CH380" s="279"/>
      <c r="CI380" s="279"/>
      <c r="CJ380" s="279"/>
      <c r="CK380" s="279"/>
      <c r="CL380" s="279"/>
      <c r="CM380" s="279"/>
      <c r="CN380" s="382"/>
    </row>
    <row r="381" x14ac:dyDescent="0.3">
      <c r="B381" s="361"/>
      <c r="C381" s="279"/>
      <c r="D381" s="280"/>
      <c r="E381" s="287"/>
      <c r="F381" s="287"/>
      <c r="G381" s="287"/>
      <c r="H381" s="1292">
        <f t="shared" si="16"/>
        <v>4</v>
      </c>
      <c r="I381" s="1190">
        <f>IF('I. Stream &amp; Compound Data'!AW265&lt;&gt;"",'I. Stream &amp; Compound Data'!AW265,"")</f>
        <v>0</v>
      </c>
      <c r="J381" s="1295">
        <f>IF('I. Stream &amp; Compound Data'!AR265&lt;&gt;"",'I. Stream &amp; Compound Data'!AR265,IF('I. Stream &amp; Compound Data'!AS265&lt;&gt;"",'I. Stream &amp; Compound Data'!AS265,""))</f>
        <v>36</v>
      </c>
      <c r="K381" s="1295">
        <f>IF('I. Stream &amp; Compound Data'!BC265&lt;&gt;"",'I. Stream &amp; Compound Data'!BC265-'I. Stream &amp; Compound Data'!F$19,"")</f>
        <v>-250</v>
      </c>
      <c r="L381" s="1306">
        <f>IF(H381&gt;'I. Stream &amp; Compound Data'!$F$18,"",IF(I381="","N/A",IF(OR(I381=3,I381=4),1,IF(I381=2,0.8,IF(I381=1,0.6,0)))))</f>
        <v>0</v>
      </c>
      <c r="M381" s="1168" t="str">
        <f>IF(H381&gt;'I. Stream &amp; Compound Data'!$F$18,"",IF(L381="N/A",IF(J381="","N/A",IF(OR(J381=1,J381=2,J381=3,J381=6,J381=17),1,IF(OR(J381=5,J381=19,J381=44),0.8,"N/A"))),"N/A"))</f>
        <v>N/A</v>
      </c>
      <c r="N381" s="1242" t="str">
        <f>IF(H381&gt;'I. Stream &amp; Compound Data'!$F$18,"",IF(AND(L381="N/A",M381="N/A"),IF(K381="","N/A",ROUND(IF(K381&lt;=0,1,IF(AND(K381&gt;0,K381&lt;200),-0.005*K381+1,0)),3)),"N/A"))</f>
        <v>N/A</v>
      </c>
      <c r="O381" s="1242">
        <f>IF(H381&gt;'I. Stream &amp; Compound Data'!$F$18,"",IF(I145="","N/A",IF(L381&lt;&gt;"N/A",L381,IF(M381&lt;&gt;"N/A",M381,IF(N381&lt;&gt;"N/A",N381,"NO DATA AVAILABLE")))))</f>
        <v>0</v>
      </c>
      <c r="P381" s="1242">
        <f>IF(H381&gt;'I. Stream &amp; Compound Data'!$F$18,"",MAX(K145:L145))</f>
        <v>6778.7792000553327</v>
      </c>
      <c r="Q381" s="1268">
        <f>IF(H381&gt;'I. Stream &amp; Compound Data'!$F$18,"",IF(O381="N/A",0,O381/'I. Stream &amp; Compound Data'!F$18))</f>
        <v>0</v>
      </c>
      <c r="R381" s="297"/>
      <c r="S381" s="298"/>
      <c r="T381" s="298"/>
      <c r="U381" s="299"/>
      <c r="V381" s="279"/>
      <c r="W381" s="279"/>
      <c r="X381" s="279"/>
      <c r="Y381" s="279"/>
      <c r="Z381" s="279"/>
      <c r="AA381" s="279"/>
      <c r="AB381" s="279"/>
      <c r="AC381" s="279"/>
      <c r="AD381" s="279"/>
      <c r="AE381" s="279"/>
      <c r="AF381" s="279"/>
      <c r="AG381" s="279"/>
      <c r="AH381" s="279"/>
      <c r="AI381" s="279"/>
      <c r="AJ381" s="279"/>
      <c r="AK381" s="279"/>
      <c r="AL381" s="279"/>
      <c r="AM381" s="279"/>
      <c r="AN381" s="279"/>
      <c r="AO381" s="279"/>
      <c r="AP381" s="279"/>
      <c r="AQ381" s="279"/>
      <c r="AR381" s="279"/>
      <c r="AS381" s="279"/>
      <c r="AT381" s="279"/>
      <c r="AU381" s="279"/>
      <c r="AV381" s="279"/>
      <c r="AW381" s="279"/>
      <c r="AX381" s="279"/>
      <c r="AY381" s="279"/>
      <c r="AZ381" s="279"/>
      <c r="BA381" s="279"/>
      <c r="BB381" s="279"/>
      <c r="BC381" s="279"/>
      <c r="BD381" s="279"/>
      <c r="BE381" s="279"/>
      <c r="BF381" s="279"/>
      <c r="BG381" s="279"/>
      <c r="BH381" s="279"/>
      <c r="BI381" s="279"/>
      <c r="BJ381" s="279"/>
      <c r="BK381" s="279"/>
      <c r="BL381" s="279"/>
      <c r="BM381" s="279"/>
      <c r="BN381" s="279"/>
      <c r="BO381" s="279"/>
      <c r="BP381" s="279"/>
      <c r="BQ381" s="279"/>
      <c r="BR381" s="279"/>
      <c r="BS381" s="279"/>
      <c r="BT381" s="279"/>
      <c r="BU381" s="279"/>
      <c r="BV381" s="279"/>
      <c r="BW381" s="279"/>
      <c r="BX381" s="279"/>
      <c r="BY381" s="279"/>
      <c r="BZ381" s="279"/>
      <c r="CA381" s="279"/>
      <c r="CB381" s="279"/>
      <c r="CC381" s="279"/>
      <c r="CD381" s="279"/>
      <c r="CE381" s="279"/>
      <c r="CF381" s="279"/>
      <c r="CG381" s="279"/>
      <c r="CH381" s="279"/>
      <c r="CI381" s="279"/>
      <c r="CJ381" s="279"/>
      <c r="CK381" s="279"/>
      <c r="CL381" s="279"/>
      <c r="CM381" s="279"/>
      <c r="CN381" s="382"/>
    </row>
    <row r="382" x14ac:dyDescent="0.3">
      <c r="B382" s="361"/>
      <c r="C382" s="279"/>
      <c r="D382" s="280"/>
      <c r="E382" s="287"/>
      <c r="F382" s="287"/>
      <c r="G382" s="287"/>
      <c r="H382" s="1292">
        <f t="shared" si="16"/>
        <v>5</v>
      </c>
      <c r="I382" s="1190" t="str">
        <f>IF('I. Stream &amp; Compound Data'!AW266&lt;&gt;"",'I. Stream &amp; Compound Data'!AW266,"")</f>
        <v/>
      </c>
      <c r="J382" s="1295" t="str">
        <f>IF('I. Stream &amp; Compound Data'!AR266&lt;&gt;"",'I. Stream &amp; Compound Data'!AR266,IF('I. Stream &amp; Compound Data'!AS266&lt;&gt;"",'I. Stream &amp; Compound Data'!AS266,""))</f>
        <v/>
      </c>
      <c r="K382" s="1295" t="str">
        <f>IF('I. Stream &amp; Compound Data'!BC266&lt;&gt;"",'I. Stream &amp; Compound Data'!BC266-'I. Stream &amp; Compound Data'!F$19,"")</f>
        <v/>
      </c>
      <c r="L382" s="1306" t="str">
        <f>IF(H382&gt;'I. Stream &amp; Compound Data'!$F$18,"",IF(I382="","N/A",IF(OR(I382=3,I382=4),1,IF(I382=2,0.8,IF(I382=1,0.6,0)))))</f>
        <v/>
      </c>
      <c r="M382" s="1168" t="str">
        <f>IF(H382&gt;'I. Stream &amp; Compound Data'!$F$18,"",IF(L382="N/A",IF(J382="","N/A",IF(OR(J382=1,J382=2,J382=3,J382=6,J382=17),1,IF(OR(J382=5,J382=19,J382=44),0.8,"N/A"))),"N/A"))</f>
        <v/>
      </c>
      <c r="N382" s="1242" t="str">
        <f>IF(H382&gt;'I. Stream &amp; Compound Data'!$F$18,"",IF(AND(L382="N/A",M382="N/A"),IF(K382="","N/A",ROUND(IF(K382&lt;=0,1,IF(AND(K382&gt;0,K382&lt;200),-0.005*K382+1,0)),3)),"N/A"))</f>
        <v/>
      </c>
      <c r="O382" s="1242" t="str">
        <f>IF(H382&gt;'I. Stream &amp; Compound Data'!$F$18,"",IF(I146="","N/A",IF(L382&lt;&gt;"N/A",L382,IF(M382&lt;&gt;"N/A",M382,IF(N382&lt;&gt;"N/A",N382,"NO DATA AVAILABLE")))))</f>
        <v/>
      </c>
      <c r="P382" s="1242" t="str">
        <f>IF(H382&gt;'I. Stream &amp; Compound Data'!$F$18,"",MAX(K146:L146))</f>
        <v/>
      </c>
      <c r="Q382" s="1268" t="str">
        <f>IF(H382&gt;'I. Stream &amp; Compound Data'!$F$18,"",IF(O382="N/A",0,O382/'I. Stream &amp; Compound Data'!F$18))</f>
        <v/>
      </c>
      <c r="R382" s="297"/>
      <c r="S382" s="298"/>
      <c r="T382" s="298"/>
      <c r="U382" s="299"/>
      <c r="V382" s="279"/>
      <c r="W382" s="279"/>
      <c r="X382" s="279"/>
      <c r="Y382" s="279"/>
      <c r="Z382" s="279"/>
      <c r="AA382" s="279"/>
      <c r="AB382" s="279"/>
      <c r="AC382" s="279"/>
      <c r="AD382" s="279"/>
      <c r="AE382" s="279"/>
      <c r="AF382" s="279"/>
      <c r="AG382" s="279"/>
      <c r="AH382" s="279"/>
      <c r="AI382" s="279"/>
      <c r="AJ382" s="279"/>
      <c r="AK382" s="279"/>
      <c r="AL382" s="279"/>
      <c r="AM382" s="279"/>
      <c r="AN382" s="279"/>
      <c r="AO382" s="279"/>
      <c r="AP382" s="279"/>
      <c r="AQ382" s="279"/>
      <c r="AR382" s="279"/>
      <c r="AS382" s="279"/>
      <c r="AT382" s="279"/>
      <c r="AU382" s="279"/>
      <c r="AV382" s="279"/>
      <c r="AW382" s="279"/>
      <c r="AX382" s="279"/>
      <c r="AY382" s="279"/>
      <c r="AZ382" s="279"/>
      <c r="BA382" s="279"/>
      <c r="BB382" s="279"/>
      <c r="BC382" s="279"/>
      <c r="BD382" s="279"/>
      <c r="BE382" s="279"/>
      <c r="BF382" s="279"/>
      <c r="BG382" s="279"/>
      <c r="BH382" s="279"/>
      <c r="BI382" s="279"/>
      <c r="BJ382" s="279"/>
      <c r="BK382" s="279"/>
      <c r="BL382" s="279"/>
      <c r="BM382" s="279"/>
      <c r="BN382" s="279"/>
      <c r="BO382" s="279"/>
      <c r="BP382" s="279"/>
      <c r="BQ382" s="279"/>
      <c r="BR382" s="279"/>
      <c r="BS382" s="279"/>
      <c r="BT382" s="279"/>
      <c r="BU382" s="279"/>
      <c r="BV382" s="279"/>
      <c r="BW382" s="279"/>
      <c r="BX382" s="279"/>
      <c r="BY382" s="279"/>
      <c r="BZ382" s="279"/>
      <c r="CA382" s="279"/>
      <c r="CB382" s="279"/>
      <c r="CC382" s="279"/>
      <c r="CD382" s="279"/>
      <c r="CE382" s="279"/>
      <c r="CF382" s="279"/>
      <c r="CG382" s="279"/>
      <c r="CH382" s="279"/>
      <c r="CI382" s="279"/>
      <c r="CJ382" s="279"/>
      <c r="CK382" s="279"/>
      <c r="CL382" s="279"/>
      <c r="CM382" s="279"/>
      <c r="CN382" s="382"/>
    </row>
    <row r="383" x14ac:dyDescent="0.3">
      <c r="B383" s="361"/>
      <c r="C383" s="279"/>
      <c r="D383" s="280"/>
      <c r="E383" s="287"/>
      <c r="F383" s="287"/>
      <c r="G383" s="287"/>
      <c r="H383" s="1292">
        <f t="shared" si="16"/>
        <v>6</v>
      </c>
      <c r="I383" s="1190" t="str">
        <f>IF('I. Stream &amp; Compound Data'!AW267&lt;&gt;"",'I. Stream &amp; Compound Data'!AW267,"")</f>
        <v/>
      </c>
      <c r="J383" s="1295" t="str">
        <f>IF('I. Stream &amp; Compound Data'!AR267&lt;&gt;"",'I. Stream &amp; Compound Data'!AR267,IF('I. Stream &amp; Compound Data'!AS267&lt;&gt;"",'I. Stream &amp; Compound Data'!AS267,""))</f>
        <v/>
      </c>
      <c r="K383" s="1295" t="str">
        <f>IF('I. Stream &amp; Compound Data'!BC267&lt;&gt;"",'I. Stream &amp; Compound Data'!BC267-'I. Stream &amp; Compound Data'!F$19,"")</f>
        <v/>
      </c>
      <c r="L383" s="1306" t="str">
        <f>IF(H383&gt;'I. Stream &amp; Compound Data'!$F$18,"",IF(I383="","N/A",IF(OR(I383=3,I383=4),1,IF(I383=2,0.8,IF(I383=1,0.6,0)))))</f>
        <v/>
      </c>
      <c r="M383" s="1168" t="str">
        <f>IF(H383&gt;'I. Stream &amp; Compound Data'!$F$18,"",IF(L383="N/A",IF(J383="","N/A",IF(OR(J383=1,J383=2,J383=3,J383=6,J383=17),1,IF(OR(J383=5,J383=19,J383=44),0.8,"N/A"))),"N/A"))</f>
        <v/>
      </c>
      <c r="N383" s="1242" t="str">
        <f>IF(H383&gt;'I. Stream &amp; Compound Data'!$F$18,"",IF(AND(L383="N/A",M383="N/A"),IF(K383="","N/A",ROUND(IF(K383&lt;=0,1,IF(AND(K383&gt;0,K383&lt;200),-0.005*K383+1,0)),3)),"N/A"))</f>
        <v/>
      </c>
      <c r="O383" s="1242" t="str">
        <f>IF(H383&gt;'I. Stream &amp; Compound Data'!$F$18,"",IF(I147="","N/A",IF(L383&lt;&gt;"N/A",L383,IF(M383&lt;&gt;"N/A",M383,IF(N383&lt;&gt;"N/A",N383,"NO DATA AVAILABLE")))))</f>
        <v/>
      </c>
      <c r="P383" s="1242" t="str">
        <f>IF(H383&gt;'I. Stream &amp; Compound Data'!$F$18,"",MAX(K147:L147))</f>
        <v/>
      </c>
      <c r="Q383" s="1268" t="str">
        <f>IF(H383&gt;'I. Stream &amp; Compound Data'!$F$18,"",IF(O383="N/A",0,O383/'I. Stream &amp; Compound Data'!F$18))</f>
        <v/>
      </c>
      <c r="R383" s="297"/>
      <c r="S383" s="298"/>
      <c r="T383" s="298"/>
      <c r="U383" s="299"/>
      <c r="V383" s="279"/>
      <c r="W383" s="279"/>
      <c r="X383" s="279"/>
      <c r="Y383" s="279"/>
      <c r="Z383" s="279"/>
      <c r="AA383" s="279"/>
      <c r="AB383" s="279"/>
      <c r="AC383" s="279"/>
      <c r="AD383" s="279"/>
      <c r="AE383" s="279"/>
      <c r="AF383" s="279"/>
      <c r="AG383" s="279"/>
      <c r="AH383" s="279"/>
      <c r="AI383" s="279"/>
      <c r="AJ383" s="279"/>
      <c r="AK383" s="279"/>
      <c r="AL383" s="279"/>
      <c r="AM383" s="279"/>
      <c r="AN383" s="279"/>
      <c r="AO383" s="279"/>
      <c r="AP383" s="279"/>
      <c r="AQ383" s="279"/>
      <c r="AR383" s="279"/>
      <c r="AS383" s="279"/>
      <c r="AT383" s="279"/>
      <c r="AU383" s="279"/>
      <c r="AV383" s="279"/>
      <c r="AW383" s="279"/>
      <c r="AX383" s="279"/>
      <c r="AY383" s="279"/>
      <c r="AZ383" s="279"/>
      <c r="BA383" s="279"/>
      <c r="BB383" s="279"/>
      <c r="BC383" s="279"/>
      <c r="BD383" s="279"/>
      <c r="BE383" s="279"/>
      <c r="BF383" s="279"/>
      <c r="BG383" s="279"/>
      <c r="BH383" s="279"/>
      <c r="BI383" s="279"/>
      <c r="BJ383" s="279"/>
      <c r="BK383" s="279"/>
      <c r="BL383" s="279"/>
      <c r="BM383" s="279"/>
      <c r="BN383" s="279"/>
      <c r="BO383" s="279"/>
      <c r="BP383" s="279"/>
      <c r="BQ383" s="279"/>
      <c r="BR383" s="279"/>
      <c r="BS383" s="279"/>
      <c r="BT383" s="279"/>
      <c r="BU383" s="279"/>
      <c r="BV383" s="279"/>
      <c r="BW383" s="279"/>
      <c r="BX383" s="279"/>
      <c r="BY383" s="279"/>
      <c r="BZ383" s="279"/>
      <c r="CA383" s="279"/>
      <c r="CB383" s="279"/>
      <c r="CC383" s="279"/>
      <c r="CD383" s="279"/>
      <c r="CE383" s="279"/>
      <c r="CF383" s="279"/>
      <c r="CG383" s="279"/>
      <c r="CH383" s="279"/>
      <c r="CI383" s="279"/>
      <c r="CJ383" s="279"/>
      <c r="CK383" s="279"/>
      <c r="CL383" s="279"/>
      <c r="CM383" s="279"/>
      <c r="CN383" s="382"/>
    </row>
    <row r="384" x14ac:dyDescent="0.3">
      <c r="B384" s="361"/>
      <c r="C384" s="279"/>
      <c r="D384" s="280"/>
      <c r="E384" s="287"/>
      <c r="F384" s="287"/>
      <c r="G384" s="287"/>
      <c r="H384" s="1292">
        <f t="shared" si="16"/>
        <v>7</v>
      </c>
      <c r="I384" s="1190" t="str">
        <f>IF('I. Stream &amp; Compound Data'!AW268&lt;&gt;"",'I. Stream &amp; Compound Data'!AW268,"")</f>
        <v/>
      </c>
      <c r="J384" s="1295" t="str">
        <f>IF('I. Stream &amp; Compound Data'!AR268&lt;&gt;"",'I. Stream &amp; Compound Data'!AR268,IF('I. Stream &amp; Compound Data'!AS268&lt;&gt;"",'I. Stream &amp; Compound Data'!AS268,""))</f>
        <v/>
      </c>
      <c r="K384" s="1295" t="str">
        <f>IF('I. Stream &amp; Compound Data'!BC268&lt;&gt;"",'I. Stream &amp; Compound Data'!BC268-'I. Stream &amp; Compound Data'!F$19,"")</f>
        <v/>
      </c>
      <c r="L384" s="1306" t="str">
        <f>IF(H384&gt;'I. Stream &amp; Compound Data'!$F$18,"",IF(I384="","N/A",IF(OR(I384=3,I384=4),1,IF(I384=2,0.8,IF(I384=1,0.6,0)))))</f>
        <v/>
      </c>
      <c r="M384" s="1168" t="str">
        <f>IF(H384&gt;'I. Stream &amp; Compound Data'!$F$18,"",IF(L384="N/A",IF(J384="","N/A",IF(OR(J384=1,J384=2,J384=3,J384=6,J384=17),1,IF(OR(J384=5,J384=19,J384=44),0.8,"N/A"))),"N/A"))</f>
        <v/>
      </c>
      <c r="N384" s="1242" t="str">
        <f>IF(H384&gt;'I. Stream &amp; Compound Data'!$F$18,"",IF(AND(L384="N/A",M384="N/A"),IF(K384="","N/A",ROUND(IF(K384&lt;=0,1,IF(AND(K384&gt;0,K384&lt;200),-0.005*K384+1,0)),3)),"N/A"))</f>
        <v/>
      </c>
      <c r="O384" s="1242" t="str">
        <f>IF(H384&gt;'I. Stream &amp; Compound Data'!$F$18,"",IF(I148="","N/A",IF(L384&lt;&gt;"N/A",L384,IF(M384&lt;&gt;"N/A",M384,IF(N384&lt;&gt;"N/A",N384,"NO DATA AVAILABLE")))))</f>
        <v/>
      </c>
      <c r="P384" s="1242" t="str">
        <f>IF(H384&gt;'I. Stream &amp; Compound Data'!$F$18,"",MAX(K148:L148))</f>
        <v/>
      </c>
      <c r="Q384" s="1268" t="str">
        <f>IF(H384&gt;'I. Stream &amp; Compound Data'!$F$18,"",IF(O384="N/A",0,O384/'I. Stream &amp; Compound Data'!F$18))</f>
        <v/>
      </c>
      <c r="R384" s="297"/>
      <c r="S384" s="298"/>
      <c r="T384" s="298"/>
      <c r="U384" s="299"/>
      <c r="V384" s="279"/>
      <c r="W384" s="279"/>
      <c r="X384" s="279"/>
      <c r="Y384" s="279"/>
      <c r="Z384" s="279"/>
      <c r="AA384" s="279"/>
      <c r="AB384" s="279"/>
      <c r="AC384" s="279"/>
      <c r="AD384" s="279"/>
      <c r="AE384" s="279"/>
      <c r="AF384" s="279"/>
      <c r="AG384" s="279"/>
      <c r="AH384" s="279"/>
      <c r="AI384" s="279"/>
      <c r="AJ384" s="279"/>
      <c r="AK384" s="279"/>
      <c r="AL384" s="279"/>
      <c r="AM384" s="279"/>
      <c r="AN384" s="279"/>
      <c r="AO384" s="279"/>
      <c r="AP384" s="279"/>
      <c r="AQ384" s="279"/>
      <c r="AR384" s="279"/>
      <c r="AS384" s="279"/>
      <c r="AT384" s="279"/>
      <c r="AU384" s="279"/>
      <c r="AV384" s="279"/>
      <c r="AW384" s="279"/>
      <c r="AX384" s="279"/>
      <c r="AY384" s="279"/>
      <c r="AZ384" s="279"/>
      <c r="BA384" s="279"/>
      <c r="BB384" s="279"/>
      <c r="BC384" s="279"/>
      <c r="BD384" s="279"/>
      <c r="BE384" s="279"/>
      <c r="BF384" s="279"/>
      <c r="BG384" s="279"/>
      <c r="BH384" s="279"/>
      <c r="BI384" s="279"/>
      <c r="BJ384" s="279"/>
      <c r="BK384" s="279"/>
      <c r="BL384" s="279"/>
      <c r="BM384" s="279"/>
      <c r="BN384" s="279"/>
      <c r="BO384" s="279"/>
      <c r="BP384" s="279"/>
      <c r="BQ384" s="279"/>
      <c r="BR384" s="279"/>
      <c r="BS384" s="279"/>
      <c r="BT384" s="279"/>
      <c r="BU384" s="279"/>
      <c r="BV384" s="279"/>
      <c r="BW384" s="279"/>
      <c r="BX384" s="279"/>
      <c r="BY384" s="279"/>
      <c r="BZ384" s="279"/>
      <c r="CA384" s="279"/>
      <c r="CB384" s="279"/>
      <c r="CC384" s="279"/>
      <c r="CD384" s="279"/>
      <c r="CE384" s="279"/>
      <c r="CF384" s="279"/>
      <c r="CG384" s="279"/>
      <c r="CH384" s="279"/>
      <c r="CI384" s="279"/>
      <c r="CJ384" s="279"/>
      <c r="CK384" s="279"/>
      <c r="CL384" s="279"/>
      <c r="CM384" s="279"/>
      <c r="CN384" s="382"/>
    </row>
    <row r="385" x14ac:dyDescent="0.3">
      <c r="B385" s="361"/>
      <c r="C385" s="279"/>
      <c r="D385" s="280"/>
      <c r="E385" s="287"/>
      <c r="F385" s="287"/>
      <c r="G385" s="287"/>
      <c r="H385" s="1292">
        <f t="shared" si="16"/>
        <v>8</v>
      </c>
      <c r="I385" s="1190" t="str">
        <f>IF('I. Stream &amp; Compound Data'!AW269&lt;&gt;"",'I. Stream &amp; Compound Data'!AW269,"")</f>
        <v/>
      </c>
      <c r="J385" s="1295" t="str">
        <f>IF('I. Stream &amp; Compound Data'!AR269&lt;&gt;"",'I. Stream &amp; Compound Data'!AR269,IF('I. Stream &amp; Compound Data'!AS269&lt;&gt;"",'I. Stream &amp; Compound Data'!AS269,""))</f>
        <v/>
      </c>
      <c r="K385" s="1295" t="str">
        <f>IF('I. Stream &amp; Compound Data'!BC269&lt;&gt;"",'I. Stream &amp; Compound Data'!BC269-'I. Stream &amp; Compound Data'!F$19,"")</f>
        <v/>
      </c>
      <c r="L385" s="1306" t="str">
        <f>IF(H385&gt;'I. Stream &amp; Compound Data'!$F$18,"",IF(I385="","N/A",IF(OR(I385=3,I385=4),1,IF(I385=2,0.8,IF(I385=1,0.6,0)))))</f>
        <v/>
      </c>
      <c r="M385" s="1168" t="str">
        <f>IF(H385&gt;'I. Stream &amp; Compound Data'!$F$18,"",IF(L385="N/A",IF(J385="","N/A",IF(OR(J385=1,J385=2,J385=3,J385=6,J385=17),1,IF(OR(J385=5,J385=19,J385=44),0.8,"N/A"))),"N/A"))</f>
        <v/>
      </c>
      <c r="N385" s="1242" t="str">
        <f>IF(H385&gt;'I. Stream &amp; Compound Data'!$F$18,"",IF(AND(L385="N/A",M385="N/A"),IF(K385="","N/A",ROUND(IF(K385&lt;=0,1,IF(AND(K385&gt;0,K385&lt;200),-0.005*K385+1,0)),3)),"N/A"))</f>
        <v/>
      </c>
      <c r="O385" s="1242" t="str">
        <f>IF(H385&gt;'I. Stream &amp; Compound Data'!$F$18,"",IF(I149="","N/A",IF(L385&lt;&gt;"N/A",L385,IF(M385&lt;&gt;"N/A",M385,IF(N385&lt;&gt;"N/A",N385,"NO DATA AVAILABLE")))))</f>
        <v/>
      </c>
      <c r="P385" s="1242" t="str">
        <f>IF(H385&gt;'I. Stream &amp; Compound Data'!$F$18,"",MAX(K149:L149))</f>
        <v/>
      </c>
      <c r="Q385" s="1268" t="str">
        <f>IF(H385&gt;'I. Stream &amp; Compound Data'!$F$18,"",IF(O385="N/A",0,O385/'I. Stream &amp; Compound Data'!F$18))</f>
        <v/>
      </c>
      <c r="R385" s="297"/>
      <c r="S385" s="298"/>
      <c r="T385" s="298"/>
      <c r="U385" s="299"/>
      <c r="V385" s="279"/>
      <c r="W385" s="279"/>
      <c r="X385" s="279"/>
      <c r="Y385" s="279"/>
      <c r="Z385" s="279"/>
      <c r="AA385" s="279"/>
      <c r="AB385" s="279"/>
      <c r="AC385" s="279"/>
      <c r="AD385" s="279"/>
      <c r="AE385" s="279"/>
      <c r="AF385" s="279"/>
      <c r="AG385" s="279"/>
      <c r="AH385" s="279"/>
      <c r="AI385" s="279"/>
      <c r="AJ385" s="279"/>
      <c r="AK385" s="279"/>
      <c r="AL385" s="279"/>
      <c r="AM385" s="279"/>
      <c r="AN385" s="279"/>
      <c r="AO385" s="279"/>
      <c r="AP385" s="279"/>
      <c r="AQ385" s="279"/>
      <c r="AR385" s="279"/>
      <c r="AS385" s="279"/>
      <c r="AT385" s="279"/>
      <c r="AU385" s="279"/>
      <c r="AV385" s="279"/>
      <c r="AW385" s="279"/>
      <c r="AX385" s="279"/>
      <c r="AY385" s="279"/>
      <c r="AZ385" s="279"/>
      <c r="BA385" s="279"/>
      <c r="BB385" s="279"/>
      <c r="BC385" s="279"/>
      <c r="BD385" s="279"/>
      <c r="BE385" s="279"/>
      <c r="BF385" s="279"/>
      <c r="BG385" s="279"/>
      <c r="BH385" s="279"/>
      <c r="BI385" s="279"/>
      <c r="BJ385" s="279"/>
      <c r="BK385" s="279"/>
      <c r="BL385" s="279"/>
      <c r="BM385" s="279"/>
      <c r="BN385" s="279"/>
      <c r="BO385" s="279"/>
      <c r="BP385" s="279"/>
      <c r="BQ385" s="279"/>
      <c r="BR385" s="279"/>
      <c r="BS385" s="279"/>
      <c r="BT385" s="279"/>
      <c r="BU385" s="279"/>
      <c r="BV385" s="279"/>
      <c r="BW385" s="279"/>
      <c r="BX385" s="279"/>
      <c r="BY385" s="279"/>
      <c r="BZ385" s="279"/>
      <c r="CA385" s="279"/>
      <c r="CB385" s="279"/>
      <c r="CC385" s="279"/>
      <c r="CD385" s="279"/>
      <c r="CE385" s="279"/>
      <c r="CF385" s="279"/>
      <c r="CG385" s="279"/>
      <c r="CH385" s="279"/>
      <c r="CI385" s="279"/>
      <c r="CJ385" s="279"/>
      <c r="CK385" s="279"/>
      <c r="CL385" s="279"/>
      <c r="CM385" s="279"/>
      <c r="CN385" s="382"/>
    </row>
    <row r="386" x14ac:dyDescent="0.3">
      <c r="B386" s="361"/>
      <c r="C386" s="279"/>
      <c r="D386" s="280"/>
      <c r="E386" s="287"/>
      <c r="F386" s="287"/>
      <c r="G386" s="287"/>
      <c r="H386" s="1292">
        <f t="shared" si="16"/>
        <v>9</v>
      </c>
      <c r="I386" s="1190" t="str">
        <f>IF('I. Stream &amp; Compound Data'!AW270&lt;&gt;"",'I. Stream &amp; Compound Data'!AW270,"")</f>
        <v/>
      </c>
      <c r="J386" s="1295" t="str">
        <f>IF('I. Stream &amp; Compound Data'!AR270&lt;&gt;"",'I. Stream &amp; Compound Data'!AR270,IF('I. Stream &amp; Compound Data'!AS270&lt;&gt;"",'I. Stream &amp; Compound Data'!AS270,""))</f>
        <v/>
      </c>
      <c r="K386" s="1295" t="str">
        <f>IF('I. Stream &amp; Compound Data'!BC270&lt;&gt;"",'I. Stream &amp; Compound Data'!BC270-'I. Stream &amp; Compound Data'!F$19,"")</f>
        <v/>
      </c>
      <c r="L386" s="1306" t="str">
        <f>IF(H386&gt;'I. Stream &amp; Compound Data'!$F$18,"",IF(I386="","N/A",IF(OR(I386=3,I386=4),1,IF(I386=2,0.8,IF(I386=1,0.6,0)))))</f>
        <v/>
      </c>
      <c r="M386" s="1168" t="str">
        <f>IF(H386&gt;'I. Stream &amp; Compound Data'!$F$18,"",IF(L386="N/A",IF(J386="","N/A",IF(OR(J386=1,J386=2,J386=3,J386=6,J386=17),1,IF(OR(J386=5,J386=19,J386=44),0.8,"N/A"))),"N/A"))</f>
        <v/>
      </c>
      <c r="N386" s="1242" t="str">
        <f>IF(H386&gt;'I. Stream &amp; Compound Data'!$F$18,"",IF(AND(L386="N/A",M386="N/A"),IF(K386="","N/A",ROUND(IF(K386&lt;=0,1,IF(AND(K386&gt;0,K386&lt;200),-0.005*K386+1,0)),3)),"N/A"))</f>
        <v/>
      </c>
      <c r="O386" s="1242" t="str">
        <f>IF(H386&gt;'I. Stream &amp; Compound Data'!$F$18,"",IF(I150="","N/A",IF(L386&lt;&gt;"N/A",L386,IF(M386&lt;&gt;"N/A",M386,IF(N386&lt;&gt;"N/A",N386,"NO DATA AVAILABLE")))))</f>
        <v/>
      </c>
      <c r="P386" s="1242" t="str">
        <f>IF(H386&gt;'I. Stream &amp; Compound Data'!$F$18,"",MAX(K150:L150))</f>
        <v/>
      </c>
      <c r="Q386" s="1268" t="str">
        <f>IF(H386&gt;'I. Stream &amp; Compound Data'!$F$18,"",IF(O386="N/A",0,O386/'I. Stream &amp; Compound Data'!F$18))</f>
        <v/>
      </c>
      <c r="R386" s="297"/>
      <c r="S386" s="298"/>
      <c r="T386" s="298"/>
      <c r="U386" s="299"/>
      <c r="V386" s="279"/>
      <c r="W386" s="279"/>
      <c r="X386" s="279"/>
      <c r="Y386" s="279"/>
      <c r="Z386" s="279"/>
      <c r="AA386" s="279"/>
      <c r="AB386" s="279"/>
      <c r="AC386" s="279"/>
      <c r="AD386" s="279"/>
      <c r="AE386" s="279"/>
      <c r="AF386" s="279"/>
      <c r="AG386" s="279"/>
      <c r="AH386" s="279"/>
      <c r="AI386" s="279"/>
      <c r="AJ386" s="279"/>
      <c r="AK386" s="279"/>
      <c r="AL386" s="279"/>
      <c r="AM386" s="279"/>
      <c r="AN386" s="279"/>
      <c r="AO386" s="279"/>
      <c r="AP386" s="279"/>
      <c r="AQ386" s="279"/>
      <c r="AR386" s="279"/>
      <c r="AS386" s="279"/>
      <c r="AT386" s="279"/>
      <c r="AU386" s="279"/>
      <c r="AV386" s="279"/>
      <c r="AW386" s="279"/>
      <c r="AX386" s="279"/>
      <c r="AY386" s="279"/>
      <c r="AZ386" s="279"/>
      <c r="BA386" s="279"/>
      <c r="BB386" s="279"/>
      <c r="BC386" s="279"/>
      <c r="BD386" s="279"/>
      <c r="BE386" s="279"/>
      <c r="BF386" s="279"/>
      <c r="BG386" s="279"/>
      <c r="BH386" s="279"/>
      <c r="BI386" s="279"/>
      <c r="BJ386" s="279"/>
      <c r="BK386" s="279"/>
      <c r="BL386" s="279"/>
      <c r="BM386" s="279"/>
      <c r="BN386" s="279"/>
      <c r="BO386" s="279"/>
      <c r="BP386" s="279"/>
      <c r="BQ386" s="279"/>
      <c r="BR386" s="279"/>
      <c r="BS386" s="279"/>
      <c r="BT386" s="279"/>
      <c r="BU386" s="279"/>
      <c r="BV386" s="279"/>
      <c r="BW386" s="279"/>
      <c r="BX386" s="279"/>
      <c r="BY386" s="279"/>
      <c r="BZ386" s="279"/>
      <c r="CA386" s="279"/>
      <c r="CB386" s="279"/>
      <c r="CC386" s="279"/>
      <c r="CD386" s="279"/>
      <c r="CE386" s="279"/>
      <c r="CF386" s="279"/>
      <c r="CG386" s="279"/>
      <c r="CH386" s="279"/>
      <c r="CI386" s="279"/>
      <c r="CJ386" s="279"/>
      <c r="CK386" s="279"/>
      <c r="CL386" s="279"/>
      <c r="CM386" s="279"/>
      <c r="CN386" s="382"/>
    </row>
    <row r="387" x14ac:dyDescent="0.3">
      <c r="B387" s="361"/>
      <c r="C387" s="279"/>
      <c r="D387" s="280"/>
      <c r="E387" s="287"/>
      <c r="F387" s="287"/>
      <c r="G387" s="287"/>
      <c r="H387" s="1292">
        <f t="shared" si="16"/>
        <v>10</v>
      </c>
      <c r="I387" s="1190" t="str">
        <f>IF('I. Stream &amp; Compound Data'!AW271&lt;&gt;"",'I. Stream &amp; Compound Data'!AW271,"")</f>
        <v/>
      </c>
      <c r="J387" s="1295" t="str">
        <f>IF('I. Stream &amp; Compound Data'!AR271&lt;&gt;"",'I. Stream &amp; Compound Data'!AR271,IF('I. Stream &amp; Compound Data'!AS271&lt;&gt;"",'I. Stream &amp; Compound Data'!AS271,""))</f>
        <v/>
      </c>
      <c r="K387" s="1295" t="str">
        <f>IF('I. Stream &amp; Compound Data'!BC271&lt;&gt;"",'I. Stream &amp; Compound Data'!BC271-'I. Stream &amp; Compound Data'!F$19,"")</f>
        <v/>
      </c>
      <c r="L387" s="1306" t="str">
        <f>IF(H387&gt;'I. Stream &amp; Compound Data'!$F$18,"",IF(I387="","N/A",IF(OR(I387=3,I387=4),1,IF(I387=2,0.8,IF(I387=1,0.6,0)))))</f>
        <v/>
      </c>
      <c r="M387" s="1168" t="str">
        <f>IF(H387&gt;'I. Stream &amp; Compound Data'!$F$18,"",IF(L387="N/A",IF(J387="","N/A",IF(OR(J387=1,J387=2,J387=3,J387=6,J387=17),1,IF(OR(J387=5,J387=19,J387=44),0.8,"N/A"))),"N/A"))</f>
        <v/>
      </c>
      <c r="N387" s="1242" t="str">
        <f>IF(H387&gt;'I. Stream &amp; Compound Data'!$F$18,"",IF(AND(L387="N/A",M387="N/A"),IF(K387="","N/A",ROUND(IF(K387&lt;=0,1,IF(AND(K387&gt;0,K387&lt;200),-0.005*K387+1,0)),3)),"N/A"))</f>
        <v/>
      </c>
      <c r="O387" s="1242" t="str">
        <f>IF(H387&gt;'I. Stream &amp; Compound Data'!$F$18,"",IF(I151="","N/A",IF(L387&lt;&gt;"N/A",L387,IF(M387&lt;&gt;"N/A",M387,IF(N387&lt;&gt;"N/A",N387,"NO DATA AVAILABLE")))))</f>
        <v/>
      </c>
      <c r="P387" s="1242" t="str">
        <f>IF(H387&gt;'I. Stream &amp; Compound Data'!$F$18,"",MAX(K151:L151))</f>
        <v/>
      </c>
      <c r="Q387" s="1268" t="str">
        <f>IF(H387&gt;'I. Stream &amp; Compound Data'!$F$18,"",IF(O387="N/A",0,O387/'I. Stream &amp; Compound Data'!F$18))</f>
        <v/>
      </c>
      <c r="R387" s="297"/>
      <c r="S387" s="298"/>
      <c r="T387" s="298"/>
      <c r="U387" s="299"/>
      <c r="V387" s="279"/>
      <c r="W387" s="279"/>
      <c r="X387" s="279"/>
      <c r="Y387" s="279"/>
      <c r="Z387" s="279"/>
      <c r="AA387" s="279"/>
      <c r="AB387" s="279"/>
      <c r="AC387" s="279"/>
      <c r="AD387" s="279"/>
      <c r="AE387" s="279"/>
      <c r="AF387" s="279"/>
      <c r="AG387" s="279"/>
      <c r="AH387" s="279"/>
      <c r="AI387" s="279"/>
      <c r="AJ387" s="279"/>
      <c r="AK387" s="279"/>
      <c r="AL387" s="279"/>
      <c r="AM387" s="279"/>
      <c r="AN387" s="279"/>
      <c r="AO387" s="279"/>
      <c r="AP387" s="279"/>
      <c r="AQ387" s="279"/>
      <c r="AR387" s="279"/>
      <c r="AS387" s="279"/>
      <c r="AT387" s="279"/>
      <c r="AU387" s="279"/>
      <c r="AV387" s="279"/>
      <c r="AW387" s="279"/>
      <c r="AX387" s="279"/>
      <c r="AY387" s="279"/>
      <c r="AZ387" s="279"/>
      <c r="BA387" s="279"/>
      <c r="BB387" s="279"/>
      <c r="BC387" s="279"/>
      <c r="BD387" s="279"/>
      <c r="BE387" s="279"/>
      <c r="BF387" s="279"/>
      <c r="BG387" s="279"/>
      <c r="BH387" s="279"/>
      <c r="BI387" s="279"/>
      <c r="BJ387" s="279"/>
      <c r="BK387" s="279"/>
      <c r="BL387" s="279"/>
      <c r="BM387" s="279"/>
      <c r="BN387" s="279"/>
      <c r="BO387" s="279"/>
      <c r="BP387" s="279"/>
      <c r="BQ387" s="279"/>
      <c r="BR387" s="279"/>
      <c r="BS387" s="279"/>
      <c r="BT387" s="279"/>
      <c r="BU387" s="279"/>
      <c r="BV387" s="279"/>
      <c r="BW387" s="279"/>
      <c r="BX387" s="279"/>
      <c r="BY387" s="279"/>
      <c r="BZ387" s="279"/>
      <c r="CA387" s="279"/>
      <c r="CB387" s="279"/>
      <c r="CC387" s="279"/>
      <c r="CD387" s="279"/>
      <c r="CE387" s="279"/>
      <c r="CF387" s="279"/>
      <c r="CG387" s="279"/>
      <c r="CH387" s="279"/>
      <c r="CI387" s="279"/>
      <c r="CJ387" s="279"/>
      <c r="CK387" s="279"/>
      <c r="CL387" s="279"/>
      <c r="CM387" s="279"/>
      <c r="CN387" s="382"/>
    </row>
    <row r="388" x14ac:dyDescent="0.3">
      <c r="B388" s="361"/>
      <c r="C388" s="279"/>
      <c r="D388" s="280"/>
      <c r="E388" s="287"/>
      <c r="F388" s="287"/>
      <c r="G388" s="287"/>
      <c r="H388" s="1292">
        <f t="shared" si="16"/>
        <v>11</v>
      </c>
      <c r="I388" s="1190" t="str">
        <f>IF('I. Stream &amp; Compound Data'!AW272&lt;&gt;"",'I. Stream &amp; Compound Data'!AW272,"")</f>
        <v/>
      </c>
      <c r="J388" s="1295" t="str">
        <f>IF('I. Stream &amp; Compound Data'!AR272&lt;&gt;"",'I. Stream &amp; Compound Data'!AR272,IF('I. Stream &amp; Compound Data'!AS272&lt;&gt;"",'I. Stream &amp; Compound Data'!AS272,""))</f>
        <v/>
      </c>
      <c r="K388" s="1295" t="str">
        <f>IF('I. Stream &amp; Compound Data'!BC272&lt;&gt;"",'I. Stream &amp; Compound Data'!BC272-'I. Stream &amp; Compound Data'!F$19,"")</f>
        <v/>
      </c>
      <c r="L388" s="1306" t="str">
        <f>IF(H388&gt;'I. Stream &amp; Compound Data'!$F$18,"",IF(I388="","N/A",IF(OR(I388=3,I388=4),1,IF(I388=2,0.8,IF(I388=1,0.6,0)))))</f>
        <v/>
      </c>
      <c r="M388" s="1168" t="str">
        <f>IF(H388&gt;'I. Stream &amp; Compound Data'!$F$18,"",IF(L388="N/A",IF(J388="","N/A",IF(OR(J388=1,J388=2,J388=3,J388=6,J388=17),1,IF(OR(J388=5,J388=19,J388=44),0.8,"N/A"))),"N/A"))</f>
        <v/>
      </c>
      <c r="N388" s="1242" t="str">
        <f>IF(H388&gt;'I. Stream &amp; Compound Data'!$F$18,"",IF(AND(L388="N/A",M388="N/A"),IF(K388="","N/A",ROUND(IF(K388&lt;=0,1,IF(AND(K388&gt;0,K388&lt;200),-0.005*K388+1,0)),3)),"N/A"))</f>
        <v/>
      </c>
      <c r="O388" s="1242" t="str">
        <f>IF(H388&gt;'I. Stream &amp; Compound Data'!$F$18,"",IF(I152="","N/A",IF(L388&lt;&gt;"N/A",L388,IF(M388&lt;&gt;"N/A",M388,IF(N388&lt;&gt;"N/A",N388,"NO DATA AVAILABLE")))))</f>
        <v/>
      </c>
      <c r="P388" s="1242" t="str">
        <f>IF(H388&gt;'I. Stream &amp; Compound Data'!$F$18,"",MAX(K152:L152))</f>
        <v/>
      </c>
      <c r="Q388" s="1268" t="str">
        <f>IF(H388&gt;'I. Stream &amp; Compound Data'!$F$18,"",IF(O388="N/A",0,O388/'I. Stream &amp; Compound Data'!F$18))</f>
        <v/>
      </c>
      <c r="R388" s="297"/>
      <c r="S388" s="298"/>
      <c r="T388" s="298"/>
      <c r="U388" s="299"/>
      <c r="V388" s="279"/>
      <c r="W388" s="279"/>
      <c r="X388" s="279"/>
      <c r="Y388" s="279"/>
      <c r="Z388" s="279"/>
      <c r="AA388" s="279"/>
      <c r="AB388" s="279"/>
      <c r="AC388" s="279"/>
      <c r="AD388" s="279"/>
      <c r="AE388" s="279"/>
      <c r="AF388" s="279"/>
      <c r="AG388" s="279"/>
      <c r="AH388" s="279"/>
      <c r="AI388" s="279"/>
      <c r="AJ388" s="279"/>
      <c r="AK388" s="279"/>
      <c r="AL388" s="279"/>
      <c r="AM388" s="279"/>
      <c r="AN388" s="279"/>
      <c r="AO388" s="279"/>
      <c r="AP388" s="279"/>
      <c r="AQ388" s="279"/>
      <c r="AR388" s="279"/>
      <c r="AS388" s="279"/>
      <c r="AT388" s="279"/>
      <c r="AU388" s="279"/>
      <c r="AV388" s="279"/>
      <c r="AW388" s="279"/>
      <c r="AX388" s="279"/>
      <c r="AY388" s="279"/>
      <c r="AZ388" s="279"/>
      <c r="BA388" s="279"/>
      <c r="BB388" s="279"/>
      <c r="BC388" s="279"/>
      <c r="BD388" s="279"/>
      <c r="BE388" s="279"/>
      <c r="BF388" s="279"/>
      <c r="BG388" s="279"/>
      <c r="BH388" s="279"/>
      <c r="BI388" s="279"/>
      <c r="BJ388" s="279"/>
      <c r="BK388" s="279"/>
      <c r="BL388" s="279"/>
      <c r="BM388" s="279"/>
      <c r="BN388" s="279"/>
      <c r="BO388" s="279"/>
      <c r="BP388" s="279"/>
      <c r="BQ388" s="279"/>
      <c r="BR388" s="279"/>
      <c r="BS388" s="279"/>
      <c r="BT388" s="279"/>
      <c r="BU388" s="279"/>
      <c r="BV388" s="279"/>
      <c r="BW388" s="279"/>
      <c r="BX388" s="279"/>
      <c r="BY388" s="279"/>
      <c r="BZ388" s="279"/>
      <c r="CA388" s="279"/>
      <c r="CB388" s="279"/>
      <c r="CC388" s="279"/>
      <c r="CD388" s="279"/>
      <c r="CE388" s="279"/>
      <c r="CF388" s="279"/>
      <c r="CG388" s="279"/>
      <c r="CH388" s="279"/>
      <c r="CI388" s="279"/>
      <c r="CJ388" s="279"/>
      <c r="CK388" s="279"/>
      <c r="CL388" s="279"/>
      <c r="CM388" s="279"/>
      <c r="CN388" s="382"/>
    </row>
    <row r="389" x14ac:dyDescent="0.3">
      <c r="B389" s="361"/>
      <c r="C389" s="279"/>
      <c r="D389" s="280"/>
      <c r="E389" s="287"/>
      <c r="F389" s="287"/>
      <c r="G389" s="287"/>
      <c r="H389" s="1292">
        <f t="shared" si="16"/>
        <v>12</v>
      </c>
      <c r="I389" s="1190" t="str">
        <f>IF('I. Stream &amp; Compound Data'!AW273&lt;&gt;"",'I. Stream &amp; Compound Data'!AW273,"")</f>
        <v/>
      </c>
      <c r="J389" s="1295" t="str">
        <f>IF('I. Stream &amp; Compound Data'!AR273&lt;&gt;"",'I. Stream &amp; Compound Data'!AR273,IF('I. Stream &amp; Compound Data'!AS273&lt;&gt;"",'I. Stream &amp; Compound Data'!AS273,""))</f>
        <v/>
      </c>
      <c r="K389" s="1295" t="str">
        <f>IF('I. Stream &amp; Compound Data'!BC273&lt;&gt;"",'I. Stream &amp; Compound Data'!BC273-'I. Stream &amp; Compound Data'!F$19,"")</f>
        <v/>
      </c>
      <c r="L389" s="1306" t="str">
        <f>IF(H389&gt;'I. Stream &amp; Compound Data'!$F$18,"",IF(I389="","N/A",IF(OR(I389=3,I389=4),1,IF(I389=2,0.8,IF(I389=1,0.6,0)))))</f>
        <v/>
      </c>
      <c r="M389" s="1168" t="str">
        <f>IF(H389&gt;'I. Stream &amp; Compound Data'!$F$18,"",IF(L389="N/A",IF(J389="","N/A",IF(OR(J389=1,J389=2,J389=3,J389=6,J389=17),1,IF(OR(J389=5,J389=19,J389=44),0.8,"N/A"))),"N/A"))</f>
        <v/>
      </c>
      <c r="N389" s="1242" t="str">
        <f>IF(H389&gt;'I. Stream &amp; Compound Data'!$F$18,"",IF(AND(L389="N/A",M389="N/A"),IF(K389="","N/A",ROUND(IF(K389&lt;=0,1,IF(AND(K389&gt;0,K389&lt;200),-0.005*K389+1,0)),3)),"N/A"))</f>
        <v/>
      </c>
      <c r="O389" s="1242" t="str">
        <f>IF(H389&gt;'I. Stream &amp; Compound Data'!$F$18,"",IF(I153="","N/A",IF(L389&lt;&gt;"N/A",L389,IF(M389&lt;&gt;"N/A",M389,IF(N389&lt;&gt;"N/A",N389,"NO DATA AVAILABLE")))))</f>
        <v/>
      </c>
      <c r="P389" s="1242" t="str">
        <f>IF(H389&gt;'I. Stream &amp; Compound Data'!$F$18,"",MAX(K153:L153))</f>
        <v/>
      </c>
      <c r="Q389" s="1268" t="str">
        <f>IF(H389&gt;'I. Stream &amp; Compound Data'!$F$18,"",IF(O389="N/A",0,O389/'I. Stream &amp; Compound Data'!F$18))</f>
        <v/>
      </c>
      <c r="R389" s="297"/>
      <c r="S389" s="298"/>
      <c r="T389" s="298"/>
      <c r="U389" s="299"/>
      <c r="V389" s="279"/>
      <c r="W389" s="279"/>
      <c r="X389" s="279"/>
      <c r="Y389" s="279"/>
      <c r="Z389" s="279"/>
      <c r="AA389" s="279"/>
      <c r="AB389" s="279"/>
      <c r="AC389" s="279"/>
      <c r="AD389" s="279"/>
      <c r="AE389" s="279"/>
      <c r="AF389" s="279"/>
      <c r="AG389" s="279"/>
      <c r="AH389" s="279"/>
      <c r="AI389" s="279"/>
      <c r="AJ389" s="279"/>
      <c r="AK389" s="279"/>
      <c r="AL389" s="279"/>
      <c r="AM389" s="279"/>
      <c r="AN389" s="279"/>
      <c r="AO389" s="279"/>
      <c r="AP389" s="279"/>
      <c r="AQ389" s="279"/>
      <c r="AR389" s="279"/>
      <c r="AS389" s="279"/>
      <c r="AT389" s="279"/>
      <c r="AU389" s="279"/>
      <c r="AV389" s="279"/>
      <c r="AW389" s="279"/>
      <c r="AX389" s="279"/>
      <c r="AY389" s="279"/>
      <c r="AZ389" s="279"/>
      <c r="BA389" s="279"/>
      <c r="BB389" s="279"/>
      <c r="BC389" s="279"/>
      <c r="BD389" s="279"/>
      <c r="BE389" s="279"/>
      <c r="BF389" s="279"/>
      <c r="BG389" s="279"/>
      <c r="BH389" s="279"/>
      <c r="BI389" s="279"/>
      <c r="BJ389" s="279"/>
      <c r="BK389" s="279"/>
      <c r="BL389" s="279"/>
      <c r="BM389" s="279"/>
      <c r="BN389" s="279"/>
      <c r="BO389" s="279"/>
      <c r="BP389" s="279"/>
      <c r="BQ389" s="279"/>
      <c r="BR389" s="279"/>
      <c r="BS389" s="279"/>
      <c r="BT389" s="279"/>
      <c r="BU389" s="279"/>
      <c r="BV389" s="279"/>
      <c r="BW389" s="279"/>
      <c r="BX389" s="279"/>
      <c r="BY389" s="279"/>
      <c r="BZ389" s="279"/>
      <c r="CA389" s="279"/>
      <c r="CB389" s="279"/>
      <c r="CC389" s="279"/>
      <c r="CD389" s="279"/>
      <c r="CE389" s="279"/>
      <c r="CF389" s="279"/>
      <c r="CG389" s="279"/>
      <c r="CH389" s="279"/>
      <c r="CI389" s="279"/>
      <c r="CJ389" s="279"/>
      <c r="CK389" s="279"/>
      <c r="CL389" s="279"/>
      <c r="CM389" s="279"/>
      <c r="CN389" s="382"/>
    </row>
    <row r="390" x14ac:dyDescent="0.3">
      <c r="B390" s="361"/>
      <c r="C390" s="279"/>
      <c r="D390" s="280"/>
      <c r="E390" s="287"/>
      <c r="F390" s="287"/>
      <c r="G390" s="287"/>
      <c r="H390" s="1292">
        <f t="shared" si="16"/>
        <v>13</v>
      </c>
      <c r="I390" s="1190" t="str">
        <f>IF('I. Stream &amp; Compound Data'!AW274&lt;&gt;"",'I. Stream &amp; Compound Data'!AW274,"")</f>
        <v/>
      </c>
      <c r="J390" s="1295" t="str">
        <f>IF('I. Stream &amp; Compound Data'!AR274&lt;&gt;"",'I. Stream &amp; Compound Data'!AR274,IF('I. Stream &amp; Compound Data'!AS274&lt;&gt;"",'I. Stream &amp; Compound Data'!AS274,""))</f>
        <v/>
      </c>
      <c r="K390" s="1295" t="str">
        <f>IF('I. Stream &amp; Compound Data'!BC274&lt;&gt;"",'I. Stream &amp; Compound Data'!BC274-'I. Stream &amp; Compound Data'!F$19,"")</f>
        <v/>
      </c>
      <c r="L390" s="1306" t="str">
        <f>IF(H390&gt;'I. Stream &amp; Compound Data'!$F$18,"",IF(I390="","N/A",IF(OR(I390=3,I390=4),1,IF(I390=2,0.8,IF(I390=1,0.6,0)))))</f>
        <v/>
      </c>
      <c r="M390" s="1168" t="str">
        <f>IF(H390&gt;'I. Stream &amp; Compound Data'!$F$18,"",IF(L390="N/A",IF(J390="","N/A",IF(OR(J390=1,J390=2,J390=3,J390=6,J390=17),1,IF(OR(J390=5,J390=19,J390=44),0.8,"N/A"))),"N/A"))</f>
        <v/>
      </c>
      <c r="N390" s="1242" t="str">
        <f>IF(H390&gt;'I. Stream &amp; Compound Data'!$F$18,"",IF(AND(L390="N/A",M390="N/A"),IF(K390="","N/A",ROUND(IF(K390&lt;=0,1,IF(AND(K390&gt;0,K390&lt;200),-0.005*K390+1,0)),3)),"N/A"))</f>
        <v/>
      </c>
      <c r="O390" s="1242" t="str">
        <f>IF(H390&gt;'I. Stream &amp; Compound Data'!$F$18,"",IF(I154="","N/A",IF(L390&lt;&gt;"N/A",L390,IF(M390&lt;&gt;"N/A",M390,IF(N390&lt;&gt;"N/A",N390,"NO DATA AVAILABLE")))))</f>
        <v/>
      </c>
      <c r="P390" s="1242" t="str">
        <f>IF(H390&gt;'I. Stream &amp; Compound Data'!$F$18,"",MAX(K154:L154))</f>
        <v/>
      </c>
      <c r="Q390" s="1268" t="str">
        <f>IF(H390&gt;'I. Stream &amp; Compound Data'!$F$18,"",IF(O390="N/A",0,O390/'I. Stream &amp; Compound Data'!F$18))</f>
        <v/>
      </c>
      <c r="R390" s="297"/>
      <c r="S390" s="298"/>
      <c r="T390" s="298"/>
      <c r="U390" s="299"/>
      <c r="V390" s="279"/>
      <c r="W390" s="279"/>
      <c r="X390" s="279"/>
      <c r="Y390" s="279"/>
      <c r="Z390" s="279"/>
      <c r="AA390" s="279"/>
      <c r="AB390" s="279"/>
      <c r="AC390" s="279"/>
      <c r="AD390" s="279"/>
      <c r="AE390" s="279"/>
      <c r="AF390" s="279"/>
      <c r="AG390" s="279"/>
      <c r="AH390" s="279"/>
      <c r="AI390" s="279"/>
      <c r="AJ390" s="279"/>
      <c r="AK390" s="279"/>
      <c r="AL390" s="279"/>
      <c r="AM390" s="279"/>
      <c r="AN390" s="279"/>
      <c r="AO390" s="279"/>
      <c r="AP390" s="279"/>
      <c r="AQ390" s="279"/>
      <c r="AR390" s="279"/>
      <c r="AS390" s="279"/>
      <c r="AT390" s="279"/>
      <c r="AU390" s="279"/>
      <c r="AV390" s="279"/>
      <c r="AW390" s="279"/>
      <c r="AX390" s="279"/>
      <c r="AY390" s="279"/>
      <c r="AZ390" s="279"/>
      <c r="BA390" s="279"/>
      <c r="BB390" s="279"/>
      <c r="BC390" s="279"/>
      <c r="BD390" s="279"/>
      <c r="BE390" s="279"/>
      <c r="BF390" s="279"/>
      <c r="BG390" s="279"/>
      <c r="BH390" s="279"/>
      <c r="BI390" s="279"/>
      <c r="BJ390" s="279"/>
      <c r="BK390" s="279"/>
      <c r="BL390" s="279"/>
      <c r="BM390" s="279"/>
      <c r="BN390" s="279"/>
      <c r="BO390" s="279"/>
      <c r="BP390" s="279"/>
      <c r="BQ390" s="279"/>
      <c r="BR390" s="279"/>
      <c r="BS390" s="279"/>
      <c r="BT390" s="279"/>
      <c r="BU390" s="279"/>
      <c r="BV390" s="279"/>
      <c r="BW390" s="279"/>
      <c r="BX390" s="279"/>
      <c r="BY390" s="279"/>
      <c r="BZ390" s="279"/>
      <c r="CA390" s="279"/>
      <c r="CB390" s="279"/>
      <c r="CC390" s="279"/>
      <c r="CD390" s="279"/>
      <c r="CE390" s="279"/>
      <c r="CF390" s="279"/>
      <c r="CG390" s="279"/>
      <c r="CH390" s="279"/>
      <c r="CI390" s="279"/>
      <c r="CJ390" s="279"/>
      <c r="CK390" s="279"/>
      <c r="CL390" s="279"/>
      <c r="CM390" s="279"/>
      <c r="CN390" s="382"/>
    </row>
    <row r="391" x14ac:dyDescent="0.3">
      <c r="B391" s="361"/>
      <c r="C391" s="279"/>
      <c r="D391" s="280"/>
      <c r="E391" s="287"/>
      <c r="F391" s="287"/>
      <c r="G391" s="287"/>
      <c r="H391" s="1292">
        <f t="shared" si="16"/>
        <v>14</v>
      </c>
      <c r="I391" s="1190" t="str">
        <f>IF('I. Stream &amp; Compound Data'!AW275&lt;&gt;"",'I. Stream &amp; Compound Data'!AW275,"")</f>
        <v/>
      </c>
      <c r="J391" s="1295" t="str">
        <f>IF('I. Stream &amp; Compound Data'!AR275&lt;&gt;"",'I. Stream &amp; Compound Data'!AR275,IF('I. Stream &amp; Compound Data'!AS275&lt;&gt;"",'I. Stream &amp; Compound Data'!AS275,""))</f>
        <v/>
      </c>
      <c r="K391" s="1295" t="str">
        <f>IF('I. Stream &amp; Compound Data'!BC275&lt;&gt;"",'I. Stream &amp; Compound Data'!BC275-'I. Stream &amp; Compound Data'!F$19,"")</f>
        <v/>
      </c>
      <c r="L391" s="1306" t="str">
        <f>IF(H391&gt;'I. Stream &amp; Compound Data'!$F$18,"",IF(I391="","N/A",IF(OR(I391=3,I391=4),1,IF(I391=2,0.8,IF(I391=1,0.6,0)))))</f>
        <v/>
      </c>
      <c r="M391" s="1168" t="str">
        <f>IF(H391&gt;'I. Stream &amp; Compound Data'!$F$18,"",IF(L391="N/A",IF(J391="","N/A",IF(OR(J391=1,J391=2,J391=3,J391=6,J391=17),1,IF(OR(J391=5,J391=19,J391=44),0.8,"N/A"))),"N/A"))</f>
        <v/>
      </c>
      <c r="N391" s="1242" t="str">
        <f>IF(H391&gt;'I. Stream &amp; Compound Data'!$F$18,"",IF(AND(L391="N/A",M391="N/A"),IF(K391="","N/A",ROUND(IF(K391&lt;=0,1,IF(AND(K391&gt;0,K391&lt;200),-0.005*K391+1,0)),3)),"N/A"))</f>
        <v/>
      </c>
      <c r="O391" s="1242" t="str">
        <f>IF(H391&gt;'I. Stream &amp; Compound Data'!$F$18,"",IF(I155="","N/A",IF(L391&lt;&gt;"N/A",L391,IF(M391&lt;&gt;"N/A",M391,IF(N391&lt;&gt;"N/A",N391,"NO DATA AVAILABLE")))))</f>
        <v/>
      </c>
      <c r="P391" s="1242" t="str">
        <f>IF(H391&gt;'I. Stream &amp; Compound Data'!$F$18,"",MAX(K155:L155))</f>
        <v/>
      </c>
      <c r="Q391" s="1268" t="str">
        <f>IF(H391&gt;'I. Stream &amp; Compound Data'!$F$18,"",IF(O391="N/A",0,O391/'I. Stream &amp; Compound Data'!F$18))</f>
        <v/>
      </c>
      <c r="R391" s="297"/>
      <c r="S391" s="298"/>
      <c r="T391" s="298"/>
      <c r="U391" s="299"/>
      <c r="V391" s="279"/>
      <c r="W391" s="279"/>
      <c r="X391" s="279"/>
      <c r="Y391" s="279"/>
      <c r="Z391" s="279"/>
      <c r="AA391" s="279"/>
      <c r="AB391" s="279"/>
      <c r="AC391" s="279"/>
      <c r="AD391" s="279"/>
      <c r="AE391" s="279"/>
      <c r="AF391" s="279"/>
      <c r="AG391" s="279"/>
      <c r="AH391" s="279"/>
      <c r="AI391" s="279"/>
      <c r="AJ391" s="279"/>
      <c r="AK391" s="279"/>
      <c r="AL391" s="279"/>
      <c r="AM391" s="279"/>
      <c r="AN391" s="279"/>
      <c r="AO391" s="279"/>
      <c r="AP391" s="279"/>
      <c r="AQ391" s="279"/>
      <c r="AR391" s="279"/>
      <c r="AS391" s="279"/>
      <c r="AT391" s="279"/>
      <c r="AU391" s="279"/>
      <c r="AV391" s="279"/>
      <c r="AW391" s="279"/>
      <c r="AX391" s="279"/>
      <c r="AY391" s="279"/>
      <c r="AZ391" s="279"/>
      <c r="BA391" s="279"/>
      <c r="BB391" s="279"/>
      <c r="BC391" s="279"/>
      <c r="BD391" s="279"/>
      <c r="BE391" s="279"/>
      <c r="BF391" s="279"/>
      <c r="BG391" s="279"/>
      <c r="BH391" s="279"/>
      <c r="BI391" s="279"/>
      <c r="BJ391" s="279"/>
      <c r="BK391" s="279"/>
      <c r="BL391" s="279"/>
      <c r="BM391" s="279"/>
      <c r="BN391" s="279"/>
      <c r="BO391" s="279"/>
      <c r="BP391" s="279"/>
      <c r="BQ391" s="279"/>
      <c r="BR391" s="279"/>
      <c r="BS391" s="279"/>
      <c r="BT391" s="279"/>
      <c r="BU391" s="279"/>
      <c r="BV391" s="279"/>
      <c r="BW391" s="279"/>
      <c r="BX391" s="279"/>
      <c r="BY391" s="279"/>
      <c r="BZ391" s="279"/>
      <c r="CA391" s="279"/>
      <c r="CB391" s="279"/>
      <c r="CC391" s="279"/>
      <c r="CD391" s="279"/>
      <c r="CE391" s="279"/>
      <c r="CF391" s="279"/>
      <c r="CG391" s="279"/>
      <c r="CH391" s="279"/>
      <c r="CI391" s="279"/>
      <c r="CJ391" s="279"/>
      <c r="CK391" s="279"/>
      <c r="CL391" s="279"/>
      <c r="CM391" s="279"/>
      <c r="CN391" s="382"/>
    </row>
    <row r="392" x14ac:dyDescent="0.3">
      <c r="B392" s="361"/>
      <c r="C392" s="279"/>
      <c r="D392" s="280"/>
      <c r="E392" s="287"/>
      <c r="F392" s="287"/>
      <c r="G392" s="287"/>
      <c r="H392" s="1292">
        <f t="shared" si="16"/>
        <v>15</v>
      </c>
      <c r="I392" s="1190" t="str">
        <f>IF('I. Stream &amp; Compound Data'!AW276&lt;&gt;"",'I. Stream &amp; Compound Data'!AW276,"")</f>
        <v/>
      </c>
      <c r="J392" s="1295" t="str">
        <f>IF('I. Stream &amp; Compound Data'!AR276&lt;&gt;"",'I. Stream &amp; Compound Data'!AR276,IF('I. Stream &amp; Compound Data'!AS276&lt;&gt;"",'I. Stream &amp; Compound Data'!AS276,""))</f>
        <v/>
      </c>
      <c r="K392" s="1295" t="str">
        <f>IF('I. Stream &amp; Compound Data'!BC276&lt;&gt;"",'I. Stream &amp; Compound Data'!BC276-'I. Stream &amp; Compound Data'!F$19,"")</f>
        <v/>
      </c>
      <c r="L392" s="1306" t="str">
        <f>IF(H392&gt;'I. Stream &amp; Compound Data'!$F$18,"",IF(I392="","N/A",IF(OR(I392=3,I392=4),1,IF(I392=2,0.8,IF(I392=1,0.6,0)))))</f>
        <v/>
      </c>
      <c r="M392" s="1168" t="str">
        <f>IF(H392&gt;'I. Stream &amp; Compound Data'!$F$18,"",IF(L392="N/A",IF(J392="","N/A",IF(OR(J392=1,J392=2,J392=3,J392=6,J392=17),1,IF(OR(J392=5,J392=19,J392=44),0.8,"N/A"))),"N/A"))</f>
        <v/>
      </c>
      <c r="N392" s="1242" t="str">
        <f>IF(H392&gt;'I. Stream &amp; Compound Data'!$F$18,"",IF(AND(L392="N/A",M392="N/A"),IF(K392="","N/A",ROUND(IF(K392&lt;=0,1,IF(AND(K392&gt;0,K392&lt;200),-0.005*K392+1,0)),3)),"N/A"))</f>
        <v/>
      </c>
      <c r="O392" s="1242" t="str">
        <f>IF(H392&gt;'I. Stream &amp; Compound Data'!$F$18,"",IF(I156="","N/A",IF(L392&lt;&gt;"N/A",L392,IF(M392&lt;&gt;"N/A",M392,IF(N392&lt;&gt;"N/A",N392,"NO DATA AVAILABLE")))))</f>
        <v/>
      </c>
      <c r="P392" s="1242" t="str">
        <f>IF(H392&gt;'I. Stream &amp; Compound Data'!$F$18,"",MAX(K156:L156))</f>
        <v/>
      </c>
      <c r="Q392" s="1268" t="str">
        <f>IF(H392&gt;'I. Stream &amp; Compound Data'!$F$18,"",IF(O392="N/A",0,O392/'I. Stream &amp; Compound Data'!F$18))</f>
        <v/>
      </c>
      <c r="R392" s="297"/>
      <c r="S392" s="298"/>
      <c r="T392" s="298"/>
      <c r="U392" s="299"/>
      <c r="V392" s="279"/>
      <c r="W392" s="279"/>
      <c r="X392" s="279"/>
      <c r="Y392" s="279"/>
      <c r="Z392" s="279"/>
      <c r="AA392" s="279"/>
      <c r="AB392" s="279"/>
      <c r="AC392" s="279"/>
      <c r="AD392" s="279"/>
      <c r="AE392" s="279"/>
      <c r="AF392" s="279"/>
      <c r="AG392" s="279"/>
      <c r="AH392" s="279"/>
      <c r="AI392" s="279"/>
      <c r="AJ392" s="279"/>
      <c r="AK392" s="279"/>
      <c r="AL392" s="279"/>
      <c r="AM392" s="279"/>
      <c r="AN392" s="279"/>
      <c r="AO392" s="279"/>
      <c r="AP392" s="279"/>
      <c r="AQ392" s="279"/>
      <c r="AR392" s="279"/>
      <c r="AS392" s="279"/>
      <c r="AT392" s="279"/>
      <c r="AU392" s="279"/>
      <c r="AV392" s="279"/>
      <c r="AW392" s="279"/>
      <c r="AX392" s="279"/>
      <c r="AY392" s="279"/>
      <c r="AZ392" s="279"/>
      <c r="BA392" s="279"/>
      <c r="BB392" s="279"/>
      <c r="BC392" s="279"/>
      <c r="BD392" s="279"/>
      <c r="BE392" s="279"/>
      <c r="BF392" s="279"/>
      <c r="BG392" s="279"/>
      <c r="BH392" s="279"/>
      <c r="BI392" s="279"/>
      <c r="BJ392" s="279"/>
      <c r="BK392" s="279"/>
      <c r="BL392" s="279"/>
      <c r="BM392" s="279"/>
      <c r="BN392" s="279"/>
      <c r="BO392" s="279"/>
      <c r="BP392" s="279"/>
      <c r="BQ392" s="279"/>
      <c r="BR392" s="279"/>
      <c r="BS392" s="279"/>
      <c r="BT392" s="279"/>
      <c r="BU392" s="279"/>
      <c r="BV392" s="279"/>
      <c r="BW392" s="279"/>
      <c r="BX392" s="279"/>
      <c r="BY392" s="279"/>
      <c r="BZ392" s="279"/>
      <c r="CA392" s="279"/>
      <c r="CB392" s="279"/>
      <c r="CC392" s="279"/>
      <c r="CD392" s="279"/>
      <c r="CE392" s="279"/>
      <c r="CF392" s="279"/>
      <c r="CG392" s="279"/>
      <c r="CH392" s="279"/>
      <c r="CI392" s="279"/>
      <c r="CJ392" s="279"/>
      <c r="CK392" s="279"/>
      <c r="CL392" s="279"/>
      <c r="CM392" s="279"/>
      <c r="CN392" s="382"/>
    </row>
    <row r="393" x14ac:dyDescent="0.3">
      <c r="B393" s="361"/>
      <c r="C393" s="279"/>
      <c r="D393" s="280"/>
      <c r="E393" s="287"/>
      <c r="F393" s="287"/>
      <c r="G393" s="287"/>
      <c r="H393" s="1292">
        <f t="shared" si="16"/>
        <v>16</v>
      </c>
      <c r="I393" s="1190" t="str">
        <f>IF('I. Stream &amp; Compound Data'!AW277&lt;&gt;"",'I. Stream &amp; Compound Data'!AW277,"")</f>
        <v/>
      </c>
      <c r="J393" s="1295" t="str">
        <f>IF('I. Stream &amp; Compound Data'!AR277&lt;&gt;"",'I. Stream &amp; Compound Data'!AR277,IF('I. Stream &amp; Compound Data'!AS277&lt;&gt;"",'I. Stream &amp; Compound Data'!AS277,""))</f>
        <v/>
      </c>
      <c r="K393" s="1295" t="str">
        <f>IF('I. Stream &amp; Compound Data'!BC277&lt;&gt;"",'I. Stream &amp; Compound Data'!BC277-'I. Stream &amp; Compound Data'!F$19,"")</f>
        <v/>
      </c>
      <c r="L393" s="1306" t="str">
        <f>IF(H393&gt;'I. Stream &amp; Compound Data'!$F$18,"",IF(I393="","N/A",IF(OR(I393=3,I393=4),1,IF(I393=2,0.8,IF(I393=1,0.6,0)))))</f>
        <v/>
      </c>
      <c r="M393" s="1168" t="str">
        <f>IF(H393&gt;'I. Stream &amp; Compound Data'!$F$18,"",IF(L393="N/A",IF(J393="","N/A",IF(OR(J393=1,J393=2,J393=3,J393=6,J393=17),1,IF(OR(J393=5,J393=19,J393=44),0.8,"N/A"))),"N/A"))</f>
        <v/>
      </c>
      <c r="N393" s="1242" t="str">
        <f>IF(H393&gt;'I. Stream &amp; Compound Data'!$F$18,"",IF(AND(L393="N/A",M393="N/A"),IF(K393="","N/A",ROUND(IF(K393&lt;=0,1,IF(AND(K393&gt;0,K393&lt;200),-0.005*K393+1,0)),3)),"N/A"))</f>
        <v/>
      </c>
      <c r="O393" s="1242" t="str">
        <f>IF(H393&gt;'I. Stream &amp; Compound Data'!$F$18,"",IF(I157="","N/A",IF(L393&lt;&gt;"N/A",L393,IF(M393&lt;&gt;"N/A",M393,IF(N393&lt;&gt;"N/A",N393,"NO DATA AVAILABLE")))))</f>
        <v/>
      </c>
      <c r="P393" s="1242" t="str">
        <f>IF(H393&gt;'I. Stream &amp; Compound Data'!$F$18,"",MAX(K157:L157))</f>
        <v/>
      </c>
      <c r="Q393" s="1268" t="str">
        <f>IF(H393&gt;'I. Stream &amp; Compound Data'!$F$18,"",IF(O393="N/A",0,O393/'I. Stream &amp; Compound Data'!F$18))</f>
        <v/>
      </c>
      <c r="R393" s="297"/>
      <c r="S393" s="298"/>
      <c r="T393" s="298"/>
      <c r="U393" s="299"/>
      <c r="V393" s="279"/>
      <c r="W393" s="279"/>
      <c r="X393" s="279"/>
      <c r="Y393" s="279"/>
      <c r="Z393" s="279"/>
      <c r="AA393" s="279"/>
      <c r="AB393" s="279"/>
      <c r="AC393" s="279"/>
      <c r="AD393" s="279"/>
      <c r="AE393" s="279"/>
      <c r="AF393" s="279"/>
      <c r="AG393" s="279"/>
      <c r="AH393" s="279"/>
      <c r="AI393" s="279"/>
      <c r="AJ393" s="279"/>
      <c r="AK393" s="279"/>
      <c r="AL393" s="279"/>
      <c r="AM393" s="279"/>
      <c r="AN393" s="279"/>
      <c r="AO393" s="279"/>
      <c r="AP393" s="279"/>
      <c r="AQ393" s="279"/>
      <c r="AR393" s="279"/>
      <c r="AS393" s="279"/>
      <c r="AT393" s="279"/>
      <c r="AU393" s="279"/>
      <c r="AV393" s="279"/>
      <c r="AW393" s="279"/>
      <c r="AX393" s="279"/>
      <c r="AY393" s="279"/>
      <c r="AZ393" s="279"/>
      <c r="BA393" s="279"/>
      <c r="BB393" s="279"/>
      <c r="BC393" s="279"/>
      <c r="BD393" s="279"/>
      <c r="BE393" s="279"/>
      <c r="BF393" s="279"/>
      <c r="BG393" s="279"/>
      <c r="BH393" s="279"/>
      <c r="BI393" s="279"/>
      <c r="BJ393" s="279"/>
      <c r="BK393" s="279"/>
      <c r="BL393" s="279"/>
      <c r="BM393" s="279"/>
      <c r="BN393" s="279"/>
      <c r="BO393" s="279"/>
      <c r="BP393" s="279"/>
      <c r="BQ393" s="279"/>
      <c r="BR393" s="279"/>
      <c r="BS393" s="279"/>
      <c r="BT393" s="279"/>
      <c r="BU393" s="279"/>
      <c r="BV393" s="279"/>
      <c r="BW393" s="279"/>
      <c r="BX393" s="279"/>
      <c r="BY393" s="279"/>
      <c r="BZ393" s="279"/>
      <c r="CA393" s="279"/>
      <c r="CB393" s="279"/>
      <c r="CC393" s="279"/>
      <c r="CD393" s="279"/>
      <c r="CE393" s="279"/>
      <c r="CF393" s="279"/>
      <c r="CG393" s="279"/>
      <c r="CH393" s="279"/>
      <c r="CI393" s="279"/>
      <c r="CJ393" s="279"/>
      <c r="CK393" s="279"/>
      <c r="CL393" s="279"/>
      <c r="CM393" s="279"/>
      <c r="CN393" s="382"/>
    </row>
    <row r="394" x14ac:dyDescent="0.3">
      <c r="B394" s="361"/>
      <c r="C394" s="279"/>
      <c r="D394" s="280"/>
      <c r="E394" s="287"/>
      <c r="F394" s="287"/>
      <c r="G394" s="287"/>
      <c r="H394" s="1292">
        <f t="shared" si="16"/>
        <v>17</v>
      </c>
      <c r="I394" s="1190" t="str">
        <f>IF('I. Stream &amp; Compound Data'!AW278&lt;&gt;"",'I. Stream &amp; Compound Data'!AW278,"")</f>
        <v/>
      </c>
      <c r="J394" s="1295" t="str">
        <f>IF('I. Stream &amp; Compound Data'!AR278&lt;&gt;"",'I. Stream &amp; Compound Data'!AR278,IF('I. Stream &amp; Compound Data'!AS278&lt;&gt;"",'I. Stream &amp; Compound Data'!AS278,""))</f>
        <v/>
      </c>
      <c r="K394" s="1295" t="str">
        <f>IF('I. Stream &amp; Compound Data'!BC278&lt;&gt;"",'I. Stream &amp; Compound Data'!BC278-'I. Stream &amp; Compound Data'!F$19,"")</f>
        <v/>
      </c>
      <c r="L394" s="1306" t="str">
        <f>IF(H394&gt;'I. Stream &amp; Compound Data'!$F$18,"",IF(I394="","N/A",IF(OR(I394=3,I394=4),1,IF(I394=2,0.8,IF(I394=1,0.6,0)))))</f>
        <v/>
      </c>
      <c r="M394" s="1168" t="str">
        <f>IF(H394&gt;'I. Stream &amp; Compound Data'!$F$18,"",IF(L394="N/A",IF(J394="","N/A",IF(OR(J394=1,J394=2,J394=3,J394=6,J394=17),1,IF(OR(J394=5,J394=19,J394=44),0.8,"N/A"))),"N/A"))</f>
        <v/>
      </c>
      <c r="N394" s="1242" t="str">
        <f>IF(H394&gt;'I. Stream &amp; Compound Data'!$F$18,"",IF(AND(L394="N/A",M394="N/A"),IF(K394="","N/A",ROUND(IF(K394&lt;=0,1,IF(AND(K394&gt;0,K394&lt;200),-0.005*K394+1,0)),3)),"N/A"))</f>
        <v/>
      </c>
      <c r="O394" s="1242" t="str">
        <f>IF(H394&gt;'I. Stream &amp; Compound Data'!$F$18,"",IF(I158="","N/A",IF(L394&lt;&gt;"N/A",L394,IF(M394&lt;&gt;"N/A",M394,IF(N394&lt;&gt;"N/A",N394,"NO DATA AVAILABLE")))))</f>
        <v/>
      </c>
      <c r="P394" s="1242" t="str">
        <f>IF(H394&gt;'I. Stream &amp; Compound Data'!$F$18,"",MAX(K158:L158))</f>
        <v/>
      </c>
      <c r="Q394" s="1268" t="str">
        <f>IF(H394&gt;'I. Stream &amp; Compound Data'!$F$18,"",IF(O394="N/A",0,O394/'I. Stream &amp; Compound Data'!F$18))</f>
        <v/>
      </c>
      <c r="R394" s="297"/>
      <c r="S394" s="298"/>
      <c r="T394" s="298"/>
      <c r="U394" s="299"/>
      <c r="V394" s="279"/>
      <c r="W394" s="279"/>
      <c r="X394" s="279"/>
      <c r="Y394" s="279"/>
      <c r="Z394" s="279"/>
      <c r="AA394" s="279"/>
      <c r="AB394" s="279"/>
      <c r="AC394" s="279"/>
      <c r="AD394" s="279"/>
      <c r="AE394" s="279"/>
      <c r="AF394" s="279"/>
      <c r="AG394" s="279"/>
      <c r="AH394" s="279"/>
      <c r="AI394" s="279"/>
      <c r="AJ394" s="279"/>
      <c r="AK394" s="279"/>
      <c r="AL394" s="279"/>
      <c r="AM394" s="279"/>
      <c r="AN394" s="279"/>
      <c r="AO394" s="279"/>
      <c r="AP394" s="279"/>
      <c r="AQ394" s="279"/>
      <c r="AR394" s="279"/>
      <c r="AS394" s="279"/>
      <c r="AT394" s="279"/>
      <c r="AU394" s="279"/>
      <c r="AV394" s="279"/>
      <c r="AW394" s="279"/>
      <c r="AX394" s="279"/>
      <c r="AY394" s="279"/>
      <c r="AZ394" s="279"/>
      <c r="BA394" s="279"/>
      <c r="BB394" s="279"/>
      <c r="BC394" s="279"/>
      <c r="BD394" s="279"/>
      <c r="BE394" s="279"/>
      <c r="BF394" s="279"/>
      <c r="BG394" s="279"/>
      <c r="BH394" s="279"/>
      <c r="BI394" s="279"/>
      <c r="BJ394" s="279"/>
      <c r="BK394" s="279"/>
      <c r="BL394" s="279"/>
      <c r="BM394" s="279"/>
      <c r="BN394" s="279"/>
      <c r="BO394" s="279"/>
      <c r="BP394" s="279"/>
      <c r="BQ394" s="279"/>
      <c r="BR394" s="279"/>
      <c r="BS394" s="279"/>
      <c r="BT394" s="279"/>
      <c r="BU394" s="279"/>
      <c r="BV394" s="279"/>
      <c r="BW394" s="279"/>
      <c r="BX394" s="279"/>
      <c r="BY394" s="279"/>
      <c r="BZ394" s="279"/>
      <c r="CA394" s="279"/>
      <c r="CB394" s="279"/>
      <c r="CC394" s="279"/>
      <c r="CD394" s="279"/>
      <c r="CE394" s="279"/>
      <c r="CF394" s="279"/>
      <c r="CG394" s="279"/>
      <c r="CH394" s="279"/>
      <c r="CI394" s="279"/>
      <c r="CJ394" s="279"/>
      <c r="CK394" s="279"/>
      <c r="CL394" s="279"/>
      <c r="CM394" s="279"/>
      <c r="CN394" s="382"/>
    </row>
    <row r="395" x14ac:dyDescent="0.3">
      <c r="B395" s="361"/>
      <c r="C395" s="279"/>
      <c r="D395" s="280"/>
      <c r="E395" s="287"/>
      <c r="F395" s="287"/>
      <c r="G395" s="287"/>
      <c r="H395" s="1292">
        <f t="shared" si="16"/>
        <v>18</v>
      </c>
      <c r="I395" s="1190" t="str">
        <f>IF('I. Stream &amp; Compound Data'!AW279&lt;&gt;"",'I. Stream &amp; Compound Data'!AW279,"")</f>
        <v/>
      </c>
      <c r="J395" s="1295" t="str">
        <f>IF('I. Stream &amp; Compound Data'!AR279&lt;&gt;"",'I. Stream &amp; Compound Data'!AR279,IF('I. Stream &amp; Compound Data'!AS279&lt;&gt;"",'I. Stream &amp; Compound Data'!AS279,""))</f>
        <v/>
      </c>
      <c r="K395" s="1295" t="str">
        <f>IF('I. Stream &amp; Compound Data'!BC279&lt;&gt;"",'I. Stream &amp; Compound Data'!BC279-'I. Stream &amp; Compound Data'!F$19,"")</f>
        <v/>
      </c>
      <c r="L395" s="1306" t="str">
        <f>IF(H395&gt;'I. Stream &amp; Compound Data'!$F$18,"",IF(I395="","N/A",IF(OR(I395=3,I395=4),1,IF(I395=2,0.8,IF(I395=1,0.6,0)))))</f>
        <v/>
      </c>
      <c r="M395" s="1168" t="str">
        <f>IF(H395&gt;'I. Stream &amp; Compound Data'!$F$18,"",IF(L395="N/A",IF(J395="","N/A",IF(OR(J395=1,J395=2,J395=3,J395=6,J395=17),1,IF(OR(J395=5,J395=19,J395=44),0.8,"N/A"))),"N/A"))</f>
        <v/>
      </c>
      <c r="N395" s="1242" t="str">
        <f>IF(H395&gt;'I. Stream &amp; Compound Data'!$F$18,"",IF(AND(L395="N/A",M395="N/A"),IF(K395="","N/A",ROUND(IF(K395&lt;=0,1,IF(AND(K395&gt;0,K395&lt;200),-0.005*K395+1,0)),3)),"N/A"))</f>
        <v/>
      </c>
      <c r="O395" s="1242" t="str">
        <f>IF(H395&gt;'I. Stream &amp; Compound Data'!$F$18,"",IF(I159="","N/A",IF(L395&lt;&gt;"N/A",L395,IF(M395&lt;&gt;"N/A",M395,IF(N395&lt;&gt;"N/A",N395,"NO DATA AVAILABLE")))))</f>
        <v/>
      </c>
      <c r="P395" s="1242" t="str">
        <f>IF(H395&gt;'I. Stream &amp; Compound Data'!$F$18,"",MAX(K159:L159))</f>
        <v/>
      </c>
      <c r="Q395" s="1268" t="str">
        <f>IF(H395&gt;'I. Stream &amp; Compound Data'!$F$18,"",IF(O395="N/A",0,O395/'I. Stream &amp; Compound Data'!F$18))</f>
        <v/>
      </c>
      <c r="R395" s="297"/>
      <c r="S395" s="298"/>
      <c r="T395" s="298"/>
      <c r="U395" s="299"/>
      <c r="V395" s="279"/>
      <c r="W395" s="279"/>
      <c r="X395" s="279"/>
      <c r="Y395" s="279"/>
      <c r="Z395" s="279"/>
      <c r="AA395" s="279"/>
      <c r="AB395" s="279"/>
      <c r="AC395" s="279"/>
      <c r="AD395" s="279"/>
      <c r="AE395" s="279"/>
      <c r="AF395" s="279"/>
      <c r="AG395" s="279"/>
      <c r="AH395" s="279"/>
      <c r="AI395" s="279"/>
      <c r="AJ395" s="279"/>
      <c r="AK395" s="279"/>
      <c r="AL395" s="279"/>
      <c r="AM395" s="279"/>
      <c r="AN395" s="279"/>
      <c r="AO395" s="279"/>
      <c r="AP395" s="279"/>
      <c r="AQ395" s="279"/>
      <c r="AR395" s="279"/>
      <c r="AS395" s="279"/>
      <c r="AT395" s="279"/>
      <c r="AU395" s="279"/>
      <c r="AV395" s="279"/>
      <c r="AW395" s="279"/>
      <c r="AX395" s="279"/>
      <c r="AY395" s="279"/>
      <c r="AZ395" s="279"/>
      <c r="BA395" s="279"/>
      <c r="BB395" s="279"/>
      <c r="BC395" s="279"/>
      <c r="BD395" s="279"/>
      <c r="BE395" s="279"/>
      <c r="BF395" s="279"/>
      <c r="BG395" s="279"/>
      <c r="BH395" s="279"/>
      <c r="BI395" s="279"/>
      <c r="BJ395" s="279"/>
      <c r="BK395" s="279"/>
      <c r="BL395" s="279"/>
      <c r="BM395" s="279"/>
      <c r="BN395" s="279"/>
      <c r="BO395" s="279"/>
      <c r="BP395" s="279"/>
      <c r="BQ395" s="279"/>
      <c r="BR395" s="279"/>
      <c r="BS395" s="279"/>
      <c r="BT395" s="279"/>
      <c r="BU395" s="279"/>
      <c r="BV395" s="279"/>
      <c r="BW395" s="279"/>
      <c r="BX395" s="279"/>
      <c r="BY395" s="279"/>
      <c r="BZ395" s="279"/>
      <c r="CA395" s="279"/>
      <c r="CB395" s="279"/>
      <c r="CC395" s="279"/>
      <c r="CD395" s="279"/>
      <c r="CE395" s="279"/>
      <c r="CF395" s="279"/>
      <c r="CG395" s="279"/>
      <c r="CH395" s="279"/>
      <c r="CI395" s="279"/>
      <c r="CJ395" s="279"/>
      <c r="CK395" s="279"/>
      <c r="CL395" s="279"/>
      <c r="CM395" s="279"/>
      <c r="CN395" s="382"/>
    </row>
    <row r="396" x14ac:dyDescent="0.3">
      <c r="B396" s="361"/>
      <c r="C396" s="279"/>
      <c r="D396" s="280"/>
      <c r="E396" s="287"/>
      <c r="F396" s="287"/>
      <c r="G396" s="287"/>
      <c r="H396" s="1292">
        <f t="shared" si="16"/>
        <v>19</v>
      </c>
      <c r="I396" s="1190" t="str">
        <f>IF('I. Stream &amp; Compound Data'!AW280&lt;&gt;"",'I. Stream &amp; Compound Data'!AW280,"")</f>
        <v/>
      </c>
      <c r="J396" s="1295" t="str">
        <f>IF('I. Stream &amp; Compound Data'!AR280&lt;&gt;"",'I. Stream &amp; Compound Data'!AR280,IF('I. Stream &amp; Compound Data'!AS280&lt;&gt;"",'I. Stream &amp; Compound Data'!AS280,""))</f>
        <v/>
      </c>
      <c r="K396" s="1295" t="str">
        <f>IF('I. Stream &amp; Compound Data'!BC280&lt;&gt;"",'I. Stream &amp; Compound Data'!BC280-'I. Stream &amp; Compound Data'!F$19,"")</f>
        <v/>
      </c>
      <c r="L396" s="1306" t="str">
        <f>IF(H396&gt;'I. Stream &amp; Compound Data'!$F$18,"",IF(I396="","N/A",IF(OR(I396=3,I396=4),1,IF(I396=2,0.8,IF(I396=1,0.6,0)))))</f>
        <v/>
      </c>
      <c r="M396" s="1168" t="str">
        <f>IF(H396&gt;'I. Stream &amp; Compound Data'!$F$18,"",IF(L396="N/A",IF(J396="","N/A",IF(OR(J396=1,J396=2,J396=3,J396=6,J396=17),1,IF(OR(J396=5,J396=19,J396=44),0.8,"N/A"))),"N/A"))</f>
        <v/>
      </c>
      <c r="N396" s="1242" t="str">
        <f>IF(H396&gt;'I. Stream &amp; Compound Data'!$F$18,"",IF(AND(L396="N/A",M396="N/A"),IF(K396="","N/A",ROUND(IF(K396&lt;=0,1,IF(AND(K396&gt;0,K396&lt;200),-0.005*K396+1,0)),3)),"N/A"))</f>
        <v/>
      </c>
      <c r="O396" s="1242" t="str">
        <f>IF(H396&gt;'I. Stream &amp; Compound Data'!$F$18,"",IF(I160="","N/A",IF(L396&lt;&gt;"N/A",L396,IF(M396&lt;&gt;"N/A",M396,IF(N396&lt;&gt;"N/A",N396,"NO DATA AVAILABLE")))))</f>
        <v/>
      </c>
      <c r="P396" s="1242" t="str">
        <f>IF(H396&gt;'I. Stream &amp; Compound Data'!$F$18,"",MAX(K160:L160))</f>
        <v/>
      </c>
      <c r="Q396" s="1268" t="str">
        <f>IF(H396&gt;'I. Stream &amp; Compound Data'!$F$18,"",IF(O396="N/A",0,O396/'I. Stream &amp; Compound Data'!F$18))</f>
        <v/>
      </c>
      <c r="R396" s="297"/>
      <c r="S396" s="298"/>
      <c r="T396" s="298"/>
      <c r="U396" s="299"/>
      <c r="V396" s="279"/>
      <c r="W396" s="279"/>
      <c r="X396" s="279"/>
      <c r="Y396" s="279"/>
      <c r="Z396" s="279"/>
      <c r="AA396" s="279"/>
      <c r="AB396" s="279"/>
      <c r="AC396" s="279"/>
      <c r="AD396" s="279"/>
      <c r="AE396" s="279"/>
      <c r="AF396" s="279"/>
      <c r="AG396" s="279"/>
      <c r="AH396" s="279"/>
      <c r="AI396" s="279"/>
      <c r="AJ396" s="279"/>
      <c r="AK396" s="279"/>
      <c r="AL396" s="279"/>
      <c r="AM396" s="279"/>
      <c r="AN396" s="279"/>
      <c r="AO396" s="279"/>
      <c r="AP396" s="279"/>
      <c r="AQ396" s="279"/>
      <c r="AR396" s="279"/>
      <c r="AS396" s="279"/>
      <c r="AT396" s="279"/>
      <c r="AU396" s="279"/>
      <c r="AV396" s="279"/>
      <c r="AW396" s="279"/>
      <c r="AX396" s="279"/>
      <c r="AY396" s="279"/>
      <c r="AZ396" s="279"/>
      <c r="BA396" s="279"/>
      <c r="BB396" s="279"/>
      <c r="BC396" s="279"/>
      <c r="BD396" s="279"/>
      <c r="BE396" s="279"/>
      <c r="BF396" s="279"/>
      <c r="BG396" s="279"/>
      <c r="BH396" s="279"/>
      <c r="BI396" s="279"/>
      <c r="BJ396" s="279"/>
      <c r="BK396" s="279"/>
      <c r="BL396" s="279"/>
      <c r="BM396" s="279"/>
      <c r="BN396" s="279"/>
      <c r="BO396" s="279"/>
      <c r="BP396" s="279"/>
      <c r="BQ396" s="279"/>
      <c r="BR396" s="279"/>
      <c r="BS396" s="279"/>
      <c r="BT396" s="279"/>
      <c r="BU396" s="279"/>
      <c r="BV396" s="279"/>
      <c r="BW396" s="279"/>
      <c r="BX396" s="279"/>
      <c r="BY396" s="279"/>
      <c r="BZ396" s="279"/>
      <c r="CA396" s="279"/>
      <c r="CB396" s="279"/>
      <c r="CC396" s="279"/>
      <c r="CD396" s="279"/>
      <c r="CE396" s="279"/>
      <c r="CF396" s="279"/>
      <c r="CG396" s="279"/>
      <c r="CH396" s="279"/>
      <c r="CI396" s="279"/>
      <c r="CJ396" s="279"/>
      <c r="CK396" s="279"/>
      <c r="CL396" s="279"/>
      <c r="CM396" s="279"/>
      <c r="CN396" s="382"/>
    </row>
    <row r="397" x14ac:dyDescent="0.3">
      <c r="B397" s="361"/>
      <c r="C397" s="279"/>
      <c r="D397" s="280"/>
      <c r="E397" s="287"/>
      <c r="F397" s="287"/>
      <c r="G397" s="287"/>
      <c r="H397" s="1292">
        <f t="shared" si="16"/>
        <v>20</v>
      </c>
      <c r="I397" s="1190" t="str">
        <f>IF('I. Stream &amp; Compound Data'!AW281&lt;&gt;"",'I. Stream &amp; Compound Data'!AW281,"")</f>
        <v/>
      </c>
      <c r="J397" s="1295" t="str">
        <f>IF('I. Stream &amp; Compound Data'!AR281&lt;&gt;"",'I. Stream &amp; Compound Data'!AR281,IF('I. Stream &amp; Compound Data'!AS281&lt;&gt;"",'I. Stream &amp; Compound Data'!AS281,""))</f>
        <v/>
      </c>
      <c r="K397" s="1295" t="str">
        <f>IF('I. Stream &amp; Compound Data'!BC281&lt;&gt;"",'I. Stream &amp; Compound Data'!BC281-'I. Stream &amp; Compound Data'!F$19,"")</f>
        <v/>
      </c>
      <c r="L397" s="1306" t="str">
        <f>IF(H397&gt;'I. Stream &amp; Compound Data'!$F$18,"",IF(I397="","N/A",IF(OR(I397=3,I397=4),1,IF(I397=2,0.8,IF(I397=1,0.6,0)))))</f>
        <v/>
      </c>
      <c r="M397" s="1168" t="str">
        <f>IF(H397&gt;'I. Stream &amp; Compound Data'!$F$18,"",IF(L397="N/A",IF(J397="","N/A",IF(OR(J397=1,J397=2,J397=3,J397=6,J397=17),1,IF(OR(J397=5,J397=19,J397=44),0.8,"N/A"))),"N/A"))</f>
        <v/>
      </c>
      <c r="N397" s="1242" t="str">
        <f>IF(H397&gt;'I. Stream &amp; Compound Data'!$F$18,"",IF(AND(L397="N/A",M397="N/A"),IF(K397="","N/A",ROUND(IF(K397&lt;=0,1,IF(AND(K397&gt;0,K397&lt;200),-0.005*K397+1,0)),3)),"N/A"))</f>
        <v/>
      </c>
      <c r="O397" s="1242" t="str">
        <f>IF(H397&gt;'I. Stream &amp; Compound Data'!$F$18,"",IF(I161="","N/A",IF(L397&lt;&gt;"N/A",L397,IF(M397&lt;&gt;"N/A",M397,IF(N397&lt;&gt;"N/A",N397,"NO DATA AVAILABLE")))))</f>
        <v/>
      </c>
      <c r="P397" s="1242" t="str">
        <f>IF(H397&gt;'I. Stream &amp; Compound Data'!$F$18,"",MAX(K161:L161))</f>
        <v/>
      </c>
      <c r="Q397" s="1268" t="str">
        <f>IF(H397&gt;'I. Stream &amp; Compound Data'!$F$18,"",IF(O397="N/A",0,O397/'I. Stream &amp; Compound Data'!F$18))</f>
        <v/>
      </c>
      <c r="R397" s="297"/>
      <c r="S397" s="298"/>
      <c r="T397" s="298"/>
      <c r="U397" s="299"/>
      <c r="V397" s="279"/>
      <c r="W397" s="279"/>
      <c r="X397" s="279"/>
      <c r="Y397" s="279"/>
      <c r="Z397" s="279"/>
      <c r="AA397" s="279"/>
      <c r="AB397" s="279"/>
      <c r="AC397" s="279"/>
      <c r="AD397" s="279"/>
      <c r="AE397" s="279"/>
      <c r="AF397" s="279"/>
      <c r="AG397" s="279"/>
      <c r="AH397" s="279"/>
      <c r="AI397" s="279"/>
      <c r="AJ397" s="279"/>
      <c r="AK397" s="279"/>
      <c r="AL397" s="279"/>
      <c r="AM397" s="279"/>
      <c r="AN397" s="279"/>
      <c r="AO397" s="279"/>
      <c r="AP397" s="279"/>
      <c r="AQ397" s="279"/>
      <c r="AR397" s="279"/>
      <c r="AS397" s="279"/>
      <c r="AT397" s="279"/>
      <c r="AU397" s="279"/>
      <c r="AV397" s="279"/>
      <c r="AW397" s="279"/>
      <c r="AX397" s="279"/>
      <c r="AY397" s="279"/>
      <c r="AZ397" s="279"/>
      <c r="BA397" s="279"/>
      <c r="BB397" s="279"/>
      <c r="BC397" s="279"/>
      <c r="BD397" s="279"/>
      <c r="BE397" s="279"/>
      <c r="BF397" s="279"/>
      <c r="BG397" s="279"/>
      <c r="BH397" s="279"/>
      <c r="BI397" s="279"/>
      <c r="BJ397" s="279"/>
      <c r="BK397" s="279"/>
      <c r="BL397" s="279"/>
      <c r="BM397" s="279"/>
      <c r="BN397" s="279"/>
      <c r="BO397" s="279"/>
      <c r="BP397" s="279"/>
      <c r="BQ397" s="279"/>
      <c r="BR397" s="279"/>
      <c r="BS397" s="279"/>
      <c r="BT397" s="279"/>
      <c r="BU397" s="279"/>
      <c r="BV397" s="279"/>
      <c r="BW397" s="279"/>
      <c r="BX397" s="279"/>
      <c r="BY397" s="279"/>
      <c r="BZ397" s="279"/>
      <c r="CA397" s="279"/>
      <c r="CB397" s="279"/>
      <c r="CC397" s="279"/>
      <c r="CD397" s="279"/>
      <c r="CE397" s="279"/>
      <c r="CF397" s="279"/>
      <c r="CG397" s="279"/>
      <c r="CH397" s="279"/>
      <c r="CI397" s="279"/>
      <c r="CJ397" s="279"/>
      <c r="CK397" s="279"/>
      <c r="CL397" s="279"/>
      <c r="CM397" s="279"/>
      <c r="CN397" s="382"/>
    </row>
    <row r="398" ht="19.5" customHeight="true" x14ac:dyDescent="0.3">
      <c r="B398" s="361"/>
      <c r="C398" s="279"/>
      <c r="D398" s="280"/>
      <c r="E398" s="287"/>
      <c r="F398" s="287"/>
      <c r="G398" s="287"/>
      <c r="H398" s="1292">
        <f t="shared" si="16"/>
        <v>21</v>
      </c>
      <c r="I398" s="1190" t="str">
        <f>IF('I. Stream &amp; Compound Data'!AW282&lt;&gt;"",'I. Stream &amp; Compound Data'!AW282,"")</f>
        <v/>
      </c>
      <c r="J398" s="1295" t="str">
        <f>IF('I. Stream &amp; Compound Data'!AR282&lt;&gt;"",'I. Stream &amp; Compound Data'!AR282,IF('I. Stream &amp; Compound Data'!AS282&lt;&gt;"",'I. Stream &amp; Compound Data'!AS282,""))</f>
        <v/>
      </c>
      <c r="K398" s="1295" t="str">
        <f>IF('I. Stream &amp; Compound Data'!BC282&lt;&gt;"",'I. Stream &amp; Compound Data'!BC282-'I. Stream &amp; Compound Data'!F$19,"")</f>
        <v/>
      </c>
      <c r="L398" s="1306" t="str">
        <f>IF(H398&gt;'I. Stream &amp; Compound Data'!$F$18,"",IF(I398="","N/A",IF(OR(I398=3,I398=4),1,IF(I398=2,0.8,IF(I398=1,0.6,0)))))</f>
        <v/>
      </c>
      <c r="M398" s="1168" t="str">
        <f>IF(H398&gt;'I. Stream &amp; Compound Data'!$F$18,"",IF(L398="N/A",IF(J398="","N/A",IF(OR(J398=1,J398=2,J398=3,J398=6,J398=17),1,IF(OR(J398=5,J398=19,J398=44),0.8,"N/A"))),"N/A"))</f>
        <v/>
      </c>
      <c r="N398" s="1242" t="str">
        <f>IF(H398&gt;'I. Stream &amp; Compound Data'!$F$18,"",IF(AND(L398="N/A",M398="N/A"),IF(K398="","N/A",ROUND(IF(K398&lt;=0,1,IF(AND(K398&gt;0,K398&lt;200),-0.005*K398+1,0)),3)),"N/A"))</f>
        <v/>
      </c>
      <c r="O398" s="1242" t="str">
        <f>IF(H398&gt;'I. Stream &amp; Compound Data'!$F$18,"",IF(I162="","N/A",IF(L398&lt;&gt;"N/A",L398,IF(M398&lt;&gt;"N/A",M398,IF(N398&lt;&gt;"N/A",N398,"NO DATA AVAILABLE")))))</f>
        <v/>
      </c>
      <c r="P398" s="1242" t="str">
        <f>IF(H398&gt;'I. Stream &amp; Compound Data'!$F$18,"",MAX(K162:L162))</f>
        <v/>
      </c>
      <c r="Q398" s="1268" t="str">
        <f>IF(H398&gt;'I. Stream &amp; Compound Data'!$F$18,"",IF(O398="N/A",0,O398/'I. Stream &amp; Compound Data'!F$18))</f>
        <v/>
      </c>
      <c r="R398" s="297"/>
      <c r="S398" s="298"/>
      <c r="T398" s="298"/>
      <c r="U398" s="299"/>
      <c r="V398" s="279"/>
      <c r="W398" s="279"/>
      <c r="X398" s="279"/>
      <c r="Y398" s="279"/>
      <c r="Z398" s="279"/>
      <c r="AA398" s="279"/>
      <c r="AB398" s="279"/>
      <c r="AC398" s="279"/>
      <c r="AD398" s="279"/>
      <c r="AE398" s="279"/>
      <c r="AF398" s="279"/>
      <c r="AG398" s="279"/>
      <c r="AH398" s="279"/>
      <c r="AI398" s="279"/>
      <c r="AJ398" s="279"/>
      <c r="AK398" s="279"/>
      <c r="AL398" s="279"/>
      <c r="AM398" s="279"/>
      <c r="AN398" s="279"/>
      <c r="AO398" s="279"/>
      <c r="AP398" s="279"/>
      <c r="AQ398" s="279"/>
      <c r="AR398" s="279"/>
      <c r="AS398" s="279"/>
      <c r="AT398" s="279"/>
      <c r="AU398" s="279"/>
      <c r="AV398" s="279"/>
      <c r="AW398" s="279"/>
      <c r="AX398" s="279"/>
      <c r="AY398" s="279"/>
      <c r="AZ398" s="279"/>
      <c r="BA398" s="279"/>
      <c r="BB398" s="279"/>
      <c r="BC398" s="279"/>
      <c r="BD398" s="279"/>
      <c r="BE398" s="279"/>
      <c r="BF398" s="279"/>
      <c r="BG398" s="279"/>
      <c r="BH398" s="279"/>
      <c r="BI398" s="279"/>
      <c r="BJ398" s="279"/>
      <c r="BK398" s="279"/>
      <c r="BL398" s="279"/>
      <c r="BM398" s="279"/>
      <c r="BN398" s="279"/>
      <c r="BO398" s="279"/>
      <c r="BP398" s="279"/>
      <c r="BQ398" s="279"/>
      <c r="BR398" s="279"/>
      <c r="BS398" s="279"/>
      <c r="BT398" s="279"/>
      <c r="BU398" s="279"/>
      <c r="BV398" s="279"/>
      <c r="BW398" s="279"/>
      <c r="BX398" s="279"/>
      <c r="BY398" s="279"/>
      <c r="BZ398" s="279"/>
      <c r="CA398" s="279"/>
      <c r="CB398" s="279"/>
      <c r="CC398" s="279"/>
      <c r="CD398" s="279"/>
      <c r="CE398" s="279"/>
      <c r="CF398" s="279"/>
      <c r="CG398" s="279"/>
      <c r="CH398" s="279"/>
      <c r="CI398" s="279"/>
      <c r="CJ398" s="279"/>
      <c r="CK398" s="279"/>
      <c r="CL398" s="279"/>
      <c r="CM398" s="279"/>
      <c r="CN398" s="382"/>
    </row>
    <row r="399" ht="19.5" customHeight="true" x14ac:dyDescent="0.3">
      <c r="B399" s="361"/>
      <c r="C399" s="279"/>
      <c r="D399" s="280"/>
      <c r="E399" s="287"/>
      <c r="F399" s="287"/>
      <c r="G399" s="287"/>
      <c r="H399" s="1292">
        <f t="shared" si="16"/>
        <v>22</v>
      </c>
      <c r="I399" s="1190" t="str">
        <f>IF('I. Stream &amp; Compound Data'!AW283&lt;&gt;"",'I. Stream &amp; Compound Data'!AW283,"")</f>
        <v/>
      </c>
      <c r="J399" s="1295" t="str">
        <f>IF('I. Stream &amp; Compound Data'!AR283&lt;&gt;"",'I. Stream &amp; Compound Data'!AR283,IF('I. Stream &amp; Compound Data'!AS283&lt;&gt;"",'I. Stream &amp; Compound Data'!AS283,""))</f>
        <v/>
      </c>
      <c r="K399" s="1295" t="str">
        <f>IF('I. Stream &amp; Compound Data'!BC283&lt;&gt;"",'I. Stream &amp; Compound Data'!BC283-'I. Stream &amp; Compound Data'!F$19,"")</f>
        <v/>
      </c>
      <c r="L399" s="1306" t="str">
        <f>IF(H399&gt;'I. Stream &amp; Compound Data'!$F$18,"",IF(I399="","N/A",IF(OR(I399=3,I399=4),1,IF(I399=2,0.8,IF(I399=1,0.6,0)))))</f>
        <v/>
      </c>
      <c r="M399" s="1168" t="str">
        <f>IF(H399&gt;'I. Stream &amp; Compound Data'!$F$18,"",IF(L399="N/A",IF(J399="","N/A",IF(OR(J399=1,J399=2,J399=3,J399=6,J399=17),1,IF(OR(J399=5,J399=19,J399=44),0.8,"N/A"))),"N/A"))</f>
        <v/>
      </c>
      <c r="N399" s="1242" t="str">
        <f>IF(H399&gt;'I. Stream &amp; Compound Data'!$F$18,"",IF(AND(L399="N/A",M399="N/A"),IF(K399="","N/A",ROUND(IF(K399&lt;=0,1,IF(AND(K399&gt;0,K399&lt;200),-0.005*K399+1,0)),3)),"N/A"))</f>
        <v/>
      </c>
      <c r="O399" s="1242" t="str">
        <f>IF(H399&gt;'I. Stream &amp; Compound Data'!$F$18,"",IF(I163="","N/A",IF(L399&lt;&gt;"N/A",L399,IF(M399&lt;&gt;"N/A",M399,IF(N399&lt;&gt;"N/A",N399,"NO DATA AVAILABLE")))))</f>
        <v/>
      </c>
      <c r="P399" s="1242" t="str">
        <f>IF(H399&gt;'I. Stream &amp; Compound Data'!$F$18,"",MAX(K163:L163))</f>
        <v/>
      </c>
      <c r="Q399" s="1268" t="str">
        <f>IF(H399&gt;'I. Stream &amp; Compound Data'!$F$18,"",IF(O399="N/A",0,O399/'I. Stream &amp; Compound Data'!F$18))</f>
        <v/>
      </c>
      <c r="R399" s="297"/>
      <c r="S399" s="298"/>
      <c r="T399" s="298"/>
      <c r="U399" s="299"/>
      <c r="V399" s="279"/>
      <c r="W399" s="279"/>
      <c r="X399" s="279"/>
      <c r="Y399" s="279"/>
      <c r="Z399" s="279"/>
      <c r="AA399" s="279"/>
      <c r="AB399" s="279"/>
      <c r="AC399" s="279"/>
      <c r="AD399" s="279"/>
      <c r="AE399" s="279"/>
      <c r="AF399" s="279"/>
      <c r="AG399" s="279"/>
      <c r="AH399" s="279"/>
      <c r="AI399" s="279"/>
      <c r="AJ399" s="279"/>
      <c r="AK399" s="279"/>
      <c r="AL399" s="279"/>
      <c r="AM399" s="279"/>
      <c r="AN399" s="279"/>
      <c r="AO399" s="279"/>
      <c r="AP399" s="279"/>
      <c r="AQ399" s="279"/>
      <c r="AR399" s="279"/>
      <c r="AS399" s="279"/>
      <c r="AT399" s="279"/>
      <c r="AU399" s="279"/>
      <c r="AV399" s="279"/>
      <c r="AW399" s="279"/>
      <c r="AX399" s="279"/>
      <c r="AY399" s="279"/>
      <c r="AZ399" s="279"/>
      <c r="BA399" s="279"/>
      <c r="BB399" s="279"/>
      <c r="BC399" s="279"/>
      <c r="BD399" s="279"/>
      <c r="BE399" s="279"/>
      <c r="BF399" s="279"/>
      <c r="BG399" s="279"/>
      <c r="BH399" s="279"/>
      <c r="BI399" s="279"/>
      <c r="BJ399" s="279"/>
      <c r="BK399" s="279"/>
      <c r="BL399" s="279"/>
      <c r="BM399" s="279"/>
      <c r="BN399" s="279"/>
      <c r="BO399" s="279"/>
      <c r="BP399" s="279"/>
      <c r="BQ399" s="279"/>
      <c r="BR399" s="279"/>
      <c r="BS399" s="279"/>
      <c r="BT399" s="279"/>
      <c r="BU399" s="279"/>
      <c r="BV399" s="279"/>
      <c r="BW399" s="279"/>
      <c r="BX399" s="279"/>
      <c r="BY399" s="279"/>
      <c r="BZ399" s="279"/>
      <c r="CA399" s="279"/>
      <c r="CB399" s="279"/>
      <c r="CC399" s="279"/>
      <c r="CD399" s="279"/>
      <c r="CE399" s="279"/>
      <c r="CF399" s="279"/>
      <c r="CG399" s="279"/>
      <c r="CH399" s="279"/>
      <c r="CI399" s="279"/>
      <c r="CJ399" s="279"/>
      <c r="CK399" s="279"/>
      <c r="CL399" s="279"/>
      <c r="CM399" s="279"/>
      <c r="CN399" s="382"/>
    </row>
    <row r="400" ht="19.5" customHeight="true" x14ac:dyDescent="0.3">
      <c r="B400" s="361"/>
      <c r="C400" s="279"/>
      <c r="D400" s="280"/>
      <c r="E400" s="287"/>
      <c r="F400" s="287"/>
      <c r="G400" s="287"/>
      <c r="H400" s="1292">
        <f t="shared" si="16"/>
        <v>23</v>
      </c>
      <c r="I400" s="1190" t="str">
        <f>IF('I. Stream &amp; Compound Data'!AW284&lt;&gt;"",'I. Stream &amp; Compound Data'!AW284,"")</f>
        <v/>
      </c>
      <c r="J400" s="1295" t="str">
        <f>IF('I. Stream &amp; Compound Data'!AR284&lt;&gt;"",'I. Stream &amp; Compound Data'!AR284,IF('I. Stream &amp; Compound Data'!AS284&lt;&gt;"",'I. Stream &amp; Compound Data'!AS284,""))</f>
        <v/>
      </c>
      <c r="K400" s="1295" t="str">
        <f>IF('I. Stream &amp; Compound Data'!BC284&lt;&gt;"",'I. Stream &amp; Compound Data'!BC284-'I. Stream &amp; Compound Data'!F$19,"")</f>
        <v/>
      </c>
      <c r="L400" s="1306" t="str">
        <f>IF(H400&gt;'I. Stream &amp; Compound Data'!$F$18,"",IF(I400="","N/A",IF(OR(I400=3,I400=4),1,IF(I400=2,0.8,IF(I400=1,0.6,0)))))</f>
        <v/>
      </c>
      <c r="M400" s="1168" t="str">
        <f>IF(H400&gt;'I. Stream &amp; Compound Data'!$F$18,"",IF(L400="N/A",IF(J400="","N/A",IF(OR(J400=1,J400=2,J400=3,J400=6,J400=17),1,IF(OR(J400=5,J400=19,J400=44),0.8,"N/A"))),"N/A"))</f>
        <v/>
      </c>
      <c r="N400" s="1242" t="str">
        <f>IF(H400&gt;'I. Stream &amp; Compound Data'!$F$18,"",IF(AND(L400="N/A",M400="N/A"),IF(K400="","N/A",ROUND(IF(K400&lt;=0,1,IF(AND(K400&gt;0,K400&lt;200),-0.005*K400+1,0)),3)),"N/A"))</f>
        <v/>
      </c>
      <c r="O400" s="1242" t="str">
        <f>IF(H400&gt;'I. Stream &amp; Compound Data'!$F$18,"",IF(I164="","N/A",IF(L400&lt;&gt;"N/A",L400,IF(M400&lt;&gt;"N/A",M400,IF(N400&lt;&gt;"N/A",N400,"NO DATA AVAILABLE")))))</f>
        <v/>
      </c>
      <c r="P400" s="1242" t="str">
        <f>IF(H400&gt;'I. Stream &amp; Compound Data'!$F$18,"",MAX(K164:L164))</f>
        <v/>
      </c>
      <c r="Q400" s="1268" t="str">
        <f>IF(H400&gt;'I. Stream &amp; Compound Data'!$F$18,"",IF(O400="N/A",0,O400/'I. Stream &amp; Compound Data'!F$18))</f>
        <v/>
      </c>
      <c r="R400" s="297"/>
      <c r="S400" s="298"/>
      <c r="T400" s="298"/>
      <c r="U400" s="299"/>
      <c r="V400" s="279"/>
      <c r="W400" s="279"/>
      <c r="X400" s="279"/>
      <c r="Y400" s="279"/>
      <c r="Z400" s="279"/>
      <c r="AA400" s="279"/>
      <c r="AB400" s="279"/>
      <c r="AC400" s="279"/>
      <c r="AD400" s="279"/>
      <c r="AE400" s="279"/>
      <c r="AF400" s="279"/>
      <c r="AG400" s="279"/>
      <c r="AH400" s="279"/>
      <c r="AI400" s="279"/>
      <c r="AJ400" s="279"/>
      <c r="AK400" s="279"/>
      <c r="AL400" s="279"/>
      <c r="AM400" s="279"/>
      <c r="AN400" s="279"/>
      <c r="AO400" s="279"/>
      <c r="AP400" s="279"/>
      <c r="AQ400" s="279"/>
      <c r="AR400" s="279"/>
      <c r="AS400" s="279"/>
      <c r="AT400" s="279"/>
      <c r="AU400" s="279"/>
      <c r="AV400" s="279"/>
      <c r="AW400" s="279"/>
      <c r="AX400" s="279"/>
      <c r="AY400" s="279"/>
      <c r="AZ400" s="279"/>
      <c r="BA400" s="279"/>
      <c r="BB400" s="279"/>
      <c r="BC400" s="279"/>
      <c r="BD400" s="279"/>
      <c r="BE400" s="279"/>
      <c r="BF400" s="279"/>
      <c r="BG400" s="279"/>
      <c r="BH400" s="279"/>
      <c r="BI400" s="279"/>
      <c r="BJ400" s="279"/>
      <c r="BK400" s="279"/>
      <c r="BL400" s="279"/>
      <c r="BM400" s="279"/>
      <c r="BN400" s="279"/>
      <c r="BO400" s="279"/>
      <c r="BP400" s="279"/>
      <c r="BQ400" s="279"/>
      <c r="BR400" s="279"/>
      <c r="BS400" s="279"/>
      <c r="BT400" s="279"/>
      <c r="BU400" s="279"/>
      <c r="BV400" s="279"/>
      <c r="BW400" s="279"/>
      <c r="BX400" s="279"/>
      <c r="BY400" s="279"/>
      <c r="BZ400" s="279"/>
      <c r="CA400" s="279"/>
      <c r="CB400" s="279"/>
      <c r="CC400" s="279"/>
      <c r="CD400" s="279"/>
      <c r="CE400" s="279"/>
      <c r="CF400" s="279"/>
      <c r="CG400" s="279"/>
      <c r="CH400" s="279"/>
      <c r="CI400" s="279"/>
      <c r="CJ400" s="279"/>
      <c r="CK400" s="279"/>
      <c r="CL400" s="279"/>
      <c r="CM400" s="279"/>
      <c r="CN400" s="382"/>
    </row>
    <row r="401" ht="19.5" customHeight="true" x14ac:dyDescent="0.3">
      <c r="B401" s="361"/>
      <c r="C401" s="279"/>
      <c r="D401" s="280"/>
      <c r="E401" s="287"/>
      <c r="F401" s="287"/>
      <c r="G401" s="287"/>
      <c r="H401" s="1292">
        <f t="shared" si="16"/>
        <v>24</v>
      </c>
      <c r="I401" s="1190" t="str">
        <f>IF('I. Stream &amp; Compound Data'!AW285&lt;&gt;"",'I. Stream &amp; Compound Data'!AW285,"")</f>
        <v/>
      </c>
      <c r="J401" s="1295" t="str">
        <f>IF('I. Stream &amp; Compound Data'!AR285&lt;&gt;"",'I. Stream &amp; Compound Data'!AR285,IF('I. Stream &amp; Compound Data'!AS285&lt;&gt;"",'I. Stream &amp; Compound Data'!AS285,""))</f>
        <v/>
      </c>
      <c r="K401" s="1295" t="str">
        <f>IF('I. Stream &amp; Compound Data'!BC285&lt;&gt;"",'I. Stream &amp; Compound Data'!BC285-'I. Stream &amp; Compound Data'!F$19,"")</f>
        <v/>
      </c>
      <c r="L401" s="1306" t="str">
        <f>IF(H401&gt;'I. Stream &amp; Compound Data'!$F$18,"",IF(I401="","N/A",IF(OR(I401=3,I401=4),1,IF(I401=2,0.8,IF(I401=1,0.6,0)))))</f>
        <v/>
      </c>
      <c r="M401" s="1168" t="str">
        <f>IF(H401&gt;'I. Stream &amp; Compound Data'!$F$18,"",IF(L401="N/A",IF(J401="","N/A",IF(OR(J401=1,J401=2,J401=3,J401=6,J401=17),1,IF(OR(J401=5,J401=19,J401=44),0.8,"N/A"))),"N/A"))</f>
        <v/>
      </c>
      <c r="N401" s="1242" t="str">
        <f>IF(H401&gt;'I. Stream &amp; Compound Data'!$F$18,"",IF(AND(L401="N/A",M401="N/A"),IF(K401="","N/A",ROUND(IF(K401&lt;=0,1,IF(AND(K401&gt;0,K401&lt;200),-0.005*K401+1,0)),3)),"N/A"))</f>
        <v/>
      </c>
      <c r="O401" s="1242" t="str">
        <f>IF(H401&gt;'I. Stream &amp; Compound Data'!$F$18,"",IF(I165="","N/A",IF(L401&lt;&gt;"N/A",L401,IF(M401&lt;&gt;"N/A",M401,IF(N401&lt;&gt;"N/A",N401,"NO DATA AVAILABLE")))))</f>
        <v/>
      </c>
      <c r="P401" s="1242" t="str">
        <f>IF(H401&gt;'I. Stream &amp; Compound Data'!$F$18,"",MAX(K165:L165))</f>
        <v/>
      </c>
      <c r="Q401" s="1268" t="str">
        <f>IF(H401&gt;'I. Stream &amp; Compound Data'!$F$18,"",IF(O401="N/A",0,O401/'I. Stream &amp; Compound Data'!F$18))</f>
        <v/>
      </c>
      <c r="R401" s="297"/>
      <c r="S401" s="298"/>
      <c r="T401" s="298"/>
      <c r="U401" s="299"/>
      <c r="V401" s="279"/>
      <c r="W401" s="279"/>
      <c r="X401" s="279"/>
      <c r="Y401" s="279"/>
      <c r="Z401" s="279"/>
      <c r="AA401" s="279"/>
      <c r="AB401" s="279"/>
      <c r="AC401" s="279"/>
      <c r="AD401" s="279"/>
      <c r="AE401" s="279"/>
      <c r="AF401" s="279"/>
      <c r="AG401" s="279"/>
      <c r="AH401" s="279"/>
      <c r="AI401" s="279"/>
      <c r="AJ401" s="279"/>
      <c r="AK401" s="279"/>
      <c r="AL401" s="279"/>
      <c r="AM401" s="279"/>
      <c r="AN401" s="279"/>
      <c r="AO401" s="279"/>
      <c r="AP401" s="279"/>
      <c r="AQ401" s="279"/>
      <c r="AR401" s="279"/>
      <c r="AS401" s="279"/>
      <c r="AT401" s="279"/>
      <c r="AU401" s="279"/>
      <c r="AV401" s="279"/>
      <c r="AW401" s="279"/>
      <c r="AX401" s="279"/>
      <c r="AY401" s="279"/>
      <c r="AZ401" s="279"/>
      <c r="BA401" s="279"/>
      <c r="BB401" s="279"/>
      <c r="BC401" s="279"/>
      <c r="BD401" s="279"/>
      <c r="BE401" s="279"/>
      <c r="BF401" s="279"/>
      <c r="BG401" s="279"/>
      <c r="BH401" s="279"/>
      <c r="BI401" s="279"/>
      <c r="BJ401" s="279"/>
      <c r="BK401" s="279"/>
      <c r="BL401" s="279"/>
      <c r="BM401" s="279"/>
      <c r="BN401" s="279"/>
      <c r="BO401" s="279"/>
      <c r="BP401" s="279"/>
      <c r="BQ401" s="279"/>
      <c r="BR401" s="279"/>
      <c r="BS401" s="279"/>
      <c r="BT401" s="279"/>
      <c r="BU401" s="279"/>
      <c r="BV401" s="279"/>
      <c r="BW401" s="279"/>
      <c r="BX401" s="279"/>
      <c r="BY401" s="279"/>
      <c r="BZ401" s="279"/>
      <c r="CA401" s="279"/>
      <c r="CB401" s="279"/>
      <c r="CC401" s="279"/>
      <c r="CD401" s="279"/>
      <c r="CE401" s="279"/>
      <c r="CF401" s="279"/>
      <c r="CG401" s="279"/>
      <c r="CH401" s="279"/>
      <c r="CI401" s="279"/>
      <c r="CJ401" s="279"/>
      <c r="CK401" s="279"/>
      <c r="CL401" s="279"/>
      <c r="CM401" s="279"/>
      <c r="CN401" s="382"/>
    </row>
    <row r="402" ht="19.5" customHeight="true" x14ac:dyDescent="0.3">
      <c r="B402" s="361"/>
      <c r="C402" s="279"/>
      <c r="D402" s="280"/>
      <c r="E402" s="287"/>
      <c r="F402" s="287"/>
      <c r="G402" s="287"/>
      <c r="H402" s="1292">
        <f t="shared" si="16"/>
        <v>25</v>
      </c>
      <c r="I402" s="1190" t="str">
        <f>IF('I. Stream &amp; Compound Data'!AW286&lt;&gt;"",'I. Stream &amp; Compound Data'!AW286,"")</f>
        <v/>
      </c>
      <c r="J402" s="1295" t="str">
        <f>IF('I. Stream &amp; Compound Data'!AR286&lt;&gt;"",'I. Stream &amp; Compound Data'!AR286,IF('I. Stream &amp; Compound Data'!AS286&lt;&gt;"",'I. Stream &amp; Compound Data'!AS286,""))</f>
        <v/>
      </c>
      <c r="K402" s="1295" t="str">
        <f>IF('I. Stream &amp; Compound Data'!BC286&lt;&gt;"",'I. Stream &amp; Compound Data'!BC286-'I. Stream &amp; Compound Data'!F$19,"")</f>
        <v/>
      </c>
      <c r="L402" s="1306" t="str">
        <f>IF(H402&gt;'I. Stream &amp; Compound Data'!$F$18,"",IF(I402="","N/A",IF(OR(I402=3,I402=4),1,IF(I402=2,0.8,IF(I402=1,0.6,0)))))</f>
        <v/>
      </c>
      <c r="M402" s="1168" t="str">
        <f>IF(H402&gt;'I. Stream &amp; Compound Data'!$F$18,"",IF(L402="N/A",IF(J402="","N/A",IF(OR(J402=1,J402=2,J402=3,J402=6,J402=17),1,IF(OR(J402=5,J402=19,J402=44),0.8,"N/A"))),"N/A"))</f>
        <v/>
      </c>
      <c r="N402" s="1242" t="str">
        <f>IF(H402&gt;'I. Stream &amp; Compound Data'!$F$18,"",IF(AND(L402="N/A",M402="N/A"),IF(K402="","N/A",ROUND(IF(K402&lt;=0,1,IF(AND(K402&gt;0,K402&lt;200),-0.005*K402+1,0)),3)),"N/A"))</f>
        <v/>
      </c>
      <c r="O402" s="1242" t="str">
        <f>IF(H402&gt;'I. Stream &amp; Compound Data'!$F$18,"",IF(I166="","N/A",IF(L402&lt;&gt;"N/A",L402,IF(M402&lt;&gt;"N/A",M402,IF(N402&lt;&gt;"N/A",N402,"NO DATA AVAILABLE")))))</f>
        <v/>
      </c>
      <c r="P402" s="1242" t="str">
        <f>IF(H402&gt;'I. Stream &amp; Compound Data'!$F$18,"",MAX(K166:L166))</f>
        <v/>
      </c>
      <c r="Q402" s="1268" t="str">
        <f>IF(H402&gt;'I. Stream &amp; Compound Data'!$F$18,"",IF(O402="N/A",0,O402/'I. Stream &amp; Compound Data'!F$18))</f>
        <v/>
      </c>
      <c r="R402" s="297"/>
      <c r="S402" s="298"/>
      <c r="T402" s="298"/>
      <c r="U402" s="299"/>
      <c r="V402" s="279"/>
      <c r="W402" s="279"/>
      <c r="X402" s="279"/>
      <c r="Y402" s="279"/>
      <c r="Z402" s="279"/>
      <c r="AA402" s="279"/>
      <c r="AB402" s="279"/>
      <c r="AC402" s="279"/>
      <c r="AD402" s="279"/>
      <c r="AE402" s="279"/>
      <c r="AF402" s="279"/>
      <c r="AG402" s="279"/>
      <c r="AH402" s="279"/>
      <c r="AI402" s="279"/>
      <c r="AJ402" s="279"/>
      <c r="AK402" s="279"/>
      <c r="AL402" s="279"/>
      <c r="AM402" s="279"/>
      <c r="AN402" s="279"/>
      <c r="AO402" s="279"/>
      <c r="AP402" s="279"/>
      <c r="AQ402" s="279"/>
      <c r="AR402" s="279"/>
      <c r="AS402" s="279"/>
      <c r="AT402" s="279"/>
      <c r="AU402" s="279"/>
      <c r="AV402" s="279"/>
      <c r="AW402" s="279"/>
      <c r="AX402" s="279"/>
      <c r="AY402" s="279"/>
      <c r="AZ402" s="279"/>
      <c r="BA402" s="279"/>
      <c r="BB402" s="279"/>
      <c r="BC402" s="279"/>
      <c r="BD402" s="279"/>
      <c r="BE402" s="279"/>
      <c r="BF402" s="279"/>
      <c r="BG402" s="279"/>
      <c r="BH402" s="279"/>
      <c r="BI402" s="279"/>
      <c r="BJ402" s="279"/>
      <c r="BK402" s="279"/>
      <c r="BL402" s="279"/>
      <c r="BM402" s="279"/>
      <c r="BN402" s="279"/>
      <c r="BO402" s="279"/>
      <c r="BP402" s="279"/>
      <c r="BQ402" s="279"/>
      <c r="BR402" s="279"/>
      <c r="BS402" s="279"/>
      <c r="BT402" s="279"/>
      <c r="BU402" s="279"/>
      <c r="BV402" s="279"/>
      <c r="BW402" s="279"/>
      <c r="BX402" s="279"/>
      <c r="BY402" s="279"/>
      <c r="BZ402" s="279"/>
      <c r="CA402" s="279"/>
      <c r="CB402" s="279"/>
      <c r="CC402" s="279"/>
      <c r="CD402" s="279"/>
      <c r="CE402" s="279"/>
      <c r="CF402" s="279"/>
      <c r="CG402" s="279"/>
      <c r="CH402" s="279"/>
      <c r="CI402" s="279"/>
      <c r="CJ402" s="279"/>
      <c r="CK402" s="279"/>
      <c r="CL402" s="279"/>
      <c r="CM402" s="279"/>
      <c r="CN402" s="382"/>
    </row>
    <row r="403" ht="19.5" customHeight="true" x14ac:dyDescent="0.3">
      <c r="B403" s="361"/>
      <c r="C403" s="279"/>
      <c r="D403" s="280"/>
      <c r="E403" s="287"/>
      <c r="F403" s="287"/>
      <c r="G403" s="287"/>
      <c r="H403" s="1292">
        <f t="shared" si="16"/>
        <v>26</v>
      </c>
      <c r="I403" s="1190" t="str">
        <f>IF('I. Stream &amp; Compound Data'!AW287&lt;&gt;"",'I. Stream &amp; Compound Data'!AW287,"")</f>
        <v/>
      </c>
      <c r="J403" s="1295" t="str">
        <f>IF('I. Stream &amp; Compound Data'!AR287&lt;&gt;"",'I. Stream &amp; Compound Data'!AR287,IF('I. Stream &amp; Compound Data'!AS287&lt;&gt;"",'I. Stream &amp; Compound Data'!AS287,""))</f>
        <v/>
      </c>
      <c r="K403" s="1295" t="str">
        <f>IF('I. Stream &amp; Compound Data'!BC287&lt;&gt;"",'I. Stream &amp; Compound Data'!BC287-'I. Stream &amp; Compound Data'!F$19,"")</f>
        <v/>
      </c>
      <c r="L403" s="1306" t="str">
        <f>IF(H403&gt;'I. Stream &amp; Compound Data'!$F$18,"",IF(I403="","N/A",IF(OR(I403=3,I403=4),1,IF(I403=2,0.8,IF(I403=1,0.6,0)))))</f>
        <v/>
      </c>
      <c r="M403" s="1168" t="str">
        <f>IF(H403&gt;'I. Stream &amp; Compound Data'!$F$18,"",IF(L403="N/A",IF(J403="","N/A",IF(OR(J403=1,J403=2,J403=3,J403=6,J403=17),1,IF(OR(J403=5,J403=19,J403=44),0.8,"N/A"))),"N/A"))</f>
        <v/>
      </c>
      <c r="N403" s="1242" t="str">
        <f>IF(H403&gt;'I. Stream &amp; Compound Data'!$F$18,"",IF(AND(L403="N/A",M403="N/A"),IF(K403="","N/A",ROUND(IF(K403&lt;=0,1,IF(AND(K403&gt;0,K403&lt;200),-0.005*K403+1,0)),3)),"N/A"))</f>
        <v/>
      </c>
      <c r="O403" s="1242" t="str">
        <f>IF(H403&gt;'I. Stream &amp; Compound Data'!$F$18,"",IF(I167="","N/A",IF(L403&lt;&gt;"N/A",L403,IF(M403&lt;&gt;"N/A",M403,IF(N403&lt;&gt;"N/A",N403,"NO DATA AVAILABLE")))))</f>
        <v/>
      </c>
      <c r="P403" s="1242" t="str">
        <f>IF(H403&gt;'I. Stream &amp; Compound Data'!$F$18,"",MAX(K167:L167))</f>
        <v/>
      </c>
      <c r="Q403" s="1268" t="str">
        <f>IF(H403&gt;'I. Stream &amp; Compound Data'!$F$18,"",IF(O403="N/A",0,O403/'I. Stream &amp; Compound Data'!F$18))</f>
        <v/>
      </c>
      <c r="R403" s="297"/>
      <c r="S403" s="298"/>
      <c r="T403" s="298"/>
      <c r="U403" s="299"/>
      <c r="V403" s="279"/>
      <c r="W403" s="279"/>
      <c r="X403" s="279"/>
      <c r="Y403" s="279"/>
      <c r="Z403" s="279"/>
      <c r="AA403" s="279"/>
      <c r="AB403" s="279"/>
      <c r="AC403" s="279"/>
      <c r="AD403" s="279"/>
      <c r="AE403" s="279"/>
      <c r="AF403" s="279"/>
      <c r="AG403" s="279"/>
      <c r="AH403" s="279"/>
      <c r="AI403" s="279"/>
      <c r="AJ403" s="279"/>
      <c r="AK403" s="279"/>
      <c r="AL403" s="279"/>
      <c r="AM403" s="279"/>
      <c r="AN403" s="279"/>
      <c r="AO403" s="279"/>
      <c r="AP403" s="279"/>
      <c r="AQ403" s="279"/>
      <c r="AR403" s="279"/>
      <c r="AS403" s="279"/>
      <c r="AT403" s="279"/>
      <c r="AU403" s="279"/>
      <c r="AV403" s="279"/>
      <c r="AW403" s="279"/>
      <c r="AX403" s="279"/>
      <c r="AY403" s="279"/>
      <c r="AZ403" s="279"/>
      <c r="BA403" s="279"/>
      <c r="BB403" s="279"/>
      <c r="BC403" s="279"/>
      <c r="BD403" s="279"/>
      <c r="BE403" s="279"/>
      <c r="BF403" s="279"/>
      <c r="BG403" s="279"/>
      <c r="BH403" s="279"/>
      <c r="BI403" s="279"/>
      <c r="BJ403" s="279"/>
      <c r="BK403" s="279"/>
      <c r="BL403" s="279"/>
      <c r="BM403" s="279"/>
      <c r="BN403" s="279"/>
      <c r="BO403" s="279"/>
      <c r="BP403" s="279"/>
      <c r="BQ403" s="279"/>
      <c r="BR403" s="279"/>
      <c r="BS403" s="279"/>
      <c r="BT403" s="279"/>
      <c r="BU403" s="279"/>
      <c r="BV403" s="279"/>
      <c r="BW403" s="279"/>
      <c r="BX403" s="279"/>
      <c r="BY403" s="279"/>
      <c r="BZ403" s="279"/>
      <c r="CA403" s="279"/>
      <c r="CB403" s="279"/>
      <c r="CC403" s="279"/>
      <c r="CD403" s="279"/>
      <c r="CE403" s="279"/>
      <c r="CF403" s="279"/>
      <c r="CG403" s="279"/>
      <c r="CH403" s="279"/>
      <c r="CI403" s="279"/>
      <c r="CJ403" s="279"/>
      <c r="CK403" s="279"/>
      <c r="CL403" s="279"/>
      <c r="CM403" s="279"/>
      <c r="CN403" s="382"/>
    </row>
    <row r="404" ht="19.5" customHeight="true" x14ac:dyDescent="0.3">
      <c r="B404" s="361"/>
      <c r="C404" s="279"/>
      <c r="D404" s="280"/>
      <c r="E404" s="287"/>
      <c r="F404" s="287"/>
      <c r="G404" s="287"/>
      <c r="H404" s="1292">
        <f t="shared" si="16"/>
        <v>27</v>
      </c>
      <c r="I404" s="1190" t="str">
        <f>IF('I. Stream &amp; Compound Data'!AW288&lt;&gt;"",'I. Stream &amp; Compound Data'!AW288,"")</f>
        <v/>
      </c>
      <c r="J404" s="1295" t="str">
        <f>IF('I. Stream &amp; Compound Data'!AR288&lt;&gt;"",'I. Stream &amp; Compound Data'!AR288,IF('I. Stream &amp; Compound Data'!AS288&lt;&gt;"",'I. Stream &amp; Compound Data'!AS288,""))</f>
        <v/>
      </c>
      <c r="K404" s="1295" t="str">
        <f>IF('I. Stream &amp; Compound Data'!BC288&lt;&gt;"",'I. Stream &amp; Compound Data'!BC288-'I. Stream &amp; Compound Data'!F$19,"")</f>
        <v/>
      </c>
      <c r="L404" s="1306" t="str">
        <f>IF(H404&gt;'I. Stream &amp; Compound Data'!$F$18,"",IF(I404="","N/A",IF(OR(I404=3,I404=4),1,IF(I404=2,0.8,IF(I404=1,0.6,0)))))</f>
        <v/>
      </c>
      <c r="M404" s="1168" t="str">
        <f>IF(H404&gt;'I. Stream &amp; Compound Data'!$F$18,"",IF(L404="N/A",IF(J404="","N/A",IF(OR(J404=1,J404=2,J404=3,J404=6,J404=17),1,IF(OR(J404=5,J404=19,J404=44),0.8,"N/A"))),"N/A"))</f>
        <v/>
      </c>
      <c r="N404" s="1242" t="str">
        <f>IF(H404&gt;'I. Stream &amp; Compound Data'!$F$18,"",IF(AND(L404="N/A",M404="N/A"),IF(K404="","N/A",ROUND(IF(K404&lt;=0,1,IF(AND(K404&gt;0,K404&lt;200),-0.005*K404+1,0)),3)),"N/A"))</f>
        <v/>
      </c>
      <c r="O404" s="1242" t="str">
        <f>IF(H404&gt;'I. Stream &amp; Compound Data'!$F$18,"",IF(I168="","N/A",IF(L404&lt;&gt;"N/A",L404,IF(M404&lt;&gt;"N/A",M404,IF(N404&lt;&gt;"N/A",N404,"NO DATA AVAILABLE")))))</f>
        <v/>
      </c>
      <c r="P404" s="1242" t="str">
        <f>IF(H404&gt;'I. Stream &amp; Compound Data'!$F$18,"",MAX(K168:L168))</f>
        <v/>
      </c>
      <c r="Q404" s="1268" t="str">
        <f>IF(H404&gt;'I. Stream &amp; Compound Data'!$F$18,"",IF(O404="N/A",0,O404/'I. Stream &amp; Compound Data'!F$18))</f>
        <v/>
      </c>
      <c r="R404" s="297"/>
      <c r="S404" s="298"/>
      <c r="T404" s="298"/>
      <c r="U404" s="299"/>
      <c r="V404" s="279"/>
      <c r="W404" s="279"/>
      <c r="X404" s="279"/>
      <c r="Y404" s="279"/>
      <c r="Z404" s="279"/>
      <c r="AA404" s="279"/>
      <c r="AB404" s="279"/>
      <c r="AC404" s="279"/>
      <c r="AD404" s="279"/>
      <c r="AE404" s="279"/>
      <c r="AF404" s="279"/>
      <c r="AG404" s="279"/>
      <c r="AH404" s="279"/>
      <c r="AI404" s="279"/>
      <c r="AJ404" s="279"/>
      <c r="AK404" s="279"/>
      <c r="AL404" s="279"/>
      <c r="AM404" s="279"/>
      <c r="AN404" s="279"/>
      <c r="AO404" s="279"/>
      <c r="AP404" s="279"/>
      <c r="AQ404" s="279"/>
      <c r="AR404" s="279"/>
      <c r="AS404" s="279"/>
      <c r="AT404" s="279"/>
      <c r="AU404" s="279"/>
      <c r="AV404" s="279"/>
      <c r="AW404" s="279"/>
      <c r="AX404" s="279"/>
      <c r="AY404" s="279"/>
      <c r="AZ404" s="279"/>
      <c r="BA404" s="279"/>
      <c r="BB404" s="279"/>
      <c r="BC404" s="279"/>
      <c r="BD404" s="279"/>
      <c r="BE404" s="279"/>
      <c r="BF404" s="279"/>
      <c r="BG404" s="279"/>
      <c r="BH404" s="279"/>
      <c r="BI404" s="279"/>
      <c r="BJ404" s="279"/>
      <c r="BK404" s="279"/>
      <c r="BL404" s="279"/>
      <c r="BM404" s="279"/>
      <c r="BN404" s="279"/>
      <c r="BO404" s="279"/>
      <c r="BP404" s="279"/>
      <c r="BQ404" s="279"/>
      <c r="BR404" s="279"/>
      <c r="BS404" s="279"/>
      <c r="BT404" s="279"/>
      <c r="BU404" s="279"/>
      <c r="BV404" s="279"/>
      <c r="BW404" s="279"/>
      <c r="BX404" s="279"/>
      <c r="BY404" s="279"/>
      <c r="BZ404" s="279"/>
      <c r="CA404" s="279"/>
      <c r="CB404" s="279"/>
      <c r="CC404" s="279"/>
      <c r="CD404" s="279"/>
      <c r="CE404" s="279"/>
      <c r="CF404" s="279"/>
      <c r="CG404" s="279"/>
      <c r="CH404" s="279"/>
      <c r="CI404" s="279"/>
      <c r="CJ404" s="279"/>
      <c r="CK404" s="279"/>
      <c r="CL404" s="279"/>
      <c r="CM404" s="279"/>
      <c r="CN404" s="382"/>
    </row>
    <row r="405" ht="19.5" customHeight="true" x14ac:dyDescent="0.3">
      <c r="B405" s="361"/>
      <c r="C405" s="279"/>
      <c r="D405" s="280"/>
      <c r="E405" s="287"/>
      <c r="F405" s="287"/>
      <c r="G405" s="287"/>
      <c r="H405" s="1292">
        <f t="shared" si="16"/>
        <v>28</v>
      </c>
      <c r="I405" s="1190" t="str">
        <f>IF('I. Stream &amp; Compound Data'!AW289&lt;&gt;"",'I. Stream &amp; Compound Data'!AW289,"")</f>
        <v/>
      </c>
      <c r="J405" s="1295" t="str">
        <f>IF('I. Stream &amp; Compound Data'!AR289&lt;&gt;"",'I. Stream &amp; Compound Data'!AR289,IF('I. Stream &amp; Compound Data'!AS289&lt;&gt;"",'I. Stream &amp; Compound Data'!AS289,""))</f>
        <v/>
      </c>
      <c r="K405" s="1295" t="str">
        <f>IF('I. Stream &amp; Compound Data'!BC289&lt;&gt;"",'I. Stream &amp; Compound Data'!BC289-'I. Stream &amp; Compound Data'!F$19,"")</f>
        <v/>
      </c>
      <c r="L405" s="1306" t="str">
        <f>IF(H405&gt;'I. Stream &amp; Compound Data'!$F$18,"",IF(I405="","N/A",IF(OR(I405=3,I405=4),1,IF(I405=2,0.8,IF(I405=1,0.6,0)))))</f>
        <v/>
      </c>
      <c r="M405" s="1168" t="str">
        <f>IF(H405&gt;'I. Stream &amp; Compound Data'!$F$18,"",IF(L405="N/A",IF(J405="","N/A",IF(OR(J405=1,J405=2,J405=3,J405=6,J405=17),1,IF(OR(J405=5,J405=19,J405=44),0.8,"N/A"))),"N/A"))</f>
        <v/>
      </c>
      <c r="N405" s="1242" t="str">
        <f>IF(H405&gt;'I. Stream &amp; Compound Data'!$F$18,"",IF(AND(L405="N/A",M405="N/A"),IF(K405="","N/A",ROUND(IF(K405&lt;=0,1,IF(AND(K405&gt;0,K405&lt;200),-0.005*K405+1,0)),3)),"N/A"))</f>
        <v/>
      </c>
      <c r="O405" s="1242" t="str">
        <f>IF(H405&gt;'I. Stream &amp; Compound Data'!$F$18,"",IF(I169="","N/A",IF(L405&lt;&gt;"N/A",L405,IF(M405&lt;&gt;"N/A",M405,IF(N405&lt;&gt;"N/A",N405,"NO DATA AVAILABLE")))))</f>
        <v/>
      </c>
      <c r="P405" s="1242" t="str">
        <f>IF(H405&gt;'I. Stream &amp; Compound Data'!$F$18,"",MAX(K169:L169))</f>
        <v/>
      </c>
      <c r="Q405" s="1268" t="str">
        <f>IF(H405&gt;'I. Stream &amp; Compound Data'!$F$18,"",IF(O405="N/A",0,O405/'I. Stream &amp; Compound Data'!F$18))</f>
        <v/>
      </c>
      <c r="R405" s="297"/>
      <c r="S405" s="298"/>
      <c r="T405" s="298"/>
      <c r="U405" s="299"/>
      <c r="V405" s="279"/>
      <c r="W405" s="279"/>
      <c r="X405" s="279"/>
      <c r="Y405" s="279"/>
      <c r="Z405" s="279"/>
      <c r="AA405" s="279"/>
      <c r="AB405" s="279"/>
      <c r="AC405" s="279"/>
      <c r="AD405" s="279"/>
      <c r="AE405" s="279"/>
      <c r="AF405" s="279"/>
      <c r="AG405" s="279"/>
      <c r="AH405" s="279"/>
      <c r="AI405" s="279"/>
      <c r="AJ405" s="279"/>
      <c r="AK405" s="279"/>
      <c r="AL405" s="279"/>
      <c r="AM405" s="279"/>
      <c r="AN405" s="279"/>
      <c r="AO405" s="279"/>
      <c r="AP405" s="279"/>
      <c r="AQ405" s="279"/>
      <c r="AR405" s="279"/>
      <c r="AS405" s="279"/>
      <c r="AT405" s="279"/>
      <c r="AU405" s="279"/>
      <c r="AV405" s="279"/>
      <c r="AW405" s="279"/>
      <c r="AX405" s="279"/>
      <c r="AY405" s="279"/>
      <c r="AZ405" s="279"/>
      <c r="BA405" s="279"/>
      <c r="BB405" s="279"/>
      <c r="BC405" s="279"/>
      <c r="BD405" s="279"/>
      <c r="BE405" s="279"/>
      <c r="BF405" s="279"/>
      <c r="BG405" s="279"/>
      <c r="BH405" s="279"/>
      <c r="BI405" s="279"/>
      <c r="BJ405" s="279"/>
      <c r="BK405" s="279"/>
      <c r="BL405" s="279"/>
      <c r="BM405" s="279"/>
      <c r="BN405" s="279"/>
      <c r="BO405" s="279"/>
      <c r="BP405" s="279"/>
      <c r="BQ405" s="279"/>
      <c r="BR405" s="279"/>
      <c r="BS405" s="279"/>
      <c r="BT405" s="279"/>
      <c r="BU405" s="279"/>
      <c r="BV405" s="279"/>
      <c r="BW405" s="279"/>
      <c r="BX405" s="279"/>
      <c r="BY405" s="279"/>
      <c r="BZ405" s="279"/>
      <c r="CA405" s="279"/>
      <c r="CB405" s="279"/>
      <c r="CC405" s="279"/>
      <c r="CD405" s="279"/>
      <c r="CE405" s="279"/>
      <c r="CF405" s="279"/>
      <c r="CG405" s="279"/>
      <c r="CH405" s="279"/>
      <c r="CI405" s="279"/>
      <c r="CJ405" s="279"/>
      <c r="CK405" s="279"/>
      <c r="CL405" s="279"/>
      <c r="CM405" s="279"/>
      <c r="CN405" s="382"/>
    </row>
    <row r="406" ht="19.5" customHeight="true" x14ac:dyDescent="0.3">
      <c r="B406" s="361"/>
      <c r="C406" s="279"/>
      <c r="D406" s="280"/>
      <c r="E406" s="287"/>
      <c r="F406" s="287"/>
      <c r="G406" s="287"/>
      <c r="H406" s="1292">
        <f t="shared" si="16"/>
        <v>29</v>
      </c>
      <c r="I406" s="1190" t="str">
        <f>IF('I. Stream &amp; Compound Data'!AW290&lt;&gt;"",'I. Stream &amp; Compound Data'!AW290,"")</f>
        <v/>
      </c>
      <c r="J406" s="1295" t="str">
        <f>IF('I. Stream &amp; Compound Data'!AR290&lt;&gt;"",'I. Stream &amp; Compound Data'!AR290,IF('I. Stream &amp; Compound Data'!AS290&lt;&gt;"",'I. Stream &amp; Compound Data'!AS290,""))</f>
        <v/>
      </c>
      <c r="K406" s="1295" t="str">
        <f>IF('I. Stream &amp; Compound Data'!BC290&lt;&gt;"",'I. Stream &amp; Compound Data'!BC290-'I. Stream &amp; Compound Data'!F$19,"")</f>
        <v/>
      </c>
      <c r="L406" s="1306" t="str">
        <f>IF(H406&gt;'I. Stream &amp; Compound Data'!$F$18,"",IF(I406="","N/A",IF(OR(I406=3,I406=4),1,IF(I406=2,0.8,IF(I406=1,0.6,0)))))</f>
        <v/>
      </c>
      <c r="M406" s="1168" t="str">
        <f>IF(H406&gt;'I. Stream &amp; Compound Data'!$F$18,"",IF(L406="N/A",IF(J406="","N/A",IF(OR(J406=1,J406=2,J406=3,J406=6,J406=17),1,IF(OR(J406=5,J406=19,J406=44),0.8,"N/A"))),"N/A"))</f>
        <v/>
      </c>
      <c r="N406" s="1242" t="str">
        <f>IF(H406&gt;'I. Stream &amp; Compound Data'!$F$18,"",IF(AND(L406="N/A",M406="N/A"),IF(K406="","N/A",ROUND(IF(K406&lt;=0,1,IF(AND(K406&gt;0,K406&lt;200),-0.005*K406+1,0)),3)),"N/A"))</f>
        <v/>
      </c>
      <c r="O406" s="1242" t="str">
        <f>IF(H406&gt;'I. Stream &amp; Compound Data'!$F$18,"",IF(I170="","N/A",IF(L406&lt;&gt;"N/A",L406,IF(M406&lt;&gt;"N/A",M406,IF(N406&lt;&gt;"N/A",N406,"NO DATA AVAILABLE")))))</f>
        <v/>
      </c>
      <c r="P406" s="1242" t="str">
        <f>IF(H406&gt;'I. Stream &amp; Compound Data'!$F$18,"",MAX(K170:L170))</f>
        <v/>
      </c>
      <c r="Q406" s="1268" t="str">
        <f>IF(H406&gt;'I. Stream &amp; Compound Data'!$F$18,"",IF(O406="N/A",0,O406/'I. Stream &amp; Compound Data'!F$18))</f>
        <v/>
      </c>
      <c r="R406" s="297"/>
      <c r="S406" s="298"/>
      <c r="T406" s="298"/>
      <c r="U406" s="299"/>
      <c r="V406" s="279"/>
      <c r="W406" s="279"/>
      <c r="X406" s="279"/>
      <c r="Y406" s="279"/>
      <c r="Z406" s="279"/>
      <c r="AA406" s="279"/>
      <c r="AB406" s="279"/>
      <c r="AC406" s="279"/>
      <c r="AD406" s="279"/>
      <c r="AE406" s="279"/>
      <c r="AF406" s="279"/>
      <c r="AG406" s="279"/>
      <c r="AH406" s="279"/>
      <c r="AI406" s="279"/>
      <c r="AJ406" s="279"/>
      <c r="AK406" s="279"/>
      <c r="AL406" s="279"/>
      <c r="AM406" s="279"/>
      <c r="AN406" s="279"/>
      <c r="AO406" s="279"/>
      <c r="AP406" s="279"/>
      <c r="AQ406" s="279"/>
      <c r="AR406" s="279"/>
      <c r="AS406" s="279"/>
      <c r="AT406" s="279"/>
      <c r="AU406" s="279"/>
      <c r="AV406" s="279"/>
      <c r="AW406" s="279"/>
      <c r="AX406" s="279"/>
      <c r="AY406" s="279"/>
      <c r="AZ406" s="279"/>
      <c r="BA406" s="279"/>
      <c r="BB406" s="279"/>
      <c r="BC406" s="279"/>
      <c r="BD406" s="279"/>
      <c r="BE406" s="279"/>
      <c r="BF406" s="279"/>
      <c r="BG406" s="279"/>
      <c r="BH406" s="279"/>
      <c r="BI406" s="279"/>
      <c r="BJ406" s="279"/>
      <c r="BK406" s="279"/>
      <c r="BL406" s="279"/>
      <c r="BM406" s="279"/>
      <c r="BN406" s="279"/>
      <c r="BO406" s="279"/>
      <c r="BP406" s="279"/>
      <c r="BQ406" s="279"/>
      <c r="BR406" s="279"/>
      <c r="BS406" s="279"/>
      <c r="BT406" s="279"/>
      <c r="BU406" s="279"/>
      <c r="BV406" s="279"/>
      <c r="BW406" s="279"/>
      <c r="BX406" s="279"/>
      <c r="BY406" s="279"/>
      <c r="BZ406" s="279"/>
      <c r="CA406" s="279"/>
      <c r="CB406" s="279"/>
      <c r="CC406" s="279"/>
      <c r="CD406" s="279"/>
      <c r="CE406" s="279"/>
      <c r="CF406" s="279"/>
      <c r="CG406" s="279"/>
      <c r="CH406" s="279"/>
      <c r="CI406" s="279"/>
      <c r="CJ406" s="279"/>
      <c r="CK406" s="279"/>
      <c r="CL406" s="279"/>
      <c r="CM406" s="279"/>
      <c r="CN406" s="382"/>
    </row>
    <row r="407" ht="19.5" customHeight="true" x14ac:dyDescent="0.3">
      <c r="B407" s="361"/>
      <c r="C407" s="279"/>
      <c r="D407" s="280"/>
      <c r="E407" s="287"/>
      <c r="F407" s="287"/>
      <c r="G407" s="287"/>
      <c r="H407" s="1292">
        <f t="shared" si="16"/>
        <v>30</v>
      </c>
      <c r="I407" s="1190" t="str">
        <f>IF('I. Stream &amp; Compound Data'!AW291&lt;&gt;"",'I. Stream &amp; Compound Data'!AW291,"")</f>
        <v/>
      </c>
      <c r="J407" s="1295" t="str">
        <f>IF('I. Stream &amp; Compound Data'!AR291&lt;&gt;"",'I. Stream &amp; Compound Data'!AR291,IF('I. Stream &amp; Compound Data'!AS291&lt;&gt;"",'I. Stream &amp; Compound Data'!AS291,""))</f>
        <v/>
      </c>
      <c r="K407" s="1295" t="str">
        <f>IF('I. Stream &amp; Compound Data'!BC291&lt;&gt;"",'I. Stream &amp; Compound Data'!BC291-'I. Stream &amp; Compound Data'!F$19,"")</f>
        <v/>
      </c>
      <c r="L407" s="1306" t="str">
        <f>IF(H407&gt;'I. Stream &amp; Compound Data'!$F$18,"",IF(I407="","N/A",IF(OR(I407=3,I407=4),1,IF(I407=2,0.8,IF(I407=1,0.6,0)))))</f>
        <v/>
      </c>
      <c r="M407" s="1168" t="str">
        <f>IF(H407&gt;'I. Stream &amp; Compound Data'!$F$18,"",IF(L407="N/A",IF(J407="","N/A",IF(OR(J407=1,J407=2,J407=3,J407=6,J407=17),1,IF(OR(J407=5,J407=19,J407=44),0.8,"N/A"))),"N/A"))</f>
        <v/>
      </c>
      <c r="N407" s="1242" t="str">
        <f>IF(H407&gt;'I. Stream &amp; Compound Data'!$F$18,"",IF(AND(L407="N/A",M407="N/A"),IF(K407="","N/A",ROUND(IF(K407&lt;=0,1,IF(AND(K407&gt;0,K407&lt;200),-0.005*K407+1,0)),3)),"N/A"))</f>
        <v/>
      </c>
      <c r="O407" s="1242" t="str">
        <f>IF(H407&gt;'I. Stream &amp; Compound Data'!$F$18,"",IF(I171="","N/A",IF(L407&lt;&gt;"N/A",L407,IF(M407&lt;&gt;"N/A",M407,IF(N407&lt;&gt;"N/A",N407,"NO DATA AVAILABLE")))))</f>
        <v/>
      </c>
      <c r="P407" s="1242" t="str">
        <f>IF(H407&gt;'I. Stream &amp; Compound Data'!$F$18,"",MAX(K171:L171))</f>
        <v/>
      </c>
      <c r="Q407" s="1268" t="str">
        <f>IF(H407&gt;'I. Stream &amp; Compound Data'!$F$18,"",IF(O407="N/A",0,O407/'I. Stream &amp; Compound Data'!F$18))</f>
        <v/>
      </c>
      <c r="R407" s="297"/>
      <c r="S407" s="298"/>
      <c r="T407" s="298"/>
      <c r="U407" s="299"/>
      <c r="V407" s="279"/>
      <c r="W407" s="279"/>
      <c r="X407" s="279"/>
      <c r="Y407" s="279"/>
      <c r="Z407" s="279"/>
      <c r="AA407" s="279"/>
      <c r="AB407" s="279"/>
      <c r="AC407" s="279"/>
      <c r="AD407" s="279"/>
      <c r="AE407" s="279"/>
      <c r="AF407" s="279"/>
      <c r="AG407" s="279"/>
      <c r="AH407" s="279"/>
      <c r="AI407" s="279"/>
      <c r="AJ407" s="279"/>
      <c r="AK407" s="279"/>
      <c r="AL407" s="279"/>
      <c r="AM407" s="279"/>
      <c r="AN407" s="279"/>
      <c r="AO407" s="279"/>
      <c r="AP407" s="279"/>
      <c r="AQ407" s="279"/>
      <c r="AR407" s="279"/>
      <c r="AS407" s="279"/>
      <c r="AT407" s="279"/>
      <c r="AU407" s="279"/>
      <c r="AV407" s="279"/>
      <c r="AW407" s="279"/>
      <c r="AX407" s="279"/>
      <c r="AY407" s="279"/>
      <c r="AZ407" s="279"/>
      <c r="BA407" s="279"/>
      <c r="BB407" s="279"/>
      <c r="BC407" s="279"/>
      <c r="BD407" s="279"/>
      <c r="BE407" s="279"/>
      <c r="BF407" s="279"/>
      <c r="BG407" s="279"/>
      <c r="BH407" s="279"/>
      <c r="BI407" s="279"/>
      <c r="BJ407" s="279"/>
      <c r="BK407" s="279"/>
      <c r="BL407" s="279"/>
      <c r="BM407" s="279"/>
      <c r="BN407" s="279"/>
      <c r="BO407" s="279"/>
      <c r="BP407" s="279"/>
      <c r="BQ407" s="279"/>
      <c r="BR407" s="279"/>
      <c r="BS407" s="279"/>
      <c r="BT407" s="279"/>
      <c r="BU407" s="279"/>
      <c r="BV407" s="279"/>
      <c r="BW407" s="279"/>
      <c r="BX407" s="279"/>
      <c r="BY407" s="279"/>
      <c r="BZ407" s="279"/>
      <c r="CA407" s="279"/>
      <c r="CB407" s="279"/>
      <c r="CC407" s="279"/>
      <c r="CD407" s="279"/>
      <c r="CE407" s="279"/>
      <c r="CF407" s="279"/>
      <c r="CG407" s="279"/>
      <c r="CH407" s="279"/>
      <c r="CI407" s="279"/>
      <c r="CJ407" s="279"/>
      <c r="CK407" s="279"/>
      <c r="CL407" s="279"/>
      <c r="CM407" s="279"/>
      <c r="CN407" s="382"/>
    </row>
    <row r="408" ht="19.5" customHeight="true" x14ac:dyDescent="0.3">
      <c r="B408" s="361"/>
      <c r="C408" s="279"/>
      <c r="D408" s="280"/>
      <c r="E408" s="287"/>
      <c r="F408" s="287"/>
      <c r="G408" s="287"/>
      <c r="H408" s="1292">
        <f t="shared" si="16"/>
        <v>31</v>
      </c>
      <c r="I408" s="1190" t="str">
        <f>IF('I. Stream &amp; Compound Data'!AW292&lt;&gt;"",'I. Stream &amp; Compound Data'!AW292,"")</f>
        <v/>
      </c>
      <c r="J408" s="1295" t="str">
        <f>IF('I. Stream &amp; Compound Data'!AR292&lt;&gt;"",'I. Stream &amp; Compound Data'!AR292,IF('I. Stream &amp; Compound Data'!AS292&lt;&gt;"",'I. Stream &amp; Compound Data'!AS292,""))</f>
        <v/>
      </c>
      <c r="K408" s="1295" t="str">
        <f>IF('I. Stream &amp; Compound Data'!BC292&lt;&gt;"",'I. Stream &amp; Compound Data'!BC292-'I. Stream &amp; Compound Data'!F$19,"")</f>
        <v/>
      </c>
      <c r="L408" s="1306" t="str">
        <f>IF(H408&gt;'I. Stream &amp; Compound Data'!$F$18,"",IF(I408="","N/A",IF(OR(I408=3,I408=4),1,IF(I408=2,0.8,IF(I408=1,0.6,0)))))</f>
        <v/>
      </c>
      <c r="M408" s="1168" t="str">
        <f>IF(H408&gt;'I. Stream &amp; Compound Data'!$F$18,"",IF(L408="N/A",IF(J408="","N/A",IF(OR(J408=1,J408=2,J408=3,J408=6,J408=17),1,IF(OR(J408=5,J408=19,J408=44),0.8,"N/A"))),"N/A"))</f>
        <v/>
      </c>
      <c r="N408" s="1242" t="str">
        <f>IF(H408&gt;'I. Stream &amp; Compound Data'!$F$18,"",IF(AND(L408="N/A",M408="N/A"),IF(K408="","N/A",ROUND(IF(K408&lt;=0,1,IF(AND(K408&gt;0,K408&lt;200),-0.005*K408+1,0)),3)),"N/A"))</f>
        <v/>
      </c>
      <c r="O408" s="1242" t="str">
        <f>IF(H408&gt;'I. Stream &amp; Compound Data'!$F$18,"",IF(I172="","N/A",IF(L408&lt;&gt;"N/A",L408,IF(M408&lt;&gt;"N/A",M408,IF(N408&lt;&gt;"N/A",N408,"NO DATA AVAILABLE")))))</f>
        <v/>
      </c>
      <c r="P408" s="1242" t="str">
        <f>IF(H408&gt;'I. Stream &amp; Compound Data'!$F$18,"",MAX(K172:L172))</f>
        <v/>
      </c>
      <c r="Q408" s="1268" t="str">
        <f>IF(H408&gt;'I. Stream &amp; Compound Data'!$F$18,"",IF(O408="N/A",0,O408/'I. Stream &amp; Compound Data'!F$18))</f>
        <v/>
      </c>
      <c r="R408" s="297"/>
      <c r="S408" s="298"/>
      <c r="T408" s="298"/>
      <c r="U408" s="299"/>
      <c r="V408" s="279"/>
      <c r="W408" s="279"/>
      <c r="X408" s="279"/>
      <c r="Y408" s="279"/>
      <c r="Z408" s="279"/>
      <c r="AA408" s="279"/>
      <c r="AB408" s="279"/>
      <c r="AC408" s="279"/>
      <c r="AD408" s="279"/>
      <c r="AE408" s="279"/>
      <c r="AF408" s="279"/>
      <c r="AG408" s="279"/>
      <c r="AH408" s="279"/>
      <c r="AI408" s="279"/>
      <c r="AJ408" s="279"/>
      <c r="AK408" s="279"/>
      <c r="AL408" s="279"/>
      <c r="AM408" s="279"/>
      <c r="AN408" s="279"/>
      <c r="AO408" s="279"/>
      <c r="AP408" s="279"/>
      <c r="AQ408" s="279"/>
      <c r="AR408" s="279"/>
      <c r="AS408" s="279"/>
      <c r="AT408" s="279"/>
      <c r="AU408" s="279"/>
      <c r="AV408" s="279"/>
      <c r="AW408" s="279"/>
      <c r="AX408" s="279"/>
      <c r="AY408" s="279"/>
      <c r="AZ408" s="279"/>
      <c r="BA408" s="279"/>
      <c r="BB408" s="279"/>
      <c r="BC408" s="279"/>
      <c r="BD408" s="279"/>
      <c r="BE408" s="279"/>
      <c r="BF408" s="279"/>
      <c r="BG408" s="279"/>
      <c r="BH408" s="279"/>
      <c r="BI408" s="279"/>
      <c r="BJ408" s="279"/>
      <c r="BK408" s="279"/>
      <c r="BL408" s="279"/>
      <c r="BM408" s="279"/>
      <c r="BN408" s="279"/>
      <c r="BO408" s="279"/>
      <c r="BP408" s="279"/>
      <c r="BQ408" s="279"/>
      <c r="BR408" s="279"/>
      <c r="BS408" s="279"/>
      <c r="BT408" s="279"/>
      <c r="BU408" s="279"/>
      <c r="BV408" s="279"/>
      <c r="BW408" s="279"/>
      <c r="BX408" s="279"/>
      <c r="BY408" s="279"/>
      <c r="BZ408" s="279"/>
      <c r="CA408" s="279"/>
      <c r="CB408" s="279"/>
      <c r="CC408" s="279"/>
      <c r="CD408" s="279"/>
      <c r="CE408" s="279"/>
      <c r="CF408" s="279"/>
      <c r="CG408" s="279"/>
      <c r="CH408" s="279"/>
      <c r="CI408" s="279"/>
      <c r="CJ408" s="279"/>
      <c r="CK408" s="279"/>
      <c r="CL408" s="279"/>
      <c r="CM408" s="279"/>
      <c r="CN408" s="382"/>
    </row>
    <row r="409" ht="19.5" customHeight="true" x14ac:dyDescent="0.3">
      <c r="B409" s="361"/>
      <c r="C409" s="279"/>
      <c r="D409" s="280"/>
      <c r="E409" s="287"/>
      <c r="F409" s="287"/>
      <c r="G409" s="287"/>
      <c r="H409" s="1292">
        <f t="shared" si="16"/>
        <v>32</v>
      </c>
      <c r="I409" s="1190" t="str">
        <f>IF('I. Stream &amp; Compound Data'!AW293&lt;&gt;"",'I. Stream &amp; Compound Data'!AW293,"")</f>
        <v/>
      </c>
      <c r="J409" s="1295" t="str">
        <f>IF('I. Stream &amp; Compound Data'!AR293&lt;&gt;"",'I. Stream &amp; Compound Data'!AR293,IF('I. Stream &amp; Compound Data'!AS293&lt;&gt;"",'I. Stream &amp; Compound Data'!AS293,""))</f>
        <v/>
      </c>
      <c r="K409" s="1295" t="str">
        <f>IF('I. Stream &amp; Compound Data'!BC293&lt;&gt;"",'I. Stream &amp; Compound Data'!BC293-'I. Stream &amp; Compound Data'!F$19,"")</f>
        <v/>
      </c>
      <c r="L409" s="1306" t="str">
        <f>IF(H409&gt;'I. Stream &amp; Compound Data'!$F$18,"",IF(I409="","N/A",IF(OR(I409=3,I409=4),1,IF(I409=2,0.8,IF(I409=1,0.6,0)))))</f>
        <v/>
      </c>
      <c r="M409" s="1168" t="str">
        <f>IF(H409&gt;'I. Stream &amp; Compound Data'!$F$18,"",IF(L409="N/A",IF(J409="","N/A",IF(OR(J409=1,J409=2,J409=3,J409=6,J409=17),1,IF(OR(J409=5,J409=19,J409=44),0.8,"N/A"))),"N/A"))</f>
        <v/>
      </c>
      <c r="N409" s="1242" t="str">
        <f>IF(H409&gt;'I. Stream &amp; Compound Data'!$F$18,"",IF(AND(L409="N/A",M409="N/A"),IF(K409="","N/A",ROUND(IF(K409&lt;=0,1,IF(AND(K409&gt;0,K409&lt;200),-0.005*K409+1,0)),3)),"N/A"))</f>
        <v/>
      </c>
      <c r="O409" s="1242" t="str">
        <f>IF(H409&gt;'I. Stream &amp; Compound Data'!$F$18,"",IF(I173="","N/A",IF(L409&lt;&gt;"N/A",L409,IF(M409&lt;&gt;"N/A",M409,IF(N409&lt;&gt;"N/A",N409,"NO DATA AVAILABLE")))))</f>
        <v/>
      </c>
      <c r="P409" s="1242" t="str">
        <f>IF(H409&gt;'I. Stream &amp; Compound Data'!$F$18,"",MAX(K173:L173))</f>
        <v/>
      </c>
      <c r="Q409" s="1268" t="str">
        <f>IF(H409&gt;'I. Stream &amp; Compound Data'!$F$18,"",IF(O409="N/A",0,O409/'I. Stream &amp; Compound Data'!F$18))</f>
        <v/>
      </c>
      <c r="R409" s="297"/>
      <c r="S409" s="298"/>
      <c r="T409" s="298"/>
      <c r="U409" s="299"/>
      <c r="V409" s="279"/>
      <c r="W409" s="279"/>
      <c r="X409" s="279"/>
      <c r="Y409" s="279"/>
      <c r="Z409" s="279"/>
      <c r="AA409" s="279"/>
      <c r="AB409" s="279"/>
      <c r="AC409" s="279"/>
      <c r="AD409" s="279"/>
      <c r="AE409" s="279"/>
      <c r="AF409" s="279"/>
      <c r="AG409" s="279"/>
      <c r="AH409" s="279"/>
      <c r="AI409" s="279"/>
      <c r="AJ409" s="279"/>
      <c r="AK409" s="279"/>
      <c r="AL409" s="279"/>
      <c r="AM409" s="279"/>
      <c r="AN409" s="279"/>
      <c r="AO409" s="279"/>
      <c r="AP409" s="279"/>
      <c r="AQ409" s="279"/>
      <c r="AR409" s="279"/>
      <c r="AS409" s="279"/>
      <c r="AT409" s="279"/>
      <c r="AU409" s="279"/>
      <c r="AV409" s="279"/>
      <c r="AW409" s="279"/>
      <c r="AX409" s="279"/>
      <c r="AY409" s="279"/>
      <c r="AZ409" s="279"/>
      <c r="BA409" s="279"/>
      <c r="BB409" s="279"/>
      <c r="BC409" s="279"/>
      <c r="BD409" s="279"/>
      <c r="BE409" s="279"/>
      <c r="BF409" s="279"/>
      <c r="BG409" s="279"/>
      <c r="BH409" s="279"/>
      <c r="BI409" s="279"/>
      <c r="BJ409" s="279"/>
      <c r="BK409" s="279"/>
      <c r="BL409" s="279"/>
      <c r="BM409" s="279"/>
      <c r="BN409" s="279"/>
      <c r="BO409" s="279"/>
      <c r="BP409" s="279"/>
      <c r="BQ409" s="279"/>
      <c r="BR409" s="279"/>
      <c r="BS409" s="279"/>
      <c r="BT409" s="279"/>
      <c r="BU409" s="279"/>
      <c r="BV409" s="279"/>
      <c r="BW409" s="279"/>
      <c r="BX409" s="279"/>
      <c r="BY409" s="279"/>
      <c r="BZ409" s="279"/>
      <c r="CA409" s="279"/>
      <c r="CB409" s="279"/>
      <c r="CC409" s="279"/>
      <c r="CD409" s="279"/>
      <c r="CE409" s="279"/>
      <c r="CF409" s="279"/>
      <c r="CG409" s="279"/>
      <c r="CH409" s="279"/>
      <c r="CI409" s="279"/>
      <c r="CJ409" s="279"/>
      <c r="CK409" s="279"/>
      <c r="CL409" s="279"/>
      <c r="CM409" s="279"/>
      <c r="CN409" s="382"/>
    </row>
    <row r="410" ht="19.5" customHeight="true" x14ac:dyDescent="0.3">
      <c r="B410" s="361"/>
      <c r="C410" s="279"/>
      <c r="D410" s="280"/>
      <c r="E410" s="287"/>
      <c r="F410" s="287"/>
      <c r="G410" s="287"/>
      <c r="H410" s="1292">
        <f t="shared" si="16"/>
        <v>33</v>
      </c>
      <c r="I410" s="1190" t="str">
        <f>IF('I. Stream &amp; Compound Data'!AW294&lt;&gt;"",'I. Stream &amp; Compound Data'!AW294,"")</f>
        <v/>
      </c>
      <c r="J410" s="1295" t="str">
        <f>IF('I. Stream &amp; Compound Data'!AR294&lt;&gt;"",'I. Stream &amp; Compound Data'!AR294,IF('I. Stream &amp; Compound Data'!AS294&lt;&gt;"",'I. Stream &amp; Compound Data'!AS294,""))</f>
        <v/>
      </c>
      <c r="K410" s="1295" t="str">
        <f>IF('I. Stream &amp; Compound Data'!BC294&lt;&gt;"",'I. Stream &amp; Compound Data'!BC294-'I. Stream &amp; Compound Data'!F$19,"")</f>
        <v/>
      </c>
      <c r="L410" s="1306" t="str">
        <f>IF(H410&gt;'I. Stream &amp; Compound Data'!$F$18,"",IF(I410="","N/A",IF(OR(I410=3,I410=4),1,IF(I410=2,0.8,IF(I410=1,0.6,0)))))</f>
        <v/>
      </c>
      <c r="M410" s="1168" t="str">
        <f>IF(H410&gt;'I. Stream &amp; Compound Data'!$F$18,"",IF(L410="N/A",IF(J410="","N/A",IF(OR(J410=1,J410=2,J410=3,J410=6,J410=17),1,IF(OR(J410=5,J410=19,J410=44),0.8,"N/A"))),"N/A"))</f>
        <v/>
      </c>
      <c r="N410" s="1242" t="str">
        <f>IF(H410&gt;'I. Stream &amp; Compound Data'!$F$18,"",IF(AND(L410="N/A",M410="N/A"),IF(K410="","N/A",ROUND(IF(K410&lt;=0,1,IF(AND(K410&gt;0,K410&lt;200),-0.005*K410+1,0)),3)),"N/A"))</f>
        <v/>
      </c>
      <c r="O410" s="1242" t="str">
        <f>IF(H410&gt;'I. Stream &amp; Compound Data'!$F$18,"",IF(I174="","N/A",IF(L410&lt;&gt;"N/A",L410,IF(M410&lt;&gt;"N/A",M410,IF(N410&lt;&gt;"N/A",N410,"NO DATA AVAILABLE")))))</f>
        <v/>
      </c>
      <c r="P410" s="1242" t="str">
        <f>IF(H410&gt;'I. Stream &amp; Compound Data'!$F$18,"",MAX(K174:L174))</f>
        <v/>
      </c>
      <c r="Q410" s="1268" t="str">
        <f>IF(H410&gt;'I. Stream &amp; Compound Data'!$F$18,"",IF(O410="N/A",0,O410/'I. Stream &amp; Compound Data'!F$18))</f>
        <v/>
      </c>
      <c r="R410" s="297"/>
      <c r="S410" s="298"/>
      <c r="T410" s="298"/>
      <c r="U410" s="299"/>
      <c r="V410" s="279"/>
      <c r="W410" s="279"/>
      <c r="X410" s="279"/>
      <c r="Y410" s="279"/>
      <c r="Z410" s="279"/>
      <c r="AA410" s="279"/>
      <c r="AB410" s="279"/>
      <c r="AC410" s="279"/>
      <c r="AD410" s="279"/>
      <c r="AE410" s="279"/>
      <c r="AF410" s="279"/>
      <c r="AG410" s="279"/>
      <c r="AH410" s="279"/>
      <c r="AI410" s="279"/>
      <c r="AJ410" s="279"/>
      <c r="AK410" s="279"/>
      <c r="AL410" s="279"/>
      <c r="AM410" s="279"/>
      <c r="AN410" s="279"/>
      <c r="AO410" s="279"/>
      <c r="AP410" s="279"/>
      <c r="AQ410" s="279"/>
      <c r="AR410" s="279"/>
      <c r="AS410" s="279"/>
      <c r="AT410" s="279"/>
      <c r="AU410" s="279"/>
      <c r="AV410" s="279"/>
      <c r="AW410" s="279"/>
      <c r="AX410" s="279"/>
      <c r="AY410" s="279"/>
      <c r="AZ410" s="279"/>
      <c r="BA410" s="279"/>
      <c r="BB410" s="279"/>
      <c r="BC410" s="279"/>
      <c r="BD410" s="279"/>
      <c r="BE410" s="279"/>
      <c r="BF410" s="279"/>
      <c r="BG410" s="279"/>
      <c r="BH410" s="279"/>
      <c r="BI410" s="279"/>
      <c r="BJ410" s="279"/>
      <c r="BK410" s="279"/>
      <c r="BL410" s="279"/>
      <c r="BM410" s="279"/>
      <c r="BN410" s="279"/>
      <c r="BO410" s="279"/>
      <c r="BP410" s="279"/>
      <c r="BQ410" s="279"/>
      <c r="BR410" s="279"/>
      <c r="BS410" s="279"/>
      <c r="BT410" s="279"/>
      <c r="BU410" s="279"/>
      <c r="BV410" s="279"/>
      <c r="BW410" s="279"/>
      <c r="BX410" s="279"/>
      <c r="BY410" s="279"/>
      <c r="BZ410" s="279"/>
      <c r="CA410" s="279"/>
      <c r="CB410" s="279"/>
      <c r="CC410" s="279"/>
      <c r="CD410" s="279"/>
      <c r="CE410" s="279"/>
      <c r="CF410" s="279"/>
      <c r="CG410" s="279"/>
      <c r="CH410" s="279"/>
      <c r="CI410" s="279"/>
      <c r="CJ410" s="279"/>
      <c r="CK410" s="279"/>
      <c r="CL410" s="279"/>
      <c r="CM410" s="279"/>
      <c r="CN410" s="382"/>
    </row>
    <row r="411" ht="19.5" customHeight="true" x14ac:dyDescent="0.3">
      <c r="B411" s="361"/>
      <c r="C411" s="279"/>
      <c r="D411" s="280"/>
      <c r="E411" s="287"/>
      <c r="F411" s="287"/>
      <c r="G411" s="287"/>
      <c r="H411" s="1292">
        <f t="shared" si="16"/>
        <v>34</v>
      </c>
      <c r="I411" s="1190" t="str">
        <f>IF('I. Stream &amp; Compound Data'!AW295&lt;&gt;"",'I. Stream &amp; Compound Data'!AW295,"")</f>
        <v/>
      </c>
      <c r="J411" s="1295" t="str">
        <f>IF('I. Stream &amp; Compound Data'!AR295&lt;&gt;"",'I. Stream &amp; Compound Data'!AR295,IF('I. Stream &amp; Compound Data'!AS295&lt;&gt;"",'I. Stream &amp; Compound Data'!AS295,""))</f>
        <v/>
      </c>
      <c r="K411" s="1295" t="str">
        <f>IF('I. Stream &amp; Compound Data'!BC295&lt;&gt;"",'I. Stream &amp; Compound Data'!BC295-'I. Stream &amp; Compound Data'!F$19,"")</f>
        <v/>
      </c>
      <c r="L411" s="1306" t="str">
        <f>IF(H411&gt;'I. Stream &amp; Compound Data'!$F$18,"",IF(I411="","N/A",IF(OR(I411=3,I411=4),1,IF(I411=2,0.8,IF(I411=1,0.6,0)))))</f>
        <v/>
      </c>
      <c r="M411" s="1168" t="str">
        <f>IF(H411&gt;'I. Stream &amp; Compound Data'!$F$18,"",IF(L411="N/A",IF(J411="","N/A",IF(OR(J411=1,J411=2,J411=3,J411=6,J411=17),1,IF(OR(J411=5,J411=19,J411=44),0.8,"N/A"))),"N/A"))</f>
        <v/>
      </c>
      <c r="N411" s="1242" t="str">
        <f>IF(H411&gt;'I. Stream &amp; Compound Data'!$F$18,"",IF(AND(L411="N/A",M411="N/A"),IF(K411="","N/A",ROUND(IF(K411&lt;=0,1,IF(AND(K411&gt;0,K411&lt;200),-0.005*K411+1,0)),3)),"N/A"))</f>
        <v/>
      </c>
      <c r="O411" s="1242" t="str">
        <f>IF(H411&gt;'I. Stream &amp; Compound Data'!$F$18,"",IF(I175="","N/A",IF(L411&lt;&gt;"N/A",L411,IF(M411&lt;&gt;"N/A",M411,IF(N411&lt;&gt;"N/A",N411,"NO DATA AVAILABLE")))))</f>
        <v/>
      </c>
      <c r="P411" s="1242" t="str">
        <f>IF(H411&gt;'I. Stream &amp; Compound Data'!$F$18,"",MAX(K175:L175))</f>
        <v/>
      </c>
      <c r="Q411" s="1268" t="str">
        <f>IF(H411&gt;'I. Stream &amp; Compound Data'!$F$18,"",IF(O411="N/A",0,O411/'I. Stream &amp; Compound Data'!F$18))</f>
        <v/>
      </c>
      <c r="R411" s="297"/>
      <c r="S411" s="298"/>
      <c r="T411" s="298"/>
      <c r="U411" s="299"/>
      <c r="V411" s="279"/>
      <c r="W411" s="279"/>
      <c r="X411" s="279"/>
      <c r="Y411" s="279"/>
      <c r="Z411" s="279"/>
      <c r="AA411" s="279"/>
      <c r="AB411" s="279"/>
      <c r="AC411" s="279"/>
      <c r="AD411" s="279"/>
      <c r="AE411" s="279"/>
      <c r="AF411" s="279"/>
      <c r="AG411" s="279"/>
      <c r="AH411" s="279"/>
      <c r="AI411" s="279"/>
      <c r="AJ411" s="279"/>
      <c r="AK411" s="279"/>
      <c r="AL411" s="279"/>
      <c r="AM411" s="279"/>
      <c r="AN411" s="279"/>
      <c r="AO411" s="279"/>
      <c r="AP411" s="279"/>
      <c r="AQ411" s="279"/>
      <c r="AR411" s="279"/>
      <c r="AS411" s="279"/>
      <c r="AT411" s="279"/>
      <c r="AU411" s="279"/>
      <c r="AV411" s="279"/>
      <c r="AW411" s="279"/>
      <c r="AX411" s="279"/>
      <c r="AY411" s="279"/>
      <c r="AZ411" s="279"/>
      <c r="BA411" s="279"/>
      <c r="BB411" s="279"/>
      <c r="BC411" s="279"/>
      <c r="BD411" s="279"/>
      <c r="BE411" s="279"/>
      <c r="BF411" s="279"/>
      <c r="BG411" s="279"/>
      <c r="BH411" s="279"/>
      <c r="BI411" s="279"/>
      <c r="BJ411" s="279"/>
      <c r="BK411" s="279"/>
      <c r="BL411" s="279"/>
      <c r="BM411" s="279"/>
      <c r="BN411" s="279"/>
      <c r="BO411" s="279"/>
      <c r="BP411" s="279"/>
      <c r="BQ411" s="279"/>
      <c r="BR411" s="279"/>
      <c r="BS411" s="279"/>
      <c r="BT411" s="279"/>
      <c r="BU411" s="279"/>
      <c r="BV411" s="279"/>
      <c r="BW411" s="279"/>
      <c r="BX411" s="279"/>
      <c r="BY411" s="279"/>
      <c r="BZ411" s="279"/>
      <c r="CA411" s="279"/>
      <c r="CB411" s="279"/>
      <c r="CC411" s="279"/>
      <c r="CD411" s="279"/>
      <c r="CE411" s="279"/>
      <c r="CF411" s="279"/>
      <c r="CG411" s="279"/>
      <c r="CH411" s="279"/>
      <c r="CI411" s="279"/>
      <c r="CJ411" s="279"/>
      <c r="CK411" s="279"/>
      <c r="CL411" s="279"/>
      <c r="CM411" s="279"/>
      <c r="CN411" s="382"/>
    </row>
    <row r="412" ht="19.5" customHeight="true" x14ac:dyDescent="0.3">
      <c r="B412" s="361"/>
      <c r="C412" s="279"/>
      <c r="D412" s="280"/>
      <c r="E412" s="287"/>
      <c r="F412" s="287"/>
      <c r="G412" s="287"/>
      <c r="H412" s="1292">
        <f t="shared" si="16"/>
        <v>35</v>
      </c>
      <c r="I412" s="1190" t="str">
        <f>IF('I. Stream &amp; Compound Data'!AW296&lt;&gt;"",'I. Stream &amp; Compound Data'!AW296,"")</f>
        <v/>
      </c>
      <c r="J412" s="1295" t="str">
        <f>IF('I. Stream &amp; Compound Data'!AR296&lt;&gt;"",'I. Stream &amp; Compound Data'!AR296,IF('I. Stream &amp; Compound Data'!AS296&lt;&gt;"",'I. Stream &amp; Compound Data'!AS296,""))</f>
        <v/>
      </c>
      <c r="K412" s="1295" t="str">
        <f>IF('I. Stream &amp; Compound Data'!BC296&lt;&gt;"",'I. Stream &amp; Compound Data'!BC296-'I. Stream &amp; Compound Data'!F$19,"")</f>
        <v/>
      </c>
      <c r="L412" s="1306" t="str">
        <f>IF(H412&gt;'I. Stream &amp; Compound Data'!$F$18,"",IF(I412="","N/A",IF(OR(I412=3,I412=4),1,IF(I412=2,0.8,IF(I412=1,0.6,0)))))</f>
        <v/>
      </c>
      <c r="M412" s="1168" t="str">
        <f>IF(H412&gt;'I. Stream &amp; Compound Data'!$F$18,"",IF(L412="N/A",IF(J412="","N/A",IF(OR(J412=1,J412=2,J412=3,J412=6,J412=17),1,IF(OR(J412=5,J412=19,J412=44),0.8,"N/A"))),"N/A"))</f>
        <v/>
      </c>
      <c r="N412" s="1242" t="str">
        <f>IF(H412&gt;'I. Stream &amp; Compound Data'!$F$18,"",IF(AND(L412="N/A",M412="N/A"),IF(K412="","N/A",ROUND(IF(K412&lt;=0,1,IF(AND(K412&gt;0,K412&lt;200),-0.005*K412+1,0)),3)),"N/A"))</f>
        <v/>
      </c>
      <c r="O412" s="1242" t="str">
        <f>IF(H412&gt;'I. Stream &amp; Compound Data'!$F$18,"",IF(I176="","N/A",IF(L412&lt;&gt;"N/A",L412,IF(M412&lt;&gt;"N/A",M412,IF(N412&lt;&gt;"N/A",N412,"NO DATA AVAILABLE")))))</f>
        <v/>
      </c>
      <c r="P412" s="1242" t="str">
        <f>IF(H412&gt;'I. Stream &amp; Compound Data'!$F$18,"",MAX(K176:L176))</f>
        <v/>
      </c>
      <c r="Q412" s="1268" t="str">
        <f>IF(H412&gt;'I. Stream &amp; Compound Data'!$F$18,"",IF(O412="N/A",0,O412/'I. Stream &amp; Compound Data'!F$18))</f>
        <v/>
      </c>
      <c r="R412" s="297"/>
      <c r="S412" s="298"/>
      <c r="T412" s="298"/>
      <c r="U412" s="299"/>
      <c r="V412" s="279"/>
      <c r="W412" s="279"/>
      <c r="X412" s="279"/>
      <c r="Y412" s="279"/>
      <c r="Z412" s="279"/>
      <c r="AA412" s="279"/>
      <c r="AB412" s="279"/>
      <c r="AC412" s="279"/>
      <c r="AD412" s="279"/>
      <c r="AE412" s="279"/>
      <c r="AF412" s="279"/>
      <c r="AG412" s="279"/>
      <c r="AH412" s="279"/>
      <c r="AI412" s="279"/>
      <c r="AJ412" s="279"/>
      <c r="AK412" s="279"/>
      <c r="AL412" s="279"/>
      <c r="AM412" s="279"/>
      <c r="AN412" s="279"/>
      <c r="AO412" s="279"/>
      <c r="AP412" s="279"/>
      <c r="AQ412" s="279"/>
      <c r="AR412" s="279"/>
      <c r="AS412" s="279"/>
      <c r="AT412" s="279"/>
      <c r="AU412" s="279"/>
      <c r="AV412" s="279"/>
      <c r="AW412" s="279"/>
      <c r="AX412" s="279"/>
      <c r="AY412" s="279"/>
      <c r="AZ412" s="279"/>
      <c r="BA412" s="279"/>
      <c r="BB412" s="279"/>
      <c r="BC412" s="279"/>
      <c r="BD412" s="279"/>
      <c r="BE412" s="279"/>
      <c r="BF412" s="279"/>
      <c r="BG412" s="279"/>
      <c r="BH412" s="279"/>
      <c r="BI412" s="279"/>
      <c r="BJ412" s="279"/>
      <c r="BK412" s="279"/>
      <c r="BL412" s="279"/>
      <c r="BM412" s="279"/>
      <c r="BN412" s="279"/>
      <c r="BO412" s="279"/>
      <c r="BP412" s="279"/>
      <c r="BQ412" s="279"/>
      <c r="BR412" s="279"/>
      <c r="BS412" s="279"/>
      <c r="BT412" s="279"/>
      <c r="BU412" s="279"/>
      <c r="BV412" s="279"/>
      <c r="BW412" s="279"/>
      <c r="BX412" s="279"/>
      <c r="BY412" s="279"/>
      <c r="BZ412" s="279"/>
      <c r="CA412" s="279"/>
      <c r="CB412" s="279"/>
      <c r="CC412" s="279"/>
      <c r="CD412" s="279"/>
      <c r="CE412" s="279"/>
      <c r="CF412" s="279"/>
      <c r="CG412" s="279"/>
      <c r="CH412" s="279"/>
      <c r="CI412" s="279"/>
      <c r="CJ412" s="279"/>
      <c r="CK412" s="279"/>
      <c r="CL412" s="279"/>
      <c r="CM412" s="279"/>
      <c r="CN412" s="382"/>
    </row>
    <row r="413" ht="19.5" customHeight="true" x14ac:dyDescent="0.3">
      <c r="B413" s="361"/>
      <c r="C413" s="279"/>
      <c r="D413" s="280"/>
      <c r="E413" s="287"/>
      <c r="F413" s="287"/>
      <c r="G413" s="287"/>
      <c r="H413" s="1292">
        <f t="shared" si="16"/>
        <v>36</v>
      </c>
      <c r="I413" s="1190" t="str">
        <f>IF('I. Stream &amp; Compound Data'!AW297&lt;&gt;"",'I. Stream &amp; Compound Data'!AW297,"")</f>
        <v/>
      </c>
      <c r="J413" s="1295" t="str">
        <f>IF('I. Stream &amp; Compound Data'!AR297&lt;&gt;"",'I. Stream &amp; Compound Data'!AR297,IF('I. Stream &amp; Compound Data'!AS297&lt;&gt;"",'I. Stream &amp; Compound Data'!AS297,""))</f>
        <v/>
      </c>
      <c r="K413" s="1295" t="str">
        <f>IF('I. Stream &amp; Compound Data'!BC297&lt;&gt;"",'I. Stream &amp; Compound Data'!BC297-'I. Stream &amp; Compound Data'!F$19,"")</f>
        <v/>
      </c>
      <c r="L413" s="1306" t="str">
        <f>IF(H413&gt;'I. Stream &amp; Compound Data'!$F$18,"",IF(I413="","N/A",IF(OR(I413=3,I413=4),1,IF(I413=2,0.8,IF(I413=1,0.6,0)))))</f>
        <v/>
      </c>
      <c r="M413" s="1168" t="str">
        <f>IF(H413&gt;'I. Stream &amp; Compound Data'!$F$18,"",IF(L413="N/A",IF(J413="","N/A",IF(OR(J413=1,J413=2,J413=3,J413=6,J413=17),1,IF(OR(J413=5,J413=19,J413=44),0.8,"N/A"))),"N/A"))</f>
        <v/>
      </c>
      <c r="N413" s="1242" t="str">
        <f>IF(H413&gt;'I. Stream &amp; Compound Data'!$F$18,"",IF(AND(L413="N/A",M413="N/A"),IF(K413="","N/A",ROUND(IF(K413&lt;=0,1,IF(AND(K413&gt;0,K413&lt;200),-0.005*K413+1,0)),3)),"N/A"))</f>
        <v/>
      </c>
      <c r="O413" s="1242" t="str">
        <f>IF(H413&gt;'I. Stream &amp; Compound Data'!$F$18,"",IF(I177="","N/A",IF(L413&lt;&gt;"N/A",L413,IF(M413&lt;&gt;"N/A",M413,IF(N413&lt;&gt;"N/A",N413,"NO DATA AVAILABLE")))))</f>
        <v/>
      </c>
      <c r="P413" s="1242" t="str">
        <f>IF(H413&gt;'I. Stream &amp; Compound Data'!$F$18,"",MAX(K177:L177))</f>
        <v/>
      </c>
      <c r="Q413" s="1268" t="str">
        <f>IF(H413&gt;'I. Stream &amp; Compound Data'!$F$18,"",IF(O413="N/A",0,O413/'I. Stream &amp; Compound Data'!F$18))</f>
        <v/>
      </c>
      <c r="R413" s="297"/>
      <c r="S413" s="298"/>
      <c r="T413" s="298"/>
      <c r="U413" s="299"/>
      <c r="V413" s="279"/>
      <c r="W413" s="279"/>
      <c r="X413" s="279"/>
      <c r="Y413" s="279"/>
      <c r="Z413" s="279"/>
      <c r="AA413" s="279"/>
      <c r="AB413" s="279"/>
      <c r="AC413" s="279"/>
      <c r="AD413" s="279"/>
      <c r="AE413" s="279"/>
      <c r="AF413" s="279"/>
      <c r="AG413" s="279"/>
      <c r="AH413" s="279"/>
      <c r="AI413" s="279"/>
      <c r="AJ413" s="279"/>
      <c r="AK413" s="279"/>
      <c r="AL413" s="279"/>
      <c r="AM413" s="279"/>
      <c r="AN413" s="279"/>
      <c r="AO413" s="279"/>
      <c r="AP413" s="279"/>
      <c r="AQ413" s="279"/>
      <c r="AR413" s="279"/>
      <c r="AS413" s="279"/>
      <c r="AT413" s="279"/>
      <c r="AU413" s="279"/>
      <c r="AV413" s="279"/>
      <c r="AW413" s="279"/>
      <c r="AX413" s="279"/>
      <c r="AY413" s="279"/>
      <c r="AZ413" s="279"/>
      <c r="BA413" s="279"/>
      <c r="BB413" s="279"/>
      <c r="BC413" s="279"/>
      <c r="BD413" s="279"/>
      <c r="BE413" s="279"/>
      <c r="BF413" s="279"/>
      <c r="BG413" s="279"/>
      <c r="BH413" s="279"/>
      <c r="BI413" s="279"/>
      <c r="BJ413" s="279"/>
      <c r="BK413" s="279"/>
      <c r="BL413" s="279"/>
      <c r="BM413" s="279"/>
      <c r="BN413" s="279"/>
      <c r="BO413" s="279"/>
      <c r="BP413" s="279"/>
      <c r="BQ413" s="279"/>
      <c r="BR413" s="279"/>
      <c r="BS413" s="279"/>
      <c r="BT413" s="279"/>
      <c r="BU413" s="279"/>
      <c r="BV413" s="279"/>
      <c r="BW413" s="279"/>
      <c r="BX413" s="279"/>
      <c r="BY413" s="279"/>
      <c r="BZ413" s="279"/>
      <c r="CA413" s="279"/>
      <c r="CB413" s="279"/>
      <c r="CC413" s="279"/>
      <c r="CD413" s="279"/>
      <c r="CE413" s="279"/>
      <c r="CF413" s="279"/>
      <c r="CG413" s="279"/>
      <c r="CH413" s="279"/>
      <c r="CI413" s="279"/>
      <c r="CJ413" s="279"/>
      <c r="CK413" s="279"/>
      <c r="CL413" s="279"/>
      <c r="CM413" s="279"/>
      <c r="CN413" s="382"/>
    </row>
    <row r="414" ht="19.5" customHeight="true" x14ac:dyDescent="0.3">
      <c r="B414" s="361"/>
      <c r="C414" s="279"/>
      <c r="D414" s="280"/>
      <c r="E414" s="287"/>
      <c r="F414" s="287"/>
      <c r="G414" s="287"/>
      <c r="H414" s="1292">
        <f t="shared" si="16"/>
        <v>37</v>
      </c>
      <c r="I414" s="1190" t="str">
        <f>IF('I. Stream &amp; Compound Data'!AW298&lt;&gt;"",'I. Stream &amp; Compound Data'!AW298,"")</f>
        <v/>
      </c>
      <c r="J414" s="1295" t="str">
        <f>IF('I. Stream &amp; Compound Data'!AR298&lt;&gt;"",'I. Stream &amp; Compound Data'!AR298,IF('I. Stream &amp; Compound Data'!AS298&lt;&gt;"",'I. Stream &amp; Compound Data'!AS298,""))</f>
        <v/>
      </c>
      <c r="K414" s="1295" t="str">
        <f>IF('I. Stream &amp; Compound Data'!BC298&lt;&gt;"",'I. Stream &amp; Compound Data'!BC298-'I. Stream &amp; Compound Data'!F$19,"")</f>
        <v/>
      </c>
      <c r="L414" s="1306" t="str">
        <f>IF(H414&gt;'I. Stream &amp; Compound Data'!$F$18,"",IF(I414="","N/A",IF(OR(I414=3,I414=4),1,IF(I414=2,0.8,IF(I414=1,0.6,0)))))</f>
        <v/>
      </c>
      <c r="M414" s="1168" t="str">
        <f>IF(H414&gt;'I. Stream &amp; Compound Data'!$F$18,"",IF(L414="N/A",IF(J414="","N/A",IF(OR(J414=1,J414=2,J414=3,J414=6,J414=17),1,IF(OR(J414=5,J414=19,J414=44),0.8,"N/A"))),"N/A"))</f>
        <v/>
      </c>
      <c r="N414" s="1242" t="str">
        <f>IF(H414&gt;'I. Stream &amp; Compound Data'!$F$18,"",IF(AND(L414="N/A",M414="N/A"),IF(K414="","N/A",ROUND(IF(K414&lt;=0,1,IF(AND(K414&gt;0,K414&lt;200),-0.005*K414+1,0)),3)),"N/A"))</f>
        <v/>
      </c>
      <c r="O414" s="1242" t="str">
        <f>IF(H414&gt;'I. Stream &amp; Compound Data'!$F$18,"",IF(I178="","N/A",IF(L414&lt;&gt;"N/A",L414,IF(M414&lt;&gt;"N/A",M414,IF(N414&lt;&gt;"N/A",N414,"NO DATA AVAILABLE")))))</f>
        <v/>
      </c>
      <c r="P414" s="1242" t="str">
        <f>IF(H414&gt;'I. Stream &amp; Compound Data'!$F$18,"",MAX(K178:L178))</f>
        <v/>
      </c>
      <c r="Q414" s="1268" t="str">
        <f>IF(H414&gt;'I. Stream &amp; Compound Data'!$F$18,"",IF(O414="N/A",0,O414/'I. Stream &amp; Compound Data'!F$18))</f>
        <v/>
      </c>
      <c r="R414" s="297"/>
      <c r="S414" s="298"/>
      <c r="T414" s="298"/>
      <c r="U414" s="299"/>
      <c r="V414" s="279"/>
      <c r="W414" s="279"/>
      <c r="X414" s="279"/>
      <c r="Y414" s="279"/>
      <c r="Z414" s="279"/>
      <c r="AA414" s="279"/>
      <c r="AB414" s="279"/>
      <c r="AC414" s="279"/>
      <c r="AD414" s="279"/>
      <c r="AE414" s="279"/>
      <c r="AF414" s="279"/>
      <c r="AG414" s="279"/>
      <c r="AH414" s="279"/>
      <c r="AI414" s="279"/>
      <c r="AJ414" s="279"/>
      <c r="AK414" s="279"/>
      <c r="AL414" s="279"/>
      <c r="AM414" s="279"/>
      <c r="AN414" s="279"/>
      <c r="AO414" s="279"/>
      <c r="AP414" s="279"/>
      <c r="AQ414" s="279"/>
      <c r="AR414" s="279"/>
      <c r="AS414" s="279"/>
      <c r="AT414" s="279"/>
      <c r="AU414" s="279"/>
      <c r="AV414" s="279"/>
      <c r="AW414" s="279"/>
      <c r="AX414" s="279"/>
      <c r="AY414" s="279"/>
      <c r="AZ414" s="279"/>
      <c r="BA414" s="279"/>
      <c r="BB414" s="279"/>
      <c r="BC414" s="279"/>
      <c r="BD414" s="279"/>
      <c r="BE414" s="279"/>
      <c r="BF414" s="279"/>
      <c r="BG414" s="279"/>
      <c r="BH414" s="279"/>
      <c r="BI414" s="279"/>
      <c r="BJ414" s="279"/>
      <c r="BK414" s="279"/>
      <c r="BL414" s="279"/>
      <c r="BM414" s="279"/>
      <c r="BN414" s="279"/>
      <c r="BO414" s="279"/>
      <c r="BP414" s="279"/>
      <c r="BQ414" s="279"/>
      <c r="BR414" s="279"/>
      <c r="BS414" s="279"/>
      <c r="BT414" s="279"/>
      <c r="BU414" s="279"/>
      <c r="BV414" s="279"/>
      <c r="BW414" s="279"/>
      <c r="BX414" s="279"/>
      <c r="BY414" s="279"/>
      <c r="BZ414" s="279"/>
      <c r="CA414" s="279"/>
      <c r="CB414" s="279"/>
      <c r="CC414" s="279"/>
      <c r="CD414" s="279"/>
      <c r="CE414" s="279"/>
      <c r="CF414" s="279"/>
      <c r="CG414" s="279"/>
      <c r="CH414" s="279"/>
      <c r="CI414" s="279"/>
      <c r="CJ414" s="279"/>
      <c r="CK414" s="279"/>
      <c r="CL414" s="279"/>
      <c r="CM414" s="279"/>
      <c r="CN414" s="382"/>
    </row>
    <row r="415" ht="19.5" customHeight="true" x14ac:dyDescent="0.3">
      <c r="B415" s="361"/>
      <c r="C415" s="279"/>
      <c r="D415" s="280"/>
      <c r="E415" s="287"/>
      <c r="F415" s="287"/>
      <c r="G415" s="287"/>
      <c r="H415" s="1292">
        <f t="shared" si="16"/>
        <v>38</v>
      </c>
      <c r="I415" s="1190" t="str">
        <f>IF('I. Stream &amp; Compound Data'!AW299&lt;&gt;"",'I. Stream &amp; Compound Data'!AW299,"")</f>
        <v/>
      </c>
      <c r="J415" s="1295" t="str">
        <f>IF('I. Stream &amp; Compound Data'!AR299&lt;&gt;"",'I. Stream &amp; Compound Data'!AR299,IF('I. Stream &amp; Compound Data'!AS299&lt;&gt;"",'I. Stream &amp; Compound Data'!AS299,""))</f>
        <v/>
      </c>
      <c r="K415" s="1295" t="str">
        <f>IF('I. Stream &amp; Compound Data'!BC299&lt;&gt;"",'I. Stream &amp; Compound Data'!BC299-'I. Stream &amp; Compound Data'!F$19,"")</f>
        <v/>
      </c>
      <c r="L415" s="1306" t="str">
        <f>IF(H415&gt;'I. Stream &amp; Compound Data'!$F$18,"",IF(I415="","N/A",IF(OR(I415=3,I415=4),1,IF(I415=2,0.8,IF(I415=1,0.6,0)))))</f>
        <v/>
      </c>
      <c r="M415" s="1168" t="str">
        <f>IF(H415&gt;'I. Stream &amp; Compound Data'!$F$18,"",IF(L415="N/A",IF(J415="","N/A",IF(OR(J415=1,J415=2,J415=3,J415=6,J415=17),1,IF(OR(J415=5,J415=19,J415=44),0.8,"N/A"))),"N/A"))</f>
        <v/>
      </c>
      <c r="N415" s="1242" t="str">
        <f>IF(H415&gt;'I. Stream &amp; Compound Data'!$F$18,"",IF(AND(L415="N/A",M415="N/A"),IF(K415="","N/A",ROUND(IF(K415&lt;=0,1,IF(AND(K415&gt;0,K415&lt;200),-0.005*K415+1,0)),3)),"N/A"))</f>
        <v/>
      </c>
      <c r="O415" s="1242" t="str">
        <f>IF(H415&gt;'I. Stream &amp; Compound Data'!$F$18,"",IF(I179="","N/A",IF(L415&lt;&gt;"N/A",L415,IF(M415&lt;&gt;"N/A",M415,IF(N415&lt;&gt;"N/A",N415,"NO DATA AVAILABLE")))))</f>
        <v/>
      </c>
      <c r="P415" s="1242" t="str">
        <f>IF(H415&gt;'I. Stream &amp; Compound Data'!$F$18,"",MAX(K179:L179))</f>
        <v/>
      </c>
      <c r="Q415" s="1268" t="str">
        <f>IF(H415&gt;'I. Stream &amp; Compound Data'!$F$18,"",IF(O415="N/A",0,O415/'I. Stream &amp; Compound Data'!F$18))</f>
        <v/>
      </c>
      <c r="R415" s="297"/>
      <c r="S415" s="298"/>
      <c r="T415" s="298"/>
      <c r="U415" s="299"/>
      <c r="V415" s="279"/>
      <c r="W415" s="279"/>
      <c r="X415" s="279"/>
      <c r="Y415" s="279"/>
      <c r="Z415" s="279"/>
      <c r="AA415" s="279"/>
      <c r="AB415" s="279"/>
      <c r="AC415" s="279"/>
      <c r="AD415" s="279"/>
      <c r="AE415" s="279"/>
      <c r="AF415" s="279"/>
      <c r="AG415" s="279"/>
      <c r="AH415" s="279"/>
      <c r="AI415" s="279"/>
      <c r="AJ415" s="279"/>
      <c r="AK415" s="279"/>
      <c r="AL415" s="279"/>
      <c r="AM415" s="279"/>
      <c r="AN415" s="279"/>
      <c r="AO415" s="279"/>
      <c r="AP415" s="279"/>
      <c r="AQ415" s="279"/>
      <c r="AR415" s="279"/>
      <c r="AS415" s="279"/>
      <c r="AT415" s="279"/>
      <c r="AU415" s="279"/>
      <c r="AV415" s="279"/>
      <c r="AW415" s="279"/>
      <c r="AX415" s="279"/>
      <c r="AY415" s="279"/>
      <c r="AZ415" s="279"/>
      <c r="BA415" s="279"/>
      <c r="BB415" s="279"/>
      <c r="BC415" s="279"/>
      <c r="BD415" s="279"/>
      <c r="BE415" s="279"/>
      <c r="BF415" s="279"/>
      <c r="BG415" s="279"/>
      <c r="BH415" s="279"/>
      <c r="BI415" s="279"/>
      <c r="BJ415" s="279"/>
      <c r="BK415" s="279"/>
      <c r="BL415" s="279"/>
      <c r="BM415" s="279"/>
      <c r="BN415" s="279"/>
      <c r="BO415" s="279"/>
      <c r="BP415" s="279"/>
      <c r="BQ415" s="279"/>
      <c r="BR415" s="279"/>
      <c r="BS415" s="279"/>
      <c r="BT415" s="279"/>
      <c r="BU415" s="279"/>
      <c r="BV415" s="279"/>
      <c r="BW415" s="279"/>
      <c r="BX415" s="279"/>
      <c r="BY415" s="279"/>
      <c r="BZ415" s="279"/>
      <c r="CA415" s="279"/>
      <c r="CB415" s="279"/>
      <c r="CC415" s="279"/>
      <c r="CD415" s="279"/>
      <c r="CE415" s="279"/>
      <c r="CF415" s="279"/>
      <c r="CG415" s="279"/>
      <c r="CH415" s="279"/>
      <c r="CI415" s="279"/>
      <c r="CJ415" s="279"/>
      <c r="CK415" s="279"/>
      <c r="CL415" s="279"/>
      <c r="CM415" s="279"/>
      <c r="CN415" s="382"/>
    </row>
    <row r="416" ht="19.5" customHeight="true" x14ac:dyDescent="0.3">
      <c r="B416" s="361"/>
      <c r="C416" s="279"/>
      <c r="D416" s="280"/>
      <c r="E416" s="287"/>
      <c r="F416" s="287"/>
      <c r="G416" s="287"/>
      <c r="H416" s="1292">
        <f t="shared" si="16"/>
        <v>39</v>
      </c>
      <c r="I416" s="1190" t="str">
        <f>IF('I. Stream &amp; Compound Data'!AW300&lt;&gt;"",'I. Stream &amp; Compound Data'!AW300,"")</f>
        <v/>
      </c>
      <c r="J416" s="1295" t="str">
        <f>IF('I. Stream &amp; Compound Data'!AR300&lt;&gt;"",'I. Stream &amp; Compound Data'!AR300,IF('I. Stream &amp; Compound Data'!AS300&lt;&gt;"",'I. Stream &amp; Compound Data'!AS300,""))</f>
        <v/>
      </c>
      <c r="K416" s="1295" t="str">
        <f>IF('I. Stream &amp; Compound Data'!BC300&lt;&gt;"",'I. Stream &amp; Compound Data'!BC300-'I. Stream &amp; Compound Data'!F$19,"")</f>
        <v/>
      </c>
      <c r="L416" s="1306" t="str">
        <f>IF(H416&gt;'I. Stream &amp; Compound Data'!$F$18,"",IF(I416="","N/A",IF(OR(I416=3,I416=4),1,IF(I416=2,0.8,IF(I416=1,0.6,0)))))</f>
        <v/>
      </c>
      <c r="M416" s="1168" t="str">
        <f>IF(H416&gt;'I. Stream &amp; Compound Data'!$F$18,"",IF(L416="N/A",IF(J416="","N/A",IF(OR(J416=1,J416=2,J416=3,J416=6,J416=17),1,IF(OR(J416=5,J416=19,J416=44),0.8,"N/A"))),"N/A"))</f>
        <v/>
      </c>
      <c r="N416" s="1242" t="str">
        <f>IF(H416&gt;'I. Stream &amp; Compound Data'!$F$18,"",IF(AND(L416="N/A",M416="N/A"),IF(K416="","N/A",ROUND(IF(K416&lt;=0,1,IF(AND(K416&gt;0,K416&lt;200),-0.005*K416+1,0)),3)),"N/A"))</f>
        <v/>
      </c>
      <c r="O416" s="1242" t="str">
        <f>IF(H416&gt;'I. Stream &amp; Compound Data'!$F$18,"",IF(I180="","N/A",IF(L416&lt;&gt;"N/A",L416,IF(M416&lt;&gt;"N/A",M416,IF(N416&lt;&gt;"N/A",N416,"NO DATA AVAILABLE")))))</f>
        <v/>
      </c>
      <c r="P416" s="1242" t="str">
        <f>IF(H416&gt;'I. Stream &amp; Compound Data'!$F$18,"",MAX(K180:L180))</f>
        <v/>
      </c>
      <c r="Q416" s="1268" t="str">
        <f>IF(H416&gt;'I. Stream &amp; Compound Data'!$F$18,"",IF(O416="N/A",0,O416/'I. Stream &amp; Compound Data'!F$18))</f>
        <v/>
      </c>
      <c r="R416" s="297"/>
      <c r="S416" s="298"/>
      <c r="T416" s="298"/>
      <c r="U416" s="299"/>
      <c r="V416" s="279"/>
      <c r="W416" s="279"/>
      <c r="X416" s="279"/>
      <c r="Y416" s="279"/>
      <c r="Z416" s="279"/>
      <c r="AA416" s="279"/>
      <c r="AB416" s="279"/>
      <c r="AC416" s="279"/>
      <c r="AD416" s="279"/>
      <c r="AE416" s="279"/>
      <c r="AF416" s="279"/>
      <c r="AG416" s="279"/>
      <c r="AH416" s="279"/>
      <c r="AI416" s="279"/>
      <c r="AJ416" s="279"/>
      <c r="AK416" s="279"/>
      <c r="AL416" s="279"/>
      <c r="AM416" s="279"/>
      <c r="AN416" s="279"/>
      <c r="AO416" s="279"/>
      <c r="AP416" s="279"/>
      <c r="AQ416" s="279"/>
      <c r="AR416" s="279"/>
      <c r="AS416" s="279"/>
      <c r="AT416" s="279"/>
      <c r="AU416" s="279"/>
      <c r="AV416" s="279"/>
      <c r="AW416" s="279"/>
      <c r="AX416" s="279"/>
      <c r="AY416" s="279"/>
      <c r="AZ416" s="279"/>
      <c r="BA416" s="279"/>
      <c r="BB416" s="279"/>
      <c r="BC416" s="279"/>
      <c r="BD416" s="279"/>
      <c r="BE416" s="279"/>
      <c r="BF416" s="279"/>
      <c r="BG416" s="279"/>
      <c r="BH416" s="279"/>
      <c r="BI416" s="279"/>
      <c r="BJ416" s="279"/>
      <c r="BK416" s="279"/>
      <c r="BL416" s="279"/>
      <c r="BM416" s="279"/>
      <c r="BN416" s="279"/>
      <c r="BO416" s="279"/>
      <c r="BP416" s="279"/>
      <c r="BQ416" s="279"/>
      <c r="BR416" s="279"/>
      <c r="BS416" s="279"/>
      <c r="BT416" s="279"/>
      <c r="BU416" s="279"/>
      <c r="BV416" s="279"/>
      <c r="BW416" s="279"/>
      <c r="BX416" s="279"/>
      <c r="BY416" s="279"/>
      <c r="BZ416" s="279"/>
      <c r="CA416" s="279"/>
      <c r="CB416" s="279"/>
      <c r="CC416" s="279"/>
      <c r="CD416" s="279"/>
      <c r="CE416" s="279"/>
      <c r="CF416" s="279"/>
      <c r="CG416" s="279"/>
      <c r="CH416" s="279"/>
      <c r="CI416" s="279"/>
      <c r="CJ416" s="279"/>
      <c r="CK416" s="279"/>
      <c r="CL416" s="279"/>
      <c r="CM416" s="279"/>
      <c r="CN416" s="382"/>
    </row>
    <row r="417" ht="19.5" customHeight="true" x14ac:dyDescent="0.3">
      <c r="B417" s="361"/>
      <c r="C417" s="279"/>
      <c r="D417" s="280"/>
      <c r="E417" s="287"/>
      <c r="F417" s="287"/>
      <c r="G417" s="287"/>
      <c r="H417" s="1292">
        <f t="shared" si="16"/>
        <v>40</v>
      </c>
      <c r="I417" s="1190" t="str">
        <f>IF('I. Stream &amp; Compound Data'!AW301&lt;&gt;"",'I. Stream &amp; Compound Data'!AW301,"")</f>
        <v/>
      </c>
      <c r="J417" s="1295" t="str">
        <f>IF('I. Stream &amp; Compound Data'!AR301&lt;&gt;"",'I. Stream &amp; Compound Data'!AR301,IF('I. Stream &amp; Compound Data'!AS301&lt;&gt;"",'I. Stream &amp; Compound Data'!AS301,""))</f>
        <v/>
      </c>
      <c r="K417" s="1295" t="str">
        <f>IF('I. Stream &amp; Compound Data'!BC301&lt;&gt;"",'I. Stream &amp; Compound Data'!BC301-'I. Stream &amp; Compound Data'!F$19,"")</f>
        <v/>
      </c>
      <c r="L417" s="1306" t="str">
        <f>IF(H417&gt;'I. Stream &amp; Compound Data'!$F$18,"",IF(I417="","N/A",IF(OR(I417=3,I417=4),1,IF(I417=2,0.8,IF(I417=1,0.6,0)))))</f>
        <v/>
      </c>
      <c r="M417" s="1168" t="str">
        <f>IF(H417&gt;'I. Stream &amp; Compound Data'!$F$18,"",IF(L417="N/A",IF(J417="","N/A",IF(OR(J417=1,J417=2,J417=3,J417=6,J417=17),1,IF(OR(J417=5,J417=19,J417=44),0.8,"N/A"))),"N/A"))</f>
        <v/>
      </c>
      <c r="N417" s="1242" t="str">
        <f>IF(H417&gt;'I. Stream &amp; Compound Data'!$F$18,"",IF(AND(L417="N/A",M417="N/A"),IF(K417="","N/A",ROUND(IF(K417&lt;=0,1,IF(AND(K417&gt;0,K417&lt;200),-0.005*K417+1,0)),3)),"N/A"))</f>
        <v/>
      </c>
      <c r="O417" s="1242" t="str">
        <f>IF(H417&gt;'I. Stream &amp; Compound Data'!$F$18,"",IF(I181="","N/A",IF(L417&lt;&gt;"N/A",L417,IF(M417&lt;&gt;"N/A",M417,IF(N417&lt;&gt;"N/A",N417,"NO DATA AVAILABLE")))))</f>
        <v/>
      </c>
      <c r="P417" s="1242" t="str">
        <f>IF(H417&gt;'I. Stream &amp; Compound Data'!$F$18,"",MAX(K181:L181))</f>
        <v/>
      </c>
      <c r="Q417" s="1268" t="str">
        <f>IF(H417&gt;'I. Stream &amp; Compound Data'!$F$18,"",IF(O417="N/A",0,O417/'I. Stream &amp; Compound Data'!F$18))</f>
        <v/>
      </c>
      <c r="R417" s="297"/>
      <c r="S417" s="298"/>
      <c r="T417" s="298"/>
      <c r="U417" s="299"/>
      <c r="V417" s="279"/>
      <c r="W417" s="279"/>
      <c r="X417" s="279"/>
      <c r="Y417" s="279"/>
      <c r="Z417" s="279"/>
      <c r="AA417" s="279"/>
      <c r="AB417" s="279"/>
      <c r="AC417" s="279"/>
      <c r="AD417" s="279"/>
      <c r="AE417" s="279"/>
      <c r="AF417" s="279"/>
      <c r="AG417" s="279"/>
      <c r="AH417" s="279"/>
      <c r="AI417" s="279"/>
      <c r="AJ417" s="279"/>
      <c r="AK417" s="279"/>
      <c r="AL417" s="279"/>
      <c r="AM417" s="279"/>
      <c r="AN417" s="279"/>
      <c r="AO417" s="279"/>
      <c r="AP417" s="279"/>
      <c r="AQ417" s="279"/>
      <c r="AR417" s="279"/>
      <c r="AS417" s="279"/>
      <c r="AT417" s="279"/>
      <c r="AU417" s="279"/>
      <c r="AV417" s="279"/>
      <c r="AW417" s="279"/>
      <c r="AX417" s="279"/>
      <c r="AY417" s="279"/>
      <c r="AZ417" s="279"/>
      <c r="BA417" s="279"/>
      <c r="BB417" s="279"/>
      <c r="BC417" s="279"/>
      <c r="BD417" s="279"/>
      <c r="BE417" s="279"/>
      <c r="BF417" s="279"/>
      <c r="BG417" s="279"/>
      <c r="BH417" s="279"/>
      <c r="BI417" s="279"/>
      <c r="BJ417" s="279"/>
      <c r="BK417" s="279"/>
      <c r="BL417" s="279"/>
      <c r="BM417" s="279"/>
      <c r="BN417" s="279"/>
      <c r="BO417" s="279"/>
      <c r="BP417" s="279"/>
      <c r="BQ417" s="279"/>
      <c r="BR417" s="279"/>
      <c r="BS417" s="279"/>
      <c r="BT417" s="279"/>
      <c r="BU417" s="279"/>
      <c r="BV417" s="279"/>
      <c r="BW417" s="279"/>
      <c r="BX417" s="279"/>
      <c r="BY417" s="279"/>
      <c r="BZ417" s="279"/>
      <c r="CA417" s="279"/>
      <c r="CB417" s="279"/>
      <c r="CC417" s="279"/>
      <c r="CD417" s="279"/>
      <c r="CE417" s="279"/>
      <c r="CF417" s="279"/>
      <c r="CG417" s="279"/>
      <c r="CH417" s="279"/>
      <c r="CI417" s="279"/>
      <c r="CJ417" s="279"/>
      <c r="CK417" s="279"/>
      <c r="CL417" s="279"/>
      <c r="CM417" s="279"/>
      <c r="CN417" s="382"/>
    </row>
    <row r="418" ht="19.5" customHeight="true" x14ac:dyDescent="0.3">
      <c r="B418" s="361"/>
      <c r="C418" s="279"/>
      <c r="D418" s="280"/>
      <c r="E418" s="287"/>
      <c r="F418" s="287"/>
      <c r="G418" s="287"/>
      <c r="H418" s="1292">
        <f t="shared" si="16"/>
        <v>41</v>
      </c>
      <c r="I418" s="1190" t="str">
        <f>IF('I. Stream &amp; Compound Data'!AW302&lt;&gt;"",'I. Stream &amp; Compound Data'!AW302,"")</f>
        <v/>
      </c>
      <c r="J418" s="1295" t="str">
        <f>IF('I. Stream &amp; Compound Data'!AR302&lt;&gt;"",'I. Stream &amp; Compound Data'!AR302,IF('I. Stream &amp; Compound Data'!AS302&lt;&gt;"",'I. Stream &amp; Compound Data'!AS302,""))</f>
        <v/>
      </c>
      <c r="K418" s="1295" t="str">
        <f>IF('I. Stream &amp; Compound Data'!BC302&lt;&gt;"",'I. Stream &amp; Compound Data'!BC302-'I. Stream &amp; Compound Data'!F$19,"")</f>
        <v/>
      </c>
      <c r="L418" s="1306" t="str">
        <f>IF(H418&gt;'I. Stream &amp; Compound Data'!$F$18,"",IF(I418="","N/A",IF(OR(I418=3,I418=4),1,IF(I418=2,0.8,IF(I418=1,0.6,0)))))</f>
        <v/>
      </c>
      <c r="M418" s="1168" t="str">
        <f>IF(H418&gt;'I. Stream &amp; Compound Data'!$F$18,"",IF(L418="N/A",IF(J418="","N/A",IF(OR(J418=1,J418=2,J418=3,J418=6,J418=17),1,IF(OR(J418=5,J418=19,J418=44),0.8,"N/A"))),"N/A"))</f>
        <v/>
      </c>
      <c r="N418" s="1242" t="str">
        <f>IF(H418&gt;'I. Stream &amp; Compound Data'!$F$18,"",IF(AND(L418="N/A",M418="N/A"),IF(K418="","N/A",ROUND(IF(K418&lt;=0,1,IF(AND(K418&gt;0,K418&lt;200),-0.005*K418+1,0)),3)),"N/A"))</f>
        <v/>
      </c>
      <c r="O418" s="1242" t="str">
        <f>IF(H418&gt;'I. Stream &amp; Compound Data'!$F$18,"",IF(I182="","N/A",IF(L418&lt;&gt;"N/A",L418,IF(M418&lt;&gt;"N/A",M418,IF(N418&lt;&gt;"N/A",N418,"NO DATA AVAILABLE")))))</f>
        <v/>
      </c>
      <c r="P418" s="1242" t="str">
        <f>IF(H418&gt;'I. Stream &amp; Compound Data'!$F$18,"",MAX(K182:L182))</f>
        <v/>
      </c>
      <c r="Q418" s="1268" t="str">
        <f>IF(H418&gt;'I. Stream &amp; Compound Data'!$F$18,"",IF(O418="N/A",0,O418/'I. Stream &amp; Compound Data'!F$18))</f>
        <v/>
      </c>
      <c r="R418" s="297"/>
      <c r="S418" s="298"/>
      <c r="T418" s="298"/>
      <c r="U418" s="299"/>
      <c r="V418" s="279"/>
      <c r="W418" s="279"/>
      <c r="X418" s="279"/>
      <c r="Y418" s="279"/>
      <c r="Z418" s="279"/>
      <c r="AA418" s="279"/>
      <c r="AB418" s="279"/>
      <c r="AC418" s="279"/>
      <c r="AD418" s="279"/>
      <c r="AE418" s="279"/>
      <c r="AF418" s="279"/>
      <c r="AG418" s="279"/>
      <c r="AH418" s="279"/>
      <c r="AI418" s="279"/>
      <c r="AJ418" s="279"/>
      <c r="AK418" s="279"/>
      <c r="AL418" s="279"/>
      <c r="AM418" s="279"/>
      <c r="AN418" s="279"/>
      <c r="AO418" s="279"/>
      <c r="AP418" s="279"/>
      <c r="AQ418" s="279"/>
      <c r="AR418" s="279"/>
      <c r="AS418" s="279"/>
      <c r="AT418" s="279"/>
      <c r="AU418" s="279"/>
      <c r="AV418" s="279"/>
      <c r="AW418" s="279"/>
      <c r="AX418" s="279"/>
      <c r="AY418" s="279"/>
      <c r="AZ418" s="279"/>
      <c r="BA418" s="279"/>
      <c r="BB418" s="279"/>
      <c r="BC418" s="279"/>
      <c r="BD418" s="279"/>
      <c r="BE418" s="279"/>
      <c r="BF418" s="279"/>
      <c r="BG418" s="279"/>
      <c r="BH418" s="279"/>
      <c r="BI418" s="279"/>
      <c r="BJ418" s="279"/>
      <c r="BK418" s="279"/>
      <c r="BL418" s="279"/>
      <c r="BM418" s="279"/>
      <c r="BN418" s="279"/>
      <c r="BO418" s="279"/>
      <c r="BP418" s="279"/>
      <c r="BQ418" s="279"/>
      <c r="BR418" s="279"/>
      <c r="BS418" s="279"/>
      <c r="BT418" s="279"/>
      <c r="BU418" s="279"/>
      <c r="BV418" s="279"/>
      <c r="BW418" s="279"/>
      <c r="BX418" s="279"/>
      <c r="BY418" s="279"/>
      <c r="BZ418" s="279"/>
      <c r="CA418" s="279"/>
      <c r="CB418" s="279"/>
      <c r="CC418" s="279"/>
      <c r="CD418" s="279"/>
      <c r="CE418" s="279"/>
      <c r="CF418" s="279"/>
      <c r="CG418" s="279"/>
      <c r="CH418" s="279"/>
      <c r="CI418" s="279"/>
      <c r="CJ418" s="279"/>
      <c r="CK418" s="279"/>
      <c r="CL418" s="279"/>
      <c r="CM418" s="279"/>
      <c r="CN418" s="382"/>
    </row>
    <row r="419" ht="19.5" customHeight="true" x14ac:dyDescent="0.3">
      <c r="B419" s="361"/>
      <c r="C419" s="279"/>
      <c r="D419" s="280"/>
      <c r="E419" s="287"/>
      <c r="F419" s="287"/>
      <c r="G419" s="287"/>
      <c r="H419" s="1292">
        <f t="shared" si="16"/>
        <v>42</v>
      </c>
      <c r="I419" s="1190" t="str">
        <f>IF('I. Stream &amp; Compound Data'!AW303&lt;&gt;"",'I. Stream &amp; Compound Data'!AW303,"")</f>
        <v/>
      </c>
      <c r="J419" s="1295" t="str">
        <f>IF('I. Stream &amp; Compound Data'!AR303&lt;&gt;"",'I. Stream &amp; Compound Data'!AR303,IF('I. Stream &amp; Compound Data'!AS303&lt;&gt;"",'I. Stream &amp; Compound Data'!AS303,""))</f>
        <v/>
      </c>
      <c r="K419" s="1295" t="str">
        <f>IF('I. Stream &amp; Compound Data'!BC303&lt;&gt;"",'I. Stream &amp; Compound Data'!BC303-'I. Stream &amp; Compound Data'!F$19,"")</f>
        <v/>
      </c>
      <c r="L419" s="1306" t="str">
        <f>IF(H419&gt;'I. Stream &amp; Compound Data'!$F$18,"",IF(I419="","N/A",IF(OR(I419=3,I419=4),1,IF(I419=2,0.8,IF(I419=1,0.6,0)))))</f>
        <v/>
      </c>
      <c r="M419" s="1168" t="str">
        <f>IF(H419&gt;'I. Stream &amp; Compound Data'!$F$18,"",IF(L419="N/A",IF(J419="","N/A",IF(OR(J419=1,J419=2,J419=3,J419=6,J419=17),1,IF(OR(J419=5,J419=19,J419=44),0.8,"N/A"))),"N/A"))</f>
        <v/>
      </c>
      <c r="N419" s="1242" t="str">
        <f>IF(H419&gt;'I. Stream &amp; Compound Data'!$F$18,"",IF(AND(L419="N/A",M419="N/A"),IF(K419="","N/A",ROUND(IF(K419&lt;=0,1,IF(AND(K419&gt;0,K419&lt;200),-0.005*K419+1,0)),3)),"N/A"))</f>
        <v/>
      </c>
      <c r="O419" s="1242" t="str">
        <f>IF(H419&gt;'I. Stream &amp; Compound Data'!$F$18,"",IF(I183="","N/A",IF(L419&lt;&gt;"N/A",L419,IF(M419&lt;&gt;"N/A",M419,IF(N419&lt;&gt;"N/A",N419,"NO DATA AVAILABLE")))))</f>
        <v/>
      </c>
      <c r="P419" s="1242" t="str">
        <f>IF(H419&gt;'I. Stream &amp; Compound Data'!$F$18,"",MAX(K183:L183))</f>
        <v/>
      </c>
      <c r="Q419" s="1268" t="str">
        <f>IF(H419&gt;'I. Stream &amp; Compound Data'!$F$18,"",IF(O419="N/A",0,O419/'I. Stream &amp; Compound Data'!F$18))</f>
        <v/>
      </c>
      <c r="R419" s="297"/>
      <c r="S419" s="298"/>
      <c r="T419" s="298"/>
      <c r="U419" s="299"/>
      <c r="V419" s="279"/>
      <c r="W419" s="279"/>
      <c r="X419" s="279"/>
      <c r="Y419" s="279"/>
      <c r="Z419" s="279"/>
      <c r="AA419" s="279"/>
      <c r="AB419" s="279"/>
      <c r="AC419" s="279"/>
      <c r="AD419" s="279"/>
      <c r="AE419" s="279"/>
      <c r="AF419" s="279"/>
      <c r="AG419" s="279"/>
      <c r="AH419" s="279"/>
      <c r="AI419" s="279"/>
      <c r="AJ419" s="279"/>
      <c r="AK419" s="279"/>
      <c r="AL419" s="279"/>
      <c r="AM419" s="279"/>
      <c r="AN419" s="279"/>
      <c r="AO419" s="279"/>
      <c r="AP419" s="279"/>
      <c r="AQ419" s="279"/>
      <c r="AR419" s="279"/>
      <c r="AS419" s="279"/>
      <c r="AT419" s="279"/>
      <c r="AU419" s="279"/>
      <c r="AV419" s="279"/>
      <c r="AW419" s="279"/>
      <c r="AX419" s="279"/>
      <c r="AY419" s="279"/>
      <c r="AZ419" s="279"/>
      <c r="BA419" s="279"/>
      <c r="BB419" s="279"/>
      <c r="BC419" s="279"/>
      <c r="BD419" s="279"/>
      <c r="BE419" s="279"/>
      <c r="BF419" s="279"/>
      <c r="BG419" s="279"/>
      <c r="BH419" s="279"/>
      <c r="BI419" s="279"/>
      <c r="BJ419" s="279"/>
      <c r="BK419" s="279"/>
      <c r="BL419" s="279"/>
      <c r="BM419" s="279"/>
      <c r="BN419" s="279"/>
      <c r="BO419" s="279"/>
      <c r="BP419" s="279"/>
      <c r="BQ419" s="279"/>
      <c r="BR419" s="279"/>
      <c r="BS419" s="279"/>
      <c r="BT419" s="279"/>
      <c r="BU419" s="279"/>
      <c r="BV419" s="279"/>
      <c r="BW419" s="279"/>
      <c r="BX419" s="279"/>
      <c r="BY419" s="279"/>
      <c r="BZ419" s="279"/>
      <c r="CA419" s="279"/>
      <c r="CB419" s="279"/>
      <c r="CC419" s="279"/>
      <c r="CD419" s="279"/>
      <c r="CE419" s="279"/>
      <c r="CF419" s="279"/>
      <c r="CG419" s="279"/>
      <c r="CH419" s="279"/>
      <c r="CI419" s="279"/>
      <c r="CJ419" s="279"/>
      <c r="CK419" s="279"/>
      <c r="CL419" s="279"/>
      <c r="CM419" s="279"/>
      <c r="CN419" s="382"/>
    </row>
    <row r="420" ht="19.5" customHeight="true" x14ac:dyDescent="0.3">
      <c r="B420" s="361"/>
      <c r="C420" s="279"/>
      <c r="D420" s="280"/>
      <c r="E420" s="287"/>
      <c r="F420" s="287"/>
      <c r="G420" s="287"/>
      <c r="H420" s="1292">
        <f t="shared" si="16"/>
        <v>43</v>
      </c>
      <c r="I420" s="1190" t="str">
        <f>IF('I. Stream &amp; Compound Data'!AW304&lt;&gt;"",'I. Stream &amp; Compound Data'!AW304,"")</f>
        <v/>
      </c>
      <c r="J420" s="1295" t="str">
        <f>IF('I. Stream &amp; Compound Data'!AR304&lt;&gt;"",'I. Stream &amp; Compound Data'!AR304,IF('I. Stream &amp; Compound Data'!AS304&lt;&gt;"",'I. Stream &amp; Compound Data'!AS304,""))</f>
        <v/>
      </c>
      <c r="K420" s="1295" t="str">
        <f>IF('I. Stream &amp; Compound Data'!BC304&lt;&gt;"",'I. Stream &amp; Compound Data'!BC304-'I. Stream &amp; Compound Data'!F$19,"")</f>
        <v/>
      </c>
      <c r="L420" s="1306" t="str">
        <f>IF(H420&gt;'I. Stream &amp; Compound Data'!$F$18,"",IF(I420="","N/A",IF(OR(I420=3,I420=4),1,IF(I420=2,0.8,IF(I420=1,0.6,0)))))</f>
        <v/>
      </c>
      <c r="M420" s="1168" t="str">
        <f>IF(H420&gt;'I. Stream &amp; Compound Data'!$F$18,"",IF(L420="N/A",IF(J420="","N/A",IF(OR(J420=1,J420=2,J420=3,J420=6,J420=17),1,IF(OR(J420=5,J420=19,J420=44),0.8,"N/A"))),"N/A"))</f>
        <v/>
      </c>
      <c r="N420" s="1242" t="str">
        <f>IF(H420&gt;'I. Stream &amp; Compound Data'!$F$18,"",IF(AND(L420="N/A",M420="N/A"),IF(K420="","N/A",ROUND(IF(K420&lt;=0,1,IF(AND(K420&gt;0,K420&lt;200),-0.005*K420+1,0)),3)),"N/A"))</f>
        <v/>
      </c>
      <c r="O420" s="1242" t="str">
        <f>IF(H420&gt;'I. Stream &amp; Compound Data'!$F$18,"",IF(I184="","N/A",IF(L420&lt;&gt;"N/A",L420,IF(M420&lt;&gt;"N/A",M420,IF(N420&lt;&gt;"N/A",N420,"NO DATA AVAILABLE")))))</f>
        <v/>
      </c>
      <c r="P420" s="1242" t="str">
        <f>IF(H420&gt;'I. Stream &amp; Compound Data'!$F$18,"",MAX(K184:L184))</f>
        <v/>
      </c>
      <c r="Q420" s="1268" t="str">
        <f>IF(H420&gt;'I. Stream &amp; Compound Data'!$F$18,"",IF(O420="N/A",0,O420/'I. Stream &amp; Compound Data'!F$18))</f>
        <v/>
      </c>
      <c r="R420" s="297"/>
      <c r="S420" s="298"/>
      <c r="T420" s="298"/>
      <c r="U420" s="299"/>
      <c r="V420" s="279"/>
      <c r="W420" s="279"/>
      <c r="X420" s="279"/>
      <c r="Y420" s="279"/>
      <c r="Z420" s="279"/>
      <c r="AA420" s="279"/>
      <c r="AB420" s="279"/>
      <c r="AC420" s="279"/>
      <c r="AD420" s="279"/>
      <c r="AE420" s="279"/>
      <c r="AF420" s="279"/>
      <c r="AG420" s="279"/>
      <c r="AH420" s="279"/>
      <c r="AI420" s="279"/>
      <c r="AJ420" s="279"/>
      <c r="AK420" s="279"/>
      <c r="AL420" s="279"/>
      <c r="AM420" s="279"/>
      <c r="AN420" s="279"/>
      <c r="AO420" s="279"/>
      <c r="AP420" s="279"/>
      <c r="AQ420" s="279"/>
      <c r="AR420" s="279"/>
      <c r="AS420" s="279"/>
      <c r="AT420" s="279"/>
      <c r="AU420" s="279"/>
      <c r="AV420" s="279"/>
      <c r="AW420" s="279"/>
      <c r="AX420" s="279"/>
      <c r="AY420" s="279"/>
      <c r="AZ420" s="279"/>
      <c r="BA420" s="279"/>
      <c r="BB420" s="279"/>
      <c r="BC420" s="279"/>
      <c r="BD420" s="279"/>
      <c r="BE420" s="279"/>
      <c r="BF420" s="279"/>
      <c r="BG420" s="279"/>
      <c r="BH420" s="279"/>
      <c r="BI420" s="279"/>
      <c r="BJ420" s="279"/>
      <c r="BK420" s="279"/>
      <c r="BL420" s="279"/>
      <c r="BM420" s="279"/>
      <c r="BN420" s="279"/>
      <c r="BO420" s="279"/>
      <c r="BP420" s="279"/>
      <c r="BQ420" s="279"/>
      <c r="BR420" s="279"/>
      <c r="BS420" s="279"/>
      <c r="BT420" s="279"/>
      <c r="BU420" s="279"/>
      <c r="BV420" s="279"/>
      <c r="BW420" s="279"/>
      <c r="BX420" s="279"/>
      <c r="BY420" s="279"/>
      <c r="BZ420" s="279"/>
      <c r="CA420" s="279"/>
      <c r="CB420" s="279"/>
      <c r="CC420" s="279"/>
      <c r="CD420" s="279"/>
      <c r="CE420" s="279"/>
      <c r="CF420" s="279"/>
      <c r="CG420" s="279"/>
      <c r="CH420" s="279"/>
      <c r="CI420" s="279"/>
      <c r="CJ420" s="279"/>
      <c r="CK420" s="279"/>
      <c r="CL420" s="279"/>
      <c r="CM420" s="279"/>
      <c r="CN420" s="382"/>
    </row>
    <row r="421" ht="19.5" customHeight="true" x14ac:dyDescent="0.3">
      <c r="B421" s="361"/>
      <c r="C421" s="279"/>
      <c r="D421" s="280"/>
      <c r="E421" s="287"/>
      <c r="F421" s="287"/>
      <c r="G421" s="287"/>
      <c r="H421" s="1292">
        <f t="shared" si="16"/>
        <v>44</v>
      </c>
      <c r="I421" s="1190" t="str">
        <f>IF('I. Stream &amp; Compound Data'!AW305&lt;&gt;"",'I. Stream &amp; Compound Data'!AW305,"")</f>
        <v/>
      </c>
      <c r="J421" s="1295" t="str">
        <f>IF('I. Stream &amp; Compound Data'!AR305&lt;&gt;"",'I. Stream &amp; Compound Data'!AR305,IF('I. Stream &amp; Compound Data'!AS305&lt;&gt;"",'I. Stream &amp; Compound Data'!AS305,""))</f>
        <v/>
      </c>
      <c r="K421" s="1295" t="str">
        <f>IF('I. Stream &amp; Compound Data'!BC305&lt;&gt;"",'I. Stream &amp; Compound Data'!BC305-'I. Stream &amp; Compound Data'!F$19,"")</f>
        <v/>
      </c>
      <c r="L421" s="1306" t="str">
        <f>IF(H421&gt;'I. Stream &amp; Compound Data'!$F$18,"",IF(I421="","N/A",IF(OR(I421=3,I421=4),1,IF(I421=2,0.8,IF(I421=1,0.6,0)))))</f>
        <v/>
      </c>
      <c r="M421" s="1168" t="str">
        <f>IF(H421&gt;'I. Stream &amp; Compound Data'!$F$18,"",IF(L421="N/A",IF(J421="","N/A",IF(OR(J421=1,J421=2,J421=3,J421=6,J421=17),1,IF(OR(J421=5,J421=19,J421=44),0.8,"N/A"))),"N/A"))</f>
        <v/>
      </c>
      <c r="N421" s="1242" t="str">
        <f>IF(H421&gt;'I. Stream &amp; Compound Data'!$F$18,"",IF(AND(L421="N/A",M421="N/A"),IF(K421="","N/A",ROUND(IF(K421&lt;=0,1,IF(AND(K421&gt;0,K421&lt;200),-0.005*K421+1,0)),3)),"N/A"))</f>
        <v/>
      </c>
      <c r="O421" s="1242" t="str">
        <f>IF(H421&gt;'I. Stream &amp; Compound Data'!$F$18,"",IF(I185="","N/A",IF(L421&lt;&gt;"N/A",L421,IF(M421&lt;&gt;"N/A",M421,IF(N421&lt;&gt;"N/A",N421,"NO DATA AVAILABLE")))))</f>
        <v/>
      </c>
      <c r="P421" s="1242" t="str">
        <f>IF(H421&gt;'I. Stream &amp; Compound Data'!$F$18,"",MAX(K185:L185))</f>
        <v/>
      </c>
      <c r="Q421" s="1268" t="str">
        <f>IF(H421&gt;'I. Stream &amp; Compound Data'!$F$18,"",IF(O421="N/A",0,O421/'I. Stream &amp; Compound Data'!F$18))</f>
        <v/>
      </c>
      <c r="R421" s="297"/>
      <c r="S421" s="298"/>
      <c r="T421" s="298"/>
      <c r="U421" s="299"/>
      <c r="V421" s="279"/>
      <c r="W421" s="279"/>
      <c r="X421" s="279"/>
      <c r="Y421" s="279"/>
      <c r="Z421" s="279"/>
      <c r="AA421" s="279"/>
      <c r="AB421" s="279"/>
      <c r="AC421" s="279"/>
      <c r="AD421" s="279"/>
      <c r="AE421" s="279"/>
      <c r="AF421" s="279"/>
      <c r="AG421" s="279"/>
      <c r="AH421" s="279"/>
      <c r="AI421" s="279"/>
      <c r="AJ421" s="279"/>
      <c r="AK421" s="279"/>
      <c r="AL421" s="279"/>
      <c r="AM421" s="279"/>
      <c r="AN421" s="279"/>
      <c r="AO421" s="279"/>
      <c r="AP421" s="279"/>
      <c r="AQ421" s="279"/>
      <c r="AR421" s="279"/>
      <c r="AS421" s="279"/>
      <c r="AT421" s="279"/>
      <c r="AU421" s="279"/>
      <c r="AV421" s="279"/>
      <c r="AW421" s="279"/>
      <c r="AX421" s="279"/>
      <c r="AY421" s="279"/>
      <c r="AZ421" s="279"/>
      <c r="BA421" s="279"/>
      <c r="BB421" s="279"/>
      <c r="BC421" s="279"/>
      <c r="BD421" s="279"/>
      <c r="BE421" s="279"/>
      <c r="BF421" s="279"/>
      <c r="BG421" s="279"/>
      <c r="BH421" s="279"/>
      <c r="BI421" s="279"/>
      <c r="BJ421" s="279"/>
      <c r="BK421" s="279"/>
      <c r="BL421" s="279"/>
      <c r="BM421" s="279"/>
      <c r="BN421" s="279"/>
      <c r="BO421" s="279"/>
      <c r="BP421" s="279"/>
      <c r="BQ421" s="279"/>
      <c r="BR421" s="279"/>
      <c r="BS421" s="279"/>
      <c r="BT421" s="279"/>
      <c r="BU421" s="279"/>
      <c r="BV421" s="279"/>
      <c r="BW421" s="279"/>
      <c r="BX421" s="279"/>
      <c r="BY421" s="279"/>
      <c r="BZ421" s="279"/>
      <c r="CA421" s="279"/>
      <c r="CB421" s="279"/>
      <c r="CC421" s="279"/>
      <c r="CD421" s="279"/>
      <c r="CE421" s="279"/>
      <c r="CF421" s="279"/>
      <c r="CG421" s="279"/>
      <c r="CH421" s="279"/>
      <c r="CI421" s="279"/>
      <c r="CJ421" s="279"/>
      <c r="CK421" s="279"/>
      <c r="CL421" s="279"/>
      <c r="CM421" s="279"/>
      <c r="CN421" s="382"/>
    </row>
    <row r="422" ht="19.5" customHeight="true" x14ac:dyDescent="0.3">
      <c r="B422" s="361"/>
      <c r="C422" s="279"/>
      <c r="D422" s="280"/>
      <c r="E422" s="287"/>
      <c r="F422" s="287"/>
      <c r="G422" s="287"/>
      <c r="H422" s="1292">
        <f t="shared" si="16"/>
        <v>45</v>
      </c>
      <c r="I422" s="1190" t="str">
        <f>IF('I. Stream &amp; Compound Data'!AW306&lt;&gt;"",'I. Stream &amp; Compound Data'!AW306,"")</f>
        <v/>
      </c>
      <c r="J422" s="1295" t="str">
        <f>IF('I. Stream &amp; Compound Data'!AR306&lt;&gt;"",'I. Stream &amp; Compound Data'!AR306,IF('I. Stream &amp; Compound Data'!AS306&lt;&gt;"",'I. Stream &amp; Compound Data'!AS306,""))</f>
        <v/>
      </c>
      <c r="K422" s="1295" t="str">
        <f>IF('I. Stream &amp; Compound Data'!BC306&lt;&gt;"",'I. Stream &amp; Compound Data'!BC306-'I. Stream &amp; Compound Data'!F$19,"")</f>
        <v/>
      </c>
      <c r="L422" s="1306" t="str">
        <f>IF(H422&gt;'I. Stream &amp; Compound Data'!$F$18,"",IF(I422="","N/A",IF(OR(I422=3,I422=4),1,IF(I422=2,0.8,IF(I422=1,0.6,0)))))</f>
        <v/>
      </c>
      <c r="M422" s="1168" t="str">
        <f>IF(H422&gt;'I. Stream &amp; Compound Data'!$F$18,"",IF(L422="N/A",IF(J422="","N/A",IF(OR(J422=1,J422=2,J422=3,J422=6,J422=17),1,IF(OR(J422=5,J422=19,J422=44),0.8,"N/A"))),"N/A"))</f>
        <v/>
      </c>
      <c r="N422" s="1242" t="str">
        <f>IF(H422&gt;'I. Stream &amp; Compound Data'!$F$18,"",IF(AND(L422="N/A",M422="N/A"),IF(K422="","N/A",ROUND(IF(K422&lt;=0,1,IF(AND(K422&gt;0,K422&lt;200),-0.005*K422+1,0)),3)),"N/A"))</f>
        <v/>
      </c>
      <c r="O422" s="1242" t="str">
        <f>IF(H422&gt;'I. Stream &amp; Compound Data'!$F$18,"",IF(I186="","N/A",IF(L422&lt;&gt;"N/A",L422,IF(M422&lt;&gt;"N/A",M422,IF(N422&lt;&gt;"N/A",N422,"NO DATA AVAILABLE")))))</f>
        <v/>
      </c>
      <c r="P422" s="1242" t="str">
        <f>IF(H422&gt;'I. Stream &amp; Compound Data'!$F$18,"",MAX(K186:L186))</f>
        <v/>
      </c>
      <c r="Q422" s="1268" t="str">
        <f>IF(H422&gt;'I. Stream &amp; Compound Data'!$F$18,"",IF(O422="N/A",0,O422/'I. Stream &amp; Compound Data'!F$18))</f>
        <v/>
      </c>
      <c r="R422" s="297"/>
      <c r="S422" s="298"/>
      <c r="T422" s="298"/>
      <c r="U422" s="299"/>
      <c r="V422" s="279"/>
      <c r="W422" s="279"/>
      <c r="X422" s="279"/>
      <c r="Y422" s="279"/>
      <c r="Z422" s="279"/>
      <c r="AA422" s="279"/>
      <c r="AB422" s="279"/>
      <c r="AC422" s="279"/>
      <c r="AD422" s="279"/>
      <c r="AE422" s="279"/>
      <c r="AF422" s="279"/>
      <c r="AG422" s="279"/>
      <c r="AH422" s="279"/>
      <c r="AI422" s="279"/>
      <c r="AJ422" s="279"/>
      <c r="AK422" s="279"/>
      <c r="AL422" s="279"/>
      <c r="AM422" s="279"/>
      <c r="AN422" s="279"/>
      <c r="AO422" s="279"/>
      <c r="AP422" s="279"/>
      <c r="AQ422" s="279"/>
      <c r="AR422" s="279"/>
      <c r="AS422" s="279"/>
      <c r="AT422" s="279"/>
      <c r="AU422" s="279"/>
      <c r="AV422" s="279"/>
      <c r="AW422" s="279"/>
      <c r="AX422" s="279"/>
      <c r="AY422" s="279"/>
      <c r="AZ422" s="279"/>
      <c r="BA422" s="279"/>
      <c r="BB422" s="279"/>
      <c r="BC422" s="279"/>
      <c r="BD422" s="279"/>
      <c r="BE422" s="279"/>
      <c r="BF422" s="279"/>
      <c r="BG422" s="279"/>
      <c r="BH422" s="279"/>
      <c r="BI422" s="279"/>
      <c r="BJ422" s="279"/>
      <c r="BK422" s="279"/>
      <c r="BL422" s="279"/>
      <c r="BM422" s="279"/>
      <c r="BN422" s="279"/>
      <c r="BO422" s="279"/>
      <c r="BP422" s="279"/>
      <c r="BQ422" s="279"/>
      <c r="BR422" s="279"/>
      <c r="BS422" s="279"/>
      <c r="BT422" s="279"/>
      <c r="BU422" s="279"/>
      <c r="BV422" s="279"/>
      <c r="BW422" s="279"/>
      <c r="BX422" s="279"/>
      <c r="BY422" s="279"/>
      <c r="BZ422" s="279"/>
      <c r="CA422" s="279"/>
      <c r="CB422" s="279"/>
      <c r="CC422" s="279"/>
      <c r="CD422" s="279"/>
      <c r="CE422" s="279"/>
      <c r="CF422" s="279"/>
      <c r="CG422" s="279"/>
      <c r="CH422" s="279"/>
      <c r="CI422" s="279"/>
      <c r="CJ422" s="279"/>
      <c r="CK422" s="279"/>
      <c r="CL422" s="279"/>
      <c r="CM422" s="279"/>
      <c r="CN422" s="382"/>
    </row>
    <row r="423" ht="19.5" customHeight="true" x14ac:dyDescent="0.3">
      <c r="B423" s="361"/>
      <c r="C423" s="279"/>
      <c r="D423" s="280"/>
      <c r="E423" s="287"/>
      <c r="F423" s="287"/>
      <c r="G423" s="287"/>
      <c r="H423" s="1292">
        <f t="shared" si="16"/>
        <v>46</v>
      </c>
      <c r="I423" s="1190" t="str">
        <f>IF('I. Stream &amp; Compound Data'!AW307&lt;&gt;"",'I. Stream &amp; Compound Data'!AW307,"")</f>
        <v/>
      </c>
      <c r="J423" s="1295" t="str">
        <f>IF('I. Stream &amp; Compound Data'!AR307&lt;&gt;"",'I. Stream &amp; Compound Data'!AR307,IF('I. Stream &amp; Compound Data'!AS307&lt;&gt;"",'I. Stream &amp; Compound Data'!AS307,""))</f>
        <v/>
      </c>
      <c r="K423" s="1295" t="str">
        <f>IF('I. Stream &amp; Compound Data'!BC307&lt;&gt;"",'I. Stream &amp; Compound Data'!BC307-'I. Stream &amp; Compound Data'!F$19,"")</f>
        <v/>
      </c>
      <c r="L423" s="1306" t="str">
        <f>IF(H423&gt;'I. Stream &amp; Compound Data'!$F$18,"",IF(I423="","N/A",IF(OR(I423=3,I423=4),1,IF(I423=2,0.8,IF(I423=1,0.6,0)))))</f>
        <v/>
      </c>
      <c r="M423" s="1168" t="str">
        <f>IF(H423&gt;'I. Stream &amp; Compound Data'!$F$18,"",IF(L423="N/A",IF(J423="","N/A",IF(OR(J423=1,J423=2,J423=3,J423=6,J423=17),1,IF(OR(J423=5,J423=19,J423=44),0.8,"N/A"))),"N/A"))</f>
        <v/>
      </c>
      <c r="N423" s="1242" t="str">
        <f>IF(H423&gt;'I. Stream &amp; Compound Data'!$F$18,"",IF(AND(L423="N/A",M423="N/A"),IF(K423="","N/A",ROUND(IF(K423&lt;=0,1,IF(AND(K423&gt;0,K423&lt;200),-0.005*K423+1,0)),3)),"N/A"))</f>
        <v/>
      </c>
      <c r="O423" s="1242" t="str">
        <f>IF(H423&gt;'I. Stream &amp; Compound Data'!$F$18,"",IF(I187="","N/A",IF(L423&lt;&gt;"N/A",L423,IF(M423&lt;&gt;"N/A",M423,IF(N423&lt;&gt;"N/A",N423,"NO DATA AVAILABLE")))))</f>
        <v/>
      </c>
      <c r="P423" s="1242" t="str">
        <f>IF(H423&gt;'I. Stream &amp; Compound Data'!$F$18,"",MAX(K187:L187))</f>
        <v/>
      </c>
      <c r="Q423" s="1268" t="str">
        <f>IF(H423&gt;'I. Stream &amp; Compound Data'!$F$18,"",IF(O423="N/A",0,O423/'I. Stream &amp; Compound Data'!F$18))</f>
        <v/>
      </c>
      <c r="R423" s="297"/>
      <c r="S423" s="298"/>
      <c r="T423" s="298"/>
      <c r="U423" s="299"/>
      <c r="V423" s="279"/>
      <c r="W423" s="279"/>
      <c r="X423" s="279"/>
      <c r="Y423" s="279"/>
      <c r="Z423" s="279"/>
      <c r="AA423" s="279"/>
      <c r="AB423" s="279"/>
      <c r="AC423" s="279"/>
      <c r="AD423" s="279"/>
      <c r="AE423" s="279"/>
      <c r="AF423" s="279"/>
      <c r="AG423" s="279"/>
      <c r="AH423" s="279"/>
      <c r="AI423" s="279"/>
      <c r="AJ423" s="279"/>
      <c r="AK423" s="279"/>
      <c r="AL423" s="279"/>
      <c r="AM423" s="279"/>
      <c r="AN423" s="279"/>
      <c r="AO423" s="279"/>
      <c r="AP423" s="279"/>
      <c r="AQ423" s="279"/>
      <c r="AR423" s="279"/>
      <c r="AS423" s="279"/>
      <c r="AT423" s="279"/>
      <c r="AU423" s="279"/>
      <c r="AV423" s="279"/>
      <c r="AW423" s="279"/>
      <c r="AX423" s="279"/>
      <c r="AY423" s="279"/>
      <c r="AZ423" s="279"/>
      <c r="BA423" s="279"/>
      <c r="BB423" s="279"/>
      <c r="BC423" s="279"/>
      <c r="BD423" s="279"/>
      <c r="BE423" s="279"/>
      <c r="BF423" s="279"/>
      <c r="BG423" s="279"/>
      <c r="BH423" s="279"/>
      <c r="BI423" s="279"/>
      <c r="BJ423" s="279"/>
      <c r="BK423" s="279"/>
      <c r="BL423" s="279"/>
      <c r="BM423" s="279"/>
      <c r="BN423" s="279"/>
      <c r="BO423" s="279"/>
      <c r="BP423" s="279"/>
      <c r="BQ423" s="279"/>
      <c r="BR423" s="279"/>
      <c r="BS423" s="279"/>
      <c r="BT423" s="279"/>
      <c r="BU423" s="279"/>
      <c r="BV423" s="279"/>
      <c r="BW423" s="279"/>
      <c r="BX423" s="279"/>
      <c r="BY423" s="279"/>
      <c r="BZ423" s="279"/>
      <c r="CA423" s="279"/>
      <c r="CB423" s="279"/>
      <c r="CC423" s="279"/>
      <c r="CD423" s="279"/>
      <c r="CE423" s="279"/>
      <c r="CF423" s="279"/>
      <c r="CG423" s="279"/>
      <c r="CH423" s="279"/>
      <c r="CI423" s="279"/>
      <c r="CJ423" s="279"/>
      <c r="CK423" s="279"/>
      <c r="CL423" s="279"/>
      <c r="CM423" s="279"/>
      <c r="CN423" s="382"/>
    </row>
    <row r="424" ht="19.5" customHeight="true" x14ac:dyDescent="0.3">
      <c r="B424" s="361"/>
      <c r="C424" s="279"/>
      <c r="D424" s="280"/>
      <c r="E424" s="287"/>
      <c r="F424" s="287"/>
      <c r="G424" s="287"/>
      <c r="H424" s="1292">
        <f t="shared" si="16"/>
        <v>47</v>
      </c>
      <c r="I424" s="1190" t="str">
        <f>IF('I. Stream &amp; Compound Data'!AW308&lt;&gt;"",'I. Stream &amp; Compound Data'!AW308,"")</f>
        <v/>
      </c>
      <c r="J424" s="1295" t="str">
        <f>IF('I. Stream &amp; Compound Data'!AR308&lt;&gt;"",'I. Stream &amp; Compound Data'!AR308,IF('I. Stream &amp; Compound Data'!AS308&lt;&gt;"",'I. Stream &amp; Compound Data'!AS308,""))</f>
        <v/>
      </c>
      <c r="K424" s="1295" t="str">
        <f>IF('I. Stream &amp; Compound Data'!BC308&lt;&gt;"",'I. Stream &amp; Compound Data'!BC308-'I. Stream &amp; Compound Data'!F$19,"")</f>
        <v/>
      </c>
      <c r="L424" s="1306" t="str">
        <f>IF(H424&gt;'I. Stream &amp; Compound Data'!$F$18,"",IF(I424="","N/A",IF(OR(I424=3,I424=4),1,IF(I424=2,0.8,IF(I424=1,0.6,0)))))</f>
        <v/>
      </c>
      <c r="M424" s="1168" t="str">
        <f>IF(H424&gt;'I. Stream &amp; Compound Data'!$F$18,"",IF(L424="N/A",IF(J424="","N/A",IF(OR(J424=1,J424=2,J424=3,J424=6,J424=17),1,IF(OR(J424=5,J424=19,J424=44),0.8,"N/A"))),"N/A"))</f>
        <v/>
      </c>
      <c r="N424" s="1242" t="str">
        <f>IF(H424&gt;'I. Stream &amp; Compound Data'!$F$18,"",IF(AND(L424="N/A",M424="N/A"),IF(K424="","N/A",ROUND(IF(K424&lt;=0,1,IF(AND(K424&gt;0,K424&lt;200),-0.005*K424+1,0)),3)),"N/A"))</f>
        <v/>
      </c>
      <c r="O424" s="1242" t="str">
        <f>IF(H424&gt;'I. Stream &amp; Compound Data'!$F$18,"",IF(I188="","N/A",IF(L424&lt;&gt;"N/A",L424,IF(M424&lt;&gt;"N/A",M424,IF(N424&lt;&gt;"N/A",N424,"NO DATA AVAILABLE")))))</f>
        <v/>
      </c>
      <c r="P424" s="1242" t="str">
        <f>IF(H424&gt;'I. Stream &amp; Compound Data'!$F$18,"",MAX(K188:L188))</f>
        <v/>
      </c>
      <c r="Q424" s="1268" t="str">
        <f>IF(H424&gt;'I. Stream &amp; Compound Data'!$F$18,"",IF(O424="N/A",0,O424/'I. Stream &amp; Compound Data'!F$18))</f>
        <v/>
      </c>
      <c r="R424" s="297"/>
      <c r="S424" s="298"/>
      <c r="T424" s="298"/>
      <c r="U424" s="299"/>
      <c r="V424" s="279"/>
      <c r="W424" s="279"/>
      <c r="X424" s="279"/>
      <c r="Y424" s="279"/>
      <c r="Z424" s="279"/>
      <c r="AA424" s="279"/>
      <c r="AB424" s="279"/>
      <c r="AC424" s="279"/>
      <c r="AD424" s="279"/>
      <c r="AE424" s="279"/>
      <c r="AF424" s="279"/>
      <c r="AG424" s="279"/>
      <c r="AH424" s="279"/>
      <c r="AI424" s="279"/>
      <c r="AJ424" s="279"/>
      <c r="AK424" s="279"/>
      <c r="AL424" s="279"/>
      <c r="AM424" s="279"/>
      <c r="AN424" s="279"/>
      <c r="AO424" s="279"/>
      <c r="AP424" s="279"/>
      <c r="AQ424" s="279"/>
      <c r="AR424" s="279"/>
      <c r="AS424" s="279"/>
      <c r="AT424" s="279"/>
      <c r="AU424" s="279"/>
      <c r="AV424" s="279"/>
      <c r="AW424" s="279"/>
      <c r="AX424" s="279"/>
      <c r="AY424" s="279"/>
      <c r="AZ424" s="279"/>
      <c r="BA424" s="279"/>
      <c r="BB424" s="279"/>
      <c r="BC424" s="279"/>
      <c r="BD424" s="279"/>
      <c r="BE424" s="279"/>
      <c r="BF424" s="279"/>
      <c r="BG424" s="279"/>
      <c r="BH424" s="279"/>
      <c r="BI424" s="279"/>
      <c r="BJ424" s="279"/>
      <c r="BK424" s="279"/>
      <c r="BL424" s="279"/>
      <c r="BM424" s="279"/>
      <c r="BN424" s="279"/>
      <c r="BO424" s="279"/>
      <c r="BP424" s="279"/>
      <c r="BQ424" s="279"/>
      <c r="BR424" s="279"/>
      <c r="BS424" s="279"/>
      <c r="BT424" s="279"/>
      <c r="BU424" s="279"/>
      <c r="BV424" s="279"/>
      <c r="BW424" s="279"/>
      <c r="BX424" s="279"/>
      <c r="BY424" s="279"/>
      <c r="BZ424" s="279"/>
      <c r="CA424" s="279"/>
      <c r="CB424" s="279"/>
      <c r="CC424" s="279"/>
      <c r="CD424" s="279"/>
      <c r="CE424" s="279"/>
      <c r="CF424" s="279"/>
      <c r="CG424" s="279"/>
      <c r="CH424" s="279"/>
      <c r="CI424" s="279"/>
      <c r="CJ424" s="279"/>
      <c r="CK424" s="279"/>
      <c r="CL424" s="279"/>
      <c r="CM424" s="279"/>
      <c r="CN424" s="382"/>
    </row>
    <row r="425" ht="19.5" customHeight="true" x14ac:dyDescent="0.3">
      <c r="B425" s="361"/>
      <c r="C425" s="279"/>
      <c r="D425" s="280"/>
      <c r="E425" s="287"/>
      <c r="F425" s="287"/>
      <c r="G425" s="287"/>
      <c r="H425" s="1292">
        <f t="shared" si="16"/>
        <v>48</v>
      </c>
      <c r="I425" s="1190" t="str">
        <f>IF('I. Stream &amp; Compound Data'!AW309&lt;&gt;"",'I. Stream &amp; Compound Data'!AW309,"")</f>
        <v/>
      </c>
      <c r="J425" s="1295" t="str">
        <f>IF('I. Stream &amp; Compound Data'!AR309&lt;&gt;"",'I. Stream &amp; Compound Data'!AR309,IF('I. Stream &amp; Compound Data'!AS309&lt;&gt;"",'I. Stream &amp; Compound Data'!AS309,""))</f>
        <v/>
      </c>
      <c r="K425" s="1295" t="str">
        <f>IF('I. Stream &amp; Compound Data'!BC309&lt;&gt;"",'I. Stream &amp; Compound Data'!BC309-'I. Stream &amp; Compound Data'!F$19,"")</f>
        <v/>
      </c>
      <c r="L425" s="1306" t="str">
        <f>IF(H425&gt;'I. Stream &amp; Compound Data'!$F$18,"",IF(I425="","N/A",IF(OR(I425=3,I425=4),1,IF(I425=2,0.8,IF(I425=1,0.6,0)))))</f>
        <v/>
      </c>
      <c r="M425" s="1168" t="str">
        <f>IF(H425&gt;'I. Stream &amp; Compound Data'!$F$18,"",IF(L425="N/A",IF(J425="","N/A",IF(OR(J425=1,J425=2,J425=3,J425=6,J425=17),1,IF(OR(J425=5,J425=19,J425=44),0.8,"N/A"))),"N/A"))</f>
        <v/>
      </c>
      <c r="N425" s="1242" t="str">
        <f>IF(H425&gt;'I. Stream &amp; Compound Data'!$F$18,"",IF(AND(L425="N/A",M425="N/A"),IF(K425="","N/A",ROUND(IF(K425&lt;=0,1,IF(AND(K425&gt;0,K425&lt;200),-0.005*K425+1,0)),3)),"N/A"))</f>
        <v/>
      </c>
      <c r="O425" s="1242" t="str">
        <f>IF(H425&gt;'I. Stream &amp; Compound Data'!$F$18,"",IF(I189="","N/A",IF(L425&lt;&gt;"N/A",L425,IF(M425&lt;&gt;"N/A",M425,IF(N425&lt;&gt;"N/A",N425,"NO DATA AVAILABLE")))))</f>
        <v/>
      </c>
      <c r="P425" s="1242" t="str">
        <f>IF(H425&gt;'I. Stream &amp; Compound Data'!$F$18,"",MAX(K189:L189))</f>
        <v/>
      </c>
      <c r="Q425" s="1268" t="str">
        <f>IF(H425&gt;'I. Stream &amp; Compound Data'!$F$18,"",IF(O425="N/A",0,O425/'I. Stream &amp; Compound Data'!F$18))</f>
        <v/>
      </c>
      <c r="R425" s="297"/>
      <c r="S425" s="298"/>
      <c r="T425" s="298"/>
      <c r="U425" s="299"/>
      <c r="V425" s="279"/>
      <c r="W425" s="279"/>
      <c r="X425" s="279"/>
      <c r="Y425" s="279"/>
      <c r="Z425" s="279"/>
      <c r="AA425" s="279"/>
      <c r="AB425" s="279"/>
      <c r="AC425" s="279"/>
      <c r="AD425" s="279"/>
      <c r="AE425" s="279"/>
      <c r="AF425" s="279"/>
      <c r="AG425" s="279"/>
      <c r="AH425" s="279"/>
      <c r="AI425" s="279"/>
      <c r="AJ425" s="279"/>
      <c r="AK425" s="279"/>
      <c r="AL425" s="279"/>
      <c r="AM425" s="279"/>
      <c r="AN425" s="279"/>
      <c r="AO425" s="279"/>
      <c r="AP425" s="279"/>
      <c r="AQ425" s="279"/>
      <c r="AR425" s="279"/>
      <c r="AS425" s="279"/>
      <c r="AT425" s="279"/>
      <c r="AU425" s="279"/>
      <c r="AV425" s="279"/>
      <c r="AW425" s="279"/>
      <c r="AX425" s="279"/>
      <c r="AY425" s="279"/>
      <c r="AZ425" s="279"/>
      <c r="BA425" s="279"/>
      <c r="BB425" s="279"/>
      <c r="BC425" s="279"/>
      <c r="BD425" s="279"/>
      <c r="BE425" s="279"/>
      <c r="BF425" s="279"/>
      <c r="BG425" s="279"/>
      <c r="BH425" s="279"/>
      <c r="BI425" s="279"/>
      <c r="BJ425" s="279"/>
      <c r="BK425" s="279"/>
      <c r="BL425" s="279"/>
      <c r="BM425" s="279"/>
      <c r="BN425" s="279"/>
      <c r="BO425" s="279"/>
      <c r="BP425" s="279"/>
      <c r="BQ425" s="279"/>
      <c r="BR425" s="279"/>
      <c r="BS425" s="279"/>
      <c r="BT425" s="279"/>
      <c r="BU425" s="279"/>
      <c r="BV425" s="279"/>
      <c r="BW425" s="279"/>
      <c r="BX425" s="279"/>
      <c r="BY425" s="279"/>
      <c r="BZ425" s="279"/>
      <c r="CA425" s="279"/>
      <c r="CB425" s="279"/>
      <c r="CC425" s="279"/>
      <c r="CD425" s="279"/>
      <c r="CE425" s="279"/>
      <c r="CF425" s="279"/>
      <c r="CG425" s="279"/>
      <c r="CH425" s="279"/>
      <c r="CI425" s="279"/>
      <c r="CJ425" s="279"/>
      <c r="CK425" s="279"/>
      <c r="CL425" s="279"/>
      <c r="CM425" s="279"/>
      <c r="CN425" s="382"/>
    </row>
    <row r="426" ht="19.5" customHeight="true" x14ac:dyDescent="0.3">
      <c r="B426" s="361"/>
      <c r="C426" s="279"/>
      <c r="D426" s="280"/>
      <c r="E426" s="287"/>
      <c r="F426" s="287"/>
      <c r="G426" s="287"/>
      <c r="H426" s="1292">
        <f t="shared" si="16"/>
        <v>49</v>
      </c>
      <c r="I426" s="1190" t="str">
        <f>IF('I. Stream &amp; Compound Data'!AW310&lt;&gt;"",'I. Stream &amp; Compound Data'!AW310,"")</f>
        <v/>
      </c>
      <c r="J426" s="1295" t="str">
        <f>IF('I. Stream &amp; Compound Data'!AR310&lt;&gt;"",'I. Stream &amp; Compound Data'!AR310,IF('I. Stream &amp; Compound Data'!AS310&lt;&gt;"",'I. Stream &amp; Compound Data'!AS310,""))</f>
        <v/>
      </c>
      <c r="K426" s="1295" t="str">
        <f>IF('I. Stream &amp; Compound Data'!BC310&lt;&gt;"",'I. Stream &amp; Compound Data'!BC310-'I. Stream &amp; Compound Data'!F$19,"")</f>
        <v/>
      </c>
      <c r="L426" s="1306" t="str">
        <f>IF(H426&gt;'I. Stream &amp; Compound Data'!$F$18,"",IF(I426="","N/A",IF(OR(I426=3,I426=4),1,IF(I426=2,0.8,IF(I426=1,0.6,0)))))</f>
        <v/>
      </c>
      <c r="M426" s="1168" t="str">
        <f>IF(H426&gt;'I. Stream &amp; Compound Data'!$F$18,"",IF(L426="N/A",IF(J426="","N/A",IF(OR(J426=1,J426=2,J426=3,J426=6,J426=17),1,IF(OR(J426=5,J426=19,J426=44),0.8,"N/A"))),"N/A"))</f>
        <v/>
      </c>
      <c r="N426" s="1242" t="str">
        <f>IF(H426&gt;'I. Stream &amp; Compound Data'!$F$18,"",IF(AND(L426="N/A",M426="N/A"),IF(K426="","N/A",ROUND(IF(K426&lt;=0,1,IF(AND(K426&gt;0,K426&lt;200),-0.005*K426+1,0)),3)),"N/A"))</f>
        <v/>
      </c>
      <c r="O426" s="1242" t="str">
        <f>IF(H426&gt;'I. Stream &amp; Compound Data'!$F$18,"",IF(I190="","N/A",IF(L426&lt;&gt;"N/A",L426,IF(M426&lt;&gt;"N/A",M426,IF(N426&lt;&gt;"N/A",N426,"NO DATA AVAILABLE")))))</f>
        <v/>
      </c>
      <c r="P426" s="1242" t="str">
        <f>IF(H426&gt;'I. Stream &amp; Compound Data'!$F$18,"",MAX(K190:L190))</f>
        <v/>
      </c>
      <c r="Q426" s="1268" t="str">
        <f>IF(H426&gt;'I. Stream &amp; Compound Data'!$F$18,"",IF(O426="N/A",0,O426/'I. Stream &amp; Compound Data'!F$18))</f>
        <v/>
      </c>
      <c r="R426" s="297"/>
      <c r="S426" s="298"/>
      <c r="T426" s="298"/>
      <c r="U426" s="299"/>
      <c r="V426" s="279"/>
      <c r="W426" s="279"/>
      <c r="X426" s="279"/>
      <c r="Y426" s="279"/>
      <c r="Z426" s="279"/>
      <c r="AA426" s="279"/>
      <c r="AB426" s="279"/>
      <c r="AC426" s="279"/>
      <c r="AD426" s="279"/>
      <c r="AE426" s="279"/>
      <c r="AF426" s="279"/>
      <c r="AG426" s="279"/>
      <c r="AH426" s="279"/>
      <c r="AI426" s="279"/>
      <c r="AJ426" s="279"/>
      <c r="AK426" s="279"/>
      <c r="AL426" s="279"/>
      <c r="AM426" s="279"/>
      <c r="AN426" s="279"/>
      <c r="AO426" s="279"/>
      <c r="AP426" s="279"/>
      <c r="AQ426" s="279"/>
      <c r="AR426" s="279"/>
      <c r="AS426" s="279"/>
      <c r="AT426" s="279"/>
      <c r="AU426" s="279"/>
      <c r="AV426" s="279"/>
      <c r="AW426" s="279"/>
      <c r="AX426" s="279"/>
      <c r="AY426" s="279"/>
      <c r="AZ426" s="279"/>
      <c r="BA426" s="279"/>
      <c r="BB426" s="279"/>
      <c r="BC426" s="279"/>
      <c r="BD426" s="279"/>
      <c r="BE426" s="279"/>
      <c r="BF426" s="279"/>
      <c r="BG426" s="279"/>
      <c r="BH426" s="279"/>
      <c r="BI426" s="279"/>
      <c r="BJ426" s="279"/>
      <c r="BK426" s="279"/>
      <c r="BL426" s="279"/>
      <c r="BM426" s="279"/>
      <c r="BN426" s="279"/>
      <c r="BO426" s="279"/>
      <c r="BP426" s="279"/>
      <c r="BQ426" s="279"/>
      <c r="BR426" s="279"/>
      <c r="BS426" s="279"/>
      <c r="BT426" s="279"/>
      <c r="BU426" s="279"/>
      <c r="BV426" s="279"/>
      <c r="BW426" s="279"/>
      <c r="BX426" s="279"/>
      <c r="BY426" s="279"/>
      <c r="BZ426" s="279"/>
      <c r="CA426" s="279"/>
      <c r="CB426" s="279"/>
      <c r="CC426" s="279"/>
      <c r="CD426" s="279"/>
      <c r="CE426" s="279"/>
      <c r="CF426" s="279"/>
      <c r="CG426" s="279"/>
      <c r="CH426" s="279"/>
      <c r="CI426" s="279"/>
      <c r="CJ426" s="279"/>
      <c r="CK426" s="279"/>
      <c r="CL426" s="279"/>
      <c r="CM426" s="279"/>
      <c r="CN426" s="382"/>
    </row>
    <row r="427" ht="19.5" customHeight="true" thickBot="true" x14ac:dyDescent="0.35">
      <c r="B427" s="361"/>
      <c r="C427" s="279"/>
      <c r="D427" s="280"/>
      <c r="E427" s="287"/>
      <c r="F427" s="287"/>
      <c r="G427" s="287"/>
      <c r="H427" s="1298">
        <f t="shared" si="16"/>
        <v>50</v>
      </c>
      <c r="I427" s="1259" t="str">
        <f>IF('I. Stream &amp; Compound Data'!AW311&lt;&gt;"",'I. Stream &amp; Compound Data'!AW311,"")</f>
        <v/>
      </c>
      <c r="J427" s="1301" t="str">
        <f>IF('I. Stream &amp; Compound Data'!AR311&lt;&gt;"",'I. Stream &amp; Compound Data'!AR311,IF('I. Stream &amp; Compound Data'!AS311&lt;&gt;"",'I. Stream &amp; Compound Data'!AS311,""))</f>
        <v/>
      </c>
      <c r="K427" s="1301" t="str">
        <f>IF('I. Stream &amp; Compound Data'!BC311&lt;&gt;"",'I. Stream &amp; Compound Data'!BC311-'I. Stream &amp; Compound Data'!F$19,"")</f>
        <v/>
      </c>
      <c r="L427" s="1308" t="str">
        <f>IF(H427&gt;'I. Stream &amp; Compound Data'!$F$18,"",IF(I427="","N/A",IF(OR(I427=3,I427=4),1,IF(I427=2,0.8,IF(I427=1,0.6,0)))))</f>
        <v/>
      </c>
      <c r="M427" s="1225" t="str">
        <f>IF(H427&gt;'I. Stream &amp; Compound Data'!$F$18,"",IF(L427="N/A",IF(J427="","N/A",IF(OR(J427=1,J427=2,J427=3,J427=6,J427=17),1,IF(OR(J427=5,J427=19,J427=44),0.8,"N/A"))),"N/A"))</f>
        <v/>
      </c>
      <c r="N427" s="1210" t="str">
        <f>IF(H427&gt;'I. Stream &amp; Compound Data'!$F$18,"",IF(AND(L427="N/A",M427="N/A"),IF(K427="","N/A",ROUND(IF(K427&lt;=0,1,IF(AND(K427&gt;0,K427&lt;200),-0.005*K427+1,0)),3)),"N/A"))</f>
        <v/>
      </c>
      <c r="O427" s="1210" t="str">
        <f>IF(H427&gt;'I. Stream &amp; Compound Data'!$F$18,"",IF(I191="","N/A",IF(L427&lt;&gt;"N/A",L427,IF(M427&lt;&gt;"N/A",M427,IF(N427&lt;&gt;"N/A",N427,"NO DATA AVAILABLE")))))</f>
        <v/>
      </c>
      <c r="P427" s="1210" t="str">
        <f>IF(H427&gt;'I. Stream &amp; Compound Data'!$F$18,"",MAX(K191:L191))</f>
        <v/>
      </c>
      <c r="Q427" s="1270" t="str">
        <f>IF(H427&gt;'I. Stream &amp; Compound Data'!$F$18,"",IF(O427="N/A",0,O427/'I. Stream &amp; Compound Data'!F$18))</f>
        <v/>
      </c>
      <c r="R427" s="297"/>
      <c r="S427" s="298"/>
      <c r="T427" s="298"/>
      <c r="U427" s="299"/>
      <c r="V427" s="279"/>
      <c r="W427" s="279"/>
      <c r="X427" s="279"/>
      <c r="Y427" s="279"/>
      <c r="Z427" s="279"/>
      <c r="AA427" s="279"/>
      <c r="AB427" s="279"/>
      <c r="AC427" s="279"/>
      <c r="AD427" s="279"/>
      <c r="AE427" s="279"/>
      <c r="AF427" s="279"/>
      <c r="AG427" s="279"/>
      <c r="AH427" s="279"/>
      <c r="AI427" s="279"/>
      <c r="AJ427" s="279"/>
      <c r="AK427" s="279"/>
      <c r="AL427" s="279"/>
      <c r="AM427" s="279"/>
      <c r="AN427" s="279"/>
      <c r="AO427" s="279"/>
      <c r="AP427" s="279"/>
      <c r="AQ427" s="279"/>
      <c r="AR427" s="279"/>
      <c r="AS427" s="279"/>
      <c r="AT427" s="279"/>
      <c r="AU427" s="279"/>
      <c r="AV427" s="279"/>
      <c r="AW427" s="279"/>
      <c r="AX427" s="279"/>
      <c r="AY427" s="279"/>
      <c r="AZ427" s="279"/>
      <c r="BA427" s="279"/>
      <c r="BB427" s="279"/>
      <c r="BC427" s="279"/>
      <c r="BD427" s="279"/>
      <c r="BE427" s="279"/>
      <c r="BF427" s="279"/>
      <c r="BG427" s="279"/>
      <c r="BH427" s="279"/>
      <c r="BI427" s="279"/>
      <c r="BJ427" s="279"/>
      <c r="BK427" s="279"/>
      <c r="BL427" s="279"/>
      <c r="BM427" s="279"/>
      <c r="BN427" s="279"/>
      <c r="BO427" s="279"/>
      <c r="BP427" s="279"/>
      <c r="BQ427" s="279"/>
      <c r="BR427" s="279"/>
      <c r="BS427" s="279"/>
      <c r="BT427" s="279"/>
      <c r="BU427" s="279"/>
      <c r="BV427" s="279"/>
      <c r="BW427" s="279"/>
      <c r="BX427" s="279"/>
      <c r="BY427" s="279"/>
      <c r="BZ427" s="279"/>
      <c r="CA427" s="279"/>
      <c r="CB427" s="279"/>
      <c r="CC427" s="279"/>
      <c r="CD427" s="279"/>
      <c r="CE427" s="279"/>
      <c r="CF427" s="279"/>
      <c r="CG427" s="279"/>
      <c r="CH427" s="279"/>
      <c r="CI427" s="279"/>
      <c r="CJ427" s="279"/>
      <c r="CK427" s="279"/>
      <c r="CL427" s="279"/>
      <c r="CM427" s="279"/>
      <c r="CN427" s="382"/>
    </row>
    <row r="428" ht="19.5" customHeight="true" thickBot="true" x14ac:dyDescent="0.35">
      <c r="B428" s="361"/>
      <c r="C428" s="279"/>
      <c r="D428" s="280"/>
      <c r="E428" s="287"/>
      <c r="F428" s="287"/>
      <c r="G428" s="287"/>
      <c r="H428" s="280"/>
      <c r="I428" s="304"/>
      <c r="J428" s="279"/>
      <c r="K428" s="280"/>
      <c r="L428" s="362"/>
      <c r="M428" s="287"/>
      <c r="N428" s="296"/>
      <c r="O428" s="280"/>
      <c r="P428" s="287" t="s">
        <v>88</v>
      </c>
      <c r="Q428" s="1305">
        <f>SUM(Q378:Q427)</f>
        <v>0.15</v>
      </c>
      <c r="R428" s="297"/>
      <c r="S428" s="298"/>
      <c r="T428" s="298"/>
      <c r="U428" s="299"/>
      <c r="V428" s="279"/>
      <c r="W428" s="279"/>
      <c r="X428" s="279"/>
      <c r="Y428" s="279"/>
      <c r="Z428" s="279"/>
      <c r="AA428" s="279"/>
      <c r="AB428" s="279"/>
      <c r="AC428" s="279"/>
      <c r="AD428" s="279"/>
      <c r="AE428" s="279"/>
      <c r="AF428" s="279"/>
      <c r="AG428" s="279"/>
      <c r="AH428" s="279"/>
      <c r="AI428" s="279"/>
      <c r="AJ428" s="279"/>
      <c r="AK428" s="279"/>
      <c r="AL428" s="279"/>
      <c r="AM428" s="279"/>
      <c r="AN428" s="279"/>
      <c r="AO428" s="279"/>
      <c r="AP428" s="279"/>
      <c r="AQ428" s="279"/>
      <c r="AR428" s="279"/>
      <c r="AS428" s="279"/>
      <c r="AT428" s="279"/>
      <c r="AU428" s="279"/>
      <c r="AV428" s="279"/>
      <c r="AW428" s="279"/>
      <c r="AX428" s="279"/>
      <c r="AY428" s="279"/>
      <c r="AZ428" s="279"/>
      <c r="BA428" s="279"/>
      <c r="BB428" s="279"/>
      <c r="BC428" s="279"/>
      <c r="BD428" s="279"/>
      <c r="BE428" s="279"/>
      <c r="BF428" s="279"/>
      <c r="BG428" s="279"/>
      <c r="BH428" s="279"/>
      <c r="BI428" s="279"/>
      <c r="BJ428" s="279"/>
      <c r="BK428" s="279"/>
      <c r="BL428" s="279"/>
      <c r="BM428" s="279"/>
      <c r="BN428" s="279"/>
      <c r="BO428" s="279"/>
      <c r="BP428" s="279"/>
      <c r="BQ428" s="279"/>
      <c r="BR428" s="279"/>
      <c r="BS428" s="279"/>
      <c r="BT428" s="279"/>
      <c r="BU428" s="279"/>
      <c r="BV428" s="279"/>
      <c r="BW428" s="279"/>
      <c r="BX428" s="279"/>
      <c r="BY428" s="279"/>
      <c r="BZ428" s="279"/>
      <c r="CA428" s="279"/>
      <c r="CB428" s="279"/>
      <c r="CC428" s="279"/>
      <c r="CD428" s="279"/>
      <c r="CE428" s="279"/>
      <c r="CF428" s="279"/>
      <c r="CG428" s="279"/>
      <c r="CH428" s="279"/>
      <c r="CI428" s="279"/>
      <c r="CJ428" s="279"/>
      <c r="CK428" s="279"/>
      <c r="CL428" s="279"/>
      <c r="CM428" s="279"/>
      <c r="CN428" s="382"/>
    </row>
    <row r="429" ht="19.5" customHeight="true" x14ac:dyDescent="0.3">
      <c r="B429" s="361"/>
      <c r="C429" s="279"/>
      <c r="D429" s="280"/>
      <c r="E429" s="287"/>
      <c r="F429" s="287"/>
      <c r="G429" s="287"/>
      <c r="H429" s="280"/>
      <c r="I429" s="304"/>
      <c r="J429" s="279"/>
      <c r="K429" s="280"/>
      <c r="L429" s="362"/>
      <c r="M429" s="287"/>
      <c r="N429" s="296"/>
      <c r="O429" s="280"/>
      <c r="P429" s="287"/>
      <c r="Q429" s="287"/>
      <c r="R429" s="297"/>
      <c r="S429" s="298"/>
      <c r="T429" s="298"/>
      <c r="U429" s="299"/>
      <c r="V429" s="279"/>
      <c r="W429" s="279"/>
      <c r="X429" s="279"/>
      <c r="Y429" s="279"/>
      <c r="Z429" s="279"/>
      <c r="AA429" s="279"/>
      <c r="AB429" s="279"/>
      <c r="AC429" s="279"/>
      <c r="AD429" s="279"/>
      <c r="AE429" s="279"/>
      <c r="AF429" s="279"/>
      <c r="AG429" s="279"/>
      <c r="AH429" s="279"/>
      <c r="AI429" s="279"/>
      <c r="AJ429" s="279"/>
      <c r="AK429" s="279"/>
      <c r="AL429" s="279"/>
      <c r="AM429" s="279"/>
      <c r="AN429" s="279"/>
      <c r="AO429" s="279"/>
      <c r="AP429" s="279"/>
      <c r="AQ429" s="279"/>
      <c r="AR429" s="279"/>
      <c r="AS429" s="279"/>
      <c r="AT429" s="279"/>
      <c r="AU429" s="279"/>
      <c r="AV429" s="279"/>
      <c r="AW429" s="279"/>
      <c r="AX429" s="279"/>
      <c r="AY429" s="279"/>
      <c r="AZ429" s="279"/>
      <c r="BA429" s="279"/>
      <c r="BB429" s="279"/>
      <c r="BC429" s="279"/>
      <c r="BD429" s="279"/>
      <c r="BE429" s="279"/>
      <c r="BF429" s="279"/>
      <c r="BG429" s="279"/>
      <c r="BH429" s="279"/>
      <c r="BI429" s="279"/>
      <c r="BJ429" s="279"/>
      <c r="BK429" s="279"/>
      <c r="BL429" s="279"/>
      <c r="BM429" s="279"/>
      <c r="BN429" s="279"/>
      <c r="BO429" s="279"/>
      <c r="BP429" s="279"/>
      <c r="BQ429" s="279"/>
      <c r="BR429" s="279"/>
      <c r="BS429" s="279"/>
      <c r="BT429" s="279"/>
      <c r="BU429" s="279"/>
      <c r="BV429" s="279"/>
      <c r="BW429" s="279"/>
      <c r="BX429" s="279"/>
      <c r="BY429" s="279"/>
      <c r="BZ429" s="279"/>
      <c r="CA429" s="279"/>
      <c r="CB429" s="279"/>
      <c r="CC429" s="279"/>
      <c r="CD429" s="279"/>
      <c r="CE429" s="279"/>
      <c r="CF429" s="279"/>
      <c r="CG429" s="279"/>
      <c r="CH429" s="279"/>
      <c r="CI429" s="279"/>
      <c r="CJ429" s="279"/>
      <c r="CK429" s="279"/>
      <c r="CL429" s="279"/>
      <c r="CM429" s="279"/>
      <c r="CN429" s="382"/>
    </row>
    <row r="430" ht="19.5" customHeight="true" x14ac:dyDescent="0.3">
      <c r="B430" s="361"/>
      <c r="C430" s="279"/>
      <c r="D430" s="280"/>
      <c r="E430" s="287"/>
      <c r="F430" s="287"/>
      <c r="G430" s="287"/>
      <c r="H430" s="280"/>
      <c r="I430" s="304"/>
      <c r="J430" s="279"/>
      <c r="K430" s="280"/>
      <c r="L430" s="362"/>
      <c r="M430" s="287"/>
      <c r="N430" s="296"/>
      <c r="O430" s="280"/>
      <c r="P430" s="287"/>
      <c r="Q430" s="287"/>
      <c r="R430" s="297"/>
      <c r="S430" s="298"/>
      <c r="T430" s="298"/>
      <c r="U430" s="299"/>
      <c r="V430" s="279"/>
      <c r="W430" s="279"/>
      <c r="X430" s="279"/>
      <c r="Y430" s="279"/>
      <c r="Z430" s="279"/>
      <c r="AA430" s="279"/>
      <c r="AB430" s="279"/>
      <c r="AC430" s="279"/>
      <c r="AD430" s="279"/>
      <c r="AE430" s="279"/>
      <c r="AF430" s="279"/>
      <c r="AG430" s="279"/>
      <c r="AH430" s="279"/>
      <c r="AI430" s="279"/>
      <c r="AJ430" s="279"/>
      <c r="AK430" s="279"/>
      <c r="AL430" s="279"/>
      <c r="AM430" s="279"/>
      <c r="AN430" s="279"/>
      <c r="AO430" s="279"/>
      <c r="AP430" s="279"/>
      <c r="AQ430" s="279"/>
      <c r="AR430" s="279"/>
      <c r="AS430" s="279"/>
      <c r="AT430" s="279"/>
      <c r="AU430" s="279"/>
      <c r="AV430" s="279"/>
      <c r="AW430" s="279"/>
      <c r="AX430" s="279"/>
      <c r="AY430" s="279"/>
      <c r="AZ430" s="279"/>
      <c r="BA430" s="279"/>
      <c r="BB430" s="279"/>
      <c r="BC430" s="279"/>
      <c r="BD430" s="279"/>
      <c r="BE430" s="279"/>
      <c r="BF430" s="279"/>
      <c r="BG430" s="279"/>
      <c r="BH430" s="279"/>
      <c r="BI430" s="279"/>
      <c r="BJ430" s="279"/>
      <c r="BK430" s="279"/>
      <c r="BL430" s="279"/>
      <c r="BM430" s="279"/>
      <c r="BN430" s="279"/>
      <c r="BO430" s="279"/>
      <c r="BP430" s="279"/>
      <c r="BQ430" s="279"/>
      <c r="BR430" s="279"/>
      <c r="BS430" s="279"/>
      <c r="BT430" s="279"/>
      <c r="BU430" s="279"/>
      <c r="BV430" s="279"/>
      <c r="BW430" s="279"/>
      <c r="BX430" s="279"/>
      <c r="BY430" s="279"/>
      <c r="BZ430" s="279"/>
      <c r="CA430" s="279"/>
      <c r="CB430" s="279"/>
      <c r="CC430" s="279"/>
      <c r="CD430" s="279"/>
      <c r="CE430" s="279"/>
      <c r="CF430" s="279"/>
      <c r="CG430" s="279"/>
      <c r="CH430" s="279"/>
      <c r="CI430" s="279"/>
      <c r="CJ430" s="279"/>
      <c r="CK430" s="279"/>
      <c r="CL430" s="279"/>
      <c r="CM430" s="279"/>
      <c r="CN430" s="382"/>
    </row>
    <row r="431" x14ac:dyDescent="0.3">
      <c r="B431" s="361"/>
      <c r="C431" s="279"/>
      <c r="D431" s="280"/>
      <c r="E431" s="287"/>
      <c r="F431" s="287"/>
      <c r="G431" s="287"/>
      <c r="H431" s="280"/>
      <c r="I431" s="304"/>
      <c r="J431" s="279"/>
      <c r="K431" s="280"/>
      <c r="L431" s="362"/>
      <c r="M431" s="287"/>
      <c r="N431" s="296"/>
      <c r="O431" s="280"/>
      <c r="P431" s="280"/>
      <c r="Q431" s="279"/>
      <c r="R431" s="297"/>
      <c r="S431" s="298"/>
      <c r="T431" s="298"/>
      <c r="U431" s="299"/>
      <c r="V431" s="279"/>
      <c r="W431" s="279"/>
      <c r="X431" s="279"/>
      <c r="Y431" s="279"/>
      <c r="Z431" s="279"/>
      <c r="AA431" s="279"/>
      <c r="AB431" s="279"/>
      <c r="AC431" s="279"/>
      <c r="AD431" s="279"/>
      <c r="AE431" s="279"/>
      <c r="AF431" s="279"/>
      <c r="AG431" s="279"/>
      <c r="AH431" s="279"/>
      <c r="AI431" s="279"/>
      <c r="AJ431" s="279"/>
      <c r="AK431" s="279"/>
      <c r="AL431" s="279"/>
      <c r="AM431" s="279"/>
      <c r="AN431" s="279"/>
      <c r="AO431" s="279"/>
      <c r="AP431" s="279"/>
      <c r="AQ431" s="279"/>
      <c r="AR431" s="279"/>
      <c r="AS431" s="279"/>
      <c r="AT431" s="279"/>
      <c r="AU431" s="279"/>
      <c r="AV431" s="279"/>
      <c r="AW431" s="279"/>
      <c r="AX431" s="279"/>
      <c r="AY431" s="279"/>
      <c r="AZ431" s="279"/>
      <c r="BA431" s="279"/>
      <c r="BB431" s="279"/>
      <c r="BC431" s="279"/>
      <c r="BD431" s="279"/>
      <c r="BE431" s="279"/>
      <c r="BF431" s="279"/>
      <c r="BG431" s="279"/>
      <c r="BH431" s="279"/>
      <c r="BI431" s="279"/>
      <c r="BJ431" s="279"/>
      <c r="BK431" s="279"/>
      <c r="BL431" s="279"/>
      <c r="BM431" s="279"/>
      <c r="BN431" s="279"/>
      <c r="BO431" s="279"/>
      <c r="BP431" s="279"/>
      <c r="BQ431" s="279"/>
      <c r="BR431" s="279"/>
      <c r="BS431" s="279"/>
      <c r="BT431" s="279"/>
      <c r="BU431" s="279"/>
      <c r="BV431" s="279"/>
      <c r="BW431" s="279"/>
      <c r="BX431" s="279"/>
      <c r="BY431" s="279"/>
      <c r="BZ431" s="279"/>
      <c r="CA431" s="279"/>
      <c r="CB431" s="279"/>
      <c r="CC431" s="279"/>
      <c r="CD431" s="279"/>
      <c r="CE431" s="279"/>
      <c r="CF431" s="279"/>
      <c r="CG431" s="279"/>
      <c r="CH431" s="279"/>
      <c r="CI431" s="279"/>
      <c r="CJ431" s="279"/>
      <c r="CK431" s="279"/>
      <c r="CL431" s="279"/>
      <c r="CM431" s="279"/>
      <c r="CN431" s="382"/>
    </row>
    <row r="432" x14ac:dyDescent="0.3">
      <c r="B432" s="361"/>
      <c r="C432" s="279"/>
      <c r="D432" s="280"/>
      <c r="E432" s="287"/>
      <c r="F432" s="287"/>
      <c r="G432" s="287"/>
      <c r="H432" s="280"/>
      <c r="I432" s="304"/>
      <c r="J432" s="279"/>
      <c r="K432" s="280"/>
      <c r="L432" s="362"/>
      <c r="M432" s="287"/>
      <c r="N432" s="296"/>
      <c r="O432" s="280"/>
      <c r="P432" s="280"/>
      <c r="Q432" s="279"/>
      <c r="R432" s="297"/>
      <c r="S432" s="298"/>
      <c r="T432" s="298"/>
      <c r="U432" s="299"/>
      <c r="V432" s="279"/>
      <c r="W432" s="279"/>
      <c r="X432" s="279"/>
      <c r="Y432" s="279"/>
      <c r="Z432" s="279"/>
      <c r="AA432" s="279"/>
      <c r="AB432" s="279"/>
      <c r="AC432" s="279"/>
      <c r="AD432" s="279"/>
      <c r="AE432" s="279"/>
      <c r="AF432" s="279"/>
      <c r="AG432" s="279"/>
      <c r="AH432" s="279"/>
      <c r="AI432" s="279"/>
      <c r="AJ432" s="279"/>
      <c r="AK432" s="279"/>
      <c r="AL432" s="279"/>
      <c r="AM432" s="279"/>
      <c r="AN432" s="279"/>
      <c r="AO432" s="279"/>
      <c r="AP432" s="279"/>
      <c r="AQ432" s="279"/>
      <c r="AR432" s="279"/>
      <c r="AS432" s="279"/>
      <c r="AT432" s="279"/>
      <c r="AU432" s="279"/>
      <c r="AV432" s="279"/>
      <c r="AW432" s="279"/>
      <c r="AX432" s="279"/>
      <c r="AY432" s="279"/>
      <c r="AZ432" s="279"/>
      <c r="BA432" s="279"/>
      <c r="BB432" s="279"/>
      <c r="BC432" s="279"/>
      <c r="BD432" s="279"/>
      <c r="BE432" s="279"/>
      <c r="BF432" s="279"/>
      <c r="BG432" s="279"/>
      <c r="BH432" s="279"/>
      <c r="BI432" s="279"/>
      <c r="BJ432" s="279"/>
      <c r="BK432" s="279"/>
      <c r="BL432" s="279"/>
      <c r="BM432" s="279"/>
      <c r="BN432" s="279"/>
      <c r="BO432" s="279"/>
      <c r="BP432" s="279"/>
      <c r="BQ432" s="279"/>
      <c r="BR432" s="279"/>
      <c r="BS432" s="279"/>
      <c r="BT432" s="279"/>
      <c r="BU432" s="279"/>
      <c r="BV432" s="279"/>
      <c r="BW432" s="279"/>
      <c r="BX432" s="279"/>
      <c r="BY432" s="279"/>
      <c r="BZ432" s="279"/>
      <c r="CA432" s="279"/>
      <c r="CB432" s="279"/>
      <c r="CC432" s="279"/>
      <c r="CD432" s="279"/>
      <c r="CE432" s="279"/>
      <c r="CF432" s="279"/>
      <c r="CG432" s="279"/>
      <c r="CH432" s="279"/>
      <c r="CI432" s="279"/>
      <c r="CJ432" s="279"/>
      <c r="CK432" s="279"/>
      <c r="CL432" s="279"/>
      <c r="CM432" s="279"/>
      <c r="CN432" s="382"/>
    </row>
    <row r="433" ht="16.2" thickBot="true" x14ac:dyDescent="0.35">
      <c r="B433" s="361"/>
      <c r="C433" s="279"/>
      <c r="D433" s="280"/>
      <c r="E433" s="287"/>
      <c r="F433" s="287"/>
      <c r="G433" s="287"/>
      <c r="H433" s="280"/>
      <c r="I433" s="304"/>
      <c r="J433" s="279"/>
      <c r="K433" s="280"/>
      <c r="L433" s="362"/>
      <c r="M433" s="287"/>
      <c r="N433" s="296"/>
      <c r="O433" s="280"/>
      <c r="P433" s="280"/>
      <c r="Q433" s="279"/>
      <c r="R433" s="297"/>
      <c r="S433" s="298"/>
      <c r="T433" s="298"/>
      <c r="U433" s="299"/>
      <c r="V433" s="279"/>
      <c r="W433" s="279"/>
      <c r="X433" s="279"/>
      <c r="Y433" s="279"/>
      <c r="Z433" s="279"/>
      <c r="AA433" s="279"/>
      <c r="AB433" s="279"/>
      <c r="AC433" s="279"/>
      <c r="AD433" s="279"/>
      <c r="AE433" s="279"/>
      <c r="AF433" s="279"/>
      <c r="AG433" s="279"/>
      <c r="AH433" s="279"/>
      <c r="AI433" s="279"/>
      <c r="AJ433" s="279"/>
      <c r="AK433" s="279"/>
      <c r="AL433" s="279"/>
      <c r="AM433" s="279"/>
      <c r="AN433" s="279"/>
      <c r="AO433" s="279"/>
      <c r="AP433" s="279"/>
      <c r="AQ433" s="279"/>
      <c r="AR433" s="279"/>
      <c r="AS433" s="279"/>
      <c r="AT433" s="279"/>
      <c r="AU433" s="279"/>
      <c r="AV433" s="279"/>
      <c r="AW433" s="279"/>
      <c r="AX433" s="279"/>
      <c r="AY433" s="279"/>
      <c r="AZ433" s="279"/>
      <c r="BA433" s="279"/>
      <c r="BB433" s="279"/>
      <c r="BC433" s="279"/>
      <c r="BD433" s="279"/>
      <c r="BE433" s="279"/>
      <c r="BF433" s="279"/>
      <c r="BG433" s="279"/>
      <c r="BH433" s="279"/>
      <c r="BI433" s="279"/>
      <c r="BJ433" s="279"/>
      <c r="BK433" s="279"/>
      <c r="BL433" s="279"/>
      <c r="BM433" s="279"/>
      <c r="BN433" s="279"/>
      <c r="BO433" s="279"/>
      <c r="BP433" s="279"/>
      <c r="BQ433" s="279"/>
      <c r="BR433" s="279"/>
      <c r="BS433" s="279"/>
      <c r="BT433" s="279"/>
      <c r="BU433" s="279"/>
      <c r="BV433" s="279"/>
      <c r="BW433" s="279"/>
      <c r="BX433" s="279"/>
      <c r="BY433" s="279"/>
      <c r="BZ433" s="279"/>
      <c r="CA433" s="279"/>
      <c r="CB433" s="279"/>
      <c r="CC433" s="279"/>
      <c r="CD433" s="279"/>
      <c r="CE433" s="279"/>
      <c r="CF433" s="279"/>
      <c r="CG433" s="279"/>
      <c r="CH433" s="279"/>
      <c r="CI433" s="279"/>
      <c r="CJ433" s="279"/>
      <c r="CK433" s="279"/>
      <c r="CL433" s="279"/>
      <c r="CM433" s="279"/>
      <c r="CN433" s="382"/>
    </row>
    <row r="434" ht="27" customHeight="true" thickBot="true" x14ac:dyDescent="0.35">
      <c r="B434" s="361"/>
      <c r="C434" s="279"/>
      <c r="D434" s="280"/>
      <c r="E434" s="287"/>
      <c r="F434" s="287"/>
      <c r="G434" s="287"/>
      <c r="H434" s="1950" t="s">
        <v>277</v>
      </c>
      <c r="I434" s="1951"/>
      <c r="J434" s="1951"/>
      <c r="K434" s="1951"/>
      <c r="L434" s="1952"/>
      <c r="M434" s="287"/>
      <c r="N434" s="296"/>
      <c r="O434" s="280"/>
      <c r="P434" s="280"/>
      <c r="Q434" s="279"/>
      <c r="R434" s="297"/>
      <c r="S434" s="298"/>
      <c r="T434" s="298"/>
      <c r="U434" s="299"/>
      <c r="V434" s="279"/>
      <c r="W434" s="279"/>
      <c r="X434" s="279"/>
      <c r="Y434" s="279"/>
      <c r="Z434" s="279"/>
      <c r="AA434" s="279"/>
      <c r="AB434" s="279"/>
      <c r="AC434" s="279"/>
      <c r="AD434" s="279"/>
      <c r="AE434" s="279"/>
      <c r="AF434" s="279"/>
      <c r="AG434" s="279"/>
      <c r="AH434" s="279"/>
      <c r="AI434" s="279"/>
      <c r="AJ434" s="279"/>
      <c r="AK434" s="279"/>
      <c r="AL434" s="279"/>
      <c r="AM434" s="279"/>
      <c r="AN434" s="279"/>
      <c r="AO434" s="279"/>
      <c r="AP434" s="279"/>
      <c r="AQ434" s="279"/>
      <c r="AR434" s="279"/>
      <c r="AS434" s="279"/>
      <c r="AT434" s="279"/>
      <c r="AU434" s="279"/>
      <c r="AV434" s="279"/>
      <c r="AW434" s="279"/>
      <c r="AX434" s="279"/>
      <c r="AY434" s="279"/>
      <c r="AZ434" s="279"/>
      <c r="BA434" s="279"/>
      <c r="BB434" s="279"/>
      <c r="BC434" s="279"/>
      <c r="BD434" s="279"/>
      <c r="BE434" s="279"/>
      <c r="BF434" s="279"/>
      <c r="BG434" s="279"/>
      <c r="BH434" s="279"/>
      <c r="BI434" s="279"/>
      <c r="BJ434" s="279"/>
      <c r="BK434" s="279"/>
      <c r="BL434" s="279"/>
      <c r="BM434" s="279"/>
      <c r="BN434" s="279"/>
      <c r="BO434" s="279"/>
      <c r="BP434" s="279"/>
      <c r="BQ434" s="279"/>
      <c r="BR434" s="279"/>
      <c r="BS434" s="279"/>
      <c r="BT434" s="279"/>
      <c r="BU434" s="279"/>
      <c r="BV434" s="279"/>
      <c r="BW434" s="279"/>
      <c r="BX434" s="279"/>
      <c r="BY434" s="279"/>
      <c r="BZ434" s="279"/>
      <c r="CA434" s="279"/>
      <c r="CB434" s="279"/>
      <c r="CC434" s="279"/>
      <c r="CD434" s="279"/>
      <c r="CE434" s="279"/>
      <c r="CF434" s="279"/>
      <c r="CG434" s="279"/>
      <c r="CH434" s="279"/>
      <c r="CI434" s="279"/>
      <c r="CJ434" s="279"/>
      <c r="CK434" s="279"/>
      <c r="CL434" s="279"/>
      <c r="CM434" s="279"/>
      <c r="CN434" s="382"/>
    </row>
    <row r="435" ht="28.8" x14ac:dyDescent="0.25">
      <c r="B435" s="361"/>
      <c r="C435" s="279"/>
      <c r="D435" s="280"/>
      <c r="E435" s="287"/>
      <c r="F435" s="287"/>
      <c r="G435" s="287"/>
      <c r="H435" s="282" t="s">
        <v>1469</v>
      </c>
      <c r="I435" s="267" t="s">
        <v>280</v>
      </c>
      <c r="J435" s="267" t="s">
        <v>279</v>
      </c>
      <c r="K435" s="1166" t="s">
        <v>249</v>
      </c>
      <c r="L435" s="267" t="s">
        <v>281</v>
      </c>
      <c r="M435" s="1949" t="s">
        <v>254</v>
      </c>
      <c r="N435" s="1949"/>
      <c r="O435" s="1949"/>
      <c r="P435" s="288" t="s">
        <v>253</v>
      </c>
      <c r="Q435" s="283" t="s">
        <v>273</v>
      </c>
      <c r="R435" s="283" t="s">
        <v>255</v>
      </c>
      <c r="S435" s="294" t="s">
        <v>282</v>
      </c>
      <c r="T435" s="295" t="s">
        <v>283</v>
      </c>
      <c r="U435" s="299"/>
      <c r="V435" s="279"/>
      <c r="W435" s="279"/>
      <c r="X435" s="279"/>
      <c r="Y435" s="279"/>
      <c r="Z435" s="279"/>
      <c r="AA435" s="279"/>
      <c r="AB435" s="279"/>
      <c r="AC435" s="279"/>
      <c r="AD435" s="279"/>
      <c r="AE435" s="279"/>
      <c r="AF435" s="279"/>
      <c r="AG435" s="279"/>
      <c r="AH435" s="279"/>
      <c r="AI435" s="279"/>
      <c r="AJ435" s="279"/>
      <c r="AK435" s="279"/>
      <c r="AL435" s="279"/>
      <c r="AM435" s="279"/>
      <c r="AN435" s="279"/>
      <c r="AO435" s="279"/>
      <c r="AP435" s="279"/>
      <c r="AQ435" s="279"/>
      <c r="AR435" s="279"/>
      <c r="AS435" s="279"/>
      <c r="AT435" s="279"/>
      <c r="AU435" s="279"/>
      <c r="AV435" s="279"/>
      <c r="AW435" s="279"/>
      <c r="AX435" s="279"/>
      <c r="AY435" s="279"/>
      <c r="AZ435" s="279"/>
      <c r="BA435" s="279"/>
      <c r="BB435" s="279"/>
      <c r="BC435" s="279"/>
      <c r="BD435" s="279"/>
      <c r="BE435" s="279"/>
      <c r="BF435" s="279"/>
      <c r="BG435" s="279"/>
      <c r="BH435" s="279"/>
      <c r="BI435" s="279"/>
      <c r="BJ435" s="279"/>
      <c r="BK435" s="279"/>
      <c r="BL435" s="279"/>
      <c r="BM435" s="279"/>
      <c r="BN435" s="279"/>
      <c r="BO435" s="279"/>
      <c r="BP435" s="279"/>
      <c r="BQ435" s="279"/>
      <c r="BR435" s="279"/>
      <c r="BS435" s="279"/>
      <c r="BT435" s="279"/>
      <c r="BU435" s="279"/>
      <c r="BV435" s="279"/>
      <c r="BW435" s="279"/>
      <c r="BX435" s="279"/>
      <c r="BY435" s="279"/>
      <c r="BZ435" s="279"/>
      <c r="CA435" s="279"/>
      <c r="CB435" s="279"/>
      <c r="CC435" s="279"/>
      <c r="CD435" s="279"/>
      <c r="CE435" s="279"/>
      <c r="CF435" s="279"/>
      <c r="CG435" s="279"/>
      <c r="CH435" s="279"/>
      <c r="CI435" s="279"/>
      <c r="CJ435" s="279"/>
      <c r="CK435" s="279"/>
      <c r="CL435" s="279"/>
      <c r="CM435" s="279"/>
      <c r="CN435" s="382"/>
    </row>
    <row r="436" x14ac:dyDescent="0.25">
      <c r="B436" s="361"/>
      <c r="C436" s="279"/>
      <c r="D436" s="280"/>
      <c r="E436" s="287"/>
      <c r="F436" s="287"/>
      <c r="G436" s="287"/>
      <c r="H436" s="1292">
        <f t="shared" ref="H436:H485" si="17">H142</f>
        <v>1</v>
      </c>
      <c r="I436" s="1295" t="str">
        <f>IF('I. Stream &amp; Compound Data'!BD262&lt;&gt;"",'I. Stream &amp; Compound Data'!BD262,"")</f>
        <v/>
      </c>
      <c r="J436" s="1295" t="str">
        <f>IF('I. Stream &amp; Compound Data'!BE262&lt;&gt;"",'I. Stream &amp; Compound Data'!BE262,"")</f>
        <v/>
      </c>
      <c r="K436" s="1190">
        <f>IF('I. Stream &amp; Compound Data'!AW262&lt;&gt;"",'I. Stream &amp; Compound Data'!AW262,"")</f>
        <v>0</v>
      </c>
      <c r="L436" s="1190">
        <f>IF(H436&gt;'I. Stream &amp; Compound Data'!$F$18,"",IF(IF(I436&lt;&gt;"",I436,IF(J436&lt;&gt;"",J436,IF('I. Stream &amp; Compound Data'!BB262&lt;&gt;"",'I. Stream &amp; Compound Data'!BB262,0)))&gt;=0, IF(I436&lt;&gt;"",I436,IF(J436&lt;&gt;"",J436,IF('I. Stream &amp; Compound Data'!BB262&lt;&gt;"",'I. Stream &amp; Compound Data'!BB262,0))),"Endotermic value"))</f>
        <v>0</v>
      </c>
      <c r="M436" s="290" t="str">
        <f>IF(H436&gt;'I. Stream &amp; Compound Data'!$F$18,"",IF(I436="","N/A",ROUND(IF(I436&lt;=0,0,IF(AND(I436&gt;0,I436&lt;2000),0.0005*I436,1)),3)))</f>
        <v>N/A</v>
      </c>
      <c r="N436" s="1168" t="str">
        <f>IF(H436&gt;'I. Stream &amp; Compound Data'!$F$18,"",IF(M436="N/A",IF(J436="","N/A",ROUND(IF(J436&lt;=0,0,IF(AND(J436&gt;0,J436&lt;2000),0.0005*J436,1)),3)),"N/A"))</f>
        <v>N/A</v>
      </c>
      <c r="O436" s="1287">
        <f>IF(H436&gt;'I. Stream &amp; Compound Data'!$F$18,"",IF(AND(M436="N/A",N436="N/A"),IF(K436="","N/A",IF(OR(K436=3,K436=4),1,IF(K436=2,0.75,IF(K436=1,0.25,0)))),"N/A"))</f>
        <v>0</v>
      </c>
      <c r="P436" s="1294">
        <f>IF(H436&gt;'I. Stream &amp; Compound Data'!$F$18,"",IF(I142="","N/A",IF(M436&lt;&gt;"N/A",M436,IF(N436&lt;&gt;"N/A",N436,IF(O436&lt;&gt;"N/A",O436,"NO DATA AVAILABLE")))))</f>
        <v>0</v>
      </c>
      <c r="Q436" s="1294">
        <f>IF(H436&gt;'I. Stream &amp; Compound Data'!$F$18,"",IF(P436="N/A",0,L436*10^(2*P436-2)))</f>
        <v>0</v>
      </c>
      <c r="R436" s="1294">
        <f>IF(H436&gt;'I. Stream &amp; Compound Data'!$F$18,"",MAX(K142:L142))</f>
        <v>2980.7504537999998</v>
      </c>
      <c r="S436" s="1294">
        <f>IF(H436&gt;'I. Stream &amp; Compound Data'!$F$18,"",ROUND(Q436*R436,3))</f>
        <v>0</v>
      </c>
      <c r="T436" s="1149">
        <f>IF(H436&gt;'I. Stream &amp; Compound Data'!$F$18,"",ROUND(L436*R436,3))</f>
        <v>0</v>
      </c>
      <c r="U436" s="299"/>
      <c r="V436" s="279"/>
      <c r="W436" s="279"/>
      <c r="X436" s="279"/>
      <c r="Y436" s="279"/>
      <c r="Z436" s="279"/>
      <c r="AA436" s="279"/>
      <c r="AB436" s="279"/>
      <c r="AC436" s="279"/>
      <c r="AD436" s="279"/>
      <c r="AE436" s="279"/>
      <c r="AF436" s="279"/>
      <c r="AG436" s="279"/>
      <c r="AH436" s="279"/>
      <c r="AI436" s="279"/>
      <c r="AJ436" s="279"/>
      <c r="AK436" s="279"/>
      <c r="AL436" s="279"/>
      <c r="AM436" s="279"/>
      <c r="AN436" s="279"/>
      <c r="AO436" s="279"/>
      <c r="AP436" s="279"/>
      <c r="AQ436" s="279"/>
      <c r="AR436" s="279"/>
      <c r="AS436" s="279"/>
      <c r="AT436" s="279"/>
      <c r="AU436" s="279"/>
      <c r="AV436" s="279"/>
      <c r="AW436" s="279"/>
      <c r="AX436" s="279"/>
      <c r="AY436" s="279"/>
      <c r="AZ436" s="279"/>
      <c r="BA436" s="279"/>
      <c r="BB436" s="279"/>
      <c r="BC436" s="279"/>
      <c r="BD436" s="279"/>
      <c r="BE436" s="279"/>
      <c r="BF436" s="279"/>
      <c r="BG436" s="279"/>
      <c r="BH436" s="279"/>
      <c r="BI436" s="279"/>
      <c r="BJ436" s="279"/>
      <c r="BK436" s="279"/>
      <c r="BL436" s="279"/>
      <c r="BM436" s="279"/>
      <c r="BN436" s="279"/>
      <c r="BO436" s="279"/>
      <c r="BP436" s="279"/>
      <c r="BQ436" s="279"/>
      <c r="BR436" s="279"/>
      <c r="BS436" s="279"/>
      <c r="BT436" s="279"/>
      <c r="BU436" s="279"/>
      <c r="BV436" s="279"/>
      <c r="BW436" s="279"/>
      <c r="BX436" s="279"/>
      <c r="BY436" s="279"/>
      <c r="BZ436" s="279"/>
      <c r="CA436" s="279"/>
      <c r="CB436" s="279"/>
      <c r="CC436" s="279"/>
      <c r="CD436" s="279"/>
      <c r="CE436" s="279"/>
      <c r="CF436" s="279"/>
      <c r="CG436" s="279"/>
      <c r="CH436" s="279"/>
      <c r="CI436" s="279"/>
      <c r="CJ436" s="279"/>
      <c r="CK436" s="279"/>
      <c r="CL436" s="279"/>
      <c r="CM436" s="279"/>
      <c r="CN436" s="382"/>
    </row>
    <row r="437" x14ac:dyDescent="0.25">
      <c r="B437" s="361"/>
      <c r="C437" s="279"/>
      <c r="D437" s="280"/>
      <c r="E437" s="287"/>
      <c r="F437" s="287"/>
      <c r="G437" s="287"/>
      <c r="H437" s="1292">
        <f t="shared" si="17"/>
        <v>2</v>
      </c>
      <c r="I437" s="1295" t="str">
        <f>IF('I. Stream &amp; Compound Data'!BD263&lt;&gt;"",'I. Stream &amp; Compound Data'!BD263,"")</f>
        <v/>
      </c>
      <c r="J437" s="1295" t="str">
        <f>IF('I. Stream &amp; Compound Data'!BE263&lt;&gt;"",'I. Stream &amp; Compound Data'!BE263,"")</f>
        <v/>
      </c>
      <c r="K437" s="1190">
        <f>IF('I. Stream &amp; Compound Data'!AW263&lt;&gt;"",'I. Stream &amp; Compound Data'!AW263,"")</f>
        <v>0</v>
      </c>
      <c r="L437" s="1190">
        <f>IF(H437&gt;'I. Stream &amp; Compound Data'!$F$18,"",IF(IF(I437&lt;&gt;"",I437,IF(J437&lt;&gt;"",J437,IF('I. Stream &amp; Compound Data'!BB263&lt;&gt;"",'I. Stream &amp; Compound Data'!BB263,0)))&gt;=0, IF(I437&lt;&gt;"",I437,IF(J437&lt;&gt;"",J437,IF('I. Stream &amp; Compound Data'!BB263&lt;&gt;"",'I. Stream &amp; Compound Data'!BB263,0))),"Endotermic value"))</f>
        <v>0</v>
      </c>
      <c r="M437" s="290" t="str">
        <f>IF(H437&gt;'I. Stream &amp; Compound Data'!$F$18,"",IF(I437="","N/A",ROUND(IF(I437&lt;=0,0,IF(AND(I437&gt;0,I437&lt;2000),0.0005*I437,1)),3)))</f>
        <v>N/A</v>
      </c>
      <c r="N437" s="1168" t="str">
        <f>IF(H437&gt;'I. Stream &amp; Compound Data'!$F$18,"",IF(M437="N/A",IF(J437="","N/A",ROUND(IF(J437&lt;=0,0,IF(AND(J437&gt;0,J437&lt;2000),0.0005*J437,1)),3)),"N/A"))</f>
        <v>N/A</v>
      </c>
      <c r="O437" s="1287">
        <f>IF(H437&gt;'I. Stream &amp; Compound Data'!$F$18,"",IF(AND(M437="N/A",N437="N/A"),IF(K437="","N/A",IF(OR(K437=3,K437=4),1,IF(K437=2,0.75,IF(K437=1,0.25,0)))),"N/A"))</f>
        <v>0</v>
      </c>
      <c r="P437" s="1294">
        <f>IF(H437&gt;'I. Stream &amp; Compound Data'!$F$18,"",IF(I143="","N/A",IF(M437&lt;&gt;"N/A",M437,IF(N437&lt;&gt;"N/A",N437,IF(O437&lt;&gt;"N/A",O437,"NO DATA AVAILABLE")))))</f>
        <v>0</v>
      </c>
      <c r="Q437" s="1294">
        <f>IF(H437&gt;'I. Stream &amp; Compound Data'!$F$18,"",IF(P437="N/A",0,L437*10^(2*P437-2)))</f>
        <v>0</v>
      </c>
      <c r="R437" s="1294">
        <f>IF(H437&gt;'I. Stream &amp; Compound Data'!$F$18,"",MAX(K143:L143))</f>
        <v>0</v>
      </c>
      <c r="S437" s="1294">
        <f>IF(H437&gt;'I. Stream &amp; Compound Data'!$F$18,"",ROUND(Q437*R437,3))</f>
        <v>0</v>
      </c>
      <c r="T437" s="1149">
        <f>IF(H437&gt;'I. Stream &amp; Compound Data'!$F$18,"",ROUND(L437*R437,3))</f>
        <v>0</v>
      </c>
      <c r="U437" s="299"/>
      <c r="V437" s="279"/>
      <c r="W437" s="279"/>
      <c r="X437" s="279"/>
      <c r="Y437" s="279"/>
      <c r="Z437" s="279"/>
      <c r="AA437" s="279"/>
      <c r="AB437" s="279"/>
      <c r="AC437" s="279"/>
      <c r="AD437" s="279"/>
      <c r="AE437" s="279"/>
      <c r="AF437" s="279"/>
      <c r="AG437" s="279"/>
      <c r="AH437" s="279"/>
      <c r="AI437" s="279"/>
      <c r="AJ437" s="279"/>
      <c r="AK437" s="279"/>
      <c r="AL437" s="279"/>
      <c r="AM437" s="279"/>
      <c r="AN437" s="279"/>
      <c r="AO437" s="279"/>
      <c r="AP437" s="279"/>
      <c r="AQ437" s="279"/>
      <c r="AR437" s="279"/>
      <c r="AS437" s="279"/>
      <c r="AT437" s="279"/>
      <c r="AU437" s="279"/>
      <c r="AV437" s="279"/>
      <c r="AW437" s="279"/>
      <c r="AX437" s="279"/>
      <c r="AY437" s="279"/>
      <c r="AZ437" s="279"/>
      <c r="BA437" s="279"/>
      <c r="BB437" s="279"/>
      <c r="BC437" s="279"/>
      <c r="BD437" s="279"/>
      <c r="BE437" s="279"/>
      <c r="BF437" s="279"/>
      <c r="BG437" s="279"/>
      <c r="BH437" s="279"/>
      <c r="BI437" s="279"/>
      <c r="BJ437" s="279"/>
      <c r="BK437" s="279"/>
      <c r="BL437" s="279"/>
      <c r="BM437" s="279"/>
      <c r="BN437" s="279"/>
      <c r="BO437" s="279"/>
      <c r="BP437" s="279"/>
      <c r="BQ437" s="279"/>
      <c r="BR437" s="279"/>
      <c r="BS437" s="279"/>
      <c r="BT437" s="279"/>
      <c r="BU437" s="279"/>
      <c r="BV437" s="279"/>
      <c r="BW437" s="279"/>
      <c r="BX437" s="279"/>
      <c r="BY437" s="279"/>
      <c r="BZ437" s="279"/>
      <c r="CA437" s="279"/>
      <c r="CB437" s="279"/>
      <c r="CC437" s="279"/>
      <c r="CD437" s="279"/>
      <c r="CE437" s="279"/>
      <c r="CF437" s="279"/>
      <c r="CG437" s="279"/>
      <c r="CH437" s="279"/>
      <c r="CI437" s="279"/>
      <c r="CJ437" s="279"/>
      <c r="CK437" s="279"/>
      <c r="CL437" s="279"/>
      <c r="CM437" s="279"/>
      <c r="CN437" s="382"/>
    </row>
    <row r="438" x14ac:dyDescent="0.25">
      <c r="B438" s="361"/>
      <c r="C438" s="279"/>
      <c r="D438" s="280"/>
      <c r="E438" s="287"/>
      <c r="F438" s="287"/>
      <c r="G438" s="287"/>
      <c r="H438" s="1292">
        <f t="shared" si="17"/>
        <v>3</v>
      </c>
      <c r="I438" s="1295" t="str">
        <f>IF('I. Stream &amp; Compound Data'!BD264&lt;&gt;"",'I. Stream &amp; Compound Data'!BD264,"")</f>
        <v/>
      </c>
      <c r="J438" s="1295" t="str">
        <f>IF('I. Stream &amp; Compound Data'!BE264&lt;&gt;"",'I. Stream &amp; Compound Data'!BE264,"")</f>
        <v/>
      </c>
      <c r="K438" s="1190">
        <f>IF('I. Stream &amp; Compound Data'!AW264&lt;&gt;"",'I. Stream &amp; Compound Data'!AW264,"")</f>
        <v>1</v>
      </c>
      <c r="L438" s="1190">
        <f>IF(H438&gt;'I. Stream &amp; Compound Data'!$F$18,"",IF(IF(I438&lt;&gt;"",I438,IF(J438&lt;&gt;"",J438,IF('I. Stream &amp; Compound Data'!BB264&lt;&gt;"",'I. Stream &amp; Compound Data'!BB264,0)))&gt;=0, IF(I438&lt;&gt;"",I438,IF(J438&lt;&gt;"",J438,IF('I. Stream &amp; Compound Data'!BB264&lt;&gt;"",'I. Stream &amp; Compound Data'!BB264,0))),"Endotermic value"))</f>
        <v>0</v>
      </c>
      <c r="M438" s="290" t="str">
        <f>IF(H438&gt;'I. Stream &amp; Compound Data'!$F$18,"",IF(I438="","N/A",ROUND(IF(I438&lt;=0,0,IF(AND(I438&gt;0,I438&lt;2000),0.0005*I438,1)),3)))</f>
        <v>N/A</v>
      </c>
      <c r="N438" s="1168" t="str">
        <f>IF(H438&gt;'I. Stream &amp; Compound Data'!$F$18,"",IF(M438="N/A",IF(J438="","N/A",ROUND(IF(J438&lt;=0,0,IF(AND(J438&gt;0,J438&lt;2000),0.0005*J438,1)),3)),"N/A"))</f>
        <v>N/A</v>
      </c>
      <c r="O438" s="1287">
        <f>IF(H438&gt;'I. Stream &amp; Compound Data'!$F$18,"",IF(AND(M438="N/A",N438="N/A"),IF(K438="","N/A",IF(OR(K438=3,K438=4),1,IF(K438=2,0.75,IF(K438=1,0.25,0)))),"N/A"))</f>
        <v>0.25</v>
      </c>
      <c r="P438" s="1294">
        <f>IF(H438&gt;'I. Stream &amp; Compound Data'!$F$18,"",IF(I144="","N/A",IF(M438&lt;&gt;"N/A",M438,IF(N438&lt;&gt;"N/A",N438,IF(O438&lt;&gt;"N/A",O438,"NO DATA AVAILABLE")))))</f>
        <v>0.25</v>
      </c>
      <c r="Q438" s="1294">
        <f>IF(H438&gt;'I. Stream &amp; Compound Data'!$F$18,"",IF(P438="N/A",0,L438*10^(2*P438-2)))</f>
        <v>0</v>
      </c>
      <c r="R438" s="1294">
        <f>IF(H438&gt;'I. Stream &amp; Compound Data'!$F$18,"",MAX(K144:L144))</f>
        <v>2888.3362910273868</v>
      </c>
      <c r="S438" s="1294">
        <f>IF(H438&gt;'I. Stream &amp; Compound Data'!$F$18,"",ROUND(Q438*R438,3))</f>
        <v>0</v>
      </c>
      <c r="T438" s="1149">
        <f>IF(H438&gt;'I. Stream &amp; Compound Data'!$F$18,"",ROUND(L438*R438,3))</f>
        <v>0</v>
      </c>
      <c r="U438" s="299"/>
      <c r="V438" s="279"/>
      <c r="W438" s="279"/>
      <c r="X438" s="279"/>
      <c r="Y438" s="279"/>
      <c r="Z438" s="279"/>
      <c r="AA438" s="279"/>
      <c r="AB438" s="279"/>
      <c r="AC438" s="279"/>
      <c r="AD438" s="279"/>
      <c r="AE438" s="279"/>
      <c r="AF438" s="279"/>
      <c r="AG438" s="279"/>
      <c r="AH438" s="279"/>
      <c r="AI438" s="279"/>
      <c r="AJ438" s="279"/>
      <c r="AK438" s="279"/>
      <c r="AL438" s="279"/>
      <c r="AM438" s="279"/>
      <c r="AN438" s="279"/>
      <c r="AO438" s="279"/>
      <c r="AP438" s="279"/>
      <c r="AQ438" s="279"/>
      <c r="AR438" s="279"/>
      <c r="AS438" s="279"/>
      <c r="AT438" s="279"/>
      <c r="AU438" s="279"/>
      <c r="AV438" s="279"/>
      <c r="AW438" s="279"/>
      <c r="AX438" s="279"/>
      <c r="AY438" s="279"/>
      <c r="AZ438" s="279"/>
      <c r="BA438" s="279"/>
      <c r="BB438" s="279"/>
      <c r="BC438" s="279"/>
      <c r="BD438" s="279"/>
      <c r="BE438" s="279"/>
      <c r="BF438" s="279"/>
      <c r="BG438" s="279"/>
      <c r="BH438" s="279"/>
      <c r="BI438" s="279"/>
      <c r="BJ438" s="279"/>
      <c r="BK438" s="279"/>
      <c r="BL438" s="279"/>
      <c r="BM438" s="279"/>
      <c r="BN438" s="279"/>
      <c r="BO438" s="279"/>
      <c r="BP438" s="279"/>
      <c r="BQ438" s="279"/>
      <c r="BR438" s="279"/>
      <c r="BS438" s="279"/>
      <c r="BT438" s="279"/>
      <c r="BU438" s="279"/>
      <c r="BV438" s="279"/>
      <c r="BW438" s="279"/>
      <c r="BX438" s="279"/>
      <c r="BY438" s="279"/>
      <c r="BZ438" s="279"/>
      <c r="CA438" s="279"/>
      <c r="CB438" s="279"/>
      <c r="CC438" s="279"/>
      <c r="CD438" s="279"/>
      <c r="CE438" s="279"/>
      <c r="CF438" s="279"/>
      <c r="CG438" s="279"/>
      <c r="CH438" s="279"/>
      <c r="CI438" s="279"/>
      <c r="CJ438" s="279"/>
      <c r="CK438" s="279"/>
      <c r="CL438" s="279"/>
      <c r="CM438" s="279"/>
      <c r="CN438" s="382"/>
    </row>
    <row r="439" x14ac:dyDescent="0.25">
      <c r="B439" s="361"/>
      <c r="C439" s="279"/>
      <c r="D439" s="280"/>
      <c r="E439" s="287"/>
      <c r="F439" s="287"/>
      <c r="G439" s="287"/>
      <c r="H439" s="1292">
        <f t="shared" si="17"/>
        <v>4</v>
      </c>
      <c r="I439" s="1295" t="str">
        <f>IF('I. Stream &amp; Compound Data'!BD265&lt;&gt;"",'I. Stream &amp; Compound Data'!BD265,"")</f>
        <v/>
      </c>
      <c r="J439" s="1295" t="str">
        <f>IF('I. Stream &amp; Compound Data'!BE265&lt;&gt;"",'I. Stream &amp; Compound Data'!BE265,"")</f>
        <v/>
      </c>
      <c r="K439" s="1190">
        <f>IF('I. Stream &amp; Compound Data'!AW265&lt;&gt;"",'I. Stream &amp; Compound Data'!AW265,"")</f>
        <v>0</v>
      </c>
      <c r="L439" s="1190">
        <f>IF(H439&gt;'I. Stream &amp; Compound Data'!$F$18,"",IF(IF(I439&lt;&gt;"",I439,IF(J439&lt;&gt;"",J439,IF('I. Stream &amp; Compound Data'!BB265&lt;&gt;"",'I. Stream &amp; Compound Data'!BB265,0)))&gt;=0, IF(I439&lt;&gt;"",I439,IF(J439&lt;&gt;"",J439,IF('I. Stream &amp; Compound Data'!BB265&lt;&gt;"",'I. Stream &amp; Compound Data'!BB265,0))),"Endotermic value"))</f>
        <v>0</v>
      </c>
      <c r="M439" s="290" t="str">
        <f>IF(H439&gt;'I. Stream &amp; Compound Data'!$F$18,"",IF(I439="","N/A",ROUND(IF(I439&lt;=0,0,IF(AND(I439&gt;0,I439&lt;2000),0.0005*I439,1)),3)))</f>
        <v>N/A</v>
      </c>
      <c r="N439" s="1168" t="str">
        <f>IF(H439&gt;'I. Stream &amp; Compound Data'!$F$18,"",IF(M439="N/A",IF(J439="","N/A",ROUND(IF(J439&lt;=0,0,IF(AND(J439&gt;0,J439&lt;2000),0.0005*J439,1)),3)),"N/A"))</f>
        <v>N/A</v>
      </c>
      <c r="O439" s="1287">
        <f>IF(H439&gt;'I. Stream &amp; Compound Data'!$F$18,"",IF(AND(M439="N/A",N439="N/A"),IF(K439="","N/A",IF(OR(K439=3,K439=4),1,IF(K439=2,0.75,IF(K439=1,0.25,0)))),"N/A"))</f>
        <v>0</v>
      </c>
      <c r="P439" s="1294">
        <f>IF(H439&gt;'I. Stream &amp; Compound Data'!$F$18,"",IF(I145="","N/A",IF(M439&lt;&gt;"N/A",M439,IF(N439&lt;&gt;"N/A",N439,IF(O439&lt;&gt;"N/A",O439,"NO DATA AVAILABLE")))))</f>
        <v>0</v>
      </c>
      <c r="Q439" s="1294">
        <f>IF(H439&gt;'I. Stream &amp; Compound Data'!$F$18,"",IF(P439="N/A",0,L439*10^(2*P439-2)))</f>
        <v>0</v>
      </c>
      <c r="R439" s="1294">
        <f>IF(H439&gt;'I. Stream &amp; Compound Data'!$F$18,"",MAX(K145:L145))</f>
        <v>6778.7792000553327</v>
      </c>
      <c r="S439" s="1294">
        <f>IF(H439&gt;'I. Stream &amp; Compound Data'!$F$18,"",ROUND(Q439*R439,3))</f>
        <v>0</v>
      </c>
      <c r="T439" s="1149">
        <f>IF(H439&gt;'I. Stream &amp; Compound Data'!$F$18,"",ROUND(L439*R439,3))</f>
        <v>0</v>
      </c>
      <c r="U439" s="299"/>
      <c r="V439" s="279"/>
      <c r="W439" s="279"/>
      <c r="X439" s="279"/>
      <c r="Y439" s="279"/>
      <c r="Z439" s="279"/>
      <c r="AA439" s="279"/>
      <c r="AB439" s="279"/>
      <c r="AC439" s="279"/>
      <c r="AD439" s="279"/>
      <c r="AE439" s="279"/>
      <c r="AF439" s="279"/>
      <c r="AG439" s="279"/>
      <c r="AH439" s="279"/>
      <c r="AI439" s="279"/>
      <c r="AJ439" s="279"/>
      <c r="AK439" s="279"/>
      <c r="AL439" s="279"/>
      <c r="AM439" s="279"/>
      <c r="AN439" s="279"/>
      <c r="AO439" s="279"/>
      <c r="AP439" s="279"/>
      <c r="AQ439" s="279"/>
      <c r="AR439" s="279"/>
      <c r="AS439" s="279"/>
      <c r="AT439" s="279"/>
      <c r="AU439" s="279"/>
      <c r="AV439" s="279"/>
      <c r="AW439" s="279"/>
      <c r="AX439" s="279"/>
      <c r="AY439" s="279"/>
      <c r="AZ439" s="279"/>
      <c r="BA439" s="279"/>
      <c r="BB439" s="279"/>
      <c r="BC439" s="279"/>
      <c r="BD439" s="279"/>
      <c r="BE439" s="279"/>
      <c r="BF439" s="279"/>
      <c r="BG439" s="279"/>
      <c r="BH439" s="279"/>
      <c r="BI439" s="279"/>
      <c r="BJ439" s="279"/>
      <c r="BK439" s="279"/>
      <c r="BL439" s="279"/>
      <c r="BM439" s="279"/>
      <c r="BN439" s="279"/>
      <c r="BO439" s="279"/>
      <c r="BP439" s="279"/>
      <c r="BQ439" s="279"/>
      <c r="BR439" s="279"/>
      <c r="BS439" s="279"/>
      <c r="BT439" s="279"/>
      <c r="BU439" s="279"/>
      <c r="BV439" s="279"/>
      <c r="BW439" s="279"/>
      <c r="BX439" s="279"/>
      <c r="BY439" s="279"/>
      <c r="BZ439" s="279"/>
      <c r="CA439" s="279"/>
      <c r="CB439" s="279"/>
      <c r="CC439" s="279"/>
      <c r="CD439" s="279"/>
      <c r="CE439" s="279"/>
      <c r="CF439" s="279"/>
      <c r="CG439" s="279"/>
      <c r="CH439" s="279"/>
      <c r="CI439" s="279"/>
      <c r="CJ439" s="279"/>
      <c r="CK439" s="279"/>
      <c r="CL439" s="279"/>
      <c r="CM439" s="279"/>
      <c r="CN439" s="382"/>
    </row>
    <row r="440" x14ac:dyDescent="0.25">
      <c r="B440" s="361"/>
      <c r="C440" s="279"/>
      <c r="D440" s="280"/>
      <c r="E440" s="287"/>
      <c r="F440" s="287"/>
      <c r="G440" s="287"/>
      <c r="H440" s="1292">
        <f t="shared" si="17"/>
        <v>5</v>
      </c>
      <c r="I440" s="1295" t="str">
        <f>IF('I. Stream &amp; Compound Data'!BD266&lt;&gt;"",'I. Stream &amp; Compound Data'!BD266,"")</f>
        <v/>
      </c>
      <c r="J440" s="1295" t="str">
        <f>IF('I. Stream &amp; Compound Data'!BE266&lt;&gt;"",'I. Stream &amp; Compound Data'!BE266,"")</f>
        <v/>
      </c>
      <c r="K440" s="1190" t="str">
        <f>IF('I. Stream &amp; Compound Data'!AW266&lt;&gt;"",'I. Stream &amp; Compound Data'!AW266,"")</f>
        <v/>
      </c>
      <c r="L440" s="1190" t="str">
        <f>IF(H440&gt;'I. Stream &amp; Compound Data'!$F$18,"",IF(IF(I440&lt;&gt;"",I440,IF(J440&lt;&gt;"",J440,IF('I. Stream &amp; Compound Data'!BB266&lt;&gt;"",'I. Stream &amp; Compound Data'!BB266,0)))&gt;=0, IF(I440&lt;&gt;"",I440,IF(J440&lt;&gt;"",J440,IF('I. Stream &amp; Compound Data'!BB266&lt;&gt;"",'I. Stream &amp; Compound Data'!BB266,0))),"Endotermic value"))</f>
        <v/>
      </c>
      <c r="M440" s="290" t="str">
        <f>IF(H440&gt;'I. Stream &amp; Compound Data'!$F$18,"",IF(I440="","N/A",ROUND(IF(I440&lt;=0,0,IF(AND(I440&gt;0,I440&lt;2000),0.0005*I440,1)),3)))</f>
        <v/>
      </c>
      <c r="N440" s="1168" t="str">
        <f>IF(H440&gt;'I. Stream &amp; Compound Data'!$F$18,"",IF(M440="N/A",IF(J440="","N/A",ROUND(IF(J440&lt;=0,0,IF(AND(J440&gt;0,J440&lt;2000),0.0005*J440,1)),3)),"N/A"))</f>
        <v/>
      </c>
      <c r="O440" s="1287" t="str">
        <f>IF(H440&gt;'I. Stream &amp; Compound Data'!$F$18,"",IF(AND(M440="N/A",N440="N/A"),IF(K440="","N/A",IF(OR(K440=3,K440=4),1,IF(K440=2,0.75,IF(K440=1,0.25,0)))),"N/A"))</f>
        <v/>
      </c>
      <c r="P440" s="1294" t="str">
        <f>IF(H440&gt;'I. Stream &amp; Compound Data'!$F$18,"",IF(I146="","N/A",IF(M440&lt;&gt;"N/A",M440,IF(N440&lt;&gt;"N/A",N440,IF(O440&lt;&gt;"N/A",O440,"NO DATA AVAILABLE")))))</f>
        <v/>
      </c>
      <c r="Q440" s="1294" t="str">
        <f>IF(H440&gt;'I. Stream &amp; Compound Data'!$F$18,"",IF(P440="N/A",0,L440*10^(2*P440-2)))</f>
        <v/>
      </c>
      <c r="R440" s="1294" t="str">
        <f>IF(H440&gt;'I. Stream &amp; Compound Data'!$F$18,"",MAX(K146:L146))</f>
        <v/>
      </c>
      <c r="S440" s="1294" t="str">
        <f>IF(H440&gt;'I. Stream &amp; Compound Data'!$F$18,"",ROUND(Q440*R440,3))</f>
        <v/>
      </c>
      <c r="T440" s="1149" t="str">
        <f>IF(H440&gt;'I. Stream &amp; Compound Data'!$F$18,"",ROUND(L440*R440,3))</f>
        <v/>
      </c>
      <c r="U440" s="299"/>
      <c r="V440" s="279"/>
      <c r="W440" s="279"/>
      <c r="X440" s="279"/>
      <c r="Y440" s="279"/>
      <c r="Z440" s="279"/>
      <c r="AA440" s="279"/>
      <c r="AB440" s="279"/>
      <c r="AC440" s="279"/>
      <c r="AD440" s="279"/>
      <c r="AE440" s="279"/>
      <c r="AF440" s="279"/>
      <c r="AG440" s="279"/>
      <c r="AH440" s="279"/>
      <c r="AI440" s="279"/>
      <c r="AJ440" s="279"/>
      <c r="AK440" s="279"/>
      <c r="AL440" s="279"/>
      <c r="AM440" s="279"/>
      <c r="AN440" s="279"/>
      <c r="AO440" s="279"/>
      <c r="AP440" s="279"/>
      <c r="AQ440" s="279"/>
      <c r="AR440" s="279"/>
      <c r="AS440" s="279"/>
      <c r="AT440" s="279"/>
      <c r="AU440" s="279"/>
      <c r="AV440" s="279"/>
      <c r="AW440" s="279"/>
      <c r="AX440" s="279"/>
      <c r="AY440" s="279"/>
      <c r="AZ440" s="279"/>
      <c r="BA440" s="279"/>
      <c r="BB440" s="279"/>
      <c r="BC440" s="279"/>
      <c r="BD440" s="279"/>
      <c r="BE440" s="279"/>
      <c r="BF440" s="279"/>
      <c r="BG440" s="279"/>
      <c r="BH440" s="279"/>
      <c r="BI440" s="279"/>
      <c r="BJ440" s="279"/>
      <c r="BK440" s="279"/>
      <c r="BL440" s="279"/>
      <c r="BM440" s="279"/>
      <c r="BN440" s="279"/>
      <c r="BO440" s="279"/>
      <c r="BP440" s="279"/>
      <c r="BQ440" s="279"/>
      <c r="BR440" s="279"/>
      <c r="BS440" s="279"/>
      <c r="BT440" s="279"/>
      <c r="BU440" s="279"/>
      <c r="BV440" s="279"/>
      <c r="BW440" s="279"/>
      <c r="BX440" s="279"/>
      <c r="BY440" s="279"/>
      <c r="BZ440" s="279"/>
      <c r="CA440" s="279"/>
      <c r="CB440" s="279"/>
      <c r="CC440" s="279"/>
      <c r="CD440" s="279"/>
      <c r="CE440" s="279"/>
      <c r="CF440" s="279"/>
      <c r="CG440" s="279"/>
      <c r="CH440" s="279"/>
      <c r="CI440" s="279"/>
      <c r="CJ440" s="279"/>
      <c r="CK440" s="279"/>
      <c r="CL440" s="279"/>
      <c r="CM440" s="279"/>
      <c r="CN440" s="382"/>
    </row>
    <row r="441" x14ac:dyDescent="0.25">
      <c r="B441" s="361"/>
      <c r="C441" s="279"/>
      <c r="D441" s="280"/>
      <c r="E441" s="287"/>
      <c r="F441" s="287"/>
      <c r="G441" s="287"/>
      <c r="H441" s="1292">
        <f t="shared" si="17"/>
        <v>6</v>
      </c>
      <c r="I441" s="1295" t="str">
        <f>IF('I. Stream &amp; Compound Data'!BD267&lt;&gt;"",'I. Stream &amp; Compound Data'!BD267,"")</f>
        <v/>
      </c>
      <c r="J441" s="1295" t="str">
        <f>IF('I. Stream &amp; Compound Data'!BE267&lt;&gt;"",'I. Stream &amp; Compound Data'!BE267,"")</f>
        <v/>
      </c>
      <c r="K441" s="1190" t="str">
        <f>IF('I. Stream &amp; Compound Data'!AW267&lt;&gt;"",'I. Stream &amp; Compound Data'!AW267,"")</f>
        <v/>
      </c>
      <c r="L441" s="1190" t="str">
        <f>IF(H441&gt;'I. Stream &amp; Compound Data'!$F$18,"",IF(IF(I441&lt;&gt;"",I441,IF(J441&lt;&gt;"",J441,IF('I. Stream &amp; Compound Data'!BB267&lt;&gt;"",'I. Stream &amp; Compound Data'!BB267,0)))&gt;=0, IF(I441&lt;&gt;"",I441,IF(J441&lt;&gt;"",J441,IF('I. Stream &amp; Compound Data'!BB267&lt;&gt;"",'I. Stream &amp; Compound Data'!BB267,0))),"Endotermic value"))</f>
        <v/>
      </c>
      <c r="M441" s="290" t="str">
        <f>IF(H441&gt;'I. Stream &amp; Compound Data'!$F$18,"",IF(I441="","N/A",ROUND(IF(I441&lt;=0,0,IF(AND(I441&gt;0,I441&lt;2000),0.0005*I441,1)),3)))</f>
        <v/>
      </c>
      <c r="N441" s="1168" t="str">
        <f>IF(H441&gt;'I. Stream &amp; Compound Data'!$F$18,"",IF(M441="N/A",IF(J441="","N/A",ROUND(IF(J441&lt;=0,0,IF(AND(J441&gt;0,J441&lt;2000),0.0005*J441,1)),3)),"N/A"))</f>
        <v/>
      </c>
      <c r="O441" s="1287" t="str">
        <f>IF(H441&gt;'I. Stream &amp; Compound Data'!$F$18,"",IF(AND(M441="N/A",N441="N/A"),IF(K441="","N/A",IF(OR(K441=3,K441=4),1,IF(K441=2,0.75,IF(K441=1,0.25,0)))),"N/A"))</f>
        <v/>
      </c>
      <c r="P441" s="1294" t="str">
        <f>IF(H441&gt;'I. Stream &amp; Compound Data'!$F$18,"",IF(I147="","N/A",IF(M441&lt;&gt;"N/A",M441,IF(N441&lt;&gt;"N/A",N441,IF(O441&lt;&gt;"N/A",O441,"NO DATA AVAILABLE")))))</f>
        <v/>
      </c>
      <c r="Q441" s="1294" t="str">
        <f>IF(H441&gt;'I. Stream &amp; Compound Data'!$F$18,"",IF(P441="N/A",0,L441*10^(2*P441-2)))</f>
        <v/>
      </c>
      <c r="R441" s="1294" t="str">
        <f>IF(H441&gt;'I. Stream &amp; Compound Data'!$F$18,"",MAX(K147:L147))</f>
        <v/>
      </c>
      <c r="S441" s="1294" t="str">
        <f>IF(H441&gt;'I. Stream &amp; Compound Data'!$F$18,"",ROUND(Q441*R441,3))</f>
        <v/>
      </c>
      <c r="T441" s="1149" t="str">
        <f>IF(H441&gt;'I. Stream &amp; Compound Data'!$F$18,"",ROUND(L441*R441,3))</f>
        <v/>
      </c>
      <c r="U441" s="299"/>
      <c r="V441" s="279"/>
      <c r="W441" s="279"/>
      <c r="X441" s="279"/>
      <c r="Y441" s="279"/>
      <c r="Z441" s="279"/>
      <c r="AA441" s="279"/>
      <c r="AB441" s="279"/>
      <c r="AC441" s="279"/>
      <c r="AD441" s="279"/>
      <c r="AE441" s="279"/>
      <c r="AF441" s="279"/>
      <c r="AG441" s="279"/>
      <c r="AH441" s="279"/>
      <c r="AI441" s="279"/>
      <c r="AJ441" s="279"/>
      <c r="AK441" s="279"/>
      <c r="AL441" s="279"/>
      <c r="AM441" s="279"/>
      <c r="AN441" s="279"/>
      <c r="AO441" s="279"/>
      <c r="AP441" s="279"/>
      <c r="AQ441" s="279"/>
      <c r="AR441" s="279"/>
      <c r="AS441" s="279"/>
      <c r="AT441" s="279"/>
      <c r="AU441" s="279"/>
      <c r="AV441" s="279"/>
      <c r="AW441" s="279"/>
      <c r="AX441" s="279"/>
      <c r="AY441" s="279"/>
      <c r="AZ441" s="279"/>
      <c r="BA441" s="279"/>
      <c r="BB441" s="279"/>
      <c r="BC441" s="279"/>
      <c r="BD441" s="279"/>
      <c r="BE441" s="279"/>
      <c r="BF441" s="279"/>
      <c r="BG441" s="279"/>
      <c r="BH441" s="279"/>
      <c r="BI441" s="279"/>
      <c r="BJ441" s="279"/>
      <c r="BK441" s="279"/>
      <c r="BL441" s="279"/>
      <c r="BM441" s="279"/>
      <c r="BN441" s="279"/>
      <c r="BO441" s="279"/>
      <c r="BP441" s="279"/>
      <c r="BQ441" s="279"/>
      <c r="BR441" s="279"/>
      <c r="BS441" s="279"/>
      <c r="BT441" s="279"/>
      <c r="BU441" s="279"/>
      <c r="BV441" s="279"/>
      <c r="BW441" s="279"/>
      <c r="BX441" s="279"/>
      <c r="BY441" s="279"/>
      <c r="BZ441" s="279"/>
      <c r="CA441" s="279"/>
      <c r="CB441" s="279"/>
      <c r="CC441" s="279"/>
      <c r="CD441" s="279"/>
      <c r="CE441" s="279"/>
      <c r="CF441" s="279"/>
      <c r="CG441" s="279"/>
      <c r="CH441" s="279"/>
      <c r="CI441" s="279"/>
      <c r="CJ441" s="279"/>
      <c r="CK441" s="279"/>
      <c r="CL441" s="279"/>
      <c r="CM441" s="279"/>
      <c r="CN441" s="382"/>
    </row>
    <row r="442" x14ac:dyDescent="0.25">
      <c r="B442" s="361"/>
      <c r="C442" s="279"/>
      <c r="D442" s="280"/>
      <c r="E442" s="287"/>
      <c r="F442" s="287"/>
      <c r="G442" s="287"/>
      <c r="H442" s="1292">
        <f t="shared" si="17"/>
        <v>7</v>
      </c>
      <c r="I442" s="1295" t="str">
        <f>IF('I. Stream &amp; Compound Data'!BD268&lt;&gt;"",'I. Stream &amp; Compound Data'!BD268,"")</f>
        <v/>
      </c>
      <c r="J442" s="1295" t="str">
        <f>IF('I. Stream &amp; Compound Data'!BE268&lt;&gt;"",'I. Stream &amp; Compound Data'!BE268,"")</f>
        <v/>
      </c>
      <c r="K442" s="1190" t="str">
        <f>IF('I. Stream &amp; Compound Data'!AW268&lt;&gt;"",'I. Stream &amp; Compound Data'!AW268,"")</f>
        <v/>
      </c>
      <c r="L442" s="1190" t="str">
        <f>IF(H442&gt;'I. Stream &amp; Compound Data'!$F$18,"",IF(IF(I442&lt;&gt;"",I442,IF(J442&lt;&gt;"",J442,IF('I. Stream &amp; Compound Data'!BB268&lt;&gt;"",'I. Stream &amp; Compound Data'!BB268,0)))&gt;=0, IF(I442&lt;&gt;"",I442,IF(J442&lt;&gt;"",J442,IF('I. Stream &amp; Compound Data'!BB268&lt;&gt;"",'I. Stream &amp; Compound Data'!BB268,0))),"Endotermic value"))</f>
        <v/>
      </c>
      <c r="M442" s="290" t="str">
        <f>IF(H442&gt;'I. Stream &amp; Compound Data'!$F$18,"",IF(I442="","N/A",ROUND(IF(I442&lt;=0,0,IF(AND(I442&gt;0,I442&lt;2000),0.0005*I442,1)),3)))</f>
        <v/>
      </c>
      <c r="N442" s="1168" t="str">
        <f>IF(H442&gt;'I. Stream &amp; Compound Data'!$F$18,"",IF(M442="N/A",IF(J442="","N/A",ROUND(IF(J442&lt;=0,0,IF(AND(J442&gt;0,J442&lt;2000),0.0005*J442,1)),3)),"N/A"))</f>
        <v/>
      </c>
      <c r="O442" s="1287" t="str">
        <f>IF(H442&gt;'I. Stream &amp; Compound Data'!$F$18,"",IF(AND(M442="N/A",N442="N/A"),IF(K442="","N/A",IF(OR(K442=3,K442=4),1,IF(K442=2,0.75,IF(K442=1,0.25,0)))),"N/A"))</f>
        <v/>
      </c>
      <c r="P442" s="1294" t="str">
        <f>IF(H442&gt;'I. Stream &amp; Compound Data'!$F$18,"",IF(I148="","N/A",IF(M442&lt;&gt;"N/A",M442,IF(N442&lt;&gt;"N/A",N442,IF(O442&lt;&gt;"N/A",O442,"NO DATA AVAILABLE")))))</f>
        <v/>
      </c>
      <c r="Q442" s="1294" t="str">
        <f>IF(H442&gt;'I. Stream &amp; Compound Data'!$F$18,"",IF(P442="N/A",0,L442*10^(2*P442-2)))</f>
        <v/>
      </c>
      <c r="R442" s="1294" t="str">
        <f>IF(H442&gt;'I. Stream &amp; Compound Data'!$F$18,"",MAX(K148:L148))</f>
        <v/>
      </c>
      <c r="S442" s="1294" t="str">
        <f>IF(H442&gt;'I. Stream &amp; Compound Data'!$F$18,"",ROUND(Q442*R442,3))</f>
        <v/>
      </c>
      <c r="T442" s="1149" t="str">
        <f>IF(H442&gt;'I. Stream &amp; Compound Data'!$F$18,"",ROUND(L442*R442,3))</f>
        <v/>
      </c>
      <c r="U442" s="299"/>
      <c r="V442" s="279"/>
      <c r="W442" s="279"/>
      <c r="X442" s="279"/>
      <c r="Y442" s="279"/>
      <c r="Z442" s="279"/>
      <c r="AA442" s="279"/>
      <c r="AB442" s="279"/>
      <c r="AC442" s="279"/>
      <c r="AD442" s="279"/>
      <c r="AE442" s="279"/>
      <c r="AF442" s="279"/>
      <c r="AG442" s="279"/>
      <c r="AH442" s="279"/>
      <c r="AI442" s="279"/>
      <c r="AJ442" s="279"/>
      <c r="AK442" s="279"/>
      <c r="AL442" s="279"/>
      <c r="AM442" s="279"/>
      <c r="AN442" s="279"/>
      <c r="AO442" s="279"/>
      <c r="AP442" s="279"/>
      <c r="AQ442" s="279"/>
      <c r="AR442" s="279"/>
      <c r="AS442" s="279"/>
      <c r="AT442" s="279"/>
      <c r="AU442" s="279"/>
      <c r="AV442" s="279"/>
      <c r="AW442" s="279"/>
      <c r="AX442" s="279"/>
      <c r="AY442" s="279"/>
      <c r="AZ442" s="279"/>
      <c r="BA442" s="279"/>
      <c r="BB442" s="279"/>
      <c r="BC442" s="279"/>
      <c r="BD442" s="279"/>
      <c r="BE442" s="279"/>
      <c r="BF442" s="279"/>
      <c r="BG442" s="279"/>
      <c r="BH442" s="279"/>
      <c r="BI442" s="279"/>
      <c r="BJ442" s="279"/>
      <c r="BK442" s="279"/>
      <c r="BL442" s="279"/>
      <c r="BM442" s="279"/>
      <c r="BN442" s="279"/>
      <c r="BO442" s="279"/>
      <c r="BP442" s="279"/>
      <c r="BQ442" s="279"/>
      <c r="BR442" s="279"/>
      <c r="BS442" s="279"/>
      <c r="BT442" s="279"/>
      <c r="BU442" s="279"/>
      <c r="BV442" s="279"/>
      <c r="BW442" s="279"/>
      <c r="BX442" s="279"/>
      <c r="BY442" s="279"/>
      <c r="BZ442" s="279"/>
      <c r="CA442" s="279"/>
      <c r="CB442" s="279"/>
      <c r="CC442" s="279"/>
      <c r="CD442" s="279"/>
      <c r="CE442" s="279"/>
      <c r="CF442" s="279"/>
      <c r="CG442" s="279"/>
      <c r="CH442" s="279"/>
      <c r="CI442" s="279"/>
      <c r="CJ442" s="279"/>
      <c r="CK442" s="279"/>
      <c r="CL442" s="279"/>
      <c r="CM442" s="279"/>
      <c r="CN442" s="382"/>
    </row>
    <row r="443" x14ac:dyDescent="0.25">
      <c r="B443" s="361"/>
      <c r="C443" s="279"/>
      <c r="D443" s="280"/>
      <c r="E443" s="287"/>
      <c r="F443" s="287"/>
      <c r="G443" s="287"/>
      <c r="H443" s="1292">
        <f t="shared" si="17"/>
        <v>8</v>
      </c>
      <c r="I443" s="1295" t="str">
        <f>IF('I. Stream &amp; Compound Data'!BD269&lt;&gt;"",'I. Stream &amp; Compound Data'!BD269,"")</f>
        <v/>
      </c>
      <c r="J443" s="1295" t="str">
        <f>IF('I. Stream &amp; Compound Data'!BE269&lt;&gt;"",'I. Stream &amp; Compound Data'!BE269,"")</f>
        <v/>
      </c>
      <c r="K443" s="1190" t="str">
        <f>IF('I. Stream &amp; Compound Data'!AW269&lt;&gt;"",'I. Stream &amp; Compound Data'!AW269,"")</f>
        <v/>
      </c>
      <c r="L443" s="1190" t="str">
        <f>IF(H443&gt;'I. Stream &amp; Compound Data'!$F$18,"",IF(IF(I443&lt;&gt;"",I443,IF(J443&lt;&gt;"",J443,IF('I. Stream &amp; Compound Data'!BB269&lt;&gt;"",'I. Stream &amp; Compound Data'!BB269,0)))&gt;=0, IF(I443&lt;&gt;"",I443,IF(J443&lt;&gt;"",J443,IF('I. Stream &amp; Compound Data'!BB269&lt;&gt;"",'I. Stream &amp; Compound Data'!BB269,0))),"Endotermic value"))</f>
        <v/>
      </c>
      <c r="M443" s="290" t="str">
        <f>IF(H443&gt;'I. Stream &amp; Compound Data'!$F$18,"",IF(I443="","N/A",ROUND(IF(I443&lt;=0,0,IF(AND(I443&gt;0,I443&lt;2000),0.0005*I443,1)),3)))</f>
        <v/>
      </c>
      <c r="N443" s="1168" t="str">
        <f>IF(H443&gt;'I. Stream &amp; Compound Data'!$F$18,"",IF(M443="N/A",IF(J443="","N/A",ROUND(IF(J443&lt;=0,0,IF(AND(J443&gt;0,J443&lt;2000),0.0005*J443,1)),3)),"N/A"))</f>
        <v/>
      </c>
      <c r="O443" s="1287" t="str">
        <f>IF(H443&gt;'I. Stream &amp; Compound Data'!$F$18,"",IF(AND(M443="N/A",N443="N/A"),IF(K443="","N/A",IF(OR(K443=3,K443=4),1,IF(K443=2,0.75,IF(K443=1,0.25,0)))),"N/A"))</f>
        <v/>
      </c>
      <c r="P443" s="1294" t="str">
        <f>IF(H443&gt;'I. Stream &amp; Compound Data'!$F$18,"",IF(I149="","N/A",IF(M443&lt;&gt;"N/A",M443,IF(N443&lt;&gt;"N/A",N443,IF(O443&lt;&gt;"N/A",O443,"NO DATA AVAILABLE")))))</f>
        <v/>
      </c>
      <c r="Q443" s="1294" t="str">
        <f>IF(H443&gt;'I. Stream &amp; Compound Data'!$F$18,"",IF(P443="N/A",0,L443*10^(2*P443-2)))</f>
        <v/>
      </c>
      <c r="R443" s="1294" t="str">
        <f>IF(H443&gt;'I. Stream &amp; Compound Data'!$F$18,"",MAX(K149:L149))</f>
        <v/>
      </c>
      <c r="S443" s="1294" t="str">
        <f>IF(H443&gt;'I. Stream &amp; Compound Data'!$F$18,"",ROUND(Q443*R443,3))</f>
        <v/>
      </c>
      <c r="T443" s="1149" t="str">
        <f>IF(H443&gt;'I. Stream &amp; Compound Data'!$F$18,"",ROUND(L443*R443,3))</f>
        <v/>
      </c>
      <c r="U443" s="299"/>
      <c r="V443" s="279"/>
      <c r="W443" s="279"/>
      <c r="X443" s="279"/>
      <c r="Y443" s="279"/>
      <c r="Z443" s="279"/>
      <c r="AA443" s="279"/>
      <c r="AB443" s="279"/>
      <c r="AC443" s="279"/>
      <c r="AD443" s="279"/>
      <c r="AE443" s="279"/>
      <c r="AF443" s="279"/>
      <c r="AG443" s="279"/>
      <c r="AH443" s="279"/>
      <c r="AI443" s="279"/>
      <c r="AJ443" s="279"/>
      <c r="AK443" s="279"/>
      <c r="AL443" s="279"/>
      <c r="AM443" s="279"/>
      <c r="AN443" s="279"/>
      <c r="AO443" s="279"/>
      <c r="AP443" s="279"/>
      <c r="AQ443" s="279"/>
      <c r="AR443" s="279"/>
      <c r="AS443" s="279"/>
      <c r="AT443" s="279"/>
      <c r="AU443" s="279"/>
      <c r="AV443" s="279"/>
      <c r="AW443" s="279"/>
      <c r="AX443" s="279"/>
      <c r="AY443" s="279"/>
      <c r="AZ443" s="279"/>
      <c r="BA443" s="279"/>
      <c r="BB443" s="279"/>
      <c r="BC443" s="279"/>
      <c r="BD443" s="279"/>
      <c r="BE443" s="279"/>
      <c r="BF443" s="279"/>
      <c r="BG443" s="279"/>
      <c r="BH443" s="279"/>
      <c r="BI443" s="279"/>
      <c r="BJ443" s="279"/>
      <c r="BK443" s="279"/>
      <c r="BL443" s="279"/>
      <c r="BM443" s="279"/>
      <c r="BN443" s="279"/>
      <c r="BO443" s="279"/>
      <c r="BP443" s="279"/>
      <c r="BQ443" s="279"/>
      <c r="BR443" s="279"/>
      <c r="BS443" s="279"/>
      <c r="BT443" s="279"/>
      <c r="BU443" s="279"/>
      <c r="BV443" s="279"/>
      <c r="BW443" s="279"/>
      <c r="BX443" s="279"/>
      <c r="BY443" s="279"/>
      <c r="BZ443" s="279"/>
      <c r="CA443" s="279"/>
      <c r="CB443" s="279"/>
      <c r="CC443" s="279"/>
      <c r="CD443" s="279"/>
      <c r="CE443" s="279"/>
      <c r="CF443" s="279"/>
      <c r="CG443" s="279"/>
      <c r="CH443" s="279"/>
      <c r="CI443" s="279"/>
      <c r="CJ443" s="279"/>
      <c r="CK443" s="279"/>
      <c r="CL443" s="279"/>
      <c r="CM443" s="279"/>
      <c r="CN443" s="382"/>
    </row>
    <row r="444" x14ac:dyDescent="0.25">
      <c r="B444" s="361"/>
      <c r="C444" s="279"/>
      <c r="D444" s="280"/>
      <c r="E444" s="287"/>
      <c r="F444" s="287"/>
      <c r="G444" s="287"/>
      <c r="H444" s="1292">
        <f t="shared" si="17"/>
        <v>9</v>
      </c>
      <c r="I444" s="1295" t="str">
        <f>IF('I. Stream &amp; Compound Data'!BD270&lt;&gt;"",'I. Stream &amp; Compound Data'!BD270,"")</f>
        <v/>
      </c>
      <c r="J444" s="1295" t="str">
        <f>IF('I. Stream &amp; Compound Data'!BE270&lt;&gt;"",'I. Stream &amp; Compound Data'!BE270,"")</f>
        <v/>
      </c>
      <c r="K444" s="1190" t="str">
        <f>IF('I. Stream &amp; Compound Data'!AW270&lt;&gt;"",'I. Stream &amp; Compound Data'!AW270,"")</f>
        <v/>
      </c>
      <c r="L444" s="1190" t="str">
        <f>IF(H444&gt;'I. Stream &amp; Compound Data'!$F$18,"",IF(IF(I444&lt;&gt;"",I444,IF(J444&lt;&gt;"",J444,IF('I. Stream &amp; Compound Data'!BB270&lt;&gt;"",'I. Stream &amp; Compound Data'!BB270,0)))&gt;=0, IF(I444&lt;&gt;"",I444,IF(J444&lt;&gt;"",J444,IF('I. Stream &amp; Compound Data'!BB270&lt;&gt;"",'I. Stream &amp; Compound Data'!BB270,0))),"Endotermic value"))</f>
        <v/>
      </c>
      <c r="M444" s="290" t="str">
        <f>IF(H444&gt;'I. Stream &amp; Compound Data'!$F$18,"",IF(I444="","N/A",ROUND(IF(I444&lt;=0,0,IF(AND(I444&gt;0,I444&lt;2000),0.0005*I444,1)),3)))</f>
        <v/>
      </c>
      <c r="N444" s="1168" t="str">
        <f>IF(H444&gt;'I. Stream &amp; Compound Data'!$F$18,"",IF(M444="N/A",IF(J444="","N/A",ROUND(IF(J444&lt;=0,0,IF(AND(J444&gt;0,J444&lt;2000),0.0005*J444,1)),3)),"N/A"))</f>
        <v/>
      </c>
      <c r="O444" s="1287" t="str">
        <f>IF(H444&gt;'I. Stream &amp; Compound Data'!$F$18,"",IF(AND(M444="N/A",N444="N/A"),IF(K444="","N/A",IF(OR(K444=3,K444=4),1,IF(K444=2,0.75,IF(K444=1,0.25,0)))),"N/A"))</f>
        <v/>
      </c>
      <c r="P444" s="1294" t="str">
        <f>IF(H444&gt;'I. Stream &amp; Compound Data'!$F$18,"",IF(I150="","N/A",IF(M444&lt;&gt;"N/A",M444,IF(N444&lt;&gt;"N/A",N444,IF(O444&lt;&gt;"N/A",O444,"NO DATA AVAILABLE")))))</f>
        <v/>
      </c>
      <c r="Q444" s="1294" t="str">
        <f>IF(H444&gt;'I. Stream &amp; Compound Data'!$F$18,"",IF(P444="N/A",0,L444*10^(2*P444-2)))</f>
        <v/>
      </c>
      <c r="R444" s="1294" t="str">
        <f>IF(H444&gt;'I. Stream &amp; Compound Data'!$F$18,"",MAX(K150:L150))</f>
        <v/>
      </c>
      <c r="S444" s="1294" t="str">
        <f>IF(H444&gt;'I. Stream &amp; Compound Data'!$F$18,"",ROUND(Q444*R444,3))</f>
        <v/>
      </c>
      <c r="T444" s="1149" t="str">
        <f>IF(H444&gt;'I. Stream &amp; Compound Data'!$F$18,"",ROUND(L444*R444,3))</f>
        <v/>
      </c>
      <c r="U444" s="299"/>
      <c r="V444" s="279"/>
      <c r="W444" s="279"/>
      <c r="X444" s="279"/>
      <c r="Y444" s="279"/>
      <c r="Z444" s="279"/>
      <c r="AA444" s="279"/>
      <c r="AB444" s="279"/>
      <c r="AC444" s="279"/>
      <c r="AD444" s="279"/>
      <c r="AE444" s="279"/>
      <c r="AF444" s="279"/>
      <c r="AG444" s="279"/>
      <c r="AH444" s="279"/>
      <c r="AI444" s="279"/>
      <c r="AJ444" s="279"/>
      <c r="AK444" s="279"/>
      <c r="AL444" s="279"/>
      <c r="AM444" s="279"/>
      <c r="AN444" s="279"/>
      <c r="AO444" s="279"/>
      <c r="AP444" s="279"/>
      <c r="AQ444" s="279"/>
      <c r="AR444" s="279"/>
      <c r="AS444" s="279"/>
      <c r="AT444" s="279"/>
      <c r="AU444" s="279"/>
      <c r="AV444" s="279"/>
      <c r="AW444" s="279"/>
      <c r="AX444" s="279"/>
      <c r="AY444" s="279"/>
      <c r="AZ444" s="279"/>
      <c r="BA444" s="279"/>
      <c r="BB444" s="279"/>
      <c r="BC444" s="279"/>
      <c r="BD444" s="279"/>
      <c r="BE444" s="279"/>
      <c r="BF444" s="279"/>
      <c r="BG444" s="279"/>
      <c r="BH444" s="279"/>
      <c r="BI444" s="279"/>
      <c r="BJ444" s="279"/>
      <c r="BK444" s="279"/>
      <c r="BL444" s="279"/>
      <c r="BM444" s="279"/>
      <c r="BN444" s="279"/>
      <c r="BO444" s="279"/>
      <c r="BP444" s="279"/>
      <c r="BQ444" s="279"/>
      <c r="BR444" s="279"/>
      <c r="BS444" s="279"/>
      <c r="BT444" s="279"/>
      <c r="BU444" s="279"/>
      <c r="BV444" s="279"/>
      <c r="BW444" s="279"/>
      <c r="BX444" s="279"/>
      <c r="BY444" s="279"/>
      <c r="BZ444" s="279"/>
      <c r="CA444" s="279"/>
      <c r="CB444" s="279"/>
      <c r="CC444" s="279"/>
      <c r="CD444" s="279"/>
      <c r="CE444" s="279"/>
      <c r="CF444" s="279"/>
      <c r="CG444" s="279"/>
      <c r="CH444" s="279"/>
      <c r="CI444" s="279"/>
      <c r="CJ444" s="279"/>
      <c r="CK444" s="279"/>
      <c r="CL444" s="279"/>
      <c r="CM444" s="279"/>
      <c r="CN444" s="382"/>
    </row>
    <row r="445" x14ac:dyDescent="0.25">
      <c r="B445" s="361"/>
      <c r="C445" s="279"/>
      <c r="D445" s="280"/>
      <c r="E445" s="287"/>
      <c r="F445" s="287"/>
      <c r="G445" s="287"/>
      <c r="H445" s="1292">
        <f t="shared" si="17"/>
        <v>10</v>
      </c>
      <c r="I445" s="1295" t="str">
        <f>IF('I. Stream &amp; Compound Data'!BD271&lt;&gt;"",'I. Stream &amp; Compound Data'!BD271,"")</f>
        <v/>
      </c>
      <c r="J445" s="1295" t="str">
        <f>IF('I. Stream &amp; Compound Data'!BE271&lt;&gt;"",'I. Stream &amp; Compound Data'!BE271,"")</f>
        <v/>
      </c>
      <c r="K445" s="1190" t="str">
        <f>IF('I. Stream &amp; Compound Data'!AW271&lt;&gt;"",'I. Stream &amp; Compound Data'!AW271,"")</f>
        <v/>
      </c>
      <c r="L445" s="1190" t="str">
        <f>IF(H445&gt;'I. Stream &amp; Compound Data'!$F$18,"",IF(IF(I445&lt;&gt;"",I445,IF(J445&lt;&gt;"",J445,IF('I. Stream &amp; Compound Data'!BB271&lt;&gt;"",'I. Stream &amp; Compound Data'!BB271,0)))&gt;=0, IF(I445&lt;&gt;"",I445,IF(J445&lt;&gt;"",J445,IF('I. Stream &amp; Compound Data'!BB271&lt;&gt;"",'I. Stream &amp; Compound Data'!BB271,0))),"Endotermic value"))</f>
        <v/>
      </c>
      <c r="M445" s="290" t="str">
        <f>IF(H445&gt;'I. Stream &amp; Compound Data'!$F$18,"",IF(I445="","N/A",ROUND(IF(I445&lt;=0,0,IF(AND(I445&gt;0,I445&lt;2000),0.0005*I445,1)),3)))</f>
        <v/>
      </c>
      <c r="N445" s="1168" t="str">
        <f>IF(H445&gt;'I. Stream &amp; Compound Data'!$F$18,"",IF(M445="N/A",IF(J445="","N/A",ROUND(IF(J445&lt;=0,0,IF(AND(J445&gt;0,J445&lt;2000),0.0005*J445,1)),3)),"N/A"))</f>
        <v/>
      </c>
      <c r="O445" s="1287" t="str">
        <f>IF(H445&gt;'I. Stream &amp; Compound Data'!$F$18,"",IF(AND(M445="N/A",N445="N/A"),IF(K445="","N/A",IF(OR(K445=3,K445=4),1,IF(K445=2,0.75,IF(K445=1,0.25,0)))),"N/A"))</f>
        <v/>
      </c>
      <c r="P445" s="1294" t="str">
        <f>IF(H445&gt;'I. Stream &amp; Compound Data'!$F$18,"",IF(I151="","N/A",IF(M445&lt;&gt;"N/A",M445,IF(N445&lt;&gt;"N/A",N445,IF(O445&lt;&gt;"N/A",O445,"NO DATA AVAILABLE")))))</f>
        <v/>
      </c>
      <c r="Q445" s="1294" t="str">
        <f>IF(H445&gt;'I. Stream &amp; Compound Data'!$F$18,"",IF(P445="N/A",0,L445*10^(2*P445-2)))</f>
        <v/>
      </c>
      <c r="R445" s="1294" t="str">
        <f>IF(H445&gt;'I. Stream &amp; Compound Data'!$F$18,"",MAX(K151:L151))</f>
        <v/>
      </c>
      <c r="S445" s="1294" t="str">
        <f>IF(H445&gt;'I. Stream &amp; Compound Data'!$F$18,"",ROUND(Q445*R445,3))</f>
        <v/>
      </c>
      <c r="T445" s="1149" t="str">
        <f>IF(H445&gt;'I. Stream &amp; Compound Data'!$F$18,"",ROUND(L445*R445,3))</f>
        <v/>
      </c>
      <c r="U445" s="299"/>
      <c r="V445" s="279"/>
      <c r="W445" s="279"/>
      <c r="X445" s="279"/>
      <c r="Y445" s="279"/>
      <c r="Z445" s="279"/>
      <c r="AA445" s="279"/>
      <c r="AB445" s="279"/>
      <c r="AC445" s="279"/>
      <c r="AD445" s="279"/>
      <c r="AE445" s="279"/>
      <c r="AF445" s="279"/>
      <c r="AG445" s="279"/>
      <c r="AH445" s="279"/>
      <c r="AI445" s="279"/>
      <c r="AJ445" s="279"/>
      <c r="AK445" s="279"/>
      <c r="AL445" s="279"/>
      <c r="AM445" s="279"/>
      <c r="AN445" s="279"/>
      <c r="AO445" s="279"/>
      <c r="AP445" s="279"/>
      <c r="AQ445" s="279"/>
      <c r="AR445" s="279"/>
      <c r="AS445" s="279"/>
      <c r="AT445" s="279"/>
      <c r="AU445" s="279"/>
      <c r="AV445" s="279"/>
      <c r="AW445" s="279"/>
      <c r="AX445" s="279"/>
      <c r="AY445" s="279"/>
      <c r="AZ445" s="279"/>
      <c r="BA445" s="279"/>
      <c r="BB445" s="279"/>
      <c r="BC445" s="279"/>
      <c r="BD445" s="279"/>
      <c r="BE445" s="279"/>
      <c r="BF445" s="279"/>
      <c r="BG445" s="279"/>
      <c r="BH445" s="279"/>
      <c r="BI445" s="279"/>
      <c r="BJ445" s="279"/>
      <c r="BK445" s="279"/>
      <c r="BL445" s="279"/>
      <c r="BM445" s="279"/>
      <c r="BN445" s="279"/>
      <c r="BO445" s="279"/>
      <c r="BP445" s="279"/>
      <c r="BQ445" s="279"/>
      <c r="BR445" s="279"/>
      <c r="BS445" s="279"/>
      <c r="BT445" s="279"/>
      <c r="BU445" s="279"/>
      <c r="BV445" s="279"/>
      <c r="BW445" s="279"/>
      <c r="BX445" s="279"/>
      <c r="BY445" s="279"/>
      <c r="BZ445" s="279"/>
      <c r="CA445" s="279"/>
      <c r="CB445" s="279"/>
      <c r="CC445" s="279"/>
      <c r="CD445" s="279"/>
      <c r="CE445" s="279"/>
      <c r="CF445" s="279"/>
      <c r="CG445" s="279"/>
      <c r="CH445" s="279"/>
      <c r="CI445" s="279"/>
      <c r="CJ445" s="279"/>
      <c r="CK445" s="279"/>
      <c r="CL445" s="279"/>
      <c r="CM445" s="279"/>
      <c r="CN445" s="382"/>
    </row>
    <row r="446" x14ac:dyDescent="0.25">
      <c r="B446" s="361"/>
      <c r="C446" s="279"/>
      <c r="D446" s="280"/>
      <c r="E446" s="287"/>
      <c r="F446" s="287"/>
      <c r="G446" s="287"/>
      <c r="H446" s="1292">
        <f t="shared" si="17"/>
        <v>11</v>
      </c>
      <c r="I446" s="1295" t="str">
        <f>IF('I. Stream &amp; Compound Data'!BD272&lt;&gt;"",'I. Stream &amp; Compound Data'!BD272,"")</f>
        <v/>
      </c>
      <c r="J446" s="1295" t="str">
        <f>IF('I. Stream &amp; Compound Data'!BE272&lt;&gt;"",'I. Stream &amp; Compound Data'!BE272,"")</f>
        <v/>
      </c>
      <c r="K446" s="1190" t="str">
        <f>IF('I. Stream &amp; Compound Data'!AW272&lt;&gt;"",'I. Stream &amp; Compound Data'!AW272,"")</f>
        <v/>
      </c>
      <c r="L446" s="1190" t="str">
        <f>IF(H446&gt;'I. Stream &amp; Compound Data'!$F$18,"",IF(IF(I446&lt;&gt;"",I446,IF(J446&lt;&gt;"",J446,IF('I. Stream &amp; Compound Data'!BB272&lt;&gt;"",'I. Stream &amp; Compound Data'!BB272,0)))&gt;=0, IF(I446&lt;&gt;"",I446,IF(J446&lt;&gt;"",J446,IF('I. Stream &amp; Compound Data'!BB272&lt;&gt;"",'I. Stream &amp; Compound Data'!BB272,0))),"Endotermic value"))</f>
        <v/>
      </c>
      <c r="M446" s="290" t="str">
        <f>IF(H446&gt;'I. Stream &amp; Compound Data'!$F$18,"",IF(I446="","N/A",ROUND(IF(I446&lt;=0,0,IF(AND(I446&gt;0,I446&lt;2000),0.0005*I446,1)),3)))</f>
        <v/>
      </c>
      <c r="N446" s="1168" t="str">
        <f>IF(H446&gt;'I. Stream &amp; Compound Data'!$F$18,"",IF(M446="N/A",IF(J446="","N/A",ROUND(IF(J446&lt;=0,0,IF(AND(J446&gt;0,J446&lt;2000),0.0005*J446,1)),3)),"N/A"))</f>
        <v/>
      </c>
      <c r="O446" s="1287" t="str">
        <f>IF(H446&gt;'I. Stream &amp; Compound Data'!$F$18,"",IF(AND(M446="N/A",N446="N/A"),IF(K446="","N/A",IF(OR(K446=3,K446=4),1,IF(K446=2,0.75,IF(K446=1,0.25,0)))),"N/A"))</f>
        <v/>
      </c>
      <c r="P446" s="1294" t="str">
        <f>IF(H446&gt;'I. Stream &amp; Compound Data'!$F$18,"",IF(I152="","N/A",IF(M446&lt;&gt;"N/A",M446,IF(N446&lt;&gt;"N/A",N446,IF(O446&lt;&gt;"N/A",O446,"NO DATA AVAILABLE")))))</f>
        <v/>
      </c>
      <c r="Q446" s="1294" t="str">
        <f>IF(H446&gt;'I. Stream &amp; Compound Data'!$F$18,"",IF(P446="N/A",0,L446*10^(2*P446-2)))</f>
        <v/>
      </c>
      <c r="R446" s="1294" t="str">
        <f>IF(H446&gt;'I. Stream &amp; Compound Data'!$F$18,"",MAX(K152:L152))</f>
        <v/>
      </c>
      <c r="S446" s="1294" t="str">
        <f>IF(H446&gt;'I. Stream &amp; Compound Data'!$F$18,"",ROUND(Q446*R446,3))</f>
        <v/>
      </c>
      <c r="T446" s="1149" t="str">
        <f>IF(H446&gt;'I. Stream &amp; Compound Data'!$F$18,"",ROUND(L446*R446,3))</f>
        <v/>
      </c>
      <c r="U446" s="299"/>
      <c r="V446" s="279"/>
      <c r="W446" s="279"/>
      <c r="X446" s="279"/>
      <c r="Y446" s="279"/>
      <c r="Z446" s="279"/>
      <c r="AA446" s="279"/>
      <c r="AB446" s="279"/>
      <c r="AC446" s="279"/>
      <c r="AD446" s="279"/>
      <c r="AE446" s="279"/>
      <c r="AF446" s="279"/>
      <c r="AG446" s="279"/>
      <c r="AH446" s="279"/>
      <c r="AI446" s="279"/>
      <c r="AJ446" s="279"/>
      <c r="AK446" s="279"/>
      <c r="AL446" s="279"/>
      <c r="AM446" s="279"/>
      <c r="AN446" s="279"/>
      <c r="AO446" s="279"/>
      <c r="AP446" s="279"/>
      <c r="AQ446" s="279"/>
      <c r="AR446" s="279"/>
      <c r="AS446" s="279"/>
      <c r="AT446" s="279"/>
      <c r="AU446" s="279"/>
      <c r="AV446" s="279"/>
      <c r="AW446" s="279"/>
      <c r="AX446" s="279"/>
      <c r="AY446" s="279"/>
      <c r="AZ446" s="279"/>
      <c r="BA446" s="279"/>
      <c r="BB446" s="279"/>
      <c r="BC446" s="279"/>
      <c r="BD446" s="279"/>
      <c r="BE446" s="279"/>
      <c r="BF446" s="279"/>
      <c r="BG446" s="279"/>
      <c r="BH446" s="279"/>
      <c r="BI446" s="279"/>
      <c r="BJ446" s="279"/>
      <c r="BK446" s="279"/>
      <c r="BL446" s="279"/>
      <c r="BM446" s="279"/>
      <c r="BN446" s="279"/>
      <c r="BO446" s="279"/>
      <c r="BP446" s="279"/>
      <c r="BQ446" s="279"/>
      <c r="BR446" s="279"/>
      <c r="BS446" s="279"/>
      <c r="BT446" s="279"/>
      <c r="BU446" s="279"/>
      <c r="BV446" s="279"/>
      <c r="BW446" s="279"/>
      <c r="BX446" s="279"/>
      <c r="BY446" s="279"/>
      <c r="BZ446" s="279"/>
      <c r="CA446" s="279"/>
      <c r="CB446" s="279"/>
      <c r="CC446" s="279"/>
      <c r="CD446" s="279"/>
      <c r="CE446" s="279"/>
      <c r="CF446" s="279"/>
      <c r="CG446" s="279"/>
      <c r="CH446" s="279"/>
      <c r="CI446" s="279"/>
      <c r="CJ446" s="279"/>
      <c r="CK446" s="279"/>
      <c r="CL446" s="279"/>
      <c r="CM446" s="279"/>
      <c r="CN446" s="382"/>
    </row>
    <row r="447" x14ac:dyDescent="0.25">
      <c r="B447" s="361"/>
      <c r="C447" s="279"/>
      <c r="D447" s="280"/>
      <c r="E447" s="287"/>
      <c r="F447" s="287"/>
      <c r="G447" s="287"/>
      <c r="H447" s="1292">
        <f t="shared" si="17"/>
        <v>12</v>
      </c>
      <c r="I447" s="1295" t="str">
        <f>IF('I. Stream &amp; Compound Data'!BD273&lt;&gt;"",'I. Stream &amp; Compound Data'!BD273,"")</f>
        <v/>
      </c>
      <c r="J447" s="1295" t="str">
        <f>IF('I. Stream &amp; Compound Data'!BE273&lt;&gt;"",'I. Stream &amp; Compound Data'!BE273,"")</f>
        <v/>
      </c>
      <c r="K447" s="1190" t="str">
        <f>IF('I. Stream &amp; Compound Data'!AW273&lt;&gt;"",'I. Stream &amp; Compound Data'!AW273,"")</f>
        <v/>
      </c>
      <c r="L447" s="1190" t="str">
        <f>IF(H447&gt;'I. Stream &amp; Compound Data'!$F$18,"",IF(IF(I447&lt;&gt;"",I447,IF(J447&lt;&gt;"",J447,IF('I. Stream &amp; Compound Data'!BB273&lt;&gt;"",'I. Stream &amp; Compound Data'!BB273,0)))&gt;=0, IF(I447&lt;&gt;"",I447,IF(J447&lt;&gt;"",J447,IF('I. Stream &amp; Compound Data'!BB273&lt;&gt;"",'I. Stream &amp; Compound Data'!BB273,0))),"Endotermic value"))</f>
        <v/>
      </c>
      <c r="M447" s="290" t="str">
        <f>IF(H447&gt;'I. Stream &amp; Compound Data'!$F$18,"",IF(I447="","N/A",ROUND(IF(I447&lt;=0,0,IF(AND(I447&gt;0,I447&lt;2000),0.0005*I447,1)),3)))</f>
        <v/>
      </c>
      <c r="N447" s="1168" t="str">
        <f>IF(H447&gt;'I. Stream &amp; Compound Data'!$F$18,"",IF(M447="N/A",IF(J447="","N/A",ROUND(IF(J447&lt;=0,0,IF(AND(J447&gt;0,J447&lt;2000),0.0005*J447,1)),3)),"N/A"))</f>
        <v/>
      </c>
      <c r="O447" s="1287" t="str">
        <f>IF(H447&gt;'I. Stream &amp; Compound Data'!$F$18,"",IF(AND(M447="N/A",N447="N/A"),IF(K447="","N/A",IF(OR(K447=3,K447=4),1,IF(K447=2,0.75,IF(K447=1,0.25,0)))),"N/A"))</f>
        <v/>
      </c>
      <c r="P447" s="1294" t="str">
        <f>IF(H447&gt;'I. Stream &amp; Compound Data'!$F$18,"",IF(I153="","N/A",IF(M447&lt;&gt;"N/A",M447,IF(N447&lt;&gt;"N/A",N447,IF(O447&lt;&gt;"N/A",O447,"NO DATA AVAILABLE")))))</f>
        <v/>
      </c>
      <c r="Q447" s="1294" t="str">
        <f>IF(H447&gt;'I. Stream &amp; Compound Data'!$F$18,"",IF(P447="N/A",0,L447*10^(2*P447-2)))</f>
        <v/>
      </c>
      <c r="R447" s="1294" t="str">
        <f>IF(H447&gt;'I. Stream &amp; Compound Data'!$F$18,"",MAX(K153:L153))</f>
        <v/>
      </c>
      <c r="S447" s="1294" t="str">
        <f>IF(H447&gt;'I. Stream &amp; Compound Data'!$F$18,"",ROUND(Q447*R447,3))</f>
        <v/>
      </c>
      <c r="T447" s="1149" t="str">
        <f>IF(H447&gt;'I. Stream &amp; Compound Data'!$F$18,"",ROUND(L447*R447,3))</f>
        <v/>
      </c>
      <c r="U447" s="299"/>
      <c r="V447" s="279"/>
      <c r="W447" s="279"/>
      <c r="X447" s="279"/>
      <c r="Y447" s="279"/>
      <c r="Z447" s="279"/>
      <c r="AA447" s="279"/>
      <c r="AB447" s="279"/>
      <c r="AC447" s="279"/>
      <c r="AD447" s="279"/>
      <c r="AE447" s="279"/>
      <c r="AF447" s="279"/>
      <c r="AG447" s="279"/>
      <c r="AH447" s="279"/>
      <c r="AI447" s="279"/>
      <c r="AJ447" s="279"/>
      <c r="AK447" s="279"/>
      <c r="AL447" s="279"/>
      <c r="AM447" s="279"/>
      <c r="AN447" s="279"/>
      <c r="AO447" s="279"/>
      <c r="AP447" s="279"/>
      <c r="AQ447" s="279"/>
      <c r="AR447" s="279"/>
      <c r="AS447" s="279"/>
      <c r="AT447" s="279"/>
      <c r="AU447" s="279"/>
      <c r="AV447" s="279"/>
      <c r="AW447" s="279"/>
      <c r="AX447" s="279"/>
      <c r="AY447" s="279"/>
      <c r="AZ447" s="279"/>
      <c r="BA447" s="279"/>
      <c r="BB447" s="279"/>
      <c r="BC447" s="279"/>
      <c r="BD447" s="279"/>
      <c r="BE447" s="279"/>
      <c r="BF447" s="279"/>
      <c r="BG447" s="279"/>
      <c r="BH447" s="279"/>
      <c r="BI447" s="279"/>
      <c r="BJ447" s="279"/>
      <c r="BK447" s="279"/>
      <c r="BL447" s="279"/>
      <c r="BM447" s="279"/>
      <c r="BN447" s="279"/>
      <c r="BO447" s="279"/>
      <c r="BP447" s="279"/>
      <c r="BQ447" s="279"/>
      <c r="BR447" s="279"/>
      <c r="BS447" s="279"/>
      <c r="BT447" s="279"/>
      <c r="BU447" s="279"/>
      <c r="BV447" s="279"/>
      <c r="BW447" s="279"/>
      <c r="BX447" s="279"/>
      <c r="BY447" s="279"/>
      <c r="BZ447" s="279"/>
      <c r="CA447" s="279"/>
      <c r="CB447" s="279"/>
      <c r="CC447" s="279"/>
      <c r="CD447" s="279"/>
      <c r="CE447" s="279"/>
      <c r="CF447" s="279"/>
      <c r="CG447" s="279"/>
      <c r="CH447" s="279"/>
      <c r="CI447" s="279"/>
      <c r="CJ447" s="279"/>
      <c r="CK447" s="279"/>
      <c r="CL447" s="279"/>
      <c r="CM447" s="279"/>
      <c r="CN447" s="382"/>
    </row>
    <row r="448" x14ac:dyDescent="0.25">
      <c r="B448" s="361"/>
      <c r="C448" s="279"/>
      <c r="D448" s="280"/>
      <c r="E448" s="287"/>
      <c r="F448" s="287"/>
      <c r="G448" s="287"/>
      <c r="H448" s="1292">
        <f t="shared" si="17"/>
        <v>13</v>
      </c>
      <c r="I448" s="1295" t="str">
        <f>IF('I. Stream &amp; Compound Data'!BD274&lt;&gt;"",'I. Stream &amp; Compound Data'!BD274,"")</f>
        <v/>
      </c>
      <c r="J448" s="1295" t="str">
        <f>IF('I. Stream &amp; Compound Data'!BE274&lt;&gt;"",'I. Stream &amp; Compound Data'!BE274,"")</f>
        <v/>
      </c>
      <c r="K448" s="1190" t="str">
        <f>IF('I. Stream &amp; Compound Data'!AW274&lt;&gt;"",'I. Stream &amp; Compound Data'!AW274,"")</f>
        <v/>
      </c>
      <c r="L448" s="1190" t="str">
        <f>IF(H448&gt;'I. Stream &amp; Compound Data'!$F$18,"",IF(IF(I448&lt;&gt;"",I448,IF(J448&lt;&gt;"",J448,IF('I. Stream &amp; Compound Data'!BB274&lt;&gt;"",'I. Stream &amp; Compound Data'!BB274,0)))&gt;=0, IF(I448&lt;&gt;"",I448,IF(J448&lt;&gt;"",J448,IF('I. Stream &amp; Compound Data'!BB274&lt;&gt;"",'I. Stream &amp; Compound Data'!BB274,0))),"Endotermic value"))</f>
        <v/>
      </c>
      <c r="M448" s="290" t="str">
        <f>IF(H448&gt;'I. Stream &amp; Compound Data'!$F$18,"",IF(I448="","N/A",ROUND(IF(I448&lt;=0,0,IF(AND(I448&gt;0,I448&lt;2000),0.0005*I448,1)),3)))</f>
        <v/>
      </c>
      <c r="N448" s="1168" t="str">
        <f>IF(H448&gt;'I. Stream &amp; Compound Data'!$F$18,"",IF(M448="N/A",IF(J448="","N/A",ROUND(IF(J448&lt;=0,0,IF(AND(J448&gt;0,J448&lt;2000),0.0005*J448,1)),3)),"N/A"))</f>
        <v/>
      </c>
      <c r="O448" s="1287" t="str">
        <f>IF(H448&gt;'I. Stream &amp; Compound Data'!$F$18,"",IF(AND(M448="N/A",N448="N/A"),IF(K448="","N/A",IF(OR(K448=3,K448=4),1,IF(K448=2,0.75,IF(K448=1,0.25,0)))),"N/A"))</f>
        <v/>
      </c>
      <c r="P448" s="1294" t="str">
        <f>IF(H448&gt;'I. Stream &amp; Compound Data'!$F$18,"",IF(I154="","N/A",IF(M448&lt;&gt;"N/A",M448,IF(N448&lt;&gt;"N/A",N448,IF(O448&lt;&gt;"N/A",O448,"NO DATA AVAILABLE")))))</f>
        <v/>
      </c>
      <c r="Q448" s="1294" t="str">
        <f>IF(H448&gt;'I. Stream &amp; Compound Data'!$F$18,"",IF(P448="N/A",0,L448*10^(2*P448-2)))</f>
        <v/>
      </c>
      <c r="R448" s="1294" t="str">
        <f>IF(H448&gt;'I. Stream &amp; Compound Data'!$F$18,"",MAX(K154:L154))</f>
        <v/>
      </c>
      <c r="S448" s="1294" t="str">
        <f>IF(H448&gt;'I. Stream &amp; Compound Data'!$F$18,"",ROUND(Q448*R448,3))</f>
        <v/>
      </c>
      <c r="T448" s="1149" t="str">
        <f>IF(H448&gt;'I. Stream &amp; Compound Data'!$F$18,"",ROUND(L448*R448,3))</f>
        <v/>
      </c>
      <c r="U448" s="299"/>
      <c r="V448" s="279"/>
      <c r="W448" s="279"/>
      <c r="X448" s="279"/>
      <c r="Y448" s="279"/>
      <c r="Z448" s="279"/>
      <c r="AA448" s="279"/>
      <c r="AB448" s="279"/>
      <c r="AC448" s="279"/>
      <c r="AD448" s="279"/>
      <c r="AE448" s="279"/>
      <c r="AF448" s="279"/>
      <c r="AG448" s="279"/>
      <c r="AH448" s="279"/>
      <c r="AI448" s="279"/>
      <c r="AJ448" s="279"/>
      <c r="AK448" s="279"/>
      <c r="AL448" s="279"/>
      <c r="AM448" s="279"/>
      <c r="AN448" s="279"/>
      <c r="AO448" s="279"/>
      <c r="AP448" s="279"/>
      <c r="AQ448" s="279"/>
      <c r="AR448" s="279"/>
      <c r="AS448" s="279"/>
      <c r="AT448" s="279"/>
      <c r="AU448" s="279"/>
      <c r="AV448" s="279"/>
      <c r="AW448" s="279"/>
      <c r="AX448" s="279"/>
      <c r="AY448" s="279"/>
      <c r="AZ448" s="279"/>
      <c r="BA448" s="279"/>
      <c r="BB448" s="279"/>
      <c r="BC448" s="279"/>
      <c r="BD448" s="279"/>
      <c r="BE448" s="279"/>
      <c r="BF448" s="279"/>
      <c r="BG448" s="279"/>
      <c r="BH448" s="279"/>
      <c r="BI448" s="279"/>
      <c r="BJ448" s="279"/>
      <c r="BK448" s="279"/>
      <c r="BL448" s="279"/>
      <c r="BM448" s="279"/>
      <c r="BN448" s="279"/>
      <c r="BO448" s="279"/>
      <c r="BP448" s="279"/>
      <c r="BQ448" s="279"/>
      <c r="BR448" s="279"/>
      <c r="BS448" s="279"/>
      <c r="BT448" s="279"/>
      <c r="BU448" s="279"/>
      <c r="BV448" s="279"/>
      <c r="BW448" s="279"/>
      <c r="BX448" s="279"/>
      <c r="BY448" s="279"/>
      <c r="BZ448" s="279"/>
      <c r="CA448" s="279"/>
      <c r="CB448" s="279"/>
      <c r="CC448" s="279"/>
      <c r="CD448" s="279"/>
      <c r="CE448" s="279"/>
      <c r="CF448" s="279"/>
      <c r="CG448" s="279"/>
      <c r="CH448" s="279"/>
      <c r="CI448" s="279"/>
      <c r="CJ448" s="279"/>
      <c r="CK448" s="279"/>
      <c r="CL448" s="279"/>
      <c r="CM448" s="279"/>
      <c r="CN448" s="382"/>
    </row>
    <row r="449" x14ac:dyDescent="0.25">
      <c r="B449" s="361"/>
      <c r="C449" s="279"/>
      <c r="D449" s="280"/>
      <c r="E449" s="287"/>
      <c r="F449" s="287"/>
      <c r="G449" s="287"/>
      <c r="H449" s="1292">
        <f t="shared" si="17"/>
        <v>14</v>
      </c>
      <c r="I449" s="1295" t="str">
        <f>IF('I. Stream &amp; Compound Data'!BD275&lt;&gt;"",'I. Stream &amp; Compound Data'!BD275,"")</f>
        <v/>
      </c>
      <c r="J449" s="1295" t="str">
        <f>IF('I. Stream &amp; Compound Data'!BE275&lt;&gt;"",'I. Stream &amp; Compound Data'!BE275,"")</f>
        <v/>
      </c>
      <c r="K449" s="1190" t="str">
        <f>IF('I. Stream &amp; Compound Data'!AW275&lt;&gt;"",'I. Stream &amp; Compound Data'!AW275,"")</f>
        <v/>
      </c>
      <c r="L449" s="1190" t="str">
        <f>IF(H449&gt;'I. Stream &amp; Compound Data'!$F$18,"",IF(IF(I449&lt;&gt;"",I449,IF(J449&lt;&gt;"",J449,IF('I. Stream &amp; Compound Data'!BB275&lt;&gt;"",'I. Stream &amp; Compound Data'!BB275,0)))&gt;=0, IF(I449&lt;&gt;"",I449,IF(J449&lt;&gt;"",J449,IF('I. Stream &amp; Compound Data'!BB275&lt;&gt;"",'I. Stream &amp; Compound Data'!BB275,0))),"Endotermic value"))</f>
        <v/>
      </c>
      <c r="M449" s="290" t="str">
        <f>IF(H449&gt;'I. Stream &amp; Compound Data'!$F$18,"",IF(I449="","N/A",ROUND(IF(I449&lt;=0,0,IF(AND(I449&gt;0,I449&lt;2000),0.0005*I449,1)),3)))</f>
        <v/>
      </c>
      <c r="N449" s="1168" t="str">
        <f>IF(H449&gt;'I. Stream &amp; Compound Data'!$F$18,"",IF(M449="N/A",IF(J449="","N/A",ROUND(IF(J449&lt;=0,0,IF(AND(J449&gt;0,J449&lt;2000),0.0005*J449,1)),3)),"N/A"))</f>
        <v/>
      </c>
      <c r="O449" s="1287" t="str">
        <f>IF(H449&gt;'I. Stream &amp; Compound Data'!$F$18,"",IF(AND(M449="N/A",N449="N/A"),IF(K449="","N/A",IF(OR(K449=3,K449=4),1,IF(K449=2,0.75,IF(K449=1,0.25,0)))),"N/A"))</f>
        <v/>
      </c>
      <c r="P449" s="1294" t="str">
        <f>IF(H449&gt;'I. Stream &amp; Compound Data'!$F$18,"",IF(I155="","N/A",IF(M449&lt;&gt;"N/A",M449,IF(N449&lt;&gt;"N/A",N449,IF(O449&lt;&gt;"N/A",O449,"NO DATA AVAILABLE")))))</f>
        <v/>
      </c>
      <c r="Q449" s="1294" t="str">
        <f>IF(H449&gt;'I. Stream &amp; Compound Data'!$F$18,"",IF(P449="N/A",0,L449*10^(2*P449-2)))</f>
        <v/>
      </c>
      <c r="R449" s="1294" t="str">
        <f>IF(H449&gt;'I. Stream &amp; Compound Data'!$F$18,"",MAX(K155:L155))</f>
        <v/>
      </c>
      <c r="S449" s="1294" t="str">
        <f>IF(H449&gt;'I. Stream &amp; Compound Data'!$F$18,"",ROUND(Q449*R449,3))</f>
        <v/>
      </c>
      <c r="T449" s="1149" t="str">
        <f>IF(H449&gt;'I. Stream &amp; Compound Data'!$F$18,"",ROUND(L449*R449,3))</f>
        <v/>
      </c>
      <c r="U449" s="299"/>
      <c r="V449" s="279"/>
      <c r="W449" s="279"/>
      <c r="X449" s="279"/>
      <c r="Y449" s="279"/>
      <c r="Z449" s="279"/>
      <c r="AA449" s="279"/>
      <c r="AB449" s="279"/>
      <c r="AC449" s="279"/>
      <c r="AD449" s="279"/>
      <c r="AE449" s="279"/>
      <c r="AF449" s="279"/>
      <c r="AG449" s="279"/>
      <c r="AH449" s="279"/>
      <c r="AI449" s="279"/>
      <c r="AJ449" s="279"/>
      <c r="AK449" s="279"/>
      <c r="AL449" s="279"/>
      <c r="AM449" s="279"/>
      <c r="AN449" s="279"/>
      <c r="AO449" s="279"/>
      <c r="AP449" s="279"/>
      <c r="AQ449" s="279"/>
      <c r="AR449" s="279"/>
      <c r="AS449" s="279"/>
      <c r="AT449" s="279"/>
      <c r="AU449" s="279"/>
      <c r="AV449" s="279"/>
      <c r="AW449" s="279"/>
      <c r="AX449" s="279"/>
      <c r="AY449" s="279"/>
      <c r="AZ449" s="279"/>
      <c r="BA449" s="279"/>
      <c r="BB449" s="279"/>
      <c r="BC449" s="279"/>
      <c r="BD449" s="279"/>
      <c r="BE449" s="279"/>
      <c r="BF449" s="279"/>
      <c r="BG449" s="279"/>
      <c r="BH449" s="279"/>
      <c r="BI449" s="279"/>
      <c r="BJ449" s="279"/>
      <c r="BK449" s="279"/>
      <c r="BL449" s="279"/>
      <c r="BM449" s="279"/>
      <c r="BN449" s="279"/>
      <c r="BO449" s="279"/>
      <c r="BP449" s="279"/>
      <c r="BQ449" s="279"/>
      <c r="BR449" s="279"/>
      <c r="BS449" s="279"/>
      <c r="BT449" s="279"/>
      <c r="BU449" s="279"/>
      <c r="BV449" s="279"/>
      <c r="BW449" s="279"/>
      <c r="BX449" s="279"/>
      <c r="BY449" s="279"/>
      <c r="BZ449" s="279"/>
      <c r="CA449" s="279"/>
      <c r="CB449" s="279"/>
      <c r="CC449" s="279"/>
      <c r="CD449" s="279"/>
      <c r="CE449" s="279"/>
      <c r="CF449" s="279"/>
      <c r="CG449" s="279"/>
      <c r="CH449" s="279"/>
      <c r="CI449" s="279"/>
      <c r="CJ449" s="279"/>
      <c r="CK449" s="279"/>
      <c r="CL449" s="279"/>
      <c r="CM449" s="279"/>
      <c r="CN449" s="382"/>
    </row>
    <row r="450" x14ac:dyDescent="0.25">
      <c r="B450" s="361"/>
      <c r="C450" s="279"/>
      <c r="D450" s="280"/>
      <c r="E450" s="287"/>
      <c r="F450" s="287"/>
      <c r="G450" s="287"/>
      <c r="H450" s="1292">
        <f t="shared" si="17"/>
        <v>15</v>
      </c>
      <c r="I450" s="1295" t="str">
        <f>IF('I. Stream &amp; Compound Data'!BD276&lt;&gt;"",'I. Stream &amp; Compound Data'!BD276,"")</f>
        <v/>
      </c>
      <c r="J450" s="1295" t="str">
        <f>IF('I. Stream &amp; Compound Data'!BE276&lt;&gt;"",'I. Stream &amp; Compound Data'!BE276,"")</f>
        <v/>
      </c>
      <c r="K450" s="1190" t="str">
        <f>IF('I. Stream &amp; Compound Data'!AW276&lt;&gt;"",'I. Stream &amp; Compound Data'!AW276,"")</f>
        <v/>
      </c>
      <c r="L450" s="1190" t="str">
        <f>IF(H450&gt;'I. Stream &amp; Compound Data'!$F$18,"",IF(IF(I450&lt;&gt;"",I450,IF(J450&lt;&gt;"",J450,IF('I. Stream &amp; Compound Data'!BB276&lt;&gt;"",'I. Stream &amp; Compound Data'!BB276,0)))&gt;=0, IF(I450&lt;&gt;"",I450,IF(J450&lt;&gt;"",J450,IF('I. Stream &amp; Compound Data'!BB276&lt;&gt;"",'I. Stream &amp; Compound Data'!BB276,0))),"Endotermic value"))</f>
        <v/>
      </c>
      <c r="M450" s="290" t="str">
        <f>IF(H450&gt;'I. Stream &amp; Compound Data'!$F$18,"",IF(I450="","N/A",ROUND(IF(I450&lt;=0,0,IF(AND(I450&gt;0,I450&lt;2000),0.0005*I450,1)),3)))</f>
        <v/>
      </c>
      <c r="N450" s="1168" t="str">
        <f>IF(H450&gt;'I. Stream &amp; Compound Data'!$F$18,"",IF(M450="N/A",IF(J450="","N/A",ROUND(IF(J450&lt;=0,0,IF(AND(J450&gt;0,J450&lt;2000),0.0005*J450,1)),3)),"N/A"))</f>
        <v/>
      </c>
      <c r="O450" s="1287" t="str">
        <f>IF(H450&gt;'I. Stream &amp; Compound Data'!$F$18,"",IF(AND(M450="N/A",N450="N/A"),IF(K450="","N/A",IF(OR(K450=3,K450=4),1,IF(K450=2,0.75,IF(K450=1,0.25,0)))),"N/A"))</f>
        <v/>
      </c>
      <c r="P450" s="1294" t="str">
        <f>IF(H450&gt;'I. Stream &amp; Compound Data'!$F$18,"",IF(I156="","N/A",IF(M450&lt;&gt;"N/A",M450,IF(N450&lt;&gt;"N/A",N450,IF(O450&lt;&gt;"N/A",O450,"NO DATA AVAILABLE")))))</f>
        <v/>
      </c>
      <c r="Q450" s="1294" t="str">
        <f>IF(H450&gt;'I. Stream &amp; Compound Data'!$F$18,"",IF(P450="N/A",0,L450*10^(2*P450-2)))</f>
        <v/>
      </c>
      <c r="R450" s="1294" t="str">
        <f>IF(H450&gt;'I. Stream &amp; Compound Data'!$F$18,"",MAX(K156:L156))</f>
        <v/>
      </c>
      <c r="S450" s="1294" t="str">
        <f>IF(H450&gt;'I. Stream &amp; Compound Data'!$F$18,"",ROUND(Q450*R450,3))</f>
        <v/>
      </c>
      <c r="T450" s="1149" t="str">
        <f>IF(H450&gt;'I. Stream &amp; Compound Data'!$F$18,"",ROUND(L450*R450,3))</f>
        <v/>
      </c>
      <c r="U450" s="299"/>
      <c r="V450" s="279"/>
      <c r="W450" s="279"/>
      <c r="X450" s="279"/>
      <c r="Y450" s="279"/>
      <c r="Z450" s="279"/>
      <c r="AA450" s="279"/>
      <c r="AB450" s="279"/>
      <c r="AC450" s="279"/>
      <c r="AD450" s="279"/>
      <c r="AE450" s="279"/>
      <c r="AF450" s="279"/>
      <c r="AG450" s="279"/>
      <c r="AH450" s="279"/>
      <c r="AI450" s="279"/>
      <c r="AJ450" s="279"/>
      <c r="AK450" s="279"/>
      <c r="AL450" s="279"/>
      <c r="AM450" s="279"/>
      <c r="AN450" s="279"/>
      <c r="AO450" s="279"/>
      <c r="AP450" s="279"/>
      <c r="AQ450" s="279"/>
      <c r="AR450" s="279"/>
      <c r="AS450" s="279"/>
      <c r="AT450" s="279"/>
      <c r="AU450" s="279"/>
      <c r="AV450" s="279"/>
      <c r="AW450" s="279"/>
      <c r="AX450" s="279"/>
      <c r="AY450" s="279"/>
      <c r="AZ450" s="279"/>
      <c r="BA450" s="279"/>
      <c r="BB450" s="279"/>
      <c r="BC450" s="279"/>
      <c r="BD450" s="279"/>
      <c r="BE450" s="279"/>
      <c r="BF450" s="279"/>
      <c r="BG450" s="279"/>
      <c r="BH450" s="279"/>
      <c r="BI450" s="279"/>
      <c r="BJ450" s="279"/>
      <c r="BK450" s="279"/>
      <c r="BL450" s="279"/>
      <c r="BM450" s="279"/>
      <c r="BN450" s="279"/>
      <c r="BO450" s="279"/>
      <c r="BP450" s="279"/>
      <c r="BQ450" s="279"/>
      <c r="BR450" s="279"/>
      <c r="BS450" s="279"/>
      <c r="BT450" s="279"/>
      <c r="BU450" s="279"/>
      <c r="BV450" s="279"/>
      <c r="BW450" s="279"/>
      <c r="BX450" s="279"/>
      <c r="BY450" s="279"/>
      <c r="BZ450" s="279"/>
      <c r="CA450" s="279"/>
      <c r="CB450" s="279"/>
      <c r="CC450" s="279"/>
      <c r="CD450" s="279"/>
      <c r="CE450" s="279"/>
      <c r="CF450" s="279"/>
      <c r="CG450" s="279"/>
      <c r="CH450" s="279"/>
      <c r="CI450" s="279"/>
      <c r="CJ450" s="279"/>
      <c r="CK450" s="279"/>
      <c r="CL450" s="279"/>
      <c r="CM450" s="279"/>
      <c r="CN450" s="382"/>
    </row>
    <row r="451" x14ac:dyDescent="0.25">
      <c r="B451" s="361"/>
      <c r="C451" s="279"/>
      <c r="D451" s="280"/>
      <c r="E451" s="287"/>
      <c r="F451" s="287"/>
      <c r="G451" s="287"/>
      <c r="H451" s="1292">
        <f t="shared" si="17"/>
        <v>16</v>
      </c>
      <c r="I451" s="1295" t="str">
        <f>IF('I. Stream &amp; Compound Data'!BD277&lt;&gt;"",'I. Stream &amp; Compound Data'!BD277,"")</f>
        <v/>
      </c>
      <c r="J451" s="1295" t="str">
        <f>IF('I. Stream &amp; Compound Data'!BE277&lt;&gt;"",'I. Stream &amp; Compound Data'!BE277,"")</f>
        <v/>
      </c>
      <c r="K451" s="1190" t="str">
        <f>IF('I. Stream &amp; Compound Data'!AW277&lt;&gt;"",'I. Stream &amp; Compound Data'!AW277,"")</f>
        <v/>
      </c>
      <c r="L451" s="1190" t="str">
        <f>IF(H451&gt;'I. Stream &amp; Compound Data'!$F$18,"",IF(IF(I451&lt;&gt;"",I451,IF(J451&lt;&gt;"",J451,IF('I. Stream &amp; Compound Data'!BB277&lt;&gt;"",'I. Stream &amp; Compound Data'!BB277,0)))&gt;=0, IF(I451&lt;&gt;"",I451,IF(J451&lt;&gt;"",J451,IF('I. Stream &amp; Compound Data'!BB277&lt;&gt;"",'I. Stream &amp; Compound Data'!BB277,0))),"Endotermic value"))</f>
        <v/>
      </c>
      <c r="M451" s="290" t="str">
        <f>IF(H451&gt;'I. Stream &amp; Compound Data'!$F$18,"",IF(I451="","N/A",ROUND(IF(I451&lt;=0,0,IF(AND(I451&gt;0,I451&lt;2000),0.0005*I451,1)),3)))</f>
        <v/>
      </c>
      <c r="N451" s="1168" t="str">
        <f>IF(H451&gt;'I. Stream &amp; Compound Data'!$F$18,"",IF(M451="N/A",IF(J451="","N/A",ROUND(IF(J451&lt;=0,0,IF(AND(J451&gt;0,J451&lt;2000),0.0005*J451,1)),3)),"N/A"))</f>
        <v/>
      </c>
      <c r="O451" s="1287" t="str">
        <f>IF(H451&gt;'I. Stream &amp; Compound Data'!$F$18,"",IF(AND(M451="N/A",N451="N/A"),IF(K451="","N/A",IF(OR(K451=3,K451=4),1,IF(K451=2,0.75,IF(K451=1,0.25,0)))),"N/A"))</f>
        <v/>
      </c>
      <c r="P451" s="1294" t="str">
        <f>IF(H451&gt;'I. Stream &amp; Compound Data'!$F$18,"",IF(I157="","N/A",IF(M451&lt;&gt;"N/A",M451,IF(N451&lt;&gt;"N/A",N451,IF(O451&lt;&gt;"N/A",O451,"NO DATA AVAILABLE")))))</f>
        <v/>
      </c>
      <c r="Q451" s="1294" t="str">
        <f>IF(H451&gt;'I. Stream &amp; Compound Data'!$F$18,"",IF(P451="N/A",0,L451*10^(2*P451-2)))</f>
        <v/>
      </c>
      <c r="R451" s="1294" t="str">
        <f>IF(H451&gt;'I. Stream &amp; Compound Data'!$F$18,"",MAX(K157:L157))</f>
        <v/>
      </c>
      <c r="S451" s="1294" t="str">
        <f>IF(H451&gt;'I. Stream &amp; Compound Data'!$F$18,"",ROUND(Q451*R451,3))</f>
        <v/>
      </c>
      <c r="T451" s="1149" t="str">
        <f>IF(H451&gt;'I. Stream &amp; Compound Data'!$F$18,"",ROUND(L451*R451,3))</f>
        <v/>
      </c>
      <c r="U451" s="299"/>
      <c r="V451" s="279"/>
      <c r="W451" s="279"/>
      <c r="X451" s="279"/>
      <c r="Y451" s="279"/>
      <c r="Z451" s="279"/>
      <c r="AA451" s="279"/>
      <c r="AB451" s="279"/>
      <c r="AC451" s="279"/>
      <c r="AD451" s="279"/>
      <c r="AE451" s="279"/>
      <c r="AF451" s="279"/>
      <c r="AG451" s="279"/>
      <c r="AH451" s="279"/>
      <c r="AI451" s="279"/>
      <c r="AJ451" s="279"/>
      <c r="AK451" s="279"/>
      <c r="AL451" s="279"/>
      <c r="AM451" s="279"/>
      <c r="AN451" s="279"/>
      <c r="AO451" s="279"/>
      <c r="AP451" s="279"/>
      <c r="AQ451" s="279"/>
      <c r="AR451" s="279"/>
      <c r="AS451" s="279"/>
      <c r="AT451" s="279"/>
      <c r="AU451" s="279"/>
      <c r="AV451" s="279"/>
      <c r="AW451" s="279"/>
      <c r="AX451" s="279"/>
      <c r="AY451" s="279"/>
      <c r="AZ451" s="279"/>
      <c r="BA451" s="279"/>
      <c r="BB451" s="279"/>
      <c r="BC451" s="279"/>
      <c r="BD451" s="279"/>
      <c r="BE451" s="279"/>
      <c r="BF451" s="279"/>
      <c r="BG451" s="279"/>
      <c r="BH451" s="279"/>
      <c r="BI451" s="279"/>
      <c r="BJ451" s="279"/>
      <c r="BK451" s="279"/>
      <c r="BL451" s="279"/>
      <c r="BM451" s="279"/>
      <c r="BN451" s="279"/>
      <c r="BO451" s="279"/>
      <c r="BP451" s="279"/>
      <c r="BQ451" s="279"/>
      <c r="BR451" s="279"/>
      <c r="BS451" s="279"/>
      <c r="BT451" s="279"/>
      <c r="BU451" s="279"/>
      <c r="BV451" s="279"/>
      <c r="BW451" s="279"/>
      <c r="BX451" s="279"/>
      <c r="BY451" s="279"/>
      <c r="BZ451" s="279"/>
      <c r="CA451" s="279"/>
      <c r="CB451" s="279"/>
      <c r="CC451" s="279"/>
      <c r="CD451" s="279"/>
      <c r="CE451" s="279"/>
      <c r="CF451" s="279"/>
      <c r="CG451" s="279"/>
      <c r="CH451" s="279"/>
      <c r="CI451" s="279"/>
      <c r="CJ451" s="279"/>
      <c r="CK451" s="279"/>
      <c r="CL451" s="279"/>
      <c r="CM451" s="279"/>
      <c r="CN451" s="382"/>
    </row>
    <row r="452" x14ac:dyDescent="0.25">
      <c r="B452" s="361"/>
      <c r="C452" s="279"/>
      <c r="D452" s="280"/>
      <c r="E452" s="287"/>
      <c r="F452" s="287"/>
      <c r="G452" s="287"/>
      <c r="H452" s="1292">
        <f t="shared" si="17"/>
        <v>17</v>
      </c>
      <c r="I452" s="1295" t="str">
        <f>IF('I. Stream &amp; Compound Data'!BD278&lt;&gt;"",'I. Stream &amp; Compound Data'!BD278,"")</f>
        <v/>
      </c>
      <c r="J452" s="1295" t="str">
        <f>IF('I. Stream &amp; Compound Data'!BE278&lt;&gt;"",'I. Stream &amp; Compound Data'!BE278,"")</f>
        <v/>
      </c>
      <c r="K452" s="1190" t="str">
        <f>IF('I. Stream &amp; Compound Data'!AW278&lt;&gt;"",'I. Stream &amp; Compound Data'!AW278,"")</f>
        <v/>
      </c>
      <c r="L452" s="1190" t="str">
        <f>IF(H452&gt;'I. Stream &amp; Compound Data'!$F$18,"",IF(IF(I452&lt;&gt;"",I452,IF(J452&lt;&gt;"",J452,IF('I. Stream &amp; Compound Data'!BB278&lt;&gt;"",'I. Stream &amp; Compound Data'!BB278,0)))&gt;=0, IF(I452&lt;&gt;"",I452,IF(J452&lt;&gt;"",J452,IF('I. Stream &amp; Compound Data'!BB278&lt;&gt;"",'I. Stream &amp; Compound Data'!BB278,0))),"Endotermic value"))</f>
        <v/>
      </c>
      <c r="M452" s="290" t="str">
        <f>IF(H452&gt;'I. Stream &amp; Compound Data'!$F$18,"",IF(I452="","N/A",ROUND(IF(I452&lt;=0,0,IF(AND(I452&gt;0,I452&lt;2000),0.0005*I452,1)),3)))</f>
        <v/>
      </c>
      <c r="N452" s="1168" t="str">
        <f>IF(H452&gt;'I. Stream &amp; Compound Data'!$F$18,"",IF(M452="N/A",IF(J452="","N/A",ROUND(IF(J452&lt;=0,0,IF(AND(J452&gt;0,J452&lt;2000),0.0005*J452,1)),3)),"N/A"))</f>
        <v/>
      </c>
      <c r="O452" s="1287" t="str">
        <f>IF(H452&gt;'I. Stream &amp; Compound Data'!$F$18,"",IF(AND(M452="N/A",N452="N/A"),IF(K452="","N/A",IF(OR(K452=3,K452=4),1,IF(K452=2,0.75,IF(K452=1,0.25,0)))),"N/A"))</f>
        <v/>
      </c>
      <c r="P452" s="1294" t="str">
        <f>IF(H452&gt;'I. Stream &amp; Compound Data'!$F$18,"",IF(I158="","N/A",IF(M452&lt;&gt;"N/A",M452,IF(N452&lt;&gt;"N/A",N452,IF(O452&lt;&gt;"N/A",O452,"NO DATA AVAILABLE")))))</f>
        <v/>
      </c>
      <c r="Q452" s="1294" t="str">
        <f>IF(H452&gt;'I. Stream &amp; Compound Data'!$F$18,"",IF(P452="N/A",0,L452*10^(2*P452-2)))</f>
        <v/>
      </c>
      <c r="R452" s="1294" t="str">
        <f>IF(H452&gt;'I. Stream &amp; Compound Data'!$F$18,"",MAX(K158:L158))</f>
        <v/>
      </c>
      <c r="S452" s="1294" t="str">
        <f>IF(H452&gt;'I. Stream &amp; Compound Data'!$F$18,"",ROUND(Q452*R452,3))</f>
        <v/>
      </c>
      <c r="T452" s="1149" t="str">
        <f>IF(H452&gt;'I. Stream &amp; Compound Data'!$F$18,"",ROUND(L452*R452,3))</f>
        <v/>
      </c>
      <c r="U452" s="299"/>
      <c r="V452" s="279"/>
      <c r="W452" s="279"/>
      <c r="X452" s="279"/>
      <c r="Y452" s="279"/>
      <c r="Z452" s="279"/>
      <c r="AA452" s="279"/>
      <c r="AB452" s="279"/>
      <c r="AC452" s="279"/>
      <c r="AD452" s="279"/>
      <c r="AE452" s="279"/>
      <c r="AF452" s="279"/>
      <c r="AG452" s="279"/>
      <c r="AH452" s="279"/>
      <c r="AI452" s="279"/>
      <c r="AJ452" s="279"/>
      <c r="AK452" s="279"/>
      <c r="AL452" s="279"/>
      <c r="AM452" s="279"/>
      <c r="AN452" s="279"/>
      <c r="AO452" s="279"/>
      <c r="AP452" s="279"/>
      <c r="AQ452" s="279"/>
      <c r="AR452" s="279"/>
      <c r="AS452" s="279"/>
      <c r="AT452" s="279"/>
      <c r="AU452" s="279"/>
      <c r="AV452" s="279"/>
      <c r="AW452" s="279"/>
      <c r="AX452" s="279"/>
      <c r="AY452" s="279"/>
      <c r="AZ452" s="279"/>
      <c r="BA452" s="279"/>
      <c r="BB452" s="279"/>
      <c r="BC452" s="279"/>
      <c r="BD452" s="279"/>
      <c r="BE452" s="279"/>
      <c r="BF452" s="279"/>
      <c r="BG452" s="279"/>
      <c r="BH452" s="279"/>
      <c r="BI452" s="279"/>
      <c r="BJ452" s="279"/>
      <c r="BK452" s="279"/>
      <c r="BL452" s="279"/>
      <c r="BM452" s="279"/>
      <c r="BN452" s="279"/>
      <c r="BO452" s="279"/>
      <c r="BP452" s="279"/>
      <c r="BQ452" s="279"/>
      <c r="BR452" s="279"/>
      <c r="BS452" s="279"/>
      <c r="BT452" s="279"/>
      <c r="BU452" s="279"/>
      <c r="BV452" s="279"/>
      <c r="BW452" s="279"/>
      <c r="BX452" s="279"/>
      <c r="BY452" s="279"/>
      <c r="BZ452" s="279"/>
      <c r="CA452" s="279"/>
      <c r="CB452" s="279"/>
      <c r="CC452" s="279"/>
      <c r="CD452" s="279"/>
      <c r="CE452" s="279"/>
      <c r="CF452" s="279"/>
      <c r="CG452" s="279"/>
      <c r="CH452" s="279"/>
      <c r="CI452" s="279"/>
      <c r="CJ452" s="279"/>
      <c r="CK452" s="279"/>
      <c r="CL452" s="279"/>
      <c r="CM452" s="279"/>
      <c r="CN452" s="382"/>
    </row>
    <row r="453" x14ac:dyDescent="0.25">
      <c r="B453" s="361"/>
      <c r="C453" s="279"/>
      <c r="D453" s="280"/>
      <c r="E453" s="287"/>
      <c r="F453" s="287"/>
      <c r="G453" s="287"/>
      <c r="H453" s="1292">
        <f t="shared" si="17"/>
        <v>18</v>
      </c>
      <c r="I453" s="1295" t="str">
        <f>IF('I. Stream &amp; Compound Data'!BD279&lt;&gt;"",'I. Stream &amp; Compound Data'!BD279,"")</f>
        <v/>
      </c>
      <c r="J453" s="1295" t="str">
        <f>IF('I. Stream &amp; Compound Data'!BE279&lt;&gt;"",'I. Stream &amp; Compound Data'!BE279,"")</f>
        <v/>
      </c>
      <c r="K453" s="1190" t="str">
        <f>IF('I. Stream &amp; Compound Data'!AW279&lt;&gt;"",'I. Stream &amp; Compound Data'!AW279,"")</f>
        <v/>
      </c>
      <c r="L453" s="1190" t="str">
        <f>IF(H453&gt;'I. Stream &amp; Compound Data'!$F$18,"",IF(IF(I453&lt;&gt;"",I453,IF(J453&lt;&gt;"",J453,IF('I. Stream &amp; Compound Data'!BB279&lt;&gt;"",'I. Stream &amp; Compound Data'!BB279,0)))&gt;=0, IF(I453&lt;&gt;"",I453,IF(J453&lt;&gt;"",J453,IF('I. Stream &amp; Compound Data'!BB279&lt;&gt;"",'I. Stream &amp; Compound Data'!BB279,0))),"Endotermic value"))</f>
        <v/>
      </c>
      <c r="M453" s="290" t="str">
        <f>IF(H453&gt;'I. Stream &amp; Compound Data'!$F$18,"",IF(I453="","N/A",ROUND(IF(I453&lt;=0,0,IF(AND(I453&gt;0,I453&lt;2000),0.0005*I453,1)),3)))</f>
        <v/>
      </c>
      <c r="N453" s="1168" t="str">
        <f>IF(H453&gt;'I. Stream &amp; Compound Data'!$F$18,"",IF(M453="N/A",IF(J453="","N/A",ROUND(IF(J453&lt;=0,0,IF(AND(J453&gt;0,J453&lt;2000),0.0005*J453,1)),3)),"N/A"))</f>
        <v/>
      </c>
      <c r="O453" s="1287" t="str">
        <f>IF(H453&gt;'I. Stream &amp; Compound Data'!$F$18,"",IF(AND(M453="N/A",N453="N/A"),IF(K453="","N/A",IF(OR(K453=3,K453=4),1,IF(K453=2,0.75,IF(K453=1,0.25,0)))),"N/A"))</f>
        <v/>
      </c>
      <c r="P453" s="1294" t="str">
        <f>IF(H453&gt;'I. Stream &amp; Compound Data'!$F$18,"",IF(I159="","N/A",IF(M453&lt;&gt;"N/A",M453,IF(N453&lt;&gt;"N/A",N453,IF(O453&lt;&gt;"N/A",O453,"NO DATA AVAILABLE")))))</f>
        <v/>
      </c>
      <c r="Q453" s="1294" t="str">
        <f>IF(H453&gt;'I. Stream &amp; Compound Data'!$F$18,"",IF(P453="N/A",0,L453*10^(2*P453-2)))</f>
        <v/>
      </c>
      <c r="R453" s="1294" t="str">
        <f>IF(H453&gt;'I. Stream &amp; Compound Data'!$F$18,"",MAX(K159:L159))</f>
        <v/>
      </c>
      <c r="S453" s="1294" t="str">
        <f>IF(H453&gt;'I. Stream &amp; Compound Data'!$F$18,"",ROUND(Q453*R453,3))</f>
        <v/>
      </c>
      <c r="T453" s="1149" t="str">
        <f>IF(H453&gt;'I. Stream &amp; Compound Data'!$F$18,"",ROUND(L453*R453,3))</f>
        <v/>
      </c>
      <c r="U453" s="299"/>
      <c r="V453" s="279"/>
      <c r="W453" s="279"/>
      <c r="X453" s="279"/>
      <c r="Y453" s="279"/>
      <c r="Z453" s="279"/>
      <c r="AA453" s="279"/>
      <c r="AB453" s="279"/>
      <c r="AC453" s="279"/>
      <c r="AD453" s="279"/>
      <c r="AE453" s="279"/>
      <c r="AF453" s="279"/>
      <c r="AG453" s="279"/>
      <c r="AH453" s="279"/>
      <c r="AI453" s="279"/>
      <c r="AJ453" s="279"/>
      <c r="AK453" s="279"/>
      <c r="AL453" s="279"/>
      <c r="AM453" s="279"/>
      <c r="AN453" s="279"/>
      <c r="AO453" s="279"/>
      <c r="AP453" s="279"/>
      <c r="AQ453" s="279"/>
      <c r="AR453" s="279"/>
      <c r="AS453" s="279"/>
      <c r="AT453" s="279"/>
      <c r="AU453" s="279"/>
      <c r="AV453" s="279"/>
      <c r="AW453" s="279"/>
      <c r="AX453" s="279"/>
      <c r="AY453" s="279"/>
      <c r="AZ453" s="279"/>
      <c r="BA453" s="279"/>
      <c r="BB453" s="279"/>
      <c r="BC453" s="279"/>
      <c r="BD453" s="279"/>
      <c r="BE453" s="279"/>
      <c r="BF453" s="279"/>
      <c r="BG453" s="279"/>
      <c r="BH453" s="279"/>
      <c r="BI453" s="279"/>
      <c r="BJ453" s="279"/>
      <c r="BK453" s="279"/>
      <c r="BL453" s="279"/>
      <c r="BM453" s="279"/>
      <c r="BN453" s="279"/>
      <c r="BO453" s="279"/>
      <c r="BP453" s="279"/>
      <c r="BQ453" s="279"/>
      <c r="BR453" s="279"/>
      <c r="BS453" s="279"/>
      <c r="BT453" s="279"/>
      <c r="BU453" s="279"/>
      <c r="BV453" s="279"/>
      <c r="BW453" s="279"/>
      <c r="BX453" s="279"/>
      <c r="BY453" s="279"/>
      <c r="BZ453" s="279"/>
      <c r="CA453" s="279"/>
      <c r="CB453" s="279"/>
      <c r="CC453" s="279"/>
      <c r="CD453" s="279"/>
      <c r="CE453" s="279"/>
      <c r="CF453" s="279"/>
      <c r="CG453" s="279"/>
      <c r="CH453" s="279"/>
      <c r="CI453" s="279"/>
      <c r="CJ453" s="279"/>
      <c r="CK453" s="279"/>
      <c r="CL453" s="279"/>
      <c r="CM453" s="279"/>
      <c r="CN453" s="382"/>
    </row>
    <row r="454" x14ac:dyDescent="0.25">
      <c r="B454" s="361"/>
      <c r="C454" s="279"/>
      <c r="D454" s="280"/>
      <c r="E454" s="287"/>
      <c r="F454" s="287"/>
      <c r="G454" s="287"/>
      <c r="H454" s="1292">
        <f t="shared" si="17"/>
        <v>19</v>
      </c>
      <c r="I454" s="1295" t="str">
        <f>IF('I. Stream &amp; Compound Data'!BD280&lt;&gt;"",'I. Stream &amp; Compound Data'!BD280,"")</f>
        <v/>
      </c>
      <c r="J454" s="1295" t="str">
        <f>IF('I. Stream &amp; Compound Data'!BE280&lt;&gt;"",'I. Stream &amp; Compound Data'!BE280,"")</f>
        <v/>
      </c>
      <c r="K454" s="1190" t="str">
        <f>IF('I. Stream &amp; Compound Data'!AW280&lt;&gt;"",'I. Stream &amp; Compound Data'!AW280,"")</f>
        <v/>
      </c>
      <c r="L454" s="1190" t="str">
        <f>IF(H454&gt;'I. Stream &amp; Compound Data'!$F$18,"",IF(IF(I454&lt;&gt;"",I454,IF(J454&lt;&gt;"",J454,IF('I. Stream &amp; Compound Data'!BB280&lt;&gt;"",'I. Stream &amp; Compound Data'!BB280,0)))&gt;=0, IF(I454&lt;&gt;"",I454,IF(J454&lt;&gt;"",J454,IF('I. Stream &amp; Compound Data'!BB280&lt;&gt;"",'I. Stream &amp; Compound Data'!BB280,0))),"Endotermic value"))</f>
        <v/>
      </c>
      <c r="M454" s="290" t="str">
        <f>IF(H454&gt;'I. Stream &amp; Compound Data'!$F$18,"",IF(I454="","N/A",ROUND(IF(I454&lt;=0,0,IF(AND(I454&gt;0,I454&lt;2000),0.0005*I454,1)),3)))</f>
        <v/>
      </c>
      <c r="N454" s="1168" t="str">
        <f>IF(H454&gt;'I. Stream &amp; Compound Data'!$F$18,"",IF(M454="N/A",IF(J454="","N/A",ROUND(IF(J454&lt;=0,0,IF(AND(J454&gt;0,J454&lt;2000),0.0005*J454,1)),3)),"N/A"))</f>
        <v/>
      </c>
      <c r="O454" s="1287" t="str">
        <f>IF(H454&gt;'I. Stream &amp; Compound Data'!$F$18,"",IF(AND(M454="N/A",N454="N/A"),IF(K454="","N/A",IF(OR(K454=3,K454=4),1,IF(K454=2,0.75,IF(K454=1,0.25,0)))),"N/A"))</f>
        <v/>
      </c>
      <c r="P454" s="1294" t="str">
        <f>IF(H454&gt;'I. Stream &amp; Compound Data'!$F$18,"",IF(I160="","N/A",IF(M454&lt;&gt;"N/A",M454,IF(N454&lt;&gt;"N/A",N454,IF(O454&lt;&gt;"N/A",O454,"NO DATA AVAILABLE")))))</f>
        <v/>
      </c>
      <c r="Q454" s="1294" t="str">
        <f>IF(H454&gt;'I. Stream &amp; Compound Data'!$F$18,"",IF(P454="N/A",0,L454*10^(2*P454-2)))</f>
        <v/>
      </c>
      <c r="R454" s="1294" t="str">
        <f>IF(H454&gt;'I. Stream &amp; Compound Data'!$F$18,"",MAX(K160:L160))</f>
        <v/>
      </c>
      <c r="S454" s="1294" t="str">
        <f>IF(H454&gt;'I. Stream &amp; Compound Data'!$F$18,"",ROUND(Q454*R454,3))</f>
        <v/>
      </c>
      <c r="T454" s="1149" t="str">
        <f>IF(H454&gt;'I. Stream &amp; Compound Data'!$F$18,"",ROUND(L454*R454,3))</f>
        <v/>
      </c>
      <c r="U454" s="299"/>
      <c r="V454" s="279"/>
      <c r="W454" s="279"/>
      <c r="X454" s="279"/>
      <c r="Y454" s="279"/>
      <c r="Z454" s="279"/>
      <c r="AA454" s="279"/>
      <c r="AB454" s="279"/>
      <c r="AC454" s="279"/>
      <c r="AD454" s="279"/>
      <c r="AE454" s="279"/>
      <c r="AF454" s="279"/>
      <c r="AG454" s="279"/>
      <c r="AH454" s="279"/>
      <c r="AI454" s="279"/>
      <c r="AJ454" s="279"/>
      <c r="AK454" s="279"/>
      <c r="AL454" s="279"/>
      <c r="AM454" s="279"/>
      <c r="AN454" s="279"/>
      <c r="AO454" s="279"/>
      <c r="AP454" s="279"/>
      <c r="AQ454" s="279"/>
      <c r="AR454" s="279"/>
      <c r="AS454" s="279"/>
      <c r="AT454" s="279"/>
      <c r="AU454" s="279"/>
      <c r="AV454" s="279"/>
      <c r="AW454" s="279"/>
      <c r="AX454" s="279"/>
      <c r="AY454" s="279"/>
      <c r="AZ454" s="279"/>
      <c r="BA454" s="279"/>
      <c r="BB454" s="279"/>
      <c r="BC454" s="279"/>
      <c r="BD454" s="279"/>
      <c r="BE454" s="279"/>
      <c r="BF454" s="279"/>
      <c r="BG454" s="279"/>
      <c r="BH454" s="279"/>
      <c r="BI454" s="279"/>
      <c r="BJ454" s="279"/>
      <c r="BK454" s="279"/>
      <c r="BL454" s="279"/>
      <c r="BM454" s="279"/>
      <c r="BN454" s="279"/>
      <c r="BO454" s="279"/>
      <c r="BP454" s="279"/>
      <c r="BQ454" s="279"/>
      <c r="BR454" s="279"/>
      <c r="BS454" s="279"/>
      <c r="BT454" s="279"/>
      <c r="BU454" s="279"/>
      <c r="BV454" s="279"/>
      <c r="BW454" s="279"/>
      <c r="BX454" s="279"/>
      <c r="BY454" s="279"/>
      <c r="BZ454" s="279"/>
      <c r="CA454" s="279"/>
      <c r="CB454" s="279"/>
      <c r="CC454" s="279"/>
      <c r="CD454" s="279"/>
      <c r="CE454" s="279"/>
      <c r="CF454" s="279"/>
      <c r="CG454" s="279"/>
      <c r="CH454" s="279"/>
      <c r="CI454" s="279"/>
      <c r="CJ454" s="279"/>
      <c r="CK454" s="279"/>
      <c r="CL454" s="279"/>
      <c r="CM454" s="279"/>
      <c r="CN454" s="382"/>
    </row>
    <row r="455" x14ac:dyDescent="0.25">
      <c r="B455" s="361"/>
      <c r="C455" s="279"/>
      <c r="D455" s="280"/>
      <c r="E455" s="287"/>
      <c r="F455" s="287"/>
      <c r="G455" s="287"/>
      <c r="H455" s="1292">
        <f t="shared" si="17"/>
        <v>20</v>
      </c>
      <c r="I455" s="1295" t="str">
        <f>IF('I. Stream &amp; Compound Data'!BD281&lt;&gt;"",'I. Stream &amp; Compound Data'!BD281,"")</f>
        <v/>
      </c>
      <c r="J455" s="1295" t="str">
        <f>IF('I. Stream &amp; Compound Data'!BE281&lt;&gt;"",'I. Stream &amp; Compound Data'!BE281,"")</f>
        <v/>
      </c>
      <c r="K455" s="1190" t="str">
        <f>IF('I. Stream &amp; Compound Data'!AW281&lt;&gt;"",'I. Stream &amp; Compound Data'!AW281,"")</f>
        <v/>
      </c>
      <c r="L455" s="1190" t="str">
        <f>IF(H455&gt;'I. Stream &amp; Compound Data'!$F$18,"",IF(IF(I455&lt;&gt;"",I455,IF(J455&lt;&gt;"",J455,IF('I. Stream &amp; Compound Data'!BB281&lt;&gt;"",'I. Stream &amp; Compound Data'!BB281,0)))&gt;=0, IF(I455&lt;&gt;"",I455,IF(J455&lt;&gt;"",J455,IF('I. Stream &amp; Compound Data'!BB281&lt;&gt;"",'I. Stream &amp; Compound Data'!BB281,0))),"Endotermic value"))</f>
        <v/>
      </c>
      <c r="M455" s="290" t="str">
        <f>IF(H455&gt;'I. Stream &amp; Compound Data'!$F$18,"",IF(I455="","N/A",ROUND(IF(I455&lt;=0,0,IF(AND(I455&gt;0,I455&lt;2000),0.0005*I455,1)),3)))</f>
        <v/>
      </c>
      <c r="N455" s="1168" t="str">
        <f>IF(H455&gt;'I. Stream &amp; Compound Data'!$F$18,"",IF(M455="N/A",IF(J455="","N/A",ROUND(IF(J455&lt;=0,0,IF(AND(J455&gt;0,J455&lt;2000),0.0005*J455,1)),3)),"N/A"))</f>
        <v/>
      </c>
      <c r="O455" s="1287" t="str">
        <f>IF(H455&gt;'I. Stream &amp; Compound Data'!$F$18,"",IF(AND(M455="N/A",N455="N/A"),IF(K455="","N/A",IF(OR(K455=3,K455=4),1,IF(K455=2,0.75,IF(K455=1,0.25,0)))),"N/A"))</f>
        <v/>
      </c>
      <c r="P455" s="1294" t="str">
        <f>IF(H455&gt;'I. Stream &amp; Compound Data'!$F$18,"",IF(I161="","N/A",IF(M455&lt;&gt;"N/A",M455,IF(N455&lt;&gt;"N/A",N455,IF(O455&lt;&gt;"N/A",O455,"NO DATA AVAILABLE")))))</f>
        <v/>
      </c>
      <c r="Q455" s="1294" t="str">
        <f>IF(H455&gt;'I. Stream &amp; Compound Data'!$F$18,"",IF(P455="N/A",0,L455*10^(2*P455-2)))</f>
        <v/>
      </c>
      <c r="R455" s="1294" t="str">
        <f>IF(H455&gt;'I. Stream &amp; Compound Data'!$F$18,"",MAX(K161:L161))</f>
        <v/>
      </c>
      <c r="S455" s="1294" t="str">
        <f>IF(H455&gt;'I. Stream &amp; Compound Data'!$F$18,"",ROUND(Q455*R455,3))</f>
        <v/>
      </c>
      <c r="T455" s="1149" t="str">
        <f>IF(H455&gt;'I. Stream &amp; Compound Data'!$F$18,"",ROUND(L455*R455,3))</f>
        <v/>
      </c>
      <c r="U455" s="299"/>
      <c r="V455" s="279"/>
      <c r="W455" s="279"/>
      <c r="X455" s="279"/>
      <c r="Y455" s="279"/>
      <c r="Z455" s="279"/>
      <c r="AA455" s="279"/>
      <c r="AB455" s="279"/>
      <c r="AC455" s="279"/>
      <c r="AD455" s="279"/>
      <c r="AE455" s="279"/>
      <c r="AF455" s="279"/>
      <c r="AG455" s="279"/>
      <c r="AH455" s="279"/>
      <c r="AI455" s="279"/>
      <c r="AJ455" s="279"/>
      <c r="AK455" s="279"/>
      <c r="AL455" s="279"/>
      <c r="AM455" s="279"/>
      <c r="AN455" s="279"/>
      <c r="AO455" s="279"/>
      <c r="AP455" s="279"/>
      <c r="AQ455" s="279"/>
      <c r="AR455" s="279"/>
      <c r="AS455" s="279"/>
      <c r="AT455" s="279"/>
      <c r="AU455" s="279"/>
      <c r="AV455" s="279"/>
      <c r="AW455" s="279"/>
      <c r="AX455" s="279"/>
      <c r="AY455" s="279"/>
      <c r="AZ455" s="279"/>
      <c r="BA455" s="279"/>
      <c r="BB455" s="279"/>
      <c r="BC455" s="279"/>
      <c r="BD455" s="279"/>
      <c r="BE455" s="279"/>
      <c r="BF455" s="279"/>
      <c r="BG455" s="279"/>
      <c r="BH455" s="279"/>
      <c r="BI455" s="279"/>
      <c r="BJ455" s="279"/>
      <c r="BK455" s="279"/>
      <c r="BL455" s="279"/>
      <c r="BM455" s="279"/>
      <c r="BN455" s="279"/>
      <c r="BO455" s="279"/>
      <c r="BP455" s="279"/>
      <c r="BQ455" s="279"/>
      <c r="BR455" s="279"/>
      <c r="BS455" s="279"/>
      <c r="BT455" s="279"/>
      <c r="BU455" s="279"/>
      <c r="BV455" s="279"/>
      <c r="BW455" s="279"/>
      <c r="BX455" s="279"/>
      <c r="BY455" s="279"/>
      <c r="BZ455" s="279"/>
      <c r="CA455" s="279"/>
      <c r="CB455" s="279"/>
      <c r="CC455" s="279"/>
      <c r="CD455" s="279"/>
      <c r="CE455" s="279"/>
      <c r="CF455" s="279"/>
      <c r="CG455" s="279"/>
      <c r="CH455" s="279"/>
      <c r="CI455" s="279"/>
      <c r="CJ455" s="279"/>
      <c r="CK455" s="279"/>
      <c r="CL455" s="279"/>
      <c r="CM455" s="279"/>
      <c r="CN455" s="382"/>
    </row>
    <row r="456" x14ac:dyDescent="0.25">
      <c r="B456" s="361"/>
      <c r="C456" s="279"/>
      <c r="D456" s="280"/>
      <c r="E456" s="287"/>
      <c r="F456" s="287"/>
      <c r="G456" s="287"/>
      <c r="H456" s="1292">
        <f t="shared" si="17"/>
        <v>21</v>
      </c>
      <c r="I456" s="1295" t="str">
        <f>IF('I. Stream &amp; Compound Data'!BD282&lt;&gt;"",'I. Stream &amp; Compound Data'!BD282,"")</f>
        <v/>
      </c>
      <c r="J456" s="1295" t="str">
        <f>IF('I. Stream &amp; Compound Data'!BE282&lt;&gt;"",'I. Stream &amp; Compound Data'!BE282,"")</f>
        <v/>
      </c>
      <c r="K456" s="1190" t="str">
        <f>IF('I. Stream &amp; Compound Data'!AW282&lt;&gt;"",'I. Stream &amp; Compound Data'!AW282,"")</f>
        <v/>
      </c>
      <c r="L456" s="1190" t="str">
        <f>IF(H456&gt;'I. Stream &amp; Compound Data'!$F$18,"",IF(IF(I456&lt;&gt;"",I456,IF(J456&lt;&gt;"",J456,IF('I. Stream &amp; Compound Data'!BB282&lt;&gt;"",'I. Stream &amp; Compound Data'!BB282,0)))&gt;=0, IF(I456&lt;&gt;"",I456,IF(J456&lt;&gt;"",J456,IF('I. Stream &amp; Compound Data'!BB282&lt;&gt;"",'I. Stream &amp; Compound Data'!BB282,0))),"Endotermic value"))</f>
        <v/>
      </c>
      <c r="M456" s="290" t="str">
        <f>IF(H456&gt;'I. Stream &amp; Compound Data'!$F$18,"",IF(I456="","N/A",ROUND(IF(I456&lt;=0,0,IF(AND(I456&gt;0,I456&lt;2000),0.0005*I456,1)),3)))</f>
        <v/>
      </c>
      <c r="N456" s="1168" t="str">
        <f>IF(H456&gt;'I. Stream &amp; Compound Data'!$F$18,"",IF(M456="N/A",IF(J456="","N/A",ROUND(IF(J456&lt;=0,0,IF(AND(J456&gt;0,J456&lt;2000),0.0005*J456,1)),3)),"N/A"))</f>
        <v/>
      </c>
      <c r="O456" s="1287" t="str">
        <f>IF(H456&gt;'I. Stream &amp; Compound Data'!$F$18,"",IF(AND(M456="N/A",N456="N/A"),IF(K456="","N/A",IF(OR(K456=3,K456=4),1,IF(K456=2,0.75,IF(K456=1,0.25,0)))),"N/A"))</f>
        <v/>
      </c>
      <c r="P456" s="1294" t="str">
        <f>IF(H456&gt;'I. Stream &amp; Compound Data'!$F$18,"",IF(I162="","N/A",IF(M456&lt;&gt;"N/A",M456,IF(N456&lt;&gt;"N/A",N456,IF(O456&lt;&gt;"N/A",O456,"NO DATA AVAILABLE")))))</f>
        <v/>
      </c>
      <c r="Q456" s="1294" t="str">
        <f>IF(H456&gt;'I. Stream &amp; Compound Data'!$F$18,"",IF(P456="N/A",0,L456*10^(2*P456-2)))</f>
        <v/>
      </c>
      <c r="R456" s="1294" t="str">
        <f>IF(H456&gt;'I. Stream &amp; Compound Data'!$F$18,"",MAX(K162:L162))</f>
        <v/>
      </c>
      <c r="S456" s="1294" t="str">
        <f>IF(H456&gt;'I. Stream &amp; Compound Data'!$F$18,"",ROUND(Q456*R456,3))</f>
        <v/>
      </c>
      <c r="T456" s="1149" t="str">
        <f>IF(H456&gt;'I. Stream &amp; Compound Data'!$F$18,"",ROUND(L456*R456,3))</f>
        <v/>
      </c>
      <c r="U456" s="299"/>
      <c r="V456" s="279"/>
      <c r="W456" s="279"/>
      <c r="X456" s="279"/>
      <c r="Y456" s="279"/>
      <c r="Z456" s="279"/>
      <c r="AA456" s="279"/>
      <c r="AB456" s="279"/>
      <c r="AC456" s="279"/>
      <c r="AD456" s="279"/>
      <c r="AE456" s="279"/>
      <c r="AF456" s="279"/>
      <c r="AG456" s="279"/>
      <c r="AH456" s="279"/>
      <c r="AI456" s="279"/>
      <c r="AJ456" s="279"/>
      <c r="AK456" s="279"/>
      <c r="AL456" s="279"/>
      <c r="AM456" s="279"/>
      <c r="AN456" s="279"/>
      <c r="AO456" s="279"/>
      <c r="AP456" s="279"/>
      <c r="AQ456" s="279"/>
      <c r="AR456" s="279"/>
      <c r="AS456" s="279"/>
      <c r="AT456" s="279"/>
      <c r="AU456" s="279"/>
      <c r="AV456" s="279"/>
      <c r="AW456" s="279"/>
      <c r="AX456" s="279"/>
      <c r="AY456" s="279"/>
      <c r="AZ456" s="279"/>
      <c r="BA456" s="279"/>
      <c r="BB456" s="279"/>
      <c r="BC456" s="279"/>
      <c r="BD456" s="279"/>
      <c r="BE456" s="279"/>
      <c r="BF456" s="279"/>
      <c r="BG456" s="279"/>
      <c r="BH456" s="279"/>
      <c r="BI456" s="279"/>
      <c r="BJ456" s="279"/>
      <c r="BK456" s="279"/>
      <c r="BL456" s="279"/>
      <c r="BM456" s="279"/>
      <c r="BN456" s="279"/>
      <c r="BO456" s="279"/>
      <c r="BP456" s="279"/>
      <c r="BQ456" s="279"/>
      <c r="BR456" s="279"/>
      <c r="BS456" s="279"/>
      <c r="BT456" s="279"/>
      <c r="BU456" s="279"/>
      <c r="BV456" s="279"/>
      <c r="BW456" s="279"/>
      <c r="BX456" s="279"/>
      <c r="BY456" s="279"/>
      <c r="BZ456" s="279"/>
      <c r="CA456" s="279"/>
      <c r="CB456" s="279"/>
      <c r="CC456" s="279"/>
      <c r="CD456" s="279"/>
      <c r="CE456" s="279"/>
      <c r="CF456" s="279"/>
      <c r="CG456" s="279"/>
      <c r="CH456" s="279"/>
      <c r="CI456" s="279"/>
      <c r="CJ456" s="279"/>
      <c r="CK456" s="279"/>
      <c r="CL456" s="279"/>
      <c r="CM456" s="279"/>
      <c r="CN456" s="382"/>
    </row>
    <row r="457" x14ac:dyDescent="0.25">
      <c r="B457" s="361"/>
      <c r="C457" s="279"/>
      <c r="D457" s="280"/>
      <c r="E457" s="287"/>
      <c r="F457" s="287"/>
      <c r="G457" s="287"/>
      <c r="H457" s="1292">
        <f t="shared" si="17"/>
        <v>22</v>
      </c>
      <c r="I457" s="1295" t="str">
        <f>IF('I. Stream &amp; Compound Data'!BD283&lt;&gt;"",'I. Stream &amp; Compound Data'!BD283,"")</f>
        <v/>
      </c>
      <c r="J457" s="1295" t="str">
        <f>IF('I. Stream &amp; Compound Data'!BE283&lt;&gt;"",'I. Stream &amp; Compound Data'!BE283,"")</f>
        <v/>
      </c>
      <c r="K457" s="1190" t="str">
        <f>IF('I. Stream &amp; Compound Data'!AW283&lt;&gt;"",'I. Stream &amp; Compound Data'!AW283,"")</f>
        <v/>
      </c>
      <c r="L457" s="1190" t="str">
        <f>IF(H457&gt;'I. Stream &amp; Compound Data'!$F$18,"",IF(IF(I457&lt;&gt;"",I457,IF(J457&lt;&gt;"",J457,IF('I. Stream &amp; Compound Data'!BB283&lt;&gt;"",'I. Stream &amp; Compound Data'!BB283,0)))&gt;=0, IF(I457&lt;&gt;"",I457,IF(J457&lt;&gt;"",J457,IF('I. Stream &amp; Compound Data'!BB283&lt;&gt;"",'I. Stream &amp; Compound Data'!BB283,0))),"Endotermic value"))</f>
        <v/>
      </c>
      <c r="M457" s="290" t="str">
        <f>IF(H457&gt;'I. Stream &amp; Compound Data'!$F$18,"",IF(I457="","N/A",ROUND(IF(I457&lt;=0,0,IF(AND(I457&gt;0,I457&lt;2000),0.0005*I457,1)),3)))</f>
        <v/>
      </c>
      <c r="N457" s="1168" t="str">
        <f>IF(H457&gt;'I. Stream &amp; Compound Data'!$F$18,"",IF(M457="N/A",IF(J457="","N/A",ROUND(IF(J457&lt;=0,0,IF(AND(J457&gt;0,J457&lt;2000),0.0005*J457,1)),3)),"N/A"))</f>
        <v/>
      </c>
      <c r="O457" s="1287" t="str">
        <f>IF(H457&gt;'I. Stream &amp; Compound Data'!$F$18,"",IF(AND(M457="N/A",N457="N/A"),IF(K457="","N/A",IF(OR(K457=3,K457=4),1,IF(K457=2,0.75,IF(K457=1,0.25,0)))),"N/A"))</f>
        <v/>
      </c>
      <c r="P457" s="1294" t="str">
        <f>IF(H457&gt;'I. Stream &amp; Compound Data'!$F$18,"",IF(I163="","N/A",IF(M457&lt;&gt;"N/A",M457,IF(N457&lt;&gt;"N/A",N457,IF(O457&lt;&gt;"N/A",O457,"NO DATA AVAILABLE")))))</f>
        <v/>
      </c>
      <c r="Q457" s="1294" t="str">
        <f>IF(H457&gt;'I. Stream &amp; Compound Data'!$F$18,"",IF(P457="N/A",0,L457*10^(2*P457-2)))</f>
        <v/>
      </c>
      <c r="R457" s="1294" t="str">
        <f>IF(H457&gt;'I. Stream &amp; Compound Data'!$F$18,"",MAX(K163:L163))</f>
        <v/>
      </c>
      <c r="S457" s="1294" t="str">
        <f>IF(H457&gt;'I. Stream &amp; Compound Data'!$F$18,"",ROUND(Q457*R457,3))</f>
        <v/>
      </c>
      <c r="T457" s="1149" t="str">
        <f>IF(H457&gt;'I. Stream &amp; Compound Data'!$F$18,"",ROUND(L457*R457,3))</f>
        <v/>
      </c>
      <c r="U457" s="299"/>
      <c r="V457" s="279"/>
      <c r="W457" s="279"/>
      <c r="X457" s="279"/>
      <c r="Y457" s="279"/>
      <c r="Z457" s="279"/>
      <c r="AA457" s="279"/>
      <c r="AB457" s="279"/>
      <c r="AC457" s="279"/>
      <c r="AD457" s="279"/>
      <c r="AE457" s="279"/>
      <c r="AF457" s="279"/>
      <c r="AG457" s="279"/>
      <c r="AH457" s="279"/>
      <c r="AI457" s="279"/>
      <c r="AJ457" s="279"/>
      <c r="AK457" s="279"/>
      <c r="AL457" s="279"/>
      <c r="AM457" s="279"/>
      <c r="AN457" s="279"/>
      <c r="AO457" s="279"/>
      <c r="AP457" s="279"/>
      <c r="AQ457" s="279"/>
      <c r="AR457" s="279"/>
      <c r="AS457" s="279"/>
      <c r="AT457" s="279"/>
      <c r="AU457" s="279"/>
      <c r="AV457" s="279"/>
      <c r="AW457" s="279"/>
      <c r="AX457" s="279"/>
      <c r="AY457" s="279"/>
      <c r="AZ457" s="279"/>
      <c r="BA457" s="279"/>
      <c r="BB457" s="279"/>
      <c r="BC457" s="279"/>
      <c r="BD457" s="279"/>
      <c r="BE457" s="279"/>
      <c r="BF457" s="279"/>
      <c r="BG457" s="279"/>
      <c r="BH457" s="279"/>
      <c r="BI457" s="279"/>
      <c r="BJ457" s="279"/>
      <c r="BK457" s="279"/>
      <c r="BL457" s="279"/>
      <c r="BM457" s="279"/>
      <c r="BN457" s="279"/>
      <c r="BO457" s="279"/>
      <c r="BP457" s="279"/>
      <c r="BQ457" s="279"/>
      <c r="BR457" s="279"/>
      <c r="BS457" s="279"/>
      <c r="BT457" s="279"/>
      <c r="BU457" s="279"/>
      <c r="BV457" s="279"/>
      <c r="BW457" s="279"/>
      <c r="BX457" s="279"/>
      <c r="BY457" s="279"/>
      <c r="BZ457" s="279"/>
      <c r="CA457" s="279"/>
      <c r="CB457" s="279"/>
      <c r="CC457" s="279"/>
      <c r="CD457" s="279"/>
      <c r="CE457" s="279"/>
      <c r="CF457" s="279"/>
      <c r="CG457" s="279"/>
      <c r="CH457" s="279"/>
      <c r="CI457" s="279"/>
      <c r="CJ457" s="279"/>
      <c r="CK457" s="279"/>
      <c r="CL457" s="279"/>
      <c r="CM457" s="279"/>
      <c r="CN457" s="382"/>
    </row>
    <row r="458" x14ac:dyDescent="0.25">
      <c r="B458" s="361"/>
      <c r="C458" s="279"/>
      <c r="D458" s="280"/>
      <c r="E458" s="287"/>
      <c r="F458" s="287"/>
      <c r="G458" s="287"/>
      <c r="H458" s="1292">
        <f t="shared" si="17"/>
        <v>23</v>
      </c>
      <c r="I458" s="1295" t="str">
        <f>IF('I. Stream &amp; Compound Data'!BD284&lt;&gt;"",'I. Stream &amp; Compound Data'!BD284,"")</f>
        <v/>
      </c>
      <c r="J458" s="1295" t="str">
        <f>IF('I. Stream &amp; Compound Data'!BE284&lt;&gt;"",'I. Stream &amp; Compound Data'!BE284,"")</f>
        <v/>
      </c>
      <c r="K458" s="1190" t="str">
        <f>IF('I. Stream &amp; Compound Data'!AW284&lt;&gt;"",'I. Stream &amp; Compound Data'!AW284,"")</f>
        <v/>
      </c>
      <c r="L458" s="1190" t="str">
        <f>IF(H458&gt;'I. Stream &amp; Compound Data'!$F$18,"",IF(IF(I458&lt;&gt;"",I458,IF(J458&lt;&gt;"",J458,IF('I. Stream &amp; Compound Data'!BB284&lt;&gt;"",'I. Stream &amp; Compound Data'!BB284,0)))&gt;=0, IF(I458&lt;&gt;"",I458,IF(J458&lt;&gt;"",J458,IF('I. Stream &amp; Compound Data'!BB284&lt;&gt;"",'I. Stream &amp; Compound Data'!BB284,0))),"Endotermic value"))</f>
        <v/>
      </c>
      <c r="M458" s="290" t="str">
        <f>IF(H458&gt;'I. Stream &amp; Compound Data'!$F$18,"",IF(I458="","N/A",ROUND(IF(I458&lt;=0,0,IF(AND(I458&gt;0,I458&lt;2000),0.0005*I458,1)),3)))</f>
        <v/>
      </c>
      <c r="N458" s="1168" t="str">
        <f>IF(H458&gt;'I. Stream &amp; Compound Data'!$F$18,"",IF(M458="N/A",IF(J458="","N/A",ROUND(IF(J458&lt;=0,0,IF(AND(J458&gt;0,J458&lt;2000),0.0005*J458,1)),3)),"N/A"))</f>
        <v/>
      </c>
      <c r="O458" s="1287" t="str">
        <f>IF(H458&gt;'I. Stream &amp; Compound Data'!$F$18,"",IF(AND(M458="N/A",N458="N/A"),IF(K458="","N/A",IF(OR(K458=3,K458=4),1,IF(K458=2,0.75,IF(K458=1,0.25,0)))),"N/A"))</f>
        <v/>
      </c>
      <c r="P458" s="1294" t="str">
        <f>IF(H458&gt;'I. Stream &amp; Compound Data'!$F$18,"",IF(I164="","N/A",IF(M458&lt;&gt;"N/A",M458,IF(N458&lt;&gt;"N/A",N458,IF(O458&lt;&gt;"N/A",O458,"NO DATA AVAILABLE")))))</f>
        <v/>
      </c>
      <c r="Q458" s="1294" t="str">
        <f>IF(H458&gt;'I. Stream &amp; Compound Data'!$F$18,"",IF(P458="N/A",0,L458*10^(2*P458-2)))</f>
        <v/>
      </c>
      <c r="R458" s="1294" t="str">
        <f>IF(H458&gt;'I. Stream &amp; Compound Data'!$F$18,"",MAX(K164:L164))</f>
        <v/>
      </c>
      <c r="S458" s="1294" t="str">
        <f>IF(H458&gt;'I. Stream &amp; Compound Data'!$F$18,"",ROUND(Q458*R458,3))</f>
        <v/>
      </c>
      <c r="T458" s="1149" t="str">
        <f>IF(H458&gt;'I. Stream &amp; Compound Data'!$F$18,"",ROUND(L458*R458,3))</f>
        <v/>
      </c>
      <c r="U458" s="299"/>
      <c r="V458" s="279"/>
      <c r="W458" s="279"/>
      <c r="X458" s="279"/>
      <c r="Y458" s="279"/>
      <c r="Z458" s="279"/>
      <c r="AA458" s="279"/>
      <c r="AB458" s="279"/>
      <c r="AC458" s="279"/>
      <c r="AD458" s="279"/>
      <c r="AE458" s="279"/>
      <c r="AF458" s="279"/>
      <c r="AG458" s="279"/>
      <c r="AH458" s="279"/>
      <c r="AI458" s="279"/>
      <c r="AJ458" s="279"/>
      <c r="AK458" s="279"/>
      <c r="AL458" s="279"/>
      <c r="AM458" s="279"/>
      <c r="AN458" s="279"/>
      <c r="AO458" s="279"/>
      <c r="AP458" s="279"/>
      <c r="AQ458" s="279"/>
      <c r="AR458" s="279"/>
      <c r="AS458" s="279"/>
      <c r="AT458" s="279"/>
      <c r="AU458" s="279"/>
      <c r="AV458" s="279"/>
      <c r="AW458" s="279"/>
      <c r="AX458" s="279"/>
      <c r="AY458" s="279"/>
      <c r="AZ458" s="279"/>
      <c r="BA458" s="279"/>
      <c r="BB458" s="279"/>
      <c r="BC458" s="279"/>
      <c r="BD458" s="279"/>
      <c r="BE458" s="279"/>
      <c r="BF458" s="279"/>
      <c r="BG458" s="279"/>
      <c r="BH458" s="279"/>
      <c r="BI458" s="279"/>
      <c r="BJ458" s="279"/>
      <c r="BK458" s="279"/>
      <c r="BL458" s="279"/>
      <c r="BM458" s="279"/>
      <c r="BN458" s="279"/>
      <c r="BO458" s="279"/>
      <c r="BP458" s="279"/>
      <c r="BQ458" s="279"/>
      <c r="BR458" s="279"/>
      <c r="BS458" s="279"/>
      <c r="BT458" s="279"/>
      <c r="BU458" s="279"/>
      <c r="BV458" s="279"/>
      <c r="BW458" s="279"/>
      <c r="BX458" s="279"/>
      <c r="BY458" s="279"/>
      <c r="BZ458" s="279"/>
      <c r="CA458" s="279"/>
      <c r="CB458" s="279"/>
      <c r="CC458" s="279"/>
      <c r="CD458" s="279"/>
      <c r="CE458" s="279"/>
      <c r="CF458" s="279"/>
      <c r="CG458" s="279"/>
      <c r="CH458" s="279"/>
      <c r="CI458" s="279"/>
      <c r="CJ458" s="279"/>
      <c r="CK458" s="279"/>
      <c r="CL458" s="279"/>
      <c r="CM458" s="279"/>
      <c r="CN458" s="382"/>
    </row>
    <row r="459" x14ac:dyDescent="0.25">
      <c r="B459" s="361"/>
      <c r="C459" s="279"/>
      <c r="D459" s="280"/>
      <c r="E459" s="287"/>
      <c r="F459" s="287"/>
      <c r="G459" s="287"/>
      <c r="H459" s="1292">
        <f t="shared" si="17"/>
        <v>24</v>
      </c>
      <c r="I459" s="1295" t="str">
        <f>IF('I. Stream &amp; Compound Data'!BD285&lt;&gt;"",'I. Stream &amp; Compound Data'!BD285,"")</f>
        <v/>
      </c>
      <c r="J459" s="1295" t="str">
        <f>IF('I. Stream &amp; Compound Data'!BE285&lt;&gt;"",'I. Stream &amp; Compound Data'!BE285,"")</f>
        <v/>
      </c>
      <c r="K459" s="1190" t="str">
        <f>IF('I. Stream &amp; Compound Data'!AW285&lt;&gt;"",'I. Stream &amp; Compound Data'!AW285,"")</f>
        <v/>
      </c>
      <c r="L459" s="1190" t="str">
        <f>IF(H459&gt;'I. Stream &amp; Compound Data'!$F$18,"",IF(IF(I459&lt;&gt;"",I459,IF(J459&lt;&gt;"",J459,IF('I. Stream &amp; Compound Data'!BB285&lt;&gt;"",'I. Stream &amp; Compound Data'!BB285,0)))&gt;=0, IF(I459&lt;&gt;"",I459,IF(J459&lt;&gt;"",J459,IF('I. Stream &amp; Compound Data'!BB285&lt;&gt;"",'I. Stream &amp; Compound Data'!BB285,0))),"Endotermic value"))</f>
        <v/>
      </c>
      <c r="M459" s="290" t="str">
        <f>IF(H459&gt;'I. Stream &amp; Compound Data'!$F$18,"",IF(I459="","N/A",ROUND(IF(I459&lt;=0,0,IF(AND(I459&gt;0,I459&lt;2000),0.0005*I459,1)),3)))</f>
        <v/>
      </c>
      <c r="N459" s="1168" t="str">
        <f>IF(H459&gt;'I. Stream &amp; Compound Data'!$F$18,"",IF(M459="N/A",IF(J459="","N/A",ROUND(IF(J459&lt;=0,0,IF(AND(J459&gt;0,J459&lt;2000),0.0005*J459,1)),3)),"N/A"))</f>
        <v/>
      </c>
      <c r="O459" s="1287" t="str">
        <f>IF(H459&gt;'I. Stream &amp; Compound Data'!$F$18,"",IF(AND(M459="N/A",N459="N/A"),IF(K459="","N/A",IF(OR(K459=3,K459=4),1,IF(K459=2,0.75,IF(K459=1,0.25,0)))),"N/A"))</f>
        <v/>
      </c>
      <c r="P459" s="1294" t="str">
        <f>IF(H459&gt;'I. Stream &amp; Compound Data'!$F$18,"",IF(I165="","N/A",IF(M459&lt;&gt;"N/A",M459,IF(N459&lt;&gt;"N/A",N459,IF(O459&lt;&gt;"N/A",O459,"NO DATA AVAILABLE")))))</f>
        <v/>
      </c>
      <c r="Q459" s="1294" t="str">
        <f>IF(H459&gt;'I. Stream &amp; Compound Data'!$F$18,"",IF(P459="N/A",0,L459*10^(2*P459-2)))</f>
        <v/>
      </c>
      <c r="R459" s="1294" t="str">
        <f>IF(H459&gt;'I. Stream &amp; Compound Data'!$F$18,"",MAX(K165:L165))</f>
        <v/>
      </c>
      <c r="S459" s="1294" t="str">
        <f>IF(H459&gt;'I. Stream &amp; Compound Data'!$F$18,"",ROUND(Q459*R459,3))</f>
        <v/>
      </c>
      <c r="T459" s="1149" t="str">
        <f>IF(H459&gt;'I. Stream &amp; Compound Data'!$F$18,"",ROUND(L459*R459,3))</f>
        <v/>
      </c>
      <c r="U459" s="299"/>
      <c r="V459" s="279"/>
      <c r="W459" s="279"/>
      <c r="X459" s="279"/>
      <c r="Y459" s="279"/>
      <c r="Z459" s="279"/>
      <c r="AA459" s="279"/>
      <c r="AB459" s="279"/>
      <c r="AC459" s="279"/>
      <c r="AD459" s="279"/>
      <c r="AE459" s="279"/>
      <c r="AF459" s="279"/>
      <c r="AG459" s="279"/>
      <c r="AH459" s="279"/>
      <c r="AI459" s="279"/>
      <c r="AJ459" s="279"/>
      <c r="AK459" s="279"/>
      <c r="AL459" s="279"/>
      <c r="AM459" s="279"/>
      <c r="AN459" s="279"/>
      <c r="AO459" s="279"/>
      <c r="AP459" s="279"/>
      <c r="AQ459" s="279"/>
      <c r="AR459" s="279"/>
      <c r="AS459" s="279"/>
      <c r="AT459" s="279"/>
      <c r="AU459" s="279"/>
      <c r="AV459" s="279"/>
      <c r="AW459" s="279"/>
      <c r="AX459" s="279"/>
      <c r="AY459" s="279"/>
      <c r="AZ459" s="279"/>
      <c r="BA459" s="279"/>
      <c r="BB459" s="279"/>
      <c r="BC459" s="279"/>
      <c r="BD459" s="279"/>
      <c r="BE459" s="279"/>
      <c r="BF459" s="279"/>
      <c r="BG459" s="279"/>
      <c r="BH459" s="279"/>
      <c r="BI459" s="279"/>
      <c r="BJ459" s="279"/>
      <c r="BK459" s="279"/>
      <c r="BL459" s="279"/>
      <c r="BM459" s="279"/>
      <c r="BN459" s="279"/>
      <c r="BO459" s="279"/>
      <c r="BP459" s="279"/>
      <c r="BQ459" s="279"/>
      <c r="BR459" s="279"/>
      <c r="BS459" s="279"/>
      <c r="BT459" s="279"/>
      <c r="BU459" s="279"/>
      <c r="BV459" s="279"/>
      <c r="BW459" s="279"/>
      <c r="BX459" s="279"/>
      <c r="BY459" s="279"/>
      <c r="BZ459" s="279"/>
      <c r="CA459" s="279"/>
      <c r="CB459" s="279"/>
      <c r="CC459" s="279"/>
      <c r="CD459" s="279"/>
      <c r="CE459" s="279"/>
      <c r="CF459" s="279"/>
      <c r="CG459" s="279"/>
      <c r="CH459" s="279"/>
      <c r="CI459" s="279"/>
      <c r="CJ459" s="279"/>
      <c r="CK459" s="279"/>
      <c r="CL459" s="279"/>
      <c r="CM459" s="279"/>
      <c r="CN459" s="382"/>
    </row>
    <row r="460" x14ac:dyDescent="0.25">
      <c r="B460" s="361"/>
      <c r="C460" s="279"/>
      <c r="D460" s="280"/>
      <c r="E460" s="287"/>
      <c r="F460" s="287"/>
      <c r="G460" s="287"/>
      <c r="H460" s="1292">
        <f t="shared" si="17"/>
        <v>25</v>
      </c>
      <c r="I460" s="1295" t="str">
        <f>IF('I. Stream &amp; Compound Data'!BD286&lt;&gt;"",'I. Stream &amp; Compound Data'!BD286,"")</f>
        <v/>
      </c>
      <c r="J460" s="1295" t="str">
        <f>IF('I. Stream &amp; Compound Data'!BE286&lt;&gt;"",'I. Stream &amp; Compound Data'!BE286,"")</f>
        <v/>
      </c>
      <c r="K460" s="1190" t="str">
        <f>IF('I. Stream &amp; Compound Data'!AW286&lt;&gt;"",'I. Stream &amp; Compound Data'!AW286,"")</f>
        <v/>
      </c>
      <c r="L460" s="1190" t="str">
        <f>IF(H460&gt;'I. Stream &amp; Compound Data'!$F$18,"",IF(IF(I460&lt;&gt;"",I460,IF(J460&lt;&gt;"",J460,IF('I. Stream &amp; Compound Data'!BB286&lt;&gt;"",'I. Stream &amp; Compound Data'!BB286,0)))&gt;=0, IF(I460&lt;&gt;"",I460,IF(J460&lt;&gt;"",J460,IF('I. Stream &amp; Compound Data'!BB286&lt;&gt;"",'I. Stream &amp; Compound Data'!BB286,0))),"Endotermic value"))</f>
        <v/>
      </c>
      <c r="M460" s="290" t="str">
        <f>IF(H460&gt;'I. Stream &amp; Compound Data'!$F$18,"",IF(I460="","N/A",ROUND(IF(I460&lt;=0,0,IF(AND(I460&gt;0,I460&lt;2000),0.0005*I460,1)),3)))</f>
        <v/>
      </c>
      <c r="N460" s="1168" t="str">
        <f>IF(H460&gt;'I. Stream &amp; Compound Data'!$F$18,"",IF(M460="N/A",IF(J460="","N/A",ROUND(IF(J460&lt;=0,0,IF(AND(J460&gt;0,J460&lt;2000),0.0005*J460,1)),3)),"N/A"))</f>
        <v/>
      </c>
      <c r="O460" s="1287" t="str">
        <f>IF(H460&gt;'I. Stream &amp; Compound Data'!$F$18,"",IF(AND(M460="N/A",N460="N/A"),IF(K460="","N/A",IF(OR(K460=3,K460=4),1,IF(K460=2,0.75,IF(K460=1,0.25,0)))),"N/A"))</f>
        <v/>
      </c>
      <c r="P460" s="1294" t="str">
        <f>IF(H460&gt;'I. Stream &amp; Compound Data'!$F$18,"",IF(I166="","N/A",IF(M460&lt;&gt;"N/A",M460,IF(N460&lt;&gt;"N/A",N460,IF(O460&lt;&gt;"N/A",O460,"NO DATA AVAILABLE")))))</f>
        <v/>
      </c>
      <c r="Q460" s="1294" t="str">
        <f>IF(H460&gt;'I. Stream &amp; Compound Data'!$F$18,"",IF(P460="N/A",0,L460*10^(2*P460-2)))</f>
        <v/>
      </c>
      <c r="R460" s="1294" t="str">
        <f>IF(H460&gt;'I. Stream &amp; Compound Data'!$F$18,"",MAX(K166:L166))</f>
        <v/>
      </c>
      <c r="S460" s="1294" t="str">
        <f>IF(H460&gt;'I. Stream &amp; Compound Data'!$F$18,"",ROUND(Q460*R460,3))</f>
        <v/>
      </c>
      <c r="T460" s="1149" t="str">
        <f>IF(H460&gt;'I. Stream &amp; Compound Data'!$F$18,"",ROUND(L460*R460,3))</f>
        <v/>
      </c>
      <c r="U460" s="299"/>
      <c r="V460" s="279"/>
      <c r="W460" s="279"/>
      <c r="X460" s="279"/>
      <c r="Y460" s="279"/>
      <c r="Z460" s="279"/>
      <c r="AA460" s="279"/>
      <c r="AB460" s="279"/>
      <c r="AC460" s="279"/>
      <c r="AD460" s="279"/>
      <c r="AE460" s="279"/>
      <c r="AF460" s="279"/>
      <c r="AG460" s="279"/>
      <c r="AH460" s="279"/>
      <c r="AI460" s="279"/>
      <c r="AJ460" s="279"/>
      <c r="AK460" s="279"/>
      <c r="AL460" s="279"/>
      <c r="AM460" s="279"/>
      <c r="AN460" s="279"/>
      <c r="AO460" s="279"/>
      <c r="AP460" s="279"/>
      <c r="AQ460" s="279"/>
      <c r="AR460" s="279"/>
      <c r="AS460" s="279"/>
      <c r="AT460" s="279"/>
      <c r="AU460" s="279"/>
      <c r="AV460" s="279"/>
      <c r="AW460" s="279"/>
      <c r="AX460" s="279"/>
      <c r="AY460" s="279"/>
      <c r="AZ460" s="279"/>
      <c r="BA460" s="279"/>
      <c r="BB460" s="279"/>
      <c r="BC460" s="279"/>
      <c r="BD460" s="279"/>
      <c r="BE460" s="279"/>
      <c r="BF460" s="279"/>
      <c r="BG460" s="279"/>
      <c r="BH460" s="279"/>
      <c r="BI460" s="279"/>
      <c r="BJ460" s="279"/>
      <c r="BK460" s="279"/>
      <c r="BL460" s="279"/>
      <c r="BM460" s="279"/>
      <c r="BN460" s="279"/>
      <c r="BO460" s="279"/>
      <c r="BP460" s="279"/>
      <c r="BQ460" s="279"/>
      <c r="BR460" s="279"/>
      <c r="BS460" s="279"/>
      <c r="BT460" s="279"/>
      <c r="BU460" s="279"/>
      <c r="BV460" s="279"/>
      <c r="BW460" s="279"/>
      <c r="BX460" s="279"/>
      <c r="BY460" s="279"/>
      <c r="BZ460" s="279"/>
      <c r="CA460" s="279"/>
      <c r="CB460" s="279"/>
      <c r="CC460" s="279"/>
      <c r="CD460" s="279"/>
      <c r="CE460" s="279"/>
      <c r="CF460" s="279"/>
      <c r="CG460" s="279"/>
      <c r="CH460" s="279"/>
      <c r="CI460" s="279"/>
      <c r="CJ460" s="279"/>
      <c r="CK460" s="279"/>
      <c r="CL460" s="279"/>
      <c r="CM460" s="279"/>
      <c r="CN460" s="382"/>
    </row>
    <row r="461" x14ac:dyDescent="0.25">
      <c r="B461" s="361"/>
      <c r="C461" s="279"/>
      <c r="D461" s="280"/>
      <c r="E461" s="287"/>
      <c r="F461" s="287"/>
      <c r="G461" s="287"/>
      <c r="H461" s="1292">
        <f t="shared" si="17"/>
        <v>26</v>
      </c>
      <c r="I461" s="1295" t="str">
        <f>IF('I. Stream &amp; Compound Data'!BD287&lt;&gt;"",'I. Stream &amp; Compound Data'!BD287,"")</f>
        <v/>
      </c>
      <c r="J461" s="1295" t="str">
        <f>IF('I. Stream &amp; Compound Data'!BE287&lt;&gt;"",'I. Stream &amp; Compound Data'!BE287,"")</f>
        <v/>
      </c>
      <c r="K461" s="1190" t="str">
        <f>IF('I. Stream &amp; Compound Data'!AW287&lt;&gt;"",'I. Stream &amp; Compound Data'!AW287,"")</f>
        <v/>
      </c>
      <c r="L461" s="1190" t="str">
        <f>IF(H461&gt;'I. Stream &amp; Compound Data'!$F$18,"",IF(IF(I461&lt;&gt;"",I461,IF(J461&lt;&gt;"",J461,IF('I. Stream &amp; Compound Data'!BB287&lt;&gt;"",'I. Stream &amp; Compound Data'!BB287,0)))&gt;=0, IF(I461&lt;&gt;"",I461,IF(J461&lt;&gt;"",J461,IF('I. Stream &amp; Compound Data'!BB287&lt;&gt;"",'I. Stream &amp; Compound Data'!BB287,0))),"Endotermic value"))</f>
        <v/>
      </c>
      <c r="M461" s="290" t="str">
        <f>IF(H461&gt;'I. Stream &amp; Compound Data'!$F$18,"",IF(I461="","N/A",ROUND(IF(I461&lt;=0,0,IF(AND(I461&gt;0,I461&lt;2000),0.0005*I461,1)),3)))</f>
        <v/>
      </c>
      <c r="N461" s="1168" t="str">
        <f>IF(H461&gt;'I. Stream &amp; Compound Data'!$F$18,"",IF(M461="N/A",IF(J461="","N/A",ROUND(IF(J461&lt;=0,0,IF(AND(J461&gt;0,J461&lt;2000),0.0005*J461,1)),3)),"N/A"))</f>
        <v/>
      </c>
      <c r="O461" s="1287" t="str">
        <f>IF(H461&gt;'I. Stream &amp; Compound Data'!$F$18,"",IF(AND(M461="N/A",N461="N/A"),IF(K461="","N/A",IF(OR(K461=3,K461=4),1,IF(K461=2,0.75,IF(K461=1,0.25,0)))),"N/A"))</f>
        <v/>
      </c>
      <c r="P461" s="1294" t="str">
        <f>IF(H461&gt;'I. Stream &amp; Compound Data'!$F$18,"",IF(I167="","N/A",IF(M461&lt;&gt;"N/A",M461,IF(N461&lt;&gt;"N/A",N461,IF(O461&lt;&gt;"N/A",O461,"NO DATA AVAILABLE")))))</f>
        <v/>
      </c>
      <c r="Q461" s="1294" t="str">
        <f>IF(H461&gt;'I. Stream &amp; Compound Data'!$F$18,"",IF(P461="N/A",0,L461*10^(2*P461-2)))</f>
        <v/>
      </c>
      <c r="R461" s="1294" t="str">
        <f>IF(H461&gt;'I. Stream &amp; Compound Data'!$F$18,"",MAX(K167:L167))</f>
        <v/>
      </c>
      <c r="S461" s="1294" t="str">
        <f>IF(H461&gt;'I. Stream &amp; Compound Data'!$F$18,"",ROUND(Q461*R461,3))</f>
        <v/>
      </c>
      <c r="T461" s="1149" t="str">
        <f>IF(H461&gt;'I. Stream &amp; Compound Data'!$F$18,"",ROUND(L461*R461,3))</f>
        <v/>
      </c>
      <c r="U461" s="299"/>
      <c r="V461" s="279"/>
      <c r="W461" s="279"/>
      <c r="X461" s="279"/>
      <c r="Y461" s="279"/>
      <c r="Z461" s="279"/>
      <c r="AA461" s="279"/>
      <c r="AB461" s="279"/>
      <c r="AC461" s="279"/>
      <c r="AD461" s="279"/>
      <c r="AE461" s="279"/>
      <c r="AF461" s="279"/>
      <c r="AG461" s="279"/>
      <c r="AH461" s="279"/>
      <c r="AI461" s="279"/>
      <c r="AJ461" s="279"/>
      <c r="AK461" s="279"/>
      <c r="AL461" s="279"/>
      <c r="AM461" s="279"/>
      <c r="AN461" s="279"/>
      <c r="AO461" s="279"/>
      <c r="AP461" s="279"/>
      <c r="AQ461" s="279"/>
      <c r="AR461" s="279"/>
      <c r="AS461" s="279"/>
      <c r="AT461" s="279"/>
      <c r="AU461" s="279"/>
      <c r="AV461" s="279"/>
      <c r="AW461" s="279"/>
      <c r="AX461" s="279"/>
      <c r="AY461" s="279"/>
      <c r="AZ461" s="279"/>
      <c r="BA461" s="279"/>
      <c r="BB461" s="279"/>
      <c r="BC461" s="279"/>
      <c r="BD461" s="279"/>
      <c r="BE461" s="279"/>
      <c r="BF461" s="279"/>
      <c r="BG461" s="279"/>
      <c r="BH461" s="279"/>
      <c r="BI461" s="279"/>
      <c r="BJ461" s="279"/>
      <c r="BK461" s="279"/>
      <c r="BL461" s="279"/>
      <c r="BM461" s="279"/>
      <c r="BN461" s="279"/>
      <c r="BO461" s="279"/>
      <c r="BP461" s="279"/>
      <c r="BQ461" s="279"/>
      <c r="BR461" s="279"/>
      <c r="BS461" s="279"/>
      <c r="BT461" s="279"/>
      <c r="BU461" s="279"/>
      <c r="BV461" s="279"/>
      <c r="BW461" s="279"/>
      <c r="BX461" s="279"/>
      <c r="BY461" s="279"/>
      <c r="BZ461" s="279"/>
      <c r="CA461" s="279"/>
      <c r="CB461" s="279"/>
      <c r="CC461" s="279"/>
      <c r="CD461" s="279"/>
      <c r="CE461" s="279"/>
      <c r="CF461" s="279"/>
      <c r="CG461" s="279"/>
      <c r="CH461" s="279"/>
      <c r="CI461" s="279"/>
      <c r="CJ461" s="279"/>
      <c r="CK461" s="279"/>
      <c r="CL461" s="279"/>
      <c r="CM461" s="279"/>
      <c r="CN461" s="382"/>
    </row>
    <row r="462" x14ac:dyDescent="0.25">
      <c r="B462" s="361"/>
      <c r="C462" s="279"/>
      <c r="D462" s="280"/>
      <c r="E462" s="287"/>
      <c r="F462" s="287"/>
      <c r="G462" s="287"/>
      <c r="H462" s="1292">
        <f t="shared" si="17"/>
        <v>27</v>
      </c>
      <c r="I462" s="1295" t="str">
        <f>IF('I. Stream &amp; Compound Data'!BD288&lt;&gt;"",'I. Stream &amp; Compound Data'!BD288,"")</f>
        <v/>
      </c>
      <c r="J462" s="1295" t="str">
        <f>IF('I. Stream &amp; Compound Data'!BE288&lt;&gt;"",'I. Stream &amp; Compound Data'!BE288,"")</f>
        <v/>
      </c>
      <c r="K462" s="1190" t="str">
        <f>IF('I. Stream &amp; Compound Data'!AW288&lt;&gt;"",'I. Stream &amp; Compound Data'!AW288,"")</f>
        <v/>
      </c>
      <c r="L462" s="1190" t="str">
        <f>IF(H462&gt;'I. Stream &amp; Compound Data'!$F$18,"",IF(IF(I462&lt;&gt;"",I462,IF(J462&lt;&gt;"",J462,IF('I. Stream &amp; Compound Data'!BB288&lt;&gt;"",'I. Stream &amp; Compound Data'!BB288,0)))&gt;=0, IF(I462&lt;&gt;"",I462,IF(J462&lt;&gt;"",J462,IF('I. Stream &amp; Compound Data'!BB288&lt;&gt;"",'I. Stream &amp; Compound Data'!BB288,0))),"Endotermic value"))</f>
        <v/>
      </c>
      <c r="M462" s="290" t="str">
        <f>IF(H462&gt;'I. Stream &amp; Compound Data'!$F$18,"",IF(I462="","N/A",ROUND(IF(I462&lt;=0,0,IF(AND(I462&gt;0,I462&lt;2000),0.0005*I462,1)),3)))</f>
        <v/>
      </c>
      <c r="N462" s="1168" t="str">
        <f>IF(H462&gt;'I. Stream &amp; Compound Data'!$F$18,"",IF(M462="N/A",IF(J462="","N/A",ROUND(IF(J462&lt;=0,0,IF(AND(J462&gt;0,J462&lt;2000),0.0005*J462,1)),3)),"N/A"))</f>
        <v/>
      </c>
      <c r="O462" s="1287" t="str">
        <f>IF(H462&gt;'I. Stream &amp; Compound Data'!$F$18,"",IF(AND(M462="N/A",N462="N/A"),IF(K462="","N/A",IF(OR(K462=3,K462=4),1,IF(K462=2,0.75,IF(K462=1,0.25,0)))),"N/A"))</f>
        <v/>
      </c>
      <c r="P462" s="1294" t="str">
        <f>IF(H462&gt;'I. Stream &amp; Compound Data'!$F$18,"",IF(I168="","N/A",IF(M462&lt;&gt;"N/A",M462,IF(N462&lt;&gt;"N/A",N462,IF(O462&lt;&gt;"N/A",O462,"NO DATA AVAILABLE")))))</f>
        <v/>
      </c>
      <c r="Q462" s="1294" t="str">
        <f>IF(H462&gt;'I. Stream &amp; Compound Data'!$F$18,"",IF(P462="N/A",0,L462*10^(2*P462-2)))</f>
        <v/>
      </c>
      <c r="R462" s="1294" t="str">
        <f>IF(H462&gt;'I. Stream &amp; Compound Data'!$F$18,"",MAX(K168:L168))</f>
        <v/>
      </c>
      <c r="S462" s="1294" t="str">
        <f>IF(H462&gt;'I. Stream &amp; Compound Data'!$F$18,"",ROUND(Q462*R462,3))</f>
        <v/>
      </c>
      <c r="T462" s="1149" t="str">
        <f>IF(H462&gt;'I. Stream &amp; Compound Data'!$F$18,"",ROUND(L462*R462,3))</f>
        <v/>
      </c>
      <c r="U462" s="299"/>
      <c r="V462" s="279"/>
      <c r="W462" s="279"/>
      <c r="X462" s="279"/>
      <c r="Y462" s="279"/>
      <c r="Z462" s="279"/>
      <c r="AA462" s="279"/>
      <c r="AB462" s="279"/>
      <c r="AC462" s="279"/>
      <c r="AD462" s="279"/>
      <c r="AE462" s="279"/>
      <c r="AF462" s="279"/>
      <c r="AG462" s="279"/>
      <c r="AH462" s="279"/>
      <c r="AI462" s="279"/>
      <c r="AJ462" s="279"/>
      <c r="AK462" s="279"/>
      <c r="AL462" s="279"/>
      <c r="AM462" s="279"/>
      <c r="AN462" s="279"/>
      <c r="AO462" s="279"/>
      <c r="AP462" s="279"/>
      <c r="AQ462" s="279"/>
      <c r="AR462" s="279"/>
      <c r="AS462" s="279"/>
      <c r="AT462" s="279"/>
      <c r="AU462" s="279"/>
      <c r="AV462" s="279"/>
      <c r="AW462" s="279"/>
      <c r="AX462" s="279"/>
      <c r="AY462" s="279"/>
      <c r="AZ462" s="279"/>
      <c r="BA462" s="279"/>
      <c r="BB462" s="279"/>
      <c r="BC462" s="279"/>
      <c r="BD462" s="279"/>
      <c r="BE462" s="279"/>
      <c r="BF462" s="279"/>
      <c r="BG462" s="279"/>
      <c r="BH462" s="279"/>
      <c r="BI462" s="279"/>
      <c r="BJ462" s="279"/>
      <c r="BK462" s="279"/>
      <c r="BL462" s="279"/>
      <c r="BM462" s="279"/>
      <c r="BN462" s="279"/>
      <c r="BO462" s="279"/>
      <c r="BP462" s="279"/>
      <c r="BQ462" s="279"/>
      <c r="BR462" s="279"/>
      <c r="BS462" s="279"/>
      <c r="BT462" s="279"/>
      <c r="BU462" s="279"/>
      <c r="BV462" s="279"/>
      <c r="BW462" s="279"/>
      <c r="BX462" s="279"/>
      <c r="BY462" s="279"/>
      <c r="BZ462" s="279"/>
      <c r="CA462" s="279"/>
      <c r="CB462" s="279"/>
      <c r="CC462" s="279"/>
      <c r="CD462" s="279"/>
      <c r="CE462" s="279"/>
      <c r="CF462" s="279"/>
      <c r="CG462" s="279"/>
      <c r="CH462" s="279"/>
      <c r="CI462" s="279"/>
      <c r="CJ462" s="279"/>
      <c r="CK462" s="279"/>
      <c r="CL462" s="279"/>
      <c r="CM462" s="279"/>
      <c r="CN462" s="382"/>
    </row>
    <row r="463" x14ac:dyDescent="0.25">
      <c r="B463" s="361"/>
      <c r="C463" s="279"/>
      <c r="D463" s="280"/>
      <c r="E463" s="287"/>
      <c r="F463" s="287"/>
      <c r="G463" s="287"/>
      <c r="H463" s="1292">
        <f t="shared" si="17"/>
        <v>28</v>
      </c>
      <c r="I463" s="1295" t="str">
        <f>IF('I. Stream &amp; Compound Data'!BD289&lt;&gt;"",'I. Stream &amp; Compound Data'!BD289,"")</f>
        <v/>
      </c>
      <c r="J463" s="1295" t="str">
        <f>IF('I. Stream &amp; Compound Data'!BE289&lt;&gt;"",'I. Stream &amp; Compound Data'!BE289,"")</f>
        <v/>
      </c>
      <c r="K463" s="1190" t="str">
        <f>IF('I. Stream &amp; Compound Data'!AW289&lt;&gt;"",'I. Stream &amp; Compound Data'!AW289,"")</f>
        <v/>
      </c>
      <c r="L463" s="1190" t="str">
        <f>IF(H463&gt;'I. Stream &amp; Compound Data'!$F$18,"",IF(IF(I463&lt;&gt;"",I463,IF(J463&lt;&gt;"",J463,IF('I. Stream &amp; Compound Data'!BB289&lt;&gt;"",'I. Stream &amp; Compound Data'!BB289,0)))&gt;=0, IF(I463&lt;&gt;"",I463,IF(J463&lt;&gt;"",J463,IF('I. Stream &amp; Compound Data'!BB289&lt;&gt;"",'I. Stream &amp; Compound Data'!BB289,0))),"Endotermic value"))</f>
        <v/>
      </c>
      <c r="M463" s="290" t="str">
        <f>IF(H463&gt;'I. Stream &amp; Compound Data'!$F$18,"",IF(I463="","N/A",ROUND(IF(I463&lt;=0,0,IF(AND(I463&gt;0,I463&lt;2000),0.0005*I463,1)),3)))</f>
        <v/>
      </c>
      <c r="N463" s="1168" t="str">
        <f>IF(H463&gt;'I. Stream &amp; Compound Data'!$F$18,"",IF(M463="N/A",IF(J463="","N/A",ROUND(IF(J463&lt;=0,0,IF(AND(J463&gt;0,J463&lt;2000),0.0005*J463,1)),3)),"N/A"))</f>
        <v/>
      </c>
      <c r="O463" s="1287" t="str">
        <f>IF(H463&gt;'I. Stream &amp; Compound Data'!$F$18,"",IF(AND(M463="N/A",N463="N/A"),IF(K463="","N/A",IF(OR(K463=3,K463=4),1,IF(K463=2,0.75,IF(K463=1,0.25,0)))),"N/A"))</f>
        <v/>
      </c>
      <c r="P463" s="1294" t="str">
        <f>IF(H463&gt;'I. Stream &amp; Compound Data'!$F$18,"",IF(I169="","N/A",IF(M463&lt;&gt;"N/A",M463,IF(N463&lt;&gt;"N/A",N463,IF(O463&lt;&gt;"N/A",O463,"NO DATA AVAILABLE")))))</f>
        <v/>
      </c>
      <c r="Q463" s="1294" t="str">
        <f>IF(H463&gt;'I. Stream &amp; Compound Data'!$F$18,"",IF(P463="N/A",0,L463*10^(2*P463-2)))</f>
        <v/>
      </c>
      <c r="R463" s="1294" t="str">
        <f>IF(H463&gt;'I. Stream &amp; Compound Data'!$F$18,"",MAX(K169:L169))</f>
        <v/>
      </c>
      <c r="S463" s="1294" t="str">
        <f>IF(H463&gt;'I. Stream &amp; Compound Data'!$F$18,"",ROUND(Q463*R463,3))</f>
        <v/>
      </c>
      <c r="T463" s="1149" t="str">
        <f>IF(H463&gt;'I. Stream &amp; Compound Data'!$F$18,"",ROUND(L463*R463,3))</f>
        <v/>
      </c>
      <c r="U463" s="299"/>
      <c r="V463" s="279"/>
      <c r="W463" s="279"/>
      <c r="X463" s="279"/>
      <c r="Y463" s="279"/>
      <c r="Z463" s="279"/>
      <c r="AA463" s="279"/>
      <c r="AB463" s="279"/>
      <c r="AC463" s="279"/>
      <c r="AD463" s="279"/>
      <c r="AE463" s="279"/>
      <c r="AF463" s="279"/>
      <c r="AG463" s="279"/>
      <c r="AH463" s="279"/>
      <c r="AI463" s="279"/>
      <c r="AJ463" s="279"/>
      <c r="AK463" s="279"/>
      <c r="AL463" s="279"/>
      <c r="AM463" s="279"/>
      <c r="AN463" s="279"/>
      <c r="AO463" s="279"/>
      <c r="AP463" s="279"/>
      <c r="AQ463" s="279"/>
      <c r="AR463" s="279"/>
      <c r="AS463" s="279"/>
      <c r="AT463" s="279"/>
      <c r="AU463" s="279"/>
      <c r="AV463" s="279"/>
      <c r="AW463" s="279"/>
      <c r="AX463" s="279"/>
      <c r="AY463" s="279"/>
      <c r="AZ463" s="279"/>
      <c r="BA463" s="279"/>
      <c r="BB463" s="279"/>
      <c r="BC463" s="279"/>
      <c r="BD463" s="279"/>
      <c r="BE463" s="279"/>
      <c r="BF463" s="279"/>
      <c r="BG463" s="279"/>
      <c r="BH463" s="279"/>
      <c r="BI463" s="279"/>
      <c r="BJ463" s="279"/>
      <c r="BK463" s="279"/>
      <c r="BL463" s="279"/>
      <c r="BM463" s="279"/>
      <c r="BN463" s="279"/>
      <c r="BO463" s="279"/>
      <c r="BP463" s="279"/>
      <c r="BQ463" s="279"/>
      <c r="BR463" s="279"/>
      <c r="BS463" s="279"/>
      <c r="BT463" s="279"/>
      <c r="BU463" s="279"/>
      <c r="BV463" s="279"/>
      <c r="BW463" s="279"/>
      <c r="BX463" s="279"/>
      <c r="BY463" s="279"/>
      <c r="BZ463" s="279"/>
      <c r="CA463" s="279"/>
      <c r="CB463" s="279"/>
      <c r="CC463" s="279"/>
      <c r="CD463" s="279"/>
      <c r="CE463" s="279"/>
      <c r="CF463" s="279"/>
      <c r="CG463" s="279"/>
      <c r="CH463" s="279"/>
      <c r="CI463" s="279"/>
      <c r="CJ463" s="279"/>
      <c r="CK463" s="279"/>
      <c r="CL463" s="279"/>
      <c r="CM463" s="279"/>
      <c r="CN463" s="382"/>
    </row>
    <row r="464" x14ac:dyDescent="0.25">
      <c r="B464" s="361"/>
      <c r="C464" s="279"/>
      <c r="D464" s="280"/>
      <c r="E464" s="287"/>
      <c r="F464" s="287"/>
      <c r="G464" s="287"/>
      <c r="H464" s="1292">
        <f t="shared" si="17"/>
        <v>29</v>
      </c>
      <c r="I464" s="1295" t="str">
        <f>IF('I. Stream &amp; Compound Data'!BD290&lt;&gt;"",'I. Stream &amp; Compound Data'!BD290,"")</f>
        <v/>
      </c>
      <c r="J464" s="1295" t="str">
        <f>IF('I. Stream &amp; Compound Data'!BE290&lt;&gt;"",'I. Stream &amp; Compound Data'!BE290,"")</f>
        <v/>
      </c>
      <c r="K464" s="1190" t="str">
        <f>IF('I. Stream &amp; Compound Data'!AW290&lt;&gt;"",'I. Stream &amp; Compound Data'!AW290,"")</f>
        <v/>
      </c>
      <c r="L464" s="1190" t="str">
        <f>IF(H464&gt;'I. Stream &amp; Compound Data'!$F$18,"",IF(IF(I464&lt;&gt;"",I464,IF(J464&lt;&gt;"",J464,IF('I. Stream &amp; Compound Data'!BB290&lt;&gt;"",'I. Stream &amp; Compound Data'!BB290,0)))&gt;=0, IF(I464&lt;&gt;"",I464,IF(J464&lt;&gt;"",J464,IF('I. Stream &amp; Compound Data'!BB290&lt;&gt;"",'I. Stream &amp; Compound Data'!BB290,0))),"Endotermic value"))</f>
        <v/>
      </c>
      <c r="M464" s="290" t="str">
        <f>IF(H464&gt;'I. Stream &amp; Compound Data'!$F$18,"",IF(I464="","N/A",ROUND(IF(I464&lt;=0,0,IF(AND(I464&gt;0,I464&lt;2000),0.0005*I464,1)),3)))</f>
        <v/>
      </c>
      <c r="N464" s="1168" t="str">
        <f>IF(H464&gt;'I. Stream &amp; Compound Data'!$F$18,"",IF(M464="N/A",IF(J464="","N/A",ROUND(IF(J464&lt;=0,0,IF(AND(J464&gt;0,J464&lt;2000),0.0005*J464,1)),3)),"N/A"))</f>
        <v/>
      </c>
      <c r="O464" s="1287" t="str">
        <f>IF(H464&gt;'I. Stream &amp; Compound Data'!$F$18,"",IF(AND(M464="N/A",N464="N/A"),IF(K464="","N/A",IF(OR(K464=3,K464=4),1,IF(K464=2,0.75,IF(K464=1,0.25,0)))),"N/A"))</f>
        <v/>
      </c>
      <c r="P464" s="1294" t="str">
        <f>IF(H464&gt;'I. Stream &amp; Compound Data'!$F$18,"",IF(I170="","N/A",IF(M464&lt;&gt;"N/A",M464,IF(N464&lt;&gt;"N/A",N464,IF(O464&lt;&gt;"N/A",O464,"NO DATA AVAILABLE")))))</f>
        <v/>
      </c>
      <c r="Q464" s="1294" t="str">
        <f>IF(H464&gt;'I. Stream &amp; Compound Data'!$F$18,"",IF(P464="N/A",0,L464*10^(2*P464-2)))</f>
        <v/>
      </c>
      <c r="R464" s="1294" t="str">
        <f>IF(H464&gt;'I. Stream &amp; Compound Data'!$F$18,"",MAX(K170:L170))</f>
        <v/>
      </c>
      <c r="S464" s="1294" t="str">
        <f>IF(H464&gt;'I. Stream &amp; Compound Data'!$F$18,"",ROUND(Q464*R464,3))</f>
        <v/>
      </c>
      <c r="T464" s="1149" t="str">
        <f>IF(H464&gt;'I. Stream &amp; Compound Data'!$F$18,"",ROUND(L464*R464,3))</f>
        <v/>
      </c>
      <c r="U464" s="299"/>
      <c r="V464" s="279"/>
      <c r="W464" s="279"/>
      <c r="X464" s="279"/>
      <c r="Y464" s="279"/>
      <c r="Z464" s="279"/>
      <c r="AA464" s="279"/>
      <c r="AB464" s="279"/>
      <c r="AC464" s="279"/>
      <c r="AD464" s="279"/>
      <c r="AE464" s="279"/>
      <c r="AF464" s="279"/>
      <c r="AG464" s="279"/>
      <c r="AH464" s="279"/>
      <c r="AI464" s="279"/>
      <c r="AJ464" s="279"/>
      <c r="AK464" s="279"/>
      <c r="AL464" s="279"/>
      <c r="AM464" s="279"/>
      <c r="AN464" s="279"/>
      <c r="AO464" s="279"/>
      <c r="AP464" s="279"/>
      <c r="AQ464" s="279"/>
      <c r="AR464" s="279"/>
      <c r="AS464" s="279"/>
      <c r="AT464" s="279"/>
      <c r="AU464" s="279"/>
      <c r="AV464" s="279"/>
      <c r="AW464" s="279"/>
      <c r="AX464" s="279"/>
      <c r="AY464" s="279"/>
      <c r="AZ464" s="279"/>
      <c r="BA464" s="279"/>
      <c r="BB464" s="279"/>
      <c r="BC464" s="279"/>
      <c r="BD464" s="279"/>
      <c r="BE464" s="279"/>
      <c r="BF464" s="279"/>
      <c r="BG464" s="279"/>
      <c r="BH464" s="279"/>
      <c r="BI464" s="279"/>
      <c r="BJ464" s="279"/>
      <c r="BK464" s="279"/>
      <c r="BL464" s="279"/>
      <c r="BM464" s="279"/>
      <c r="BN464" s="279"/>
      <c r="BO464" s="279"/>
      <c r="BP464" s="279"/>
      <c r="BQ464" s="279"/>
      <c r="BR464" s="279"/>
      <c r="BS464" s="279"/>
      <c r="BT464" s="279"/>
      <c r="BU464" s="279"/>
      <c r="BV464" s="279"/>
      <c r="BW464" s="279"/>
      <c r="BX464" s="279"/>
      <c r="BY464" s="279"/>
      <c r="BZ464" s="279"/>
      <c r="CA464" s="279"/>
      <c r="CB464" s="279"/>
      <c r="CC464" s="279"/>
      <c r="CD464" s="279"/>
      <c r="CE464" s="279"/>
      <c r="CF464" s="279"/>
      <c r="CG464" s="279"/>
      <c r="CH464" s="279"/>
      <c r="CI464" s="279"/>
      <c r="CJ464" s="279"/>
      <c r="CK464" s="279"/>
      <c r="CL464" s="279"/>
      <c r="CM464" s="279"/>
      <c r="CN464" s="382"/>
    </row>
    <row r="465" x14ac:dyDescent="0.25">
      <c r="B465" s="361"/>
      <c r="C465" s="279"/>
      <c r="D465" s="280"/>
      <c r="E465" s="287"/>
      <c r="F465" s="287"/>
      <c r="G465" s="287"/>
      <c r="H465" s="1292">
        <f t="shared" si="17"/>
        <v>30</v>
      </c>
      <c r="I465" s="1295" t="str">
        <f>IF('I. Stream &amp; Compound Data'!BD291&lt;&gt;"",'I. Stream &amp; Compound Data'!BD291,"")</f>
        <v/>
      </c>
      <c r="J465" s="1295" t="str">
        <f>IF('I. Stream &amp; Compound Data'!BE291&lt;&gt;"",'I. Stream &amp; Compound Data'!BE291,"")</f>
        <v/>
      </c>
      <c r="K465" s="1190" t="str">
        <f>IF('I. Stream &amp; Compound Data'!AW291&lt;&gt;"",'I. Stream &amp; Compound Data'!AW291,"")</f>
        <v/>
      </c>
      <c r="L465" s="1190" t="str">
        <f>IF(H465&gt;'I. Stream &amp; Compound Data'!$F$18,"",IF(IF(I465&lt;&gt;"",I465,IF(J465&lt;&gt;"",J465,IF('I. Stream &amp; Compound Data'!BB291&lt;&gt;"",'I. Stream &amp; Compound Data'!BB291,0)))&gt;=0, IF(I465&lt;&gt;"",I465,IF(J465&lt;&gt;"",J465,IF('I. Stream &amp; Compound Data'!BB291&lt;&gt;"",'I. Stream &amp; Compound Data'!BB291,0))),"Endotermic value"))</f>
        <v/>
      </c>
      <c r="M465" s="290" t="str">
        <f>IF(H465&gt;'I. Stream &amp; Compound Data'!$F$18,"",IF(I465="","N/A",ROUND(IF(I465&lt;=0,0,IF(AND(I465&gt;0,I465&lt;2000),0.0005*I465,1)),3)))</f>
        <v/>
      </c>
      <c r="N465" s="1168" t="str">
        <f>IF(H465&gt;'I. Stream &amp; Compound Data'!$F$18,"",IF(M465="N/A",IF(J465="","N/A",ROUND(IF(J465&lt;=0,0,IF(AND(J465&gt;0,J465&lt;2000),0.0005*J465,1)),3)),"N/A"))</f>
        <v/>
      </c>
      <c r="O465" s="1287" t="str">
        <f>IF(H465&gt;'I. Stream &amp; Compound Data'!$F$18,"",IF(AND(M465="N/A",N465="N/A"),IF(K465="","N/A",IF(OR(K465=3,K465=4),1,IF(K465=2,0.75,IF(K465=1,0.25,0)))),"N/A"))</f>
        <v/>
      </c>
      <c r="P465" s="1294" t="str">
        <f>IF(H465&gt;'I. Stream &amp; Compound Data'!$F$18,"",IF(I171="","N/A",IF(M465&lt;&gt;"N/A",M465,IF(N465&lt;&gt;"N/A",N465,IF(O465&lt;&gt;"N/A",O465,"NO DATA AVAILABLE")))))</f>
        <v/>
      </c>
      <c r="Q465" s="1294" t="str">
        <f>IF(H465&gt;'I. Stream &amp; Compound Data'!$F$18,"",IF(P465="N/A",0,L465*10^(2*P465-2)))</f>
        <v/>
      </c>
      <c r="R465" s="1294" t="str">
        <f>IF(H465&gt;'I. Stream &amp; Compound Data'!$F$18,"",MAX(K171:L171))</f>
        <v/>
      </c>
      <c r="S465" s="1294" t="str">
        <f>IF(H465&gt;'I. Stream &amp; Compound Data'!$F$18,"",ROUND(Q465*R465,3))</f>
        <v/>
      </c>
      <c r="T465" s="1149" t="str">
        <f>IF(H465&gt;'I. Stream &amp; Compound Data'!$F$18,"",ROUND(L465*R465,3))</f>
        <v/>
      </c>
      <c r="U465" s="299"/>
      <c r="V465" s="279"/>
      <c r="W465" s="279"/>
      <c r="X465" s="279"/>
      <c r="Y465" s="279"/>
      <c r="Z465" s="279"/>
      <c r="AA465" s="279"/>
      <c r="AB465" s="279"/>
      <c r="AC465" s="279"/>
      <c r="AD465" s="279"/>
      <c r="AE465" s="279"/>
      <c r="AF465" s="279"/>
      <c r="AG465" s="279"/>
      <c r="AH465" s="279"/>
      <c r="AI465" s="279"/>
      <c r="AJ465" s="279"/>
      <c r="AK465" s="279"/>
      <c r="AL465" s="279"/>
      <c r="AM465" s="279"/>
      <c r="AN465" s="279"/>
      <c r="AO465" s="279"/>
      <c r="AP465" s="279"/>
      <c r="AQ465" s="279"/>
      <c r="AR465" s="279"/>
      <c r="AS465" s="279"/>
      <c r="AT465" s="279"/>
      <c r="AU465" s="279"/>
      <c r="AV465" s="279"/>
      <c r="AW465" s="279"/>
      <c r="AX465" s="279"/>
      <c r="AY465" s="279"/>
      <c r="AZ465" s="279"/>
      <c r="BA465" s="279"/>
      <c r="BB465" s="279"/>
      <c r="BC465" s="279"/>
      <c r="BD465" s="279"/>
      <c r="BE465" s="279"/>
      <c r="BF465" s="279"/>
      <c r="BG465" s="279"/>
      <c r="BH465" s="279"/>
      <c r="BI465" s="279"/>
      <c r="BJ465" s="279"/>
      <c r="BK465" s="279"/>
      <c r="BL465" s="279"/>
      <c r="BM465" s="279"/>
      <c r="BN465" s="279"/>
      <c r="BO465" s="279"/>
      <c r="BP465" s="279"/>
      <c r="BQ465" s="279"/>
      <c r="BR465" s="279"/>
      <c r="BS465" s="279"/>
      <c r="BT465" s="279"/>
      <c r="BU465" s="279"/>
      <c r="BV465" s="279"/>
      <c r="BW465" s="279"/>
      <c r="BX465" s="279"/>
      <c r="BY465" s="279"/>
      <c r="BZ465" s="279"/>
      <c r="CA465" s="279"/>
      <c r="CB465" s="279"/>
      <c r="CC465" s="279"/>
      <c r="CD465" s="279"/>
      <c r="CE465" s="279"/>
      <c r="CF465" s="279"/>
      <c r="CG465" s="279"/>
      <c r="CH465" s="279"/>
      <c r="CI465" s="279"/>
      <c r="CJ465" s="279"/>
      <c r="CK465" s="279"/>
      <c r="CL465" s="279"/>
      <c r="CM465" s="279"/>
      <c r="CN465" s="382"/>
    </row>
    <row r="466" x14ac:dyDescent="0.25">
      <c r="B466" s="361"/>
      <c r="C466" s="279"/>
      <c r="D466" s="280"/>
      <c r="E466" s="287"/>
      <c r="F466" s="287"/>
      <c r="G466" s="287"/>
      <c r="H466" s="1292">
        <f t="shared" si="17"/>
        <v>31</v>
      </c>
      <c r="I466" s="1295" t="str">
        <f>IF('I. Stream &amp; Compound Data'!BD292&lt;&gt;"",'I. Stream &amp; Compound Data'!BD292,"")</f>
        <v/>
      </c>
      <c r="J466" s="1295" t="str">
        <f>IF('I. Stream &amp; Compound Data'!BE292&lt;&gt;"",'I. Stream &amp; Compound Data'!BE292,"")</f>
        <v/>
      </c>
      <c r="K466" s="1190" t="str">
        <f>IF('I. Stream &amp; Compound Data'!AW292&lt;&gt;"",'I. Stream &amp; Compound Data'!AW292,"")</f>
        <v/>
      </c>
      <c r="L466" s="1190" t="str">
        <f>IF(H466&gt;'I. Stream &amp; Compound Data'!$F$18,"",IF(IF(I466&lt;&gt;"",I466,IF(J466&lt;&gt;"",J466,IF('I. Stream &amp; Compound Data'!BB292&lt;&gt;"",'I. Stream &amp; Compound Data'!BB292,0)))&gt;=0, IF(I466&lt;&gt;"",I466,IF(J466&lt;&gt;"",J466,IF('I. Stream &amp; Compound Data'!BB292&lt;&gt;"",'I. Stream &amp; Compound Data'!BB292,0))),"Endotermic value"))</f>
        <v/>
      </c>
      <c r="M466" s="290" t="str">
        <f>IF(H466&gt;'I. Stream &amp; Compound Data'!$F$18,"",IF(I466="","N/A",ROUND(IF(I466&lt;=0,0,IF(AND(I466&gt;0,I466&lt;2000),0.0005*I466,1)),3)))</f>
        <v/>
      </c>
      <c r="N466" s="1168" t="str">
        <f>IF(H466&gt;'I. Stream &amp; Compound Data'!$F$18,"",IF(M466="N/A",IF(J466="","N/A",ROUND(IF(J466&lt;=0,0,IF(AND(J466&gt;0,J466&lt;2000),0.0005*J466,1)),3)),"N/A"))</f>
        <v/>
      </c>
      <c r="O466" s="1287" t="str">
        <f>IF(H466&gt;'I. Stream &amp; Compound Data'!$F$18,"",IF(AND(M466="N/A",N466="N/A"),IF(K466="","N/A",IF(OR(K466=3,K466=4),1,IF(K466=2,0.75,IF(K466=1,0.25,0)))),"N/A"))</f>
        <v/>
      </c>
      <c r="P466" s="1294" t="str">
        <f>IF(H466&gt;'I. Stream &amp; Compound Data'!$F$18,"",IF(I172="","N/A",IF(M466&lt;&gt;"N/A",M466,IF(N466&lt;&gt;"N/A",N466,IF(O466&lt;&gt;"N/A",O466,"NO DATA AVAILABLE")))))</f>
        <v/>
      </c>
      <c r="Q466" s="1294" t="str">
        <f>IF(H466&gt;'I. Stream &amp; Compound Data'!$F$18,"",IF(P466="N/A",0,L466*10^(2*P466-2)))</f>
        <v/>
      </c>
      <c r="R466" s="1294" t="str">
        <f>IF(H466&gt;'I. Stream &amp; Compound Data'!$F$18,"",MAX(K172:L172))</f>
        <v/>
      </c>
      <c r="S466" s="1294" t="str">
        <f>IF(H466&gt;'I. Stream &amp; Compound Data'!$F$18,"",ROUND(Q466*R466,3))</f>
        <v/>
      </c>
      <c r="T466" s="1149" t="str">
        <f>IF(H466&gt;'I. Stream &amp; Compound Data'!$F$18,"",ROUND(L466*R466,3))</f>
        <v/>
      </c>
      <c r="U466" s="299"/>
      <c r="V466" s="279"/>
      <c r="W466" s="279"/>
      <c r="X466" s="279"/>
      <c r="Y466" s="279"/>
      <c r="Z466" s="279"/>
      <c r="AA466" s="279"/>
      <c r="AB466" s="279"/>
      <c r="AC466" s="279"/>
      <c r="AD466" s="279"/>
      <c r="AE466" s="279"/>
      <c r="AF466" s="279"/>
      <c r="AG466" s="279"/>
      <c r="AH466" s="279"/>
      <c r="AI466" s="279"/>
      <c r="AJ466" s="279"/>
      <c r="AK466" s="279"/>
      <c r="AL466" s="279"/>
      <c r="AM466" s="279"/>
      <c r="AN466" s="279"/>
      <c r="AO466" s="279"/>
      <c r="AP466" s="279"/>
      <c r="AQ466" s="279"/>
      <c r="AR466" s="279"/>
      <c r="AS466" s="279"/>
      <c r="AT466" s="279"/>
      <c r="AU466" s="279"/>
      <c r="AV466" s="279"/>
      <c r="AW466" s="279"/>
      <c r="AX466" s="279"/>
      <c r="AY466" s="279"/>
      <c r="AZ466" s="279"/>
      <c r="BA466" s="279"/>
      <c r="BB466" s="279"/>
      <c r="BC466" s="279"/>
      <c r="BD466" s="279"/>
      <c r="BE466" s="279"/>
      <c r="BF466" s="279"/>
      <c r="BG466" s="279"/>
      <c r="BH466" s="279"/>
      <c r="BI466" s="279"/>
      <c r="BJ466" s="279"/>
      <c r="BK466" s="279"/>
      <c r="BL466" s="279"/>
      <c r="BM466" s="279"/>
      <c r="BN466" s="279"/>
      <c r="BO466" s="279"/>
      <c r="BP466" s="279"/>
      <c r="BQ466" s="279"/>
      <c r="BR466" s="279"/>
      <c r="BS466" s="279"/>
      <c r="BT466" s="279"/>
      <c r="BU466" s="279"/>
      <c r="BV466" s="279"/>
      <c r="BW466" s="279"/>
      <c r="BX466" s="279"/>
      <c r="BY466" s="279"/>
      <c r="BZ466" s="279"/>
      <c r="CA466" s="279"/>
      <c r="CB466" s="279"/>
      <c r="CC466" s="279"/>
      <c r="CD466" s="279"/>
      <c r="CE466" s="279"/>
      <c r="CF466" s="279"/>
      <c r="CG466" s="279"/>
      <c r="CH466" s="279"/>
      <c r="CI466" s="279"/>
      <c r="CJ466" s="279"/>
      <c r="CK466" s="279"/>
      <c r="CL466" s="279"/>
      <c r="CM466" s="279"/>
      <c r="CN466" s="382"/>
    </row>
    <row r="467" x14ac:dyDescent="0.25">
      <c r="B467" s="361"/>
      <c r="C467" s="279"/>
      <c r="D467" s="280"/>
      <c r="E467" s="287"/>
      <c r="F467" s="287"/>
      <c r="G467" s="287"/>
      <c r="H467" s="1292">
        <f t="shared" si="17"/>
        <v>32</v>
      </c>
      <c r="I467" s="1295" t="str">
        <f>IF('I. Stream &amp; Compound Data'!BD293&lt;&gt;"",'I. Stream &amp; Compound Data'!BD293,"")</f>
        <v/>
      </c>
      <c r="J467" s="1295" t="str">
        <f>IF('I. Stream &amp; Compound Data'!BE293&lt;&gt;"",'I. Stream &amp; Compound Data'!BE293,"")</f>
        <v/>
      </c>
      <c r="K467" s="1190" t="str">
        <f>IF('I. Stream &amp; Compound Data'!AW293&lt;&gt;"",'I. Stream &amp; Compound Data'!AW293,"")</f>
        <v/>
      </c>
      <c r="L467" s="1190" t="str">
        <f>IF(H467&gt;'I. Stream &amp; Compound Data'!$F$18,"",IF(IF(I467&lt;&gt;"",I467,IF(J467&lt;&gt;"",J467,IF('I. Stream &amp; Compound Data'!BB293&lt;&gt;"",'I. Stream &amp; Compound Data'!BB293,0)))&gt;=0, IF(I467&lt;&gt;"",I467,IF(J467&lt;&gt;"",J467,IF('I. Stream &amp; Compound Data'!BB293&lt;&gt;"",'I. Stream &amp; Compound Data'!BB293,0))),"Endotermic value"))</f>
        <v/>
      </c>
      <c r="M467" s="290" t="str">
        <f>IF(H467&gt;'I. Stream &amp; Compound Data'!$F$18,"",IF(I467="","N/A",ROUND(IF(I467&lt;=0,0,IF(AND(I467&gt;0,I467&lt;2000),0.0005*I467,1)),3)))</f>
        <v/>
      </c>
      <c r="N467" s="1168" t="str">
        <f>IF(H467&gt;'I. Stream &amp; Compound Data'!$F$18,"",IF(M467="N/A",IF(J467="","N/A",ROUND(IF(J467&lt;=0,0,IF(AND(J467&gt;0,J467&lt;2000),0.0005*J467,1)),3)),"N/A"))</f>
        <v/>
      </c>
      <c r="O467" s="1287" t="str">
        <f>IF(H467&gt;'I. Stream &amp; Compound Data'!$F$18,"",IF(AND(M467="N/A",N467="N/A"),IF(K467="","N/A",IF(OR(K467=3,K467=4),1,IF(K467=2,0.75,IF(K467=1,0.25,0)))),"N/A"))</f>
        <v/>
      </c>
      <c r="P467" s="1294" t="str">
        <f>IF(H467&gt;'I. Stream &amp; Compound Data'!$F$18,"",IF(I173="","N/A",IF(M467&lt;&gt;"N/A",M467,IF(N467&lt;&gt;"N/A",N467,IF(O467&lt;&gt;"N/A",O467,"NO DATA AVAILABLE")))))</f>
        <v/>
      </c>
      <c r="Q467" s="1294" t="str">
        <f>IF(H467&gt;'I. Stream &amp; Compound Data'!$F$18,"",IF(P467="N/A",0,L467*10^(2*P467-2)))</f>
        <v/>
      </c>
      <c r="R467" s="1294" t="str">
        <f>IF(H467&gt;'I. Stream &amp; Compound Data'!$F$18,"",MAX(K173:L173))</f>
        <v/>
      </c>
      <c r="S467" s="1294" t="str">
        <f>IF(H467&gt;'I. Stream &amp; Compound Data'!$F$18,"",ROUND(Q467*R467,3))</f>
        <v/>
      </c>
      <c r="T467" s="1149" t="str">
        <f>IF(H467&gt;'I. Stream &amp; Compound Data'!$F$18,"",ROUND(L467*R467,3))</f>
        <v/>
      </c>
      <c r="U467" s="299"/>
      <c r="V467" s="279"/>
      <c r="W467" s="279"/>
      <c r="X467" s="279"/>
      <c r="Y467" s="279"/>
      <c r="Z467" s="279"/>
      <c r="AA467" s="279"/>
      <c r="AB467" s="279"/>
      <c r="AC467" s="279"/>
      <c r="AD467" s="279"/>
      <c r="AE467" s="279"/>
      <c r="AF467" s="279"/>
      <c r="AG467" s="279"/>
      <c r="AH467" s="279"/>
      <c r="AI467" s="279"/>
      <c r="AJ467" s="279"/>
      <c r="AK467" s="279"/>
      <c r="AL467" s="279"/>
      <c r="AM467" s="279"/>
      <c r="AN467" s="279"/>
      <c r="AO467" s="279"/>
      <c r="AP467" s="279"/>
      <c r="AQ467" s="279"/>
      <c r="AR467" s="279"/>
      <c r="AS467" s="279"/>
      <c r="AT467" s="279"/>
      <c r="AU467" s="279"/>
      <c r="AV467" s="279"/>
      <c r="AW467" s="279"/>
      <c r="AX467" s="279"/>
      <c r="AY467" s="279"/>
      <c r="AZ467" s="279"/>
      <c r="BA467" s="279"/>
      <c r="BB467" s="279"/>
      <c r="BC467" s="279"/>
      <c r="BD467" s="279"/>
      <c r="BE467" s="279"/>
      <c r="BF467" s="279"/>
      <c r="BG467" s="279"/>
      <c r="BH467" s="279"/>
      <c r="BI467" s="279"/>
      <c r="BJ467" s="279"/>
      <c r="BK467" s="279"/>
      <c r="BL467" s="279"/>
      <c r="BM467" s="279"/>
      <c r="BN467" s="279"/>
      <c r="BO467" s="279"/>
      <c r="BP467" s="279"/>
      <c r="BQ467" s="279"/>
      <c r="BR467" s="279"/>
      <c r="BS467" s="279"/>
      <c r="BT467" s="279"/>
      <c r="BU467" s="279"/>
      <c r="BV467" s="279"/>
      <c r="BW467" s="279"/>
      <c r="BX467" s="279"/>
      <c r="BY467" s="279"/>
      <c r="BZ467" s="279"/>
      <c r="CA467" s="279"/>
      <c r="CB467" s="279"/>
      <c r="CC467" s="279"/>
      <c r="CD467" s="279"/>
      <c r="CE467" s="279"/>
      <c r="CF467" s="279"/>
      <c r="CG467" s="279"/>
      <c r="CH467" s="279"/>
      <c r="CI467" s="279"/>
      <c r="CJ467" s="279"/>
      <c r="CK467" s="279"/>
      <c r="CL467" s="279"/>
      <c r="CM467" s="279"/>
      <c r="CN467" s="382"/>
    </row>
    <row r="468" x14ac:dyDescent="0.25">
      <c r="B468" s="361"/>
      <c r="C468" s="279"/>
      <c r="D468" s="280"/>
      <c r="E468" s="287"/>
      <c r="F468" s="287"/>
      <c r="G468" s="287"/>
      <c r="H468" s="1292">
        <f t="shared" si="17"/>
        <v>33</v>
      </c>
      <c r="I468" s="1295" t="str">
        <f>IF('I. Stream &amp; Compound Data'!BD294&lt;&gt;"",'I. Stream &amp; Compound Data'!BD294,"")</f>
        <v/>
      </c>
      <c r="J468" s="1295" t="str">
        <f>IF('I. Stream &amp; Compound Data'!BE294&lt;&gt;"",'I. Stream &amp; Compound Data'!BE294,"")</f>
        <v/>
      </c>
      <c r="K468" s="1190" t="str">
        <f>IF('I. Stream &amp; Compound Data'!AW294&lt;&gt;"",'I. Stream &amp; Compound Data'!AW294,"")</f>
        <v/>
      </c>
      <c r="L468" s="1190" t="str">
        <f>IF(H468&gt;'I. Stream &amp; Compound Data'!$F$18,"",IF(IF(I468&lt;&gt;"",I468,IF(J468&lt;&gt;"",J468,IF('I. Stream &amp; Compound Data'!BB294&lt;&gt;"",'I. Stream &amp; Compound Data'!BB294,0)))&gt;=0, IF(I468&lt;&gt;"",I468,IF(J468&lt;&gt;"",J468,IF('I. Stream &amp; Compound Data'!BB294&lt;&gt;"",'I. Stream &amp; Compound Data'!BB294,0))),"Endotermic value"))</f>
        <v/>
      </c>
      <c r="M468" s="290" t="str">
        <f>IF(H468&gt;'I. Stream &amp; Compound Data'!$F$18,"",IF(I468="","N/A",ROUND(IF(I468&lt;=0,0,IF(AND(I468&gt;0,I468&lt;2000),0.0005*I468,1)),3)))</f>
        <v/>
      </c>
      <c r="N468" s="1168" t="str">
        <f>IF(H468&gt;'I. Stream &amp; Compound Data'!$F$18,"",IF(M468="N/A",IF(J468="","N/A",ROUND(IF(J468&lt;=0,0,IF(AND(J468&gt;0,J468&lt;2000),0.0005*J468,1)),3)),"N/A"))</f>
        <v/>
      </c>
      <c r="O468" s="1287" t="str">
        <f>IF(H468&gt;'I. Stream &amp; Compound Data'!$F$18,"",IF(AND(M468="N/A",N468="N/A"),IF(K468="","N/A",IF(OR(K468=3,K468=4),1,IF(K468=2,0.75,IF(K468=1,0.25,0)))),"N/A"))</f>
        <v/>
      </c>
      <c r="P468" s="1294" t="str">
        <f>IF(H468&gt;'I. Stream &amp; Compound Data'!$F$18,"",IF(I174="","N/A",IF(M468&lt;&gt;"N/A",M468,IF(N468&lt;&gt;"N/A",N468,IF(O468&lt;&gt;"N/A",O468,"NO DATA AVAILABLE")))))</f>
        <v/>
      </c>
      <c r="Q468" s="1294" t="str">
        <f>IF(H468&gt;'I. Stream &amp; Compound Data'!$F$18,"",IF(P468="N/A",0,L468*10^(2*P468-2)))</f>
        <v/>
      </c>
      <c r="R468" s="1294" t="str">
        <f>IF(H468&gt;'I. Stream &amp; Compound Data'!$F$18,"",MAX(K174:L174))</f>
        <v/>
      </c>
      <c r="S468" s="1294" t="str">
        <f>IF(H468&gt;'I. Stream &amp; Compound Data'!$F$18,"",ROUND(Q468*R468,3))</f>
        <v/>
      </c>
      <c r="T468" s="1149" t="str">
        <f>IF(H468&gt;'I. Stream &amp; Compound Data'!$F$18,"",ROUND(L468*R468,3))</f>
        <v/>
      </c>
      <c r="U468" s="299"/>
      <c r="V468" s="279"/>
      <c r="W468" s="279"/>
      <c r="X468" s="279"/>
      <c r="Y468" s="279"/>
      <c r="Z468" s="279"/>
      <c r="AA468" s="279"/>
      <c r="AB468" s="279"/>
      <c r="AC468" s="279"/>
      <c r="AD468" s="279"/>
      <c r="AE468" s="279"/>
      <c r="AF468" s="279"/>
      <c r="AG468" s="279"/>
      <c r="AH468" s="279"/>
      <c r="AI468" s="279"/>
      <c r="AJ468" s="279"/>
      <c r="AK468" s="279"/>
      <c r="AL468" s="279"/>
      <c r="AM468" s="279"/>
      <c r="AN468" s="279"/>
      <c r="AO468" s="279"/>
      <c r="AP468" s="279"/>
      <c r="AQ468" s="279"/>
      <c r="AR468" s="279"/>
      <c r="AS468" s="279"/>
      <c r="AT468" s="279"/>
      <c r="AU468" s="279"/>
      <c r="AV468" s="279"/>
      <c r="AW468" s="279"/>
      <c r="AX468" s="279"/>
      <c r="AY468" s="279"/>
      <c r="AZ468" s="279"/>
      <c r="BA468" s="279"/>
      <c r="BB468" s="279"/>
      <c r="BC468" s="279"/>
      <c r="BD468" s="279"/>
      <c r="BE468" s="279"/>
      <c r="BF468" s="279"/>
      <c r="BG468" s="279"/>
      <c r="BH468" s="279"/>
      <c r="BI468" s="279"/>
      <c r="BJ468" s="279"/>
      <c r="BK468" s="279"/>
      <c r="BL468" s="279"/>
      <c r="BM468" s="279"/>
      <c r="BN468" s="279"/>
      <c r="BO468" s="279"/>
      <c r="BP468" s="279"/>
      <c r="BQ468" s="279"/>
      <c r="BR468" s="279"/>
      <c r="BS468" s="279"/>
      <c r="BT468" s="279"/>
      <c r="BU468" s="279"/>
      <c r="BV468" s="279"/>
      <c r="BW468" s="279"/>
      <c r="BX468" s="279"/>
      <c r="BY468" s="279"/>
      <c r="BZ468" s="279"/>
      <c r="CA468" s="279"/>
      <c r="CB468" s="279"/>
      <c r="CC468" s="279"/>
      <c r="CD468" s="279"/>
      <c r="CE468" s="279"/>
      <c r="CF468" s="279"/>
      <c r="CG468" s="279"/>
      <c r="CH468" s="279"/>
      <c r="CI468" s="279"/>
      <c r="CJ468" s="279"/>
      <c r="CK468" s="279"/>
      <c r="CL468" s="279"/>
      <c r="CM468" s="279"/>
      <c r="CN468" s="382"/>
    </row>
    <row r="469" x14ac:dyDescent="0.25">
      <c r="B469" s="361"/>
      <c r="C469" s="279"/>
      <c r="D469" s="280"/>
      <c r="E469" s="287"/>
      <c r="F469" s="287"/>
      <c r="G469" s="287"/>
      <c r="H469" s="1292">
        <f t="shared" si="17"/>
        <v>34</v>
      </c>
      <c r="I469" s="1295" t="str">
        <f>IF('I. Stream &amp; Compound Data'!BD295&lt;&gt;"",'I. Stream &amp; Compound Data'!BD295,"")</f>
        <v/>
      </c>
      <c r="J469" s="1295" t="str">
        <f>IF('I. Stream &amp; Compound Data'!BE295&lt;&gt;"",'I. Stream &amp; Compound Data'!BE295,"")</f>
        <v/>
      </c>
      <c r="K469" s="1190" t="str">
        <f>IF('I. Stream &amp; Compound Data'!AW295&lt;&gt;"",'I. Stream &amp; Compound Data'!AW295,"")</f>
        <v/>
      </c>
      <c r="L469" s="1190" t="str">
        <f>IF(H469&gt;'I. Stream &amp; Compound Data'!$F$18,"",IF(IF(I469&lt;&gt;"",I469,IF(J469&lt;&gt;"",J469,IF('I. Stream &amp; Compound Data'!BB295&lt;&gt;"",'I. Stream &amp; Compound Data'!BB295,0)))&gt;=0, IF(I469&lt;&gt;"",I469,IF(J469&lt;&gt;"",J469,IF('I. Stream &amp; Compound Data'!BB295&lt;&gt;"",'I. Stream &amp; Compound Data'!BB295,0))),"Endotermic value"))</f>
        <v/>
      </c>
      <c r="M469" s="290" t="str">
        <f>IF(H469&gt;'I. Stream &amp; Compound Data'!$F$18,"",IF(I469="","N/A",ROUND(IF(I469&lt;=0,0,IF(AND(I469&gt;0,I469&lt;2000),0.0005*I469,1)),3)))</f>
        <v/>
      </c>
      <c r="N469" s="1168" t="str">
        <f>IF(H469&gt;'I. Stream &amp; Compound Data'!$F$18,"",IF(M469="N/A",IF(J469="","N/A",ROUND(IF(J469&lt;=0,0,IF(AND(J469&gt;0,J469&lt;2000),0.0005*J469,1)),3)),"N/A"))</f>
        <v/>
      </c>
      <c r="O469" s="1287" t="str">
        <f>IF(H469&gt;'I. Stream &amp; Compound Data'!$F$18,"",IF(AND(M469="N/A",N469="N/A"),IF(K469="","N/A",IF(OR(K469=3,K469=4),1,IF(K469=2,0.75,IF(K469=1,0.25,0)))),"N/A"))</f>
        <v/>
      </c>
      <c r="P469" s="1294" t="str">
        <f>IF(H469&gt;'I. Stream &amp; Compound Data'!$F$18,"",IF(I175="","N/A",IF(M469&lt;&gt;"N/A",M469,IF(N469&lt;&gt;"N/A",N469,IF(O469&lt;&gt;"N/A",O469,"NO DATA AVAILABLE")))))</f>
        <v/>
      </c>
      <c r="Q469" s="1294" t="str">
        <f>IF(H469&gt;'I. Stream &amp; Compound Data'!$F$18,"",IF(P469="N/A",0,L469*10^(2*P469-2)))</f>
        <v/>
      </c>
      <c r="R469" s="1294" t="str">
        <f>IF(H469&gt;'I. Stream &amp; Compound Data'!$F$18,"",MAX(K175:L175))</f>
        <v/>
      </c>
      <c r="S469" s="1294" t="str">
        <f>IF(H469&gt;'I. Stream &amp; Compound Data'!$F$18,"",ROUND(Q469*R469,3))</f>
        <v/>
      </c>
      <c r="T469" s="1149" t="str">
        <f>IF(H469&gt;'I. Stream &amp; Compound Data'!$F$18,"",ROUND(L469*R469,3))</f>
        <v/>
      </c>
      <c r="U469" s="299"/>
      <c r="V469" s="279"/>
      <c r="W469" s="279"/>
      <c r="X469" s="279"/>
      <c r="Y469" s="279"/>
      <c r="Z469" s="279"/>
      <c r="AA469" s="279"/>
      <c r="AB469" s="279"/>
      <c r="AC469" s="279"/>
      <c r="AD469" s="279"/>
      <c r="AE469" s="279"/>
      <c r="AF469" s="279"/>
      <c r="AG469" s="279"/>
      <c r="AH469" s="279"/>
      <c r="AI469" s="279"/>
      <c r="AJ469" s="279"/>
      <c r="AK469" s="279"/>
      <c r="AL469" s="279"/>
      <c r="AM469" s="279"/>
      <c r="AN469" s="279"/>
      <c r="AO469" s="279"/>
      <c r="AP469" s="279"/>
      <c r="AQ469" s="279"/>
      <c r="AR469" s="279"/>
      <c r="AS469" s="279"/>
      <c r="AT469" s="279"/>
      <c r="AU469" s="279"/>
      <c r="AV469" s="279"/>
      <c r="AW469" s="279"/>
      <c r="AX469" s="279"/>
      <c r="AY469" s="279"/>
      <c r="AZ469" s="279"/>
      <c r="BA469" s="279"/>
      <c r="BB469" s="279"/>
      <c r="BC469" s="279"/>
      <c r="BD469" s="279"/>
      <c r="BE469" s="279"/>
      <c r="BF469" s="279"/>
      <c r="BG469" s="279"/>
      <c r="BH469" s="279"/>
      <c r="BI469" s="279"/>
      <c r="BJ469" s="279"/>
      <c r="BK469" s="279"/>
      <c r="BL469" s="279"/>
      <c r="BM469" s="279"/>
      <c r="BN469" s="279"/>
      <c r="BO469" s="279"/>
      <c r="BP469" s="279"/>
      <c r="BQ469" s="279"/>
      <c r="BR469" s="279"/>
      <c r="BS469" s="279"/>
      <c r="BT469" s="279"/>
      <c r="BU469" s="279"/>
      <c r="BV469" s="279"/>
      <c r="BW469" s="279"/>
      <c r="BX469" s="279"/>
      <c r="BY469" s="279"/>
      <c r="BZ469" s="279"/>
      <c r="CA469" s="279"/>
      <c r="CB469" s="279"/>
      <c r="CC469" s="279"/>
      <c r="CD469" s="279"/>
      <c r="CE469" s="279"/>
      <c r="CF469" s="279"/>
      <c r="CG469" s="279"/>
      <c r="CH469" s="279"/>
      <c r="CI469" s="279"/>
      <c r="CJ469" s="279"/>
      <c r="CK469" s="279"/>
      <c r="CL469" s="279"/>
      <c r="CM469" s="279"/>
      <c r="CN469" s="382"/>
    </row>
    <row r="470" x14ac:dyDescent="0.25">
      <c r="B470" s="361"/>
      <c r="C470" s="279"/>
      <c r="D470" s="280"/>
      <c r="E470" s="287"/>
      <c r="F470" s="287"/>
      <c r="G470" s="287"/>
      <c r="H470" s="1292">
        <f t="shared" si="17"/>
        <v>35</v>
      </c>
      <c r="I470" s="1295" t="str">
        <f>IF('I. Stream &amp; Compound Data'!BD296&lt;&gt;"",'I. Stream &amp; Compound Data'!BD296,"")</f>
        <v/>
      </c>
      <c r="J470" s="1295" t="str">
        <f>IF('I. Stream &amp; Compound Data'!BE296&lt;&gt;"",'I. Stream &amp; Compound Data'!BE296,"")</f>
        <v/>
      </c>
      <c r="K470" s="1190" t="str">
        <f>IF('I. Stream &amp; Compound Data'!AW296&lt;&gt;"",'I. Stream &amp; Compound Data'!AW296,"")</f>
        <v/>
      </c>
      <c r="L470" s="1190" t="str">
        <f>IF(H470&gt;'I. Stream &amp; Compound Data'!$F$18,"",IF(IF(I470&lt;&gt;"",I470,IF(J470&lt;&gt;"",J470,IF('I. Stream &amp; Compound Data'!BB296&lt;&gt;"",'I. Stream &amp; Compound Data'!BB296,0)))&gt;=0, IF(I470&lt;&gt;"",I470,IF(J470&lt;&gt;"",J470,IF('I. Stream &amp; Compound Data'!BB296&lt;&gt;"",'I. Stream &amp; Compound Data'!BB296,0))),"Endotermic value"))</f>
        <v/>
      </c>
      <c r="M470" s="290" t="str">
        <f>IF(H470&gt;'I. Stream &amp; Compound Data'!$F$18,"",IF(I470="","N/A",ROUND(IF(I470&lt;=0,0,IF(AND(I470&gt;0,I470&lt;2000),0.0005*I470,1)),3)))</f>
        <v/>
      </c>
      <c r="N470" s="1168" t="str">
        <f>IF(H470&gt;'I. Stream &amp; Compound Data'!$F$18,"",IF(M470="N/A",IF(J470="","N/A",ROUND(IF(J470&lt;=0,0,IF(AND(J470&gt;0,J470&lt;2000),0.0005*J470,1)),3)),"N/A"))</f>
        <v/>
      </c>
      <c r="O470" s="1287" t="str">
        <f>IF(H470&gt;'I. Stream &amp; Compound Data'!$F$18,"",IF(AND(M470="N/A",N470="N/A"),IF(K470="","N/A",IF(OR(K470=3,K470=4),1,IF(K470=2,0.75,IF(K470=1,0.25,0)))),"N/A"))</f>
        <v/>
      </c>
      <c r="P470" s="1294" t="str">
        <f>IF(H470&gt;'I. Stream &amp; Compound Data'!$F$18,"",IF(I176="","N/A",IF(M470&lt;&gt;"N/A",M470,IF(N470&lt;&gt;"N/A",N470,IF(O470&lt;&gt;"N/A",O470,"NO DATA AVAILABLE")))))</f>
        <v/>
      </c>
      <c r="Q470" s="1294" t="str">
        <f>IF(H470&gt;'I. Stream &amp; Compound Data'!$F$18,"",IF(P470="N/A",0,L470*10^(2*P470-2)))</f>
        <v/>
      </c>
      <c r="R470" s="1294" t="str">
        <f>IF(H470&gt;'I. Stream &amp; Compound Data'!$F$18,"",MAX(K176:L176))</f>
        <v/>
      </c>
      <c r="S470" s="1294" t="str">
        <f>IF(H470&gt;'I. Stream &amp; Compound Data'!$F$18,"",ROUND(Q470*R470,3))</f>
        <v/>
      </c>
      <c r="T470" s="1149" t="str">
        <f>IF(H470&gt;'I. Stream &amp; Compound Data'!$F$18,"",ROUND(L470*R470,3))</f>
        <v/>
      </c>
      <c r="U470" s="299"/>
      <c r="V470" s="279"/>
      <c r="W470" s="279"/>
      <c r="X470" s="279"/>
      <c r="Y470" s="279"/>
      <c r="Z470" s="279"/>
      <c r="AA470" s="279"/>
      <c r="AB470" s="279"/>
      <c r="AC470" s="279"/>
      <c r="AD470" s="279"/>
      <c r="AE470" s="279"/>
      <c r="AF470" s="279"/>
      <c r="AG470" s="279"/>
      <c r="AH470" s="279"/>
      <c r="AI470" s="279"/>
      <c r="AJ470" s="279"/>
      <c r="AK470" s="279"/>
      <c r="AL470" s="279"/>
      <c r="AM470" s="279"/>
      <c r="AN470" s="279"/>
      <c r="AO470" s="279"/>
      <c r="AP470" s="279"/>
      <c r="AQ470" s="279"/>
      <c r="AR470" s="279"/>
      <c r="AS470" s="279"/>
      <c r="AT470" s="279"/>
      <c r="AU470" s="279"/>
      <c r="AV470" s="279"/>
      <c r="AW470" s="279"/>
      <c r="AX470" s="279"/>
      <c r="AY470" s="279"/>
      <c r="AZ470" s="279"/>
      <c r="BA470" s="279"/>
      <c r="BB470" s="279"/>
      <c r="BC470" s="279"/>
      <c r="BD470" s="279"/>
      <c r="BE470" s="279"/>
      <c r="BF470" s="279"/>
      <c r="BG470" s="279"/>
      <c r="BH470" s="279"/>
      <c r="BI470" s="279"/>
      <c r="BJ470" s="279"/>
      <c r="BK470" s="279"/>
      <c r="BL470" s="279"/>
      <c r="BM470" s="279"/>
      <c r="BN470" s="279"/>
      <c r="BO470" s="279"/>
      <c r="BP470" s="279"/>
      <c r="BQ470" s="279"/>
      <c r="BR470" s="279"/>
      <c r="BS470" s="279"/>
      <c r="BT470" s="279"/>
      <c r="BU470" s="279"/>
      <c r="BV470" s="279"/>
      <c r="BW470" s="279"/>
      <c r="BX470" s="279"/>
      <c r="BY470" s="279"/>
      <c r="BZ470" s="279"/>
      <c r="CA470" s="279"/>
      <c r="CB470" s="279"/>
      <c r="CC470" s="279"/>
      <c r="CD470" s="279"/>
      <c r="CE470" s="279"/>
      <c r="CF470" s="279"/>
      <c r="CG470" s="279"/>
      <c r="CH470" s="279"/>
      <c r="CI470" s="279"/>
      <c r="CJ470" s="279"/>
      <c r="CK470" s="279"/>
      <c r="CL470" s="279"/>
      <c r="CM470" s="279"/>
      <c r="CN470" s="382"/>
    </row>
    <row r="471" x14ac:dyDescent="0.25">
      <c r="B471" s="361"/>
      <c r="C471" s="279"/>
      <c r="D471" s="280"/>
      <c r="E471" s="287"/>
      <c r="F471" s="287"/>
      <c r="G471" s="287"/>
      <c r="H471" s="1292">
        <f t="shared" si="17"/>
        <v>36</v>
      </c>
      <c r="I471" s="1295" t="str">
        <f>IF('I. Stream &amp; Compound Data'!BD297&lt;&gt;"",'I. Stream &amp; Compound Data'!BD297,"")</f>
        <v/>
      </c>
      <c r="J471" s="1295" t="str">
        <f>IF('I. Stream &amp; Compound Data'!BE297&lt;&gt;"",'I. Stream &amp; Compound Data'!BE297,"")</f>
        <v/>
      </c>
      <c r="K471" s="1190" t="str">
        <f>IF('I. Stream &amp; Compound Data'!AW297&lt;&gt;"",'I. Stream &amp; Compound Data'!AW297,"")</f>
        <v/>
      </c>
      <c r="L471" s="1190" t="str">
        <f>IF(H471&gt;'I. Stream &amp; Compound Data'!$F$18,"",IF(IF(I471&lt;&gt;"",I471,IF(J471&lt;&gt;"",J471,IF('I. Stream &amp; Compound Data'!BB297&lt;&gt;"",'I. Stream &amp; Compound Data'!BB297,0)))&gt;=0, IF(I471&lt;&gt;"",I471,IF(J471&lt;&gt;"",J471,IF('I. Stream &amp; Compound Data'!BB297&lt;&gt;"",'I. Stream &amp; Compound Data'!BB297,0))),"Endotermic value"))</f>
        <v/>
      </c>
      <c r="M471" s="290" t="str">
        <f>IF(H471&gt;'I. Stream &amp; Compound Data'!$F$18,"",IF(I471="","N/A",ROUND(IF(I471&lt;=0,0,IF(AND(I471&gt;0,I471&lt;2000),0.0005*I471,1)),3)))</f>
        <v/>
      </c>
      <c r="N471" s="1168" t="str">
        <f>IF(H471&gt;'I. Stream &amp; Compound Data'!$F$18,"",IF(M471="N/A",IF(J471="","N/A",ROUND(IF(J471&lt;=0,0,IF(AND(J471&gt;0,J471&lt;2000),0.0005*J471,1)),3)),"N/A"))</f>
        <v/>
      </c>
      <c r="O471" s="1287" t="str">
        <f>IF(H471&gt;'I. Stream &amp; Compound Data'!$F$18,"",IF(AND(M471="N/A",N471="N/A"),IF(K471="","N/A",IF(OR(K471=3,K471=4),1,IF(K471=2,0.75,IF(K471=1,0.25,0)))),"N/A"))</f>
        <v/>
      </c>
      <c r="P471" s="1294" t="str">
        <f>IF(H471&gt;'I. Stream &amp; Compound Data'!$F$18,"",IF(I177="","N/A",IF(M471&lt;&gt;"N/A",M471,IF(N471&lt;&gt;"N/A",N471,IF(O471&lt;&gt;"N/A",O471,"NO DATA AVAILABLE")))))</f>
        <v/>
      </c>
      <c r="Q471" s="1294" t="str">
        <f>IF(H471&gt;'I. Stream &amp; Compound Data'!$F$18,"",IF(P471="N/A",0,L471*10^(2*P471-2)))</f>
        <v/>
      </c>
      <c r="R471" s="1294" t="str">
        <f>IF(H471&gt;'I. Stream &amp; Compound Data'!$F$18,"",MAX(K177:L177))</f>
        <v/>
      </c>
      <c r="S471" s="1294" t="str">
        <f>IF(H471&gt;'I. Stream &amp; Compound Data'!$F$18,"",ROUND(Q471*R471,3))</f>
        <v/>
      </c>
      <c r="T471" s="1149" t="str">
        <f>IF(H471&gt;'I. Stream &amp; Compound Data'!$F$18,"",ROUND(L471*R471,3))</f>
        <v/>
      </c>
      <c r="U471" s="299"/>
      <c r="V471" s="279"/>
      <c r="W471" s="279"/>
      <c r="X471" s="279"/>
      <c r="Y471" s="279"/>
      <c r="Z471" s="279"/>
      <c r="AA471" s="279"/>
      <c r="AB471" s="279"/>
      <c r="AC471" s="279"/>
      <c r="AD471" s="279"/>
      <c r="AE471" s="279"/>
      <c r="AF471" s="279"/>
      <c r="AG471" s="279"/>
      <c r="AH471" s="279"/>
      <c r="AI471" s="279"/>
      <c r="AJ471" s="279"/>
      <c r="AK471" s="279"/>
      <c r="AL471" s="279"/>
      <c r="AM471" s="279"/>
      <c r="AN471" s="279"/>
      <c r="AO471" s="279"/>
      <c r="AP471" s="279"/>
      <c r="AQ471" s="279"/>
      <c r="AR471" s="279"/>
      <c r="AS471" s="279"/>
      <c r="AT471" s="279"/>
      <c r="AU471" s="279"/>
      <c r="AV471" s="279"/>
      <c r="AW471" s="279"/>
      <c r="AX471" s="279"/>
      <c r="AY471" s="279"/>
      <c r="AZ471" s="279"/>
      <c r="BA471" s="279"/>
      <c r="BB471" s="279"/>
      <c r="BC471" s="279"/>
      <c r="BD471" s="279"/>
      <c r="BE471" s="279"/>
      <c r="BF471" s="279"/>
      <c r="BG471" s="279"/>
      <c r="BH471" s="279"/>
      <c r="BI471" s="279"/>
      <c r="BJ471" s="279"/>
      <c r="BK471" s="279"/>
      <c r="BL471" s="279"/>
      <c r="BM471" s="279"/>
      <c r="BN471" s="279"/>
      <c r="BO471" s="279"/>
      <c r="BP471" s="279"/>
      <c r="BQ471" s="279"/>
      <c r="BR471" s="279"/>
      <c r="BS471" s="279"/>
      <c r="BT471" s="279"/>
      <c r="BU471" s="279"/>
      <c r="BV471" s="279"/>
      <c r="BW471" s="279"/>
      <c r="BX471" s="279"/>
      <c r="BY471" s="279"/>
      <c r="BZ471" s="279"/>
      <c r="CA471" s="279"/>
      <c r="CB471" s="279"/>
      <c r="CC471" s="279"/>
      <c r="CD471" s="279"/>
      <c r="CE471" s="279"/>
      <c r="CF471" s="279"/>
      <c r="CG471" s="279"/>
      <c r="CH471" s="279"/>
      <c r="CI471" s="279"/>
      <c r="CJ471" s="279"/>
      <c r="CK471" s="279"/>
      <c r="CL471" s="279"/>
      <c r="CM471" s="279"/>
      <c r="CN471" s="382"/>
    </row>
    <row r="472" x14ac:dyDescent="0.25">
      <c r="B472" s="361"/>
      <c r="C472" s="279"/>
      <c r="D472" s="280"/>
      <c r="E472" s="287"/>
      <c r="F472" s="287"/>
      <c r="G472" s="287"/>
      <c r="H472" s="1292">
        <f t="shared" si="17"/>
        <v>37</v>
      </c>
      <c r="I472" s="1295" t="str">
        <f>IF('I. Stream &amp; Compound Data'!BD298&lt;&gt;"",'I. Stream &amp; Compound Data'!BD298,"")</f>
        <v/>
      </c>
      <c r="J472" s="1295" t="str">
        <f>IF('I. Stream &amp; Compound Data'!BE298&lt;&gt;"",'I. Stream &amp; Compound Data'!BE298,"")</f>
        <v/>
      </c>
      <c r="K472" s="1190" t="str">
        <f>IF('I. Stream &amp; Compound Data'!AW298&lt;&gt;"",'I. Stream &amp; Compound Data'!AW298,"")</f>
        <v/>
      </c>
      <c r="L472" s="1190" t="str">
        <f>IF(H472&gt;'I. Stream &amp; Compound Data'!$F$18,"",IF(IF(I472&lt;&gt;"",I472,IF(J472&lt;&gt;"",J472,IF('I. Stream &amp; Compound Data'!BB298&lt;&gt;"",'I. Stream &amp; Compound Data'!BB298,0)))&gt;=0, IF(I472&lt;&gt;"",I472,IF(J472&lt;&gt;"",J472,IF('I. Stream &amp; Compound Data'!BB298&lt;&gt;"",'I. Stream &amp; Compound Data'!BB298,0))),"Endotermic value"))</f>
        <v/>
      </c>
      <c r="M472" s="290" t="str">
        <f>IF(H472&gt;'I. Stream &amp; Compound Data'!$F$18,"",IF(I472="","N/A",ROUND(IF(I472&lt;=0,0,IF(AND(I472&gt;0,I472&lt;2000),0.0005*I472,1)),3)))</f>
        <v/>
      </c>
      <c r="N472" s="1168" t="str">
        <f>IF(H472&gt;'I. Stream &amp; Compound Data'!$F$18,"",IF(M472="N/A",IF(J472="","N/A",ROUND(IF(J472&lt;=0,0,IF(AND(J472&gt;0,J472&lt;2000),0.0005*J472,1)),3)),"N/A"))</f>
        <v/>
      </c>
      <c r="O472" s="1287" t="str">
        <f>IF(H472&gt;'I. Stream &amp; Compound Data'!$F$18,"",IF(AND(M472="N/A",N472="N/A"),IF(K472="","N/A",IF(OR(K472=3,K472=4),1,IF(K472=2,0.75,IF(K472=1,0.25,0)))),"N/A"))</f>
        <v/>
      </c>
      <c r="P472" s="1294" t="str">
        <f>IF(H472&gt;'I. Stream &amp; Compound Data'!$F$18,"",IF(I178="","N/A",IF(M472&lt;&gt;"N/A",M472,IF(N472&lt;&gt;"N/A",N472,IF(O472&lt;&gt;"N/A",O472,"NO DATA AVAILABLE")))))</f>
        <v/>
      </c>
      <c r="Q472" s="1294" t="str">
        <f>IF(H472&gt;'I. Stream &amp; Compound Data'!$F$18,"",IF(P472="N/A",0,L472*10^(2*P472-2)))</f>
        <v/>
      </c>
      <c r="R472" s="1294" t="str">
        <f>IF(H472&gt;'I. Stream &amp; Compound Data'!$F$18,"",MAX(K178:L178))</f>
        <v/>
      </c>
      <c r="S472" s="1294" t="str">
        <f>IF(H472&gt;'I. Stream &amp; Compound Data'!$F$18,"",ROUND(Q472*R472,3))</f>
        <v/>
      </c>
      <c r="T472" s="1149" t="str">
        <f>IF(H472&gt;'I. Stream &amp; Compound Data'!$F$18,"",ROUND(L472*R472,3))</f>
        <v/>
      </c>
      <c r="U472" s="299"/>
      <c r="V472" s="279"/>
      <c r="W472" s="279"/>
      <c r="X472" s="279"/>
      <c r="Y472" s="279"/>
      <c r="Z472" s="279"/>
      <c r="AA472" s="279"/>
      <c r="AB472" s="279"/>
      <c r="AC472" s="279"/>
      <c r="AD472" s="279"/>
      <c r="AE472" s="279"/>
      <c r="AF472" s="279"/>
      <c r="AG472" s="279"/>
      <c r="AH472" s="279"/>
      <c r="AI472" s="279"/>
      <c r="AJ472" s="279"/>
      <c r="AK472" s="279"/>
      <c r="AL472" s="279"/>
      <c r="AM472" s="279"/>
      <c r="AN472" s="279"/>
      <c r="AO472" s="279"/>
      <c r="AP472" s="279"/>
      <c r="AQ472" s="279"/>
      <c r="AR472" s="279"/>
      <c r="AS472" s="279"/>
      <c r="AT472" s="279"/>
      <c r="AU472" s="279"/>
      <c r="AV472" s="279"/>
      <c r="AW472" s="279"/>
      <c r="AX472" s="279"/>
      <c r="AY472" s="279"/>
      <c r="AZ472" s="279"/>
      <c r="BA472" s="279"/>
      <c r="BB472" s="279"/>
      <c r="BC472" s="279"/>
      <c r="BD472" s="279"/>
      <c r="BE472" s="279"/>
      <c r="BF472" s="279"/>
      <c r="BG472" s="279"/>
      <c r="BH472" s="279"/>
      <c r="BI472" s="279"/>
      <c r="BJ472" s="279"/>
      <c r="BK472" s="279"/>
      <c r="BL472" s="279"/>
      <c r="BM472" s="279"/>
      <c r="BN472" s="279"/>
      <c r="BO472" s="279"/>
      <c r="BP472" s="279"/>
      <c r="BQ472" s="279"/>
      <c r="BR472" s="279"/>
      <c r="BS472" s="279"/>
      <c r="BT472" s="279"/>
      <c r="BU472" s="279"/>
      <c r="BV472" s="279"/>
      <c r="BW472" s="279"/>
      <c r="BX472" s="279"/>
      <c r="BY472" s="279"/>
      <c r="BZ472" s="279"/>
      <c r="CA472" s="279"/>
      <c r="CB472" s="279"/>
      <c r="CC472" s="279"/>
      <c r="CD472" s="279"/>
      <c r="CE472" s="279"/>
      <c r="CF472" s="279"/>
      <c r="CG472" s="279"/>
      <c r="CH472" s="279"/>
      <c r="CI472" s="279"/>
      <c r="CJ472" s="279"/>
      <c r="CK472" s="279"/>
      <c r="CL472" s="279"/>
      <c r="CM472" s="279"/>
      <c r="CN472" s="382"/>
    </row>
    <row r="473" x14ac:dyDescent="0.25">
      <c r="B473" s="361"/>
      <c r="C473" s="279"/>
      <c r="D473" s="280"/>
      <c r="E473" s="287"/>
      <c r="F473" s="287"/>
      <c r="G473" s="287"/>
      <c r="H473" s="1292">
        <f t="shared" si="17"/>
        <v>38</v>
      </c>
      <c r="I473" s="1295" t="str">
        <f>IF('I. Stream &amp; Compound Data'!BD299&lt;&gt;"",'I. Stream &amp; Compound Data'!BD299,"")</f>
        <v/>
      </c>
      <c r="J473" s="1295" t="str">
        <f>IF('I. Stream &amp; Compound Data'!BE299&lt;&gt;"",'I. Stream &amp; Compound Data'!BE299,"")</f>
        <v/>
      </c>
      <c r="K473" s="1190" t="str">
        <f>IF('I. Stream &amp; Compound Data'!AW299&lt;&gt;"",'I. Stream &amp; Compound Data'!AW299,"")</f>
        <v/>
      </c>
      <c r="L473" s="1190" t="str">
        <f>IF(H473&gt;'I. Stream &amp; Compound Data'!$F$18,"",IF(IF(I473&lt;&gt;"",I473,IF(J473&lt;&gt;"",J473,IF('I. Stream &amp; Compound Data'!BB299&lt;&gt;"",'I. Stream &amp; Compound Data'!BB299,0)))&gt;=0, IF(I473&lt;&gt;"",I473,IF(J473&lt;&gt;"",J473,IF('I. Stream &amp; Compound Data'!BB299&lt;&gt;"",'I. Stream &amp; Compound Data'!BB299,0))),"Endotermic value"))</f>
        <v/>
      </c>
      <c r="M473" s="290" t="str">
        <f>IF(H473&gt;'I. Stream &amp; Compound Data'!$F$18,"",IF(I473="","N/A",ROUND(IF(I473&lt;=0,0,IF(AND(I473&gt;0,I473&lt;2000),0.0005*I473,1)),3)))</f>
        <v/>
      </c>
      <c r="N473" s="1168" t="str">
        <f>IF(H473&gt;'I. Stream &amp; Compound Data'!$F$18,"",IF(M473="N/A",IF(J473="","N/A",ROUND(IF(J473&lt;=0,0,IF(AND(J473&gt;0,J473&lt;2000),0.0005*J473,1)),3)),"N/A"))</f>
        <v/>
      </c>
      <c r="O473" s="1287" t="str">
        <f>IF(H473&gt;'I. Stream &amp; Compound Data'!$F$18,"",IF(AND(M473="N/A",N473="N/A"),IF(K473="","N/A",IF(OR(K473=3,K473=4),1,IF(K473=2,0.75,IF(K473=1,0.25,0)))),"N/A"))</f>
        <v/>
      </c>
      <c r="P473" s="1294" t="str">
        <f>IF(H473&gt;'I. Stream &amp; Compound Data'!$F$18,"",IF(I179="","N/A",IF(M473&lt;&gt;"N/A",M473,IF(N473&lt;&gt;"N/A",N473,IF(O473&lt;&gt;"N/A",O473,"NO DATA AVAILABLE")))))</f>
        <v/>
      </c>
      <c r="Q473" s="1294" t="str">
        <f>IF(H473&gt;'I. Stream &amp; Compound Data'!$F$18,"",IF(P473="N/A",0,L473*10^(2*P473-2)))</f>
        <v/>
      </c>
      <c r="R473" s="1294" t="str">
        <f>IF(H473&gt;'I. Stream &amp; Compound Data'!$F$18,"",MAX(K179:L179))</f>
        <v/>
      </c>
      <c r="S473" s="1294" t="str">
        <f>IF(H473&gt;'I. Stream &amp; Compound Data'!$F$18,"",ROUND(Q473*R473,3))</f>
        <v/>
      </c>
      <c r="T473" s="1149" t="str">
        <f>IF(H473&gt;'I. Stream &amp; Compound Data'!$F$18,"",ROUND(L473*R473,3))</f>
        <v/>
      </c>
      <c r="U473" s="299"/>
      <c r="V473" s="279"/>
      <c r="W473" s="279"/>
      <c r="X473" s="279"/>
      <c r="Y473" s="279"/>
      <c r="Z473" s="279"/>
      <c r="AA473" s="279"/>
      <c r="AB473" s="279"/>
      <c r="AC473" s="279"/>
      <c r="AD473" s="279"/>
      <c r="AE473" s="279"/>
      <c r="AF473" s="279"/>
      <c r="AG473" s="279"/>
      <c r="AH473" s="279"/>
      <c r="AI473" s="279"/>
      <c r="AJ473" s="279"/>
      <c r="AK473" s="279"/>
      <c r="AL473" s="279"/>
      <c r="AM473" s="279"/>
      <c r="AN473" s="279"/>
      <c r="AO473" s="279"/>
      <c r="AP473" s="279"/>
      <c r="AQ473" s="279"/>
      <c r="AR473" s="279"/>
      <c r="AS473" s="279"/>
      <c r="AT473" s="279"/>
      <c r="AU473" s="279"/>
      <c r="AV473" s="279"/>
      <c r="AW473" s="279"/>
      <c r="AX473" s="279"/>
      <c r="AY473" s="279"/>
      <c r="AZ473" s="279"/>
      <c r="BA473" s="279"/>
      <c r="BB473" s="279"/>
      <c r="BC473" s="279"/>
      <c r="BD473" s="279"/>
      <c r="BE473" s="279"/>
      <c r="BF473" s="279"/>
      <c r="BG473" s="279"/>
      <c r="BH473" s="279"/>
      <c r="BI473" s="279"/>
      <c r="BJ473" s="279"/>
      <c r="BK473" s="279"/>
      <c r="BL473" s="279"/>
      <c r="BM473" s="279"/>
      <c r="BN473" s="279"/>
      <c r="BO473" s="279"/>
      <c r="BP473" s="279"/>
      <c r="BQ473" s="279"/>
      <c r="BR473" s="279"/>
      <c r="BS473" s="279"/>
      <c r="BT473" s="279"/>
      <c r="BU473" s="279"/>
      <c r="BV473" s="279"/>
      <c r="BW473" s="279"/>
      <c r="BX473" s="279"/>
      <c r="BY473" s="279"/>
      <c r="BZ473" s="279"/>
      <c r="CA473" s="279"/>
      <c r="CB473" s="279"/>
      <c r="CC473" s="279"/>
      <c r="CD473" s="279"/>
      <c r="CE473" s="279"/>
      <c r="CF473" s="279"/>
      <c r="CG473" s="279"/>
      <c r="CH473" s="279"/>
      <c r="CI473" s="279"/>
      <c r="CJ473" s="279"/>
      <c r="CK473" s="279"/>
      <c r="CL473" s="279"/>
      <c r="CM473" s="279"/>
      <c r="CN473" s="382"/>
    </row>
    <row r="474" x14ac:dyDescent="0.25">
      <c r="B474" s="361"/>
      <c r="C474" s="279"/>
      <c r="D474" s="280"/>
      <c r="E474" s="287"/>
      <c r="F474" s="287"/>
      <c r="G474" s="287"/>
      <c r="H474" s="1292">
        <f t="shared" si="17"/>
        <v>39</v>
      </c>
      <c r="I474" s="1295" t="str">
        <f>IF('I. Stream &amp; Compound Data'!BD300&lt;&gt;"",'I. Stream &amp; Compound Data'!BD300,"")</f>
        <v/>
      </c>
      <c r="J474" s="1295" t="str">
        <f>IF('I. Stream &amp; Compound Data'!BE300&lt;&gt;"",'I. Stream &amp; Compound Data'!BE300,"")</f>
        <v/>
      </c>
      <c r="K474" s="1190" t="str">
        <f>IF('I. Stream &amp; Compound Data'!AW300&lt;&gt;"",'I. Stream &amp; Compound Data'!AW300,"")</f>
        <v/>
      </c>
      <c r="L474" s="1190" t="str">
        <f>IF(H474&gt;'I. Stream &amp; Compound Data'!$F$18,"",IF(IF(I474&lt;&gt;"",I474,IF(J474&lt;&gt;"",J474,IF('I. Stream &amp; Compound Data'!BB300&lt;&gt;"",'I. Stream &amp; Compound Data'!BB300,0)))&gt;=0, IF(I474&lt;&gt;"",I474,IF(J474&lt;&gt;"",J474,IF('I. Stream &amp; Compound Data'!BB300&lt;&gt;"",'I. Stream &amp; Compound Data'!BB300,0))),"Endotermic value"))</f>
        <v/>
      </c>
      <c r="M474" s="290" t="str">
        <f>IF(H474&gt;'I. Stream &amp; Compound Data'!$F$18,"",IF(I474="","N/A",ROUND(IF(I474&lt;=0,0,IF(AND(I474&gt;0,I474&lt;2000),0.0005*I474,1)),3)))</f>
        <v/>
      </c>
      <c r="N474" s="1168" t="str">
        <f>IF(H474&gt;'I. Stream &amp; Compound Data'!$F$18,"",IF(M474="N/A",IF(J474="","N/A",ROUND(IF(J474&lt;=0,0,IF(AND(J474&gt;0,J474&lt;2000),0.0005*J474,1)),3)),"N/A"))</f>
        <v/>
      </c>
      <c r="O474" s="1287" t="str">
        <f>IF(H474&gt;'I. Stream &amp; Compound Data'!$F$18,"",IF(AND(M474="N/A",N474="N/A"),IF(K474="","N/A",IF(OR(K474=3,K474=4),1,IF(K474=2,0.75,IF(K474=1,0.25,0)))),"N/A"))</f>
        <v/>
      </c>
      <c r="P474" s="1294" t="str">
        <f>IF(H474&gt;'I. Stream &amp; Compound Data'!$F$18,"",IF(I180="","N/A",IF(M474&lt;&gt;"N/A",M474,IF(N474&lt;&gt;"N/A",N474,IF(O474&lt;&gt;"N/A",O474,"NO DATA AVAILABLE")))))</f>
        <v/>
      </c>
      <c r="Q474" s="1294" t="str">
        <f>IF(H474&gt;'I. Stream &amp; Compound Data'!$F$18,"",IF(P474="N/A",0,L474*10^(2*P474-2)))</f>
        <v/>
      </c>
      <c r="R474" s="1294" t="str">
        <f>IF(H474&gt;'I. Stream &amp; Compound Data'!$F$18,"",MAX(K180:L180))</f>
        <v/>
      </c>
      <c r="S474" s="1294" t="str">
        <f>IF(H474&gt;'I. Stream &amp; Compound Data'!$F$18,"",ROUND(Q474*R474,3))</f>
        <v/>
      </c>
      <c r="T474" s="1149" t="str">
        <f>IF(H474&gt;'I. Stream &amp; Compound Data'!$F$18,"",ROUND(L474*R474,3))</f>
        <v/>
      </c>
      <c r="U474" s="299"/>
      <c r="V474" s="279"/>
      <c r="W474" s="279"/>
      <c r="X474" s="279"/>
      <c r="Y474" s="279"/>
      <c r="Z474" s="279"/>
      <c r="AA474" s="279"/>
      <c r="AB474" s="279"/>
      <c r="AC474" s="279"/>
      <c r="AD474" s="279"/>
      <c r="AE474" s="279"/>
      <c r="AF474" s="279"/>
      <c r="AG474" s="279"/>
      <c r="AH474" s="279"/>
      <c r="AI474" s="279"/>
      <c r="AJ474" s="279"/>
      <c r="AK474" s="279"/>
      <c r="AL474" s="279"/>
      <c r="AM474" s="279"/>
      <c r="AN474" s="279"/>
      <c r="AO474" s="279"/>
      <c r="AP474" s="279"/>
      <c r="AQ474" s="279"/>
      <c r="AR474" s="279"/>
      <c r="AS474" s="279"/>
      <c r="AT474" s="279"/>
      <c r="AU474" s="279"/>
      <c r="AV474" s="279"/>
      <c r="AW474" s="279"/>
      <c r="AX474" s="279"/>
      <c r="AY474" s="279"/>
      <c r="AZ474" s="279"/>
      <c r="BA474" s="279"/>
      <c r="BB474" s="279"/>
      <c r="BC474" s="279"/>
      <c r="BD474" s="279"/>
      <c r="BE474" s="279"/>
      <c r="BF474" s="279"/>
      <c r="BG474" s="279"/>
      <c r="BH474" s="279"/>
      <c r="BI474" s="279"/>
      <c r="BJ474" s="279"/>
      <c r="BK474" s="279"/>
      <c r="BL474" s="279"/>
      <c r="BM474" s="279"/>
      <c r="BN474" s="279"/>
      <c r="BO474" s="279"/>
      <c r="BP474" s="279"/>
      <c r="BQ474" s="279"/>
      <c r="BR474" s="279"/>
      <c r="BS474" s="279"/>
      <c r="BT474" s="279"/>
      <c r="BU474" s="279"/>
      <c r="BV474" s="279"/>
      <c r="BW474" s="279"/>
      <c r="BX474" s="279"/>
      <c r="BY474" s="279"/>
      <c r="BZ474" s="279"/>
      <c r="CA474" s="279"/>
      <c r="CB474" s="279"/>
      <c r="CC474" s="279"/>
      <c r="CD474" s="279"/>
      <c r="CE474" s="279"/>
      <c r="CF474" s="279"/>
      <c r="CG474" s="279"/>
      <c r="CH474" s="279"/>
      <c r="CI474" s="279"/>
      <c r="CJ474" s="279"/>
      <c r="CK474" s="279"/>
      <c r="CL474" s="279"/>
      <c r="CM474" s="279"/>
      <c r="CN474" s="382"/>
    </row>
    <row r="475" x14ac:dyDescent="0.25">
      <c r="B475" s="361"/>
      <c r="C475" s="279"/>
      <c r="D475" s="280"/>
      <c r="E475" s="287"/>
      <c r="F475" s="287"/>
      <c r="G475" s="287"/>
      <c r="H475" s="1292">
        <f t="shared" si="17"/>
        <v>40</v>
      </c>
      <c r="I475" s="1295" t="str">
        <f>IF('I. Stream &amp; Compound Data'!BD301&lt;&gt;"",'I. Stream &amp; Compound Data'!BD301,"")</f>
        <v/>
      </c>
      <c r="J475" s="1295" t="str">
        <f>IF('I. Stream &amp; Compound Data'!BE301&lt;&gt;"",'I. Stream &amp; Compound Data'!BE301,"")</f>
        <v/>
      </c>
      <c r="K475" s="1190" t="str">
        <f>IF('I. Stream &amp; Compound Data'!AW301&lt;&gt;"",'I. Stream &amp; Compound Data'!AW301,"")</f>
        <v/>
      </c>
      <c r="L475" s="1190" t="str">
        <f>IF(H475&gt;'I. Stream &amp; Compound Data'!$F$18,"",IF(IF(I475&lt;&gt;"",I475,IF(J475&lt;&gt;"",J475,IF('I. Stream &amp; Compound Data'!BB301&lt;&gt;"",'I. Stream &amp; Compound Data'!BB301,0)))&gt;=0, IF(I475&lt;&gt;"",I475,IF(J475&lt;&gt;"",J475,IF('I. Stream &amp; Compound Data'!BB301&lt;&gt;"",'I. Stream &amp; Compound Data'!BB301,0))),"Endotermic value"))</f>
        <v/>
      </c>
      <c r="M475" s="290" t="str">
        <f>IF(H475&gt;'I. Stream &amp; Compound Data'!$F$18,"",IF(I475="","N/A",ROUND(IF(I475&lt;=0,0,IF(AND(I475&gt;0,I475&lt;2000),0.0005*I475,1)),3)))</f>
        <v/>
      </c>
      <c r="N475" s="1168" t="str">
        <f>IF(H475&gt;'I. Stream &amp; Compound Data'!$F$18,"",IF(M475="N/A",IF(J475="","N/A",ROUND(IF(J475&lt;=0,0,IF(AND(J475&gt;0,J475&lt;2000),0.0005*J475,1)),3)),"N/A"))</f>
        <v/>
      </c>
      <c r="O475" s="1287" t="str">
        <f>IF(H475&gt;'I. Stream &amp; Compound Data'!$F$18,"",IF(AND(M475="N/A",N475="N/A"),IF(K475="","N/A",IF(OR(K475=3,K475=4),1,IF(K475=2,0.75,IF(K475=1,0.25,0)))),"N/A"))</f>
        <v/>
      </c>
      <c r="P475" s="1294" t="str">
        <f>IF(H475&gt;'I. Stream &amp; Compound Data'!$F$18,"",IF(I181="","N/A",IF(M475&lt;&gt;"N/A",M475,IF(N475&lt;&gt;"N/A",N475,IF(O475&lt;&gt;"N/A",O475,"NO DATA AVAILABLE")))))</f>
        <v/>
      </c>
      <c r="Q475" s="1294" t="str">
        <f>IF(H475&gt;'I. Stream &amp; Compound Data'!$F$18,"",IF(P475="N/A",0,L475*10^(2*P475-2)))</f>
        <v/>
      </c>
      <c r="R475" s="1294" t="str">
        <f>IF(H475&gt;'I. Stream &amp; Compound Data'!$F$18,"",MAX(K181:L181))</f>
        <v/>
      </c>
      <c r="S475" s="1294" t="str">
        <f>IF(H475&gt;'I. Stream &amp; Compound Data'!$F$18,"",ROUND(Q475*R475,3))</f>
        <v/>
      </c>
      <c r="T475" s="1149" t="str">
        <f>IF(H475&gt;'I. Stream &amp; Compound Data'!$F$18,"",ROUND(L475*R475,3))</f>
        <v/>
      </c>
      <c r="U475" s="299"/>
      <c r="V475" s="279"/>
      <c r="W475" s="279"/>
      <c r="X475" s="279"/>
      <c r="Y475" s="279"/>
      <c r="Z475" s="279"/>
      <c r="AA475" s="279"/>
      <c r="AB475" s="279"/>
      <c r="AC475" s="279"/>
      <c r="AD475" s="279"/>
      <c r="AE475" s="279"/>
      <c r="AF475" s="279"/>
      <c r="AG475" s="279"/>
      <c r="AH475" s="279"/>
      <c r="AI475" s="279"/>
      <c r="AJ475" s="279"/>
      <c r="AK475" s="279"/>
      <c r="AL475" s="279"/>
      <c r="AM475" s="279"/>
      <c r="AN475" s="279"/>
      <c r="AO475" s="279"/>
      <c r="AP475" s="279"/>
      <c r="AQ475" s="279"/>
      <c r="AR475" s="279"/>
      <c r="AS475" s="279"/>
      <c r="AT475" s="279"/>
      <c r="AU475" s="279"/>
      <c r="AV475" s="279"/>
      <c r="AW475" s="279"/>
      <c r="AX475" s="279"/>
      <c r="AY475" s="279"/>
      <c r="AZ475" s="279"/>
      <c r="BA475" s="279"/>
      <c r="BB475" s="279"/>
      <c r="BC475" s="279"/>
      <c r="BD475" s="279"/>
      <c r="BE475" s="279"/>
      <c r="BF475" s="279"/>
      <c r="BG475" s="279"/>
      <c r="BH475" s="279"/>
      <c r="BI475" s="279"/>
      <c r="BJ475" s="279"/>
      <c r="BK475" s="279"/>
      <c r="BL475" s="279"/>
      <c r="BM475" s="279"/>
      <c r="BN475" s="279"/>
      <c r="BO475" s="279"/>
      <c r="BP475" s="279"/>
      <c r="BQ475" s="279"/>
      <c r="BR475" s="279"/>
      <c r="BS475" s="279"/>
      <c r="BT475" s="279"/>
      <c r="BU475" s="279"/>
      <c r="BV475" s="279"/>
      <c r="BW475" s="279"/>
      <c r="BX475" s="279"/>
      <c r="BY475" s="279"/>
      <c r="BZ475" s="279"/>
      <c r="CA475" s="279"/>
      <c r="CB475" s="279"/>
      <c r="CC475" s="279"/>
      <c r="CD475" s="279"/>
      <c r="CE475" s="279"/>
      <c r="CF475" s="279"/>
      <c r="CG475" s="279"/>
      <c r="CH475" s="279"/>
      <c r="CI475" s="279"/>
      <c r="CJ475" s="279"/>
      <c r="CK475" s="279"/>
      <c r="CL475" s="279"/>
      <c r="CM475" s="279"/>
      <c r="CN475" s="382"/>
    </row>
    <row r="476" x14ac:dyDescent="0.25">
      <c r="B476" s="361"/>
      <c r="C476" s="279"/>
      <c r="D476" s="280"/>
      <c r="E476" s="287"/>
      <c r="F476" s="287"/>
      <c r="G476" s="287"/>
      <c r="H476" s="1292">
        <f t="shared" si="17"/>
        <v>41</v>
      </c>
      <c r="I476" s="1295" t="str">
        <f>IF('I. Stream &amp; Compound Data'!BD302&lt;&gt;"",'I. Stream &amp; Compound Data'!BD302,"")</f>
        <v/>
      </c>
      <c r="J476" s="1295" t="str">
        <f>IF('I. Stream &amp; Compound Data'!BE302&lt;&gt;"",'I. Stream &amp; Compound Data'!BE302,"")</f>
        <v/>
      </c>
      <c r="K476" s="1190" t="str">
        <f>IF('I. Stream &amp; Compound Data'!AW302&lt;&gt;"",'I. Stream &amp; Compound Data'!AW302,"")</f>
        <v/>
      </c>
      <c r="L476" s="1190" t="str">
        <f>IF(H476&gt;'I. Stream &amp; Compound Data'!$F$18,"",IF(IF(I476&lt;&gt;"",I476,IF(J476&lt;&gt;"",J476,IF('I. Stream &amp; Compound Data'!BB302&lt;&gt;"",'I. Stream &amp; Compound Data'!BB302,0)))&gt;=0, IF(I476&lt;&gt;"",I476,IF(J476&lt;&gt;"",J476,IF('I. Stream &amp; Compound Data'!BB302&lt;&gt;"",'I. Stream &amp; Compound Data'!BB302,0))),"Endotermic value"))</f>
        <v/>
      </c>
      <c r="M476" s="290" t="str">
        <f>IF(H476&gt;'I. Stream &amp; Compound Data'!$F$18,"",IF(I476="","N/A",ROUND(IF(I476&lt;=0,0,IF(AND(I476&gt;0,I476&lt;2000),0.0005*I476,1)),3)))</f>
        <v/>
      </c>
      <c r="N476" s="1168" t="str">
        <f>IF(H476&gt;'I. Stream &amp; Compound Data'!$F$18,"",IF(M476="N/A",IF(J476="","N/A",ROUND(IF(J476&lt;=0,0,IF(AND(J476&gt;0,J476&lt;2000),0.0005*J476,1)),3)),"N/A"))</f>
        <v/>
      </c>
      <c r="O476" s="1287" t="str">
        <f>IF(H476&gt;'I. Stream &amp; Compound Data'!$F$18,"",IF(AND(M476="N/A",N476="N/A"),IF(K476="","N/A",IF(OR(K476=3,K476=4),1,IF(K476=2,0.75,IF(K476=1,0.25,0)))),"N/A"))</f>
        <v/>
      </c>
      <c r="P476" s="1294" t="str">
        <f>IF(H476&gt;'I. Stream &amp; Compound Data'!$F$18,"",IF(I182="","N/A",IF(M476&lt;&gt;"N/A",M476,IF(N476&lt;&gt;"N/A",N476,IF(O476&lt;&gt;"N/A",O476,"NO DATA AVAILABLE")))))</f>
        <v/>
      </c>
      <c r="Q476" s="1294" t="str">
        <f>IF(H476&gt;'I. Stream &amp; Compound Data'!$F$18,"",IF(P476="N/A",0,L476*10^(2*P476-2)))</f>
        <v/>
      </c>
      <c r="R476" s="1294" t="str">
        <f>IF(H476&gt;'I. Stream &amp; Compound Data'!$F$18,"",MAX(K182:L182))</f>
        <v/>
      </c>
      <c r="S476" s="1294" t="str">
        <f>IF(H476&gt;'I. Stream &amp; Compound Data'!$F$18,"",ROUND(Q476*R476,3))</f>
        <v/>
      </c>
      <c r="T476" s="1149" t="str">
        <f>IF(H476&gt;'I. Stream &amp; Compound Data'!$F$18,"",ROUND(L476*R476,3))</f>
        <v/>
      </c>
      <c r="U476" s="299"/>
      <c r="V476" s="279"/>
      <c r="W476" s="279"/>
      <c r="X476" s="279"/>
      <c r="Y476" s="279"/>
      <c r="Z476" s="279"/>
      <c r="AA476" s="279"/>
      <c r="AB476" s="279"/>
      <c r="AC476" s="279"/>
      <c r="AD476" s="279"/>
      <c r="AE476" s="279"/>
      <c r="AF476" s="279"/>
      <c r="AG476" s="279"/>
      <c r="AH476" s="279"/>
      <c r="AI476" s="279"/>
      <c r="AJ476" s="279"/>
      <c r="AK476" s="279"/>
      <c r="AL476" s="279"/>
      <c r="AM476" s="279"/>
      <c r="AN476" s="279"/>
      <c r="AO476" s="279"/>
      <c r="AP476" s="279"/>
      <c r="AQ476" s="279"/>
      <c r="AR476" s="279"/>
      <c r="AS476" s="279"/>
      <c r="AT476" s="279"/>
      <c r="AU476" s="279"/>
      <c r="AV476" s="279"/>
      <c r="AW476" s="279"/>
      <c r="AX476" s="279"/>
      <c r="AY476" s="279"/>
      <c r="AZ476" s="279"/>
      <c r="BA476" s="279"/>
      <c r="BB476" s="279"/>
      <c r="BC476" s="279"/>
      <c r="BD476" s="279"/>
      <c r="BE476" s="279"/>
      <c r="BF476" s="279"/>
      <c r="BG476" s="279"/>
      <c r="BH476" s="279"/>
      <c r="BI476" s="279"/>
      <c r="BJ476" s="279"/>
      <c r="BK476" s="279"/>
      <c r="BL476" s="279"/>
      <c r="BM476" s="279"/>
      <c r="BN476" s="279"/>
      <c r="BO476" s="279"/>
      <c r="BP476" s="279"/>
      <c r="BQ476" s="279"/>
      <c r="BR476" s="279"/>
      <c r="BS476" s="279"/>
      <c r="BT476" s="279"/>
      <c r="BU476" s="279"/>
      <c r="BV476" s="279"/>
      <c r="BW476" s="279"/>
      <c r="BX476" s="279"/>
      <c r="BY476" s="279"/>
      <c r="BZ476" s="279"/>
      <c r="CA476" s="279"/>
      <c r="CB476" s="279"/>
      <c r="CC476" s="279"/>
      <c r="CD476" s="279"/>
      <c r="CE476" s="279"/>
      <c r="CF476" s="279"/>
      <c r="CG476" s="279"/>
      <c r="CH476" s="279"/>
      <c r="CI476" s="279"/>
      <c r="CJ476" s="279"/>
      <c r="CK476" s="279"/>
      <c r="CL476" s="279"/>
      <c r="CM476" s="279"/>
      <c r="CN476" s="382"/>
    </row>
    <row r="477" x14ac:dyDescent="0.25">
      <c r="B477" s="361"/>
      <c r="C477" s="279"/>
      <c r="D477" s="280"/>
      <c r="E477" s="287"/>
      <c r="F477" s="287"/>
      <c r="G477" s="287"/>
      <c r="H477" s="1292">
        <f t="shared" si="17"/>
        <v>42</v>
      </c>
      <c r="I477" s="1295" t="str">
        <f>IF('I. Stream &amp; Compound Data'!BD303&lt;&gt;"",'I. Stream &amp; Compound Data'!BD303,"")</f>
        <v/>
      </c>
      <c r="J477" s="1295" t="str">
        <f>IF('I. Stream &amp; Compound Data'!BE303&lt;&gt;"",'I. Stream &amp; Compound Data'!BE303,"")</f>
        <v/>
      </c>
      <c r="K477" s="1190" t="str">
        <f>IF('I. Stream &amp; Compound Data'!AW303&lt;&gt;"",'I. Stream &amp; Compound Data'!AW303,"")</f>
        <v/>
      </c>
      <c r="L477" s="1190" t="str">
        <f>IF(H477&gt;'I. Stream &amp; Compound Data'!$F$18,"",IF(IF(I477&lt;&gt;"",I477,IF(J477&lt;&gt;"",J477,IF('I. Stream &amp; Compound Data'!BB303&lt;&gt;"",'I. Stream &amp; Compound Data'!BB303,0)))&gt;=0, IF(I477&lt;&gt;"",I477,IF(J477&lt;&gt;"",J477,IF('I. Stream &amp; Compound Data'!BB303&lt;&gt;"",'I. Stream &amp; Compound Data'!BB303,0))),"Endotermic value"))</f>
        <v/>
      </c>
      <c r="M477" s="290" t="str">
        <f>IF(H477&gt;'I. Stream &amp; Compound Data'!$F$18,"",IF(I477="","N/A",ROUND(IF(I477&lt;=0,0,IF(AND(I477&gt;0,I477&lt;2000),0.0005*I477,1)),3)))</f>
        <v/>
      </c>
      <c r="N477" s="1168" t="str">
        <f>IF(H477&gt;'I. Stream &amp; Compound Data'!$F$18,"",IF(M477="N/A",IF(J477="","N/A",ROUND(IF(J477&lt;=0,0,IF(AND(J477&gt;0,J477&lt;2000),0.0005*J477,1)),3)),"N/A"))</f>
        <v/>
      </c>
      <c r="O477" s="1287" t="str">
        <f>IF(H477&gt;'I. Stream &amp; Compound Data'!$F$18,"",IF(AND(M477="N/A",N477="N/A"),IF(K477="","N/A",IF(OR(K477=3,K477=4),1,IF(K477=2,0.75,IF(K477=1,0.25,0)))),"N/A"))</f>
        <v/>
      </c>
      <c r="P477" s="1294" t="str">
        <f>IF(H477&gt;'I. Stream &amp; Compound Data'!$F$18,"",IF(I183="","N/A",IF(M477&lt;&gt;"N/A",M477,IF(N477&lt;&gt;"N/A",N477,IF(O477&lt;&gt;"N/A",O477,"NO DATA AVAILABLE")))))</f>
        <v/>
      </c>
      <c r="Q477" s="1294" t="str">
        <f>IF(H477&gt;'I. Stream &amp; Compound Data'!$F$18,"",IF(P477="N/A",0,L477*10^(2*P477-2)))</f>
        <v/>
      </c>
      <c r="R477" s="1294" t="str">
        <f>IF(H477&gt;'I. Stream &amp; Compound Data'!$F$18,"",MAX(K183:L183))</f>
        <v/>
      </c>
      <c r="S477" s="1294" t="str">
        <f>IF(H477&gt;'I. Stream &amp; Compound Data'!$F$18,"",ROUND(Q477*R477,3))</f>
        <v/>
      </c>
      <c r="T477" s="1149" t="str">
        <f>IF(H477&gt;'I. Stream &amp; Compound Data'!$F$18,"",ROUND(L477*R477,3))</f>
        <v/>
      </c>
      <c r="U477" s="299"/>
      <c r="V477" s="279"/>
      <c r="W477" s="279"/>
      <c r="X477" s="279"/>
      <c r="Y477" s="279"/>
      <c r="Z477" s="279"/>
      <c r="AA477" s="279"/>
      <c r="AB477" s="279"/>
      <c r="AC477" s="279"/>
      <c r="AD477" s="279"/>
      <c r="AE477" s="279"/>
      <c r="AF477" s="279"/>
      <c r="AG477" s="279"/>
      <c r="AH477" s="279"/>
      <c r="AI477" s="279"/>
      <c r="AJ477" s="279"/>
      <c r="AK477" s="279"/>
      <c r="AL477" s="279"/>
      <c r="AM477" s="279"/>
      <c r="AN477" s="279"/>
      <c r="AO477" s="279"/>
      <c r="AP477" s="279"/>
      <c r="AQ477" s="279"/>
      <c r="AR477" s="279"/>
      <c r="AS477" s="279"/>
      <c r="AT477" s="279"/>
      <c r="AU477" s="279"/>
      <c r="AV477" s="279"/>
      <c r="AW477" s="279"/>
      <c r="AX477" s="279"/>
      <c r="AY477" s="279"/>
      <c r="AZ477" s="279"/>
      <c r="BA477" s="279"/>
      <c r="BB477" s="279"/>
      <c r="BC477" s="279"/>
      <c r="BD477" s="279"/>
      <c r="BE477" s="279"/>
      <c r="BF477" s="279"/>
      <c r="BG477" s="279"/>
      <c r="BH477" s="279"/>
      <c r="BI477" s="279"/>
      <c r="BJ477" s="279"/>
      <c r="BK477" s="279"/>
      <c r="BL477" s="279"/>
      <c r="BM477" s="279"/>
      <c r="BN477" s="279"/>
      <c r="BO477" s="279"/>
      <c r="BP477" s="279"/>
      <c r="BQ477" s="279"/>
      <c r="BR477" s="279"/>
      <c r="BS477" s="279"/>
      <c r="BT477" s="279"/>
      <c r="BU477" s="279"/>
      <c r="BV477" s="279"/>
      <c r="BW477" s="279"/>
      <c r="BX477" s="279"/>
      <c r="BY477" s="279"/>
      <c r="BZ477" s="279"/>
      <c r="CA477" s="279"/>
      <c r="CB477" s="279"/>
      <c r="CC477" s="279"/>
      <c r="CD477" s="279"/>
      <c r="CE477" s="279"/>
      <c r="CF477" s="279"/>
      <c r="CG477" s="279"/>
      <c r="CH477" s="279"/>
      <c r="CI477" s="279"/>
      <c r="CJ477" s="279"/>
      <c r="CK477" s="279"/>
      <c r="CL477" s="279"/>
      <c r="CM477" s="279"/>
      <c r="CN477" s="382"/>
    </row>
    <row r="478" x14ac:dyDescent="0.25">
      <c r="B478" s="361"/>
      <c r="C478" s="279"/>
      <c r="D478" s="280"/>
      <c r="E478" s="287"/>
      <c r="F478" s="287"/>
      <c r="G478" s="287"/>
      <c r="H478" s="1292">
        <f t="shared" si="17"/>
        <v>43</v>
      </c>
      <c r="I478" s="1295" t="str">
        <f>IF('I. Stream &amp; Compound Data'!BD304&lt;&gt;"",'I. Stream &amp; Compound Data'!BD304,"")</f>
        <v/>
      </c>
      <c r="J478" s="1295" t="str">
        <f>IF('I. Stream &amp; Compound Data'!BE304&lt;&gt;"",'I. Stream &amp; Compound Data'!BE304,"")</f>
        <v/>
      </c>
      <c r="K478" s="1190" t="str">
        <f>IF('I. Stream &amp; Compound Data'!AW304&lt;&gt;"",'I. Stream &amp; Compound Data'!AW304,"")</f>
        <v/>
      </c>
      <c r="L478" s="1190" t="str">
        <f>IF(H478&gt;'I. Stream &amp; Compound Data'!$F$18,"",IF(IF(I478&lt;&gt;"",I478,IF(J478&lt;&gt;"",J478,IF('I. Stream &amp; Compound Data'!BB304&lt;&gt;"",'I. Stream &amp; Compound Data'!BB304,0)))&gt;=0, IF(I478&lt;&gt;"",I478,IF(J478&lt;&gt;"",J478,IF('I. Stream &amp; Compound Data'!BB304&lt;&gt;"",'I. Stream &amp; Compound Data'!BB304,0))),"Endotermic value"))</f>
        <v/>
      </c>
      <c r="M478" s="290" t="str">
        <f>IF(H478&gt;'I. Stream &amp; Compound Data'!$F$18,"",IF(I478="","N/A",ROUND(IF(I478&lt;=0,0,IF(AND(I478&gt;0,I478&lt;2000),0.0005*I478,1)),3)))</f>
        <v/>
      </c>
      <c r="N478" s="1168" t="str">
        <f>IF(H478&gt;'I. Stream &amp; Compound Data'!$F$18,"",IF(M478="N/A",IF(J478="","N/A",ROUND(IF(J478&lt;=0,0,IF(AND(J478&gt;0,J478&lt;2000),0.0005*J478,1)),3)),"N/A"))</f>
        <v/>
      </c>
      <c r="O478" s="1287" t="str">
        <f>IF(H478&gt;'I. Stream &amp; Compound Data'!$F$18,"",IF(AND(M478="N/A",N478="N/A"),IF(K478="","N/A",IF(OR(K478=3,K478=4),1,IF(K478=2,0.75,IF(K478=1,0.25,0)))),"N/A"))</f>
        <v/>
      </c>
      <c r="P478" s="1294" t="str">
        <f>IF(H478&gt;'I. Stream &amp; Compound Data'!$F$18,"",IF(I184="","N/A",IF(M478&lt;&gt;"N/A",M478,IF(N478&lt;&gt;"N/A",N478,IF(O478&lt;&gt;"N/A",O478,"NO DATA AVAILABLE")))))</f>
        <v/>
      </c>
      <c r="Q478" s="1294" t="str">
        <f>IF(H478&gt;'I. Stream &amp; Compound Data'!$F$18,"",IF(P478="N/A",0,L478*10^(2*P478-2)))</f>
        <v/>
      </c>
      <c r="R478" s="1294" t="str">
        <f>IF(H478&gt;'I. Stream &amp; Compound Data'!$F$18,"",MAX(K184:L184))</f>
        <v/>
      </c>
      <c r="S478" s="1294" t="str">
        <f>IF(H478&gt;'I. Stream &amp; Compound Data'!$F$18,"",ROUND(Q478*R478,3))</f>
        <v/>
      </c>
      <c r="T478" s="1149" t="str">
        <f>IF(H478&gt;'I. Stream &amp; Compound Data'!$F$18,"",ROUND(L478*R478,3))</f>
        <v/>
      </c>
      <c r="U478" s="299"/>
      <c r="V478" s="279"/>
      <c r="W478" s="279"/>
      <c r="X478" s="279"/>
      <c r="Y478" s="279"/>
      <c r="Z478" s="279"/>
      <c r="AA478" s="279"/>
      <c r="AB478" s="279"/>
      <c r="AC478" s="279"/>
      <c r="AD478" s="279"/>
      <c r="AE478" s="279"/>
      <c r="AF478" s="279"/>
      <c r="AG478" s="279"/>
      <c r="AH478" s="279"/>
      <c r="AI478" s="279"/>
      <c r="AJ478" s="279"/>
      <c r="AK478" s="279"/>
      <c r="AL478" s="279"/>
      <c r="AM478" s="279"/>
      <c r="AN478" s="279"/>
      <c r="AO478" s="279"/>
      <c r="AP478" s="279"/>
      <c r="AQ478" s="279"/>
      <c r="AR478" s="279"/>
      <c r="AS478" s="279"/>
      <c r="AT478" s="279"/>
      <c r="AU478" s="279"/>
      <c r="AV478" s="279"/>
      <c r="AW478" s="279"/>
      <c r="AX478" s="279"/>
      <c r="AY478" s="279"/>
      <c r="AZ478" s="279"/>
      <c r="BA478" s="279"/>
      <c r="BB478" s="279"/>
      <c r="BC478" s="279"/>
      <c r="BD478" s="279"/>
      <c r="BE478" s="279"/>
      <c r="BF478" s="279"/>
      <c r="BG478" s="279"/>
      <c r="BH478" s="279"/>
      <c r="BI478" s="279"/>
      <c r="BJ478" s="279"/>
      <c r="BK478" s="279"/>
      <c r="BL478" s="279"/>
      <c r="BM478" s="279"/>
      <c r="BN478" s="279"/>
      <c r="BO478" s="279"/>
      <c r="BP478" s="279"/>
      <c r="BQ478" s="279"/>
      <c r="BR478" s="279"/>
      <c r="BS478" s="279"/>
      <c r="BT478" s="279"/>
      <c r="BU478" s="279"/>
      <c r="BV478" s="279"/>
      <c r="BW478" s="279"/>
      <c r="BX478" s="279"/>
      <c r="BY478" s="279"/>
      <c r="BZ478" s="279"/>
      <c r="CA478" s="279"/>
      <c r="CB478" s="279"/>
      <c r="CC478" s="279"/>
      <c r="CD478" s="279"/>
      <c r="CE478" s="279"/>
      <c r="CF478" s="279"/>
      <c r="CG478" s="279"/>
      <c r="CH478" s="279"/>
      <c r="CI478" s="279"/>
      <c r="CJ478" s="279"/>
      <c r="CK478" s="279"/>
      <c r="CL478" s="279"/>
      <c r="CM478" s="279"/>
      <c r="CN478" s="382"/>
    </row>
    <row r="479" x14ac:dyDescent="0.25">
      <c r="B479" s="361"/>
      <c r="C479" s="279"/>
      <c r="D479" s="280"/>
      <c r="E479" s="287"/>
      <c r="F479" s="287"/>
      <c r="G479" s="287"/>
      <c r="H479" s="1292">
        <f t="shared" si="17"/>
        <v>44</v>
      </c>
      <c r="I479" s="1295" t="str">
        <f>IF('I. Stream &amp; Compound Data'!BD305&lt;&gt;"",'I. Stream &amp; Compound Data'!BD305,"")</f>
        <v/>
      </c>
      <c r="J479" s="1295" t="str">
        <f>IF('I. Stream &amp; Compound Data'!BE305&lt;&gt;"",'I. Stream &amp; Compound Data'!BE305,"")</f>
        <v/>
      </c>
      <c r="K479" s="1190" t="str">
        <f>IF('I. Stream &amp; Compound Data'!AW305&lt;&gt;"",'I. Stream &amp; Compound Data'!AW305,"")</f>
        <v/>
      </c>
      <c r="L479" s="1190" t="str">
        <f>IF(H479&gt;'I. Stream &amp; Compound Data'!$F$18,"",IF(IF(I479&lt;&gt;"",I479,IF(J479&lt;&gt;"",J479,IF('I. Stream &amp; Compound Data'!BB305&lt;&gt;"",'I. Stream &amp; Compound Data'!BB305,0)))&gt;=0, IF(I479&lt;&gt;"",I479,IF(J479&lt;&gt;"",J479,IF('I. Stream &amp; Compound Data'!BB305&lt;&gt;"",'I. Stream &amp; Compound Data'!BB305,0))),"Endotermic value"))</f>
        <v/>
      </c>
      <c r="M479" s="290" t="str">
        <f>IF(H479&gt;'I. Stream &amp; Compound Data'!$F$18,"",IF(I479="","N/A",ROUND(IF(I479&lt;=0,0,IF(AND(I479&gt;0,I479&lt;2000),0.0005*I479,1)),3)))</f>
        <v/>
      </c>
      <c r="N479" s="1168" t="str">
        <f>IF(H479&gt;'I. Stream &amp; Compound Data'!$F$18,"",IF(M479="N/A",IF(J479="","N/A",ROUND(IF(J479&lt;=0,0,IF(AND(J479&gt;0,J479&lt;2000),0.0005*J479,1)),3)),"N/A"))</f>
        <v/>
      </c>
      <c r="O479" s="1287" t="str">
        <f>IF(H479&gt;'I. Stream &amp; Compound Data'!$F$18,"",IF(AND(M479="N/A",N479="N/A"),IF(K479="","N/A",IF(OR(K479=3,K479=4),1,IF(K479=2,0.75,IF(K479=1,0.25,0)))),"N/A"))</f>
        <v/>
      </c>
      <c r="P479" s="1294" t="str">
        <f>IF(H479&gt;'I. Stream &amp; Compound Data'!$F$18,"",IF(I185="","N/A",IF(M479&lt;&gt;"N/A",M479,IF(N479&lt;&gt;"N/A",N479,IF(O479&lt;&gt;"N/A",O479,"NO DATA AVAILABLE")))))</f>
        <v/>
      </c>
      <c r="Q479" s="1294" t="str">
        <f>IF(H479&gt;'I. Stream &amp; Compound Data'!$F$18,"",IF(P479="N/A",0,L479*10^(2*P479-2)))</f>
        <v/>
      </c>
      <c r="R479" s="1294" t="str">
        <f>IF(H479&gt;'I. Stream &amp; Compound Data'!$F$18,"",MAX(K185:L185))</f>
        <v/>
      </c>
      <c r="S479" s="1294" t="str">
        <f>IF(H479&gt;'I. Stream &amp; Compound Data'!$F$18,"",ROUND(Q479*R479,3))</f>
        <v/>
      </c>
      <c r="T479" s="1149" t="str">
        <f>IF(H479&gt;'I. Stream &amp; Compound Data'!$F$18,"",ROUND(L479*R479,3))</f>
        <v/>
      </c>
      <c r="U479" s="299"/>
      <c r="V479" s="279"/>
      <c r="W479" s="279"/>
      <c r="X479" s="279"/>
      <c r="Y479" s="279"/>
      <c r="Z479" s="279"/>
      <c r="AA479" s="279"/>
      <c r="AB479" s="279"/>
      <c r="AC479" s="279"/>
      <c r="AD479" s="279"/>
      <c r="AE479" s="279"/>
      <c r="AF479" s="279"/>
      <c r="AG479" s="279"/>
      <c r="AH479" s="279"/>
      <c r="AI479" s="279"/>
      <c r="AJ479" s="279"/>
      <c r="AK479" s="279"/>
      <c r="AL479" s="279"/>
      <c r="AM479" s="279"/>
      <c r="AN479" s="279"/>
      <c r="AO479" s="279"/>
      <c r="AP479" s="279"/>
      <c r="AQ479" s="279"/>
      <c r="AR479" s="279"/>
      <c r="AS479" s="279"/>
      <c r="AT479" s="279"/>
      <c r="AU479" s="279"/>
      <c r="AV479" s="279"/>
      <c r="AW479" s="279"/>
      <c r="AX479" s="279"/>
      <c r="AY479" s="279"/>
      <c r="AZ479" s="279"/>
      <c r="BA479" s="279"/>
      <c r="BB479" s="279"/>
      <c r="BC479" s="279"/>
      <c r="BD479" s="279"/>
      <c r="BE479" s="279"/>
      <c r="BF479" s="279"/>
      <c r="BG479" s="279"/>
      <c r="BH479" s="279"/>
      <c r="BI479" s="279"/>
      <c r="BJ479" s="279"/>
      <c r="BK479" s="279"/>
      <c r="BL479" s="279"/>
      <c r="BM479" s="279"/>
      <c r="BN479" s="279"/>
      <c r="BO479" s="279"/>
      <c r="BP479" s="279"/>
      <c r="BQ479" s="279"/>
      <c r="BR479" s="279"/>
      <c r="BS479" s="279"/>
      <c r="BT479" s="279"/>
      <c r="BU479" s="279"/>
      <c r="BV479" s="279"/>
      <c r="BW479" s="279"/>
      <c r="BX479" s="279"/>
      <c r="BY479" s="279"/>
      <c r="BZ479" s="279"/>
      <c r="CA479" s="279"/>
      <c r="CB479" s="279"/>
      <c r="CC479" s="279"/>
      <c r="CD479" s="279"/>
      <c r="CE479" s="279"/>
      <c r="CF479" s="279"/>
      <c r="CG479" s="279"/>
      <c r="CH479" s="279"/>
      <c r="CI479" s="279"/>
      <c r="CJ479" s="279"/>
      <c r="CK479" s="279"/>
      <c r="CL479" s="279"/>
      <c r="CM479" s="279"/>
      <c r="CN479" s="382"/>
    </row>
    <row r="480" x14ac:dyDescent="0.25">
      <c r="B480" s="361"/>
      <c r="C480" s="279"/>
      <c r="D480" s="280"/>
      <c r="E480" s="287"/>
      <c r="F480" s="287"/>
      <c r="G480" s="287"/>
      <c r="H480" s="1292">
        <f t="shared" si="17"/>
        <v>45</v>
      </c>
      <c r="I480" s="1295" t="str">
        <f>IF('I. Stream &amp; Compound Data'!BD306&lt;&gt;"",'I. Stream &amp; Compound Data'!BD306,"")</f>
        <v/>
      </c>
      <c r="J480" s="1295" t="str">
        <f>IF('I. Stream &amp; Compound Data'!BE306&lt;&gt;"",'I. Stream &amp; Compound Data'!BE306,"")</f>
        <v/>
      </c>
      <c r="K480" s="1190" t="str">
        <f>IF('I. Stream &amp; Compound Data'!AW306&lt;&gt;"",'I. Stream &amp; Compound Data'!AW306,"")</f>
        <v/>
      </c>
      <c r="L480" s="1190" t="str">
        <f>IF(H480&gt;'I. Stream &amp; Compound Data'!$F$18,"",IF(IF(I480&lt;&gt;"",I480,IF(J480&lt;&gt;"",J480,IF('I. Stream &amp; Compound Data'!BB306&lt;&gt;"",'I. Stream &amp; Compound Data'!BB306,0)))&gt;=0, IF(I480&lt;&gt;"",I480,IF(J480&lt;&gt;"",J480,IF('I. Stream &amp; Compound Data'!BB306&lt;&gt;"",'I. Stream &amp; Compound Data'!BB306,0))),"Endotermic value"))</f>
        <v/>
      </c>
      <c r="M480" s="290" t="str">
        <f>IF(H480&gt;'I. Stream &amp; Compound Data'!$F$18,"",IF(I480="","N/A",ROUND(IF(I480&lt;=0,0,IF(AND(I480&gt;0,I480&lt;2000),0.0005*I480,1)),3)))</f>
        <v/>
      </c>
      <c r="N480" s="1168" t="str">
        <f>IF(H480&gt;'I. Stream &amp; Compound Data'!$F$18,"",IF(M480="N/A",IF(J480="","N/A",ROUND(IF(J480&lt;=0,0,IF(AND(J480&gt;0,J480&lt;2000),0.0005*J480,1)),3)),"N/A"))</f>
        <v/>
      </c>
      <c r="O480" s="1287" t="str">
        <f>IF(H480&gt;'I. Stream &amp; Compound Data'!$F$18,"",IF(AND(M480="N/A",N480="N/A"),IF(K480="","N/A",IF(OR(K480=3,K480=4),1,IF(K480=2,0.75,IF(K480=1,0.25,0)))),"N/A"))</f>
        <v/>
      </c>
      <c r="P480" s="1294" t="str">
        <f>IF(H480&gt;'I. Stream &amp; Compound Data'!$F$18,"",IF(I186="","N/A",IF(M480&lt;&gt;"N/A",M480,IF(N480&lt;&gt;"N/A",N480,IF(O480&lt;&gt;"N/A",O480,"NO DATA AVAILABLE")))))</f>
        <v/>
      </c>
      <c r="Q480" s="1294" t="str">
        <f>IF(H480&gt;'I. Stream &amp; Compound Data'!$F$18,"",IF(P480="N/A",0,L480*10^(2*P480-2)))</f>
        <v/>
      </c>
      <c r="R480" s="1294" t="str">
        <f>IF(H480&gt;'I. Stream &amp; Compound Data'!$F$18,"",MAX(K186:L186))</f>
        <v/>
      </c>
      <c r="S480" s="1294" t="str">
        <f>IF(H480&gt;'I. Stream &amp; Compound Data'!$F$18,"",ROUND(Q480*R480,3))</f>
        <v/>
      </c>
      <c r="T480" s="1149" t="str">
        <f>IF(H480&gt;'I. Stream &amp; Compound Data'!$F$18,"",ROUND(L480*R480,3))</f>
        <v/>
      </c>
      <c r="U480" s="299"/>
      <c r="V480" s="279"/>
      <c r="W480" s="279"/>
      <c r="X480" s="279"/>
      <c r="Y480" s="279"/>
      <c r="Z480" s="279"/>
      <c r="AA480" s="279"/>
      <c r="AB480" s="279"/>
      <c r="AC480" s="279"/>
      <c r="AD480" s="279"/>
      <c r="AE480" s="279"/>
      <c r="AF480" s="279"/>
      <c r="AG480" s="279"/>
      <c r="AH480" s="279"/>
      <c r="AI480" s="279"/>
      <c r="AJ480" s="279"/>
      <c r="AK480" s="279"/>
      <c r="AL480" s="279"/>
      <c r="AM480" s="279"/>
      <c r="AN480" s="279"/>
      <c r="AO480" s="279"/>
      <c r="AP480" s="279"/>
      <c r="AQ480" s="279"/>
      <c r="AR480" s="279"/>
      <c r="AS480" s="279"/>
      <c r="AT480" s="279"/>
      <c r="AU480" s="279"/>
      <c r="AV480" s="279"/>
      <c r="AW480" s="279"/>
      <c r="AX480" s="279"/>
      <c r="AY480" s="279"/>
      <c r="AZ480" s="279"/>
      <c r="BA480" s="279"/>
      <c r="BB480" s="279"/>
      <c r="BC480" s="279"/>
      <c r="BD480" s="279"/>
      <c r="BE480" s="279"/>
      <c r="BF480" s="279"/>
      <c r="BG480" s="279"/>
      <c r="BH480" s="279"/>
      <c r="BI480" s="279"/>
      <c r="BJ480" s="279"/>
      <c r="BK480" s="279"/>
      <c r="BL480" s="279"/>
      <c r="BM480" s="279"/>
      <c r="BN480" s="279"/>
      <c r="BO480" s="279"/>
      <c r="BP480" s="279"/>
      <c r="BQ480" s="279"/>
      <c r="BR480" s="279"/>
      <c r="BS480" s="279"/>
      <c r="BT480" s="279"/>
      <c r="BU480" s="279"/>
      <c r="BV480" s="279"/>
      <c r="BW480" s="279"/>
      <c r="BX480" s="279"/>
      <c r="BY480" s="279"/>
      <c r="BZ480" s="279"/>
      <c r="CA480" s="279"/>
      <c r="CB480" s="279"/>
      <c r="CC480" s="279"/>
      <c r="CD480" s="279"/>
      <c r="CE480" s="279"/>
      <c r="CF480" s="279"/>
      <c r="CG480" s="279"/>
      <c r="CH480" s="279"/>
      <c r="CI480" s="279"/>
      <c r="CJ480" s="279"/>
      <c r="CK480" s="279"/>
      <c r="CL480" s="279"/>
      <c r="CM480" s="279"/>
      <c r="CN480" s="382"/>
    </row>
    <row r="481" x14ac:dyDescent="0.25">
      <c r="B481" s="361"/>
      <c r="C481" s="279"/>
      <c r="D481" s="280"/>
      <c r="E481" s="287"/>
      <c r="F481" s="287"/>
      <c r="G481" s="287"/>
      <c r="H481" s="1292">
        <f t="shared" si="17"/>
        <v>46</v>
      </c>
      <c r="I481" s="1295" t="str">
        <f>IF('I. Stream &amp; Compound Data'!BD307&lt;&gt;"",'I. Stream &amp; Compound Data'!BD307,"")</f>
        <v/>
      </c>
      <c r="J481" s="1295" t="str">
        <f>IF('I. Stream &amp; Compound Data'!BE307&lt;&gt;"",'I. Stream &amp; Compound Data'!BE307,"")</f>
        <v/>
      </c>
      <c r="K481" s="1190" t="str">
        <f>IF('I. Stream &amp; Compound Data'!AW307&lt;&gt;"",'I. Stream &amp; Compound Data'!AW307,"")</f>
        <v/>
      </c>
      <c r="L481" s="1190" t="str">
        <f>IF(H481&gt;'I. Stream &amp; Compound Data'!$F$18,"",IF(IF(I481&lt;&gt;"",I481,IF(J481&lt;&gt;"",J481,IF('I. Stream &amp; Compound Data'!BB307&lt;&gt;"",'I. Stream &amp; Compound Data'!BB307,0)))&gt;=0, IF(I481&lt;&gt;"",I481,IF(J481&lt;&gt;"",J481,IF('I. Stream &amp; Compound Data'!BB307&lt;&gt;"",'I. Stream &amp; Compound Data'!BB307,0))),"Endotermic value"))</f>
        <v/>
      </c>
      <c r="M481" s="290" t="str">
        <f>IF(H481&gt;'I. Stream &amp; Compound Data'!$F$18,"",IF(I481="","N/A",ROUND(IF(I481&lt;=0,0,IF(AND(I481&gt;0,I481&lt;2000),0.0005*I481,1)),3)))</f>
        <v/>
      </c>
      <c r="N481" s="1168" t="str">
        <f>IF(H481&gt;'I. Stream &amp; Compound Data'!$F$18,"",IF(M481="N/A",IF(J481="","N/A",ROUND(IF(J481&lt;=0,0,IF(AND(J481&gt;0,J481&lt;2000),0.0005*J481,1)),3)),"N/A"))</f>
        <v/>
      </c>
      <c r="O481" s="1287" t="str">
        <f>IF(H481&gt;'I. Stream &amp; Compound Data'!$F$18,"",IF(AND(M481="N/A",N481="N/A"),IF(K481="","N/A",IF(OR(K481=3,K481=4),1,IF(K481=2,0.75,IF(K481=1,0.25,0)))),"N/A"))</f>
        <v/>
      </c>
      <c r="P481" s="1294" t="str">
        <f>IF(H481&gt;'I. Stream &amp; Compound Data'!$F$18,"",IF(I187="","N/A",IF(M481&lt;&gt;"N/A",M481,IF(N481&lt;&gt;"N/A",N481,IF(O481&lt;&gt;"N/A",O481,"NO DATA AVAILABLE")))))</f>
        <v/>
      </c>
      <c r="Q481" s="1294" t="str">
        <f>IF(H481&gt;'I. Stream &amp; Compound Data'!$F$18,"",IF(P481="N/A",0,L481*10^(2*P481-2)))</f>
        <v/>
      </c>
      <c r="R481" s="1294" t="str">
        <f>IF(H481&gt;'I. Stream &amp; Compound Data'!$F$18,"",MAX(K187:L187))</f>
        <v/>
      </c>
      <c r="S481" s="1294" t="str">
        <f>IF(H481&gt;'I. Stream &amp; Compound Data'!$F$18,"",ROUND(Q481*R481,3))</f>
        <v/>
      </c>
      <c r="T481" s="1149" t="str">
        <f>IF(H481&gt;'I. Stream &amp; Compound Data'!$F$18,"",ROUND(L481*R481,3))</f>
        <v/>
      </c>
      <c r="U481" s="299"/>
      <c r="V481" s="279"/>
      <c r="W481" s="279"/>
      <c r="X481" s="279"/>
      <c r="Y481" s="279"/>
      <c r="Z481" s="279"/>
      <c r="AA481" s="279"/>
      <c r="AB481" s="279"/>
      <c r="AC481" s="279"/>
      <c r="AD481" s="279"/>
      <c r="AE481" s="279"/>
      <c r="AF481" s="279"/>
      <c r="AG481" s="279"/>
      <c r="AH481" s="279"/>
      <c r="AI481" s="279"/>
      <c r="AJ481" s="279"/>
      <c r="AK481" s="279"/>
      <c r="AL481" s="279"/>
      <c r="AM481" s="279"/>
      <c r="AN481" s="279"/>
      <c r="AO481" s="279"/>
      <c r="AP481" s="279"/>
      <c r="AQ481" s="279"/>
      <c r="AR481" s="279"/>
      <c r="AS481" s="279"/>
      <c r="AT481" s="279"/>
      <c r="AU481" s="279"/>
      <c r="AV481" s="279"/>
      <c r="AW481" s="279"/>
      <c r="AX481" s="279"/>
      <c r="AY481" s="279"/>
      <c r="AZ481" s="279"/>
      <c r="BA481" s="279"/>
      <c r="BB481" s="279"/>
      <c r="BC481" s="279"/>
      <c r="BD481" s="279"/>
      <c r="BE481" s="279"/>
      <c r="BF481" s="279"/>
      <c r="BG481" s="279"/>
      <c r="BH481" s="279"/>
      <c r="BI481" s="279"/>
      <c r="BJ481" s="279"/>
      <c r="BK481" s="279"/>
      <c r="BL481" s="279"/>
      <c r="BM481" s="279"/>
      <c r="BN481" s="279"/>
      <c r="BO481" s="279"/>
      <c r="BP481" s="279"/>
      <c r="BQ481" s="279"/>
      <c r="BR481" s="279"/>
      <c r="BS481" s="279"/>
      <c r="BT481" s="279"/>
      <c r="BU481" s="279"/>
      <c r="BV481" s="279"/>
      <c r="BW481" s="279"/>
      <c r="BX481" s="279"/>
      <c r="BY481" s="279"/>
      <c r="BZ481" s="279"/>
      <c r="CA481" s="279"/>
      <c r="CB481" s="279"/>
      <c r="CC481" s="279"/>
      <c r="CD481" s="279"/>
      <c r="CE481" s="279"/>
      <c r="CF481" s="279"/>
      <c r="CG481" s="279"/>
      <c r="CH481" s="279"/>
      <c r="CI481" s="279"/>
      <c r="CJ481" s="279"/>
      <c r="CK481" s="279"/>
      <c r="CL481" s="279"/>
      <c r="CM481" s="279"/>
      <c r="CN481" s="382"/>
    </row>
    <row r="482" x14ac:dyDescent="0.25">
      <c r="B482" s="361"/>
      <c r="C482" s="279"/>
      <c r="D482" s="280"/>
      <c r="E482" s="287"/>
      <c r="F482" s="287"/>
      <c r="G482" s="287"/>
      <c r="H482" s="1292">
        <f t="shared" si="17"/>
        <v>47</v>
      </c>
      <c r="I482" s="1295" t="str">
        <f>IF('I. Stream &amp; Compound Data'!BD308&lt;&gt;"",'I. Stream &amp; Compound Data'!BD308,"")</f>
        <v/>
      </c>
      <c r="J482" s="1295" t="str">
        <f>IF('I. Stream &amp; Compound Data'!BE308&lt;&gt;"",'I. Stream &amp; Compound Data'!BE308,"")</f>
        <v/>
      </c>
      <c r="K482" s="1190" t="str">
        <f>IF('I. Stream &amp; Compound Data'!AW308&lt;&gt;"",'I. Stream &amp; Compound Data'!AW308,"")</f>
        <v/>
      </c>
      <c r="L482" s="1190" t="str">
        <f>IF(H482&gt;'I. Stream &amp; Compound Data'!$F$18,"",IF(IF(I482&lt;&gt;"",I482,IF(J482&lt;&gt;"",J482,IF('I. Stream &amp; Compound Data'!BB308&lt;&gt;"",'I. Stream &amp; Compound Data'!BB308,0)))&gt;=0, IF(I482&lt;&gt;"",I482,IF(J482&lt;&gt;"",J482,IF('I. Stream &amp; Compound Data'!BB308&lt;&gt;"",'I. Stream &amp; Compound Data'!BB308,0))),"Endotermic value"))</f>
        <v/>
      </c>
      <c r="M482" s="290" t="str">
        <f>IF(H482&gt;'I. Stream &amp; Compound Data'!$F$18,"",IF(I482="","N/A",ROUND(IF(I482&lt;=0,0,IF(AND(I482&gt;0,I482&lt;2000),0.0005*I482,1)),3)))</f>
        <v/>
      </c>
      <c r="N482" s="1168" t="str">
        <f>IF(H482&gt;'I. Stream &amp; Compound Data'!$F$18,"",IF(M482="N/A",IF(J482="","N/A",ROUND(IF(J482&lt;=0,0,IF(AND(J482&gt;0,J482&lt;2000),0.0005*J482,1)),3)),"N/A"))</f>
        <v/>
      </c>
      <c r="O482" s="1287" t="str">
        <f>IF(H482&gt;'I. Stream &amp; Compound Data'!$F$18,"",IF(AND(M482="N/A",N482="N/A"),IF(K482="","N/A",IF(OR(K482=3,K482=4),1,IF(K482=2,0.75,IF(K482=1,0.25,0)))),"N/A"))</f>
        <v/>
      </c>
      <c r="P482" s="1294" t="str">
        <f>IF(H482&gt;'I. Stream &amp; Compound Data'!$F$18,"",IF(I188="","N/A",IF(M482&lt;&gt;"N/A",M482,IF(N482&lt;&gt;"N/A",N482,IF(O482&lt;&gt;"N/A",O482,"NO DATA AVAILABLE")))))</f>
        <v/>
      </c>
      <c r="Q482" s="1294" t="str">
        <f>IF(H482&gt;'I. Stream &amp; Compound Data'!$F$18,"",IF(P482="N/A",0,L482*10^(2*P482-2)))</f>
        <v/>
      </c>
      <c r="R482" s="1294" t="str">
        <f>IF(H482&gt;'I. Stream &amp; Compound Data'!$F$18,"",MAX(K188:L188))</f>
        <v/>
      </c>
      <c r="S482" s="1294" t="str">
        <f>IF(H482&gt;'I. Stream &amp; Compound Data'!$F$18,"",ROUND(Q482*R482,3))</f>
        <v/>
      </c>
      <c r="T482" s="1149" t="str">
        <f>IF(H482&gt;'I. Stream &amp; Compound Data'!$F$18,"",ROUND(L482*R482,3))</f>
        <v/>
      </c>
      <c r="U482" s="299"/>
      <c r="V482" s="279"/>
      <c r="W482" s="279"/>
      <c r="X482" s="279"/>
      <c r="Y482" s="279"/>
      <c r="Z482" s="279"/>
      <c r="AA482" s="279"/>
      <c r="AB482" s="279"/>
      <c r="AC482" s="279"/>
      <c r="AD482" s="279"/>
      <c r="AE482" s="279"/>
      <c r="AF482" s="279"/>
      <c r="AG482" s="279"/>
      <c r="AH482" s="279"/>
      <c r="AI482" s="279"/>
      <c r="AJ482" s="279"/>
      <c r="AK482" s="279"/>
      <c r="AL482" s="279"/>
      <c r="AM482" s="279"/>
      <c r="AN482" s="279"/>
      <c r="AO482" s="279"/>
      <c r="AP482" s="279"/>
      <c r="AQ482" s="279"/>
      <c r="AR482" s="279"/>
      <c r="AS482" s="279"/>
      <c r="AT482" s="279"/>
      <c r="AU482" s="279"/>
      <c r="AV482" s="279"/>
      <c r="AW482" s="279"/>
      <c r="AX482" s="279"/>
      <c r="AY482" s="279"/>
      <c r="AZ482" s="279"/>
      <c r="BA482" s="279"/>
      <c r="BB482" s="279"/>
      <c r="BC482" s="279"/>
      <c r="BD482" s="279"/>
      <c r="BE482" s="279"/>
      <c r="BF482" s="279"/>
      <c r="BG482" s="279"/>
      <c r="BH482" s="279"/>
      <c r="BI482" s="279"/>
      <c r="BJ482" s="279"/>
      <c r="BK482" s="279"/>
      <c r="BL482" s="279"/>
      <c r="BM482" s="279"/>
      <c r="BN482" s="279"/>
      <c r="BO482" s="279"/>
      <c r="BP482" s="279"/>
      <c r="BQ482" s="279"/>
      <c r="BR482" s="279"/>
      <c r="BS482" s="279"/>
      <c r="BT482" s="279"/>
      <c r="BU482" s="279"/>
      <c r="BV482" s="279"/>
      <c r="BW482" s="279"/>
      <c r="BX482" s="279"/>
      <c r="BY482" s="279"/>
      <c r="BZ482" s="279"/>
      <c r="CA482" s="279"/>
      <c r="CB482" s="279"/>
      <c r="CC482" s="279"/>
      <c r="CD482" s="279"/>
      <c r="CE482" s="279"/>
      <c r="CF482" s="279"/>
      <c r="CG482" s="279"/>
      <c r="CH482" s="279"/>
      <c r="CI482" s="279"/>
      <c r="CJ482" s="279"/>
      <c r="CK482" s="279"/>
      <c r="CL482" s="279"/>
      <c r="CM482" s="279"/>
      <c r="CN482" s="382"/>
    </row>
    <row r="483" x14ac:dyDescent="0.25">
      <c r="B483" s="361"/>
      <c r="C483" s="279"/>
      <c r="D483" s="280"/>
      <c r="E483" s="287"/>
      <c r="F483" s="287"/>
      <c r="G483" s="287"/>
      <c r="H483" s="1292">
        <f t="shared" si="17"/>
        <v>48</v>
      </c>
      <c r="I483" s="1295" t="str">
        <f>IF('I. Stream &amp; Compound Data'!BD309&lt;&gt;"",'I. Stream &amp; Compound Data'!BD309,"")</f>
        <v/>
      </c>
      <c r="J483" s="1295" t="str">
        <f>IF('I. Stream &amp; Compound Data'!BE309&lt;&gt;"",'I. Stream &amp; Compound Data'!BE309,"")</f>
        <v/>
      </c>
      <c r="K483" s="1190" t="str">
        <f>IF('I. Stream &amp; Compound Data'!AW309&lt;&gt;"",'I. Stream &amp; Compound Data'!AW309,"")</f>
        <v/>
      </c>
      <c r="L483" s="1190" t="str">
        <f>IF(H483&gt;'I. Stream &amp; Compound Data'!$F$18,"",IF(IF(I483&lt;&gt;"",I483,IF(J483&lt;&gt;"",J483,IF('I. Stream &amp; Compound Data'!BB309&lt;&gt;"",'I. Stream &amp; Compound Data'!BB309,0)))&gt;=0, IF(I483&lt;&gt;"",I483,IF(J483&lt;&gt;"",J483,IF('I. Stream &amp; Compound Data'!BB309&lt;&gt;"",'I. Stream &amp; Compound Data'!BB309,0))),"Endotermic value"))</f>
        <v/>
      </c>
      <c r="M483" s="290" t="str">
        <f>IF(H483&gt;'I. Stream &amp; Compound Data'!$F$18,"",IF(I483="","N/A",ROUND(IF(I483&lt;=0,0,IF(AND(I483&gt;0,I483&lt;2000),0.0005*I483,1)),3)))</f>
        <v/>
      </c>
      <c r="N483" s="1168" t="str">
        <f>IF(H483&gt;'I. Stream &amp; Compound Data'!$F$18,"",IF(M483="N/A",IF(J483="","N/A",ROUND(IF(J483&lt;=0,0,IF(AND(J483&gt;0,J483&lt;2000),0.0005*J483,1)),3)),"N/A"))</f>
        <v/>
      </c>
      <c r="O483" s="1287" t="str">
        <f>IF(H483&gt;'I. Stream &amp; Compound Data'!$F$18,"",IF(AND(M483="N/A",N483="N/A"),IF(K483="","N/A",IF(OR(K483=3,K483=4),1,IF(K483=2,0.75,IF(K483=1,0.25,0)))),"N/A"))</f>
        <v/>
      </c>
      <c r="P483" s="1294" t="str">
        <f>IF(H483&gt;'I. Stream &amp; Compound Data'!$F$18,"",IF(I189="","N/A",IF(M483&lt;&gt;"N/A",M483,IF(N483&lt;&gt;"N/A",N483,IF(O483&lt;&gt;"N/A",O483,"NO DATA AVAILABLE")))))</f>
        <v/>
      </c>
      <c r="Q483" s="1294" t="str">
        <f>IF(H483&gt;'I. Stream &amp; Compound Data'!$F$18,"",IF(P483="N/A",0,L483*10^(2*P483-2)))</f>
        <v/>
      </c>
      <c r="R483" s="1294" t="str">
        <f>IF(H483&gt;'I. Stream &amp; Compound Data'!$F$18,"",MAX(K189:L189))</f>
        <v/>
      </c>
      <c r="S483" s="1294" t="str">
        <f>IF(H483&gt;'I. Stream &amp; Compound Data'!$F$18,"",ROUND(Q483*R483,3))</f>
        <v/>
      </c>
      <c r="T483" s="1149" t="str">
        <f>IF(H483&gt;'I. Stream &amp; Compound Data'!$F$18,"",ROUND(L483*R483,3))</f>
        <v/>
      </c>
      <c r="U483" s="299"/>
      <c r="V483" s="279"/>
      <c r="W483" s="279"/>
      <c r="X483" s="279"/>
      <c r="Y483" s="279"/>
      <c r="Z483" s="279"/>
      <c r="AA483" s="279"/>
      <c r="AB483" s="279"/>
      <c r="AC483" s="279"/>
      <c r="AD483" s="279"/>
      <c r="AE483" s="279"/>
      <c r="AF483" s="279"/>
      <c r="AG483" s="279"/>
      <c r="AH483" s="279"/>
      <c r="AI483" s="279"/>
      <c r="AJ483" s="279"/>
      <c r="AK483" s="279"/>
      <c r="AL483" s="279"/>
      <c r="AM483" s="279"/>
      <c r="AN483" s="279"/>
      <c r="AO483" s="279"/>
      <c r="AP483" s="279"/>
      <c r="AQ483" s="279"/>
      <c r="AR483" s="279"/>
      <c r="AS483" s="279"/>
      <c r="AT483" s="279"/>
      <c r="AU483" s="279"/>
      <c r="AV483" s="279"/>
      <c r="AW483" s="279"/>
      <c r="AX483" s="279"/>
      <c r="AY483" s="279"/>
      <c r="AZ483" s="279"/>
      <c r="BA483" s="279"/>
      <c r="BB483" s="279"/>
      <c r="BC483" s="279"/>
      <c r="BD483" s="279"/>
      <c r="BE483" s="279"/>
      <c r="BF483" s="279"/>
      <c r="BG483" s="279"/>
      <c r="BH483" s="279"/>
      <c r="BI483" s="279"/>
      <c r="BJ483" s="279"/>
      <c r="BK483" s="279"/>
      <c r="BL483" s="279"/>
      <c r="BM483" s="279"/>
      <c r="BN483" s="279"/>
      <c r="BO483" s="279"/>
      <c r="BP483" s="279"/>
      <c r="BQ483" s="279"/>
      <c r="BR483" s="279"/>
      <c r="BS483" s="279"/>
      <c r="BT483" s="279"/>
      <c r="BU483" s="279"/>
      <c r="BV483" s="279"/>
      <c r="BW483" s="279"/>
      <c r="BX483" s="279"/>
      <c r="BY483" s="279"/>
      <c r="BZ483" s="279"/>
      <c r="CA483" s="279"/>
      <c r="CB483" s="279"/>
      <c r="CC483" s="279"/>
      <c r="CD483" s="279"/>
      <c r="CE483" s="279"/>
      <c r="CF483" s="279"/>
      <c r="CG483" s="279"/>
      <c r="CH483" s="279"/>
      <c r="CI483" s="279"/>
      <c r="CJ483" s="279"/>
      <c r="CK483" s="279"/>
      <c r="CL483" s="279"/>
      <c r="CM483" s="279"/>
      <c r="CN483" s="382"/>
    </row>
    <row r="484" x14ac:dyDescent="0.25">
      <c r="B484" s="361"/>
      <c r="C484" s="279"/>
      <c r="D484" s="280"/>
      <c r="E484" s="287"/>
      <c r="F484" s="287"/>
      <c r="G484" s="287"/>
      <c r="H484" s="1292">
        <f t="shared" si="17"/>
        <v>49</v>
      </c>
      <c r="I484" s="1295" t="str">
        <f>IF('I. Stream &amp; Compound Data'!BD310&lt;&gt;"",'I. Stream &amp; Compound Data'!BD310,"")</f>
        <v/>
      </c>
      <c r="J484" s="1295" t="str">
        <f>IF('I. Stream &amp; Compound Data'!BE310&lt;&gt;"",'I. Stream &amp; Compound Data'!BE310,"")</f>
        <v/>
      </c>
      <c r="K484" s="1190" t="str">
        <f>IF('I. Stream &amp; Compound Data'!AW310&lt;&gt;"",'I. Stream &amp; Compound Data'!AW310,"")</f>
        <v/>
      </c>
      <c r="L484" s="1190" t="str">
        <f>IF(H484&gt;'I. Stream &amp; Compound Data'!$F$18,"",IF(IF(I484&lt;&gt;"",I484,IF(J484&lt;&gt;"",J484,IF('I. Stream &amp; Compound Data'!BB310&lt;&gt;"",'I. Stream &amp; Compound Data'!BB310,0)))&gt;=0, IF(I484&lt;&gt;"",I484,IF(J484&lt;&gt;"",J484,IF('I. Stream &amp; Compound Data'!BB310&lt;&gt;"",'I. Stream &amp; Compound Data'!BB310,0))),"Endotermic value"))</f>
        <v/>
      </c>
      <c r="M484" s="290" t="str">
        <f>IF(H484&gt;'I. Stream &amp; Compound Data'!$F$18,"",IF(I484="","N/A",ROUND(IF(I484&lt;=0,0,IF(AND(I484&gt;0,I484&lt;2000),0.0005*I484,1)),3)))</f>
        <v/>
      </c>
      <c r="N484" s="1168" t="str">
        <f>IF(H484&gt;'I. Stream &amp; Compound Data'!$F$18,"",IF(M484="N/A",IF(J484="","N/A",ROUND(IF(J484&lt;=0,0,IF(AND(J484&gt;0,J484&lt;2000),0.0005*J484,1)),3)),"N/A"))</f>
        <v/>
      </c>
      <c r="O484" s="1287" t="str">
        <f>IF(H484&gt;'I. Stream &amp; Compound Data'!$F$18,"",IF(AND(M484="N/A",N484="N/A"),IF(K484="","N/A",IF(OR(K484=3,K484=4),1,IF(K484=2,0.75,IF(K484=1,0.25,0)))),"N/A"))</f>
        <v/>
      </c>
      <c r="P484" s="1294" t="str">
        <f>IF(H484&gt;'I. Stream &amp; Compound Data'!$F$18,"",IF(I190="","N/A",IF(M484&lt;&gt;"N/A",M484,IF(N484&lt;&gt;"N/A",N484,IF(O484&lt;&gt;"N/A",O484,"NO DATA AVAILABLE")))))</f>
        <v/>
      </c>
      <c r="Q484" s="1294" t="str">
        <f>IF(H484&gt;'I. Stream &amp; Compound Data'!$F$18,"",IF(P484="N/A",0,L484*10^(2*P484-2)))</f>
        <v/>
      </c>
      <c r="R484" s="1294" t="str">
        <f>IF(H484&gt;'I. Stream &amp; Compound Data'!$F$18,"",MAX(K190:L190))</f>
        <v/>
      </c>
      <c r="S484" s="1294" t="str">
        <f>IF(H484&gt;'I. Stream &amp; Compound Data'!$F$18,"",ROUND(Q484*R484,3))</f>
        <v/>
      </c>
      <c r="T484" s="1149" t="str">
        <f>IF(H484&gt;'I. Stream &amp; Compound Data'!$F$18,"",ROUND(L484*R484,3))</f>
        <v/>
      </c>
      <c r="U484" s="299"/>
      <c r="V484" s="279"/>
      <c r="W484" s="279"/>
      <c r="X484" s="279"/>
      <c r="Y484" s="279"/>
      <c r="Z484" s="279"/>
      <c r="AA484" s="279"/>
      <c r="AB484" s="279"/>
      <c r="AC484" s="279"/>
      <c r="AD484" s="279"/>
      <c r="AE484" s="279"/>
      <c r="AF484" s="279"/>
      <c r="AG484" s="279"/>
      <c r="AH484" s="279"/>
      <c r="AI484" s="279"/>
      <c r="AJ484" s="279"/>
      <c r="AK484" s="279"/>
      <c r="AL484" s="279"/>
      <c r="AM484" s="279"/>
      <c r="AN484" s="279"/>
      <c r="AO484" s="279"/>
      <c r="AP484" s="279"/>
      <c r="AQ484" s="279"/>
      <c r="AR484" s="279"/>
      <c r="AS484" s="279"/>
      <c r="AT484" s="279"/>
      <c r="AU484" s="279"/>
      <c r="AV484" s="279"/>
      <c r="AW484" s="279"/>
      <c r="AX484" s="279"/>
      <c r="AY484" s="279"/>
      <c r="AZ484" s="279"/>
      <c r="BA484" s="279"/>
      <c r="BB484" s="279"/>
      <c r="BC484" s="279"/>
      <c r="BD484" s="279"/>
      <c r="BE484" s="279"/>
      <c r="BF484" s="279"/>
      <c r="BG484" s="279"/>
      <c r="BH484" s="279"/>
      <c r="BI484" s="279"/>
      <c r="BJ484" s="279"/>
      <c r="BK484" s="279"/>
      <c r="BL484" s="279"/>
      <c r="BM484" s="279"/>
      <c r="BN484" s="279"/>
      <c r="BO484" s="279"/>
      <c r="BP484" s="279"/>
      <c r="BQ484" s="279"/>
      <c r="BR484" s="279"/>
      <c r="BS484" s="279"/>
      <c r="BT484" s="279"/>
      <c r="BU484" s="279"/>
      <c r="BV484" s="279"/>
      <c r="BW484" s="279"/>
      <c r="BX484" s="279"/>
      <c r="BY484" s="279"/>
      <c r="BZ484" s="279"/>
      <c r="CA484" s="279"/>
      <c r="CB484" s="279"/>
      <c r="CC484" s="279"/>
      <c r="CD484" s="279"/>
      <c r="CE484" s="279"/>
      <c r="CF484" s="279"/>
      <c r="CG484" s="279"/>
      <c r="CH484" s="279"/>
      <c r="CI484" s="279"/>
      <c r="CJ484" s="279"/>
      <c r="CK484" s="279"/>
      <c r="CL484" s="279"/>
      <c r="CM484" s="279"/>
      <c r="CN484" s="382"/>
    </row>
    <row r="485" ht="16.2" thickBot="true" x14ac:dyDescent="0.3">
      <c r="B485" s="361"/>
      <c r="C485" s="279"/>
      <c r="D485" s="280"/>
      <c r="E485" s="287"/>
      <c r="F485" s="287"/>
      <c r="G485" s="287"/>
      <c r="H485" s="1298">
        <f t="shared" si="17"/>
        <v>50</v>
      </c>
      <c r="I485" s="1301" t="str">
        <f>IF('I. Stream &amp; Compound Data'!BD311&lt;&gt;"",'I. Stream &amp; Compound Data'!BD311,"")</f>
        <v/>
      </c>
      <c r="J485" s="1301" t="str">
        <f>IF('I. Stream &amp; Compound Data'!BE311&lt;&gt;"",'I. Stream &amp; Compound Data'!BE311,"")</f>
        <v/>
      </c>
      <c r="K485" s="1259" t="str">
        <f>IF('I. Stream &amp; Compound Data'!AW311&lt;&gt;"",'I. Stream &amp; Compound Data'!AW311,"")</f>
        <v/>
      </c>
      <c r="L485" s="1259" t="str">
        <f>IF(H485&gt;'I. Stream &amp; Compound Data'!$F$18,"",IF(IF(I485&lt;&gt;"",I485,IF(J485&lt;&gt;"",J485,IF('I. Stream &amp; Compound Data'!BB311&lt;&gt;"",'I. Stream &amp; Compound Data'!BB311,0)))&gt;=0, IF(I485&lt;&gt;"",I485,IF(J485&lt;&gt;"",J485,IF('I. Stream &amp; Compound Data'!BB311&lt;&gt;"",'I. Stream &amp; Compound Data'!BB311,0))),"Endotermic value"))</f>
        <v/>
      </c>
      <c r="M485" s="1302" t="str">
        <f>IF(H485&gt;'I. Stream &amp; Compound Data'!$F$18,"",IF(I485="","N/A",ROUND(IF(I485&lt;=0,0,IF(AND(I485&gt;0,I485&lt;2000),0.0005*I485,1)),3)))</f>
        <v/>
      </c>
      <c r="N485" s="1225" t="str">
        <f>IF(H485&gt;'I. Stream &amp; Compound Data'!$F$18,"",IF(M485="N/A",IF(J485="","N/A",ROUND(IF(J485&lt;=0,0,IF(AND(J485&gt;0,J485&lt;2000),0.0005*J485,1)),3)),"N/A"))</f>
        <v/>
      </c>
      <c r="O485" s="1290" t="str">
        <f>IF(H485&gt;'I. Stream &amp; Compound Data'!$F$18,"",IF(AND(M485="N/A",N485="N/A"),IF(K485="","N/A",IF(OR(K485=3,K485=4),1,IF(K485=2,0.75,IF(K485=1,0.25,0)))),"N/A"))</f>
        <v/>
      </c>
      <c r="P485" s="1300" t="str">
        <f>IF(H485&gt;'I. Stream &amp; Compound Data'!$F$18,"",IF(I191="","N/A",IF(M485&lt;&gt;"N/A",M485,IF(N485&lt;&gt;"N/A",N485,IF(O485&lt;&gt;"N/A",O485,"NO DATA AVAILABLE")))))</f>
        <v/>
      </c>
      <c r="Q485" s="1300" t="str">
        <f>IF(H485&gt;'I. Stream &amp; Compound Data'!$F$18,"",IF(P485="N/A",0,L485*10^(2*P485-2)))</f>
        <v/>
      </c>
      <c r="R485" s="1300" t="str">
        <f>IF(H485&gt;'I. Stream &amp; Compound Data'!$F$18,"",MAX(K191:L191))</f>
        <v/>
      </c>
      <c r="S485" s="1300" t="str">
        <f>IF(H485&gt;'I. Stream &amp; Compound Data'!$F$18,"",ROUND(Q485*R485,3))</f>
        <v/>
      </c>
      <c r="T485" s="1291" t="str">
        <f>IF(H485&gt;'I. Stream &amp; Compound Data'!$F$18,"",ROUND(L485*R485,3))</f>
        <v/>
      </c>
      <c r="U485" s="299"/>
      <c r="V485" s="279"/>
      <c r="W485" s="279"/>
      <c r="X485" s="279"/>
      <c r="Y485" s="279"/>
      <c r="Z485" s="279"/>
      <c r="AA485" s="279"/>
      <c r="AB485" s="279"/>
      <c r="AC485" s="279"/>
      <c r="AD485" s="279"/>
      <c r="AE485" s="279"/>
      <c r="AF485" s="279"/>
      <c r="AG485" s="279"/>
      <c r="AH485" s="279"/>
      <c r="AI485" s="279"/>
      <c r="AJ485" s="279"/>
      <c r="AK485" s="279"/>
      <c r="AL485" s="279"/>
      <c r="AM485" s="279"/>
      <c r="AN485" s="279"/>
      <c r="AO485" s="279"/>
      <c r="AP485" s="279"/>
      <c r="AQ485" s="279"/>
      <c r="AR485" s="279"/>
      <c r="AS485" s="279"/>
      <c r="AT485" s="279"/>
      <c r="AU485" s="279"/>
      <c r="AV485" s="279"/>
      <c r="AW485" s="279"/>
      <c r="AX485" s="279"/>
      <c r="AY485" s="279"/>
      <c r="AZ485" s="279"/>
      <c r="BA485" s="279"/>
      <c r="BB485" s="279"/>
      <c r="BC485" s="279"/>
      <c r="BD485" s="279"/>
      <c r="BE485" s="279"/>
      <c r="BF485" s="279"/>
      <c r="BG485" s="279"/>
      <c r="BH485" s="279"/>
      <c r="BI485" s="279"/>
      <c r="BJ485" s="279"/>
      <c r="BK485" s="279"/>
      <c r="BL485" s="279"/>
      <c r="BM485" s="279"/>
      <c r="BN485" s="279"/>
      <c r="BO485" s="279"/>
      <c r="BP485" s="279"/>
      <c r="BQ485" s="279"/>
      <c r="BR485" s="279"/>
      <c r="BS485" s="279"/>
      <c r="BT485" s="279"/>
      <c r="BU485" s="279"/>
      <c r="BV485" s="279"/>
      <c r="BW485" s="279"/>
      <c r="BX485" s="279"/>
      <c r="BY485" s="279"/>
      <c r="BZ485" s="279"/>
      <c r="CA485" s="279"/>
      <c r="CB485" s="279"/>
      <c r="CC485" s="279"/>
      <c r="CD485" s="279"/>
      <c r="CE485" s="279"/>
      <c r="CF485" s="279"/>
      <c r="CG485" s="279"/>
      <c r="CH485" s="279"/>
      <c r="CI485" s="279"/>
      <c r="CJ485" s="279"/>
      <c r="CK485" s="279"/>
      <c r="CL485" s="279"/>
      <c r="CM485" s="279"/>
      <c r="CN485" s="382"/>
    </row>
    <row r="486" ht="16.2" thickBot="true" x14ac:dyDescent="0.3">
      <c r="B486" s="361"/>
      <c r="C486" s="279"/>
      <c r="D486" s="280"/>
      <c r="E486" s="287"/>
      <c r="F486" s="287"/>
      <c r="G486" s="287"/>
      <c r="H486" s="280"/>
      <c r="I486" s="304"/>
      <c r="J486" s="279"/>
      <c r="K486" s="280"/>
      <c r="L486" s="362"/>
      <c r="M486" s="287"/>
      <c r="N486" s="296"/>
      <c r="O486" s="280"/>
      <c r="P486" s="280"/>
      <c r="Q486" s="280"/>
      <c r="R486" s="287" t="s">
        <v>88</v>
      </c>
      <c r="S486" s="1305">
        <f>SUM(S436:S485)</f>
        <v>0</v>
      </c>
      <c r="T486" s="1305">
        <f>SUM(T436:T485)</f>
        <v>0</v>
      </c>
      <c r="U486" s="299"/>
      <c r="V486" s="279"/>
      <c r="W486" s="279"/>
      <c r="X486" s="279"/>
      <c r="Y486" s="279"/>
      <c r="Z486" s="279"/>
      <c r="AA486" s="279"/>
      <c r="AB486" s="279"/>
      <c r="AC486" s="279"/>
      <c r="AD486" s="279"/>
      <c r="AE486" s="279"/>
      <c r="AF486" s="279"/>
      <c r="AG486" s="279"/>
      <c r="AH486" s="279"/>
      <c r="AI486" s="279"/>
      <c r="AJ486" s="279"/>
      <c r="AK486" s="279"/>
      <c r="AL486" s="279"/>
      <c r="AM486" s="279"/>
      <c r="AN486" s="279"/>
      <c r="AO486" s="279"/>
      <c r="AP486" s="279"/>
      <c r="AQ486" s="279"/>
      <c r="AR486" s="279"/>
      <c r="AS486" s="279"/>
      <c r="AT486" s="279"/>
      <c r="AU486" s="279"/>
      <c r="AV486" s="279"/>
      <c r="AW486" s="279"/>
      <c r="AX486" s="279"/>
      <c r="AY486" s="279"/>
      <c r="AZ486" s="279"/>
      <c r="BA486" s="279"/>
      <c r="BB486" s="279"/>
      <c r="BC486" s="279"/>
      <c r="BD486" s="279"/>
      <c r="BE486" s="279"/>
      <c r="BF486" s="279"/>
      <c r="BG486" s="279"/>
      <c r="BH486" s="279"/>
      <c r="BI486" s="279"/>
      <c r="BJ486" s="279"/>
      <c r="BK486" s="279"/>
      <c r="BL486" s="279"/>
      <c r="BM486" s="279"/>
      <c r="BN486" s="279"/>
      <c r="BO486" s="279"/>
      <c r="BP486" s="279"/>
      <c r="BQ486" s="279"/>
      <c r="BR486" s="279"/>
      <c r="BS486" s="279"/>
      <c r="BT486" s="279"/>
      <c r="BU486" s="279"/>
      <c r="BV486" s="279"/>
      <c r="BW486" s="279"/>
      <c r="BX486" s="279"/>
      <c r="BY486" s="279"/>
      <c r="BZ486" s="279"/>
      <c r="CA486" s="279"/>
      <c r="CB486" s="279"/>
      <c r="CC486" s="279"/>
      <c r="CD486" s="279"/>
      <c r="CE486" s="279"/>
      <c r="CF486" s="279"/>
      <c r="CG486" s="279"/>
      <c r="CH486" s="279"/>
      <c r="CI486" s="279"/>
      <c r="CJ486" s="279"/>
      <c r="CK486" s="279"/>
      <c r="CL486" s="279"/>
      <c r="CM486" s="279"/>
      <c r="CN486" s="382"/>
    </row>
    <row r="487" x14ac:dyDescent="0.25">
      <c r="B487" s="361"/>
      <c r="C487" s="279"/>
      <c r="D487" s="280"/>
      <c r="E487" s="287"/>
      <c r="F487" s="287"/>
      <c r="G487" s="287"/>
      <c r="H487" s="280"/>
      <c r="I487" s="304"/>
      <c r="J487" s="279"/>
      <c r="K487" s="280"/>
      <c r="L487" s="362"/>
      <c r="M487" s="287"/>
      <c r="N487" s="296"/>
      <c r="O487" s="280"/>
      <c r="P487" s="280"/>
      <c r="Q487" s="280"/>
      <c r="R487" s="287"/>
      <c r="S487" s="287"/>
      <c r="T487" s="287"/>
      <c r="U487" s="299"/>
      <c r="V487" s="279"/>
      <c r="W487" s="279"/>
      <c r="X487" s="279"/>
      <c r="Y487" s="279"/>
      <c r="Z487" s="279"/>
      <c r="AA487" s="279"/>
      <c r="AB487" s="279"/>
      <c r="AC487" s="279"/>
      <c r="AD487" s="279"/>
      <c r="AE487" s="279"/>
      <c r="AF487" s="279"/>
      <c r="AG487" s="279"/>
      <c r="AH487" s="279"/>
      <c r="AI487" s="279"/>
      <c r="AJ487" s="279"/>
      <c r="AK487" s="279"/>
      <c r="AL487" s="279"/>
      <c r="AM487" s="279"/>
      <c r="AN487" s="279"/>
      <c r="AO487" s="279"/>
      <c r="AP487" s="279"/>
      <c r="AQ487" s="279"/>
      <c r="AR487" s="279"/>
      <c r="AS487" s="279"/>
      <c r="AT487" s="279"/>
      <c r="AU487" s="279"/>
      <c r="AV487" s="279"/>
      <c r="AW487" s="279"/>
      <c r="AX487" s="279"/>
      <c r="AY487" s="279"/>
      <c r="AZ487" s="279"/>
      <c r="BA487" s="279"/>
      <c r="BB487" s="279"/>
      <c r="BC487" s="279"/>
      <c r="BD487" s="279"/>
      <c r="BE487" s="279"/>
      <c r="BF487" s="279"/>
      <c r="BG487" s="279"/>
      <c r="BH487" s="279"/>
      <c r="BI487" s="279"/>
      <c r="BJ487" s="279"/>
      <c r="BK487" s="279"/>
      <c r="BL487" s="279"/>
      <c r="BM487" s="279"/>
      <c r="BN487" s="279"/>
      <c r="BO487" s="279"/>
      <c r="BP487" s="279"/>
      <c r="BQ487" s="279"/>
      <c r="BR487" s="279"/>
      <c r="BS487" s="279"/>
      <c r="BT487" s="279"/>
      <c r="BU487" s="279"/>
      <c r="BV487" s="279"/>
      <c r="BW487" s="279"/>
      <c r="BX487" s="279"/>
      <c r="BY487" s="279"/>
      <c r="BZ487" s="279"/>
      <c r="CA487" s="279"/>
      <c r="CB487" s="279"/>
      <c r="CC487" s="279"/>
      <c r="CD487" s="279"/>
      <c r="CE487" s="279"/>
      <c r="CF487" s="279"/>
      <c r="CG487" s="279"/>
      <c r="CH487" s="279"/>
      <c r="CI487" s="279"/>
      <c r="CJ487" s="279"/>
      <c r="CK487" s="279"/>
      <c r="CL487" s="279"/>
      <c r="CM487" s="279"/>
      <c r="CN487" s="382"/>
    </row>
    <row r="488" x14ac:dyDescent="0.25">
      <c r="B488" s="361"/>
      <c r="C488" s="279"/>
      <c r="D488" s="280"/>
      <c r="E488" s="287"/>
      <c r="F488" s="287"/>
      <c r="G488" s="287"/>
      <c r="H488" s="280"/>
      <c r="I488" s="304"/>
      <c r="J488" s="279"/>
      <c r="K488" s="280"/>
      <c r="L488" s="362"/>
      <c r="M488" s="287"/>
      <c r="N488" s="296"/>
      <c r="O488" s="280"/>
      <c r="P488" s="280"/>
      <c r="Q488" s="280"/>
      <c r="R488" s="287"/>
      <c r="S488" s="287"/>
      <c r="T488" s="287"/>
      <c r="U488" s="299"/>
      <c r="V488" s="279"/>
      <c r="W488" s="279"/>
      <c r="X488" s="279"/>
      <c r="Y488" s="279"/>
      <c r="Z488" s="279"/>
      <c r="AA488" s="279"/>
      <c r="AB488" s="279"/>
      <c r="AC488" s="279"/>
      <c r="AD488" s="279"/>
      <c r="AE488" s="279"/>
      <c r="AF488" s="279"/>
      <c r="AG488" s="279"/>
      <c r="AH488" s="279"/>
      <c r="AI488" s="279"/>
      <c r="AJ488" s="279"/>
      <c r="AK488" s="279"/>
      <c r="AL488" s="279"/>
      <c r="AM488" s="279"/>
      <c r="AN488" s="279"/>
      <c r="AO488" s="279"/>
      <c r="AP488" s="279"/>
      <c r="AQ488" s="279"/>
      <c r="AR488" s="279"/>
      <c r="AS488" s="279"/>
      <c r="AT488" s="279"/>
      <c r="AU488" s="279"/>
      <c r="AV488" s="279"/>
      <c r="AW488" s="279"/>
      <c r="AX488" s="279"/>
      <c r="AY488" s="279"/>
      <c r="AZ488" s="279"/>
      <c r="BA488" s="279"/>
      <c r="BB488" s="279"/>
      <c r="BC488" s="279"/>
      <c r="BD488" s="279"/>
      <c r="BE488" s="279"/>
      <c r="BF488" s="279"/>
      <c r="BG488" s="279"/>
      <c r="BH488" s="279"/>
      <c r="BI488" s="279"/>
      <c r="BJ488" s="279"/>
      <c r="BK488" s="279"/>
      <c r="BL488" s="279"/>
      <c r="BM488" s="279"/>
      <c r="BN488" s="279"/>
      <c r="BO488" s="279"/>
      <c r="BP488" s="279"/>
      <c r="BQ488" s="279"/>
      <c r="BR488" s="279"/>
      <c r="BS488" s="279"/>
      <c r="BT488" s="279"/>
      <c r="BU488" s="279"/>
      <c r="BV488" s="279"/>
      <c r="BW488" s="279"/>
      <c r="BX488" s="279"/>
      <c r="BY488" s="279"/>
      <c r="BZ488" s="279"/>
      <c r="CA488" s="279"/>
      <c r="CB488" s="279"/>
      <c r="CC488" s="279"/>
      <c r="CD488" s="279"/>
      <c r="CE488" s="279"/>
      <c r="CF488" s="279"/>
      <c r="CG488" s="279"/>
      <c r="CH488" s="279"/>
      <c r="CI488" s="279"/>
      <c r="CJ488" s="279"/>
      <c r="CK488" s="279"/>
      <c r="CL488" s="279"/>
      <c r="CM488" s="279"/>
      <c r="CN488" s="382"/>
    </row>
    <row r="489" ht="15.75" customHeight="true" x14ac:dyDescent="0.3">
      <c r="B489" s="361"/>
      <c r="C489" s="279"/>
      <c r="D489" s="280"/>
      <c r="E489" s="287"/>
      <c r="F489" s="287"/>
      <c r="G489" s="287"/>
      <c r="H489" s="280"/>
      <c r="I489" s="304"/>
      <c r="J489" s="279"/>
      <c r="K489" s="280"/>
      <c r="L489" s="362"/>
      <c r="M489" s="287"/>
      <c r="N489" s="296"/>
      <c r="O489" s="280"/>
      <c r="P489" s="280"/>
      <c r="Q489" s="280"/>
      <c r="R489" s="297"/>
      <c r="S489" s="298"/>
      <c r="T489" s="298"/>
      <c r="U489" s="299"/>
      <c r="V489" s="279"/>
      <c r="W489" s="279"/>
      <c r="X489" s="279"/>
      <c r="Y489" s="279"/>
      <c r="Z489" s="279"/>
      <c r="AA489" s="279"/>
      <c r="AB489" s="279"/>
      <c r="AC489" s="279"/>
      <c r="AD489" s="279"/>
      <c r="AE489" s="279"/>
      <c r="AF489" s="279"/>
      <c r="AG489" s="279"/>
      <c r="AH489" s="279"/>
      <c r="AI489" s="279"/>
      <c r="AJ489" s="279"/>
      <c r="AK489" s="279"/>
      <c r="AL489" s="279"/>
      <c r="AM489" s="279"/>
      <c r="AN489" s="279"/>
      <c r="AO489" s="279"/>
      <c r="AP489" s="279"/>
      <c r="AQ489" s="279"/>
      <c r="AR489" s="279"/>
      <c r="AS489" s="279"/>
      <c r="AT489" s="279"/>
      <c r="AU489" s="279"/>
      <c r="AV489" s="279"/>
      <c r="AW489" s="279"/>
      <c r="AX489" s="279"/>
      <c r="AY489" s="279"/>
      <c r="AZ489" s="279"/>
      <c r="BA489" s="279"/>
      <c r="BB489" s="279"/>
      <c r="BC489" s="279"/>
      <c r="BD489" s="279"/>
      <c r="BE489" s="279"/>
      <c r="BF489" s="279"/>
      <c r="BG489" s="279"/>
      <c r="BH489" s="279"/>
      <c r="BI489" s="279"/>
      <c r="BJ489" s="279"/>
      <c r="BK489" s="279"/>
      <c r="BL489" s="279"/>
      <c r="BM489" s="279"/>
      <c r="BN489" s="279"/>
      <c r="BO489" s="279"/>
      <c r="BP489" s="279"/>
      <c r="BQ489" s="279"/>
      <c r="BR489" s="279"/>
      <c r="BS489" s="279"/>
      <c r="BT489" s="279"/>
      <c r="BU489" s="279"/>
      <c r="BV489" s="279"/>
      <c r="BW489" s="279"/>
      <c r="BX489" s="279"/>
      <c r="BY489" s="279"/>
      <c r="BZ489" s="279"/>
      <c r="CA489" s="279"/>
      <c r="CB489" s="279"/>
      <c r="CC489" s="279"/>
      <c r="CD489" s="279"/>
      <c r="CE489" s="279"/>
      <c r="CF489" s="279"/>
      <c r="CG489" s="279"/>
      <c r="CH489" s="279"/>
      <c r="CI489" s="279"/>
      <c r="CJ489" s="279"/>
      <c r="CK489" s="279"/>
      <c r="CL489" s="279"/>
      <c r="CM489" s="279"/>
      <c r="CN489" s="382"/>
    </row>
    <row r="490" ht="15.75" customHeight="true" x14ac:dyDescent="0.3">
      <c r="B490" s="361"/>
      <c r="C490" s="279"/>
      <c r="D490" s="280"/>
      <c r="E490" s="287"/>
      <c r="F490" s="287"/>
      <c r="G490" s="287"/>
      <c r="H490" s="280"/>
      <c r="I490" s="304"/>
      <c r="J490" s="279"/>
      <c r="K490" s="280"/>
      <c r="L490" s="362"/>
      <c r="M490" s="287"/>
      <c r="N490" s="296"/>
      <c r="O490" s="280"/>
      <c r="P490" s="280"/>
      <c r="Q490" s="280"/>
      <c r="R490" s="297"/>
      <c r="S490" s="298"/>
      <c r="T490" s="298"/>
      <c r="U490" s="299"/>
      <c r="V490" s="279"/>
      <c r="W490" s="279"/>
      <c r="X490" s="279"/>
      <c r="Y490" s="279"/>
      <c r="Z490" s="279"/>
      <c r="AA490" s="279"/>
      <c r="AB490" s="279"/>
      <c r="AC490" s="279"/>
      <c r="AD490" s="279"/>
      <c r="AE490" s="279"/>
      <c r="AF490" s="279"/>
      <c r="AG490" s="279"/>
      <c r="AH490" s="279"/>
      <c r="AI490" s="279"/>
      <c r="AJ490" s="279"/>
      <c r="AK490" s="279"/>
      <c r="AL490" s="279"/>
      <c r="AM490" s="279"/>
      <c r="AN490" s="279"/>
      <c r="AO490" s="279"/>
      <c r="AP490" s="279"/>
      <c r="AQ490" s="279"/>
      <c r="AR490" s="279"/>
      <c r="AS490" s="279"/>
      <c r="AT490" s="279"/>
      <c r="AU490" s="279"/>
      <c r="AV490" s="279"/>
      <c r="AW490" s="279"/>
      <c r="AX490" s="279"/>
      <c r="AY490" s="279"/>
      <c r="AZ490" s="279"/>
      <c r="BA490" s="279"/>
      <c r="BB490" s="279"/>
      <c r="BC490" s="279"/>
      <c r="BD490" s="279"/>
      <c r="BE490" s="279"/>
      <c r="BF490" s="279"/>
      <c r="BG490" s="279"/>
      <c r="BH490" s="279"/>
      <c r="BI490" s="279"/>
      <c r="BJ490" s="279"/>
      <c r="BK490" s="279"/>
      <c r="BL490" s="279"/>
      <c r="BM490" s="279"/>
      <c r="BN490" s="279"/>
      <c r="BO490" s="279"/>
      <c r="BP490" s="279"/>
      <c r="BQ490" s="279"/>
      <c r="BR490" s="279"/>
      <c r="BS490" s="279"/>
      <c r="BT490" s="279"/>
      <c r="BU490" s="279"/>
      <c r="BV490" s="279"/>
      <c r="BW490" s="279"/>
      <c r="BX490" s="279"/>
      <c r="BY490" s="279"/>
      <c r="BZ490" s="279"/>
      <c r="CA490" s="279"/>
      <c r="CB490" s="279"/>
      <c r="CC490" s="279"/>
      <c r="CD490" s="279"/>
      <c r="CE490" s="279"/>
      <c r="CF490" s="279"/>
      <c r="CG490" s="279"/>
      <c r="CH490" s="279"/>
      <c r="CI490" s="279"/>
      <c r="CJ490" s="279"/>
      <c r="CK490" s="279"/>
      <c r="CL490" s="279"/>
      <c r="CM490" s="279"/>
      <c r="CN490" s="382"/>
    </row>
    <row r="491" ht="15.75" customHeight="true" thickBot="true" x14ac:dyDescent="0.35">
      <c r="B491" s="361"/>
      <c r="C491" s="279"/>
      <c r="D491" s="280"/>
      <c r="E491" s="287"/>
      <c r="F491" s="287"/>
      <c r="G491" s="287"/>
      <c r="H491" s="280"/>
      <c r="I491" s="304"/>
      <c r="J491" s="279"/>
      <c r="K491" s="280"/>
      <c r="L491" s="362"/>
      <c r="M491" s="287"/>
      <c r="N491" s="296"/>
      <c r="O491" s="280"/>
      <c r="P491" s="280"/>
      <c r="Q491" s="279"/>
      <c r="R491" s="297"/>
      <c r="S491" s="298"/>
      <c r="T491" s="298"/>
      <c r="U491" s="299"/>
      <c r="V491" s="279"/>
      <c r="W491" s="279"/>
      <c r="X491" s="279"/>
      <c r="Y491" s="279"/>
      <c r="Z491" s="279"/>
      <c r="AA491" s="279"/>
      <c r="AB491" s="279"/>
      <c r="AC491" s="279"/>
      <c r="AD491" s="279"/>
      <c r="AE491" s="279"/>
      <c r="AF491" s="279"/>
      <c r="AG491" s="279"/>
      <c r="AH491" s="279"/>
      <c r="AI491" s="279"/>
      <c r="AJ491" s="279"/>
      <c r="AK491" s="279"/>
      <c r="AL491" s="279"/>
      <c r="AM491" s="279"/>
      <c r="AN491" s="279"/>
      <c r="AO491" s="279"/>
      <c r="AP491" s="279"/>
      <c r="AQ491" s="279"/>
      <c r="AR491" s="279"/>
      <c r="AS491" s="279"/>
      <c r="AT491" s="279"/>
      <c r="AU491" s="279"/>
      <c r="AV491" s="279"/>
      <c r="AW491" s="279"/>
      <c r="AX491" s="279"/>
      <c r="AY491" s="279"/>
      <c r="AZ491" s="279"/>
      <c r="BA491" s="279"/>
      <c r="BB491" s="279"/>
      <c r="BC491" s="279"/>
      <c r="BD491" s="279"/>
      <c r="BE491" s="279"/>
      <c r="BF491" s="279"/>
      <c r="BG491" s="279"/>
      <c r="BH491" s="279"/>
      <c r="BI491" s="279"/>
      <c r="BJ491" s="279"/>
      <c r="BK491" s="279"/>
      <c r="BL491" s="279"/>
      <c r="BM491" s="279"/>
      <c r="BN491" s="279"/>
      <c r="BO491" s="279"/>
      <c r="BP491" s="279"/>
      <c r="BQ491" s="279"/>
      <c r="BR491" s="279"/>
      <c r="BS491" s="279"/>
      <c r="BT491" s="279"/>
      <c r="BU491" s="279"/>
      <c r="BV491" s="279"/>
      <c r="BW491" s="279"/>
      <c r="BX491" s="279"/>
      <c r="BY491" s="279"/>
      <c r="BZ491" s="279"/>
      <c r="CA491" s="279"/>
      <c r="CB491" s="279"/>
      <c r="CC491" s="279"/>
      <c r="CD491" s="279"/>
      <c r="CE491" s="279"/>
      <c r="CF491" s="279"/>
      <c r="CG491" s="279"/>
      <c r="CH491" s="279"/>
      <c r="CI491" s="279"/>
      <c r="CJ491" s="279"/>
      <c r="CK491" s="279"/>
      <c r="CL491" s="279"/>
      <c r="CM491" s="279"/>
      <c r="CN491" s="382"/>
    </row>
    <row r="492" ht="27" customHeight="true" thickBot="true" x14ac:dyDescent="0.35">
      <c r="B492" s="361"/>
      <c r="C492" s="279"/>
      <c r="D492" s="280"/>
      <c r="E492" s="287"/>
      <c r="F492" s="287"/>
      <c r="G492" s="287"/>
      <c r="H492" s="1950" t="s">
        <v>285</v>
      </c>
      <c r="I492" s="1951"/>
      <c r="J492" s="1951"/>
      <c r="K492" s="1951"/>
      <c r="L492" s="1952"/>
      <c r="M492" s="280"/>
      <c r="N492" s="280"/>
      <c r="O492" s="280"/>
      <c r="P492" s="280"/>
      <c r="Q492" s="279"/>
      <c r="R492" s="297"/>
      <c r="S492" s="298"/>
      <c r="T492" s="298"/>
      <c r="U492" s="299"/>
      <c r="V492" s="279"/>
      <c r="W492" s="279"/>
      <c r="X492" s="279"/>
      <c r="Y492" s="279"/>
      <c r="Z492" s="279"/>
      <c r="AA492" s="279"/>
      <c r="AB492" s="279"/>
      <c r="AC492" s="279"/>
      <c r="AD492" s="279"/>
      <c r="AE492" s="279"/>
      <c r="AF492" s="279"/>
      <c r="AG492" s="279"/>
      <c r="AH492" s="279"/>
      <c r="AI492" s="279"/>
      <c r="AJ492" s="279"/>
      <c r="AK492" s="279"/>
      <c r="AL492" s="279"/>
      <c r="AM492" s="279"/>
      <c r="AN492" s="279"/>
      <c r="AO492" s="279"/>
      <c r="AP492" s="279"/>
      <c r="AQ492" s="279"/>
      <c r="AR492" s="279"/>
      <c r="AS492" s="279"/>
      <c r="AT492" s="279"/>
      <c r="AU492" s="279"/>
      <c r="AV492" s="279"/>
      <c r="AW492" s="279"/>
      <c r="AX492" s="279"/>
      <c r="AY492" s="279"/>
      <c r="AZ492" s="279"/>
      <c r="BA492" s="279"/>
      <c r="BB492" s="279"/>
      <c r="BC492" s="279"/>
      <c r="BD492" s="279"/>
      <c r="BE492" s="279"/>
      <c r="BF492" s="279"/>
      <c r="BG492" s="279"/>
      <c r="BH492" s="279"/>
      <c r="BI492" s="279"/>
      <c r="BJ492" s="279"/>
      <c r="BK492" s="279"/>
      <c r="BL492" s="279"/>
      <c r="BM492" s="279"/>
      <c r="BN492" s="279"/>
      <c r="BO492" s="279"/>
      <c r="BP492" s="279"/>
      <c r="BQ492" s="279"/>
      <c r="BR492" s="279"/>
      <c r="BS492" s="279"/>
      <c r="BT492" s="279"/>
      <c r="BU492" s="279"/>
      <c r="BV492" s="279"/>
      <c r="BW492" s="279"/>
      <c r="BX492" s="279"/>
      <c r="BY492" s="279"/>
      <c r="BZ492" s="279"/>
      <c r="CA492" s="279"/>
      <c r="CB492" s="279"/>
      <c r="CC492" s="279"/>
      <c r="CD492" s="279"/>
      <c r="CE492" s="279"/>
      <c r="CF492" s="279"/>
      <c r="CG492" s="279"/>
      <c r="CH492" s="279"/>
      <c r="CI492" s="279"/>
      <c r="CJ492" s="279"/>
      <c r="CK492" s="279"/>
      <c r="CL492" s="279"/>
      <c r="CM492" s="279"/>
      <c r="CN492" s="382"/>
    </row>
    <row r="493" ht="21" x14ac:dyDescent="0.25">
      <c r="B493" s="361"/>
      <c r="C493" s="279"/>
      <c r="D493" s="280"/>
      <c r="E493" s="287"/>
      <c r="F493" s="287"/>
      <c r="G493" s="287"/>
      <c r="H493" s="282" t="s">
        <v>1469</v>
      </c>
      <c r="I493" s="1166" t="s">
        <v>286</v>
      </c>
      <c r="J493" s="267" t="s">
        <v>237</v>
      </c>
      <c r="K493" s="1166" t="s">
        <v>239</v>
      </c>
      <c r="L493" s="1166" t="s">
        <v>261</v>
      </c>
      <c r="M493" s="1166" t="s">
        <v>205</v>
      </c>
      <c r="N493" s="1949" t="s">
        <v>254</v>
      </c>
      <c r="O493" s="1949"/>
      <c r="P493" s="1949"/>
      <c r="Q493" s="1949"/>
      <c r="R493" s="1949"/>
      <c r="S493" s="288" t="s">
        <v>253</v>
      </c>
      <c r="T493" s="283" t="s">
        <v>396</v>
      </c>
      <c r="U493" s="283" t="s">
        <v>255</v>
      </c>
      <c r="V493" s="289" t="s">
        <v>262</v>
      </c>
      <c r="W493" s="279"/>
      <c r="X493" s="279"/>
      <c r="Y493" s="279"/>
      <c r="Z493" s="279"/>
      <c r="AA493" s="279"/>
      <c r="AB493" s="279"/>
      <c r="AC493" s="279"/>
      <c r="AD493" s="279"/>
      <c r="AE493" s="279"/>
      <c r="AF493" s="279"/>
      <c r="AG493" s="279"/>
      <c r="AH493" s="279"/>
      <c r="AI493" s="279"/>
      <c r="AJ493" s="279"/>
      <c r="AK493" s="279"/>
      <c r="AL493" s="279"/>
      <c r="AM493" s="279"/>
      <c r="AN493" s="279"/>
      <c r="AO493" s="279"/>
      <c r="AP493" s="279"/>
      <c r="AQ493" s="279"/>
      <c r="AR493" s="279"/>
      <c r="AS493" s="279"/>
      <c r="AT493" s="279"/>
      <c r="AU493" s="279"/>
      <c r="AV493" s="279"/>
      <c r="AW493" s="279"/>
      <c r="AX493" s="279"/>
      <c r="AY493" s="279"/>
      <c r="AZ493" s="279"/>
      <c r="BA493" s="279"/>
      <c r="BB493" s="279"/>
      <c r="BC493" s="279"/>
      <c r="BD493" s="279"/>
      <c r="BE493" s="279"/>
      <c r="BF493" s="279"/>
      <c r="BG493" s="279"/>
      <c r="BH493" s="279"/>
      <c r="BI493" s="279"/>
      <c r="BJ493" s="279"/>
      <c r="BK493" s="279"/>
      <c r="BL493" s="279"/>
      <c r="BM493" s="279"/>
      <c r="BN493" s="279"/>
      <c r="BO493" s="279"/>
      <c r="BP493" s="279"/>
      <c r="BQ493" s="279"/>
      <c r="BR493" s="279"/>
      <c r="BS493" s="279"/>
      <c r="BT493" s="279"/>
      <c r="BU493" s="279"/>
      <c r="BV493" s="279"/>
      <c r="BW493" s="279"/>
      <c r="BX493" s="279"/>
      <c r="BY493" s="279"/>
      <c r="BZ493" s="279"/>
      <c r="CA493" s="279"/>
      <c r="CB493" s="279"/>
      <c r="CC493" s="279"/>
      <c r="CD493" s="279"/>
      <c r="CE493" s="279"/>
      <c r="CF493" s="279"/>
      <c r="CG493" s="279"/>
      <c r="CH493" s="279"/>
      <c r="CI493" s="279"/>
      <c r="CJ493" s="279"/>
      <c r="CK493" s="279"/>
      <c r="CL493" s="279"/>
      <c r="CM493" s="279"/>
      <c r="CN493" s="382"/>
    </row>
    <row r="494" x14ac:dyDescent="0.25">
      <c r="B494" s="361"/>
      <c r="C494" s="279"/>
      <c r="D494" s="280"/>
      <c r="E494" s="287"/>
      <c r="F494" s="287"/>
      <c r="G494" s="287"/>
      <c r="H494" s="1292">
        <f t="shared" ref="H494:H543" si="18">H142</f>
        <v>1</v>
      </c>
      <c r="I494" s="1295">
        <f>IF('I. Stream &amp; Compound Data'!AA262&lt;&gt;"",'I. Stream &amp; Compound Data'!AA262,"")</f>
        <v>40000000</v>
      </c>
      <c r="J494" s="1295" t="str">
        <f>IF('I. Stream &amp; Compound Data'!Z262&lt;&gt;"",'I. Stream &amp; Compound Data'!Z262,"")</f>
        <v/>
      </c>
      <c r="K494" s="1190" t="str">
        <f>IF('I. Stream &amp; Compound Data'!AP262&lt;&gt;"",'I. Stream &amp; Compound Data'!AP262,IF('I. Stream &amp; Compound Data'!AQ262&lt;&gt;"",'I. Stream &amp; Compound Data'!AQ262,""))</f>
        <v>T+</v>
      </c>
      <c r="L494" s="1190">
        <f>IF('I. Stream &amp; Compound Data'!AT262&lt;&gt;"",'I. Stream &amp; Compound Data'!AT262,IF('I. Stream &amp; Compound Data'!AU262&lt;&gt;"",'I. Stream &amp; Compound Data'!AU262,""))</f>
        <v>1</v>
      </c>
      <c r="M494" s="1295" t="str">
        <f>IF('I. Stream &amp; Compound Data'!AR262&lt;&gt;"",'I. Stream &amp; Compound Data'!AR262,IF('I. Stream &amp; Compound Data'!AS262&lt;&gt;"",'I. Stream &amp; Compound Data'!AS262,""))</f>
        <v>26/27/28</v>
      </c>
      <c r="N494" s="1306">
        <f>IF(H494&gt;'I. Stream &amp; Compound Data'!$F$18,"",IF(I494="","N/A",ROUND(IF(I494&lt;=10,1,IF(AND(I494&gt;10,I494&lt;100000),-0.109*LN(I494)+1.25,0)),3)))</f>
        <v>0</v>
      </c>
      <c r="O494" s="1168" t="str">
        <f>IF(H494&gt;'I. Stream &amp; Compound Data'!$F$18,"",IF(N494="N/A",IF(J494&lt;&gt;"",ROUND(IF(J494&lt;=10,1,IF(AND(J494&gt;10,J494&lt;100000),-0.109*LN(J494)+1.25,0)),3),"N/A"),"N/A"))</f>
        <v>N/A</v>
      </c>
      <c r="P494" s="1242" t="str">
        <f>IF(H494&gt;'I. Stream &amp; Compound Data'!$F$18,"",IF(AND(N494="N/A",O494="N/A"),IF(K494="","N/A",IF(K494="T+",0.875,IF(K494="T",0.625,IF(K494="Xn",0.375,"N/A")))),"N/A"))</f>
        <v>N/A</v>
      </c>
      <c r="Q494" s="1242" t="str">
        <f>IF(H494&gt;'I. Stream &amp; Compound Data'!$F$18,"",IF(AND(N494="N/A",O494="N/A",P494="N/A"),IF(L494="","N/A",IF(L494=1,1,IF(L494=2,0.875,IF(L494=3,0.625,IF(L494=4,0.375,IF(L494=5,0.125,0)))))),"N/A"))</f>
        <v>N/A</v>
      </c>
      <c r="R494" s="1242" t="str">
        <f>IF(H494&gt;'I. Stream &amp; Compound Data'!$F$18,"",IF(AND(N494="N/A",O494="N/A",P494="N/A",Q494="N/A"),IF(M494="","N/A",IF(OR(AND(M494&gt;=26,M494&lt;=29),M494=32),0.875,IF(OR(M494=23,M494=24,M494=25,M494=31),0.625,IF(OR(M494=20,M494=21,,M494=22),0.375,"N/A")))),"N/A"))</f>
        <v>N/A</v>
      </c>
      <c r="S494" s="1242">
        <f>IF(H494&gt;'I. Stream &amp; Compound Data'!$F$18,"",IF(I142="","N/A",IF(N494&lt;&gt;"N/A",N494,IF(O494&lt;&gt;"N/A",O494,IF(P494&lt;&gt;"N/A",P494,IF(Q494&lt;&gt;"N/A",Q494,IF(R494&lt;&gt;"N/A",R494,"NO DATA AVAILABLE")))))))</f>
        <v>0</v>
      </c>
      <c r="T494" s="1242">
        <f>IF(H494&gt;'I. Stream &amp; Compound Data'!$F$18,"",IF(S494="N/A",0,IF(S494&gt;0,ROUND(10^(4*S494+1),3),0)))</f>
        <v>0</v>
      </c>
      <c r="U494" s="1242">
        <f>IF(H494&gt;'I. Stream &amp; Compound Data'!$F$18,"",IF(H494&gt;'I. Stream &amp; Compound Data'!$F$18,"",MAX(K142:L142)))</f>
        <v>2980.7504537999998</v>
      </c>
      <c r="V494" s="1268">
        <f>IF(H494&gt;'I. Stream &amp; Compound Data'!$F$18,"",ROUND(T494*U494,3))</f>
        <v>0</v>
      </c>
      <c r="W494" s="279"/>
      <c r="X494" s="279"/>
      <c r="Y494" s="279"/>
      <c r="Z494" s="279"/>
      <c r="AA494" s="279"/>
      <c r="AB494" s="279"/>
      <c r="AC494" s="279"/>
      <c r="AD494" s="279"/>
      <c r="AE494" s="279"/>
      <c r="AF494" s="279"/>
      <c r="AG494" s="279"/>
      <c r="AH494" s="279"/>
      <c r="AI494" s="279"/>
      <c r="AJ494" s="279"/>
      <c r="AK494" s="279"/>
      <c r="AL494" s="279"/>
      <c r="AM494" s="279"/>
      <c r="AN494" s="279"/>
      <c r="AO494" s="279"/>
      <c r="AP494" s="279"/>
      <c r="AQ494" s="279"/>
      <c r="AR494" s="279"/>
      <c r="AS494" s="279"/>
      <c r="AT494" s="279"/>
      <c r="AU494" s="279"/>
      <c r="AV494" s="279"/>
      <c r="AW494" s="279"/>
      <c r="AX494" s="279"/>
      <c r="AY494" s="279"/>
      <c r="AZ494" s="279"/>
      <c r="BA494" s="279"/>
      <c r="BB494" s="279"/>
      <c r="BC494" s="279"/>
      <c r="BD494" s="279"/>
      <c r="BE494" s="279"/>
      <c r="BF494" s="279"/>
      <c r="BG494" s="279"/>
      <c r="BH494" s="279"/>
      <c r="BI494" s="279"/>
      <c r="BJ494" s="279"/>
      <c r="BK494" s="279"/>
      <c r="BL494" s="279"/>
      <c r="BM494" s="279"/>
      <c r="BN494" s="279"/>
      <c r="BO494" s="279"/>
      <c r="BP494" s="279"/>
      <c r="BQ494" s="279"/>
      <c r="BR494" s="279"/>
      <c r="BS494" s="279"/>
      <c r="BT494" s="279"/>
      <c r="BU494" s="279"/>
      <c r="BV494" s="279"/>
      <c r="BW494" s="279"/>
      <c r="BX494" s="279"/>
      <c r="BY494" s="279"/>
      <c r="BZ494" s="279"/>
      <c r="CA494" s="279"/>
      <c r="CB494" s="279"/>
      <c r="CC494" s="279"/>
      <c r="CD494" s="279"/>
      <c r="CE494" s="279"/>
      <c r="CF494" s="279"/>
      <c r="CG494" s="279"/>
      <c r="CH494" s="279"/>
      <c r="CI494" s="279"/>
      <c r="CJ494" s="279"/>
      <c r="CK494" s="279"/>
      <c r="CL494" s="279"/>
      <c r="CM494" s="279"/>
      <c r="CN494" s="382"/>
    </row>
    <row r="495" x14ac:dyDescent="0.25">
      <c r="B495" s="361"/>
      <c r="C495" s="279"/>
      <c r="D495" s="280"/>
      <c r="E495" s="287"/>
      <c r="F495" s="287"/>
      <c r="G495" s="287"/>
      <c r="H495" s="1292">
        <f t="shared" si="18"/>
        <v>2</v>
      </c>
      <c r="I495" s="1295" t="str">
        <f>IF('I. Stream &amp; Compound Data'!AA263&lt;&gt;"",'I. Stream &amp; Compound Data'!AA263,"")</f>
        <v/>
      </c>
      <c r="J495" s="1295" t="str">
        <f>IF('I. Stream &amp; Compound Data'!Z263&lt;&gt;"",'I. Stream &amp; Compound Data'!Z263,"")</f>
        <v/>
      </c>
      <c r="K495" s="1190" t="str">
        <f>IF('I. Stream &amp; Compound Data'!AP263&lt;&gt;"",'I. Stream &amp; Compound Data'!AP263,IF('I. Stream &amp; Compound Data'!AQ263&lt;&gt;"",'I. Stream &amp; Compound Data'!AQ263,""))</f>
        <v/>
      </c>
      <c r="L495" s="1190" t="str">
        <f>IF('I. Stream &amp; Compound Data'!AT263&lt;&gt;"",'I. Stream &amp; Compound Data'!AT263,IF('I. Stream &amp; Compound Data'!AU263&lt;&gt;"",'I. Stream &amp; Compound Data'!AU263,""))</f>
        <v>NO</v>
      </c>
      <c r="M495" s="1295" t="str">
        <f>IF('I. Stream &amp; Compound Data'!AR263&lt;&gt;"",'I. Stream &amp; Compound Data'!AR263,IF('I. Stream &amp; Compound Data'!AS263&lt;&gt;"",'I. Stream &amp; Compound Data'!AS263,""))</f>
        <v/>
      </c>
      <c r="N495" s="1306" t="str">
        <f>IF(H495&gt;'I. Stream &amp; Compound Data'!$F$18,"",IF(I495="","N/A",ROUND(IF(I495&lt;=10,1,IF(AND(I495&gt;10,I495&lt;100000),-0.109*LN(I495)+1.25,0)),3)))</f>
        <v>N/A</v>
      </c>
      <c r="O495" s="1168" t="str">
        <f>IF(H495&gt;'I. Stream &amp; Compound Data'!$F$18,"",IF(N495="N/A",IF(J495&lt;&gt;"",ROUND(IF(J495&lt;=10,1,IF(AND(J495&gt;10,J495&lt;100000),-0.109*LN(J495)+1.25,0)),3),"N/A"),"N/A"))</f>
        <v>N/A</v>
      </c>
      <c r="P495" s="1242" t="str">
        <f>IF(H495&gt;'I. Stream &amp; Compound Data'!$F$18,"",IF(AND(N495="N/A",O495="N/A"),IF(K495="","N/A",IF(K495="T+",0.875,IF(K495="T",0.625,IF(K495="Xn",0.375,"N/A")))),"N/A"))</f>
        <v>N/A</v>
      </c>
      <c r="Q495" s="1242">
        <f>IF(H495&gt;'I. Stream &amp; Compound Data'!$F$18,"",IF(AND(N495="N/A",O495="N/A",P495="N/A"),IF(L495="","N/A",IF(L495=1,1,IF(L495=2,0.875,IF(L495=3,0.625,IF(L495=4,0.375,IF(L495=5,0.125,0)))))),"N/A"))</f>
        <v>0</v>
      </c>
      <c r="R495" s="1242" t="str">
        <f>IF(H495&gt;'I. Stream &amp; Compound Data'!$F$18,"",IF(AND(N495="N/A",O495="N/A",P495="N/A",Q495="N/A"),IF(M495="","N/A",IF(OR(AND(M495&gt;=26,M495&lt;=29),M495=32),0.875,IF(OR(M495=23,M495=24,M495=25,M495=31),0.625,IF(OR(M495=20,M495=21,,M495=22),0.375,"N/A")))),"N/A"))</f>
        <v>N/A</v>
      </c>
      <c r="S495" s="1242">
        <f>IF(H495&gt;'I. Stream &amp; Compound Data'!$F$18,"",IF(I143="","N/A",IF(N495&lt;&gt;"N/A",N495,IF(O495&lt;&gt;"N/A",O495,IF(P495&lt;&gt;"N/A",P495,IF(Q495&lt;&gt;"N/A",Q495,IF(R495&lt;&gt;"N/A",R495,"NO DATA AVAILABLE")))))))</f>
        <v>0</v>
      </c>
      <c r="T495" s="1242">
        <f>IF(H495&gt;'I. Stream &amp; Compound Data'!$F$18,"",IF(S495="N/A",0,IF(S495&gt;0,ROUND(10^(4*S495+1),3),0)))</f>
        <v>0</v>
      </c>
      <c r="U495" s="1242">
        <f>IF(H495&gt;'I. Stream &amp; Compound Data'!$F$18,"",IF(H495&gt;'I. Stream &amp; Compound Data'!$F$18,"",MAX(K143:L143)))</f>
        <v>0</v>
      </c>
      <c r="V495" s="1268">
        <f>IF(H495&gt;'I. Stream &amp; Compound Data'!$F$18,"",ROUND(T495*U495,3))</f>
        <v>0</v>
      </c>
      <c r="W495" s="279"/>
      <c r="X495" s="279"/>
      <c r="Y495" s="279"/>
      <c r="Z495" s="279"/>
      <c r="AA495" s="279"/>
      <c r="AB495" s="279"/>
      <c r="AC495" s="279"/>
      <c r="AD495" s="279"/>
      <c r="AE495" s="279"/>
      <c r="AF495" s="279"/>
      <c r="AG495" s="279"/>
      <c r="AH495" s="279"/>
      <c r="AI495" s="279"/>
      <c r="AJ495" s="279"/>
      <c r="AK495" s="279"/>
      <c r="AL495" s="279"/>
      <c r="AM495" s="279"/>
      <c r="AN495" s="279"/>
      <c r="AO495" s="279"/>
      <c r="AP495" s="279"/>
      <c r="AQ495" s="279"/>
      <c r="AR495" s="279"/>
      <c r="AS495" s="279"/>
      <c r="AT495" s="279"/>
      <c r="AU495" s="279"/>
      <c r="AV495" s="279"/>
      <c r="AW495" s="279"/>
      <c r="AX495" s="279"/>
      <c r="AY495" s="279"/>
      <c r="AZ495" s="279"/>
      <c r="BA495" s="279"/>
      <c r="BB495" s="279"/>
      <c r="BC495" s="279"/>
      <c r="BD495" s="279"/>
      <c r="BE495" s="279"/>
      <c r="BF495" s="279"/>
      <c r="BG495" s="279"/>
      <c r="BH495" s="279"/>
      <c r="BI495" s="279"/>
      <c r="BJ495" s="279"/>
      <c r="BK495" s="279"/>
      <c r="BL495" s="279"/>
      <c r="BM495" s="279"/>
      <c r="BN495" s="279"/>
      <c r="BO495" s="279"/>
      <c r="BP495" s="279"/>
      <c r="BQ495" s="279"/>
      <c r="BR495" s="279"/>
      <c r="BS495" s="279"/>
      <c r="BT495" s="279"/>
      <c r="BU495" s="279"/>
      <c r="BV495" s="279"/>
      <c r="BW495" s="279"/>
      <c r="BX495" s="279"/>
      <c r="BY495" s="279"/>
      <c r="BZ495" s="279"/>
      <c r="CA495" s="279"/>
      <c r="CB495" s="279"/>
      <c r="CC495" s="279"/>
      <c r="CD495" s="279"/>
      <c r="CE495" s="279"/>
      <c r="CF495" s="279"/>
      <c r="CG495" s="279"/>
      <c r="CH495" s="279"/>
      <c r="CI495" s="279"/>
      <c r="CJ495" s="279"/>
      <c r="CK495" s="279"/>
      <c r="CL495" s="279"/>
      <c r="CM495" s="279"/>
      <c r="CN495" s="382"/>
    </row>
    <row r="496" x14ac:dyDescent="0.25">
      <c r="B496" s="361"/>
      <c r="C496" s="279"/>
      <c r="D496" s="280"/>
      <c r="E496" s="287"/>
      <c r="F496" s="287"/>
      <c r="G496" s="287"/>
      <c r="H496" s="1292">
        <f t="shared" si="18"/>
        <v>3</v>
      </c>
      <c r="I496" s="1295">
        <f>IF('I. Stream &amp; Compound Data'!AA264&lt;&gt;"",'I. Stream &amp; Compound Data'!AA264,"")</f>
        <v>25</v>
      </c>
      <c r="J496" s="1295" t="str">
        <f>IF('I. Stream &amp; Compound Data'!Z264&lt;&gt;"",'I. Stream &amp; Compound Data'!Z264,"")</f>
        <v/>
      </c>
      <c r="K496" s="1190" t="str">
        <f>IF('I. Stream &amp; Compound Data'!AP264&lt;&gt;"",'I. Stream &amp; Compound Data'!AP264,IF('I. Stream &amp; Compound Data'!AQ264&lt;&gt;"",'I. Stream &amp; Compound Data'!AQ264,""))</f>
        <v>Xn</v>
      </c>
      <c r="L496" s="1190">
        <f>IF('I. Stream &amp; Compound Data'!AT264&lt;&gt;"",'I. Stream &amp; Compound Data'!AT264,IF('I. Stream &amp; Compound Data'!AU264&lt;&gt;"",'I. Stream &amp; Compound Data'!AU264,""))</f>
        <v>4</v>
      </c>
      <c r="M496" s="1295" t="str">
        <f>IF('I. Stream &amp; Compound Data'!AR264&lt;&gt;"",'I. Stream &amp; Compound Data'!AR264,IF('I. Stream &amp; Compound Data'!AS264&lt;&gt;"",'I. Stream &amp; Compound Data'!AS264,""))</f>
        <v>20/21/22</v>
      </c>
      <c r="N496" s="1306">
        <f>IF(H496&gt;'I. Stream &amp; Compound Data'!$F$18,"",IF(I496="","N/A",ROUND(IF(I496&lt;=10,1,IF(AND(I496&gt;10,I496&lt;100000),-0.109*LN(I496)+1.25,0)),3)))</f>
        <v>0.89900000000000002</v>
      </c>
      <c r="O496" s="1168" t="str">
        <f>IF(H496&gt;'I. Stream &amp; Compound Data'!$F$18,"",IF(N496="N/A",IF(J496&lt;&gt;"",ROUND(IF(J496&lt;=10,1,IF(AND(J496&gt;10,J496&lt;100000),-0.109*LN(J496)+1.25,0)),3),"N/A"),"N/A"))</f>
        <v>N/A</v>
      </c>
      <c r="P496" s="1242" t="str">
        <f>IF(H496&gt;'I. Stream &amp; Compound Data'!$F$18,"",IF(AND(N496="N/A",O496="N/A"),IF(K496="","N/A",IF(K496="T+",0.875,IF(K496="T",0.625,IF(K496="Xn",0.375,"N/A")))),"N/A"))</f>
        <v>N/A</v>
      </c>
      <c r="Q496" s="1242" t="str">
        <f>IF(H496&gt;'I. Stream &amp; Compound Data'!$F$18,"",IF(AND(N496="N/A",O496="N/A",P496="N/A"),IF(L496="","N/A",IF(L496=1,1,IF(L496=2,0.875,IF(L496=3,0.625,IF(L496=4,0.375,IF(L496=5,0.125,0)))))),"N/A"))</f>
        <v>N/A</v>
      </c>
      <c r="R496" s="1242" t="str">
        <f>IF(H496&gt;'I. Stream &amp; Compound Data'!$F$18,"",IF(AND(N496="N/A",O496="N/A",P496="N/A",Q496="N/A"),IF(M496="","N/A",IF(OR(AND(M496&gt;=26,M496&lt;=29),M496=32),0.875,IF(OR(M496=23,M496=24,M496=25,M496=31),0.625,IF(OR(M496=20,M496=21,,M496=22),0.375,"N/A")))),"N/A"))</f>
        <v>N/A</v>
      </c>
      <c r="S496" s="1242">
        <f>IF(H496&gt;'I. Stream &amp; Compound Data'!$F$18,"",IF(I144="","N/A",IF(N496&lt;&gt;"N/A",N496,IF(O496&lt;&gt;"N/A",O496,IF(P496&lt;&gt;"N/A",P496,IF(Q496&lt;&gt;"N/A",Q496,IF(R496&lt;&gt;"N/A",R496,"NO DATA AVAILABLE")))))))</f>
        <v>0.89900000000000002</v>
      </c>
      <c r="T496" s="1242">
        <f>IF(H496&gt;'I. Stream &amp; Compound Data'!$F$18,"",IF(S496="N/A",0,IF(S496&gt;0,ROUND(10^(4*S496+1),3),0)))</f>
        <v>39445.730000000003</v>
      </c>
      <c r="U496" s="1242">
        <f>IF(H496&gt;'I. Stream &amp; Compound Data'!$F$18,"",IF(H496&gt;'I. Stream &amp; Compound Data'!$F$18,"",MAX(K144:L144)))</f>
        <v>2888.3362910273868</v>
      </c>
      <c r="V496" s="1268">
        <f>IF(H496&gt;'I. Stream &amp; Compound Data'!$F$18,"",ROUND(T496*U496,3))</f>
        <v>113932533.485</v>
      </c>
      <c r="W496" s="279"/>
      <c r="X496" s="279"/>
      <c r="Y496" s="279"/>
      <c r="Z496" s="279"/>
      <c r="AA496" s="279"/>
      <c r="AB496" s="279"/>
      <c r="AC496" s="279"/>
      <c r="AD496" s="279"/>
      <c r="AE496" s="279"/>
      <c r="AF496" s="279"/>
      <c r="AG496" s="279"/>
      <c r="AH496" s="279"/>
      <c r="AI496" s="279"/>
      <c r="AJ496" s="279"/>
      <c r="AK496" s="279"/>
      <c r="AL496" s="279"/>
      <c r="AM496" s="279"/>
      <c r="AN496" s="279"/>
      <c r="AO496" s="279"/>
      <c r="AP496" s="279"/>
      <c r="AQ496" s="279"/>
      <c r="AR496" s="279"/>
      <c r="AS496" s="279"/>
      <c r="AT496" s="279"/>
      <c r="AU496" s="279"/>
      <c r="AV496" s="279"/>
      <c r="AW496" s="279"/>
      <c r="AX496" s="279"/>
      <c r="AY496" s="279"/>
      <c r="AZ496" s="279"/>
      <c r="BA496" s="279"/>
      <c r="BB496" s="279"/>
      <c r="BC496" s="279"/>
      <c r="BD496" s="279"/>
      <c r="BE496" s="279"/>
      <c r="BF496" s="279"/>
      <c r="BG496" s="279"/>
      <c r="BH496" s="279"/>
      <c r="BI496" s="279"/>
      <c r="BJ496" s="279"/>
      <c r="BK496" s="279"/>
      <c r="BL496" s="279"/>
      <c r="BM496" s="279"/>
      <c r="BN496" s="279"/>
      <c r="BO496" s="279"/>
      <c r="BP496" s="279"/>
      <c r="BQ496" s="279"/>
      <c r="BR496" s="279"/>
      <c r="BS496" s="279"/>
      <c r="BT496" s="279"/>
      <c r="BU496" s="279"/>
      <c r="BV496" s="279"/>
      <c r="BW496" s="279"/>
      <c r="BX496" s="279"/>
      <c r="BY496" s="279"/>
      <c r="BZ496" s="279"/>
      <c r="CA496" s="279"/>
      <c r="CB496" s="279"/>
      <c r="CC496" s="279"/>
      <c r="CD496" s="279"/>
      <c r="CE496" s="279"/>
      <c r="CF496" s="279"/>
      <c r="CG496" s="279"/>
      <c r="CH496" s="279"/>
      <c r="CI496" s="279"/>
      <c r="CJ496" s="279"/>
      <c r="CK496" s="279"/>
      <c r="CL496" s="279"/>
      <c r="CM496" s="279"/>
      <c r="CN496" s="382"/>
    </row>
    <row r="497" x14ac:dyDescent="0.25">
      <c r="B497" s="361"/>
      <c r="C497" s="279"/>
      <c r="D497" s="280"/>
      <c r="E497" s="287"/>
      <c r="F497" s="287"/>
      <c r="G497" s="287"/>
      <c r="H497" s="1292">
        <f t="shared" si="18"/>
        <v>4</v>
      </c>
      <c r="I497" s="1295" t="str">
        <f>IF('I. Stream &amp; Compound Data'!AA265&lt;&gt;"",'I. Stream &amp; Compound Data'!AA265,"")</f>
        <v/>
      </c>
      <c r="J497" s="1295" t="str">
        <f>IF('I. Stream &amp; Compound Data'!Z265&lt;&gt;"",'I. Stream &amp; Compound Data'!Z265,"")</f>
        <v/>
      </c>
      <c r="K497" s="1190" t="str">
        <f>IF('I. Stream &amp; Compound Data'!AP265&lt;&gt;"",'I. Stream &amp; Compound Data'!AP265,IF('I. Stream &amp; Compound Data'!AQ265&lt;&gt;"",'I. Stream &amp; Compound Data'!AQ265,""))</f>
        <v/>
      </c>
      <c r="L497" s="1190" t="str">
        <f>IF('I. Stream &amp; Compound Data'!AT265&lt;&gt;"",'I. Stream &amp; Compound Data'!AT265,IF('I. Stream &amp; Compound Data'!AU265&lt;&gt;"",'I. Stream &amp; Compound Data'!AU265,""))</f>
        <v>NO</v>
      </c>
      <c r="M497" s="1295">
        <f>IF('I. Stream &amp; Compound Data'!AR265&lt;&gt;"",'I. Stream &amp; Compound Data'!AR265,IF('I. Stream &amp; Compound Data'!AS265&lt;&gt;"",'I. Stream &amp; Compound Data'!AS265,""))</f>
        <v>36</v>
      </c>
      <c r="N497" s="1306" t="str">
        <f>IF(H497&gt;'I. Stream &amp; Compound Data'!$F$18,"",IF(I497="","N/A",ROUND(IF(I497&lt;=10,1,IF(AND(I497&gt;10,I497&lt;100000),-0.109*LN(I497)+1.25,0)),3)))</f>
        <v>N/A</v>
      </c>
      <c r="O497" s="1168" t="str">
        <f>IF(H497&gt;'I. Stream &amp; Compound Data'!$F$18,"",IF(N497="N/A",IF(J497&lt;&gt;"",ROUND(IF(J497&lt;=10,1,IF(AND(J497&gt;10,J497&lt;100000),-0.109*LN(J497)+1.25,0)),3),"N/A"),"N/A"))</f>
        <v>N/A</v>
      </c>
      <c r="P497" s="1242" t="str">
        <f>IF(H497&gt;'I. Stream &amp; Compound Data'!$F$18,"",IF(AND(N497="N/A",O497="N/A"),IF(K497="","N/A",IF(K497="T+",0.875,IF(K497="T",0.625,IF(K497="Xn",0.375,"N/A")))),"N/A"))</f>
        <v>N/A</v>
      </c>
      <c r="Q497" s="1242">
        <f>IF(H497&gt;'I. Stream &amp; Compound Data'!$F$18,"",IF(AND(N497="N/A",O497="N/A",P497="N/A"),IF(L497="","N/A",IF(L497=1,1,IF(L497=2,0.875,IF(L497=3,0.625,IF(L497=4,0.375,IF(L497=5,0.125,0)))))),"N/A"))</f>
        <v>0</v>
      </c>
      <c r="R497" s="1242" t="str">
        <f>IF(H497&gt;'I. Stream &amp; Compound Data'!$F$18,"",IF(AND(N497="N/A",O497="N/A",P497="N/A",Q497="N/A"),IF(M497="","N/A",IF(OR(AND(M497&gt;=26,M497&lt;=29),M497=32),0.875,IF(OR(M497=23,M497=24,M497=25,M497=31),0.625,IF(OR(M497=20,M497=21,,M497=22),0.375,"N/A")))),"N/A"))</f>
        <v>N/A</v>
      </c>
      <c r="S497" s="1242">
        <f>IF(H497&gt;'I. Stream &amp; Compound Data'!$F$18,"",IF(I145="","N/A",IF(N497&lt;&gt;"N/A",N497,IF(O497&lt;&gt;"N/A",O497,IF(P497&lt;&gt;"N/A",P497,IF(Q497&lt;&gt;"N/A",Q497,IF(R497&lt;&gt;"N/A",R497,"NO DATA AVAILABLE")))))))</f>
        <v>0</v>
      </c>
      <c r="T497" s="1242">
        <f>IF(H497&gt;'I. Stream &amp; Compound Data'!$F$18,"",IF(S497="N/A",0,IF(S497&gt;0,ROUND(10^(4*S497+1),3),0)))</f>
        <v>0</v>
      </c>
      <c r="U497" s="1242">
        <f>IF(H497&gt;'I. Stream &amp; Compound Data'!$F$18,"",IF(H497&gt;'I. Stream &amp; Compound Data'!$F$18,"",MAX(K145:L145)))</f>
        <v>6778.7792000553327</v>
      </c>
      <c r="V497" s="1268">
        <f>IF(H497&gt;'I. Stream &amp; Compound Data'!$F$18,"",ROUND(T497*U497,3))</f>
        <v>0</v>
      </c>
      <c r="W497" s="279"/>
      <c r="X497" s="279"/>
      <c r="Y497" s="279"/>
      <c r="Z497" s="279"/>
      <c r="AA497" s="279"/>
      <c r="AB497" s="279"/>
      <c r="AC497" s="279"/>
      <c r="AD497" s="279"/>
      <c r="AE497" s="279"/>
      <c r="AF497" s="279"/>
      <c r="AG497" s="279"/>
      <c r="AH497" s="279"/>
      <c r="AI497" s="279"/>
      <c r="AJ497" s="279"/>
      <c r="AK497" s="279"/>
      <c r="AL497" s="279"/>
      <c r="AM497" s="279"/>
      <c r="AN497" s="279"/>
      <c r="AO497" s="279"/>
      <c r="AP497" s="279"/>
      <c r="AQ497" s="279"/>
      <c r="AR497" s="279"/>
      <c r="AS497" s="279"/>
      <c r="AT497" s="279"/>
      <c r="AU497" s="279"/>
      <c r="AV497" s="279"/>
      <c r="AW497" s="279"/>
      <c r="AX497" s="279"/>
      <c r="AY497" s="279"/>
      <c r="AZ497" s="279"/>
      <c r="BA497" s="279"/>
      <c r="BB497" s="279"/>
      <c r="BC497" s="279"/>
      <c r="BD497" s="279"/>
      <c r="BE497" s="279"/>
      <c r="BF497" s="279"/>
      <c r="BG497" s="279"/>
      <c r="BH497" s="279"/>
      <c r="BI497" s="279"/>
      <c r="BJ497" s="279"/>
      <c r="BK497" s="279"/>
      <c r="BL497" s="279"/>
      <c r="BM497" s="279"/>
      <c r="BN497" s="279"/>
      <c r="BO497" s="279"/>
      <c r="BP497" s="279"/>
      <c r="BQ497" s="279"/>
      <c r="BR497" s="279"/>
      <c r="BS497" s="279"/>
      <c r="BT497" s="279"/>
      <c r="BU497" s="279"/>
      <c r="BV497" s="279"/>
      <c r="BW497" s="279"/>
      <c r="BX497" s="279"/>
      <c r="BY497" s="279"/>
      <c r="BZ497" s="279"/>
      <c r="CA497" s="279"/>
      <c r="CB497" s="279"/>
      <c r="CC497" s="279"/>
      <c r="CD497" s="279"/>
      <c r="CE497" s="279"/>
      <c r="CF497" s="279"/>
      <c r="CG497" s="279"/>
      <c r="CH497" s="279"/>
      <c r="CI497" s="279"/>
      <c r="CJ497" s="279"/>
      <c r="CK497" s="279"/>
      <c r="CL497" s="279"/>
      <c r="CM497" s="279"/>
      <c r="CN497" s="382"/>
    </row>
    <row r="498" x14ac:dyDescent="0.25">
      <c r="B498" s="361"/>
      <c r="C498" s="279"/>
      <c r="D498" s="280"/>
      <c r="E498" s="287"/>
      <c r="F498" s="287"/>
      <c r="G498" s="287"/>
      <c r="H498" s="1292">
        <f t="shared" si="18"/>
        <v>5</v>
      </c>
      <c r="I498" s="1295" t="str">
        <f>IF('I. Stream &amp; Compound Data'!AA266&lt;&gt;"",'I. Stream &amp; Compound Data'!AA266,"")</f>
        <v/>
      </c>
      <c r="J498" s="1295" t="str">
        <f>IF('I. Stream &amp; Compound Data'!Z266&lt;&gt;"",'I. Stream &amp; Compound Data'!Z266,"")</f>
        <v/>
      </c>
      <c r="K498" s="1190" t="str">
        <f>IF('I. Stream &amp; Compound Data'!AP266&lt;&gt;"",'I. Stream &amp; Compound Data'!AP266,IF('I. Stream &amp; Compound Data'!AQ266&lt;&gt;"",'I. Stream &amp; Compound Data'!AQ266,""))</f>
        <v/>
      </c>
      <c r="L498" s="1190" t="str">
        <f>IF('I. Stream &amp; Compound Data'!AT266&lt;&gt;"",'I. Stream &amp; Compound Data'!AT266,IF('I. Stream &amp; Compound Data'!AU266&lt;&gt;"",'I. Stream &amp; Compound Data'!AU266,""))</f>
        <v/>
      </c>
      <c r="M498" s="1295" t="str">
        <f>IF('I. Stream &amp; Compound Data'!AR266&lt;&gt;"",'I. Stream &amp; Compound Data'!AR266,IF('I. Stream &amp; Compound Data'!AS266&lt;&gt;"",'I. Stream &amp; Compound Data'!AS266,""))</f>
        <v/>
      </c>
      <c r="N498" s="1306" t="str">
        <f>IF(H498&gt;'I. Stream &amp; Compound Data'!$F$18,"",IF(I498="","N/A",ROUND(IF(I498&lt;=10,1,IF(AND(I498&gt;10,I498&lt;100000),-0.109*LN(I498)+1.25,0)),3)))</f>
        <v/>
      </c>
      <c r="O498" s="1168" t="str">
        <f>IF(H498&gt;'I. Stream &amp; Compound Data'!$F$18,"",IF(N498="N/A",IF(J498&lt;&gt;"",ROUND(IF(J498&lt;=10,1,IF(AND(J498&gt;10,J498&lt;100000),-0.109*LN(J498)+1.25,0)),3),"N/A"),"N/A"))</f>
        <v/>
      </c>
      <c r="P498" s="1242" t="str">
        <f>IF(H498&gt;'I. Stream &amp; Compound Data'!$F$18,"",IF(AND(N498="N/A",O498="N/A"),IF(K498="","N/A",IF(K498="T+",0.875,IF(K498="T",0.625,IF(K498="Xn",0.375,"N/A")))),"N/A"))</f>
        <v/>
      </c>
      <c r="Q498" s="1242" t="str">
        <f>IF(H498&gt;'I. Stream &amp; Compound Data'!$F$18,"",IF(AND(N498="N/A",O498="N/A",P498="N/A"),IF(L498="","N/A",IF(L498=1,1,IF(L498=2,0.875,IF(L498=3,0.625,IF(L498=4,0.375,IF(L498=5,0.125,0)))))),"N/A"))</f>
        <v/>
      </c>
      <c r="R498" s="1242" t="str">
        <f>IF(H498&gt;'I. Stream &amp; Compound Data'!$F$18,"",IF(AND(N498="N/A",O498="N/A",P498="N/A",Q498="N/A"),IF(M498="","N/A",IF(OR(AND(M498&gt;=26,M498&lt;=29),M498=32),0.875,IF(OR(M498=23,M498=24,M498=25,M498=31),0.625,IF(OR(M498=20,M498=21,,M498=22),0.375,"N/A")))),"N/A"))</f>
        <v/>
      </c>
      <c r="S498" s="1242" t="str">
        <f>IF(H498&gt;'I. Stream &amp; Compound Data'!$F$18,"",IF(I146="","N/A",IF(N498&lt;&gt;"N/A",N498,IF(O498&lt;&gt;"N/A",O498,IF(P498&lt;&gt;"N/A",P498,IF(Q498&lt;&gt;"N/A",Q498,IF(R498&lt;&gt;"N/A",R498,"NO DATA AVAILABLE")))))))</f>
        <v/>
      </c>
      <c r="T498" s="1242" t="str">
        <f>IF(H498&gt;'I. Stream &amp; Compound Data'!$F$18,"",IF(S498="N/A",0,IF(S498&gt;0,ROUND(10^(4*S498+1),3),0)))</f>
        <v/>
      </c>
      <c r="U498" s="1242" t="str">
        <f>IF(H498&gt;'I. Stream &amp; Compound Data'!$F$18,"",IF(H498&gt;'I. Stream &amp; Compound Data'!$F$18,"",MAX(K146:L146)))</f>
        <v/>
      </c>
      <c r="V498" s="1268" t="str">
        <f>IF(H498&gt;'I. Stream &amp; Compound Data'!$F$18,"",ROUND(T498*U498,3))</f>
        <v/>
      </c>
      <c r="W498" s="279"/>
      <c r="X498" s="279"/>
      <c r="Y498" s="279"/>
      <c r="Z498" s="279"/>
      <c r="AA498" s="279"/>
      <c r="AB498" s="279"/>
      <c r="AC498" s="279"/>
      <c r="AD498" s="279"/>
      <c r="AE498" s="279"/>
      <c r="AF498" s="279"/>
      <c r="AG498" s="279"/>
      <c r="AH498" s="279"/>
      <c r="AI498" s="279"/>
      <c r="AJ498" s="279"/>
      <c r="AK498" s="279"/>
      <c r="AL498" s="279"/>
      <c r="AM498" s="279"/>
      <c r="AN498" s="279"/>
      <c r="AO498" s="279"/>
      <c r="AP498" s="279"/>
      <c r="AQ498" s="279"/>
      <c r="AR498" s="279"/>
      <c r="AS498" s="279"/>
      <c r="AT498" s="279"/>
      <c r="AU498" s="279"/>
      <c r="AV498" s="279"/>
      <c r="AW498" s="279"/>
      <c r="AX498" s="279"/>
      <c r="AY498" s="279"/>
      <c r="AZ498" s="279"/>
      <c r="BA498" s="279"/>
      <c r="BB498" s="279"/>
      <c r="BC498" s="279"/>
      <c r="BD498" s="279"/>
      <c r="BE498" s="279"/>
      <c r="BF498" s="279"/>
      <c r="BG498" s="279"/>
      <c r="BH498" s="279"/>
      <c r="BI498" s="279"/>
      <c r="BJ498" s="279"/>
      <c r="BK498" s="279"/>
      <c r="BL498" s="279"/>
      <c r="BM498" s="279"/>
      <c r="BN498" s="279"/>
      <c r="BO498" s="279"/>
      <c r="BP498" s="279"/>
      <c r="BQ498" s="279"/>
      <c r="BR498" s="279"/>
      <c r="BS498" s="279"/>
      <c r="BT498" s="279"/>
      <c r="BU498" s="279"/>
      <c r="BV498" s="279"/>
      <c r="BW498" s="279"/>
      <c r="BX498" s="279"/>
      <c r="BY498" s="279"/>
      <c r="BZ498" s="279"/>
      <c r="CA498" s="279"/>
      <c r="CB498" s="279"/>
      <c r="CC498" s="279"/>
      <c r="CD498" s="279"/>
      <c r="CE498" s="279"/>
      <c r="CF498" s="279"/>
      <c r="CG498" s="279"/>
      <c r="CH498" s="279"/>
      <c r="CI498" s="279"/>
      <c r="CJ498" s="279"/>
      <c r="CK498" s="279"/>
      <c r="CL498" s="279"/>
      <c r="CM498" s="279"/>
      <c r="CN498" s="382"/>
    </row>
    <row r="499" x14ac:dyDescent="0.25">
      <c r="B499" s="361"/>
      <c r="C499" s="279"/>
      <c r="D499" s="280"/>
      <c r="E499" s="287"/>
      <c r="F499" s="287"/>
      <c r="G499" s="287"/>
      <c r="H499" s="1292">
        <f t="shared" si="18"/>
        <v>6</v>
      </c>
      <c r="I499" s="1295" t="str">
        <f>IF('I. Stream &amp; Compound Data'!AA267&lt;&gt;"",'I. Stream &amp; Compound Data'!AA267,"")</f>
        <v/>
      </c>
      <c r="J499" s="1295" t="str">
        <f>IF('I. Stream &amp; Compound Data'!Z267&lt;&gt;"",'I. Stream &amp; Compound Data'!Z267,"")</f>
        <v/>
      </c>
      <c r="K499" s="1190" t="str">
        <f>IF('I. Stream &amp; Compound Data'!AP267&lt;&gt;"",'I. Stream &amp; Compound Data'!AP267,IF('I. Stream &amp; Compound Data'!AQ267&lt;&gt;"",'I. Stream &amp; Compound Data'!AQ267,""))</f>
        <v/>
      </c>
      <c r="L499" s="1190" t="str">
        <f>IF('I. Stream &amp; Compound Data'!AT267&lt;&gt;"",'I. Stream &amp; Compound Data'!AT267,IF('I. Stream &amp; Compound Data'!AU267&lt;&gt;"",'I. Stream &amp; Compound Data'!AU267,""))</f>
        <v/>
      </c>
      <c r="M499" s="1295" t="str">
        <f>IF('I. Stream &amp; Compound Data'!AR267&lt;&gt;"",'I. Stream &amp; Compound Data'!AR267,IF('I. Stream &amp; Compound Data'!AS267&lt;&gt;"",'I. Stream &amp; Compound Data'!AS267,""))</f>
        <v/>
      </c>
      <c r="N499" s="1306" t="str">
        <f>IF(H499&gt;'I. Stream &amp; Compound Data'!$F$18,"",IF(I499="","N/A",ROUND(IF(I499&lt;=10,1,IF(AND(I499&gt;10,I499&lt;100000),-0.109*LN(I499)+1.25,0)),3)))</f>
        <v/>
      </c>
      <c r="O499" s="1168" t="str">
        <f>IF(H499&gt;'I. Stream &amp; Compound Data'!$F$18,"",IF(N499="N/A",IF(J499&lt;&gt;"",ROUND(IF(J499&lt;=10,1,IF(AND(J499&gt;10,J499&lt;100000),-0.109*LN(J499)+1.25,0)),3),"N/A"),"N/A"))</f>
        <v/>
      </c>
      <c r="P499" s="1242" t="str">
        <f>IF(H499&gt;'I. Stream &amp; Compound Data'!$F$18,"",IF(AND(N499="N/A",O499="N/A"),IF(K499="","N/A",IF(K499="T+",0.875,IF(K499="T",0.625,IF(K499="Xn",0.375,"N/A")))),"N/A"))</f>
        <v/>
      </c>
      <c r="Q499" s="1242" t="str">
        <f>IF(H499&gt;'I. Stream &amp; Compound Data'!$F$18,"",IF(AND(N499="N/A",O499="N/A",P499="N/A"),IF(L499="","N/A",IF(L499=1,1,IF(L499=2,0.875,IF(L499=3,0.625,IF(L499=4,0.375,IF(L499=5,0.125,0)))))),"N/A"))</f>
        <v/>
      </c>
      <c r="R499" s="1242" t="str">
        <f>IF(H499&gt;'I. Stream &amp; Compound Data'!$F$18,"",IF(AND(N499="N/A",O499="N/A",P499="N/A",Q499="N/A"),IF(M499="","N/A",IF(OR(AND(M499&gt;=26,M499&lt;=29),M499=32),0.875,IF(OR(M499=23,M499=24,M499=25,M499=31),0.625,IF(OR(M499=20,M499=21,,M499=22),0.375,"N/A")))),"N/A"))</f>
        <v/>
      </c>
      <c r="S499" s="1242" t="str">
        <f>IF(H499&gt;'I. Stream &amp; Compound Data'!$F$18,"",IF(I147="","N/A",IF(N499&lt;&gt;"N/A",N499,IF(O499&lt;&gt;"N/A",O499,IF(P499&lt;&gt;"N/A",P499,IF(Q499&lt;&gt;"N/A",Q499,IF(R499&lt;&gt;"N/A",R499,"NO DATA AVAILABLE")))))))</f>
        <v/>
      </c>
      <c r="T499" s="1242" t="str">
        <f>IF(H499&gt;'I. Stream &amp; Compound Data'!$F$18,"",IF(S499="N/A",0,IF(S499&gt;0,ROUND(10^(4*S499+1),3),0)))</f>
        <v/>
      </c>
      <c r="U499" s="1242" t="str">
        <f>IF(H499&gt;'I. Stream &amp; Compound Data'!$F$18,"",IF(H499&gt;'I. Stream &amp; Compound Data'!$F$18,"",MAX(K147:L147)))</f>
        <v/>
      </c>
      <c r="V499" s="1268" t="str">
        <f>IF(H499&gt;'I. Stream &amp; Compound Data'!$F$18,"",ROUND(T499*U499,3))</f>
        <v/>
      </c>
      <c r="W499" s="279"/>
      <c r="X499" s="279"/>
      <c r="Y499" s="279"/>
      <c r="Z499" s="279"/>
      <c r="AA499" s="279"/>
      <c r="AB499" s="279"/>
      <c r="AC499" s="279"/>
      <c r="AD499" s="279"/>
      <c r="AE499" s="279"/>
      <c r="AF499" s="279"/>
      <c r="AG499" s="279"/>
      <c r="AH499" s="279"/>
      <c r="AI499" s="279"/>
      <c r="AJ499" s="279"/>
      <c r="AK499" s="279"/>
      <c r="AL499" s="279"/>
      <c r="AM499" s="279"/>
      <c r="AN499" s="279"/>
      <c r="AO499" s="279"/>
      <c r="AP499" s="279"/>
      <c r="AQ499" s="279"/>
      <c r="AR499" s="279"/>
      <c r="AS499" s="279"/>
      <c r="AT499" s="279"/>
      <c r="AU499" s="279"/>
      <c r="AV499" s="279"/>
      <c r="AW499" s="279"/>
      <c r="AX499" s="279"/>
      <c r="AY499" s="279"/>
      <c r="AZ499" s="279"/>
      <c r="BA499" s="279"/>
      <c r="BB499" s="279"/>
      <c r="BC499" s="279"/>
      <c r="BD499" s="279"/>
      <c r="BE499" s="279"/>
      <c r="BF499" s="279"/>
      <c r="BG499" s="279"/>
      <c r="BH499" s="279"/>
      <c r="BI499" s="279"/>
      <c r="BJ499" s="279"/>
      <c r="BK499" s="279"/>
      <c r="BL499" s="279"/>
      <c r="BM499" s="279"/>
      <c r="BN499" s="279"/>
      <c r="BO499" s="279"/>
      <c r="BP499" s="279"/>
      <c r="BQ499" s="279"/>
      <c r="BR499" s="279"/>
      <c r="BS499" s="279"/>
      <c r="BT499" s="279"/>
      <c r="BU499" s="279"/>
      <c r="BV499" s="279"/>
      <c r="BW499" s="279"/>
      <c r="BX499" s="279"/>
      <c r="BY499" s="279"/>
      <c r="BZ499" s="279"/>
      <c r="CA499" s="279"/>
      <c r="CB499" s="279"/>
      <c r="CC499" s="279"/>
      <c r="CD499" s="279"/>
      <c r="CE499" s="279"/>
      <c r="CF499" s="279"/>
      <c r="CG499" s="279"/>
      <c r="CH499" s="279"/>
      <c r="CI499" s="279"/>
      <c r="CJ499" s="279"/>
      <c r="CK499" s="279"/>
      <c r="CL499" s="279"/>
      <c r="CM499" s="279"/>
      <c r="CN499" s="382"/>
    </row>
    <row r="500" x14ac:dyDescent="0.25">
      <c r="B500" s="361"/>
      <c r="C500" s="279"/>
      <c r="D500" s="280"/>
      <c r="E500" s="287"/>
      <c r="F500" s="287"/>
      <c r="G500" s="287"/>
      <c r="H500" s="1292">
        <f t="shared" si="18"/>
        <v>7</v>
      </c>
      <c r="I500" s="1295" t="str">
        <f>IF('I. Stream &amp; Compound Data'!AA268&lt;&gt;"",'I. Stream &amp; Compound Data'!AA268,"")</f>
        <v/>
      </c>
      <c r="J500" s="1295" t="str">
        <f>IF('I. Stream &amp; Compound Data'!Z268&lt;&gt;"",'I. Stream &amp; Compound Data'!Z268,"")</f>
        <v/>
      </c>
      <c r="K500" s="1190" t="str">
        <f>IF('I. Stream &amp; Compound Data'!AP268&lt;&gt;"",'I. Stream &amp; Compound Data'!AP268,IF('I. Stream &amp; Compound Data'!AQ268&lt;&gt;"",'I. Stream &amp; Compound Data'!AQ268,""))</f>
        <v/>
      </c>
      <c r="L500" s="1190" t="str">
        <f>IF('I. Stream &amp; Compound Data'!AT268&lt;&gt;"",'I. Stream &amp; Compound Data'!AT268,IF('I. Stream &amp; Compound Data'!AU268&lt;&gt;"",'I. Stream &amp; Compound Data'!AU268,""))</f>
        <v/>
      </c>
      <c r="M500" s="1295" t="str">
        <f>IF('I. Stream &amp; Compound Data'!AR268&lt;&gt;"",'I. Stream &amp; Compound Data'!AR268,IF('I. Stream &amp; Compound Data'!AS268&lt;&gt;"",'I. Stream &amp; Compound Data'!AS268,""))</f>
        <v/>
      </c>
      <c r="N500" s="1306" t="str">
        <f>IF(H500&gt;'I. Stream &amp; Compound Data'!$F$18,"",IF(I500="","N/A",ROUND(IF(I500&lt;=10,1,IF(AND(I500&gt;10,I500&lt;100000),-0.109*LN(I500)+1.25,0)),3)))</f>
        <v/>
      </c>
      <c r="O500" s="1168" t="str">
        <f>IF(H500&gt;'I. Stream &amp; Compound Data'!$F$18,"",IF(N500="N/A",IF(J500&lt;&gt;"",ROUND(IF(J500&lt;=10,1,IF(AND(J500&gt;10,J500&lt;100000),-0.109*LN(J500)+1.25,0)),3),"N/A"),"N/A"))</f>
        <v/>
      </c>
      <c r="P500" s="1242" t="str">
        <f>IF(H500&gt;'I. Stream &amp; Compound Data'!$F$18,"",IF(AND(N500="N/A",O500="N/A"),IF(K500="","N/A",IF(K500="T+",0.875,IF(K500="T",0.625,IF(K500="Xn",0.375,"N/A")))),"N/A"))</f>
        <v/>
      </c>
      <c r="Q500" s="1242" t="str">
        <f>IF(H500&gt;'I. Stream &amp; Compound Data'!$F$18,"",IF(AND(N500="N/A",O500="N/A",P500="N/A"),IF(L500="","N/A",IF(L500=1,1,IF(L500=2,0.875,IF(L500=3,0.625,IF(L500=4,0.375,IF(L500=5,0.125,0)))))),"N/A"))</f>
        <v/>
      </c>
      <c r="R500" s="1242" t="str">
        <f>IF(H500&gt;'I. Stream &amp; Compound Data'!$F$18,"",IF(AND(N500="N/A",O500="N/A",P500="N/A",Q500="N/A"),IF(M500="","N/A",IF(OR(AND(M500&gt;=26,M500&lt;=29),M500=32),0.875,IF(OR(M500=23,M500=24,M500=25,M500=31),0.625,IF(OR(M500=20,M500=21,,M500=22),0.375,"N/A")))),"N/A"))</f>
        <v/>
      </c>
      <c r="S500" s="1242" t="str">
        <f>IF(H500&gt;'I. Stream &amp; Compound Data'!$F$18,"",IF(I148="","N/A",IF(N500&lt;&gt;"N/A",N500,IF(O500&lt;&gt;"N/A",O500,IF(P500&lt;&gt;"N/A",P500,IF(Q500&lt;&gt;"N/A",Q500,IF(R500&lt;&gt;"N/A",R500,"NO DATA AVAILABLE")))))))</f>
        <v/>
      </c>
      <c r="T500" s="1242" t="str">
        <f>IF(H500&gt;'I. Stream &amp; Compound Data'!$F$18,"",IF(S500="N/A",0,IF(S500&gt;0,ROUND(10^(4*S500+1),3),0)))</f>
        <v/>
      </c>
      <c r="U500" s="1242" t="str">
        <f>IF(H500&gt;'I. Stream &amp; Compound Data'!$F$18,"",IF(H500&gt;'I. Stream &amp; Compound Data'!$F$18,"",MAX(K148:L148)))</f>
        <v/>
      </c>
      <c r="V500" s="1268" t="str">
        <f>IF(H500&gt;'I. Stream &amp; Compound Data'!$F$18,"",ROUND(T500*U500,3))</f>
        <v/>
      </c>
      <c r="W500" s="279"/>
      <c r="X500" s="279"/>
      <c r="Y500" s="279"/>
      <c r="Z500" s="279"/>
      <c r="AA500" s="279"/>
      <c r="AB500" s="279"/>
      <c r="AC500" s="279"/>
      <c r="AD500" s="279"/>
      <c r="AE500" s="279"/>
      <c r="AF500" s="279"/>
      <c r="AG500" s="279"/>
      <c r="AH500" s="279"/>
      <c r="AI500" s="279"/>
      <c r="AJ500" s="279"/>
      <c r="AK500" s="279"/>
      <c r="AL500" s="279"/>
      <c r="AM500" s="279"/>
      <c r="AN500" s="279"/>
      <c r="AO500" s="279"/>
      <c r="AP500" s="279"/>
      <c r="AQ500" s="279"/>
      <c r="AR500" s="279"/>
      <c r="AS500" s="279"/>
      <c r="AT500" s="279"/>
      <c r="AU500" s="279"/>
      <c r="AV500" s="279"/>
      <c r="AW500" s="279"/>
      <c r="AX500" s="279"/>
      <c r="AY500" s="279"/>
      <c r="AZ500" s="279"/>
      <c r="BA500" s="279"/>
      <c r="BB500" s="279"/>
      <c r="BC500" s="279"/>
      <c r="BD500" s="279"/>
      <c r="BE500" s="279"/>
      <c r="BF500" s="279"/>
      <c r="BG500" s="279"/>
      <c r="BH500" s="279"/>
      <c r="BI500" s="279"/>
      <c r="BJ500" s="279"/>
      <c r="BK500" s="279"/>
      <c r="BL500" s="279"/>
      <c r="BM500" s="279"/>
      <c r="BN500" s="279"/>
      <c r="BO500" s="279"/>
      <c r="BP500" s="279"/>
      <c r="BQ500" s="279"/>
      <c r="BR500" s="279"/>
      <c r="BS500" s="279"/>
      <c r="BT500" s="279"/>
      <c r="BU500" s="279"/>
      <c r="BV500" s="279"/>
      <c r="BW500" s="279"/>
      <c r="BX500" s="279"/>
      <c r="BY500" s="279"/>
      <c r="BZ500" s="279"/>
      <c r="CA500" s="279"/>
      <c r="CB500" s="279"/>
      <c r="CC500" s="279"/>
      <c r="CD500" s="279"/>
      <c r="CE500" s="279"/>
      <c r="CF500" s="279"/>
      <c r="CG500" s="279"/>
      <c r="CH500" s="279"/>
      <c r="CI500" s="279"/>
      <c r="CJ500" s="279"/>
      <c r="CK500" s="279"/>
      <c r="CL500" s="279"/>
      <c r="CM500" s="279"/>
      <c r="CN500" s="382"/>
    </row>
    <row r="501" x14ac:dyDescent="0.25">
      <c r="B501" s="361"/>
      <c r="C501" s="279"/>
      <c r="D501" s="280"/>
      <c r="E501" s="287"/>
      <c r="F501" s="287"/>
      <c r="G501" s="287"/>
      <c r="H501" s="1292">
        <f t="shared" si="18"/>
        <v>8</v>
      </c>
      <c r="I501" s="1295" t="str">
        <f>IF('I. Stream &amp; Compound Data'!AA269&lt;&gt;"",'I. Stream &amp; Compound Data'!AA269,"")</f>
        <v/>
      </c>
      <c r="J501" s="1295" t="str">
        <f>IF('I. Stream &amp; Compound Data'!Z269&lt;&gt;"",'I. Stream &amp; Compound Data'!Z269,"")</f>
        <v/>
      </c>
      <c r="K501" s="1190" t="str">
        <f>IF('I. Stream &amp; Compound Data'!AP269&lt;&gt;"",'I. Stream &amp; Compound Data'!AP269,IF('I. Stream &amp; Compound Data'!AQ269&lt;&gt;"",'I. Stream &amp; Compound Data'!AQ269,""))</f>
        <v/>
      </c>
      <c r="L501" s="1190" t="str">
        <f>IF('I. Stream &amp; Compound Data'!AT269&lt;&gt;"",'I. Stream &amp; Compound Data'!AT269,IF('I. Stream &amp; Compound Data'!AU269&lt;&gt;"",'I. Stream &amp; Compound Data'!AU269,""))</f>
        <v/>
      </c>
      <c r="M501" s="1295" t="str">
        <f>IF('I. Stream &amp; Compound Data'!AR269&lt;&gt;"",'I. Stream &amp; Compound Data'!AR269,IF('I. Stream &amp; Compound Data'!AS269&lt;&gt;"",'I. Stream &amp; Compound Data'!AS269,""))</f>
        <v/>
      </c>
      <c r="N501" s="1306" t="str">
        <f>IF(H501&gt;'I. Stream &amp; Compound Data'!$F$18,"",IF(I501="","N/A",ROUND(IF(I501&lt;=10,1,IF(AND(I501&gt;10,I501&lt;100000),-0.109*LN(I501)+1.25,0)),3)))</f>
        <v/>
      </c>
      <c r="O501" s="1168" t="str">
        <f>IF(H501&gt;'I. Stream &amp; Compound Data'!$F$18,"",IF(N501="N/A",IF(J501&lt;&gt;"",ROUND(IF(J501&lt;=10,1,IF(AND(J501&gt;10,J501&lt;100000),-0.109*LN(J501)+1.25,0)),3),"N/A"),"N/A"))</f>
        <v/>
      </c>
      <c r="P501" s="1242" t="str">
        <f>IF(H501&gt;'I. Stream &amp; Compound Data'!$F$18,"",IF(AND(N501="N/A",O501="N/A"),IF(K501="","N/A",IF(K501="T+",0.875,IF(K501="T",0.625,IF(K501="Xn",0.375,"N/A")))),"N/A"))</f>
        <v/>
      </c>
      <c r="Q501" s="1242" t="str">
        <f>IF(H501&gt;'I. Stream &amp; Compound Data'!$F$18,"",IF(AND(N501="N/A",O501="N/A",P501="N/A"),IF(L501="","N/A",IF(L501=1,1,IF(L501=2,0.875,IF(L501=3,0.625,IF(L501=4,0.375,IF(L501=5,0.125,0)))))),"N/A"))</f>
        <v/>
      </c>
      <c r="R501" s="1242" t="str">
        <f>IF(H501&gt;'I. Stream &amp; Compound Data'!$F$18,"",IF(AND(N501="N/A",O501="N/A",P501="N/A",Q501="N/A"),IF(M501="","N/A",IF(OR(AND(M501&gt;=26,M501&lt;=29),M501=32),0.875,IF(OR(M501=23,M501=24,M501=25,M501=31),0.625,IF(OR(M501=20,M501=21,,M501=22),0.375,"N/A")))),"N/A"))</f>
        <v/>
      </c>
      <c r="S501" s="1242" t="str">
        <f>IF(H501&gt;'I. Stream &amp; Compound Data'!$F$18,"",IF(I149="","N/A",IF(N501&lt;&gt;"N/A",N501,IF(O501&lt;&gt;"N/A",O501,IF(P501&lt;&gt;"N/A",P501,IF(Q501&lt;&gt;"N/A",Q501,IF(R501&lt;&gt;"N/A",R501,"NO DATA AVAILABLE")))))))</f>
        <v/>
      </c>
      <c r="T501" s="1242" t="str">
        <f>IF(H501&gt;'I. Stream &amp; Compound Data'!$F$18,"",IF(S501="N/A",0,IF(S501&gt;0,ROUND(10^(4*S501+1),3),0)))</f>
        <v/>
      </c>
      <c r="U501" s="1242" t="str">
        <f>IF(H501&gt;'I. Stream &amp; Compound Data'!$F$18,"",IF(H501&gt;'I. Stream &amp; Compound Data'!$F$18,"",MAX(K149:L149)))</f>
        <v/>
      </c>
      <c r="V501" s="1268" t="str">
        <f>IF(H501&gt;'I. Stream &amp; Compound Data'!$F$18,"",ROUND(T501*U501,3))</f>
        <v/>
      </c>
      <c r="W501" s="279"/>
      <c r="X501" s="279"/>
      <c r="Y501" s="279"/>
      <c r="Z501" s="279"/>
      <c r="AA501" s="279"/>
      <c r="AB501" s="279"/>
      <c r="AC501" s="279"/>
      <c r="AD501" s="279"/>
      <c r="AE501" s="279"/>
      <c r="AF501" s="279"/>
      <c r="AG501" s="279"/>
      <c r="AH501" s="279"/>
      <c r="AI501" s="279"/>
      <c r="AJ501" s="279"/>
      <c r="AK501" s="279"/>
      <c r="AL501" s="279"/>
      <c r="AM501" s="279"/>
      <c r="AN501" s="279"/>
      <c r="AO501" s="279"/>
      <c r="AP501" s="279"/>
      <c r="AQ501" s="279"/>
      <c r="AR501" s="279"/>
      <c r="AS501" s="279"/>
      <c r="AT501" s="279"/>
      <c r="AU501" s="279"/>
      <c r="AV501" s="279"/>
      <c r="AW501" s="279"/>
      <c r="AX501" s="279"/>
      <c r="AY501" s="279"/>
      <c r="AZ501" s="279"/>
      <c r="BA501" s="279"/>
      <c r="BB501" s="279"/>
      <c r="BC501" s="279"/>
      <c r="BD501" s="279"/>
      <c r="BE501" s="279"/>
      <c r="BF501" s="279"/>
      <c r="BG501" s="279"/>
      <c r="BH501" s="279"/>
      <c r="BI501" s="279"/>
      <c r="BJ501" s="279"/>
      <c r="BK501" s="279"/>
      <c r="BL501" s="279"/>
      <c r="BM501" s="279"/>
      <c r="BN501" s="279"/>
      <c r="BO501" s="279"/>
      <c r="BP501" s="279"/>
      <c r="BQ501" s="279"/>
      <c r="BR501" s="279"/>
      <c r="BS501" s="279"/>
      <c r="BT501" s="279"/>
      <c r="BU501" s="279"/>
      <c r="BV501" s="279"/>
      <c r="BW501" s="279"/>
      <c r="BX501" s="279"/>
      <c r="BY501" s="279"/>
      <c r="BZ501" s="279"/>
      <c r="CA501" s="279"/>
      <c r="CB501" s="279"/>
      <c r="CC501" s="279"/>
      <c r="CD501" s="279"/>
      <c r="CE501" s="279"/>
      <c r="CF501" s="279"/>
      <c r="CG501" s="279"/>
      <c r="CH501" s="279"/>
      <c r="CI501" s="279"/>
      <c r="CJ501" s="279"/>
      <c r="CK501" s="279"/>
      <c r="CL501" s="279"/>
      <c r="CM501" s="279"/>
      <c r="CN501" s="382"/>
    </row>
    <row r="502" x14ac:dyDescent="0.25">
      <c r="B502" s="361"/>
      <c r="C502" s="279"/>
      <c r="D502" s="280"/>
      <c r="E502" s="287"/>
      <c r="F502" s="287"/>
      <c r="G502" s="287"/>
      <c r="H502" s="1292">
        <f t="shared" si="18"/>
        <v>9</v>
      </c>
      <c r="I502" s="1295" t="str">
        <f>IF('I. Stream &amp; Compound Data'!AA270&lt;&gt;"",'I. Stream &amp; Compound Data'!AA270,"")</f>
        <v/>
      </c>
      <c r="J502" s="1295" t="str">
        <f>IF('I. Stream &amp; Compound Data'!Z270&lt;&gt;"",'I. Stream &amp; Compound Data'!Z270,"")</f>
        <v/>
      </c>
      <c r="K502" s="1190" t="str">
        <f>IF('I. Stream &amp; Compound Data'!AP270&lt;&gt;"",'I. Stream &amp; Compound Data'!AP270,IF('I. Stream &amp; Compound Data'!AQ270&lt;&gt;"",'I. Stream &amp; Compound Data'!AQ270,""))</f>
        <v/>
      </c>
      <c r="L502" s="1190" t="str">
        <f>IF('I. Stream &amp; Compound Data'!AT270&lt;&gt;"",'I. Stream &amp; Compound Data'!AT270,IF('I. Stream &amp; Compound Data'!AU270&lt;&gt;"",'I. Stream &amp; Compound Data'!AU270,""))</f>
        <v/>
      </c>
      <c r="M502" s="1295" t="str">
        <f>IF('I. Stream &amp; Compound Data'!AR270&lt;&gt;"",'I. Stream &amp; Compound Data'!AR270,IF('I. Stream &amp; Compound Data'!AS270&lt;&gt;"",'I. Stream &amp; Compound Data'!AS270,""))</f>
        <v/>
      </c>
      <c r="N502" s="1306" t="str">
        <f>IF(H502&gt;'I. Stream &amp; Compound Data'!$F$18,"",IF(I502="","N/A",ROUND(IF(I502&lt;=10,1,IF(AND(I502&gt;10,I502&lt;100000),-0.109*LN(I502)+1.25,0)),3)))</f>
        <v/>
      </c>
      <c r="O502" s="1168" t="str">
        <f>IF(H502&gt;'I. Stream &amp; Compound Data'!$F$18,"",IF(N502="N/A",IF(J502&lt;&gt;"",ROUND(IF(J502&lt;=10,1,IF(AND(J502&gt;10,J502&lt;100000),-0.109*LN(J502)+1.25,0)),3),"N/A"),"N/A"))</f>
        <v/>
      </c>
      <c r="P502" s="1242" t="str">
        <f>IF(H502&gt;'I. Stream &amp; Compound Data'!$F$18,"",IF(AND(N502="N/A",O502="N/A"),IF(K502="","N/A",IF(K502="T+",0.875,IF(K502="T",0.625,IF(K502="Xn",0.375,"N/A")))),"N/A"))</f>
        <v/>
      </c>
      <c r="Q502" s="1242" t="str">
        <f>IF(H502&gt;'I. Stream &amp; Compound Data'!$F$18,"",IF(AND(N502="N/A",O502="N/A",P502="N/A"),IF(L502="","N/A",IF(L502=1,1,IF(L502=2,0.875,IF(L502=3,0.625,IF(L502=4,0.375,IF(L502=5,0.125,0)))))),"N/A"))</f>
        <v/>
      </c>
      <c r="R502" s="1242" t="str">
        <f>IF(H502&gt;'I. Stream &amp; Compound Data'!$F$18,"",IF(AND(N502="N/A",O502="N/A",P502="N/A",Q502="N/A"),IF(M502="","N/A",IF(OR(AND(M502&gt;=26,M502&lt;=29),M502=32),0.875,IF(OR(M502=23,M502=24,M502=25,M502=31),0.625,IF(OR(M502=20,M502=21,,M502=22),0.375,"N/A")))),"N/A"))</f>
        <v/>
      </c>
      <c r="S502" s="1242" t="str">
        <f>IF(H502&gt;'I. Stream &amp; Compound Data'!$F$18,"",IF(I150="","N/A",IF(N502&lt;&gt;"N/A",N502,IF(O502&lt;&gt;"N/A",O502,IF(P502&lt;&gt;"N/A",P502,IF(Q502&lt;&gt;"N/A",Q502,IF(R502&lt;&gt;"N/A",R502,"NO DATA AVAILABLE")))))))</f>
        <v/>
      </c>
      <c r="T502" s="1242" t="str">
        <f>IF(H502&gt;'I. Stream &amp; Compound Data'!$F$18,"",IF(S502="N/A",0,IF(S502&gt;0,ROUND(10^(4*S502+1),3),0)))</f>
        <v/>
      </c>
      <c r="U502" s="1242" t="str">
        <f>IF(H502&gt;'I. Stream &amp; Compound Data'!$F$18,"",IF(H502&gt;'I. Stream &amp; Compound Data'!$F$18,"",MAX(K150:L150)))</f>
        <v/>
      </c>
      <c r="V502" s="1268" t="str">
        <f>IF(H502&gt;'I. Stream &amp; Compound Data'!$F$18,"",ROUND(T502*U502,3))</f>
        <v/>
      </c>
      <c r="W502" s="279"/>
      <c r="X502" s="279"/>
      <c r="Y502" s="279"/>
      <c r="Z502" s="279"/>
      <c r="AA502" s="279"/>
      <c r="AB502" s="279"/>
      <c r="AC502" s="279"/>
      <c r="AD502" s="279"/>
      <c r="AE502" s="279"/>
      <c r="AF502" s="279"/>
      <c r="AG502" s="279"/>
      <c r="AH502" s="279"/>
      <c r="AI502" s="279"/>
      <c r="AJ502" s="279"/>
      <c r="AK502" s="279"/>
      <c r="AL502" s="279"/>
      <c r="AM502" s="279"/>
      <c r="AN502" s="279"/>
      <c r="AO502" s="279"/>
      <c r="AP502" s="279"/>
      <c r="AQ502" s="279"/>
      <c r="AR502" s="279"/>
      <c r="AS502" s="279"/>
      <c r="AT502" s="279"/>
      <c r="AU502" s="279"/>
      <c r="AV502" s="279"/>
      <c r="AW502" s="279"/>
      <c r="AX502" s="279"/>
      <c r="AY502" s="279"/>
      <c r="AZ502" s="279"/>
      <c r="BA502" s="279"/>
      <c r="BB502" s="279"/>
      <c r="BC502" s="279"/>
      <c r="BD502" s="279"/>
      <c r="BE502" s="279"/>
      <c r="BF502" s="279"/>
      <c r="BG502" s="279"/>
      <c r="BH502" s="279"/>
      <c r="BI502" s="279"/>
      <c r="BJ502" s="279"/>
      <c r="BK502" s="279"/>
      <c r="BL502" s="279"/>
      <c r="BM502" s="279"/>
      <c r="BN502" s="279"/>
      <c r="BO502" s="279"/>
      <c r="BP502" s="279"/>
      <c r="BQ502" s="279"/>
      <c r="BR502" s="279"/>
      <c r="BS502" s="279"/>
      <c r="BT502" s="279"/>
      <c r="BU502" s="279"/>
      <c r="BV502" s="279"/>
      <c r="BW502" s="279"/>
      <c r="BX502" s="279"/>
      <c r="BY502" s="279"/>
      <c r="BZ502" s="279"/>
      <c r="CA502" s="279"/>
      <c r="CB502" s="279"/>
      <c r="CC502" s="279"/>
      <c r="CD502" s="279"/>
      <c r="CE502" s="279"/>
      <c r="CF502" s="279"/>
      <c r="CG502" s="279"/>
      <c r="CH502" s="279"/>
      <c r="CI502" s="279"/>
      <c r="CJ502" s="279"/>
      <c r="CK502" s="279"/>
      <c r="CL502" s="279"/>
      <c r="CM502" s="279"/>
      <c r="CN502" s="382"/>
    </row>
    <row r="503" x14ac:dyDescent="0.25">
      <c r="B503" s="361"/>
      <c r="C503" s="279"/>
      <c r="D503" s="280"/>
      <c r="E503" s="287"/>
      <c r="F503" s="287"/>
      <c r="G503" s="287"/>
      <c r="H503" s="1292">
        <f t="shared" si="18"/>
        <v>10</v>
      </c>
      <c r="I503" s="1295" t="str">
        <f>IF('I. Stream &amp; Compound Data'!AA271&lt;&gt;"",'I. Stream &amp; Compound Data'!AA271,"")</f>
        <v/>
      </c>
      <c r="J503" s="1295" t="str">
        <f>IF('I. Stream &amp; Compound Data'!Z271&lt;&gt;"",'I. Stream &amp; Compound Data'!Z271,"")</f>
        <v/>
      </c>
      <c r="K503" s="1190" t="str">
        <f>IF('I. Stream &amp; Compound Data'!AP271&lt;&gt;"",'I. Stream &amp; Compound Data'!AP271,IF('I. Stream &amp; Compound Data'!AQ271&lt;&gt;"",'I. Stream &amp; Compound Data'!AQ271,""))</f>
        <v/>
      </c>
      <c r="L503" s="1190" t="str">
        <f>IF('I. Stream &amp; Compound Data'!AT271&lt;&gt;"",'I. Stream &amp; Compound Data'!AT271,IF('I. Stream &amp; Compound Data'!AU271&lt;&gt;"",'I. Stream &amp; Compound Data'!AU271,""))</f>
        <v/>
      </c>
      <c r="M503" s="1295" t="str">
        <f>IF('I. Stream &amp; Compound Data'!AR271&lt;&gt;"",'I. Stream &amp; Compound Data'!AR271,IF('I. Stream &amp; Compound Data'!AS271&lt;&gt;"",'I. Stream &amp; Compound Data'!AS271,""))</f>
        <v/>
      </c>
      <c r="N503" s="1306" t="str">
        <f>IF(H503&gt;'I. Stream &amp; Compound Data'!$F$18,"",IF(I503="","N/A",ROUND(IF(I503&lt;=10,1,IF(AND(I503&gt;10,I503&lt;100000),-0.109*LN(I503)+1.25,0)),3)))</f>
        <v/>
      </c>
      <c r="O503" s="1168" t="str">
        <f>IF(H503&gt;'I. Stream &amp; Compound Data'!$F$18,"",IF(N503="N/A",IF(J503&lt;&gt;"",ROUND(IF(J503&lt;=10,1,IF(AND(J503&gt;10,J503&lt;100000),-0.109*LN(J503)+1.25,0)),3),"N/A"),"N/A"))</f>
        <v/>
      </c>
      <c r="P503" s="1242" t="str">
        <f>IF(H503&gt;'I. Stream &amp; Compound Data'!$F$18,"",IF(AND(N503="N/A",O503="N/A"),IF(K503="","N/A",IF(K503="T+",0.875,IF(K503="T",0.625,IF(K503="Xn",0.375,"N/A")))),"N/A"))</f>
        <v/>
      </c>
      <c r="Q503" s="1242" t="str">
        <f>IF(H503&gt;'I. Stream &amp; Compound Data'!$F$18,"",IF(AND(N503="N/A",O503="N/A",P503="N/A"),IF(L503="","N/A",IF(L503=1,1,IF(L503=2,0.875,IF(L503=3,0.625,IF(L503=4,0.375,IF(L503=5,0.125,0)))))),"N/A"))</f>
        <v/>
      </c>
      <c r="R503" s="1242" t="str">
        <f>IF(H503&gt;'I. Stream &amp; Compound Data'!$F$18,"",IF(AND(N503="N/A",O503="N/A",P503="N/A",Q503="N/A"),IF(M503="","N/A",IF(OR(AND(M503&gt;=26,M503&lt;=29),M503=32),0.875,IF(OR(M503=23,M503=24,M503=25,M503=31),0.625,IF(OR(M503=20,M503=21,,M503=22),0.375,"N/A")))),"N/A"))</f>
        <v/>
      </c>
      <c r="S503" s="1242" t="str">
        <f>IF(H503&gt;'I. Stream &amp; Compound Data'!$F$18,"",IF(I151="","N/A",IF(N503&lt;&gt;"N/A",N503,IF(O503&lt;&gt;"N/A",O503,IF(P503&lt;&gt;"N/A",P503,IF(Q503&lt;&gt;"N/A",Q503,IF(R503&lt;&gt;"N/A",R503,"NO DATA AVAILABLE")))))))</f>
        <v/>
      </c>
      <c r="T503" s="1242" t="str">
        <f>IF(H503&gt;'I. Stream &amp; Compound Data'!$F$18,"",IF(S503="N/A",0,IF(S503&gt;0,ROUND(10^(4*S503+1),3),0)))</f>
        <v/>
      </c>
      <c r="U503" s="1242" t="str">
        <f>IF(H503&gt;'I. Stream &amp; Compound Data'!$F$18,"",IF(H503&gt;'I. Stream &amp; Compound Data'!$F$18,"",MAX(K151:L151)))</f>
        <v/>
      </c>
      <c r="V503" s="1268" t="str">
        <f>IF(H503&gt;'I. Stream &amp; Compound Data'!$F$18,"",ROUND(T503*U503,3))</f>
        <v/>
      </c>
      <c r="W503" s="279"/>
      <c r="X503" s="279"/>
      <c r="Y503" s="279"/>
      <c r="Z503" s="279"/>
      <c r="AA503" s="279"/>
      <c r="AB503" s="279"/>
      <c r="AC503" s="279"/>
      <c r="AD503" s="279"/>
      <c r="AE503" s="279"/>
      <c r="AF503" s="279"/>
      <c r="AG503" s="279"/>
      <c r="AH503" s="279"/>
      <c r="AI503" s="279"/>
      <c r="AJ503" s="279"/>
      <c r="AK503" s="279"/>
      <c r="AL503" s="279"/>
      <c r="AM503" s="279"/>
      <c r="AN503" s="279"/>
      <c r="AO503" s="279"/>
      <c r="AP503" s="279"/>
      <c r="AQ503" s="279"/>
      <c r="AR503" s="279"/>
      <c r="AS503" s="279"/>
      <c r="AT503" s="279"/>
      <c r="AU503" s="279"/>
      <c r="AV503" s="279"/>
      <c r="AW503" s="279"/>
      <c r="AX503" s="279"/>
      <c r="AY503" s="279"/>
      <c r="AZ503" s="279"/>
      <c r="BA503" s="279"/>
      <c r="BB503" s="279"/>
      <c r="BC503" s="279"/>
      <c r="BD503" s="279"/>
      <c r="BE503" s="279"/>
      <c r="BF503" s="279"/>
      <c r="BG503" s="279"/>
      <c r="BH503" s="279"/>
      <c r="BI503" s="279"/>
      <c r="BJ503" s="279"/>
      <c r="BK503" s="279"/>
      <c r="BL503" s="279"/>
      <c r="BM503" s="279"/>
      <c r="BN503" s="279"/>
      <c r="BO503" s="279"/>
      <c r="BP503" s="279"/>
      <c r="BQ503" s="279"/>
      <c r="BR503" s="279"/>
      <c r="BS503" s="279"/>
      <c r="BT503" s="279"/>
      <c r="BU503" s="279"/>
      <c r="BV503" s="279"/>
      <c r="BW503" s="279"/>
      <c r="BX503" s="279"/>
      <c r="BY503" s="279"/>
      <c r="BZ503" s="279"/>
      <c r="CA503" s="279"/>
      <c r="CB503" s="279"/>
      <c r="CC503" s="279"/>
      <c r="CD503" s="279"/>
      <c r="CE503" s="279"/>
      <c r="CF503" s="279"/>
      <c r="CG503" s="279"/>
      <c r="CH503" s="279"/>
      <c r="CI503" s="279"/>
      <c r="CJ503" s="279"/>
      <c r="CK503" s="279"/>
      <c r="CL503" s="279"/>
      <c r="CM503" s="279"/>
      <c r="CN503" s="382"/>
    </row>
    <row r="504" x14ac:dyDescent="0.25">
      <c r="B504" s="361"/>
      <c r="C504" s="279"/>
      <c r="D504" s="280"/>
      <c r="E504" s="287"/>
      <c r="F504" s="287"/>
      <c r="G504" s="287"/>
      <c r="H504" s="1292">
        <f t="shared" si="18"/>
        <v>11</v>
      </c>
      <c r="I504" s="1295" t="str">
        <f>IF('I. Stream &amp; Compound Data'!AA272&lt;&gt;"",'I. Stream &amp; Compound Data'!AA272,"")</f>
        <v/>
      </c>
      <c r="J504" s="1295" t="str">
        <f>IF('I. Stream &amp; Compound Data'!Z272&lt;&gt;"",'I. Stream &amp; Compound Data'!Z272,"")</f>
        <v/>
      </c>
      <c r="K504" s="1190" t="str">
        <f>IF('I. Stream &amp; Compound Data'!AP272&lt;&gt;"",'I. Stream &amp; Compound Data'!AP272,IF('I. Stream &amp; Compound Data'!AQ272&lt;&gt;"",'I. Stream &amp; Compound Data'!AQ272,""))</f>
        <v/>
      </c>
      <c r="L504" s="1190" t="str">
        <f>IF('I. Stream &amp; Compound Data'!AT272&lt;&gt;"",'I. Stream &amp; Compound Data'!AT272,IF('I. Stream &amp; Compound Data'!AU272&lt;&gt;"",'I. Stream &amp; Compound Data'!AU272,""))</f>
        <v/>
      </c>
      <c r="M504" s="1295" t="str">
        <f>IF('I. Stream &amp; Compound Data'!AR272&lt;&gt;"",'I. Stream &amp; Compound Data'!AR272,IF('I. Stream &amp; Compound Data'!AS272&lt;&gt;"",'I. Stream &amp; Compound Data'!AS272,""))</f>
        <v/>
      </c>
      <c r="N504" s="1306" t="str">
        <f>IF(H504&gt;'I. Stream &amp; Compound Data'!$F$18,"",IF(I504="","N/A",ROUND(IF(I504&lt;=10,1,IF(AND(I504&gt;10,I504&lt;100000),-0.109*LN(I504)+1.25,0)),3)))</f>
        <v/>
      </c>
      <c r="O504" s="1168" t="str">
        <f>IF(H504&gt;'I. Stream &amp; Compound Data'!$F$18,"",IF(N504="N/A",IF(J504&lt;&gt;"",ROUND(IF(J504&lt;=10,1,IF(AND(J504&gt;10,J504&lt;100000),-0.109*LN(J504)+1.25,0)),3),"N/A"),"N/A"))</f>
        <v/>
      </c>
      <c r="P504" s="1242" t="str">
        <f>IF(H504&gt;'I. Stream &amp; Compound Data'!$F$18,"",IF(AND(N504="N/A",O504="N/A"),IF(K504="","N/A",IF(K504="T+",0.875,IF(K504="T",0.625,IF(K504="Xn",0.375,"N/A")))),"N/A"))</f>
        <v/>
      </c>
      <c r="Q504" s="1242" t="str">
        <f>IF(H504&gt;'I. Stream &amp; Compound Data'!$F$18,"",IF(AND(N504="N/A",O504="N/A",P504="N/A"),IF(L504="","N/A",IF(L504=1,1,IF(L504=2,0.875,IF(L504=3,0.625,IF(L504=4,0.375,IF(L504=5,0.125,0)))))),"N/A"))</f>
        <v/>
      </c>
      <c r="R504" s="1242" t="str">
        <f>IF(H504&gt;'I. Stream &amp; Compound Data'!$F$18,"",IF(AND(N504="N/A",O504="N/A",P504="N/A",Q504="N/A"),IF(M504="","N/A",IF(OR(AND(M504&gt;=26,M504&lt;=29),M504=32),0.875,IF(OR(M504=23,M504=24,M504=25,M504=31),0.625,IF(OR(M504=20,M504=21,,M504=22),0.375,"N/A")))),"N/A"))</f>
        <v/>
      </c>
      <c r="S504" s="1242" t="str">
        <f>IF(H504&gt;'I. Stream &amp; Compound Data'!$F$18,"",IF(I152="","N/A",IF(N504&lt;&gt;"N/A",N504,IF(O504&lt;&gt;"N/A",O504,IF(P504&lt;&gt;"N/A",P504,IF(Q504&lt;&gt;"N/A",Q504,IF(R504&lt;&gt;"N/A",R504,"NO DATA AVAILABLE")))))))</f>
        <v/>
      </c>
      <c r="T504" s="1242" t="str">
        <f>IF(H504&gt;'I. Stream &amp; Compound Data'!$F$18,"",IF(S504="N/A",0,IF(S504&gt;0,ROUND(10^(4*S504+1),3),0)))</f>
        <v/>
      </c>
      <c r="U504" s="1242" t="str">
        <f>IF(H504&gt;'I. Stream &amp; Compound Data'!$F$18,"",IF(H504&gt;'I. Stream &amp; Compound Data'!$F$18,"",MAX(K152:L152)))</f>
        <v/>
      </c>
      <c r="V504" s="1268" t="str">
        <f>IF(H504&gt;'I. Stream &amp; Compound Data'!$F$18,"",ROUND(T504*U504,3))</f>
        <v/>
      </c>
      <c r="W504" s="279"/>
      <c r="X504" s="279"/>
      <c r="Y504" s="279"/>
      <c r="Z504" s="279"/>
      <c r="AA504" s="279"/>
      <c r="AB504" s="279"/>
      <c r="AC504" s="279"/>
      <c r="AD504" s="279"/>
      <c r="AE504" s="279"/>
      <c r="AF504" s="279"/>
      <c r="AG504" s="279"/>
      <c r="AH504" s="279"/>
      <c r="AI504" s="279"/>
      <c r="AJ504" s="279"/>
      <c r="AK504" s="279"/>
      <c r="AL504" s="279"/>
      <c r="AM504" s="279"/>
      <c r="AN504" s="279"/>
      <c r="AO504" s="279"/>
      <c r="AP504" s="279"/>
      <c r="AQ504" s="279"/>
      <c r="AR504" s="279"/>
      <c r="AS504" s="279"/>
      <c r="AT504" s="279"/>
      <c r="AU504" s="279"/>
      <c r="AV504" s="279"/>
      <c r="AW504" s="279"/>
      <c r="AX504" s="279"/>
      <c r="AY504" s="279"/>
      <c r="AZ504" s="279"/>
      <c r="BA504" s="279"/>
      <c r="BB504" s="279"/>
      <c r="BC504" s="279"/>
      <c r="BD504" s="279"/>
      <c r="BE504" s="279"/>
      <c r="BF504" s="279"/>
      <c r="BG504" s="279"/>
      <c r="BH504" s="279"/>
      <c r="BI504" s="279"/>
      <c r="BJ504" s="279"/>
      <c r="BK504" s="279"/>
      <c r="BL504" s="279"/>
      <c r="BM504" s="279"/>
      <c r="BN504" s="279"/>
      <c r="BO504" s="279"/>
      <c r="BP504" s="279"/>
      <c r="BQ504" s="279"/>
      <c r="BR504" s="279"/>
      <c r="BS504" s="279"/>
      <c r="BT504" s="279"/>
      <c r="BU504" s="279"/>
      <c r="BV504" s="279"/>
      <c r="BW504" s="279"/>
      <c r="BX504" s="279"/>
      <c r="BY504" s="279"/>
      <c r="BZ504" s="279"/>
      <c r="CA504" s="279"/>
      <c r="CB504" s="279"/>
      <c r="CC504" s="279"/>
      <c r="CD504" s="279"/>
      <c r="CE504" s="279"/>
      <c r="CF504" s="279"/>
      <c r="CG504" s="279"/>
      <c r="CH504" s="279"/>
      <c r="CI504" s="279"/>
      <c r="CJ504" s="279"/>
      <c r="CK504" s="279"/>
      <c r="CL504" s="279"/>
      <c r="CM504" s="279"/>
      <c r="CN504" s="382"/>
    </row>
    <row r="505" x14ac:dyDescent="0.25">
      <c r="B505" s="361"/>
      <c r="C505" s="279"/>
      <c r="D505" s="280"/>
      <c r="E505" s="287"/>
      <c r="F505" s="287"/>
      <c r="G505" s="287"/>
      <c r="H505" s="1292">
        <f t="shared" si="18"/>
        <v>12</v>
      </c>
      <c r="I505" s="1295" t="str">
        <f>IF('I. Stream &amp; Compound Data'!AA273&lt;&gt;"",'I. Stream &amp; Compound Data'!AA273,"")</f>
        <v/>
      </c>
      <c r="J505" s="1295" t="str">
        <f>IF('I. Stream &amp; Compound Data'!Z273&lt;&gt;"",'I. Stream &amp; Compound Data'!Z273,"")</f>
        <v/>
      </c>
      <c r="K505" s="1190" t="str">
        <f>IF('I. Stream &amp; Compound Data'!AP273&lt;&gt;"",'I. Stream &amp; Compound Data'!AP273,IF('I. Stream &amp; Compound Data'!AQ273&lt;&gt;"",'I. Stream &amp; Compound Data'!AQ273,""))</f>
        <v/>
      </c>
      <c r="L505" s="1190" t="str">
        <f>IF('I. Stream &amp; Compound Data'!AT273&lt;&gt;"",'I. Stream &amp; Compound Data'!AT273,IF('I. Stream &amp; Compound Data'!AU273&lt;&gt;"",'I. Stream &amp; Compound Data'!AU273,""))</f>
        <v/>
      </c>
      <c r="M505" s="1295" t="str">
        <f>IF('I. Stream &amp; Compound Data'!AR273&lt;&gt;"",'I. Stream &amp; Compound Data'!AR273,IF('I. Stream &amp; Compound Data'!AS273&lt;&gt;"",'I. Stream &amp; Compound Data'!AS273,""))</f>
        <v/>
      </c>
      <c r="N505" s="1306" t="str">
        <f>IF(H505&gt;'I. Stream &amp; Compound Data'!$F$18,"",IF(I505="","N/A",ROUND(IF(I505&lt;=10,1,IF(AND(I505&gt;10,I505&lt;100000),-0.109*LN(I505)+1.25,0)),3)))</f>
        <v/>
      </c>
      <c r="O505" s="1168" t="str">
        <f>IF(H505&gt;'I. Stream &amp; Compound Data'!$F$18,"",IF(N505="N/A",IF(J505&lt;&gt;"",ROUND(IF(J505&lt;=10,1,IF(AND(J505&gt;10,J505&lt;100000),-0.109*LN(J505)+1.25,0)),3),"N/A"),"N/A"))</f>
        <v/>
      </c>
      <c r="P505" s="1242" t="str">
        <f>IF(H505&gt;'I. Stream &amp; Compound Data'!$F$18,"",IF(AND(N505="N/A",O505="N/A"),IF(K505="","N/A",IF(K505="T+",0.875,IF(K505="T",0.625,IF(K505="Xn",0.375,"N/A")))),"N/A"))</f>
        <v/>
      </c>
      <c r="Q505" s="1242" t="str">
        <f>IF(H505&gt;'I. Stream &amp; Compound Data'!$F$18,"",IF(AND(N505="N/A",O505="N/A",P505="N/A"),IF(L505="","N/A",IF(L505=1,1,IF(L505=2,0.875,IF(L505=3,0.625,IF(L505=4,0.375,IF(L505=5,0.125,0)))))),"N/A"))</f>
        <v/>
      </c>
      <c r="R505" s="1242" t="str">
        <f>IF(H505&gt;'I. Stream &amp; Compound Data'!$F$18,"",IF(AND(N505="N/A",O505="N/A",P505="N/A",Q505="N/A"),IF(M505="","N/A",IF(OR(AND(M505&gt;=26,M505&lt;=29),M505=32),0.875,IF(OR(M505=23,M505=24,M505=25,M505=31),0.625,IF(OR(M505=20,M505=21,,M505=22),0.375,"N/A")))),"N/A"))</f>
        <v/>
      </c>
      <c r="S505" s="1242" t="str">
        <f>IF(H505&gt;'I. Stream &amp; Compound Data'!$F$18,"",IF(I153="","N/A",IF(N505&lt;&gt;"N/A",N505,IF(O505&lt;&gt;"N/A",O505,IF(P505&lt;&gt;"N/A",P505,IF(Q505&lt;&gt;"N/A",Q505,IF(R505&lt;&gt;"N/A",R505,"NO DATA AVAILABLE")))))))</f>
        <v/>
      </c>
      <c r="T505" s="1242" t="str">
        <f>IF(H505&gt;'I. Stream &amp; Compound Data'!$F$18,"",IF(S505="N/A",0,IF(S505&gt;0,ROUND(10^(4*S505+1),3),0)))</f>
        <v/>
      </c>
      <c r="U505" s="1242" t="str">
        <f>IF(H505&gt;'I. Stream &amp; Compound Data'!$F$18,"",IF(H505&gt;'I. Stream &amp; Compound Data'!$F$18,"",MAX(K153:L153)))</f>
        <v/>
      </c>
      <c r="V505" s="1268" t="str">
        <f>IF(H505&gt;'I. Stream &amp; Compound Data'!$F$18,"",ROUND(T505*U505,3))</f>
        <v/>
      </c>
      <c r="W505" s="279"/>
      <c r="X505" s="279"/>
      <c r="Y505" s="279"/>
      <c r="Z505" s="279"/>
      <c r="AA505" s="279"/>
      <c r="AB505" s="279"/>
      <c r="AC505" s="279"/>
      <c r="AD505" s="279"/>
      <c r="AE505" s="279"/>
      <c r="AF505" s="279"/>
      <c r="AG505" s="279"/>
      <c r="AH505" s="279"/>
      <c r="AI505" s="279"/>
      <c r="AJ505" s="279"/>
      <c r="AK505" s="279"/>
      <c r="AL505" s="279"/>
      <c r="AM505" s="279"/>
      <c r="AN505" s="279"/>
      <c r="AO505" s="279"/>
      <c r="AP505" s="279"/>
      <c r="AQ505" s="279"/>
      <c r="AR505" s="279"/>
      <c r="AS505" s="279"/>
      <c r="AT505" s="279"/>
      <c r="AU505" s="279"/>
      <c r="AV505" s="279"/>
      <c r="AW505" s="279"/>
      <c r="AX505" s="279"/>
      <c r="AY505" s="279"/>
      <c r="AZ505" s="279"/>
      <c r="BA505" s="279"/>
      <c r="BB505" s="279"/>
      <c r="BC505" s="279"/>
      <c r="BD505" s="279"/>
      <c r="BE505" s="279"/>
      <c r="BF505" s="279"/>
      <c r="BG505" s="279"/>
      <c r="BH505" s="279"/>
      <c r="BI505" s="279"/>
      <c r="BJ505" s="279"/>
      <c r="BK505" s="279"/>
      <c r="BL505" s="279"/>
      <c r="BM505" s="279"/>
      <c r="BN505" s="279"/>
      <c r="BO505" s="279"/>
      <c r="BP505" s="279"/>
      <c r="BQ505" s="279"/>
      <c r="BR505" s="279"/>
      <c r="BS505" s="279"/>
      <c r="BT505" s="279"/>
      <c r="BU505" s="279"/>
      <c r="BV505" s="279"/>
      <c r="BW505" s="279"/>
      <c r="BX505" s="279"/>
      <c r="BY505" s="279"/>
      <c r="BZ505" s="279"/>
      <c r="CA505" s="279"/>
      <c r="CB505" s="279"/>
      <c r="CC505" s="279"/>
      <c r="CD505" s="279"/>
      <c r="CE505" s="279"/>
      <c r="CF505" s="279"/>
      <c r="CG505" s="279"/>
      <c r="CH505" s="279"/>
      <c r="CI505" s="279"/>
      <c r="CJ505" s="279"/>
      <c r="CK505" s="279"/>
      <c r="CL505" s="279"/>
      <c r="CM505" s="279"/>
      <c r="CN505" s="382"/>
    </row>
    <row r="506" x14ac:dyDescent="0.25">
      <c r="B506" s="361"/>
      <c r="C506" s="279"/>
      <c r="D506" s="280"/>
      <c r="E506" s="287"/>
      <c r="F506" s="287"/>
      <c r="G506" s="287"/>
      <c r="H506" s="1292">
        <f t="shared" si="18"/>
        <v>13</v>
      </c>
      <c r="I506" s="1295" t="str">
        <f>IF('I. Stream &amp; Compound Data'!AA274&lt;&gt;"",'I. Stream &amp; Compound Data'!AA274,"")</f>
        <v/>
      </c>
      <c r="J506" s="1295" t="str">
        <f>IF('I. Stream &amp; Compound Data'!Z274&lt;&gt;"",'I. Stream &amp; Compound Data'!Z274,"")</f>
        <v/>
      </c>
      <c r="K506" s="1190" t="str">
        <f>IF('I. Stream &amp; Compound Data'!AP274&lt;&gt;"",'I. Stream &amp; Compound Data'!AP274,IF('I. Stream &amp; Compound Data'!AQ274&lt;&gt;"",'I. Stream &amp; Compound Data'!AQ274,""))</f>
        <v/>
      </c>
      <c r="L506" s="1190" t="str">
        <f>IF('I. Stream &amp; Compound Data'!AT274&lt;&gt;"",'I. Stream &amp; Compound Data'!AT274,IF('I. Stream &amp; Compound Data'!AU274&lt;&gt;"",'I. Stream &amp; Compound Data'!AU274,""))</f>
        <v/>
      </c>
      <c r="M506" s="1295" t="str">
        <f>IF('I. Stream &amp; Compound Data'!AR274&lt;&gt;"",'I. Stream &amp; Compound Data'!AR274,IF('I. Stream &amp; Compound Data'!AS274&lt;&gt;"",'I. Stream &amp; Compound Data'!AS274,""))</f>
        <v/>
      </c>
      <c r="N506" s="1306" t="str">
        <f>IF(H506&gt;'I. Stream &amp; Compound Data'!$F$18,"",IF(I506="","N/A",ROUND(IF(I506&lt;=10,1,IF(AND(I506&gt;10,I506&lt;100000),-0.109*LN(I506)+1.25,0)),3)))</f>
        <v/>
      </c>
      <c r="O506" s="1168" t="str">
        <f>IF(H506&gt;'I. Stream &amp; Compound Data'!$F$18,"",IF(N506="N/A",IF(J506&lt;&gt;"",ROUND(IF(J506&lt;=10,1,IF(AND(J506&gt;10,J506&lt;100000),-0.109*LN(J506)+1.25,0)),3),"N/A"),"N/A"))</f>
        <v/>
      </c>
      <c r="P506" s="1242" t="str">
        <f>IF(H506&gt;'I. Stream &amp; Compound Data'!$F$18,"",IF(AND(N506="N/A",O506="N/A"),IF(K506="","N/A",IF(K506="T+",0.875,IF(K506="T",0.625,IF(K506="Xn",0.375,"N/A")))),"N/A"))</f>
        <v/>
      </c>
      <c r="Q506" s="1242" t="str">
        <f>IF(H506&gt;'I. Stream &amp; Compound Data'!$F$18,"",IF(AND(N506="N/A",O506="N/A",P506="N/A"),IF(L506="","N/A",IF(L506=1,1,IF(L506=2,0.875,IF(L506=3,0.625,IF(L506=4,0.375,IF(L506=5,0.125,0)))))),"N/A"))</f>
        <v/>
      </c>
      <c r="R506" s="1242" t="str">
        <f>IF(H506&gt;'I. Stream &amp; Compound Data'!$F$18,"",IF(AND(N506="N/A",O506="N/A",P506="N/A",Q506="N/A"),IF(M506="","N/A",IF(OR(AND(M506&gt;=26,M506&lt;=29),M506=32),0.875,IF(OR(M506=23,M506=24,M506=25,M506=31),0.625,IF(OR(M506=20,M506=21,,M506=22),0.375,"N/A")))),"N/A"))</f>
        <v/>
      </c>
      <c r="S506" s="1242" t="str">
        <f>IF(H506&gt;'I. Stream &amp; Compound Data'!$F$18,"",IF(I154="","N/A",IF(N506&lt;&gt;"N/A",N506,IF(O506&lt;&gt;"N/A",O506,IF(P506&lt;&gt;"N/A",P506,IF(Q506&lt;&gt;"N/A",Q506,IF(R506&lt;&gt;"N/A",R506,"NO DATA AVAILABLE")))))))</f>
        <v/>
      </c>
      <c r="T506" s="1242" t="str">
        <f>IF(H506&gt;'I. Stream &amp; Compound Data'!$F$18,"",IF(S506="N/A",0,IF(S506&gt;0,ROUND(10^(4*S506+1),3),0)))</f>
        <v/>
      </c>
      <c r="U506" s="1242" t="str">
        <f>IF(H506&gt;'I. Stream &amp; Compound Data'!$F$18,"",IF(H506&gt;'I. Stream &amp; Compound Data'!$F$18,"",MAX(K154:L154)))</f>
        <v/>
      </c>
      <c r="V506" s="1268" t="str">
        <f>IF(H506&gt;'I. Stream &amp; Compound Data'!$F$18,"",ROUND(T506*U506,3))</f>
        <v/>
      </c>
      <c r="W506" s="279"/>
      <c r="X506" s="279"/>
      <c r="Y506" s="279"/>
      <c r="Z506" s="279"/>
      <c r="AA506" s="279"/>
      <c r="AB506" s="279"/>
      <c r="AC506" s="279"/>
      <c r="AD506" s="279"/>
      <c r="AE506" s="279"/>
      <c r="AF506" s="279"/>
      <c r="AG506" s="279"/>
      <c r="AH506" s="279"/>
      <c r="AI506" s="279"/>
      <c r="AJ506" s="279"/>
      <c r="AK506" s="279"/>
      <c r="AL506" s="279"/>
      <c r="AM506" s="279"/>
      <c r="AN506" s="279"/>
      <c r="AO506" s="279"/>
      <c r="AP506" s="279"/>
      <c r="AQ506" s="279"/>
      <c r="AR506" s="279"/>
      <c r="AS506" s="279"/>
      <c r="AT506" s="279"/>
      <c r="AU506" s="279"/>
      <c r="AV506" s="279"/>
      <c r="AW506" s="279"/>
      <c r="AX506" s="279"/>
      <c r="AY506" s="279"/>
      <c r="AZ506" s="279"/>
      <c r="BA506" s="279"/>
      <c r="BB506" s="279"/>
      <c r="BC506" s="279"/>
      <c r="BD506" s="279"/>
      <c r="BE506" s="279"/>
      <c r="BF506" s="279"/>
      <c r="BG506" s="279"/>
      <c r="BH506" s="279"/>
      <c r="BI506" s="279"/>
      <c r="BJ506" s="279"/>
      <c r="BK506" s="279"/>
      <c r="BL506" s="279"/>
      <c r="BM506" s="279"/>
      <c r="BN506" s="279"/>
      <c r="BO506" s="279"/>
      <c r="BP506" s="279"/>
      <c r="BQ506" s="279"/>
      <c r="BR506" s="279"/>
      <c r="BS506" s="279"/>
      <c r="BT506" s="279"/>
      <c r="BU506" s="279"/>
      <c r="BV506" s="279"/>
      <c r="BW506" s="279"/>
      <c r="BX506" s="279"/>
      <c r="BY506" s="279"/>
      <c r="BZ506" s="279"/>
      <c r="CA506" s="279"/>
      <c r="CB506" s="279"/>
      <c r="CC506" s="279"/>
      <c r="CD506" s="279"/>
      <c r="CE506" s="279"/>
      <c r="CF506" s="279"/>
      <c r="CG506" s="279"/>
      <c r="CH506" s="279"/>
      <c r="CI506" s="279"/>
      <c r="CJ506" s="279"/>
      <c r="CK506" s="279"/>
      <c r="CL506" s="279"/>
      <c r="CM506" s="279"/>
      <c r="CN506" s="382"/>
    </row>
    <row r="507" x14ac:dyDescent="0.25">
      <c r="B507" s="361"/>
      <c r="C507" s="279"/>
      <c r="D507" s="280"/>
      <c r="E507" s="287"/>
      <c r="F507" s="287"/>
      <c r="G507" s="287"/>
      <c r="H507" s="1292">
        <f t="shared" si="18"/>
        <v>14</v>
      </c>
      <c r="I507" s="1295" t="str">
        <f>IF('I. Stream &amp; Compound Data'!AA275&lt;&gt;"",'I. Stream &amp; Compound Data'!AA275,"")</f>
        <v/>
      </c>
      <c r="J507" s="1295" t="str">
        <f>IF('I. Stream &amp; Compound Data'!Z275&lt;&gt;"",'I. Stream &amp; Compound Data'!Z275,"")</f>
        <v/>
      </c>
      <c r="K507" s="1190" t="str">
        <f>IF('I. Stream &amp; Compound Data'!AP275&lt;&gt;"",'I. Stream &amp; Compound Data'!AP275,IF('I. Stream &amp; Compound Data'!AQ275&lt;&gt;"",'I. Stream &amp; Compound Data'!AQ275,""))</f>
        <v/>
      </c>
      <c r="L507" s="1190" t="str">
        <f>IF('I. Stream &amp; Compound Data'!AT275&lt;&gt;"",'I. Stream &amp; Compound Data'!AT275,IF('I. Stream &amp; Compound Data'!AU275&lt;&gt;"",'I. Stream &amp; Compound Data'!AU275,""))</f>
        <v/>
      </c>
      <c r="M507" s="1295" t="str">
        <f>IF('I. Stream &amp; Compound Data'!AR275&lt;&gt;"",'I. Stream &amp; Compound Data'!AR275,IF('I. Stream &amp; Compound Data'!AS275&lt;&gt;"",'I. Stream &amp; Compound Data'!AS275,""))</f>
        <v/>
      </c>
      <c r="N507" s="1306" t="str">
        <f>IF(H507&gt;'I. Stream &amp; Compound Data'!$F$18,"",IF(I507="","N/A",ROUND(IF(I507&lt;=10,1,IF(AND(I507&gt;10,I507&lt;100000),-0.109*LN(I507)+1.25,0)),3)))</f>
        <v/>
      </c>
      <c r="O507" s="1168" t="str">
        <f>IF(H507&gt;'I. Stream &amp; Compound Data'!$F$18,"",IF(N507="N/A",IF(J507&lt;&gt;"",ROUND(IF(J507&lt;=10,1,IF(AND(J507&gt;10,J507&lt;100000),-0.109*LN(J507)+1.25,0)),3),"N/A"),"N/A"))</f>
        <v/>
      </c>
      <c r="P507" s="1242" t="str">
        <f>IF(H507&gt;'I. Stream &amp; Compound Data'!$F$18,"",IF(AND(N507="N/A",O507="N/A"),IF(K507="","N/A",IF(K507="T+",0.875,IF(K507="T",0.625,IF(K507="Xn",0.375,"N/A")))),"N/A"))</f>
        <v/>
      </c>
      <c r="Q507" s="1242" t="str">
        <f>IF(H507&gt;'I. Stream &amp; Compound Data'!$F$18,"",IF(AND(N507="N/A",O507="N/A",P507="N/A"),IF(L507="","N/A",IF(L507=1,1,IF(L507=2,0.875,IF(L507=3,0.625,IF(L507=4,0.375,IF(L507=5,0.125,0)))))),"N/A"))</f>
        <v/>
      </c>
      <c r="R507" s="1242" t="str">
        <f>IF(H507&gt;'I. Stream &amp; Compound Data'!$F$18,"",IF(AND(N507="N/A",O507="N/A",P507="N/A",Q507="N/A"),IF(M507="","N/A",IF(OR(AND(M507&gt;=26,M507&lt;=29),M507=32),0.875,IF(OR(M507=23,M507=24,M507=25,M507=31),0.625,IF(OR(M507=20,M507=21,,M507=22),0.375,"N/A")))),"N/A"))</f>
        <v/>
      </c>
      <c r="S507" s="1242" t="str">
        <f>IF(H507&gt;'I. Stream &amp; Compound Data'!$F$18,"",IF(I155="","N/A",IF(N507&lt;&gt;"N/A",N507,IF(O507&lt;&gt;"N/A",O507,IF(P507&lt;&gt;"N/A",P507,IF(Q507&lt;&gt;"N/A",Q507,IF(R507&lt;&gt;"N/A",R507,"NO DATA AVAILABLE")))))))</f>
        <v/>
      </c>
      <c r="T507" s="1242" t="str">
        <f>IF(H507&gt;'I. Stream &amp; Compound Data'!$F$18,"",IF(S507="N/A",0,IF(S507&gt;0,ROUND(10^(4*S507+1),3),0)))</f>
        <v/>
      </c>
      <c r="U507" s="1242" t="str">
        <f>IF(H507&gt;'I. Stream &amp; Compound Data'!$F$18,"",IF(H507&gt;'I. Stream &amp; Compound Data'!$F$18,"",MAX(K155:L155)))</f>
        <v/>
      </c>
      <c r="V507" s="1268" t="str">
        <f>IF(H507&gt;'I. Stream &amp; Compound Data'!$F$18,"",ROUND(T507*U507,3))</f>
        <v/>
      </c>
      <c r="W507" s="279"/>
      <c r="X507" s="279"/>
      <c r="Y507" s="279"/>
      <c r="Z507" s="279"/>
      <c r="AA507" s="279"/>
      <c r="AB507" s="279"/>
      <c r="AC507" s="279"/>
      <c r="AD507" s="279"/>
      <c r="AE507" s="279"/>
      <c r="AF507" s="279"/>
      <c r="AG507" s="279"/>
      <c r="AH507" s="279"/>
      <c r="AI507" s="279"/>
      <c r="AJ507" s="279"/>
      <c r="AK507" s="279"/>
      <c r="AL507" s="279"/>
      <c r="AM507" s="279"/>
      <c r="AN507" s="279"/>
      <c r="AO507" s="279"/>
      <c r="AP507" s="279"/>
      <c r="AQ507" s="279"/>
      <c r="AR507" s="279"/>
      <c r="AS507" s="279"/>
      <c r="AT507" s="279"/>
      <c r="AU507" s="279"/>
      <c r="AV507" s="279"/>
      <c r="AW507" s="279"/>
      <c r="AX507" s="279"/>
      <c r="AY507" s="279"/>
      <c r="AZ507" s="279"/>
      <c r="BA507" s="279"/>
      <c r="BB507" s="279"/>
      <c r="BC507" s="279"/>
      <c r="BD507" s="279"/>
      <c r="BE507" s="279"/>
      <c r="BF507" s="279"/>
      <c r="BG507" s="279"/>
      <c r="BH507" s="279"/>
      <c r="BI507" s="279"/>
      <c r="BJ507" s="279"/>
      <c r="BK507" s="279"/>
      <c r="BL507" s="279"/>
      <c r="BM507" s="279"/>
      <c r="BN507" s="279"/>
      <c r="BO507" s="279"/>
      <c r="BP507" s="279"/>
      <c r="BQ507" s="279"/>
      <c r="BR507" s="279"/>
      <c r="BS507" s="279"/>
      <c r="BT507" s="279"/>
      <c r="BU507" s="279"/>
      <c r="BV507" s="279"/>
      <c r="BW507" s="279"/>
      <c r="BX507" s="279"/>
      <c r="BY507" s="279"/>
      <c r="BZ507" s="279"/>
      <c r="CA507" s="279"/>
      <c r="CB507" s="279"/>
      <c r="CC507" s="279"/>
      <c r="CD507" s="279"/>
      <c r="CE507" s="279"/>
      <c r="CF507" s="279"/>
      <c r="CG507" s="279"/>
      <c r="CH507" s="279"/>
      <c r="CI507" s="279"/>
      <c r="CJ507" s="279"/>
      <c r="CK507" s="279"/>
      <c r="CL507" s="279"/>
      <c r="CM507" s="279"/>
      <c r="CN507" s="382"/>
    </row>
    <row r="508" x14ac:dyDescent="0.25">
      <c r="B508" s="361"/>
      <c r="C508" s="279"/>
      <c r="D508" s="280"/>
      <c r="E508" s="287"/>
      <c r="F508" s="287"/>
      <c r="G508" s="287"/>
      <c r="H508" s="1292">
        <f t="shared" si="18"/>
        <v>15</v>
      </c>
      <c r="I508" s="1295" t="str">
        <f>IF('I. Stream &amp; Compound Data'!AA276&lt;&gt;"",'I. Stream &amp; Compound Data'!AA276,"")</f>
        <v/>
      </c>
      <c r="J508" s="1295" t="str">
        <f>IF('I. Stream &amp; Compound Data'!Z276&lt;&gt;"",'I. Stream &amp; Compound Data'!Z276,"")</f>
        <v/>
      </c>
      <c r="K508" s="1190" t="str">
        <f>IF('I. Stream &amp; Compound Data'!AP276&lt;&gt;"",'I. Stream &amp; Compound Data'!AP276,IF('I. Stream &amp; Compound Data'!AQ276&lt;&gt;"",'I. Stream &amp; Compound Data'!AQ276,""))</f>
        <v/>
      </c>
      <c r="L508" s="1190" t="str">
        <f>IF('I. Stream &amp; Compound Data'!AT276&lt;&gt;"",'I. Stream &amp; Compound Data'!AT276,IF('I. Stream &amp; Compound Data'!AU276&lt;&gt;"",'I. Stream &amp; Compound Data'!AU276,""))</f>
        <v/>
      </c>
      <c r="M508" s="1295" t="str">
        <f>IF('I. Stream &amp; Compound Data'!AR276&lt;&gt;"",'I. Stream &amp; Compound Data'!AR276,IF('I. Stream &amp; Compound Data'!AS276&lt;&gt;"",'I. Stream &amp; Compound Data'!AS276,""))</f>
        <v/>
      </c>
      <c r="N508" s="1306" t="str">
        <f>IF(H508&gt;'I. Stream &amp; Compound Data'!$F$18,"",IF(I508="","N/A",ROUND(IF(I508&lt;=10,1,IF(AND(I508&gt;10,I508&lt;100000),-0.109*LN(I508)+1.25,0)),3)))</f>
        <v/>
      </c>
      <c r="O508" s="1168" t="str">
        <f>IF(H508&gt;'I. Stream &amp; Compound Data'!$F$18,"",IF(N508="N/A",IF(J508&lt;&gt;"",ROUND(IF(J508&lt;=10,1,IF(AND(J508&gt;10,J508&lt;100000),-0.109*LN(J508)+1.25,0)),3),"N/A"),"N/A"))</f>
        <v/>
      </c>
      <c r="P508" s="1242" t="str">
        <f>IF(H508&gt;'I. Stream &amp; Compound Data'!$F$18,"",IF(AND(N508="N/A",O508="N/A"),IF(K508="","N/A",IF(K508="T+",0.875,IF(K508="T",0.625,IF(K508="Xn",0.375,"N/A")))),"N/A"))</f>
        <v/>
      </c>
      <c r="Q508" s="1242" t="str">
        <f>IF(H508&gt;'I. Stream &amp; Compound Data'!$F$18,"",IF(AND(N508="N/A",O508="N/A",P508="N/A"),IF(L508="","N/A",IF(L508=1,1,IF(L508=2,0.875,IF(L508=3,0.625,IF(L508=4,0.375,IF(L508=5,0.125,0)))))),"N/A"))</f>
        <v/>
      </c>
      <c r="R508" s="1242" t="str">
        <f>IF(H508&gt;'I. Stream &amp; Compound Data'!$F$18,"",IF(AND(N508="N/A",O508="N/A",P508="N/A",Q508="N/A"),IF(M508="","N/A",IF(OR(AND(M508&gt;=26,M508&lt;=29),M508=32),0.875,IF(OR(M508=23,M508=24,M508=25,M508=31),0.625,IF(OR(M508=20,M508=21,,M508=22),0.375,"N/A")))),"N/A"))</f>
        <v/>
      </c>
      <c r="S508" s="1242" t="str">
        <f>IF(H508&gt;'I. Stream &amp; Compound Data'!$F$18,"",IF(I156="","N/A",IF(N508&lt;&gt;"N/A",N508,IF(O508&lt;&gt;"N/A",O508,IF(P508&lt;&gt;"N/A",P508,IF(Q508&lt;&gt;"N/A",Q508,IF(R508&lt;&gt;"N/A",R508,"NO DATA AVAILABLE")))))))</f>
        <v/>
      </c>
      <c r="T508" s="1242" t="str">
        <f>IF(H508&gt;'I. Stream &amp; Compound Data'!$F$18,"",IF(S508="N/A",0,IF(S508&gt;0,ROUND(10^(4*S508+1),3),0)))</f>
        <v/>
      </c>
      <c r="U508" s="1242" t="str">
        <f>IF(H508&gt;'I. Stream &amp; Compound Data'!$F$18,"",IF(H508&gt;'I. Stream &amp; Compound Data'!$F$18,"",MAX(K156:L156)))</f>
        <v/>
      </c>
      <c r="V508" s="1268" t="str">
        <f>IF(H508&gt;'I. Stream &amp; Compound Data'!$F$18,"",ROUND(T508*U508,3))</f>
        <v/>
      </c>
      <c r="W508" s="279"/>
      <c r="X508" s="279"/>
      <c r="Y508" s="279"/>
      <c r="Z508" s="279"/>
      <c r="AA508" s="279"/>
      <c r="AB508" s="279"/>
      <c r="AC508" s="279"/>
      <c r="AD508" s="279"/>
      <c r="AE508" s="279"/>
      <c r="AF508" s="279"/>
      <c r="AG508" s="279"/>
      <c r="AH508" s="279"/>
      <c r="AI508" s="279"/>
      <c r="AJ508" s="279"/>
      <c r="AK508" s="279"/>
      <c r="AL508" s="279"/>
      <c r="AM508" s="279"/>
      <c r="AN508" s="279"/>
      <c r="AO508" s="279"/>
      <c r="AP508" s="279"/>
      <c r="AQ508" s="279"/>
      <c r="AR508" s="279"/>
      <c r="AS508" s="279"/>
      <c r="AT508" s="279"/>
      <c r="AU508" s="279"/>
      <c r="AV508" s="279"/>
      <c r="AW508" s="279"/>
      <c r="AX508" s="279"/>
      <c r="AY508" s="279"/>
      <c r="AZ508" s="279"/>
      <c r="BA508" s="279"/>
      <c r="BB508" s="279"/>
      <c r="BC508" s="279"/>
      <c r="BD508" s="279"/>
      <c r="BE508" s="279"/>
      <c r="BF508" s="279"/>
      <c r="BG508" s="279"/>
      <c r="BH508" s="279"/>
      <c r="BI508" s="279"/>
      <c r="BJ508" s="279"/>
      <c r="BK508" s="279"/>
      <c r="BL508" s="279"/>
      <c r="BM508" s="279"/>
      <c r="BN508" s="279"/>
      <c r="BO508" s="279"/>
      <c r="BP508" s="279"/>
      <c r="BQ508" s="279"/>
      <c r="BR508" s="279"/>
      <c r="BS508" s="279"/>
      <c r="BT508" s="279"/>
      <c r="BU508" s="279"/>
      <c r="BV508" s="279"/>
      <c r="BW508" s="279"/>
      <c r="BX508" s="279"/>
      <c r="BY508" s="279"/>
      <c r="BZ508" s="279"/>
      <c r="CA508" s="279"/>
      <c r="CB508" s="279"/>
      <c r="CC508" s="279"/>
      <c r="CD508" s="279"/>
      <c r="CE508" s="279"/>
      <c r="CF508" s="279"/>
      <c r="CG508" s="279"/>
      <c r="CH508" s="279"/>
      <c r="CI508" s="279"/>
      <c r="CJ508" s="279"/>
      <c r="CK508" s="279"/>
      <c r="CL508" s="279"/>
      <c r="CM508" s="279"/>
      <c r="CN508" s="382"/>
    </row>
    <row r="509" x14ac:dyDescent="0.25">
      <c r="B509" s="361"/>
      <c r="C509" s="279"/>
      <c r="D509" s="280"/>
      <c r="E509" s="287"/>
      <c r="F509" s="287"/>
      <c r="G509" s="287"/>
      <c r="H509" s="1292">
        <f t="shared" si="18"/>
        <v>16</v>
      </c>
      <c r="I509" s="1295" t="str">
        <f>IF('I. Stream &amp; Compound Data'!AA277&lt;&gt;"",'I. Stream &amp; Compound Data'!AA277,"")</f>
        <v/>
      </c>
      <c r="J509" s="1295" t="str">
        <f>IF('I. Stream &amp; Compound Data'!Z277&lt;&gt;"",'I. Stream &amp; Compound Data'!Z277,"")</f>
        <v/>
      </c>
      <c r="K509" s="1190" t="str">
        <f>IF('I. Stream &amp; Compound Data'!AP277&lt;&gt;"",'I. Stream &amp; Compound Data'!AP277,IF('I. Stream &amp; Compound Data'!AQ277&lt;&gt;"",'I. Stream &amp; Compound Data'!AQ277,""))</f>
        <v/>
      </c>
      <c r="L509" s="1190" t="str">
        <f>IF('I. Stream &amp; Compound Data'!AT277&lt;&gt;"",'I. Stream &amp; Compound Data'!AT277,IF('I. Stream &amp; Compound Data'!AU277&lt;&gt;"",'I. Stream &amp; Compound Data'!AU277,""))</f>
        <v/>
      </c>
      <c r="M509" s="1295" t="str">
        <f>IF('I. Stream &amp; Compound Data'!AR277&lt;&gt;"",'I. Stream &amp; Compound Data'!AR277,IF('I. Stream &amp; Compound Data'!AS277&lt;&gt;"",'I. Stream &amp; Compound Data'!AS277,""))</f>
        <v/>
      </c>
      <c r="N509" s="1306" t="str">
        <f>IF(H509&gt;'I. Stream &amp; Compound Data'!$F$18,"",IF(I509="","N/A",ROUND(IF(I509&lt;=10,1,IF(AND(I509&gt;10,I509&lt;100000),-0.109*LN(I509)+1.25,0)),3)))</f>
        <v/>
      </c>
      <c r="O509" s="1168" t="str">
        <f>IF(H509&gt;'I. Stream &amp; Compound Data'!$F$18,"",IF(N509="N/A",IF(J509&lt;&gt;"",ROUND(IF(J509&lt;=10,1,IF(AND(J509&gt;10,J509&lt;100000),-0.109*LN(J509)+1.25,0)),3),"N/A"),"N/A"))</f>
        <v/>
      </c>
      <c r="P509" s="1242" t="str">
        <f>IF(H509&gt;'I. Stream &amp; Compound Data'!$F$18,"",IF(AND(N509="N/A",O509="N/A"),IF(K509="","N/A",IF(K509="T+",0.875,IF(K509="T",0.625,IF(K509="Xn",0.375,"N/A")))),"N/A"))</f>
        <v/>
      </c>
      <c r="Q509" s="1242" t="str">
        <f>IF(H509&gt;'I. Stream &amp; Compound Data'!$F$18,"",IF(AND(N509="N/A",O509="N/A",P509="N/A"),IF(L509="","N/A",IF(L509=1,1,IF(L509=2,0.875,IF(L509=3,0.625,IF(L509=4,0.375,IF(L509=5,0.125,0)))))),"N/A"))</f>
        <v/>
      </c>
      <c r="R509" s="1242" t="str">
        <f>IF(H509&gt;'I. Stream &amp; Compound Data'!$F$18,"",IF(AND(N509="N/A",O509="N/A",P509="N/A",Q509="N/A"),IF(M509="","N/A",IF(OR(AND(M509&gt;=26,M509&lt;=29),M509=32),0.875,IF(OR(M509=23,M509=24,M509=25,M509=31),0.625,IF(OR(M509=20,M509=21,,M509=22),0.375,"N/A")))),"N/A"))</f>
        <v/>
      </c>
      <c r="S509" s="1242" t="str">
        <f>IF(H509&gt;'I. Stream &amp; Compound Data'!$F$18,"",IF(I157="","N/A",IF(N509&lt;&gt;"N/A",N509,IF(O509&lt;&gt;"N/A",O509,IF(P509&lt;&gt;"N/A",P509,IF(Q509&lt;&gt;"N/A",Q509,IF(R509&lt;&gt;"N/A",R509,"NO DATA AVAILABLE")))))))</f>
        <v/>
      </c>
      <c r="T509" s="1242" t="str">
        <f>IF(H509&gt;'I. Stream &amp; Compound Data'!$F$18,"",IF(S509="N/A",0,IF(S509&gt;0,ROUND(10^(4*S509+1),3),0)))</f>
        <v/>
      </c>
      <c r="U509" s="1242" t="str">
        <f>IF(H509&gt;'I. Stream &amp; Compound Data'!$F$18,"",IF(H509&gt;'I. Stream &amp; Compound Data'!$F$18,"",MAX(K157:L157)))</f>
        <v/>
      </c>
      <c r="V509" s="1268" t="str">
        <f>IF(H509&gt;'I. Stream &amp; Compound Data'!$F$18,"",ROUND(T509*U509,3))</f>
        <v/>
      </c>
      <c r="W509" s="279"/>
      <c r="X509" s="279"/>
      <c r="Y509" s="279"/>
      <c r="Z509" s="279"/>
      <c r="AA509" s="279"/>
      <c r="AB509" s="279"/>
      <c r="AC509" s="279"/>
      <c r="AD509" s="279"/>
      <c r="AE509" s="279"/>
      <c r="AF509" s="279"/>
      <c r="AG509" s="279"/>
      <c r="AH509" s="279"/>
      <c r="AI509" s="279"/>
      <c r="AJ509" s="279"/>
      <c r="AK509" s="279"/>
      <c r="AL509" s="279"/>
      <c r="AM509" s="279"/>
      <c r="AN509" s="279"/>
      <c r="AO509" s="279"/>
      <c r="AP509" s="279"/>
      <c r="AQ509" s="279"/>
      <c r="AR509" s="279"/>
      <c r="AS509" s="279"/>
      <c r="AT509" s="279"/>
      <c r="AU509" s="279"/>
      <c r="AV509" s="279"/>
      <c r="AW509" s="279"/>
      <c r="AX509" s="279"/>
      <c r="AY509" s="279"/>
      <c r="AZ509" s="279"/>
      <c r="BA509" s="279"/>
      <c r="BB509" s="279"/>
      <c r="BC509" s="279"/>
      <c r="BD509" s="279"/>
      <c r="BE509" s="279"/>
      <c r="BF509" s="279"/>
      <c r="BG509" s="279"/>
      <c r="BH509" s="279"/>
      <c r="BI509" s="279"/>
      <c r="BJ509" s="279"/>
      <c r="BK509" s="279"/>
      <c r="BL509" s="279"/>
      <c r="BM509" s="279"/>
      <c r="BN509" s="279"/>
      <c r="BO509" s="279"/>
      <c r="BP509" s="279"/>
      <c r="BQ509" s="279"/>
      <c r="BR509" s="279"/>
      <c r="BS509" s="279"/>
      <c r="BT509" s="279"/>
      <c r="BU509" s="279"/>
      <c r="BV509" s="279"/>
      <c r="BW509" s="279"/>
      <c r="BX509" s="279"/>
      <c r="BY509" s="279"/>
      <c r="BZ509" s="279"/>
      <c r="CA509" s="279"/>
      <c r="CB509" s="279"/>
      <c r="CC509" s="279"/>
      <c r="CD509" s="279"/>
      <c r="CE509" s="279"/>
      <c r="CF509" s="279"/>
      <c r="CG509" s="279"/>
      <c r="CH509" s="279"/>
      <c r="CI509" s="279"/>
      <c r="CJ509" s="279"/>
      <c r="CK509" s="279"/>
      <c r="CL509" s="279"/>
      <c r="CM509" s="279"/>
      <c r="CN509" s="382"/>
    </row>
    <row r="510" x14ac:dyDescent="0.25">
      <c r="B510" s="361"/>
      <c r="C510" s="279"/>
      <c r="D510" s="280"/>
      <c r="E510" s="287"/>
      <c r="F510" s="287"/>
      <c r="G510" s="287"/>
      <c r="H510" s="1292">
        <f t="shared" si="18"/>
        <v>17</v>
      </c>
      <c r="I510" s="1295" t="str">
        <f>IF('I. Stream &amp; Compound Data'!AA278&lt;&gt;"",'I. Stream &amp; Compound Data'!AA278,"")</f>
        <v/>
      </c>
      <c r="J510" s="1295" t="str">
        <f>IF('I. Stream &amp; Compound Data'!Z278&lt;&gt;"",'I. Stream &amp; Compound Data'!Z278,"")</f>
        <v/>
      </c>
      <c r="K510" s="1190" t="str">
        <f>IF('I. Stream &amp; Compound Data'!AP278&lt;&gt;"",'I. Stream &amp; Compound Data'!AP278,IF('I. Stream &amp; Compound Data'!AQ278&lt;&gt;"",'I. Stream &amp; Compound Data'!AQ278,""))</f>
        <v/>
      </c>
      <c r="L510" s="1190" t="str">
        <f>IF('I. Stream &amp; Compound Data'!AT278&lt;&gt;"",'I. Stream &amp; Compound Data'!AT278,IF('I. Stream &amp; Compound Data'!AU278&lt;&gt;"",'I. Stream &amp; Compound Data'!AU278,""))</f>
        <v/>
      </c>
      <c r="M510" s="1295" t="str">
        <f>IF('I. Stream &amp; Compound Data'!AR278&lt;&gt;"",'I. Stream &amp; Compound Data'!AR278,IF('I. Stream &amp; Compound Data'!AS278&lt;&gt;"",'I. Stream &amp; Compound Data'!AS278,""))</f>
        <v/>
      </c>
      <c r="N510" s="1306" t="str">
        <f>IF(H510&gt;'I. Stream &amp; Compound Data'!$F$18,"",IF(I510="","N/A",ROUND(IF(I510&lt;=10,1,IF(AND(I510&gt;10,I510&lt;100000),-0.109*LN(I510)+1.25,0)),3)))</f>
        <v/>
      </c>
      <c r="O510" s="1168" t="str">
        <f>IF(H510&gt;'I. Stream &amp; Compound Data'!$F$18,"",IF(N510="N/A",IF(J510&lt;&gt;"",ROUND(IF(J510&lt;=10,1,IF(AND(J510&gt;10,J510&lt;100000),-0.109*LN(J510)+1.25,0)),3),"N/A"),"N/A"))</f>
        <v/>
      </c>
      <c r="P510" s="1242" t="str">
        <f>IF(H510&gt;'I. Stream &amp; Compound Data'!$F$18,"",IF(AND(N510="N/A",O510="N/A"),IF(K510="","N/A",IF(K510="T+",0.875,IF(K510="T",0.625,IF(K510="Xn",0.375,"N/A")))),"N/A"))</f>
        <v/>
      </c>
      <c r="Q510" s="1242" t="str">
        <f>IF(H510&gt;'I. Stream &amp; Compound Data'!$F$18,"",IF(AND(N510="N/A",O510="N/A",P510="N/A"),IF(L510="","N/A",IF(L510=1,1,IF(L510=2,0.875,IF(L510=3,0.625,IF(L510=4,0.375,IF(L510=5,0.125,0)))))),"N/A"))</f>
        <v/>
      </c>
      <c r="R510" s="1242" t="str">
        <f>IF(H510&gt;'I. Stream &amp; Compound Data'!$F$18,"",IF(AND(N510="N/A",O510="N/A",P510="N/A",Q510="N/A"),IF(M510="","N/A",IF(OR(AND(M510&gt;=26,M510&lt;=29),M510=32),0.875,IF(OR(M510=23,M510=24,M510=25,M510=31),0.625,IF(OR(M510=20,M510=21,,M510=22),0.375,"N/A")))),"N/A"))</f>
        <v/>
      </c>
      <c r="S510" s="1242" t="str">
        <f>IF(H510&gt;'I. Stream &amp; Compound Data'!$F$18,"",IF(I158="","N/A",IF(N510&lt;&gt;"N/A",N510,IF(O510&lt;&gt;"N/A",O510,IF(P510&lt;&gt;"N/A",P510,IF(Q510&lt;&gt;"N/A",Q510,IF(R510&lt;&gt;"N/A",R510,"NO DATA AVAILABLE")))))))</f>
        <v/>
      </c>
      <c r="T510" s="1242" t="str">
        <f>IF(H510&gt;'I. Stream &amp; Compound Data'!$F$18,"",IF(S510="N/A",0,IF(S510&gt;0,ROUND(10^(4*S510+1),3),0)))</f>
        <v/>
      </c>
      <c r="U510" s="1242" t="str">
        <f>IF(H510&gt;'I. Stream &amp; Compound Data'!$F$18,"",IF(H510&gt;'I. Stream &amp; Compound Data'!$F$18,"",MAX(K158:L158)))</f>
        <v/>
      </c>
      <c r="V510" s="1268" t="str">
        <f>IF(H510&gt;'I. Stream &amp; Compound Data'!$F$18,"",ROUND(T510*U510,3))</f>
        <v/>
      </c>
      <c r="W510" s="279"/>
      <c r="X510" s="279"/>
      <c r="Y510" s="279"/>
      <c r="Z510" s="279"/>
      <c r="AA510" s="279"/>
      <c r="AB510" s="279"/>
      <c r="AC510" s="279"/>
      <c r="AD510" s="279"/>
      <c r="AE510" s="279"/>
      <c r="AF510" s="279"/>
      <c r="AG510" s="279"/>
      <c r="AH510" s="279"/>
      <c r="AI510" s="279"/>
      <c r="AJ510" s="279"/>
      <c r="AK510" s="279"/>
      <c r="AL510" s="279"/>
      <c r="AM510" s="279"/>
      <c r="AN510" s="279"/>
      <c r="AO510" s="279"/>
      <c r="AP510" s="279"/>
      <c r="AQ510" s="279"/>
      <c r="AR510" s="279"/>
      <c r="AS510" s="279"/>
      <c r="AT510" s="279"/>
      <c r="AU510" s="279"/>
      <c r="AV510" s="279"/>
      <c r="AW510" s="279"/>
      <c r="AX510" s="279"/>
      <c r="AY510" s="279"/>
      <c r="AZ510" s="279"/>
      <c r="BA510" s="279"/>
      <c r="BB510" s="279"/>
      <c r="BC510" s="279"/>
      <c r="BD510" s="279"/>
      <c r="BE510" s="279"/>
      <c r="BF510" s="279"/>
      <c r="BG510" s="279"/>
      <c r="BH510" s="279"/>
      <c r="BI510" s="279"/>
      <c r="BJ510" s="279"/>
      <c r="BK510" s="279"/>
      <c r="BL510" s="279"/>
      <c r="BM510" s="279"/>
      <c r="BN510" s="279"/>
      <c r="BO510" s="279"/>
      <c r="BP510" s="279"/>
      <c r="BQ510" s="279"/>
      <c r="BR510" s="279"/>
      <c r="BS510" s="279"/>
      <c r="BT510" s="279"/>
      <c r="BU510" s="279"/>
      <c r="BV510" s="279"/>
      <c r="BW510" s="279"/>
      <c r="BX510" s="279"/>
      <c r="BY510" s="279"/>
      <c r="BZ510" s="279"/>
      <c r="CA510" s="279"/>
      <c r="CB510" s="279"/>
      <c r="CC510" s="279"/>
      <c r="CD510" s="279"/>
      <c r="CE510" s="279"/>
      <c r="CF510" s="279"/>
      <c r="CG510" s="279"/>
      <c r="CH510" s="279"/>
      <c r="CI510" s="279"/>
      <c r="CJ510" s="279"/>
      <c r="CK510" s="279"/>
      <c r="CL510" s="279"/>
      <c r="CM510" s="279"/>
      <c r="CN510" s="382"/>
    </row>
    <row r="511" x14ac:dyDescent="0.25">
      <c r="B511" s="361"/>
      <c r="C511" s="279"/>
      <c r="D511" s="280"/>
      <c r="E511" s="287"/>
      <c r="F511" s="287"/>
      <c r="G511" s="287"/>
      <c r="H511" s="1292">
        <f t="shared" si="18"/>
        <v>18</v>
      </c>
      <c r="I511" s="1295" t="str">
        <f>IF('I. Stream &amp; Compound Data'!AA279&lt;&gt;"",'I. Stream &amp; Compound Data'!AA279,"")</f>
        <v/>
      </c>
      <c r="J511" s="1295" t="str">
        <f>IF('I. Stream &amp; Compound Data'!Z279&lt;&gt;"",'I. Stream &amp; Compound Data'!Z279,"")</f>
        <v/>
      </c>
      <c r="K511" s="1190" t="str">
        <f>IF('I. Stream &amp; Compound Data'!AP279&lt;&gt;"",'I. Stream &amp; Compound Data'!AP279,IF('I. Stream &amp; Compound Data'!AQ279&lt;&gt;"",'I. Stream &amp; Compound Data'!AQ279,""))</f>
        <v/>
      </c>
      <c r="L511" s="1190" t="str">
        <f>IF('I. Stream &amp; Compound Data'!AT279&lt;&gt;"",'I. Stream &amp; Compound Data'!AT279,IF('I. Stream &amp; Compound Data'!AU279&lt;&gt;"",'I. Stream &amp; Compound Data'!AU279,""))</f>
        <v/>
      </c>
      <c r="M511" s="1295" t="str">
        <f>IF('I. Stream &amp; Compound Data'!AR279&lt;&gt;"",'I. Stream &amp; Compound Data'!AR279,IF('I. Stream &amp; Compound Data'!AS279&lt;&gt;"",'I. Stream &amp; Compound Data'!AS279,""))</f>
        <v/>
      </c>
      <c r="N511" s="1306" t="str">
        <f>IF(H511&gt;'I. Stream &amp; Compound Data'!$F$18,"",IF(I511="","N/A",ROUND(IF(I511&lt;=10,1,IF(AND(I511&gt;10,I511&lt;100000),-0.109*LN(I511)+1.25,0)),3)))</f>
        <v/>
      </c>
      <c r="O511" s="1168" t="str">
        <f>IF(H511&gt;'I. Stream &amp; Compound Data'!$F$18,"",IF(N511="N/A",IF(J511&lt;&gt;"",ROUND(IF(J511&lt;=10,1,IF(AND(J511&gt;10,J511&lt;100000),-0.109*LN(J511)+1.25,0)),3),"N/A"),"N/A"))</f>
        <v/>
      </c>
      <c r="P511" s="1242" t="str">
        <f>IF(H511&gt;'I. Stream &amp; Compound Data'!$F$18,"",IF(AND(N511="N/A",O511="N/A"),IF(K511="","N/A",IF(K511="T+",0.875,IF(K511="T",0.625,IF(K511="Xn",0.375,"N/A")))),"N/A"))</f>
        <v/>
      </c>
      <c r="Q511" s="1242" t="str">
        <f>IF(H511&gt;'I. Stream &amp; Compound Data'!$F$18,"",IF(AND(N511="N/A",O511="N/A",P511="N/A"),IF(L511="","N/A",IF(L511=1,1,IF(L511=2,0.875,IF(L511=3,0.625,IF(L511=4,0.375,IF(L511=5,0.125,0)))))),"N/A"))</f>
        <v/>
      </c>
      <c r="R511" s="1242" t="str">
        <f>IF(H511&gt;'I. Stream &amp; Compound Data'!$F$18,"",IF(AND(N511="N/A",O511="N/A",P511="N/A",Q511="N/A"),IF(M511="","N/A",IF(OR(AND(M511&gt;=26,M511&lt;=29),M511=32),0.875,IF(OR(M511=23,M511=24,M511=25,M511=31),0.625,IF(OR(M511=20,M511=21,,M511=22),0.375,"N/A")))),"N/A"))</f>
        <v/>
      </c>
      <c r="S511" s="1242" t="str">
        <f>IF(H511&gt;'I. Stream &amp; Compound Data'!$F$18,"",IF(I159="","N/A",IF(N511&lt;&gt;"N/A",N511,IF(O511&lt;&gt;"N/A",O511,IF(P511&lt;&gt;"N/A",P511,IF(Q511&lt;&gt;"N/A",Q511,IF(R511&lt;&gt;"N/A",R511,"NO DATA AVAILABLE")))))))</f>
        <v/>
      </c>
      <c r="T511" s="1242" t="str">
        <f>IF(H511&gt;'I. Stream &amp; Compound Data'!$F$18,"",IF(S511="N/A",0,IF(S511&gt;0,ROUND(10^(4*S511+1),3),0)))</f>
        <v/>
      </c>
      <c r="U511" s="1242" t="str">
        <f>IF(H511&gt;'I. Stream &amp; Compound Data'!$F$18,"",IF(H511&gt;'I. Stream &amp; Compound Data'!$F$18,"",MAX(K159:L159)))</f>
        <v/>
      </c>
      <c r="V511" s="1268" t="str">
        <f>IF(H511&gt;'I. Stream &amp; Compound Data'!$F$18,"",ROUND(T511*U511,3))</f>
        <v/>
      </c>
      <c r="W511" s="279"/>
      <c r="X511" s="279"/>
      <c r="Y511" s="279"/>
      <c r="Z511" s="279"/>
      <c r="AA511" s="279"/>
      <c r="AB511" s="279"/>
      <c r="AC511" s="279"/>
      <c r="AD511" s="279"/>
      <c r="AE511" s="279"/>
      <c r="AF511" s="279"/>
      <c r="AG511" s="279"/>
      <c r="AH511" s="279"/>
      <c r="AI511" s="279"/>
      <c r="AJ511" s="279"/>
      <c r="AK511" s="279"/>
      <c r="AL511" s="279"/>
      <c r="AM511" s="279"/>
      <c r="AN511" s="279"/>
      <c r="AO511" s="279"/>
      <c r="AP511" s="279"/>
      <c r="AQ511" s="279"/>
      <c r="AR511" s="279"/>
      <c r="AS511" s="279"/>
      <c r="AT511" s="279"/>
      <c r="AU511" s="279"/>
      <c r="AV511" s="279"/>
      <c r="AW511" s="279"/>
      <c r="AX511" s="279"/>
      <c r="AY511" s="279"/>
      <c r="AZ511" s="279"/>
      <c r="BA511" s="279"/>
      <c r="BB511" s="279"/>
      <c r="BC511" s="279"/>
      <c r="BD511" s="279"/>
      <c r="BE511" s="279"/>
      <c r="BF511" s="279"/>
      <c r="BG511" s="279"/>
      <c r="BH511" s="279"/>
      <c r="BI511" s="279"/>
      <c r="BJ511" s="279"/>
      <c r="BK511" s="279"/>
      <c r="BL511" s="279"/>
      <c r="BM511" s="279"/>
      <c r="BN511" s="279"/>
      <c r="BO511" s="279"/>
      <c r="BP511" s="279"/>
      <c r="BQ511" s="279"/>
      <c r="BR511" s="279"/>
      <c r="BS511" s="279"/>
      <c r="BT511" s="279"/>
      <c r="BU511" s="279"/>
      <c r="BV511" s="279"/>
      <c r="BW511" s="279"/>
      <c r="BX511" s="279"/>
      <c r="BY511" s="279"/>
      <c r="BZ511" s="279"/>
      <c r="CA511" s="279"/>
      <c r="CB511" s="279"/>
      <c r="CC511" s="279"/>
      <c r="CD511" s="279"/>
      <c r="CE511" s="279"/>
      <c r="CF511" s="279"/>
      <c r="CG511" s="279"/>
      <c r="CH511" s="279"/>
      <c r="CI511" s="279"/>
      <c r="CJ511" s="279"/>
      <c r="CK511" s="279"/>
      <c r="CL511" s="279"/>
      <c r="CM511" s="279"/>
      <c r="CN511" s="382"/>
    </row>
    <row r="512" ht="15.75" customHeight="true" x14ac:dyDescent="0.25">
      <c r="B512" s="361"/>
      <c r="C512" s="279"/>
      <c r="D512" s="280"/>
      <c r="E512" s="287"/>
      <c r="F512" s="287"/>
      <c r="G512" s="287"/>
      <c r="H512" s="1292">
        <f t="shared" si="18"/>
        <v>19</v>
      </c>
      <c r="I512" s="1295" t="str">
        <f>IF('I. Stream &amp; Compound Data'!AA280&lt;&gt;"",'I. Stream &amp; Compound Data'!AA280,"")</f>
        <v/>
      </c>
      <c r="J512" s="1295" t="str">
        <f>IF('I. Stream &amp; Compound Data'!Z280&lt;&gt;"",'I. Stream &amp; Compound Data'!Z280,"")</f>
        <v/>
      </c>
      <c r="K512" s="1190" t="str">
        <f>IF('I. Stream &amp; Compound Data'!AP280&lt;&gt;"",'I. Stream &amp; Compound Data'!AP280,IF('I. Stream &amp; Compound Data'!AQ280&lt;&gt;"",'I. Stream &amp; Compound Data'!AQ280,""))</f>
        <v/>
      </c>
      <c r="L512" s="1190" t="str">
        <f>IF('I. Stream &amp; Compound Data'!AT280&lt;&gt;"",'I. Stream &amp; Compound Data'!AT280,IF('I. Stream &amp; Compound Data'!AU280&lt;&gt;"",'I. Stream &amp; Compound Data'!AU280,""))</f>
        <v/>
      </c>
      <c r="M512" s="1295" t="str">
        <f>IF('I. Stream &amp; Compound Data'!AR280&lt;&gt;"",'I. Stream &amp; Compound Data'!AR280,IF('I. Stream &amp; Compound Data'!AS280&lt;&gt;"",'I. Stream &amp; Compound Data'!AS280,""))</f>
        <v/>
      </c>
      <c r="N512" s="1306" t="str">
        <f>IF(H512&gt;'I. Stream &amp; Compound Data'!$F$18,"",IF(I512="","N/A",ROUND(IF(I512&lt;=10,1,IF(AND(I512&gt;10,I512&lt;100000),-0.109*LN(I512)+1.25,0)),3)))</f>
        <v/>
      </c>
      <c r="O512" s="1168" t="str">
        <f>IF(H512&gt;'I. Stream &amp; Compound Data'!$F$18,"",IF(N512="N/A",IF(J512&lt;&gt;"",ROUND(IF(J512&lt;=10,1,IF(AND(J512&gt;10,J512&lt;100000),-0.109*LN(J512)+1.25,0)),3),"N/A"),"N/A"))</f>
        <v/>
      </c>
      <c r="P512" s="1242" t="str">
        <f>IF(H512&gt;'I. Stream &amp; Compound Data'!$F$18,"",IF(AND(N512="N/A",O512="N/A"),IF(K512="","N/A",IF(K512="T+",0.875,IF(K512="T",0.625,IF(K512="Xn",0.375,"N/A")))),"N/A"))</f>
        <v/>
      </c>
      <c r="Q512" s="1242" t="str">
        <f>IF(H512&gt;'I. Stream &amp; Compound Data'!$F$18,"",IF(AND(N512="N/A",O512="N/A",P512="N/A"),IF(L512="","N/A",IF(L512=1,1,IF(L512=2,0.875,IF(L512=3,0.625,IF(L512=4,0.375,IF(L512=5,0.125,0)))))),"N/A"))</f>
        <v/>
      </c>
      <c r="R512" s="1242" t="str">
        <f>IF(H512&gt;'I. Stream &amp; Compound Data'!$F$18,"",IF(AND(N512="N/A",O512="N/A",P512="N/A",Q512="N/A"),IF(M512="","N/A",IF(OR(AND(M512&gt;=26,M512&lt;=29),M512=32),0.875,IF(OR(M512=23,M512=24,M512=25,M512=31),0.625,IF(OR(M512=20,M512=21,,M512=22),0.375,"N/A")))),"N/A"))</f>
        <v/>
      </c>
      <c r="S512" s="1242" t="str">
        <f>IF(H512&gt;'I. Stream &amp; Compound Data'!$F$18,"",IF(I160="","N/A",IF(N512&lt;&gt;"N/A",N512,IF(O512&lt;&gt;"N/A",O512,IF(P512&lt;&gt;"N/A",P512,IF(Q512&lt;&gt;"N/A",Q512,IF(R512&lt;&gt;"N/A",R512,"NO DATA AVAILABLE")))))))</f>
        <v/>
      </c>
      <c r="T512" s="1242" t="str">
        <f>IF(H512&gt;'I. Stream &amp; Compound Data'!$F$18,"",IF(S512="N/A",0,IF(S512&gt;0,ROUND(10^(4*S512+1),3),0)))</f>
        <v/>
      </c>
      <c r="U512" s="1242" t="str">
        <f>IF(H512&gt;'I. Stream &amp; Compound Data'!$F$18,"",IF(H512&gt;'I. Stream &amp; Compound Data'!$F$18,"",MAX(K160:L160)))</f>
        <v/>
      </c>
      <c r="V512" s="1268" t="str">
        <f>IF(H512&gt;'I. Stream &amp; Compound Data'!$F$18,"",ROUND(T512*U512,3))</f>
        <v/>
      </c>
      <c r="W512" s="279"/>
      <c r="X512" s="279"/>
      <c r="Y512" s="279"/>
      <c r="Z512" s="279"/>
      <c r="AA512" s="279"/>
      <c r="AB512" s="279"/>
      <c r="AC512" s="279"/>
      <c r="AD512" s="279"/>
      <c r="AE512" s="279"/>
      <c r="AF512" s="279"/>
      <c r="AG512" s="279"/>
      <c r="AH512" s="279"/>
      <c r="AI512" s="279"/>
      <c r="AJ512" s="279"/>
      <c r="AK512" s="279"/>
      <c r="AL512" s="279"/>
      <c r="AM512" s="279"/>
      <c r="AN512" s="279"/>
      <c r="AO512" s="279"/>
      <c r="AP512" s="279"/>
      <c r="AQ512" s="279"/>
      <c r="AR512" s="279"/>
      <c r="AS512" s="279"/>
      <c r="AT512" s="279"/>
      <c r="AU512" s="279"/>
      <c r="AV512" s="279"/>
      <c r="AW512" s="279"/>
      <c r="AX512" s="279"/>
      <c r="AY512" s="279"/>
      <c r="AZ512" s="279"/>
      <c r="BA512" s="279"/>
      <c r="BB512" s="279"/>
      <c r="BC512" s="279"/>
      <c r="BD512" s="279"/>
      <c r="BE512" s="279"/>
      <c r="BF512" s="279"/>
      <c r="BG512" s="279"/>
      <c r="BH512" s="279"/>
      <c r="BI512" s="279"/>
      <c r="BJ512" s="279"/>
      <c r="BK512" s="279"/>
      <c r="BL512" s="279"/>
      <c r="BM512" s="279"/>
      <c r="BN512" s="279"/>
      <c r="BO512" s="279"/>
      <c r="BP512" s="279"/>
      <c r="BQ512" s="279"/>
      <c r="BR512" s="279"/>
      <c r="BS512" s="279"/>
      <c r="BT512" s="279"/>
      <c r="BU512" s="279"/>
      <c r="BV512" s="279"/>
      <c r="BW512" s="279"/>
      <c r="BX512" s="279"/>
      <c r="BY512" s="279"/>
      <c r="BZ512" s="279"/>
      <c r="CA512" s="279"/>
      <c r="CB512" s="279"/>
      <c r="CC512" s="279"/>
      <c r="CD512" s="279"/>
      <c r="CE512" s="279"/>
      <c r="CF512" s="279"/>
      <c r="CG512" s="279"/>
      <c r="CH512" s="279"/>
      <c r="CI512" s="279"/>
      <c r="CJ512" s="279"/>
      <c r="CK512" s="279"/>
      <c r="CL512" s="279"/>
      <c r="CM512" s="279"/>
      <c r="CN512" s="382"/>
    </row>
    <row r="513" ht="15.75" customHeight="true" x14ac:dyDescent="0.25">
      <c r="B513" s="361"/>
      <c r="C513" s="279"/>
      <c r="D513" s="280"/>
      <c r="E513" s="287"/>
      <c r="F513" s="287"/>
      <c r="G513" s="287"/>
      <c r="H513" s="1292">
        <f t="shared" si="18"/>
        <v>20</v>
      </c>
      <c r="I513" s="1295" t="str">
        <f>IF('I. Stream &amp; Compound Data'!AA281&lt;&gt;"",'I. Stream &amp; Compound Data'!AA281,"")</f>
        <v/>
      </c>
      <c r="J513" s="1295" t="str">
        <f>IF('I. Stream &amp; Compound Data'!Z281&lt;&gt;"",'I. Stream &amp; Compound Data'!Z281,"")</f>
        <v/>
      </c>
      <c r="K513" s="1190" t="str">
        <f>IF('I. Stream &amp; Compound Data'!AP281&lt;&gt;"",'I. Stream &amp; Compound Data'!AP281,IF('I. Stream &amp; Compound Data'!AQ281&lt;&gt;"",'I. Stream &amp; Compound Data'!AQ281,""))</f>
        <v/>
      </c>
      <c r="L513" s="1190" t="str">
        <f>IF('I. Stream &amp; Compound Data'!AT281&lt;&gt;"",'I. Stream &amp; Compound Data'!AT281,IF('I. Stream &amp; Compound Data'!AU281&lt;&gt;"",'I. Stream &amp; Compound Data'!AU281,""))</f>
        <v/>
      </c>
      <c r="M513" s="1295" t="str">
        <f>IF('I. Stream &amp; Compound Data'!AR281&lt;&gt;"",'I. Stream &amp; Compound Data'!AR281,IF('I. Stream &amp; Compound Data'!AS281&lt;&gt;"",'I. Stream &amp; Compound Data'!AS281,""))</f>
        <v/>
      </c>
      <c r="N513" s="1306" t="str">
        <f>IF(H513&gt;'I. Stream &amp; Compound Data'!$F$18,"",IF(I513="","N/A",ROUND(IF(I513&lt;=10,1,IF(AND(I513&gt;10,I513&lt;100000),-0.109*LN(I513)+1.25,0)),3)))</f>
        <v/>
      </c>
      <c r="O513" s="1168" t="str">
        <f>IF(H513&gt;'I. Stream &amp; Compound Data'!$F$18,"",IF(N513="N/A",IF(J513&lt;&gt;"",ROUND(IF(J513&lt;=10,1,IF(AND(J513&gt;10,J513&lt;100000),-0.109*LN(J513)+1.25,0)),3),"N/A"),"N/A"))</f>
        <v/>
      </c>
      <c r="P513" s="1242" t="str">
        <f>IF(H513&gt;'I. Stream &amp; Compound Data'!$F$18,"",IF(AND(N513="N/A",O513="N/A"),IF(K513="","N/A",IF(K513="T+",0.875,IF(K513="T",0.625,IF(K513="Xn",0.375,"N/A")))),"N/A"))</f>
        <v/>
      </c>
      <c r="Q513" s="1242" t="str">
        <f>IF(H513&gt;'I. Stream &amp; Compound Data'!$F$18,"",IF(AND(N513="N/A",O513="N/A",P513="N/A"),IF(L513="","N/A",IF(L513=1,1,IF(L513=2,0.875,IF(L513=3,0.625,IF(L513=4,0.375,IF(L513=5,0.125,0)))))),"N/A"))</f>
        <v/>
      </c>
      <c r="R513" s="1242" t="str">
        <f>IF(H513&gt;'I. Stream &amp; Compound Data'!$F$18,"",IF(AND(N513="N/A",O513="N/A",P513="N/A",Q513="N/A"),IF(M513="","N/A",IF(OR(AND(M513&gt;=26,M513&lt;=29),M513=32),0.875,IF(OR(M513=23,M513=24,M513=25,M513=31),0.625,IF(OR(M513=20,M513=21,,M513=22),0.375,"N/A")))),"N/A"))</f>
        <v/>
      </c>
      <c r="S513" s="1242" t="str">
        <f>IF(H513&gt;'I. Stream &amp; Compound Data'!$F$18,"",IF(I161="","N/A",IF(N513&lt;&gt;"N/A",N513,IF(O513&lt;&gt;"N/A",O513,IF(P513&lt;&gt;"N/A",P513,IF(Q513&lt;&gt;"N/A",Q513,IF(R513&lt;&gt;"N/A",R513,"NO DATA AVAILABLE")))))))</f>
        <v/>
      </c>
      <c r="T513" s="1242" t="str">
        <f>IF(H513&gt;'I. Stream &amp; Compound Data'!$F$18,"",IF(S513="N/A",0,IF(S513&gt;0,ROUND(10^(4*S513+1),3),0)))</f>
        <v/>
      </c>
      <c r="U513" s="1242" t="str">
        <f>IF(H513&gt;'I. Stream &amp; Compound Data'!$F$18,"",IF(H513&gt;'I. Stream &amp; Compound Data'!$F$18,"",MAX(K161:L161)))</f>
        <v/>
      </c>
      <c r="V513" s="1268" t="str">
        <f>IF(H513&gt;'I. Stream &amp; Compound Data'!$F$18,"",ROUND(T513*U513,3))</f>
        <v/>
      </c>
      <c r="W513" s="279"/>
      <c r="X513" s="279"/>
      <c r="Y513" s="279"/>
      <c r="Z513" s="279"/>
      <c r="AA513" s="279"/>
      <c r="AB513" s="279"/>
      <c r="AC513" s="279"/>
      <c r="AD513" s="279"/>
      <c r="AE513" s="279"/>
      <c r="AF513" s="279"/>
      <c r="AG513" s="279"/>
      <c r="AH513" s="279"/>
      <c r="AI513" s="279"/>
      <c r="AJ513" s="279"/>
      <c r="AK513" s="279"/>
      <c r="AL513" s="279"/>
      <c r="AM513" s="279"/>
      <c r="AN513" s="279"/>
      <c r="AO513" s="279"/>
      <c r="AP513" s="279"/>
      <c r="AQ513" s="279"/>
      <c r="AR513" s="279"/>
      <c r="AS513" s="279"/>
      <c r="AT513" s="279"/>
      <c r="AU513" s="279"/>
      <c r="AV513" s="279"/>
      <c r="AW513" s="279"/>
      <c r="AX513" s="279"/>
      <c r="AY513" s="279"/>
      <c r="AZ513" s="279"/>
      <c r="BA513" s="279"/>
      <c r="BB513" s="279"/>
      <c r="BC513" s="279"/>
      <c r="BD513" s="279"/>
      <c r="BE513" s="279"/>
      <c r="BF513" s="279"/>
      <c r="BG513" s="279"/>
      <c r="BH513" s="279"/>
      <c r="BI513" s="279"/>
      <c r="BJ513" s="279"/>
      <c r="BK513" s="279"/>
      <c r="BL513" s="279"/>
      <c r="BM513" s="279"/>
      <c r="BN513" s="279"/>
      <c r="BO513" s="279"/>
      <c r="BP513" s="279"/>
      <c r="BQ513" s="279"/>
      <c r="BR513" s="279"/>
      <c r="BS513" s="279"/>
      <c r="BT513" s="279"/>
      <c r="BU513" s="279"/>
      <c r="BV513" s="279"/>
      <c r="BW513" s="279"/>
      <c r="BX513" s="279"/>
      <c r="BY513" s="279"/>
      <c r="BZ513" s="279"/>
      <c r="CA513" s="279"/>
      <c r="CB513" s="279"/>
      <c r="CC513" s="279"/>
      <c r="CD513" s="279"/>
      <c r="CE513" s="279"/>
      <c r="CF513" s="279"/>
      <c r="CG513" s="279"/>
      <c r="CH513" s="279"/>
      <c r="CI513" s="279"/>
      <c r="CJ513" s="279"/>
      <c r="CK513" s="279"/>
      <c r="CL513" s="279"/>
      <c r="CM513" s="279"/>
      <c r="CN513" s="382"/>
    </row>
    <row r="514" ht="15.75" customHeight="true" x14ac:dyDescent="0.25">
      <c r="B514" s="361"/>
      <c r="C514" s="279"/>
      <c r="D514" s="280"/>
      <c r="E514" s="287"/>
      <c r="F514" s="287"/>
      <c r="G514" s="287"/>
      <c r="H514" s="1292">
        <f t="shared" si="18"/>
        <v>21</v>
      </c>
      <c r="I514" s="1295" t="str">
        <f>IF('I. Stream &amp; Compound Data'!AA282&lt;&gt;"",'I. Stream &amp; Compound Data'!AA282,"")</f>
        <v/>
      </c>
      <c r="J514" s="1295" t="str">
        <f>IF('I. Stream &amp; Compound Data'!Z282&lt;&gt;"",'I. Stream &amp; Compound Data'!Z282,"")</f>
        <v/>
      </c>
      <c r="K514" s="1190" t="str">
        <f>IF('I. Stream &amp; Compound Data'!AP282&lt;&gt;"",'I. Stream &amp; Compound Data'!AP282,IF('I. Stream &amp; Compound Data'!AQ282&lt;&gt;"",'I. Stream &amp; Compound Data'!AQ282,""))</f>
        <v/>
      </c>
      <c r="L514" s="1190" t="str">
        <f>IF('I. Stream &amp; Compound Data'!AT282&lt;&gt;"",'I. Stream &amp; Compound Data'!AT282,IF('I. Stream &amp; Compound Data'!AU282&lt;&gt;"",'I. Stream &amp; Compound Data'!AU282,""))</f>
        <v/>
      </c>
      <c r="M514" s="1295" t="str">
        <f>IF('I. Stream &amp; Compound Data'!AR282&lt;&gt;"",'I. Stream &amp; Compound Data'!AR282,IF('I. Stream &amp; Compound Data'!AS282&lt;&gt;"",'I. Stream &amp; Compound Data'!AS282,""))</f>
        <v/>
      </c>
      <c r="N514" s="1306" t="str">
        <f>IF(H514&gt;'I. Stream &amp; Compound Data'!$F$18,"",IF(I514="","N/A",ROUND(IF(I514&lt;=10,1,IF(AND(I514&gt;10,I514&lt;100000),-0.109*LN(I514)+1.25,0)),3)))</f>
        <v/>
      </c>
      <c r="O514" s="1168" t="str">
        <f>IF(H514&gt;'I. Stream &amp; Compound Data'!$F$18,"",IF(N514="N/A",IF(J514&lt;&gt;"",ROUND(IF(J514&lt;=10,1,IF(AND(J514&gt;10,J514&lt;100000),-0.109*LN(J514)+1.25,0)),3),"N/A"),"N/A"))</f>
        <v/>
      </c>
      <c r="P514" s="1242" t="str">
        <f>IF(H514&gt;'I. Stream &amp; Compound Data'!$F$18,"",IF(AND(N514="N/A",O514="N/A"),IF(K514="","N/A",IF(K514="T+",0.875,IF(K514="T",0.625,IF(K514="Xn",0.375,"N/A")))),"N/A"))</f>
        <v/>
      </c>
      <c r="Q514" s="1242" t="str">
        <f>IF(H514&gt;'I. Stream &amp; Compound Data'!$F$18,"",IF(AND(N514="N/A",O514="N/A",P514="N/A"),IF(L514="","N/A",IF(L514=1,1,IF(L514=2,0.875,IF(L514=3,0.625,IF(L514=4,0.375,IF(L514=5,0.125,0)))))),"N/A"))</f>
        <v/>
      </c>
      <c r="R514" s="1242" t="str">
        <f>IF(H514&gt;'I. Stream &amp; Compound Data'!$F$18,"",IF(AND(N514="N/A",O514="N/A",P514="N/A",Q514="N/A"),IF(M514="","N/A",IF(OR(AND(M514&gt;=26,M514&lt;=29),M514=32),0.875,IF(OR(M514=23,M514=24,M514=25,M514=31),0.625,IF(OR(M514=20,M514=21,,M514=22),0.375,"N/A")))),"N/A"))</f>
        <v/>
      </c>
      <c r="S514" s="1242" t="str">
        <f>IF(H514&gt;'I. Stream &amp; Compound Data'!$F$18,"",IF(I162="","N/A",IF(N514&lt;&gt;"N/A",N514,IF(O514&lt;&gt;"N/A",O514,IF(P514&lt;&gt;"N/A",P514,IF(Q514&lt;&gt;"N/A",Q514,IF(R514&lt;&gt;"N/A",R514,"NO DATA AVAILABLE")))))))</f>
        <v/>
      </c>
      <c r="T514" s="1242" t="str">
        <f>IF(H514&gt;'I. Stream &amp; Compound Data'!$F$18,"",IF(S514="N/A",0,IF(S514&gt;0,ROUND(10^(4*S514+1),3),0)))</f>
        <v/>
      </c>
      <c r="U514" s="1242" t="str">
        <f>IF(H514&gt;'I. Stream &amp; Compound Data'!$F$18,"",IF(H514&gt;'I. Stream &amp; Compound Data'!$F$18,"",MAX(K162:L162)))</f>
        <v/>
      </c>
      <c r="V514" s="1268" t="str">
        <f>IF(H514&gt;'I. Stream &amp; Compound Data'!$F$18,"",ROUND(T514*U514,3))</f>
        <v/>
      </c>
      <c r="W514" s="279"/>
      <c r="X514" s="279"/>
      <c r="Y514" s="279"/>
      <c r="Z514" s="279"/>
      <c r="AA514" s="279"/>
      <c r="AB514" s="279"/>
      <c r="AC514" s="279"/>
      <c r="AD514" s="279"/>
      <c r="AE514" s="279"/>
      <c r="AF514" s="279"/>
      <c r="AG514" s="279"/>
      <c r="AH514" s="279"/>
      <c r="AI514" s="279"/>
      <c r="AJ514" s="279"/>
      <c r="AK514" s="279"/>
      <c r="AL514" s="279"/>
      <c r="AM514" s="279"/>
      <c r="AN514" s="279"/>
      <c r="AO514" s="279"/>
      <c r="AP514" s="279"/>
      <c r="AQ514" s="279"/>
      <c r="AR514" s="279"/>
      <c r="AS514" s="279"/>
      <c r="AT514" s="279"/>
      <c r="AU514" s="279"/>
      <c r="AV514" s="279"/>
      <c r="AW514" s="279"/>
      <c r="AX514" s="279"/>
      <c r="AY514" s="279"/>
      <c r="AZ514" s="279"/>
      <c r="BA514" s="279"/>
      <c r="BB514" s="279"/>
      <c r="BC514" s="279"/>
      <c r="BD514" s="279"/>
      <c r="BE514" s="279"/>
      <c r="BF514" s="279"/>
      <c r="BG514" s="279"/>
      <c r="BH514" s="279"/>
      <c r="BI514" s="279"/>
      <c r="BJ514" s="279"/>
      <c r="BK514" s="279"/>
      <c r="BL514" s="279"/>
      <c r="BM514" s="279"/>
      <c r="BN514" s="279"/>
      <c r="BO514" s="279"/>
      <c r="BP514" s="279"/>
      <c r="BQ514" s="279"/>
      <c r="BR514" s="279"/>
      <c r="BS514" s="279"/>
      <c r="BT514" s="279"/>
      <c r="BU514" s="279"/>
      <c r="BV514" s="279"/>
      <c r="BW514" s="279"/>
      <c r="BX514" s="279"/>
      <c r="BY514" s="279"/>
      <c r="BZ514" s="279"/>
      <c r="CA514" s="279"/>
      <c r="CB514" s="279"/>
      <c r="CC514" s="279"/>
      <c r="CD514" s="279"/>
      <c r="CE514" s="279"/>
      <c r="CF514" s="279"/>
      <c r="CG514" s="279"/>
      <c r="CH514" s="279"/>
      <c r="CI514" s="279"/>
      <c r="CJ514" s="279"/>
      <c r="CK514" s="279"/>
      <c r="CL514" s="279"/>
      <c r="CM514" s="279"/>
      <c r="CN514" s="382"/>
    </row>
    <row r="515" ht="15.75" customHeight="true" x14ac:dyDescent="0.25">
      <c r="B515" s="361"/>
      <c r="C515" s="279"/>
      <c r="D515" s="280"/>
      <c r="E515" s="287"/>
      <c r="F515" s="287"/>
      <c r="G515" s="287"/>
      <c r="H515" s="1292">
        <f t="shared" si="18"/>
        <v>22</v>
      </c>
      <c r="I515" s="1295" t="str">
        <f>IF('I. Stream &amp; Compound Data'!AA283&lt;&gt;"",'I. Stream &amp; Compound Data'!AA283,"")</f>
        <v/>
      </c>
      <c r="J515" s="1295" t="str">
        <f>IF('I. Stream &amp; Compound Data'!Z283&lt;&gt;"",'I. Stream &amp; Compound Data'!Z283,"")</f>
        <v/>
      </c>
      <c r="K515" s="1190" t="str">
        <f>IF('I. Stream &amp; Compound Data'!AP283&lt;&gt;"",'I. Stream &amp; Compound Data'!AP283,IF('I. Stream &amp; Compound Data'!AQ283&lt;&gt;"",'I. Stream &amp; Compound Data'!AQ283,""))</f>
        <v/>
      </c>
      <c r="L515" s="1190" t="str">
        <f>IF('I. Stream &amp; Compound Data'!AT283&lt;&gt;"",'I. Stream &amp; Compound Data'!AT283,IF('I. Stream &amp; Compound Data'!AU283&lt;&gt;"",'I. Stream &amp; Compound Data'!AU283,""))</f>
        <v/>
      </c>
      <c r="M515" s="1295" t="str">
        <f>IF('I. Stream &amp; Compound Data'!AR283&lt;&gt;"",'I. Stream &amp; Compound Data'!AR283,IF('I. Stream &amp; Compound Data'!AS283&lt;&gt;"",'I. Stream &amp; Compound Data'!AS283,""))</f>
        <v/>
      </c>
      <c r="N515" s="1306" t="str">
        <f>IF(H515&gt;'I. Stream &amp; Compound Data'!$F$18,"",IF(I515="","N/A",ROUND(IF(I515&lt;=10,1,IF(AND(I515&gt;10,I515&lt;100000),-0.109*LN(I515)+1.25,0)),3)))</f>
        <v/>
      </c>
      <c r="O515" s="1168" t="str">
        <f>IF(H515&gt;'I. Stream &amp; Compound Data'!$F$18,"",IF(N515="N/A",IF(J515&lt;&gt;"",ROUND(IF(J515&lt;=10,1,IF(AND(J515&gt;10,J515&lt;100000),-0.109*LN(J515)+1.25,0)),3),"N/A"),"N/A"))</f>
        <v/>
      </c>
      <c r="P515" s="1242" t="str">
        <f>IF(H515&gt;'I. Stream &amp; Compound Data'!$F$18,"",IF(AND(N515="N/A",O515="N/A"),IF(K515="","N/A",IF(K515="T+",0.875,IF(K515="T",0.625,IF(K515="Xn",0.375,"N/A")))),"N/A"))</f>
        <v/>
      </c>
      <c r="Q515" s="1242" t="str">
        <f>IF(H515&gt;'I. Stream &amp; Compound Data'!$F$18,"",IF(AND(N515="N/A",O515="N/A",P515="N/A"),IF(L515="","N/A",IF(L515=1,1,IF(L515=2,0.875,IF(L515=3,0.625,IF(L515=4,0.375,IF(L515=5,0.125,0)))))),"N/A"))</f>
        <v/>
      </c>
      <c r="R515" s="1242" t="str">
        <f>IF(H515&gt;'I. Stream &amp; Compound Data'!$F$18,"",IF(AND(N515="N/A",O515="N/A",P515="N/A",Q515="N/A"),IF(M515="","N/A",IF(OR(AND(M515&gt;=26,M515&lt;=29),M515=32),0.875,IF(OR(M515=23,M515=24,M515=25,M515=31),0.625,IF(OR(M515=20,M515=21,,M515=22),0.375,"N/A")))),"N/A"))</f>
        <v/>
      </c>
      <c r="S515" s="1242" t="str">
        <f>IF(H515&gt;'I. Stream &amp; Compound Data'!$F$18,"",IF(I163="","N/A",IF(N515&lt;&gt;"N/A",N515,IF(O515&lt;&gt;"N/A",O515,IF(P515&lt;&gt;"N/A",P515,IF(Q515&lt;&gt;"N/A",Q515,IF(R515&lt;&gt;"N/A",R515,"NO DATA AVAILABLE")))))))</f>
        <v/>
      </c>
      <c r="T515" s="1242" t="str">
        <f>IF(H515&gt;'I. Stream &amp; Compound Data'!$F$18,"",IF(S515="N/A",0,IF(S515&gt;0,ROUND(10^(4*S515+1),3),0)))</f>
        <v/>
      </c>
      <c r="U515" s="1242" t="str">
        <f>IF(H515&gt;'I. Stream &amp; Compound Data'!$F$18,"",IF(H515&gt;'I. Stream &amp; Compound Data'!$F$18,"",MAX(K163:L163)))</f>
        <v/>
      </c>
      <c r="V515" s="1268" t="str">
        <f>IF(H515&gt;'I. Stream &amp; Compound Data'!$F$18,"",ROUND(T515*U515,3))</f>
        <v/>
      </c>
      <c r="W515" s="279"/>
      <c r="X515" s="279"/>
      <c r="Y515" s="279"/>
      <c r="Z515" s="279"/>
      <c r="AA515" s="279"/>
      <c r="AB515" s="279"/>
      <c r="AC515" s="279"/>
      <c r="AD515" s="279"/>
      <c r="AE515" s="279"/>
      <c r="AF515" s="279"/>
      <c r="AG515" s="279"/>
      <c r="AH515" s="279"/>
      <c r="AI515" s="279"/>
      <c r="AJ515" s="279"/>
      <c r="AK515" s="279"/>
      <c r="AL515" s="279"/>
      <c r="AM515" s="279"/>
      <c r="AN515" s="279"/>
      <c r="AO515" s="279"/>
      <c r="AP515" s="279"/>
      <c r="AQ515" s="279"/>
      <c r="AR515" s="279"/>
      <c r="AS515" s="279"/>
      <c r="AT515" s="279"/>
      <c r="AU515" s="279"/>
      <c r="AV515" s="279"/>
      <c r="AW515" s="279"/>
      <c r="AX515" s="279"/>
      <c r="AY515" s="279"/>
      <c r="AZ515" s="279"/>
      <c r="BA515" s="279"/>
      <c r="BB515" s="279"/>
      <c r="BC515" s="279"/>
      <c r="BD515" s="279"/>
      <c r="BE515" s="279"/>
      <c r="BF515" s="279"/>
      <c r="BG515" s="279"/>
      <c r="BH515" s="279"/>
      <c r="BI515" s="279"/>
      <c r="BJ515" s="279"/>
      <c r="BK515" s="279"/>
      <c r="BL515" s="279"/>
      <c r="BM515" s="279"/>
      <c r="BN515" s="279"/>
      <c r="BO515" s="279"/>
      <c r="BP515" s="279"/>
      <c r="BQ515" s="279"/>
      <c r="BR515" s="279"/>
      <c r="BS515" s="279"/>
      <c r="BT515" s="279"/>
      <c r="BU515" s="279"/>
      <c r="BV515" s="279"/>
      <c r="BW515" s="279"/>
      <c r="BX515" s="279"/>
      <c r="BY515" s="279"/>
      <c r="BZ515" s="279"/>
      <c r="CA515" s="279"/>
      <c r="CB515" s="279"/>
      <c r="CC515" s="279"/>
      <c r="CD515" s="279"/>
      <c r="CE515" s="279"/>
      <c r="CF515" s="279"/>
      <c r="CG515" s="279"/>
      <c r="CH515" s="279"/>
      <c r="CI515" s="279"/>
      <c r="CJ515" s="279"/>
      <c r="CK515" s="279"/>
      <c r="CL515" s="279"/>
      <c r="CM515" s="279"/>
      <c r="CN515" s="382"/>
    </row>
    <row r="516" ht="15.75" customHeight="true" x14ac:dyDescent="0.25">
      <c r="B516" s="361"/>
      <c r="C516" s="279"/>
      <c r="D516" s="280"/>
      <c r="E516" s="287"/>
      <c r="F516" s="287"/>
      <c r="G516" s="287"/>
      <c r="H516" s="1292">
        <f t="shared" si="18"/>
        <v>23</v>
      </c>
      <c r="I516" s="1295" t="str">
        <f>IF('I. Stream &amp; Compound Data'!AA284&lt;&gt;"",'I. Stream &amp; Compound Data'!AA284,"")</f>
        <v/>
      </c>
      <c r="J516" s="1295" t="str">
        <f>IF('I. Stream &amp; Compound Data'!Z284&lt;&gt;"",'I. Stream &amp; Compound Data'!Z284,"")</f>
        <v/>
      </c>
      <c r="K516" s="1190" t="str">
        <f>IF('I. Stream &amp; Compound Data'!AP284&lt;&gt;"",'I. Stream &amp; Compound Data'!AP284,IF('I. Stream &amp; Compound Data'!AQ284&lt;&gt;"",'I. Stream &amp; Compound Data'!AQ284,""))</f>
        <v/>
      </c>
      <c r="L516" s="1190" t="str">
        <f>IF('I. Stream &amp; Compound Data'!AT284&lt;&gt;"",'I. Stream &amp; Compound Data'!AT284,IF('I. Stream &amp; Compound Data'!AU284&lt;&gt;"",'I. Stream &amp; Compound Data'!AU284,""))</f>
        <v/>
      </c>
      <c r="M516" s="1295" t="str">
        <f>IF('I. Stream &amp; Compound Data'!AR284&lt;&gt;"",'I. Stream &amp; Compound Data'!AR284,IF('I. Stream &amp; Compound Data'!AS284&lt;&gt;"",'I. Stream &amp; Compound Data'!AS284,""))</f>
        <v/>
      </c>
      <c r="N516" s="1306" t="str">
        <f>IF(H516&gt;'I. Stream &amp; Compound Data'!$F$18,"",IF(I516="","N/A",ROUND(IF(I516&lt;=10,1,IF(AND(I516&gt;10,I516&lt;100000),-0.109*LN(I516)+1.25,0)),3)))</f>
        <v/>
      </c>
      <c r="O516" s="1168" t="str">
        <f>IF(H516&gt;'I. Stream &amp; Compound Data'!$F$18,"",IF(N516="N/A",IF(J516&lt;&gt;"",ROUND(IF(J516&lt;=10,1,IF(AND(J516&gt;10,J516&lt;100000),-0.109*LN(J516)+1.25,0)),3),"N/A"),"N/A"))</f>
        <v/>
      </c>
      <c r="P516" s="1242" t="str">
        <f>IF(H516&gt;'I. Stream &amp; Compound Data'!$F$18,"",IF(AND(N516="N/A",O516="N/A"),IF(K516="","N/A",IF(K516="T+",0.875,IF(K516="T",0.625,IF(K516="Xn",0.375,"N/A")))),"N/A"))</f>
        <v/>
      </c>
      <c r="Q516" s="1242" t="str">
        <f>IF(H516&gt;'I. Stream &amp; Compound Data'!$F$18,"",IF(AND(N516="N/A",O516="N/A",P516="N/A"),IF(L516="","N/A",IF(L516=1,1,IF(L516=2,0.875,IF(L516=3,0.625,IF(L516=4,0.375,IF(L516=5,0.125,0)))))),"N/A"))</f>
        <v/>
      </c>
      <c r="R516" s="1242" t="str">
        <f>IF(H516&gt;'I. Stream &amp; Compound Data'!$F$18,"",IF(AND(N516="N/A",O516="N/A",P516="N/A",Q516="N/A"),IF(M516="","N/A",IF(OR(AND(M516&gt;=26,M516&lt;=29),M516=32),0.875,IF(OR(M516=23,M516=24,M516=25,M516=31),0.625,IF(OR(M516=20,M516=21,,M516=22),0.375,"N/A")))),"N/A"))</f>
        <v/>
      </c>
      <c r="S516" s="1242" t="str">
        <f>IF(H516&gt;'I. Stream &amp; Compound Data'!$F$18,"",IF(I164="","N/A",IF(N516&lt;&gt;"N/A",N516,IF(O516&lt;&gt;"N/A",O516,IF(P516&lt;&gt;"N/A",P516,IF(Q516&lt;&gt;"N/A",Q516,IF(R516&lt;&gt;"N/A",R516,"NO DATA AVAILABLE")))))))</f>
        <v/>
      </c>
      <c r="T516" s="1242" t="str">
        <f>IF(H516&gt;'I. Stream &amp; Compound Data'!$F$18,"",IF(S516="N/A",0,IF(S516&gt;0,ROUND(10^(4*S516+1),3),0)))</f>
        <v/>
      </c>
      <c r="U516" s="1242" t="str">
        <f>IF(H516&gt;'I. Stream &amp; Compound Data'!$F$18,"",IF(H516&gt;'I. Stream &amp; Compound Data'!$F$18,"",MAX(K164:L164)))</f>
        <v/>
      </c>
      <c r="V516" s="1268" t="str">
        <f>IF(H516&gt;'I. Stream &amp; Compound Data'!$F$18,"",ROUND(T516*U516,3))</f>
        <v/>
      </c>
      <c r="W516" s="279"/>
      <c r="X516" s="279"/>
      <c r="Y516" s="279"/>
      <c r="Z516" s="279"/>
      <c r="AA516" s="279"/>
      <c r="AB516" s="279"/>
      <c r="AC516" s="279"/>
      <c r="AD516" s="279"/>
      <c r="AE516" s="279"/>
      <c r="AF516" s="279"/>
      <c r="AG516" s="279"/>
      <c r="AH516" s="279"/>
      <c r="AI516" s="279"/>
      <c r="AJ516" s="279"/>
      <c r="AK516" s="279"/>
      <c r="AL516" s="279"/>
      <c r="AM516" s="279"/>
      <c r="AN516" s="279"/>
      <c r="AO516" s="279"/>
      <c r="AP516" s="279"/>
      <c r="AQ516" s="279"/>
      <c r="AR516" s="279"/>
      <c r="AS516" s="279"/>
      <c r="AT516" s="279"/>
      <c r="AU516" s="279"/>
      <c r="AV516" s="279"/>
      <c r="AW516" s="279"/>
      <c r="AX516" s="279"/>
      <c r="AY516" s="279"/>
      <c r="AZ516" s="279"/>
      <c r="BA516" s="279"/>
      <c r="BB516" s="279"/>
      <c r="BC516" s="279"/>
      <c r="BD516" s="279"/>
      <c r="BE516" s="279"/>
      <c r="BF516" s="279"/>
      <c r="BG516" s="279"/>
      <c r="BH516" s="279"/>
      <c r="BI516" s="279"/>
      <c r="BJ516" s="279"/>
      <c r="BK516" s="279"/>
      <c r="BL516" s="279"/>
      <c r="BM516" s="279"/>
      <c r="BN516" s="279"/>
      <c r="BO516" s="279"/>
      <c r="BP516" s="279"/>
      <c r="BQ516" s="279"/>
      <c r="BR516" s="279"/>
      <c r="BS516" s="279"/>
      <c r="BT516" s="279"/>
      <c r="BU516" s="279"/>
      <c r="BV516" s="279"/>
      <c r="BW516" s="279"/>
      <c r="BX516" s="279"/>
      <c r="BY516" s="279"/>
      <c r="BZ516" s="279"/>
      <c r="CA516" s="279"/>
      <c r="CB516" s="279"/>
      <c r="CC516" s="279"/>
      <c r="CD516" s="279"/>
      <c r="CE516" s="279"/>
      <c r="CF516" s="279"/>
      <c r="CG516" s="279"/>
      <c r="CH516" s="279"/>
      <c r="CI516" s="279"/>
      <c r="CJ516" s="279"/>
      <c r="CK516" s="279"/>
      <c r="CL516" s="279"/>
      <c r="CM516" s="279"/>
      <c r="CN516" s="382"/>
    </row>
    <row r="517" ht="15.75" customHeight="true" x14ac:dyDescent="0.25">
      <c r="B517" s="361"/>
      <c r="C517" s="279"/>
      <c r="D517" s="280"/>
      <c r="E517" s="287"/>
      <c r="F517" s="287"/>
      <c r="G517" s="287"/>
      <c r="H517" s="1292">
        <f t="shared" si="18"/>
        <v>24</v>
      </c>
      <c r="I517" s="1295" t="str">
        <f>IF('I. Stream &amp; Compound Data'!AA285&lt;&gt;"",'I. Stream &amp; Compound Data'!AA285,"")</f>
        <v/>
      </c>
      <c r="J517" s="1295" t="str">
        <f>IF('I. Stream &amp; Compound Data'!Z285&lt;&gt;"",'I. Stream &amp; Compound Data'!Z285,"")</f>
        <v/>
      </c>
      <c r="K517" s="1190" t="str">
        <f>IF('I. Stream &amp; Compound Data'!AP285&lt;&gt;"",'I. Stream &amp; Compound Data'!AP285,IF('I. Stream &amp; Compound Data'!AQ285&lt;&gt;"",'I. Stream &amp; Compound Data'!AQ285,""))</f>
        <v/>
      </c>
      <c r="L517" s="1190" t="str">
        <f>IF('I. Stream &amp; Compound Data'!AT285&lt;&gt;"",'I. Stream &amp; Compound Data'!AT285,IF('I. Stream &amp; Compound Data'!AU285&lt;&gt;"",'I. Stream &amp; Compound Data'!AU285,""))</f>
        <v/>
      </c>
      <c r="M517" s="1295" t="str">
        <f>IF('I. Stream &amp; Compound Data'!AR285&lt;&gt;"",'I. Stream &amp; Compound Data'!AR285,IF('I. Stream &amp; Compound Data'!AS285&lt;&gt;"",'I. Stream &amp; Compound Data'!AS285,""))</f>
        <v/>
      </c>
      <c r="N517" s="1306" t="str">
        <f>IF(H517&gt;'I. Stream &amp; Compound Data'!$F$18,"",IF(I517="","N/A",ROUND(IF(I517&lt;=10,1,IF(AND(I517&gt;10,I517&lt;100000),-0.109*LN(I517)+1.25,0)),3)))</f>
        <v/>
      </c>
      <c r="O517" s="1168" t="str">
        <f>IF(H517&gt;'I. Stream &amp; Compound Data'!$F$18,"",IF(N517="N/A",IF(J517&lt;&gt;"",ROUND(IF(J517&lt;=10,1,IF(AND(J517&gt;10,J517&lt;100000),-0.109*LN(J517)+1.25,0)),3),"N/A"),"N/A"))</f>
        <v/>
      </c>
      <c r="P517" s="1242" t="str">
        <f>IF(H517&gt;'I. Stream &amp; Compound Data'!$F$18,"",IF(AND(N517="N/A",O517="N/A"),IF(K517="","N/A",IF(K517="T+",0.875,IF(K517="T",0.625,IF(K517="Xn",0.375,"N/A")))),"N/A"))</f>
        <v/>
      </c>
      <c r="Q517" s="1242" t="str">
        <f>IF(H517&gt;'I. Stream &amp; Compound Data'!$F$18,"",IF(AND(N517="N/A",O517="N/A",P517="N/A"),IF(L517="","N/A",IF(L517=1,1,IF(L517=2,0.875,IF(L517=3,0.625,IF(L517=4,0.375,IF(L517=5,0.125,0)))))),"N/A"))</f>
        <v/>
      </c>
      <c r="R517" s="1242" t="str">
        <f>IF(H517&gt;'I. Stream &amp; Compound Data'!$F$18,"",IF(AND(N517="N/A",O517="N/A",P517="N/A",Q517="N/A"),IF(M517="","N/A",IF(OR(AND(M517&gt;=26,M517&lt;=29),M517=32),0.875,IF(OR(M517=23,M517=24,M517=25,M517=31),0.625,IF(OR(M517=20,M517=21,,M517=22),0.375,"N/A")))),"N/A"))</f>
        <v/>
      </c>
      <c r="S517" s="1242" t="str">
        <f>IF(H517&gt;'I. Stream &amp; Compound Data'!$F$18,"",IF(I165="","N/A",IF(N517&lt;&gt;"N/A",N517,IF(O517&lt;&gt;"N/A",O517,IF(P517&lt;&gt;"N/A",P517,IF(Q517&lt;&gt;"N/A",Q517,IF(R517&lt;&gt;"N/A",R517,"NO DATA AVAILABLE")))))))</f>
        <v/>
      </c>
      <c r="T517" s="1242" t="str">
        <f>IF(H517&gt;'I. Stream &amp; Compound Data'!$F$18,"",IF(S517="N/A",0,IF(S517&gt;0,ROUND(10^(4*S517+1),3),0)))</f>
        <v/>
      </c>
      <c r="U517" s="1242" t="str">
        <f>IF(H517&gt;'I. Stream &amp; Compound Data'!$F$18,"",IF(H517&gt;'I. Stream &amp; Compound Data'!$F$18,"",MAX(K165:L165)))</f>
        <v/>
      </c>
      <c r="V517" s="1268" t="str">
        <f>IF(H517&gt;'I. Stream &amp; Compound Data'!$F$18,"",ROUND(T517*U517,3))</f>
        <v/>
      </c>
      <c r="W517" s="279"/>
      <c r="X517" s="279"/>
      <c r="Y517" s="279"/>
      <c r="Z517" s="279"/>
      <c r="AA517" s="279"/>
      <c r="AB517" s="279"/>
      <c r="AC517" s="279"/>
      <c r="AD517" s="279"/>
      <c r="AE517" s="279"/>
      <c r="AF517" s="279"/>
      <c r="AG517" s="279"/>
      <c r="AH517" s="279"/>
      <c r="AI517" s="279"/>
      <c r="AJ517" s="279"/>
      <c r="AK517" s="279"/>
      <c r="AL517" s="279"/>
      <c r="AM517" s="279"/>
      <c r="AN517" s="279"/>
      <c r="AO517" s="279"/>
      <c r="AP517" s="279"/>
      <c r="AQ517" s="279"/>
      <c r="AR517" s="279"/>
      <c r="AS517" s="279"/>
      <c r="AT517" s="279"/>
      <c r="AU517" s="279"/>
      <c r="AV517" s="279"/>
      <c r="AW517" s="279"/>
      <c r="AX517" s="279"/>
      <c r="AY517" s="279"/>
      <c r="AZ517" s="279"/>
      <c r="BA517" s="279"/>
      <c r="BB517" s="279"/>
      <c r="BC517" s="279"/>
      <c r="BD517" s="279"/>
      <c r="BE517" s="279"/>
      <c r="BF517" s="279"/>
      <c r="BG517" s="279"/>
      <c r="BH517" s="279"/>
      <c r="BI517" s="279"/>
      <c r="BJ517" s="279"/>
      <c r="BK517" s="279"/>
      <c r="BL517" s="279"/>
      <c r="BM517" s="279"/>
      <c r="BN517" s="279"/>
      <c r="BO517" s="279"/>
      <c r="BP517" s="279"/>
      <c r="BQ517" s="279"/>
      <c r="BR517" s="279"/>
      <c r="BS517" s="279"/>
      <c r="BT517" s="279"/>
      <c r="BU517" s="279"/>
      <c r="BV517" s="279"/>
      <c r="BW517" s="279"/>
      <c r="BX517" s="279"/>
      <c r="BY517" s="279"/>
      <c r="BZ517" s="279"/>
      <c r="CA517" s="279"/>
      <c r="CB517" s="279"/>
      <c r="CC517" s="279"/>
      <c r="CD517" s="279"/>
      <c r="CE517" s="279"/>
      <c r="CF517" s="279"/>
      <c r="CG517" s="279"/>
      <c r="CH517" s="279"/>
      <c r="CI517" s="279"/>
      <c r="CJ517" s="279"/>
      <c r="CK517" s="279"/>
      <c r="CL517" s="279"/>
      <c r="CM517" s="279"/>
      <c r="CN517" s="382"/>
    </row>
    <row r="518" ht="15.75" customHeight="true" x14ac:dyDescent="0.25">
      <c r="B518" s="361"/>
      <c r="C518" s="279"/>
      <c r="D518" s="280"/>
      <c r="E518" s="287"/>
      <c r="F518" s="287"/>
      <c r="G518" s="287"/>
      <c r="H518" s="1292">
        <f t="shared" si="18"/>
        <v>25</v>
      </c>
      <c r="I518" s="1295" t="str">
        <f>IF('I. Stream &amp; Compound Data'!AA286&lt;&gt;"",'I. Stream &amp; Compound Data'!AA286,"")</f>
        <v/>
      </c>
      <c r="J518" s="1295" t="str">
        <f>IF('I. Stream &amp; Compound Data'!Z286&lt;&gt;"",'I. Stream &amp; Compound Data'!Z286,"")</f>
        <v/>
      </c>
      <c r="K518" s="1190" t="str">
        <f>IF('I. Stream &amp; Compound Data'!AP286&lt;&gt;"",'I. Stream &amp; Compound Data'!AP286,IF('I. Stream &amp; Compound Data'!AQ286&lt;&gt;"",'I. Stream &amp; Compound Data'!AQ286,""))</f>
        <v/>
      </c>
      <c r="L518" s="1190" t="str">
        <f>IF('I. Stream &amp; Compound Data'!AT286&lt;&gt;"",'I. Stream &amp; Compound Data'!AT286,IF('I. Stream &amp; Compound Data'!AU286&lt;&gt;"",'I. Stream &amp; Compound Data'!AU286,""))</f>
        <v/>
      </c>
      <c r="M518" s="1295" t="str">
        <f>IF('I. Stream &amp; Compound Data'!AR286&lt;&gt;"",'I. Stream &amp; Compound Data'!AR286,IF('I. Stream &amp; Compound Data'!AS286&lt;&gt;"",'I. Stream &amp; Compound Data'!AS286,""))</f>
        <v/>
      </c>
      <c r="N518" s="1306" t="str">
        <f>IF(H518&gt;'I. Stream &amp; Compound Data'!$F$18,"",IF(I518="","N/A",ROUND(IF(I518&lt;=10,1,IF(AND(I518&gt;10,I518&lt;100000),-0.109*LN(I518)+1.25,0)),3)))</f>
        <v/>
      </c>
      <c r="O518" s="1168" t="str">
        <f>IF(H518&gt;'I. Stream &amp; Compound Data'!$F$18,"",IF(N518="N/A",IF(J518&lt;&gt;"",ROUND(IF(J518&lt;=10,1,IF(AND(J518&gt;10,J518&lt;100000),-0.109*LN(J518)+1.25,0)),3),"N/A"),"N/A"))</f>
        <v/>
      </c>
      <c r="P518" s="1242" t="str">
        <f>IF(H518&gt;'I. Stream &amp; Compound Data'!$F$18,"",IF(AND(N518="N/A",O518="N/A"),IF(K518="","N/A",IF(K518="T+",0.875,IF(K518="T",0.625,IF(K518="Xn",0.375,"N/A")))),"N/A"))</f>
        <v/>
      </c>
      <c r="Q518" s="1242" t="str">
        <f>IF(H518&gt;'I. Stream &amp; Compound Data'!$F$18,"",IF(AND(N518="N/A",O518="N/A",P518="N/A"),IF(L518="","N/A",IF(L518=1,1,IF(L518=2,0.875,IF(L518=3,0.625,IF(L518=4,0.375,IF(L518=5,0.125,0)))))),"N/A"))</f>
        <v/>
      </c>
      <c r="R518" s="1242" t="str">
        <f>IF(H518&gt;'I. Stream &amp; Compound Data'!$F$18,"",IF(AND(N518="N/A",O518="N/A",P518="N/A",Q518="N/A"),IF(M518="","N/A",IF(OR(AND(M518&gt;=26,M518&lt;=29),M518=32),0.875,IF(OR(M518=23,M518=24,M518=25,M518=31),0.625,IF(OR(M518=20,M518=21,,M518=22),0.375,"N/A")))),"N/A"))</f>
        <v/>
      </c>
      <c r="S518" s="1242" t="str">
        <f>IF(H518&gt;'I. Stream &amp; Compound Data'!$F$18,"",IF(I166="","N/A",IF(N518&lt;&gt;"N/A",N518,IF(O518&lt;&gt;"N/A",O518,IF(P518&lt;&gt;"N/A",P518,IF(Q518&lt;&gt;"N/A",Q518,IF(R518&lt;&gt;"N/A",R518,"NO DATA AVAILABLE")))))))</f>
        <v/>
      </c>
      <c r="T518" s="1242" t="str">
        <f>IF(H518&gt;'I. Stream &amp; Compound Data'!$F$18,"",IF(S518="N/A",0,IF(S518&gt;0,ROUND(10^(4*S518+1),3),0)))</f>
        <v/>
      </c>
      <c r="U518" s="1242" t="str">
        <f>IF(H518&gt;'I. Stream &amp; Compound Data'!$F$18,"",IF(H518&gt;'I. Stream &amp; Compound Data'!$F$18,"",MAX(K166:L166)))</f>
        <v/>
      </c>
      <c r="V518" s="1268" t="str">
        <f>IF(H518&gt;'I. Stream &amp; Compound Data'!$F$18,"",ROUND(T518*U518,3))</f>
        <v/>
      </c>
      <c r="W518" s="279"/>
      <c r="X518" s="279"/>
      <c r="Y518" s="279"/>
      <c r="Z518" s="279"/>
      <c r="AA518" s="279"/>
      <c r="AB518" s="279"/>
      <c r="AC518" s="279"/>
      <c r="AD518" s="279"/>
      <c r="AE518" s="279"/>
      <c r="AF518" s="279"/>
      <c r="AG518" s="279"/>
      <c r="AH518" s="279"/>
      <c r="AI518" s="279"/>
      <c r="AJ518" s="279"/>
      <c r="AK518" s="279"/>
      <c r="AL518" s="279"/>
      <c r="AM518" s="279"/>
      <c r="AN518" s="279"/>
      <c r="AO518" s="279"/>
      <c r="AP518" s="279"/>
      <c r="AQ518" s="279"/>
      <c r="AR518" s="279"/>
      <c r="AS518" s="279"/>
      <c r="AT518" s="279"/>
      <c r="AU518" s="279"/>
      <c r="AV518" s="279"/>
      <c r="AW518" s="279"/>
      <c r="AX518" s="279"/>
      <c r="AY518" s="279"/>
      <c r="AZ518" s="279"/>
      <c r="BA518" s="279"/>
      <c r="BB518" s="279"/>
      <c r="BC518" s="279"/>
      <c r="BD518" s="279"/>
      <c r="BE518" s="279"/>
      <c r="BF518" s="279"/>
      <c r="BG518" s="279"/>
      <c r="BH518" s="279"/>
      <c r="BI518" s="279"/>
      <c r="BJ518" s="279"/>
      <c r="BK518" s="279"/>
      <c r="BL518" s="279"/>
      <c r="BM518" s="279"/>
      <c r="BN518" s="279"/>
      <c r="BO518" s="279"/>
      <c r="BP518" s="279"/>
      <c r="BQ518" s="279"/>
      <c r="BR518" s="279"/>
      <c r="BS518" s="279"/>
      <c r="BT518" s="279"/>
      <c r="BU518" s="279"/>
      <c r="BV518" s="279"/>
      <c r="BW518" s="279"/>
      <c r="BX518" s="279"/>
      <c r="BY518" s="279"/>
      <c r="BZ518" s="279"/>
      <c r="CA518" s="279"/>
      <c r="CB518" s="279"/>
      <c r="CC518" s="279"/>
      <c r="CD518" s="279"/>
      <c r="CE518" s="279"/>
      <c r="CF518" s="279"/>
      <c r="CG518" s="279"/>
      <c r="CH518" s="279"/>
      <c r="CI518" s="279"/>
      <c r="CJ518" s="279"/>
      <c r="CK518" s="279"/>
      <c r="CL518" s="279"/>
      <c r="CM518" s="279"/>
      <c r="CN518" s="382"/>
    </row>
    <row r="519" ht="15.75" customHeight="true" x14ac:dyDescent="0.25">
      <c r="B519" s="361"/>
      <c r="C519" s="279"/>
      <c r="D519" s="280"/>
      <c r="E519" s="287"/>
      <c r="F519" s="287"/>
      <c r="G519" s="287"/>
      <c r="H519" s="1292">
        <f t="shared" si="18"/>
        <v>26</v>
      </c>
      <c r="I519" s="1295" t="str">
        <f>IF('I. Stream &amp; Compound Data'!AA287&lt;&gt;"",'I. Stream &amp; Compound Data'!AA287,"")</f>
        <v/>
      </c>
      <c r="J519" s="1295" t="str">
        <f>IF('I. Stream &amp; Compound Data'!Z287&lt;&gt;"",'I. Stream &amp; Compound Data'!Z287,"")</f>
        <v/>
      </c>
      <c r="K519" s="1190" t="str">
        <f>IF('I. Stream &amp; Compound Data'!AP287&lt;&gt;"",'I. Stream &amp; Compound Data'!AP287,IF('I. Stream &amp; Compound Data'!AQ287&lt;&gt;"",'I. Stream &amp; Compound Data'!AQ287,""))</f>
        <v/>
      </c>
      <c r="L519" s="1190" t="str">
        <f>IF('I. Stream &amp; Compound Data'!AT287&lt;&gt;"",'I. Stream &amp; Compound Data'!AT287,IF('I. Stream &amp; Compound Data'!AU287&lt;&gt;"",'I. Stream &amp; Compound Data'!AU287,""))</f>
        <v/>
      </c>
      <c r="M519" s="1295" t="str">
        <f>IF('I. Stream &amp; Compound Data'!AR287&lt;&gt;"",'I. Stream &amp; Compound Data'!AR287,IF('I. Stream &amp; Compound Data'!AS287&lt;&gt;"",'I. Stream &amp; Compound Data'!AS287,""))</f>
        <v/>
      </c>
      <c r="N519" s="1306" t="str">
        <f>IF(H519&gt;'I. Stream &amp; Compound Data'!$F$18,"",IF(I519="","N/A",ROUND(IF(I519&lt;=10,1,IF(AND(I519&gt;10,I519&lt;100000),-0.109*LN(I519)+1.25,0)),3)))</f>
        <v/>
      </c>
      <c r="O519" s="1168" t="str">
        <f>IF(H519&gt;'I. Stream &amp; Compound Data'!$F$18,"",IF(N519="N/A",IF(J519&lt;&gt;"",ROUND(IF(J519&lt;=10,1,IF(AND(J519&gt;10,J519&lt;100000),-0.109*LN(J519)+1.25,0)),3),"N/A"),"N/A"))</f>
        <v/>
      </c>
      <c r="P519" s="1242" t="str">
        <f>IF(H519&gt;'I. Stream &amp; Compound Data'!$F$18,"",IF(AND(N519="N/A",O519="N/A"),IF(K519="","N/A",IF(K519="T+",0.875,IF(K519="T",0.625,IF(K519="Xn",0.375,"N/A")))),"N/A"))</f>
        <v/>
      </c>
      <c r="Q519" s="1242" t="str">
        <f>IF(H519&gt;'I. Stream &amp; Compound Data'!$F$18,"",IF(AND(N519="N/A",O519="N/A",P519="N/A"),IF(L519="","N/A",IF(L519=1,1,IF(L519=2,0.875,IF(L519=3,0.625,IF(L519=4,0.375,IF(L519=5,0.125,0)))))),"N/A"))</f>
        <v/>
      </c>
      <c r="R519" s="1242" t="str">
        <f>IF(H519&gt;'I. Stream &amp; Compound Data'!$F$18,"",IF(AND(N519="N/A",O519="N/A",P519="N/A",Q519="N/A"),IF(M519="","N/A",IF(OR(AND(M519&gt;=26,M519&lt;=29),M519=32),0.875,IF(OR(M519=23,M519=24,M519=25,M519=31),0.625,IF(OR(M519=20,M519=21,,M519=22),0.375,"N/A")))),"N/A"))</f>
        <v/>
      </c>
      <c r="S519" s="1242" t="str">
        <f>IF(H519&gt;'I. Stream &amp; Compound Data'!$F$18,"",IF(I167="","N/A",IF(N519&lt;&gt;"N/A",N519,IF(O519&lt;&gt;"N/A",O519,IF(P519&lt;&gt;"N/A",P519,IF(Q519&lt;&gt;"N/A",Q519,IF(R519&lt;&gt;"N/A",R519,"NO DATA AVAILABLE")))))))</f>
        <v/>
      </c>
      <c r="T519" s="1242" t="str">
        <f>IF(H519&gt;'I. Stream &amp; Compound Data'!$F$18,"",IF(S519="N/A",0,IF(S519&gt;0,ROUND(10^(4*S519+1),3),0)))</f>
        <v/>
      </c>
      <c r="U519" s="1242" t="str">
        <f>IF(H519&gt;'I. Stream &amp; Compound Data'!$F$18,"",IF(H519&gt;'I. Stream &amp; Compound Data'!$F$18,"",MAX(K167:L167)))</f>
        <v/>
      </c>
      <c r="V519" s="1268" t="str">
        <f>IF(H519&gt;'I. Stream &amp; Compound Data'!$F$18,"",ROUND(T519*U519,3))</f>
        <v/>
      </c>
      <c r="W519" s="279"/>
      <c r="X519" s="279"/>
      <c r="Y519" s="279"/>
      <c r="Z519" s="279"/>
      <c r="AA519" s="279"/>
      <c r="AB519" s="279"/>
      <c r="AC519" s="279"/>
      <c r="AD519" s="279"/>
      <c r="AE519" s="279"/>
      <c r="AF519" s="279"/>
      <c r="AG519" s="279"/>
      <c r="AH519" s="279"/>
      <c r="AI519" s="279"/>
      <c r="AJ519" s="279"/>
      <c r="AK519" s="279"/>
      <c r="AL519" s="279"/>
      <c r="AM519" s="279"/>
      <c r="AN519" s="279"/>
      <c r="AO519" s="279"/>
      <c r="AP519" s="279"/>
      <c r="AQ519" s="279"/>
      <c r="AR519" s="279"/>
      <c r="AS519" s="279"/>
      <c r="AT519" s="279"/>
      <c r="AU519" s="279"/>
      <c r="AV519" s="279"/>
      <c r="AW519" s="279"/>
      <c r="AX519" s="279"/>
      <c r="AY519" s="279"/>
      <c r="AZ519" s="279"/>
      <c r="BA519" s="279"/>
      <c r="BB519" s="279"/>
      <c r="BC519" s="279"/>
      <c r="BD519" s="279"/>
      <c r="BE519" s="279"/>
      <c r="BF519" s="279"/>
      <c r="BG519" s="279"/>
      <c r="BH519" s="279"/>
      <c r="BI519" s="279"/>
      <c r="BJ519" s="279"/>
      <c r="BK519" s="279"/>
      <c r="BL519" s="279"/>
      <c r="BM519" s="279"/>
      <c r="BN519" s="279"/>
      <c r="BO519" s="279"/>
      <c r="BP519" s="279"/>
      <c r="BQ519" s="279"/>
      <c r="BR519" s="279"/>
      <c r="BS519" s="279"/>
      <c r="BT519" s="279"/>
      <c r="BU519" s="279"/>
      <c r="BV519" s="279"/>
      <c r="BW519" s="279"/>
      <c r="BX519" s="279"/>
      <c r="BY519" s="279"/>
      <c r="BZ519" s="279"/>
      <c r="CA519" s="279"/>
      <c r="CB519" s="279"/>
      <c r="CC519" s="279"/>
      <c r="CD519" s="279"/>
      <c r="CE519" s="279"/>
      <c r="CF519" s="279"/>
      <c r="CG519" s="279"/>
      <c r="CH519" s="279"/>
      <c r="CI519" s="279"/>
      <c r="CJ519" s="279"/>
      <c r="CK519" s="279"/>
      <c r="CL519" s="279"/>
      <c r="CM519" s="279"/>
      <c r="CN519" s="382"/>
    </row>
    <row r="520" ht="15.75" customHeight="true" x14ac:dyDescent="0.25">
      <c r="B520" s="361"/>
      <c r="C520" s="279"/>
      <c r="D520" s="280"/>
      <c r="E520" s="287"/>
      <c r="F520" s="287"/>
      <c r="G520" s="287"/>
      <c r="H520" s="1292">
        <f t="shared" si="18"/>
        <v>27</v>
      </c>
      <c r="I520" s="1295" t="str">
        <f>IF('I. Stream &amp; Compound Data'!AA288&lt;&gt;"",'I. Stream &amp; Compound Data'!AA288,"")</f>
        <v/>
      </c>
      <c r="J520" s="1295" t="str">
        <f>IF('I. Stream &amp; Compound Data'!Z288&lt;&gt;"",'I. Stream &amp; Compound Data'!Z288,"")</f>
        <v/>
      </c>
      <c r="K520" s="1190" t="str">
        <f>IF('I. Stream &amp; Compound Data'!AP288&lt;&gt;"",'I. Stream &amp; Compound Data'!AP288,IF('I. Stream &amp; Compound Data'!AQ288&lt;&gt;"",'I. Stream &amp; Compound Data'!AQ288,""))</f>
        <v/>
      </c>
      <c r="L520" s="1190" t="str">
        <f>IF('I. Stream &amp; Compound Data'!AT288&lt;&gt;"",'I. Stream &amp; Compound Data'!AT288,IF('I. Stream &amp; Compound Data'!AU288&lt;&gt;"",'I. Stream &amp; Compound Data'!AU288,""))</f>
        <v/>
      </c>
      <c r="M520" s="1295" t="str">
        <f>IF('I. Stream &amp; Compound Data'!AR288&lt;&gt;"",'I. Stream &amp; Compound Data'!AR288,IF('I. Stream &amp; Compound Data'!AS288&lt;&gt;"",'I. Stream &amp; Compound Data'!AS288,""))</f>
        <v/>
      </c>
      <c r="N520" s="1306" t="str">
        <f>IF(H520&gt;'I. Stream &amp; Compound Data'!$F$18,"",IF(I520="","N/A",ROUND(IF(I520&lt;=10,1,IF(AND(I520&gt;10,I520&lt;100000),-0.109*LN(I520)+1.25,0)),3)))</f>
        <v/>
      </c>
      <c r="O520" s="1168" t="str">
        <f>IF(H520&gt;'I. Stream &amp; Compound Data'!$F$18,"",IF(N520="N/A",IF(J520&lt;&gt;"",ROUND(IF(J520&lt;=10,1,IF(AND(J520&gt;10,J520&lt;100000),-0.109*LN(J520)+1.25,0)),3),"N/A"),"N/A"))</f>
        <v/>
      </c>
      <c r="P520" s="1242" t="str">
        <f>IF(H520&gt;'I. Stream &amp; Compound Data'!$F$18,"",IF(AND(N520="N/A",O520="N/A"),IF(K520="","N/A",IF(K520="T+",0.875,IF(K520="T",0.625,IF(K520="Xn",0.375,"N/A")))),"N/A"))</f>
        <v/>
      </c>
      <c r="Q520" s="1242" t="str">
        <f>IF(H520&gt;'I. Stream &amp; Compound Data'!$F$18,"",IF(AND(N520="N/A",O520="N/A",P520="N/A"),IF(L520="","N/A",IF(L520=1,1,IF(L520=2,0.875,IF(L520=3,0.625,IF(L520=4,0.375,IF(L520=5,0.125,0)))))),"N/A"))</f>
        <v/>
      </c>
      <c r="R520" s="1242" t="str">
        <f>IF(H520&gt;'I. Stream &amp; Compound Data'!$F$18,"",IF(AND(N520="N/A",O520="N/A",P520="N/A",Q520="N/A"),IF(M520="","N/A",IF(OR(AND(M520&gt;=26,M520&lt;=29),M520=32),0.875,IF(OR(M520=23,M520=24,M520=25,M520=31),0.625,IF(OR(M520=20,M520=21,,M520=22),0.375,"N/A")))),"N/A"))</f>
        <v/>
      </c>
      <c r="S520" s="1242" t="str">
        <f>IF(H520&gt;'I. Stream &amp; Compound Data'!$F$18,"",IF(I168="","N/A",IF(N520&lt;&gt;"N/A",N520,IF(O520&lt;&gt;"N/A",O520,IF(P520&lt;&gt;"N/A",P520,IF(Q520&lt;&gt;"N/A",Q520,IF(R520&lt;&gt;"N/A",R520,"NO DATA AVAILABLE")))))))</f>
        <v/>
      </c>
      <c r="T520" s="1242" t="str">
        <f>IF(H520&gt;'I. Stream &amp; Compound Data'!$F$18,"",IF(S520="N/A",0,IF(S520&gt;0,ROUND(10^(4*S520+1),3),0)))</f>
        <v/>
      </c>
      <c r="U520" s="1242" t="str">
        <f>IF(H520&gt;'I. Stream &amp; Compound Data'!$F$18,"",IF(H520&gt;'I. Stream &amp; Compound Data'!$F$18,"",MAX(K168:L168)))</f>
        <v/>
      </c>
      <c r="V520" s="1268" t="str">
        <f>IF(H520&gt;'I. Stream &amp; Compound Data'!$F$18,"",ROUND(T520*U520,3))</f>
        <v/>
      </c>
      <c r="W520" s="279"/>
      <c r="X520" s="279"/>
      <c r="Y520" s="279"/>
      <c r="Z520" s="279"/>
      <c r="AA520" s="279"/>
      <c r="AB520" s="279"/>
      <c r="AC520" s="279"/>
      <c r="AD520" s="279"/>
      <c r="AE520" s="279"/>
      <c r="AF520" s="279"/>
      <c r="AG520" s="279"/>
      <c r="AH520" s="279"/>
      <c r="AI520" s="279"/>
      <c r="AJ520" s="279"/>
      <c r="AK520" s="279"/>
      <c r="AL520" s="279"/>
      <c r="AM520" s="279"/>
      <c r="AN520" s="279"/>
      <c r="AO520" s="279"/>
      <c r="AP520" s="279"/>
      <c r="AQ520" s="279"/>
      <c r="AR520" s="279"/>
      <c r="AS520" s="279"/>
      <c r="AT520" s="279"/>
      <c r="AU520" s="279"/>
      <c r="AV520" s="279"/>
      <c r="AW520" s="279"/>
      <c r="AX520" s="279"/>
      <c r="AY520" s="279"/>
      <c r="AZ520" s="279"/>
      <c r="BA520" s="279"/>
      <c r="BB520" s="279"/>
      <c r="BC520" s="279"/>
      <c r="BD520" s="279"/>
      <c r="BE520" s="279"/>
      <c r="BF520" s="279"/>
      <c r="BG520" s="279"/>
      <c r="BH520" s="279"/>
      <c r="BI520" s="279"/>
      <c r="BJ520" s="279"/>
      <c r="BK520" s="279"/>
      <c r="BL520" s="279"/>
      <c r="BM520" s="279"/>
      <c r="BN520" s="279"/>
      <c r="BO520" s="279"/>
      <c r="BP520" s="279"/>
      <c r="BQ520" s="279"/>
      <c r="BR520" s="279"/>
      <c r="BS520" s="279"/>
      <c r="BT520" s="279"/>
      <c r="BU520" s="279"/>
      <c r="BV520" s="279"/>
      <c r="BW520" s="279"/>
      <c r="BX520" s="279"/>
      <c r="BY520" s="279"/>
      <c r="BZ520" s="279"/>
      <c r="CA520" s="279"/>
      <c r="CB520" s="279"/>
      <c r="CC520" s="279"/>
      <c r="CD520" s="279"/>
      <c r="CE520" s="279"/>
      <c r="CF520" s="279"/>
      <c r="CG520" s="279"/>
      <c r="CH520" s="279"/>
      <c r="CI520" s="279"/>
      <c r="CJ520" s="279"/>
      <c r="CK520" s="279"/>
      <c r="CL520" s="279"/>
      <c r="CM520" s="279"/>
      <c r="CN520" s="382"/>
    </row>
    <row r="521" ht="15.75" customHeight="true" x14ac:dyDescent="0.25">
      <c r="B521" s="361"/>
      <c r="C521" s="279"/>
      <c r="D521" s="280"/>
      <c r="E521" s="287"/>
      <c r="F521" s="287"/>
      <c r="G521" s="287"/>
      <c r="H521" s="1292">
        <f t="shared" si="18"/>
        <v>28</v>
      </c>
      <c r="I521" s="1295" t="str">
        <f>IF('I. Stream &amp; Compound Data'!AA289&lt;&gt;"",'I. Stream &amp; Compound Data'!AA289,"")</f>
        <v/>
      </c>
      <c r="J521" s="1295" t="str">
        <f>IF('I. Stream &amp; Compound Data'!Z289&lt;&gt;"",'I. Stream &amp; Compound Data'!Z289,"")</f>
        <v/>
      </c>
      <c r="K521" s="1190" t="str">
        <f>IF('I. Stream &amp; Compound Data'!AP289&lt;&gt;"",'I. Stream &amp; Compound Data'!AP289,IF('I. Stream &amp; Compound Data'!AQ289&lt;&gt;"",'I. Stream &amp; Compound Data'!AQ289,""))</f>
        <v/>
      </c>
      <c r="L521" s="1190" t="str">
        <f>IF('I. Stream &amp; Compound Data'!AT289&lt;&gt;"",'I. Stream &amp; Compound Data'!AT289,IF('I. Stream &amp; Compound Data'!AU289&lt;&gt;"",'I. Stream &amp; Compound Data'!AU289,""))</f>
        <v/>
      </c>
      <c r="M521" s="1295" t="str">
        <f>IF('I. Stream &amp; Compound Data'!AR289&lt;&gt;"",'I. Stream &amp; Compound Data'!AR289,IF('I. Stream &amp; Compound Data'!AS289&lt;&gt;"",'I. Stream &amp; Compound Data'!AS289,""))</f>
        <v/>
      </c>
      <c r="N521" s="1306" t="str">
        <f>IF(H521&gt;'I. Stream &amp; Compound Data'!$F$18,"",IF(I521="","N/A",ROUND(IF(I521&lt;=10,1,IF(AND(I521&gt;10,I521&lt;100000),-0.109*LN(I521)+1.25,0)),3)))</f>
        <v/>
      </c>
      <c r="O521" s="1168" t="str">
        <f>IF(H521&gt;'I. Stream &amp; Compound Data'!$F$18,"",IF(N521="N/A",IF(J521&lt;&gt;"",ROUND(IF(J521&lt;=10,1,IF(AND(J521&gt;10,J521&lt;100000),-0.109*LN(J521)+1.25,0)),3),"N/A"),"N/A"))</f>
        <v/>
      </c>
      <c r="P521" s="1242" t="str">
        <f>IF(H521&gt;'I. Stream &amp; Compound Data'!$F$18,"",IF(AND(N521="N/A",O521="N/A"),IF(K521="","N/A",IF(K521="T+",0.875,IF(K521="T",0.625,IF(K521="Xn",0.375,"N/A")))),"N/A"))</f>
        <v/>
      </c>
      <c r="Q521" s="1242" t="str">
        <f>IF(H521&gt;'I. Stream &amp; Compound Data'!$F$18,"",IF(AND(N521="N/A",O521="N/A",P521="N/A"),IF(L521="","N/A",IF(L521=1,1,IF(L521=2,0.875,IF(L521=3,0.625,IF(L521=4,0.375,IF(L521=5,0.125,0)))))),"N/A"))</f>
        <v/>
      </c>
      <c r="R521" s="1242" t="str">
        <f>IF(H521&gt;'I. Stream &amp; Compound Data'!$F$18,"",IF(AND(N521="N/A",O521="N/A",P521="N/A",Q521="N/A"),IF(M521="","N/A",IF(OR(AND(M521&gt;=26,M521&lt;=29),M521=32),0.875,IF(OR(M521=23,M521=24,M521=25,M521=31),0.625,IF(OR(M521=20,M521=21,,M521=22),0.375,"N/A")))),"N/A"))</f>
        <v/>
      </c>
      <c r="S521" s="1242" t="str">
        <f>IF(H521&gt;'I. Stream &amp; Compound Data'!$F$18,"",IF(I169="","N/A",IF(N521&lt;&gt;"N/A",N521,IF(O521&lt;&gt;"N/A",O521,IF(P521&lt;&gt;"N/A",P521,IF(Q521&lt;&gt;"N/A",Q521,IF(R521&lt;&gt;"N/A",R521,"NO DATA AVAILABLE")))))))</f>
        <v/>
      </c>
      <c r="T521" s="1242" t="str">
        <f>IF(H521&gt;'I. Stream &amp; Compound Data'!$F$18,"",IF(S521="N/A",0,IF(S521&gt;0,ROUND(10^(4*S521+1),3),0)))</f>
        <v/>
      </c>
      <c r="U521" s="1242" t="str">
        <f>IF(H521&gt;'I. Stream &amp; Compound Data'!$F$18,"",IF(H521&gt;'I. Stream &amp; Compound Data'!$F$18,"",MAX(K169:L169)))</f>
        <v/>
      </c>
      <c r="V521" s="1268" t="str">
        <f>IF(H521&gt;'I. Stream &amp; Compound Data'!$F$18,"",ROUND(T521*U521,3))</f>
        <v/>
      </c>
      <c r="W521" s="279"/>
      <c r="X521" s="279"/>
      <c r="Y521" s="279"/>
      <c r="Z521" s="279"/>
      <c r="AA521" s="279"/>
      <c r="AB521" s="279"/>
      <c r="AC521" s="279"/>
      <c r="AD521" s="279"/>
      <c r="AE521" s="279"/>
      <c r="AF521" s="279"/>
      <c r="AG521" s="279"/>
      <c r="AH521" s="279"/>
      <c r="AI521" s="279"/>
      <c r="AJ521" s="279"/>
      <c r="AK521" s="279"/>
      <c r="AL521" s="279"/>
      <c r="AM521" s="279"/>
      <c r="AN521" s="279"/>
      <c r="AO521" s="279"/>
      <c r="AP521" s="279"/>
      <c r="AQ521" s="279"/>
      <c r="AR521" s="279"/>
      <c r="AS521" s="279"/>
      <c r="AT521" s="279"/>
      <c r="AU521" s="279"/>
      <c r="AV521" s="279"/>
      <c r="AW521" s="279"/>
      <c r="AX521" s="279"/>
      <c r="AY521" s="279"/>
      <c r="AZ521" s="279"/>
      <c r="BA521" s="279"/>
      <c r="BB521" s="279"/>
      <c r="BC521" s="279"/>
      <c r="BD521" s="279"/>
      <c r="BE521" s="279"/>
      <c r="BF521" s="279"/>
      <c r="BG521" s="279"/>
      <c r="BH521" s="279"/>
      <c r="BI521" s="279"/>
      <c r="BJ521" s="279"/>
      <c r="BK521" s="279"/>
      <c r="BL521" s="279"/>
      <c r="BM521" s="279"/>
      <c r="BN521" s="279"/>
      <c r="BO521" s="279"/>
      <c r="BP521" s="279"/>
      <c r="BQ521" s="279"/>
      <c r="BR521" s="279"/>
      <c r="BS521" s="279"/>
      <c r="BT521" s="279"/>
      <c r="BU521" s="279"/>
      <c r="BV521" s="279"/>
      <c r="BW521" s="279"/>
      <c r="BX521" s="279"/>
      <c r="BY521" s="279"/>
      <c r="BZ521" s="279"/>
      <c r="CA521" s="279"/>
      <c r="CB521" s="279"/>
      <c r="CC521" s="279"/>
      <c r="CD521" s="279"/>
      <c r="CE521" s="279"/>
      <c r="CF521" s="279"/>
      <c r="CG521" s="279"/>
      <c r="CH521" s="279"/>
      <c r="CI521" s="279"/>
      <c r="CJ521" s="279"/>
      <c r="CK521" s="279"/>
      <c r="CL521" s="279"/>
      <c r="CM521" s="279"/>
      <c r="CN521" s="382"/>
    </row>
    <row r="522" ht="15.75" customHeight="true" x14ac:dyDescent="0.25">
      <c r="B522" s="361"/>
      <c r="C522" s="279"/>
      <c r="D522" s="280"/>
      <c r="E522" s="287"/>
      <c r="F522" s="287"/>
      <c r="G522" s="287"/>
      <c r="H522" s="1292">
        <f t="shared" si="18"/>
        <v>29</v>
      </c>
      <c r="I522" s="1295" t="str">
        <f>IF('I. Stream &amp; Compound Data'!AA290&lt;&gt;"",'I. Stream &amp; Compound Data'!AA290,"")</f>
        <v/>
      </c>
      <c r="J522" s="1295" t="str">
        <f>IF('I. Stream &amp; Compound Data'!Z290&lt;&gt;"",'I. Stream &amp; Compound Data'!Z290,"")</f>
        <v/>
      </c>
      <c r="K522" s="1190" t="str">
        <f>IF('I. Stream &amp; Compound Data'!AP290&lt;&gt;"",'I. Stream &amp; Compound Data'!AP290,IF('I. Stream &amp; Compound Data'!AQ290&lt;&gt;"",'I. Stream &amp; Compound Data'!AQ290,""))</f>
        <v/>
      </c>
      <c r="L522" s="1190" t="str">
        <f>IF('I. Stream &amp; Compound Data'!AT290&lt;&gt;"",'I. Stream &amp; Compound Data'!AT290,IF('I. Stream &amp; Compound Data'!AU290&lt;&gt;"",'I. Stream &amp; Compound Data'!AU290,""))</f>
        <v/>
      </c>
      <c r="M522" s="1295" t="str">
        <f>IF('I. Stream &amp; Compound Data'!AR290&lt;&gt;"",'I. Stream &amp; Compound Data'!AR290,IF('I. Stream &amp; Compound Data'!AS290&lt;&gt;"",'I. Stream &amp; Compound Data'!AS290,""))</f>
        <v/>
      </c>
      <c r="N522" s="1306" t="str">
        <f>IF(H522&gt;'I. Stream &amp; Compound Data'!$F$18,"",IF(I522="","N/A",ROUND(IF(I522&lt;=10,1,IF(AND(I522&gt;10,I522&lt;100000),-0.109*LN(I522)+1.25,0)),3)))</f>
        <v/>
      </c>
      <c r="O522" s="1168" t="str">
        <f>IF(H522&gt;'I. Stream &amp; Compound Data'!$F$18,"",IF(N522="N/A",IF(J522&lt;&gt;"",ROUND(IF(J522&lt;=10,1,IF(AND(J522&gt;10,J522&lt;100000),-0.109*LN(J522)+1.25,0)),3),"N/A"),"N/A"))</f>
        <v/>
      </c>
      <c r="P522" s="1242" t="str">
        <f>IF(H522&gt;'I. Stream &amp; Compound Data'!$F$18,"",IF(AND(N522="N/A",O522="N/A"),IF(K522="","N/A",IF(K522="T+",0.875,IF(K522="T",0.625,IF(K522="Xn",0.375,"N/A")))),"N/A"))</f>
        <v/>
      </c>
      <c r="Q522" s="1242" t="str">
        <f>IF(H522&gt;'I. Stream &amp; Compound Data'!$F$18,"",IF(AND(N522="N/A",O522="N/A",P522="N/A"),IF(L522="","N/A",IF(L522=1,1,IF(L522=2,0.875,IF(L522=3,0.625,IF(L522=4,0.375,IF(L522=5,0.125,0)))))),"N/A"))</f>
        <v/>
      </c>
      <c r="R522" s="1242" t="str">
        <f>IF(H522&gt;'I. Stream &amp; Compound Data'!$F$18,"",IF(AND(N522="N/A",O522="N/A",P522="N/A",Q522="N/A"),IF(M522="","N/A",IF(OR(AND(M522&gt;=26,M522&lt;=29),M522=32),0.875,IF(OR(M522=23,M522=24,M522=25,M522=31),0.625,IF(OR(M522=20,M522=21,,M522=22),0.375,"N/A")))),"N/A"))</f>
        <v/>
      </c>
      <c r="S522" s="1242" t="str">
        <f>IF(H522&gt;'I. Stream &amp; Compound Data'!$F$18,"",IF(I170="","N/A",IF(N522&lt;&gt;"N/A",N522,IF(O522&lt;&gt;"N/A",O522,IF(P522&lt;&gt;"N/A",P522,IF(Q522&lt;&gt;"N/A",Q522,IF(R522&lt;&gt;"N/A",R522,"NO DATA AVAILABLE")))))))</f>
        <v/>
      </c>
      <c r="T522" s="1242" t="str">
        <f>IF(H522&gt;'I. Stream &amp; Compound Data'!$F$18,"",IF(S522="N/A",0,IF(S522&gt;0,ROUND(10^(4*S522+1),3),0)))</f>
        <v/>
      </c>
      <c r="U522" s="1242" t="str">
        <f>IF(H522&gt;'I. Stream &amp; Compound Data'!$F$18,"",IF(H522&gt;'I. Stream &amp; Compound Data'!$F$18,"",MAX(K170:L170)))</f>
        <v/>
      </c>
      <c r="V522" s="1268" t="str">
        <f>IF(H522&gt;'I. Stream &amp; Compound Data'!$F$18,"",ROUND(T522*U522,3))</f>
        <v/>
      </c>
      <c r="W522" s="279"/>
      <c r="X522" s="279"/>
      <c r="Y522" s="279"/>
      <c r="Z522" s="279"/>
      <c r="AA522" s="279"/>
      <c r="AB522" s="279"/>
      <c r="AC522" s="279"/>
      <c r="AD522" s="279"/>
      <c r="AE522" s="279"/>
      <c r="AF522" s="279"/>
      <c r="AG522" s="279"/>
      <c r="AH522" s="279"/>
      <c r="AI522" s="279"/>
      <c r="AJ522" s="279"/>
      <c r="AK522" s="279"/>
      <c r="AL522" s="279"/>
      <c r="AM522" s="279"/>
      <c r="AN522" s="279"/>
      <c r="AO522" s="279"/>
      <c r="AP522" s="279"/>
      <c r="AQ522" s="279"/>
      <c r="AR522" s="279"/>
      <c r="AS522" s="279"/>
      <c r="AT522" s="279"/>
      <c r="AU522" s="279"/>
      <c r="AV522" s="279"/>
      <c r="AW522" s="279"/>
      <c r="AX522" s="279"/>
      <c r="AY522" s="279"/>
      <c r="AZ522" s="279"/>
      <c r="BA522" s="279"/>
      <c r="BB522" s="279"/>
      <c r="BC522" s="279"/>
      <c r="BD522" s="279"/>
      <c r="BE522" s="279"/>
      <c r="BF522" s="279"/>
      <c r="BG522" s="279"/>
      <c r="BH522" s="279"/>
      <c r="BI522" s="279"/>
      <c r="BJ522" s="279"/>
      <c r="BK522" s="279"/>
      <c r="BL522" s="279"/>
      <c r="BM522" s="279"/>
      <c r="BN522" s="279"/>
      <c r="BO522" s="279"/>
      <c r="BP522" s="279"/>
      <c r="BQ522" s="279"/>
      <c r="BR522" s="279"/>
      <c r="BS522" s="279"/>
      <c r="BT522" s="279"/>
      <c r="BU522" s="279"/>
      <c r="BV522" s="279"/>
      <c r="BW522" s="279"/>
      <c r="BX522" s="279"/>
      <c r="BY522" s="279"/>
      <c r="BZ522" s="279"/>
      <c r="CA522" s="279"/>
      <c r="CB522" s="279"/>
      <c r="CC522" s="279"/>
      <c r="CD522" s="279"/>
      <c r="CE522" s="279"/>
      <c r="CF522" s="279"/>
      <c r="CG522" s="279"/>
      <c r="CH522" s="279"/>
      <c r="CI522" s="279"/>
      <c r="CJ522" s="279"/>
      <c r="CK522" s="279"/>
      <c r="CL522" s="279"/>
      <c r="CM522" s="279"/>
      <c r="CN522" s="382"/>
    </row>
    <row r="523" ht="15.75" customHeight="true" x14ac:dyDescent="0.25">
      <c r="B523" s="361"/>
      <c r="C523" s="279"/>
      <c r="D523" s="280"/>
      <c r="E523" s="287"/>
      <c r="F523" s="287"/>
      <c r="G523" s="287"/>
      <c r="H523" s="1292">
        <f t="shared" si="18"/>
        <v>30</v>
      </c>
      <c r="I523" s="1295" t="str">
        <f>IF('I. Stream &amp; Compound Data'!AA291&lt;&gt;"",'I. Stream &amp; Compound Data'!AA291,"")</f>
        <v/>
      </c>
      <c r="J523" s="1295" t="str">
        <f>IF('I. Stream &amp; Compound Data'!Z291&lt;&gt;"",'I. Stream &amp; Compound Data'!Z291,"")</f>
        <v/>
      </c>
      <c r="K523" s="1190" t="str">
        <f>IF('I. Stream &amp; Compound Data'!AP291&lt;&gt;"",'I. Stream &amp; Compound Data'!AP291,IF('I. Stream &amp; Compound Data'!AQ291&lt;&gt;"",'I. Stream &amp; Compound Data'!AQ291,""))</f>
        <v/>
      </c>
      <c r="L523" s="1190" t="str">
        <f>IF('I. Stream &amp; Compound Data'!AT291&lt;&gt;"",'I. Stream &amp; Compound Data'!AT291,IF('I. Stream &amp; Compound Data'!AU291&lt;&gt;"",'I. Stream &amp; Compound Data'!AU291,""))</f>
        <v/>
      </c>
      <c r="M523" s="1295" t="str">
        <f>IF('I. Stream &amp; Compound Data'!AR291&lt;&gt;"",'I. Stream &amp; Compound Data'!AR291,IF('I. Stream &amp; Compound Data'!AS291&lt;&gt;"",'I. Stream &amp; Compound Data'!AS291,""))</f>
        <v/>
      </c>
      <c r="N523" s="1306" t="str">
        <f>IF(H523&gt;'I. Stream &amp; Compound Data'!$F$18,"",IF(I523="","N/A",ROUND(IF(I523&lt;=10,1,IF(AND(I523&gt;10,I523&lt;100000),-0.109*LN(I523)+1.25,0)),3)))</f>
        <v/>
      </c>
      <c r="O523" s="1168" t="str">
        <f>IF(H523&gt;'I. Stream &amp; Compound Data'!$F$18,"",IF(N523="N/A",IF(J523&lt;&gt;"",ROUND(IF(J523&lt;=10,1,IF(AND(J523&gt;10,J523&lt;100000),-0.109*LN(J523)+1.25,0)),3),"N/A"),"N/A"))</f>
        <v/>
      </c>
      <c r="P523" s="1242" t="str">
        <f>IF(H523&gt;'I. Stream &amp; Compound Data'!$F$18,"",IF(AND(N523="N/A",O523="N/A"),IF(K523="","N/A",IF(K523="T+",0.875,IF(K523="T",0.625,IF(K523="Xn",0.375,"N/A")))),"N/A"))</f>
        <v/>
      </c>
      <c r="Q523" s="1242" t="str">
        <f>IF(H523&gt;'I. Stream &amp; Compound Data'!$F$18,"",IF(AND(N523="N/A",O523="N/A",P523="N/A"),IF(L523="","N/A",IF(L523=1,1,IF(L523=2,0.875,IF(L523=3,0.625,IF(L523=4,0.375,IF(L523=5,0.125,0)))))),"N/A"))</f>
        <v/>
      </c>
      <c r="R523" s="1242" t="str">
        <f>IF(H523&gt;'I. Stream &amp; Compound Data'!$F$18,"",IF(AND(N523="N/A",O523="N/A",P523="N/A",Q523="N/A"),IF(M523="","N/A",IF(OR(AND(M523&gt;=26,M523&lt;=29),M523=32),0.875,IF(OR(M523=23,M523=24,M523=25,M523=31),0.625,IF(OR(M523=20,M523=21,,M523=22),0.375,"N/A")))),"N/A"))</f>
        <v/>
      </c>
      <c r="S523" s="1242" t="str">
        <f>IF(H523&gt;'I. Stream &amp; Compound Data'!$F$18,"",IF(I171="","N/A",IF(N523&lt;&gt;"N/A",N523,IF(O523&lt;&gt;"N/A",O523,IF(P523&lt;&gt;"N/A",P523,IF(Q523&lt;&gt;"N/A",Q523,IF(R523&lt;&gt;"N/A",R523,"NO DATA AVAILABLE")))))))</f>
        <v/>
      </c>
      <c r="T523" s="1242" t="str">
        <f>IF(H523&gt;'I. Stream &amp; Compound Data'!$F$18,"",IF(S523="N/A",0,IF(S523&gt;0,ROUND(10^(4*S523+1),3),0)))</f>
        <v/>
      </c>
      <c r="U523" s="1242" t="str">
        <f>IF(H523&gt;'I. Stream &amp; Compound Data'!$F$18,"",IF(H523&gt;'I. Stream &amp; Compound Data'!$F$18,"",MAX(K171:L171)))</f>
        <v/>
      </c>
      <c r="V523" s="1268" t="str">
        <f>IF(H523&gt;'I. Stream &amp; Compound Data'!$F$18,"",ROUND(T523*U523,3))</f>
        <v/>
      </c>
      <c r="W523" s="279"/>
      <c r="X523" s="279"/>
      <c r="Y523" s="279"/>
      <c r="Z523" s="279"/>
      <c r="AA523" s="279"/>
      <c r="AB523" s="279"/>
      <c r="AC523" s="279"/>
      <c r="AD523" s="279"/>
      <c r="AE523" s="279"/>
      <c r="AF523" s="279"/>
      <c r="AG523" s="279"/>
      <c r="AH523" s="279"/>
      <c r="AI523" s="279"/>
      <c r="AJ523" s="279"/>
      <c r="AK523" s="279"/>
      <c r="AL523" s="279"/>
      <c r="AM523" s="279"/>
      <c r="AN523" s="279"/>
      <c r="AO523" s="279"/>
      <c r="AP523" s="279"/>
      <c r="AQ523" s="279"/>
      <c r="AR523" s="279"/>
      <c r="AS523" s="279"/>
      <c r="AT523" s="279"/>
      <c r="AU523" s="279"/>
      <c r="AV523" s="279"/>
      <c r="AW523" s="279"/>
      <c r="AX523" s="279"/>
      <c r="AY523" s="279"/>
      <c r="AZ523" s="279"/>
      <c r="BA523" s="279"/>
      <c r="BB523" s="279"/>
      <c r="BC523" s="279"/>
      <c r="BD523" s="279"/>
      <c r="BE523" s="279"/>
      <c r="BF523" s="279"/>
      <c r="BG523" s="279"/>
      <c r="BH523" s="279"/>
      <c r="BI523" s="279"/>
      <c r="BJ523" s="279"/>
      <c r="BK523" s="279"/>
      <c r="BL523" s="279"/>
      <c r="BM523" s="279"/>
      <c r="BN523" s="279"/>
      <c r="BO523" s="279"/>
      <c r="BP523" s="279"/>
      <c r="BQ523" s="279"/>
      <c r="BR523" s="279"/>
      <c r="BS523" s="279"/>
      <c r="BT523" s="279"/>
      <c r="BU523" s="279"/>
      <c r="BV523" s="279"/>
      <c r="BW523" s="279"/>
      <c r="BX523" s="279"/>
      <c r="BY523" s="279"/>
      <c r="BZ523" s="279"/>
      <c r="CA523" s="279"/>
      <c r="CB523" s="279"/>
      <c r="CC523" s="279"/>
      <c r="CD523" s="279"/>
      <c r="CE523" s="279"/>
      <c r="CF523" s="279"/>
      <c r="CG523" s="279"/>
      <c r="CH523" s="279"/>
      <c r="CI523" s="279"/>
      <c r="CJ523" s="279"/>
      <c r="CK523" s="279"/>
      <c r="CL523" s="279"/>
      <c r="CM523" s="279"/>
      <c r="CN523" s="382"/>
    </row>
    <row r="524" ht="15.75" customHeight="true" x14ac:dyDescent="0.25">
      <c r="B524" s="361"/>
      <c r="C524" s="279"/>
      <c r="D524" s="280"/>
      <c r="E524" s="287"/>
      <c r="F524" s="287"/>
      <c r="G524" s="287"/>
      <c r="H524" s="1292">
        <f t="shared" si="18"/>
        <v>31</v>
      </c>
      <c r="I524" s="1295" t="str">
        <f>IF('I. Stream &amp; Compound Data'!AA292&lt;&gt;"",'I. Stream &amp; Compound Data'!AA292,"")</f>
        <v/>
      </c>
      <c r="J524" s="1295" t="str">
        <f>IF('I. Stream &amp; Compound Data'!Z292&lt;&gt;"",'I. Stream &amp; Compound Data'!Z292,"")</f>
        <v/>
      </c>
      <c r="K524" s="1190" t="str">
        <f>IF('I. Stream &amp; Compound Data'!AP292&lt;&gt;"",'I. Stream &amp; Compound Data'!AP292,IF('I. Stream &amp; Compound Data'!AQ292&lt;&gt;"",'I. Stream &amp; Compound Data'!AQ292,""))</f>
        <v/>
      </c>
      <c r="L524" s="1190" t="str">
        <f>IF('I. Stream &amp; Compound Data'!AT292&lt;&gt;"",'I. Stream &amp; Compound Data'!AT292,IF('I. Stream &amp; Compound Data'!AU292&lt;&gt;"",'I. Stream &amp; Compound Data'!AU292,""))</f>
        <v/>
      </c>
      <c r="M524" s="1295" t="str">
        <f>IF('I. Stream &amp; Compound Data'!AR292&lt;&gt;"",'I. Stream &amp; Compound Data'!AR292,IF('I. Stream &amp; Compound Data'!AS292&lt;&gt;"",'I. Stream &amp; Compound Data'!AS292,""))</f>
        <v/>
      </c>
      <c r="N524" s="1306" t="str">
        <f>IF(H524&gt;'I. Stream &amp; Compound Data'!$F$18,"",IF(I524="","N/A",ROUND(IF(I524&lt;=10,1,IF(AND(I524&gt;10,I524&lt;100000),-0.109*LN(I524)+1.25,0)),3)))</f>
        <v/>
      </c>
      <c r="O524" s="1168" t="str">
        <f>IF(H524&gt;'I. Stream &amp; Compound Data'!$F$18,"",IF(N524="N/A",IF(J524&lt;&gt;"",ROUND(IF(J524&lt;=10,1,IF(AND(J524&gt;10,J524&lt;100000),-0.109*LN(J524)+1.25,0)),3),"N/A"),"N/A"))</f>
        <v/>
      </c>
      <c r="P524" s="1242" t="str">
        <f>IF(H524&gt;'I. Stream &amp; Compound Data'!$F$18,"",IF(AND(N524="N/A",O524="N/A"),IF(K524="","N/A",IF(K524="T+",0.875,IF(K524="T",0.625,IF(K524="Xn",0.375,"N/A")))),"N/A"))</f>
        <v/>
      </c>
      <c r="Q524" s="1242" t="str">
        <f>IF(H524&gt;'I. Stream &amp; Compound Data'!$F$18,"",IF(AND(N524="N/A",O524="N/A",P524="N/A"),IF(L524="","N/A",IF(L524=1,1,IF(L524=2,0.875,IF(L524=3,0.625,IF(L524=4,0.375,IF(L524=5,0.125,0)))))),"N/A"))</f>
        <v/>
      </c>
      <c r="R524" s="1242" t="str">
        <f>IF(H524&gt;'I. Stream &amp; Compound Data'!$F$18,"",IF(AND(N524="N/A",O524="N/A",P524="N/A",Q524="N/A"),IF(M524="","N/A",IF(OR(AND(M524&gt;=26,M524&lt;=29),M524=32),0.875,IF(OR(M524=23,M524=24,M524=25,M524=31),0.625,IF(OR(M524=20,M524=21,,M524=22),0.375,"N/A")))),"N/A"))</f>
        <v/>
      </c>
      <c r="S524" s="1242" t="str">
        <f>IF(H524&gt;'I. Stream &amp; Compound Data'!$F$18,"",IF(I172="","N/A",IF(N524&lt;&gt;"N/A",N524,IF(O524&lt;&gt;"N/A",O524,IF(P524&lt;&gt;"N/A",P524,IF(Q524&lt;&gt;"N/A",Q524,IF(R524&lt;&gt;"N/A",R524,"NO DATA AVAILABLE")))))))</f>
        <v/>
      </c>
      <c r="T524" s="1242" t="str">
        <f>IF(H524&gt;'I. Stream &amp; Compound Data'!$F$18,"",IF(S524="N/A",0,IF(S524&gt;0,ROUND(10^(4*S524+1),3),0)))</f>
        <v/>
      </c>
      <c r="U524" s="1242" t="str">
        <f>IF(H524&gt;'I. Stream &amp; Compound Data'!$F$18,"",IF(H524&gt;'I. Stream &amp; Compound Data'!$F$18,"",MAX(K172:L172)))</f>
        <v/>
      </c>
      <c r="V524" s="1268" t="str">
        <f>IF(H524&gt;'I. Stream &amp; Compound Data'!$F$18,"",ROUND(T524*U524,3))</f>
        <v/>
      </c>
      <c r="W524" s="279"/>
      <c r="X524" s="279"/>
      <c r="Y524" s="279"/>
      <c r="Z524" s="279"/>
      <c r="AA524" s="279"/>
      <c r="AB524" s="279"/>
      <c r="AC524" s="279"/>
      <c r="AD524" s="279"/>
      <c r="AE524" s="279"/>
      <c r="AF524" s="279"/>
      <c r="AG524" s="279"/>
      <c r="AH524" s="279"/>
      <c r="AI524" s="279"/>
      <c r="AJ524" s="279"/>
      <c r="AK524" s="279"/>
      <c r="AL524" s="279"/>
      <c r="AM524" s="279"/>
      <c r="AN524" s="279"/>
      <c r="AO524" s="279"/>
      <c r="AP524" s="279"/>
      <c r="AQ524" s="279"/>
      <c r="AR524" s="279"/>
      <c r="AS524" s="279"/>
      <c r="AT524" s="279"/>
      <c r="AU524" s="279"/>
      <c r="AV524" s="279"/>
      <c r="AW524" s="279"/>
      <c r="AX524" s="279"/>
      <c r="AY524" s="279"/>
      <c r="AZ524" s="279"/>
      <c r="BA524" s="279"/>
      <c r="BB524" s="279"/>
      <c r="BC524" s="279"/>
      <c r="BD524" s="279"/>
      <c r="BE524" s="279"/>
      <c r="BF524" s="279"/>
      <c r="BG524" s="279"/>
      <c r="BH524" s="279"/>
      <c r="BI524" s="279"/>
      <c r="BJ524" s="279"/>
      <c r="BK524" s="279"/>
      <c r="BL524" s="279"/>
      <c r="BM524" s="279"/>
      <c r="BN524" s="279"/>
      <c r="BO524" s="279"/>
      <c r="BP524" s="279"/>
      <c r="BQ524" s="279"/>
      <c r="BR524" s="279"/>
      <c r="BS524" s="279"/>
      <c r="BT524" s="279"/>
      <c r="BU524" s="279"/>
      <c r="BV524" s="279"/>
      <c r="BW524" s="279"/>
      <c r="BX524" s="279"/>
      <c r="BY524" s="279"/>
      <c r="BZ524" s="279"/>
      <c r="CA524" s="279"/>
      <c r="CB524" s="279"/>
      <c r="CC524" s="279"/>
      <c r="CD524" s="279"/>
      <c r="CE524" s="279"/>
      <c r="CF524" s="279"/>
      <c r="CG524" s="279"/>
      <c r="CH524" s="279"/>
      <c r="CI524" s="279"/>
      <c r="CJ524" s="279"/>
      <c r="CK524" s="279"/>
      <c r="CL524" s="279"/>
      <c r="CM524" s="279"/>
      <c r="CN524" s="382"/>
    </row>
    <row r="525" ht="15.75" customHeight="true" x14ac:dyDescent="0.25">
      <c r="B525" s="361"/>
      <c r="C525" s="279"/>
      <c r="D525" s="280"/>
      <c r="E525" s="287"/>
      <c r="F525" s="287"/>
      <c r="G525" s="287"/>
      <c r="H525" s="1292">
        <f t="shared" si="18"/>
        <v>32</v>
      </c>
      <c r="I525" s="1295" t="str">
        <f>IF('I. Stream &amp; Compound Data'!AA293&lt;&gt;"",'I. Stream &amp; Compound Data'!AA293,"")</f>
        <v/>
      </c>
      <c r="J525" s="1295" t="str">
        <f>IF('I. Stream &amp; Compound Data'!Z293&lt;&gt;"",'I. Stream &amp; Compound Data'!Z293,"")</f>
        <v/>
      </c>
      <c r="K525" s="1190" t="str">
        <f>IF('I. Stream &amp; Compound Data'!AP293&lt;&gt;"",'I. Stream &amp; Compound Data'!AP293,IF('I. Stream &amp; Compound Data'!AQ293&lt;&gt;"",'I. Stream &amp; Compound Data'!AQ293,""))</f>
        <v/>
      </c>
      <c r="L525" s="1190" t="str">
        <f>IF('I. Stream &amp; Compound Data'!AT293&lt;&gt;"",'I. Stream &amp; Compound Data'!AT293,IF('I. Stream &amp; Compound Data'!AU293&lt;&gt;"",'I. Stream &amp; Compound Data'!AU293,""))</f>
        <v/>
      </c>
      <c r="M525" s="1295" t="str">
        <f>IF('I. Stream &amp; Compound Data'!AR293&lt;&gt;"",'I. Stream &amp; Compound Data'!AR293,IF('I. Stream &amp; Compound Data'!AS293&lt;&gt;"",'I. Stream &amp; Compound Data'!AS293,""))</f>
        <v/>
      </c>
      <c r="N525" s="1306" t="str">
        <f>IF(H525&gt;'I. Stream &amp; Compound Data'!$F$18,"",IF(I525="","N/A",ROUND(IF(I525&lt;=10,1,IF(AND(I525&gt;10,I525&lt;100000),-0.109*LN(I525)+1.25,0)),3)))</f>
        <v/>
      </c>
      <c r="O525" s="1168" t="str">
        <f>IF(H525&gt;'I. Stream &amp; Compound Data'!$F$18,"",IF(N525="N/A",IF(J525&lt;&gt;"",ROUND(IF(J525&lt;=10,1,IF(AND(J525&gt;10,J525&lt;100000),-0.109*LN(J525)+1.25,0)),3),"N/A"),"N/A"))</f>
        <v/>
      </c>
      <c r="P525" s="1242" t="str">
        <f>IF(H525&gt;'I. Stream &amp; Compound Data'!$F$18,"",IF(AND(N525="N/A",O525="N/A"),IF(K525="","N/A",IF(K525="T+",0.875,IF(K525="T",0.625,IF(K525="Xn",0.375,"N/A")))),"N/A"))</f>
        <v/>
      </c>
      <c r="Q525" s="1242" t="str">
        <f>IF(H525&gt;'I. Stream &amp; Compound Data'!$F$18,"",IF(AND(N525="N/A",O525="N/A",P525="N/A"),IF(L525="","N/A",IF(L525=1,1,IF(L525=2,0.875,IF(L525=3,0.625,IF(L525=4,0.375,IF(L525=5,0.125,0)))))),"N/A"))</f>
        <v/>
      </c>
      <c r="R525" s="1242" t="str">
        <f>IF(H525&gt;'I. Stream &amp; Compound Data'!$F$18,"",IF(AND(N525="N/A",O525="N/A",P525="N/A",Q525="N/A"),IF(M525="","N/A",IF(OR(AND(M525&gt;=26,M525&lt;=29),M525=32),0.875,IF(OR(M525=23,M525=24,M525=25,M525=31),0.625,IF(OR(M525=20,M525=21,,M525=22),0.375,"N/A")))),"N/A"))</f>
        <v/>
      </c>
      <c r="S525" s="1242" t="str">
        <f>IF(H525&gt;'I. Stream &amp; Compound Data'!$F$18,"",IF(I173="","N/A",IF(N525&lt;&gt;"N/A",N525,IF(O525&lt;&gt;"N/A",O525,IF(P525&lt;&gt;"N/A",P525,IF(Q525&lt;&gt;"N/A",Q525,IF(R525&lt;&gt;"N/A",R525,"NO DATA AVAILABLE")))))))</f>
        <v/>
      </c>
      <c r="T525" s="1242" t="str">
        <f>IF(H525&gt;'I. Stream &amp; Compound Data'!$F$18,"",IF(S525="N/A",0,IF(S525&gt;0,ROUND(10^(4*S525+1),3),0)))</f>
        <v/>
      </c>
      <c r="U525" s="1242" t="str">
        <f>IF(H525&gt;'I. Stream &amp; Compound Data'!$F$18,"",IF(H525&gt;'I. Stream &amp; Compound Data'!$F$18,"",MAX(K173:L173)))</f>
        <v/>
      </c>
      <c r="V525" s="1268" t="str">
        <f>IF(H525&gt;'I. Stream &amp; Compound Data'!$F$18,"",ROUND(T525*U525,3))</f>
        <v/>
      </c>
      <c r="W525" s="279"/>
      <c r="X525" s="279"/>
      <c r="Y525" s="279"/>
      <c r="Z525" s="279"/>
      <c r="AA525" s="279"/>
      <c r="AB525" s="279"/>
      <c r="AC525" s="279"/>
      <c r="AD525" s="279"/>
      <c r="AE525" s="279"/>
      <c r="AF525" s="279"/>
      <c r="AG525" s="279"/>
      <c r="AH525" s="279"/>
      <c r="AI525" s="279"/>
      <c r="AJ525" s="279"/>
      <c r="AK525" s="279"/>
      <c r="AL525" s="279"/>
      <c r="AM525" s="279"/>
      <c r="AN525" s="279"/>
      <c r="AO525" s="279"/>
      <c r="AP525" s="279"/>
      <c r="AQ525" s="279"/>
      <c r="AR525" s="279"/>
      <c r="AS525" s="279"/>
      <c r="AT525" s="279"/>
      <c r="AU525" s="279"/>
      <c r="AV525" s="279"/>
      <c r="AW525" s="279"/>
      <c r="AX525" s="279"/>
      <c r="AY525" s="279"/>
      <c r="AZ525" s="279"/>
      <c r="BA525" s="279"/>
      <c r="BB525" s="279"/>
      <c r="BC525" s="279"/>
      <c r="BD525" s="279"/>
      <c r="BE525" s="279"/>
      <c r="BF525" s="279"/>
      <c r="BG525" s="279"/>
      <c r="BH525" s="279"/>
      <c r="BI525" s="279"/>
      <c r="BJ525" s="279"/>
      <c r="BK525" s="279"/>
      <c r="BL525" s="279"/>
      <c r="BM525" s="279"/>
      <c r="BN525" s="279"/>
      <c r="BO525" s="279"/>
      <c r="BP525" s="279"/>
      <c r="BQ525" s="279"/>
      <c r="BR525" s="279"/>
      <c r="BS525" s="279"/>
      <c r="BT525" s="279"/>
      <c r="BU525" s="279"/>
      <c r="BV525" s="279"/>
      <c r="BW525" s="279"/>
      <c r="BX525" s="279"/>
      <c r="BY525" s="279"/>
      <c r="BZ525" s="279"/>
      <c r="CA525" s="279"/>
      <c r="CB525" s="279"/>
      <c r="CC525" s="279"/>
      <c r="CD525" s="279"/>
      <c r="CE525" s="279"/>
      <c r="CF525" s="279"/>
      <c r="CG525" s="279"/>
      <c r="CH525" s="279"/>
      <c r="CI525" s="279"/>
      <c r="CJ525" s="279"/>
      <c r="CK525" s="279"/>
      <c r="CL525" s="279"/>
      <c r="CM525" s="279"/>
      <c r="CN525" s="382"/>
    </row>
    <row r="526" ht="15.75" customHeight="true" x14ac:dyDescent="0.25">
      <c r="B526" s="361"/>
      <c r="C526" s="279"/>
      <c r="D526" s="280"/>
      <c r="E526" s="287"/>
      <c r="F526" s="287"/>
      <c r="G526" s="287"/>
      <c r="H526" s="1292">
        <f t="shared" si="18"/>
        <v>33</v>
      </c>
      <c r="I526" s="1295" t="str">
        <f>IF('I. Stream &amp; Compound Data'!AA294&lt;&gt;"",'I. Stream &amp; Compound Data'!AA294,"")</f>
        <v/>
      </c>
      <c r="J526" s="1295" t="str">
        <f>IF('I. Stream &amp; Compound Data'!Z294&lt;&gt;"",'I. Stream &amp; Compound Data'!Z294,"")</f>
        <v/>
      </c>
      <c r="K526" s="1190" t="str">
        <f>IF('I. Stream &amp; Compound Data'!AP294&lt;&gt;"",'I. Stream &amp; Compound Data'!AP294,IF('I. Stream &amp; Compound Data'!AQ294&lt;&gt;"",'I. Stream &amp; Compound Data'!AQ294,""))</f>
        <v/>
      </c>
      <c r="L526" s="1190" t="str">
        <f>IF('I. Stream &amp; Compound Data'!AT294&lt;&gt;"",'I. Stream &amp; Compound Data'!AT294,IF('I. Stream &amp; Compound Data'!AU294&lt;&gt;"",'I. Stream &amp; Compound Data'!AU294,""))</f>
        <v/>
      </c>
      <c r="M526" s="1295" t="str">
        <f>IF('I. Stream &amp; Compound Data'!AR294&lt;&gt;"",'I. Stream &amp; Compound Data'!AR294,IF('I. Stream &amp; Compound Data'!AS294&lt;&gt;"",'I. Stream &amp; Compound Data'!AS294,""))</f>
        <v/>
      </c>
      <c r="N526" s="1306" t="str">
        <f>IF(H526&gt;'I. Stream &amp; Compound Data'!$F$18,"",IF(I526="","N/A",ROUND(IF(I526&lt;=10,1,IF(AND(I526&gt;10,I526&lt;100000),-0.109*LN(I526)+1.25,0)),3)))</f>
        <v/>
      </c>
      <c r="O526" s="1168" t="str">
        <f>IF(H526&gt;'I. Stream &amp; Compound Data'!$F$18,"",IF(N526="N/A",IF(J526&lt;&gt;"",ROUND(IF(J526&lt;=10,1,IF(AND(J526&gt;10,J526&lt;100000),-0.109*LN(J526)+1.25,0)),3),"N/A"),"N/A"))</f>
        <v/>
      </c>
      <c r="P526" s="1242" t="str">
        <f>IF(H526&gt;'I. Stream &amp; Compound Data'!$F$18,"",IF(AND(N526="N/A",O526="N/A"),IF(K526="","N/A",IF(K526="T+",0.875,IF(K526="T",0.625,IF(K526="Xn",0.375,"N/A")))),"N/A"))</f>
        <v/>
      </c>
      <c r="Q526" s="1242" t="str">
        <f>IF(H526&gt;'I. Stream &amp; Compound Data'!$F$18,"",IF(AND(N526="N/A",O526="N/A",P526="N/A"),IF(L526="","N/A",IF(L526=1,1,IF(L526=2,0.875,IF(L526=3,0.625,IF(L526=4,0.375,IF(L526=5,0.125,0)))))),"N/A"))</f>
        <v/>
      </c>
      <c r="R526" s="1242" t="str">
        <f>IF(H526&gt;'I. Stream &amp; Compound Data'!$F$18,"",IF(AND(N526="N/A",O526="N/A",P526="N/A",Q526="N/A"),IF(M526="","N/A",IF(OR(AND(M526&gt;=26,M526&lt;=29),M526=32),0.875,IF(OR(M526=23,M526=24,M526=25,M526=31),0.625,IF(OR(M526=20,M526=21,,M526=22),0.375,"N/A")))),"N/A"))</f>
        <v/>
      </c>
      <c r="S526" s="1242" t="str">
        <f>IF(H526&gt;'I. Stream &amp; Compound Data'!$F$18,"",IF(I174="","N/A",IF(N526&lt;&gt;"N/A",N526,IF(O526&lt;&gt;"N/A",O526,IF(P526&lt;&gt;"N/A",P526,IF(Q526&lt;&gt;"N/A",Q526,IF(R526&lt;&gt;"N/A",R526,"NO DATA AVAILABLE")))))))</f>
        <v/>
      </c>
      <c r="T526" s="1242" t="str">
        <f>IF(H526&gt;'I. Stream &amp; Compound Data'!$F$18,"",IF(S526="N/A",0,IF(S526&gt;0,ROUND(10^(4*S526+1),3),0)))</f>
        <v/>
      </c>
      <c r="U526" s="1242" t="str">
        <f>IF(H526&gt;'I. Stream &amp; Compound Data'!$F$18,"",IF(H526&gt;'I. Stream &amp; Compound Data'!$F$18,"",MAX(K174:L174)))</f>
        <v/>
      </c>
      <c r="V526" s="1268" t="str">
        <f>IF(H526&gt;'I. Stream &amp; Compound Data'!$F$18,"",ROUND(T526*U526,3))</f>
        <v/>
      </c>
      <c r="W526" s="279"/>
      <c r="X526" s="279"/>
      <c r="Y526" s="279"/>
      <c r="Z526" s="279"/>
      <c r="AA526" s="279"/>
      <c r="AB526" s="279"/>
      <c r="AC526" s="279"/>
      <c r="AD526" s="279"/>
      <c r="AE526" s="279"/>
      <c r="AF526" s="279"/>
      <c r="AG526" s="279"/>
      <c r="AH526" s="279"/>
      <c r="AI526" s="279"/>
      <c r="AJ526" s="279"/>
      <c r="AK526" s="279"/>
      <c r="AL526" s="279"/>
      <c r="AM526" s="279"/>
      <c r="AN526" s="279"/>
      <c r="AO526" s="279"/>
      <c r="AP526" s="279"/>
      <c r="AQ526" s="279"/>
      <c r="AR526" s="279"/>
      <c r="AS526" s="279"/>
      <c r="AT526" s="279"/>
      <c r="AU526" s="279"/>
      <c r="AV526" s="279"/>
      <c r="AW526" s="279"/>
      <c r="AX526" s="279"/>
      <c r="AY526" s="279"/>
      <c r="AZ526" s="279"/>
      <c r="BA526" s="279"/>
      <c r="BB526" s="279"/>
      <c r="BC526" s="279"/>
      <c r="BD526" s="279"/>
      <c r="BE526" s="279"/>
      <c r="BF526" s="279"/>
      <c r="BG526" s="279"/>
      <c r="BH526" s="279"/>
      <c r="BI526" s="279"/>
      <c r="BJ526" s="279"/>
      <c r="BK526" s="279"/>
      <c r="BL526" s="279"/>
      <c r="BM526" s="279"/>
      <c r="BN526" s="279"/>
      <c r="BO526" s="279"/>
      <c r="BP526" s="279"/>
      <c r="BQ526" s="279"/>
      <c r="BR526" s="279"/>
      <c r="BS526" s="279"/>
      <c r="BT526" s="279"/>
      <c r="BU526" s="279"/>
      <c r="BV526" s="279"/>
      <c r="BW526" s="279"/>
      <c r="BX526" s="279"/>
      <c r="BY526" s="279"/>
      <c r="BZ526" s="279"/>
      <c r="CA526" s="279"/>
      <c r="CB526" s="279"/>
      <c r="CC526" s="279"/>
      <c r="CD526" s="279"/>
      <c r="CE526" s="279"/>
      <c r="CF526" s="279"/>
      <c r="CG526" s="279"/>
      <c r="CH526" s="279"/>
      <c r="CI526" s="279"/>
      <c r="CJ526" s="279"/>
      <c r="CK526" s="279"/>
      <c r="CL526" s="279"/>
      <c r="CM526" s="279"/>
      <c r="CN526" s="382"/>
    </row>
    <row r="527" ht="15.75" customHeight="true" x14ac:dyDescent="0.25">
      <c r="B527" s="361"/>
      <c r="C527" s="279"/>
      <c r="D527" s="280"/>
      <c r="E527" s="287"/>
      <c r="F527" s="287"/>
      <c r="G527" s="287"/>
      <c r="H527" s="1292">
        <f t="shared" si="18"/>
        <v>34</v>
      </c>
      <c r="I527" s="1295" t="str">
        <f>IF('I. Stream &amp; Compound Data'!AA295&lt;&gt;"",'I. Stream &amp; Compound Data'!AA295,"")</f>
        <v/>
      </c>
      <c r="J527" s="1295" t="str">
        <f>IF('I. Stream &amp; Compound Data'!Z295&lt;&gt;"",'I. Stream &amp; Compound Data'!Z295,"")</f>
        <v/>
      </c>
      <c r="K527" s="1190" t="str">
        <f>IF('I. Stream &amp; Compound Data'!AP295&lt;&gt;"",'I. Stream &amp; Compound Data'!AP295,IF('I. Stream &amp; Compound Data'!AQ295&lt;&gt;"",'I. Stream &amp; Compound Data'!AQ295,""))</f>
        <v/>
      </c>
      <c r="L527" s="1190" t="str">
        <f>IF('I. Stream &amp; Compound Data'!AT295&lt;&gt;"",'I. Stream &amp; Compound Data'!AT295,IF('I. Stream &amp; Compound Data'!AU295&lt;&gt;"",'I. Stream &amp; Compound Data'!AU295,""))</f>
        <v/>
      </c>
      <c r="M527" s="1295" t="str">
        <f>IF('I. Stream &amp; Compound Data'!AR295&lt;&gt;"",'I. Stream &amp; Compound Data'!AR295,IF('I. Stream &amp; Compound Data'!AS295&lt;&gt;"",'I. Stream &amp; Compound Data'!AS295,""))</f>
        <v/>
      </c>
      <c r="N527" s="1306" t="str">
        <f>IF(H527&gt;'I. Stream &amp; Compound Data'!$F$18,"",IF(I527="","N/A",ROUND(IF(I527&lt;=10,1,IF(AND(I527&gt;10,I527&lt;100000),-0.109*LN(I527)+1.25,0)),3)))</f>
        <v/>
      </c>
      <c r="O527" s="1168" t="str">
        <f>IF(H527&gt;'I. Stream &amp; Compound Data'!$F$18,"",IF(N527="N/A",IF(J527&lt;&gt;"",ROUND(IF(J527&lt;=10,1,IF(AND(J527&gt;10,J527&lt;100000),-0.109*LN(J527)+1.25,0)),3),"N/A"),"N/A"))</f>
        <v/>
      </c>
      <c r="P527" s="1242" t="str">
        <f>IF(H527&gt;'I. Stream &amp; Compound Data'!$F$18,"",IF(AND(N527="N/A",O527="N/A"),IF(K527="","N/A",IF(K527="T+",0.875,IF(K527="T",0.625,IF(K527="Xn",0.375,"N/A")))),"N/A"))</f>
        <v/>
      </c>
      <c r="Q527" s="1242" t="str">
        <f>IF(H527&gt;'I. Stream &amp; Compound Data'!$F$18,"",IF(AND(N527="N/A",O527="N/A",P527="N/A"),IF(L527="","N/A",IF(L527=1,1,IF(L527=2,0.875,IF(L527=3,0.625,IF(L527=4,0.375,IF(L527=5,0.125,0)))))),"N/A"))</f>
        <v/>
      </c>
      <c r="R527" s="1242" t="str">
        <f>IF(H527&gt;'I. Stream &amp; Compound Data'!$F$18,"",IF(AND(N527="N/A",O527="N/A",P527="N/A",Q527="N/A"),IF(M527="","N/A",IF(OR(AND(M527&gt;=26,M527&lt;=29),M527=32),0.875,IF(OR(M527=23,M527=24,M527=25,M527=31),0.625,IF(OR(M527=20,M527=21,,M527=22),0.375,"N/A")))),"N/A"))</f>
        <v/>
      </c>
      <c r="S527" s="1242" t="str">
        <f>IF(H527&gt;'I. Stream &amp; Compound Data'!$F$18,"",IF(I175="","N/A",IF(N527&lt;&gt;"N/A",N527,IF(O527&lt;&gt;"N/A",O527,IF(P527&lt;&gt;"N/A",P527,IF(Q527&lt;&gt;"N/A",Q527,IF(R527&lt;&gt;"N/A",R527,"NO DATA AVAILABLE")))))))</f>
        <v/>
      </c>
      <c r="T527" s="1242" t="str">
        <f>IF(H527&gt;'I. Stream &amp; Compound Data'!$F$18,"",IF(S527="N/A",0,IF(S527&gt;0,ROUND(10^(4*S527+1),3),0)))</f>
        <v/>
      </c>
      <c r="U527" s="1242" t="str">
        <f>IF(H527&gt;'I. Stream &amp; Compound Data'!$F$18,"",IF(H527&gt;'I. Stream &amp; Compound Data'!$F$18,"",MAX(K175:L175)))</f>
        <v/>
      </c>
      <c r="V527" s="1268" t="str">
        <f>IF(H527&gt;'I. Stream &amp; Compound Data'!$F$18,"",ROUND(T527*U527,3))</f>
        <v/>
      </c>
      <c r="W527" s="279"/>
      <c r="X527" s="279"/>
      <c r="Y527" s="279"/>
      <c r="Z527" s="279"/>
      <c r="AA527" s="279"/>
      <c r="AB527" s="279"/>
      <c r="AC527" s="279"/>
      <c r="AD527" s="279"/>
      <c r="AE527" s="279"/>
      <c r="AF527" s="279"/>
      <c r="AG527" s="279"/>
      <c r="AH527" s="279"/>
      <c r="AI527" s="279"/>
      <c r="AJ527" s="279"/>
      <c r="AK527" s="279"/>
      <c r="AL527" s="279"/>
      <c r="AM527" s="279"/>
      <c r="AN527" s="279"/>
      <c r="AO527" s="279"/>
      <c r="AP527" s="279"/>
      <c r="AQ527" s="279"/>
      <c r="AR527" s="279"/>
      <c r="AS527" s="279"/>
      <c r="AT527" s="279"/>
      <c r="AU527" s="279"/>
      <c r="AV527" s="279"/>
      <c r="AW527" s="279"/>
      <c r="AX527" s="279"/>
      <c r="AY527" s="279"/>
      <c r="AZ527" s="279"/>
      <c r="BA527" s="279"/>
      <c r="BB527" s="279"/>
      <c r="BC527" s="279"/>
      <c r="BD527" s="279"/>
      <c r="BE527" s="279"/>
      <c r="BF527" s="279"/>
      <c r="BG527" s="279"/>
      <c r="BH527" s="279"/>
      <c r="BI527" s="279"/>
      <c r="BJ527" s="279"/>
      <c r="BK527" s="279"/>
      <c r="BL527" s="279"/>
      <c r="BM527" s="279"/>
      <c r="BN527" s="279"/>
      <c r="BO527" s="279"/>
      <c r="BP527" s="279"/>
      <c r="BQ527" s="279"/>
      <c r="BR527" s="279"/>
      <c r="BS527" s="279"/>
      <c r="BT527" s="279"/>
      <c r="BU527" s="279"/>
      <c r="BV527" s="279"/>
      <c r="BW527" s="279"/>
      <c r="BX527" s="279"/>
      <c r="BY527" s="279"/>
      <c r="BZ527" s="279"/>
      <c r="CA527" s="279"/>
      <c r="CB527" s="279"/>
      <c r="CC527" s="279"/>
      <c r="CD527" s="279"/>
      <c r="CE527" s="279"/>
      <c r="CF527" s="279"/>
      <c r="CG527" s="279"/>
      <c r="CH527" s="279"/>
      <c r="CI527" s="279"/>
      <c r="CJ527" s="279"/>
      <c r="CK527" s="279"/>
      <c r="CL527" s="279"/>
      <c r="CM527" s="279"/>
      <c r="CN527" s="382"/>
    </row>
    <row r="528" ht="15.75" customHeight="true" x14ac:dyDescent="0.25">
      <c r="B528" s="361"/>
      <c r="C528" s="279"/>
      <c r="D528" s="280"/>
      <c r="E528" s="287"/>
      <c r="F528" s="287"/>
      <c r="G528" s="287"/>
      <c r="H528" s="1292">
        <f t="shared" si="18"/>
        <v>35</v>
      </c>
      <c r="I528" s="1295" t="str">
        <f>IF('I. Stream &amp; Compound Data'!AA296&lt;&gt;"",'I. Stream &amp; Compound Data'!AA296,"")</f>
        <v/>
      </c>
      <c r="J528" s="1295" t="str">
        <f>IF('I. Stream &amp; Compound Data'!Z296&lt;&gt;"",'I. Stream &amp; Compound Data'!Z296,"")</f>
        <v/>
      </c>
      <c r="K528" s="1190" t="str">
        <f>IF('I. Stream &amp; Compound Data'!AP296&lt;&gt;"",'I. Stream &amp; Compound Data'!AP296,IF('I. Stream &amp; Compound Data'!AQ296&lt;&gt;"",'I. Stream &amp; Compound Data'!AQ296,""))</f>
        <v/>
      </c>
      <c r="L528" s="1190" t="str">
        <f>IF('I. Stream &amp; Compound Data'!AT296&lt;&gt;"",'I. Stream &amp; Compound Data'!AT296,IF('I. Stream &amp; Compound Data'!AU296&lt;&gt;"",'I. Stream &amp; Compound Data'!AU296,""))</f>
        <v/>
      </c>
      <c r="M528" s="1295" t="str">
        <f>IF('I. Stream &amp; Compound Data'!AR296&lt;&gt;"",'I. Stream &amp; Compound Data'!AR296,IF('I. Stream &amp; Compound Data'!AS296&lt;&gt;"",'I. Stream &amp; Compound Data'!AS296,""))</f>
        <v/>
      </c>
      <c r="N528" s="1306" t="str">
        <f>IF(H528&gt;'I. Stream &amp; Compound Data'!$F$18,"",IF(I528="","N/A",ROUND(IF(I528&lt;=10,1,IF(AND(I528&gt;10,I528&lt;100000),-0.109*LN(I528)+1.25,0)),3)))</f>
        <v/>
      </c>
      <c r="O528" s="1168" t="str">
        <f>IF(H528&gt;'I. Stream &amp; Compound Data'!$F$18,"",IF(N528="N/A",IF(J528&lt;&gt;"",ROUND(IF(J528&lt;=10,1,IF(AND(J528&gt;10,J528&lt;100000),-0.109*LN(J528)+1.25,0)),3),"N/A"),"N/A"))</f>
        <v/>
      </c>
      <c r="P528" s="1242" t="str">
        <f>IF(H528&gt;'I. Stream &amp; Compound Data'!$F$18,"",IF(AND(N528="N/A",O528="N/A"),IF(K528="","N/A",IF(K528="T+",0.875,IF(K528="T",0.625,IF(K528="Xn",0.375,"N/A")))),"N/A"))</f>
        <v/>
      </c>
      <c r="Q528" s="1242" t="str">
        <f>IF(H528&gt;'I. Stream &amp; Compound Data'!$F$18,"",IF(AND(N528="N/A",O528="N/A",P528="N/A"),IF(L528="","N/A",IF(L528=1,1,IF(L528=2,0.875,IF(L528=3,0.625,IF(L528=4,0.375,IF(L528=5,0.125,0)))))),"N/A"))</f>
        <v/>
      </c>
      <c r="R528" s="1242" t="str">
        <f>IF(H528&gt;'I. Stream &amp; Compound Data'!$F$18,"",IF(AND(N528="N/A",O528="N/A",P528="N/A",Q528="N/A"),IF(M528="","N/A",IF(OR(AND(M528&gt;=26,M528&lt;=29),M528=32),0.875,IF(OR(M528=23,M528=24,M528=25,M528=31),0.625,IF(OR(M528=20,M528=21,,M528=22),0.375,"N/A")))),"N/A"))</f>
        <v/>
      </c>
      <c r="S528" s="1242" t="str">
        <f>IF(H528&gt;'I. Stream &amp; Compound Data'!$F$18,"",IF(I176="","N/A",IF(N528&lt;&gt;"N/A",N528,IF(O528&lt;&gt;"N/A",O528,IF(P528&lt;&gt;"N/A",P528,IF(Q528&lt;&gt;"N/A",Q528,IF(R528&lt;&gt;"N/A",R528,"NO DATA AVAILABLE")))))))</f>
        <v/>
      </c>
      <c r="T528" s="1242" t="str">
        <f>IF(H528&gt;'I. Stream &amp; Compound Data'!$F$18,"",IF(S528="N/A",0,IF(S528&gt;0,ROUND(10^(4*S528+1),3),0)))</f>
        <v/>
      </c>
      <c r="U528" s="1242" t="str">
        <f>IF(H528&gt;'I. Stream &amp; Compound Data'!$F$18,"",IF(H528&gt;'I. Stream &amp; Compound Data'!$F$18,"",MAX(K176:L176)))</f>
        <v/>
      </c>
      <c r="V528" s="1268" t="str">
        <f>IF(H528&gt;'I. Stream &amp; Compound Data'!$F$18,"",ROUND(T528*U528,3))</f>
        <v/>
      </c>
      <c r="W528" s="279"/>
      <c r="X528" s="279"/>
      <c r="Y528" s="279"/>
      <c r="Z528" s="279"/>
      <c r="AA528" s="279"/>
      <c r="AB528" s="279"/>
      <c r="AC528" s="279"/>
      <c r="AD528" s="279"/>
      <c r="AE528" s="279"/>
      <c r="AF528" s="279"/>
      <c r="AG528" s="279"/>
      <c r="AH528" s="279"/>
      <c r="AI528" s="279"/>
      <c r="AJ528" s="279"/>
      <c r="AK528" s="279"/>
      <c r="AL528" s="279"/>
      <c r="AM528" s="279"/>
      <c r="AN528" s="279"/>
      <c r="AO528" s="279"/>
      <c r="AP528" s="279"/>
      <c r="AQ528" s="279"/>
      <c r="AR528" s="279"/>
      <c r="AS528" s="279"/>
      <c r="AT528" s="279"/>
      <c r="AU528" s="279"/>
      <c r="AV528" s="279"/>
      <c r="AW528" s="279"/>
      <c r="AX528" s="279"/>
      <c r="AY528" s="279"/>
      <c r="AZ528" s="279"/>
      <c r="BA528" s="279"/>
      <c r="BB528" s="279"/>
      <c r="BC528" s="279"/>
      <c r="BD528" s="279"/>
      <c r="BE528" s="279"/>
      <c r="BF528" s="279"/>
      <c r="BG528" s="279"/>
      <c r="BH528" s="279"/>
      <c r="BI528" s="279"/>
      <c r="BJ528" s="279"/>
      <c r="BK528" s="279"/>
      <c r="BL528" s="279"/>
      <c r="BM528" s="279"/>
      <c r="BN528" s="279"/>
      <c r="BO528" s="279"/>
      <c r="BP528" s="279"/>
      <c r="BQ528" s="279"/>
      <c r="BR528" s="279"/>
      <c r="BS528" s="279"/>
      <c r="BT528" s="279"/>
      <c r="BU528" s="279"/>
      <c r="BV528" s="279"/>
      <c r="BW528" s="279"/>
      <c r="BX528" s="279"/>
      <c r="BY528" s="279"/>
      <c r="BZ528" s="279"/>
      <c r="CA528" s="279"/>
      <c r="CB528" s="279"/>
      <c r="CC528" s="279"/>
      <c r="CD528" s="279"/>
      <c r="CE528" s="279"/>
      <c r="CF528" s="279"/>
      <c r="CG528" s="279"/>
      <c r="CH528" s="279"/>
      <c r="CI528" s="279"/>
      <c r="CJ528" s="279"/>
      <c r="CK528" s="279"/>
      <c r="CL528" s="279"/>
      <c r="CM528" s="279"/>
      <c r="CN528" s="382"/>
    </row>
    <row r="529" ht="15.75" customHeight="true" x14ac:dyDescent="0.25">
      <c r="B529" s="361"/>
      <c r="C529" s="279"/>
      <c r="D529" s="280"/>
      <c r="E529" s="287"/>
      <c r="F529" s="287"/>
      <c r="G529" s="287"/>
      <c r="H529" s="1292">
        <f t="shared" si="18"/>
        <v>36</v>
      </c>
      <c r="I529" s="1295" t="str">
        <f>IF('I. Stream &amp; Compound Data'!AA297&lt;&gt;"",'I. Stream &amp; Compound Data'!AA297,"")</f>
        <v/>
      </c>
      <c r="J529" s="1295" t="str">
        <f>IF('I. Stream &amp; Compound Data'!Z297&lt;&gt;"",'I. Stream &amp; Compound Data'!Z297,"")</f>
        <v/>
      </c>
      <c r="K529" s="1190" t="str">
        <f>IF('I. Stream &amp; Compound Data'!AP297&lt;&gt;"",'I. Stream &amp; Compound Data'!AP297,IF('I. Stream &amp; Compound Data'!AQ297&lt;&gt;"",'I. Stream &amp; Compound Data'!AQ297,""))</f>
        <v/>
      </c>
      <c r="L529" s="1190" t="str">
        <f>IF('I. Stream &amp; Compound Data'!AT297&lt;&gt;"",'I. Stream &amp; Compound Data'!AT297,IF('I. Stream &amp; Compound Data'!AU297&lt;&gt;"",'I. Stream &amp; Compound Data'!AU297,""))</f>
        <v/>
      </c>
      <c r="M529" s="1295" t="str">
        <f>IF('I. Stream &amp; Compound Data'!AR297&lt;&gt;"",'I. Stream &amp; Compound Data'!AR297,IF('I. Stream &amp; Compound Data'!AS297&lt;&gt;"",'I. Stream &amp; Compound Data'!AS297,""))</f>
        <v/>
      </c>
      <c r="N529" s="1306" t="str">
        <f>IF(H529&gt;'I. Stream &amp; Compound Data'!$F$18,"",IF(I529="","N/A",ROUND(IF(I529&lt;=10,1,IF(AND(I529&gt;10,I529&lt;100000),-0.109*LN(I529)+1.25,0)),3)))</f>
        <v/>
      </c>
      <c r="O529" s="1168" t="str">
        <f>IF(H529&gt;'I. Stream &amp; Compound Data'!$F$18,"",IF(N529="N/A",IF(J529&lt;&gt;"",ROUND(IF(J529&lt;=10,1,IF(AND(J529&gt;10,J529&lt;100000),-0.109*LN(J529)+1.25,0)),3),"N/A"),"N/A"))</f>
        <v/>
      </c>
      <c r="P529" s="1242" t="str">
        <f>IF(H529&gt;'I. Stream &amp; Compound Data'!$F$18,"",IF(AND(N529="N/A",O529="N/A"),IF(K529="","N/A",IF(K529="T+",0.875,IF(K529="T",0.625,IF(K529="Xn",0.375,"N/A")))),"N/A"))</f>
        <v/>
      </c>
      <c r="Q529" s="1242" t="str">
        <f>IF(H529&gt;'I. Stream &amp; Compound Data'!$F$18,"",IF(AND(N529="N/A",O529="N/A",P529="N/A"),IF(L529="","N/A",IF(L529=1,1,IF(L529=2,0.875,IF(L529=3,0.625,IF(L529=4,0.375,IF(L529=5,0.125,0)))))),"N/A"))</f>
        <v/>
      </c>
      <c r="R529" s="1242" t="str">
        <f>IF(H529&gt;'I. Stream &amp; Compound Data'!$F$18,"",IF(AND(N529="N/A",O529="N/A",P529="N/A",Q529="N/A"),IF(M529="","N/A",IF(OR(AND(M529&gt;=26,M529&lt;=29),M529=32),0.875,IF(OR(M529=23,M529=24,M529=25,M529=31),0.625,IF(OR(M529=20,M529=21,,M529=22),0.375,"N/A")))),"N/A"))</f>
        <v/>
      </c>
      <c r="S529" s="1242" t="str">
        <f>IF(H529&gt;'I. Stream &amp; Compound Data'!$F$18,"",IF(I177="","N/A",IF(N529&lt;&gt;"N/A",N529,IF(O529&lt;&gt;"N/A",O529,IF(P529&lt;&gt;"N/A",P529,IF(Q529&lt;&gt;"N/A",Q529,IF(R529&lt;&gt;"N/A",R529,"NO DATA AVAILABLE")))))))</f>
        <v/>
      </c>
      <c r="T529" s="1242" t="str">
        <f>IF(H529&gt;'I. Stream &amp; Compound Data'!$F$18,"",IF(S529="N/A",0,IF(S529&gt;0,ROUND(10^(4*S529+1),3),0)))</f>
        <v/>
      </c>
      <c r="U529" s="1242" t="str">
        <f>IF(H529&gt;'I. Stream &amp; Compound Data'!$F$18,"",IF(H529&gt;'I. Stream &amp; Compound Data'!$F$18,"",MAX(K177:L177)))</f>
        <v/>
      </c>
      <c r="V529" s="1268" t="str">
        <f>IF(H529&gt;'I. Stream &amp; Compound Data'!$F$18,"",ROUND(T529*U529,3))</f>
        <v/>
      </c>
      <c r="W529" s="279"/>
      <c r="X529" s="279"/>
      <c r="Y529" s="279"/>
      <c r="Z529" s="279"/>
      <c r="AA529" s="279"/>
      <c r="AB529" s="279"/>
      <c r="AC529" s="279"/>
      <c r="AD529" s="279"/>
      <c r="AE529" s="279"/>
      <c r="AF529" s="279"/>
      <c r="AG529" s="279"/>
      <c r="AH529" s="279"/>
      <c r="AI529" s="279"/>
      <c r="AJ529" s="279"/>
      <c r="AK529" s="279"/>
      <c r="AL529" s="279"/>
      <c r="AM529" s="279"/>
      <c r="AN529" s="279"/>
      <c r="AO529" s="279"/>
      <c r="AP529" s="279"/>
      <c r="AQ529" s="279"/>
      <c r="AR529" s="279"/>
      <c r="AS529" s="279"/>
      <c r="AT529" s="279"/>
      <c r="AU529" s="279"/>
      <c r="AV529" s="279"/>
      <c r="AW529" s="279"/>
      <c r="AX529" s="279"/>
      <c r="AY529" s="279"/>
      <c r="AZ529" s="279"/>
      <c r="BA529" s="279"/>
      <c r="BB529" s="279"/>
      <c r="BC529" s="279"/>
      <c r="BD529" s="279"/>
      <c r="BE529" s="279"/>
      <c r="BF529" s="279"/>
      <c r="BG529" s="279"/>
      <c r="BH529" s="279"/>
      <c r="BI529" s="279"/>
      <c r="BJ529" s="279"/>
      <c r="BK529" s="279"/>
      <c r="BL529" s="279"/>
      <c r="BM529" s="279"/>
      <c r="BN529" s="279"/>
      <c r="BO529" s="279"/>
      <c r="BP529" s="279"/>
      <c r="BQ529" s="279"/>
      <c r="BR529" s="279"/>
      <c r="BS529" s="279"/>
      <c r="BT529" s="279"/>
      <c r="BU529" s="279"/>
      <c r="BV529" s="279"/>
      <c r="BW529" s="279"/>
      <c r="BX529" s="279"/>
      <c r="BY529" s="279"/>
      <c r="BZ529" s="279"/>
      <c r="CA529" s="279"/>
      <c r="CB529" s="279"/>
      <c r="CC529" s="279"/>
      <c r="CD529" s="279"/>
      <c r="CE529" s="279"/>
      <c r="CF529" s="279"/>
      <c r="CG529" s="279"/>
      <c r="CH529" s="279"/>
      <c r="CI529" s="279"/>
      <c r="CJ529" s="279"/>
      <c r="CK529" s="279"/>
      <c r="CL529" s="279"/>
      <c r="CM529" s="279"/>
      <c r="CN529" s="382"/>
    </row>
    <row r="530" ht="15.75" customHeight="true" x14ac:dyDescent="0.25">
      <c r="B530" s="361"/>
      <c r="C530" s="279"/>
      <c r="D530" s="280"/>
      <c r="E530" s="287"/>
      <c r="F530" s="287"/>
      <c r="G530" s="287"/>
      <c r="H530" s="1292">
        <f t="shared" si="18"/>
        <v>37</v>
      </c>
      <c r="I530" s="1295" t="str">
        <f>IF('I. Stream &amp; Compound Data'!AA298&lt;&gt;"",'I. Stream &amp; Compound Data'!AA298,"")</f>
        <v/>
      </c>
      <c r="J530" s="1295" t="str">
        <f>IF('I. Stream &amp; Compound Data'!Z298&lt;&gt;"",'I. Stream &amp; Compound Data'!Z298,"")</f>
        <v/>
      </c>
      <c r="K530" s="1190" t="str">
        <f>IF('I. Stream &amp; Compound Data'!AP298&lt;&gt;"",'I. Stream &amp; Compound Data'!AP298,IF('I. Stream &amp; Compound Data'!AQ298&lt;&gt;"",'I. Stream &amp; Compound Data'!AQ298,""))</f>
        <v/>
      </c>
      <c r="L530" s="1190" t="str">
        <f>IF('I. Stream &amp; Compound Data'!AT298&lt;&gt;"",'I. Stream &amp; Compound Data'!AT298,IF('I. Stream &amp; Compound Data'!AU298&lt;&gt;"",'I. Stream &amp; Compound Data'!AU298,""))</f>
        <v/>
      </c>
      <c r="M530" s="1295" t="str">
        <f>IF('I. Stream &amp; Compound Data'!AR298&lt;&gt;"",'I. Stream &amp; Compound Data'!AR298,IF('I. Stream &amp; Compound Data'!AS298&lt;&gt;"",'I. Stream &amp; Compound Data'!AS298,""))</f>
        <v/>
      </c>
      <c r="N530" s="1306" t="str">
        <f>IF(H530&gt;'I. Stream &amp; Compound Data'!$F$18,"",IF(I530="","N/A",ROUND(IF(I530&lt;=10,1,IF(AND(I530&gt;10,I530&lt;100000),-0.109*LN(I530)+1.25,0)),3)))</f>
        <v/>
      </c>
      <c r="O530" s="1168" t="str">
        <f>IF(H530&gt;'I. Stream &amp; Compound Data'!$F$18,"",IF(N530="N/A",IF(J530&lt;&gt;"",ROUND(IF(J530&lt;=10,1,IF(AND(J530&gt;10,J530&lt;100000),-0.109*LN(J530)+1.25,0)),3),"N/A"),"N/A"))</f>
        <v/>
      </c>
      <c r="P530" s="1242" t="str">
        <f>IF(H530&gt;'I. Stream &amp; Compound Data'!$F$18,"",IF(AND(N530="N/A",O530="N/A"),IF(K530="","N/A",IF(K530="T+",0.875,IF(K530="T",0.625,IF(K530="Xn",0.375,"N/A")))),"N/A"))</f>
        <v/>
      </c>
      <c r="Q530" s="1242" t="str">
        <f>IF(H530&gt;'I. Stream &amp; Compound Data'!$F$18,"",IF(AND(N530="N/A",O530="N/A",P530="N/A"),IF(L530="","N/A",IF(L530=1,1,IF(L530=2,0.875,IF(L530=3,0.625,IF(L530=4,0.375,IF(L530=5,0.125,0)))))),"N/A"))</f>
        <v/>
      </c>
      <c r="R530" s="1242" t="str">
        <f>IF(H530&gt;'I. Stream &amp; Compound Data'!$F$18,"",IF(AND(N530="N/A",O530="N/A",P530="N/A",Q530="N/A"),IF(M530="","N/A",IF(OR(AND(M530&gt;=26,M530&lt;=29),M530=32),0.875,IF(OR(M530=23,M530=24,M530=25,M530=31),0.625,IF(OR(M530=20,M530=21,,M530=22),0.375,"N/A")))),"N/A"))</f>
        <v/>
      </c>
      <c r="S530" s="1242" t="str">
        <f>IF(H530&gt;'I. Stream &amp; Compound Data'!$F$18,"",IF(I178="","N/A",IF(N530&lt;&gt;"N/A",N530,IF(O530&lt;&gt;"N/A",O530,IF(P530&lt;&gt;"N/A",P530,IF(Q530&lt;&gt;"N/A",Q530,IF(R530&lt;&gt;"N/A",R530,"NO DATA AVAILABLE")))))))</f>
        <v/>
      </c>
      <c r="T530" s="1242" t="str">
        <f>IF(H530&gt;'I. Stream &amp; Compound Data'!$F$18,"",IF(S530="N/A",0,IF(S530&gt;0,ROUND(10^(4*S530+1),3),0)))</f>
        <v/>
      </c>
      <c r="U530" s="1242" t="str">
        <f>IF(H530&gt;'I. Stream &amp; Compound Data'!$F$18,"",IF(H530&gt;'I. Stream &amp; Compound Data'!$F$18,"",MAX(K178:L178)))</f>
        <v/>
      </c>
      <c r="V530" s="1268" t="str">
        <f>IF(H530&gt;'I. Stream &amp; Compound Data'!$F$18,"",ROUND(T530*U530,3))</f>
        <v/>
      </c>
      <c r="W530" s="279"/>
      <c r="X530" s="279"/>
      <c r="Y530" s="279"/>
      <c r="Z530" s="279"/>
      <c r="AA530" s="279"/>
      <c r="AB530" s="279"/>
      <c r="AC530" s="279"/>
      <c r="AD530" s="279"/>
      <c r="AE530" s="279"/>
      <c r="AF530" s="279"/>
      <c r="AG530" s="279"/>
      <c r="AH530" s="279"/>
      <c r="AI530" s="279"/>
      <c r="AJ530" s="279"/>
      <c r="AK530" s="279"/>
      <c r="AL530" s="279"/>
      <c r="AM530" s="279"/>
      <c r="AN530" s="279"/>
      <c r="AO530" s="279"/>
      <c r="AP530" s="279"/>
      <c r="AQ530" s="279"/>
      <c r="AR530" s="279"/>
      <c r="AS530" s="279"/>
      <c r="AT530" s="279"/>
      <c r="AU530" s="279"/>
      <c r="AV530" s="279"/>
      <c r="AW530" s="279"/>
      <c r="AX530" s="279"/>
      <c r="AY530" s="279"/>
      <c r="AZ530" s="279"/>
      <c r="BA530" s="279"/>
      <c r="BB530" s="279"/>
      <c r="BC530" s="279"/>
      <c r="BD530" s="279"/>
      <c r="BE530" s="279"/>
      <c r="BF530" s="279"/>
      <c r="BG530" s="279"/>
      <c r="BH530" s="279"/>
      <c r="BI530" s="279"/>
      <c r="BJ530" s="279"/>
      <c r="BK530" s="279"/>
      <c r="BL530" s="279"/>
      <c r="BM530" s="279"/>
      <c r="BN530" s="279"/>
      <c r="BO530" s="279"/>
      <c r="BP530" s="279"/>
      <c r="BQ530" s="279"/>
      <c r="BR530" s="279"/>
      <c r="BS530" s="279"/>
      <c r="BT530" s="279"/>
      <c r="BU530" s="279"/>
      <c r="BV530" s="279"/>
      <c r="BW530" s="279"/>
      <c r="BX530" s="279"/>
      <c r="BY530" s="279"/>
      <c r="BZ530" s="279"/>
      <c r="CA530" s="279"/>
      <c r="CB530" s="279"/>
      <c r="CC530" s="279"/>
      <c r="CD530" s="279"/>
      <c r="CE530" s="279"/>
      <c r="CF530" s="279"/>
      <c r="CG530" s="279"/>
      <c r="CH530" s="279"/>
      <c r="CI530" s="279"/>
      <c r="CJ530" s="279"/>
      <c r="CK530" s="279"/>
      <c r="CL530" s="279"/>
      <c r="CM530" s="279"/>
      <c r="CN530" s="382"/>
    </row>
    <row r="531" ht="15.75" customHeight="true" x14ac:dyDescent="0.25">
      <c r="B531" s="361"/>
      <c r="C531" s="279"/>
      <c r="D531" s="280"/>
      <c r="E531" s="287"/>
      <c r="F531" s="287"/>
      <c r="G531" s="287"/>
      <c r="H531" s="1292">
        <f t="shared" si="18"/>
        <v>38</v>
      </c>
      <c r="I531" s="1295" t="str">
        <f>IF('I. Stream &amp; Compound Data'!AA299&lt;&gt;"",'I. Stream &amp; Compound Data'!AA299,"")</f>
        <v/>
      </c>
      <c r="J531" s="1295" t="str">
        <f>IF('I. Stream &amp; Compound Data'!Z299&lt;&gt;"",'I. Stream &amp; Compound Data'!Z299,"")</f>
        <v/>
      </c>
      <c r="K531" s="1190" t="str">
        <f>IF('I. Stream &amp; Compound Data'!AP299&lt;&gt;"",'I. Stream &amp; Compound Data'!AP299,IF('I. Stream &amp; Compound Data'!AQ299&lt;&gt;"",'I. Stream &amp; Compound Data'!AQ299,""))</f>
        <v/>
      </c>
      <c r="L531" s="1190" t="str">
        <f>IF('I. Stream &amp; Compound Data'!AT299&lt;&gt;"",'I. Stream &amp; Compound Data'!AT299,IF('I. Stream &amp; Compound Data'!AU299&lt;&gt;"",'I. Stream &amp; Compound Data'!AU299,""))</f>
        <v/>
      </c>
      <c r="M531" s="1295" t="str">
        <f>IF('I. Stream &amp; Compound Data'!AR299&lt;&gt;"",'I. Stream &amp; Compound Data'!AR299,IF('I. Stream &amp; Compound Data'!AS299&lt;&gt;"",'I. Stream &amp; Compound Data'!AS299,""))</f>
        <v/>
      </c>
      <c r="N531" s="1306" t="str">
        <f>IF(H531&gt;'I. Stream &amp; Compound Data'!$F$18,"",IF(I531="","N/A",ROUND(IF(I531&lt;=10,1,IF(AND(I531&gt;10,I531&lt;100000),-0.109*LN(I531)+1.25,0)),3)))</f>
        <v/>
      </c>
      <c r="O531" s="1168" t="str">
        <f>IF(H531&gt;'I. Stream &amp; Compound Data'!$F$18,"",IF(N531="N/A",IF(J531&lt;&gt;"",ROUND(IF(J531&lt;=10,1,IF(AND(J531&gt;10,J531&lt;100000),-0.109*LN(J531)+1.25,0)),3),"N/A"),"N/A"))</f>
        <v/>
      </c>
      <c r="P531" s="1242" t="str">
        <f>IF(H531&gt;'I. Stream &amp; Compound Data'!$F$18,"",IF(AND(N531="N/A",O531="N/A"),IF(K531="","N/A",IF(K531="T+",0.875,IF(K531="T",0.625,IF(K531="Xn",0.375,"N/A")))),"N/A"))</f>
        <v/>
      </c>
      <c r="Q531" s="1242" t="str">
        <f>IF(H531&gt;'I. Stream &amp; Compound Data'!$F$18,"",IF(AND(N531="N/A",O531="N/A",P531="N/A"),IF(L531="","N/A",IF(L531=1,1,IF(L531=2,0.875,IF(L531=3,0.625,IF(L531=4,0.375,IF(L531=5,0.125,0)))))),"N/A"))</f>
        <v/>
      </c>
      <c r="R531" s="1242" t="str">
        <f>IF(H531&gt;'I. Stream &amp; Compound Data'!$F$18,"",IF(AND(N531="N/A",O531="N/A",P531="N/A",Q531="N/A"),IF(M531="","N/A",IF(OR(AND(M531&gt;=26,M531&lt;=29),M531=32),0.875,IF(OR(M531=23,M531=24,M531=25,M531=31),0.625,IF(OR(M531=20,M531=21,,M531=22),0.375,"N/A")))),"N/A"))</f>
        <v/>
      </c>
      <c r="S531" s="1242" t="str">
        <f>IF(H531&gt;'I. Stream &amp; Compound Data'!$F$18,"",IF(I179="","N/A",IF(N531&lt;&gt;"N/A",N531,IF(O531&lt;&gt;"N/A",O531,IF(P531&lt;&gt;"N/A",P531,IF(Q531&lt;&gt;"N/A",Q531,IF(R531&lt;&gt;"N/A",R531,"NO DATA AVAILABLE")))))))</f>
        <v/>
      </c>
      <c r="T531" s="1242" t="str">
        <f>IF(H531&gt;'I. Stream &amp; Compound Data'!$F$18,"",IF(S531="N/A",0,IF(S531&gt;0,ROUND(10^(4*S531+1),3),0)))</f>
        <v/>
      </c>
      <c r="U531" s="1242" t="str">
        <f>IF(H531&gt;'I. Stream &amp; Compound Data'!$F$18,"",IF(H531&gt;'I. Stream &amp; Compound Data'!$F$18,"",MAX(K179:L179)))</f>
        <v/>
      </c>
      <c r="V531" s="1268" t="str">
        <f>IF(H531&gt;'I. Stream &amp; Compound Data'!$F$18,"",ROUND(T531*U531,3))</f>
        <v/>
      </c>
      <c r="W531" s="279"/>
      <c r="X531" s="279"/>
      <c r="Y531" s="279"/>
      <c r="Z531" s="279"/>
      <c r="AA531" s="279"/>
      <c r="AB531" s="279"/>
      <c r="AC531" s="279"/>
      <c r="AD531" s="279"/>
      <c r="AE531" s="279"/>
      <c r="AF531" s="279"/>
      <c r="AG531" s="279"/>
      <c r="AH531" s="279"/>
      <c r="AI531" s="279"/>
      <c r="AJ531" s="279"/>
      <c r="AK531" s="279"/>
      <c r="AL531" s="279"/>
      <c r="AM531" s="279"/>
      <c r="AN531" s="279"/>
      <c r="AO531" s="279"/>
      <c r="AP531" s="279"/>
      <c r="AQ531" s="279"/>
      <c r="AR531" s="279"/>
      <c r="AS531" s="279"/>
      <c r="AT531" s="279"/>
      <c r="AU531" s="279"/>
      <c r="AV531" s="279"/>
      <c r="AW531" s="279"/>
      <c r="AX531" s="279"/>
      <c r="AY531" s="279"/>
      <c r="AZ531" s="279"/>
      <c r="BA531" s="279"/>
      <c r="BB531" s="279"/>
      <c r="BC531" s="279"/>
      <c r="BD531" s="279"/>
      <c r="BE531" s="279"/>
      <c r="BF531" s="279"/>
      <c r="BG531" s="279"/>
      <c r="BH531" s="279"/>
      <c r="BI531" s="279"/>
      <c r="BJ531" s="279"/>
      <c r="BK531" s="279"/>
      <c r="BL531" s="279"/>
      <c r="BM531" s="279"/>
      <c r="BN531" s="279"/>
      <c r="BO531" s="279"/>
      <c r="BP531" s="279"/>
      <c r="BQ531" s="279"/>
      <c r="BR531" s="279"/>
      <c r="BS531" s="279"/>
      <c r="BT531" s="279"/>
      <c r="BU531" s="279"/>
      <c r="BV531" s="279"/>
      <c r="BW531" s="279"/>
      <c r="BX531" s="279"/>
      <c r="BY531" s="279"/>
      <c r="BZ531" s="279"/>
      <c r="CA531" s="279"/>
      <c r="CB531" s="279"/>
      <c r="CC531" s="279"/>
      <c r="CD531" s="279"/>
      <c r="CE531" s="279"/>
      <c r="CF531" s="279"/>
      <c r="CG531" s="279"/>
      <c r="CH531" s="279"/>
      <c r="CI531" s="279"/>
      <c r="CJ531" s="279"/>
      <c r="CK531" s="279"/>
      <c r="CL531" s="279"/>
      <c r="CM531" s="279"/>
      <c r="CN531" s="382"/>
    </row>
    <row r="532" ht="15.75" customHeight="true" x14ac:dyDescent="0.25">
      <c r="B532" s="361"/>
      <c r="C532" s="279"/>
      <c r="D532" s="280"/>
      <c r="E532" s="287"/>
      <c r="F532" s="287"/>
      <c r="G532" s="287"/>
      <c r="H532" s="1292">
        <f t="shared" si="18"/>
        <v>39</v>
      </c>
      <c r="I532" s="1295" t="str">
        <f>IF('I. Stream &amp; Compound Data'!AA300&lt;&gt;"",'I. Stream &amp; Compound Data'!AA300,"")</f>
        <v/>
      </c>
      <c r="J532" s="1295" t="str">
        <f>IF('I. Stream &amp; Compound Data'!Z300&lt;&gt;"",'I. Stream &amp; Compound Data'!Z300,"")</f>
        <v/>
      </c>
      <c r="K532" s="1190" t="str">
        <f>IF('I. Stream &amp; Compound Data'!AP300&lt;&gt;"",'I. Stream &amp; Compound Data'!AP300,IF('I. Stream &amp; Compound Data'!AQ300&lt;&gt;"",'I. Stream &amp; Compound Data'!AQ300,""))</f>
        <v/>
      </c>
      <c r="L532" s="1190" t="str">
        <f>IF('I. Stream &amp; Compound Data'!AT300&lt;&gt;"",'I. Stream &amp; Compound Data'!AT300,IF('I. Stream &amp; Compound Data'!AU300&lt;&gt;"",'I. Stream &amp; Compound Data'!AU300,""))</f>
        <v/>
      </c>
      <c r="M532" s="1295" t="str">
        <f>IF('I. Stream &amp; Compound Data'!AR300&lt;&gt;"",'I. Stream &amp; Compound Data'!AR300,IF('I. Stream &amp; Compound Data'!AS300&lt;&gt;"",'I. Stream &amp; Compound Data'!AS300,""))</f>
        <v/>
      </c>
      <c r="N532" s="1306" t="str">
        <f>IF(H532&gt;'I. Stream &amp; Compound Data'!$F$18,"",IF(I532="","N/A",ROUND(IF(I532&lt;=10,1,IF(AND(I532&gt;10,I532&lt;100000),-0.109*LN(I532)+1.25,0)),3)))</f>
        <v/>
      </c>
      <c r="O532" s="1168" t="str">
        <f>IF(H532&gt;'I. Stream &amp; Compound Data'!$F$18,"",IF(N532="N/A",IF(J532&lt;&gt;"",ROUND(IF(J532&lt;=10,1,IF(AND(J532&gt;10,J532&lt;100000),-0.109*LN(J532)+1.25,0)),3),"N/A"),"N/A"))</f>
        <v/>
      </c>
      <c r="P532" s="1242" t="str">
        <f>IF(H532&gt;'I. Stream &amp; Compound Data'!$F$18,"",IF(AND(N532="N/A",O532="N/A"),IF(K532="","N/A",IF(K532="T+",0.875,IF(K532="T",0.625,IF(K532="Xn",0.375,"N/A")))),"N/A"))</f>
        <v/>
      </c>
      <c r="Q532" s="1242" t="str">
        <f>IF(H532&gt;'I. Stream &amp; Compound Data'!$F$18,"",IF(AND(N532="N/A",O532="N/A",P532="N/A"),IF(L532="","N/A",IF(L532=1,1,IF(L532=2,0.875,IF(L532=3,0.625,IF(L532=4,0.375,IF(L532=5,0.125,0)))))),"N/A"))</f>
        <v/>
      </c>
      <c r="R532" s="1242" t="str">
        <f>IF(H532&gt;'I. Stream &amp; Compound Data'!$F$18,"",IF(AND(N532="N/A",O532="N/A",P532="N/A",Q532="N/A"),IF(M532="","N/A",IF(OR(AND(M532&gt;=26,M532&lt;=29),M532=32),0.875,IF(OR(M532=23,M532=24,M532=25,M532=31),0.625,IF(OR(M532=20,M532=21,,M532=22),0.375,"N/A")))),"N/A"))</f>
        <v/>
      </c>
      <c r="S532" s="1242" t="str">
        <f>IF(H532&gt;'I. Stream &amp; Compound Data'!$F$18,"",IF(I180="","N/A",IF(N532&lt;&gt;"N/A",N532,IF(O532&lt;&gt;"N/A",O532,IF(P532&lt;&gt;"N/A",P532,IF(Q532&lt;&gt;"N/A",Q532,IF(R532&lt;&gt;"N/A",R532,"NO DATA AVAILABLE")))))))</f>
        <v/>
      </c>
      <c r="T532" s="1242" t="str">
        <f>IF(H532&gt;'I. Stream &amp; Compound Data'!$F$18,"",IF(S532="N/A",0,IF(S532&gt;0,ROUND(10^(4*S532+1),3),0)))</f>
        <v/>
      </c>
      <c r="U532" s="1242" t="str">
        <f>IF(H532&gt;'I. Stream &amp; Compound Data'!$F$18,"",IF(H532&gt;'I. Stream &amp; Compound Data'!$F$18,"",MAX(K180:L180)))</f>
        <v/>
      </c>
      <c r="V532" s="1268" t="str">
        <f>IF(H532&gt;'I. Stream &amp; Compound Data'!$F$18,"",ROUND(T532*U532,3))</f>
        <v/>
      </c>
      <c r="W532" s="279"/>
      <c r="X532" s="279"/>
      <c r="Y532" s="279"/>
      <c r="Z532" s="279"/>
      <c r="AA532" s="279"/>
      <c r="AB532" s="279"/>
      <c r="AC532" s="279"/>
      <c r="AD532" s="279"/>
      <c r="AE532" s="279"/>
      <c r="AF532" s="279"/>
      <c r="AG532" s="279"/>
      <c r="AH532" s="279"/>
      <c r="AI532" s="279"/>
      <c r="AJ532" s="279"/>
      <c r="AK532" s="279"/>
      <c r="AL532" s="279"/>
      <c r="AM532" s="279"/>
      <c r="AN532" s="279"/>
      <c r="AO532" s="279"/>
      <c r="AP532" s="279"/>
      <c r="AQ532" s="279"/>
      <c r="AR532" s="279"/>
      <c r="AS532" s="279"/>
      <c r="AT532" s="279"/>
      <c r="AU532" s="279"/>
      <c r="AV532" s="279"/>
      <c r="AW532" s="279"/>
      <c r="AX532" s="279"/>
      <c r="AY532" s="279"/>
      <c r="AZ532" s="279"/>
      <c r="BA532" s="279"/>
      <c r="BB532" s="279"/>
      <c r="BC532" s="279"/>
      <c r="BD532" s="279"/>
      <c r="BE532" s="279"/>
      <c r="BF532" s="279"/>
      <c r="BG532" s="279"/>
      <c r="BH532" s="279"/>
      <c r="BI532" s="279"/>
      <c r="BJ532" s="279"/>
      <c r="BK532" s="279"/>
      <c r="BL532" s="279"/>
      <c r="BM532" s="279"/>
      <c r="BN532" s="279"/>
      <c r="BO532" s="279"/>
      <c r="BP532" s="279"/>
      <c r="BQ532" s="279"/>
      <c r="BR532" s="279"/>
      <c r="BS532" s="279"/>
      <c r="BT532" s="279"/>
      <c r="BU532" s="279"/>
      <c r="BV532" s="279"/>
      <c r="BW532" s="279"/>
      <c r="BX532" s="279"/>
      <c r="BY532" s="279"/>
      <c r="BZ532" s="279"/>
      <c r="CA532" s="279"/>
      <c r="CB532" s="279"/>
      <c r="CC532" s="279"/>
      <c r="CD532" s="279"/>
      <c r="CE532" s="279"/>
      <c r="CF532" s="279"/>
      <c r="CG532" s="279"/>
      <c r="CH532" s="279"/>
      <c r="CI532" s="279"/>
      <c r="CJ532" s="279"/>
      <c r="CK532" s="279"/>
      <c r="CL532" s="279"/>
      <c r="CM532" s="279"/>
      <c r="CN532" s="382"/>
    </row>
    <row r="533" ht="15.75" customHeight="true" x14ac:dyDescent="0.25">
      <c r="B533" s="361"/>
      <c r="C533" s="279"/>
      <c r="D533" s="280"/>
      <c r="E533" s="287"/>
      <c r="F533" s="287"/>
      <c r="G533" s="287"/>
      <c r="H533" s="1292">
        <f t="shared" si="18"/>
        <v>40</v>
      </c>
      <c r="I533" s="1295" t="str">
        <f>IF('I. Stream &amp; Compound Data'!AA301&lt;&gt;"",'I. Stream &amp; Compound Data'!AA301,"")</f>
        <v/>
      </c>
      <c r="J533" s="1295" t="str">
        <f>IF('I. Stream &amp; Compound Data'!Z301&lt;&gt;"",'I. Stream &amp; Compound Data'!Z301,"")</f>
        <v/>
      </c>
      <c r="K533" s="1190" t="str">
        <f>IF('I. Stream &amp; Compound Data'!AP301&lt;&gt;"",'I. Stream &amp; Compound Data'!AP301,IF('I. Stream &amp; Compound Data'!AQ301&lt;&gt;"",'I. Stream &amp; Compound Data'!AQ301,""))</f>
        <v/>
      </c>
      <c r="L533" s="1190" t="str">
        <f>IF('I. Stream &amp; Compound Data'!AT301&lt;&gt;"",'I. Stream &amp; Compound Data'!AT301,IF('I. Stream &amp; Compound Data'!AU301&lt;&gt;"",'I. Stream &amp; Compound Data'!AU301,""))</f>
        <v/>
      </c>
      <c r="M533" s="1295" t="str">
        <f>IF('I. Stream &amp; Compound Data'!AR301&lt;&gt;"",'I. Stream &amp; Compound Data'!AR301,IF('I. Stream &amp; Compound Data'!AS301&lt;&gt;"",'I. Stream &amp; Compound Data'!AS301,""))</f>
        <v/>
      </c>
      <c r="N533" s="1306" t="str">
        <f>IF(H533&gt;'I. Stream &amp; Compound Data'!$F$18,"",IF(I533="","N/A",ROUND(IF(I533&lt;=10,1,IF(AND(I533&gt;10,I533&lt;100000),-0.109*LN(I533)+1.25,0)),3)))</f>
        <v/>
      </c>
      <c r="O533" s="1168" t="str">
        <f>IF(H533&gt;'I. Stream &amp; Compound Data'!$F$18,"",IF(N533="N/A",IF(J533&lt;&gt;"",ROUND(IF(J533&lt;=10,1,IF(AND(J533&gt;10,J533&lt;100000),-0.109*LN(J533)+1.25,0)),3),"N/A"),"N/A"))</f>
        <v/>
      </c>
      <c r="P533" s="1242" t="str">
        <f>IF(H533&gt;'I. Stream &amp; Compound Data'!$F$18,"",IF(AND(N533="N/A",O533="N/A"),IF(K533="","N/A",IF(K533="T+",0.875,IF(K533="T",0.625,IF(K533="Xn",0.375,"N/A")))),"N/A"))</f>
        <v/>
      </c>
      <c r="Q533" s="1242" t="str">
        <f>IF(H533&gt;'I. Stream &amp; Compound Data'!$F$18,"",IF(AND(N533="N/A",O533="N/A",P533="N/A"),IF(L533="","N/A",IF(L533=1,1,IF(L533=2,0.875,IF(L533=3,0.625,IF(L533=4,0.375,IF(L533=5,0.125,0)))))),"N/A"))</f>
        <v/>
      </c>
      <c r="R533" s="1242" t="str">
        <f>IF(H533&gt;'I. Stream &amp; Compound Data'!$F$18,"",IF(AND(N533="N/A",O533="N/A",P533="N/A",Q533="N/A"),IF(M533="","N/A",IF(OR(AND(M533&gt;=26,M533&lt;=29),M533=32),0.875,IF(OR(M533=23,M533=24,M533=25,M533=31),0.625,IF(OR(M533=20,M533=21,,M533=22),0.375,"N/A")))),"N/A"))</f>
        <v/>
      </c>
      <c r="S533" s="1242" t="str">
        <f>IF(H533&gt;'I. Stream &amp; Compound Data'!$F$18,"",IF(I181="","N/A",IF(N533&lt;&gt;"N/A",N533,IF(O533&lt;&gt;"N/A",O533,IF(P533&lt;&gt;"N/A",P533,IF(Q533&lt;&gt;"N/A",Q533,IF(R533&lt;&gt;"N/A",R533,"NO DATA AVAILABLE")))))))</f>
        <v/>
      </c>
      <c r="T533" s="1242" t="str">
        <f>IF(H533&gt;'I. Stream &amp; Compound Data'!$F$18,"",IF(S533="N/A",0,IF(S533&gt;0,ROUND(10^(4*S533+1),3),0)))</f>
        <v/>
      </c>
      <c r="U533" s="1242" t="str">
        <f>IF(H533&gt;'I. Stream &amp; Compound Data'!$F$18,"",IF(H533&gt;'I. Stream &amp; Compound Data'!$F$18,"",MAX(K181:L181)))</f>
        <v/>
      </c>
      <c r="V533" s="1268" t="str">
        <f>IF(H533&gt;'I. Stream &amp; Compound Data'!$F$18,"",ROUND(T533*U533,3))</f>
        <v/>
      </c>
      <c r="W533" s="279"/>
      <c r="X533" s="279"/>
      <c r="Y533" s="279"/>
      <c r="Z533" s="279"/>
      <c r="AA533" s="279"/>
      <c r="AB533" s="279"/>
      <c r="AC533" s="279"/>
      <c r="AD533" s="279"/>
      <c r="AE533" s="279"/>
      <c r="AF533" s="279"/>
      <c r="AG533" s="279"/>
      <c r="AH533" s="279"/>
      <c r="AI533" s="279"/>
      <c r="AJ533" s="279"/>
      <c r="AK533" s="279"/>
      <c r="AL533" s="279"/>
      <c r="AM533" s="279"/>
      <c r="AN533" s="279"/>
      <c r="AO533" s="279"/>
      <c r="AP533" s="279"/>
      <c r="AQ533" s="279"/>
      <c r="AR533" s="279"/>
      <c r="AS533" s="279"/>
      <c r="AT533" s="279"/>
      <c r="AU533" s="279"/>
      <c r="AV533" s="279"/>
      <c r="AW533" s="279"/>
      <c r="AX533" s="279"/>
      <c r="AY533" s="279"/>
      <c r="AZ533" s="279"/>
      <c r="BA533" s="279"/>
      <c r="BB533" s="279"/>
      <c r="BC533" s="279"/>
      <c r="BD533" s="279"/>
      <c r="BE533" s="279"/>
      <c r="BF533" s="279"/>
      <c r="BG533" s="279"/>
      <c r="BH533" s="279"/>
      <c r="BI533" s="279"/>
      <c r="BJ533" s="279"/>
      <c r="BK533" s="279"/>
      <c r="BL533" s="279"/>
      <c r="BM533" s="279"/>
      <c r="BN533" s="279"/>
      <c r="BO533" s="279"/>
      <c r="BP533" s="279"/>
      <c r="BQ533" s="279"/>
      <c r="BR533" s="279"/>
      <c r="BS533" s="279"/>
      <c r="BT533" s="279"/>
      <c r="BU533" s="279"/>
      <c r="BV533" s="279"/>
      <c r="BW533" s="279"/>
      <c r="BX533" s="279"/>
      <c r="BY533" s="279"/>
      <c r="BZ533" s="279"/>
      <c r="CA533" s="279"/>
      <c r="CB533" s="279"/>
      <c r="CC533" s="279"/>
      <c r="CD533" s="279"/>
      <c r="CE533" s="279"/>
      <c r="CF533" s="279"/>
      <c r="CG533" s="279"/>
      <c r="CH533" s="279"/>
      <c r="CI533" s="279"/>
      <c r="CJ533" s="279"/>
      <c r="CK533" s="279"/>
      <c r="CL533" s="279"/>
      <c r="CM533" s="279"/>
      <c r="CN533" s="382"/>
    </row>
    <row r="534" ht="15.75" customHeight="true" x14ac:dyDescent="0.25">
      <c r="B534" s="361"/>
      <c r="C534" s="279"/>
      <c r="D534" s="280"/>
      <c r="E534" s="287"/>
      <c r="F534" s="287"/>
      <c r="G534" s="287"/>
      <c r="H534" s="1292">
        <f t="shared" si="18"/>
        <v>41</v>
      </c>
      <c r="I534" s="1295" t="str">
        <f>IF('I. Stream &amp; Compound Data'!AA302&lt;&gt;"",'I. Stream &amp; Compound Data'!AA302,"")</f>
        <v/>
      </c>
      <c r="J534" s="1295" t="str">
        <f>IF('I. Stream &amp; Compound Data'!Z302&lt;&gt;"",'I. Stream &amp; Compound Data'!Z302,"")</f>
        <v/>
      </c>
      <c r="K534" s="1190" t="str">
        <f>IF('I. Stream &amp; Compound Data'!AP302&lt;&gt;"",'I. Stream &amp; Compound Data'!AP302,IF('I. Stream &amp; Compound Data'!AQ302&lt;&gt;"",'I. Stream &amp; Compound Data'!AQ302,""))</f>
        <v/>
      </c>
      <c r="L534" s="1190" t="str">
        <f>IF('I. Stream &amp; Compound Data'!AT302&lt;&gt;"",'I. Stream &amp; Compound Data'!AT302,IF('I. Stream &amp; Compound Data'!AU302&lt;&gt;"",'I. Stream &amp; Compound Data'!AU302,""))</f>
        <v/>
      </c>
      <c r="M534" s="1295" t="str">
        <f>IF('I. Stream &amp; Compound Data'!AR302&lt;&gt;"",'I. Stream &amp; Compound Data'!AR302,IF('I. Stream &amp; Compound Data'!AS302&lt;&gt;"",'I. Stream &amp; Compound Data'!AS302,""))</f>
        <v/>
      </c>
      <c r="N534" s="1306" t="str">
        <f>IF(H534&gt;'I. Stream &amp; Compound Data'!$F$18,"",IF(I534="","N/A",ROUND(IF(I534&lt;=10,1,IF(AND(I534&gt;10,I534&lt;100000),-0.109*LN(I534)+1.25,0)),3)))</f>
        <v/>
      </c>
      <c r="O534" s="1168" t="str">
        <f>IF(H534&gt;'I. Stream &amp; Compound Data'!$F$18,"",IF(N534="N/A",IF(J534&lt;&gt;"",ROUND(IF(J534&lt;=10,1,IF(AND(J534&gt;10,J534&lt;100000),-0.109*LN(J534)+1.25,0)),3),"N/A"),"N/A"))</f>
        <v/>
      </c>
      <c r="P534" s="1242" t="str">
        <f>IF(H534&gt;'I. Stream &amp; Compound Data'!$F$18,"",IF(AND(N534="N/A",O534="N/A"),IF(K534="","N/A",IF(K534="T+",0.875,IF(K534="T",0.625,IF(K534="Xn",0.375,"N/A")))),"N/A"))</f>
        <v/>
      </c>
      <c r="Q534" s="1242" t="str">
        <f>IF(H534&gt;'I. Stream &amp; Compound Data'!$F$18,"",IF(AND(N534="N/A",O534="N/A",P534="N/A"),IF(L534="","N/A",IF(L534=1,1,IF(L534=2,0.875,IF(L534=3,0.625,IF(L534=4,0.375,IF(L534=5,0.125,0)))))),"N/A"))</f>
        <v/>
      </c>
      <c r="R534" s="1242" t="str">
        <f>IF(H534&gt;'I. Stream &amp; Compound Data'!$F$18,"",IF(AND(N534="N/A",O534="N/A",P534="N/A",Q534="N/A"),IF(M534="","N/A",IF(OR(AND(M534&gt;=26,M534&lt;=29),M534=32),0.875,IF(OR(M534=23,M534=24,M534=25,M534=31),0.625,IF(OR(M534=20,M534=21,,M534=22),0.375,"N/A")))),"N/A"))</f>
        <v/>
      </c>
      <c r="S534" s="1242" t="str">
        <f>IF(H534&gt;'I. Stream &amp; Compound Data'!$F$18,"",IF(I182="","N/A",IF(N534&lt;&gt;"N/A",N534,IF(O534&lt;&gt;"N/A",O534,IF(P534&lt;&gt;"N/A",P534,IF(Q534&lt;&gt;"N/A",Q534,IF(R534&lt;&gt;"N/A",R534,"NO DATA AVAILABLE")))))))</f>
        <v/>
      </c>
      <c r="T534" s="1242" t="str">
        <f>IF(H534&gt;'I. Stream &amp; Compound Data'!$F$18,"",IF(S534="N/A",0,IF(S534&gt;0,ROUND(10^(4*S534+1),3),0)))</f>
        <v/>
      </c>
      <c r="U534" s="1242" t="str">
        <f>IF(H534&gt;'I. Stream &amp; Compound Data'!$F$18,"",IF(H534&gt;'I. Stream &amp; Compound Data'!$F$18,"",MAX(K182:L182)))</f>
        <v/>
      </c>
      <c r="V534" s="1268" t="str">
        <f>IF(H534&gt;'I. Stream &amp; Compound Data'!$F$18,"",ROUND(T534*U534,3))</f>
        <v/>
      </c>
      <c r="W534" s="279"/>
      <c r="X534" s="279"/>
      <c r="Y534" s="279"/>
      <c r="Z534" s="279"/>
      <c r="AA534" s="279"/>
      <c r="AB534" s="279"/>
      <c r="AC534" s="279"/>
      <c r="AD534" s="279"/>
      <c r="AE534" s="279"/>
      <c r="AF534" s="279"/>
      <c r="AG534" s="279"/>
      <c r="AH534" s="279"/>
      <c r="AI534" s="279"/>
      <c r="AJ534" s="279"/>
      <c r="AK534" s="279"/>
      <c r="AL534" s="279"/>
      <c r="AM534" s="279"/>
      <c r="AN534" s="279"/>
      <c r="AO534" s="279"/>
      <c r="AP534" s="279"/>
      <c r="AQ534" s="279"/>
      <c r="AR534" s="279"/>
      <c r="AS534" s="279"/>
      <c r="AT534" s="279"/>
      <c r="AU534" s="279"/>
      <c r="AV534" s="279"/>
      <c r="AW534" s="279"/>
      <c r="AX534" s="279"/>
      <c r="AY534" s="279"/>
      <c r="AZ534" s="279"/>
      <c r="BA534" s="279"/>
      <c r="BB534" s="279"/>
      <c r="BC534" s="279"/>
      <c r="BD534" s="279"/>
      <c r="BE534" s="279"/>
      <c r="BF534" s="279"/>
      <c r="BG534" s="279"/>
      <c r="BH534" s="279"/>
      <c r="BI534" s="279"/>
      <c r="BJ534" s="279"/>
      <c r="BK534" s="279"/>
      <c r="BL534" s="279"/>
      <c r="BM534" s="279"/>
      <c r="BN534" s="279"/>
      <c r="BO534" s="279"/>
      <c r="BP534" s="279"/>
      <c r="BQ534" s="279"/>
      <c r="BR534" s="279"/>
      <c r="BS534" s="279"/>
      <c r="BT534" s="279"/>
      <c r="BU534" s="279"/>
      <c r="BV534" s="279"/>
      <c r="BW534" s="279"/>
      <c r="BX534" s="279"/>
      <c r="BY534" s="279"/>
      <c r="BZ534" s="279"/>
      <c r="CA534" s="279"/>
      <c r="CB534" s="279"/>
      <c r="CC534" s="279"/>
      <c r="CD534" s="279"/>
      <c r="CE534" s="279"/>
      <c r="CF534" s="279"/>
      <c r="CG534" s="279"/>
      <c r="CH534" s="279"/>
      <c r="CI534" s="279"/>
      <c r="CJ534" s="279"/>
      <c r="CK534" s="279"/>
      <c r="CL534" s="279"/>
      <c r="CM534" s="279"/>
      <c r="CN534" s="382"/>
    </row>
    <row r="535" ht="15.75" customHeight="true" x14ac:dyDescent="0.25">
      <c r="B535" s="361"/>
      <c r="C535" s="279"/>
      <c r="D535" s="280"/>
      <c r="E535" s="287"/>
      <c r="F535" s="287"/>
      <c r="G535" s="287"/>
      <c r="H535" s="1292">
        <f t="shared" si="18"/>
        <v>42</v>
      </c>
      <c r="I535" s="1295" t="str">
        <f>IF('I. Stream &amp; Compound Data'!AA303&lt;&gt;"",'I. Stream &amp; Compound Data'!AA303,"")</f>
        <v/>
      </c>
      <c r="J535" s="1295" t="str">
        <f>IF('I. Stream &amp; Compound Data'!Z303&lt;&gt;"",'I. Stream &amp; Compound Data'!Z303,"")</f>
        <v/>
      </c>
      <c r="K535" s="1190" t="str">
        <f>IF('I. Stream &amp; Compound Data'!AP303&lt;&gt;"",'I. Stream &amp; Compound Data'!AP303,IF('I. Stream &amp; Compound Data'!AQ303&lt;&gt;"",'I. Stream &amp; Compound Data'!AQ303,""))</f>
        <v/>
      </c>
      <c r="L535" s="1190" t="str">
        <f>IF('I. Stream &amp; Compound Data'!AT303&lt;&gt;"",'I. Stream &amp; Compound Data'!AT303,IF('I. Stream &amp; Compound Data'!AU303&lt;&gt;"",'I. Stream &amp; Compound Data'!AU303,""))</f>
        <v/>
      </c>
      <c r="M535" s="1295" t="str">
        <f>IF('I. Stream &amp; Compound Data'!AR303&lt;&gt;"",'I. Stream &amp; Compound Data'!AR303,IF('I. Stream &amp; Compound Data'!AS303&lt;&gt;"",'I. Stream &amp; Compound Data'!AS303,""))</f>
        <v/>
      </c>
      <c r="N535" s="1306" t="str">
        <f>IF(H535&gt;'I. Stream &amp; Compound Data'!$F$18,"",IF(I535="","N/A",ROUND(IF(I535&lt;=10,1,IF(AND(I535&gt;10,I535&lt;100000),-0.109*LN(I535)+1.25,0)),3)))</f>
        <v/>
      </c>
      <c r="O535" s="1168" t="str">
        <f>IF(H535&gt;'I. Stream &amp; Compound Data'!$F$18,"",IF(N535="N/A",IF(J535&lt;&gt;"",ROUND(IF(J535&lt;=10,1,IF(AND(J535&gt;10,J535&lt;100000),-0.109*LN(J535)+1.25,0)),3),"N/A"),"N/A"))</f>
        <v/>
      </c>
      <c r="P535" s="1242" t="str">
        <f>IF(H535&gt;'I. Stream &amp; Compound Data'!$F$18,"",IF(AND(N535="N/A",O535="N/A"),IF(K535="","N/A",IF(K535="T+",0.875,IF(K535="T",0.625,IF(K535="Xn",0.375,"N/A")))),"N/A"))</f>
        <v/>
      </c>
      <c r="Q535" s="1242" t="str">
        <f>IF(H535&gt;'I. Stream &amp; Compound Data'!$F$18,"",IF(AND(N535="N/A",O535="N/A",P535="N/A"),IF(L535="","N/A",IF(L535=1,1,IF(L535=2,0.875,IF(L535=3,0.625,IF(L535=4,0.375,IF(L535=5,0.125,0)))))),"N/A"))</f>
        <v/>
      </c>
      <c r="R535" s="1242" t="str">
        <f>IF(H535&gt;'I. Stream &amp; Compound Data'!$F$18,"",IF(AND(N535="N/A",O535="N/A",P535="N/A",Q535="N/A"),IF(M535="","N/A",IF(OR(AND(M535&gt;=26,M535&lt;=29),M535=32),0.875,IF(OR(M535=23,M535=24,M535=25,M535=31),0.625,IF(OR(M535=20,M535=21,,M535=22),0.375,"N/A")))),"N/A"))</f>
        <v/>
      </c>
      <c r="S535" s="1242" t="str">
        <f>IF(H535&gt;'I. Stream &amp; Compound Data'!$F$18,"",IF(I183="","N/A",IF(N535&lt;&gt;"N/A",N535,IF(O535&lt;&gt;"N/A",O535,IF(P535&lt;&gt;"N/A",P535,IF(Q535&lt;&gt;"N/A",Q535,IF(R535&lt;&gt;"N/A",R535,"NO DATA AVAILABLE")))))))</f>
        <v/>
      </c>
      <c r="T535" s="1242" t="str">
        <f>IF(H535&gt;'I. Stream &amp; Compound Data'!$F$18,"",IF(S535="N/A",0,IF(S535&gt;0,ROUND(10^(4*S535+1),3),0)))</f>
        <v/>
      </c>
      <c r="U535" s="1242" t="str">
        <f>IF(H535&gt;'I. Stream &amp; Compound Data'!$F$18,"",IF(H535&gt;'I. Stream &amp; Compound Data'!$F$18,"",MAX(K183:L183)))</f>
        <v/>
      </c>
      <c r="V535" s="1268" t="str">
        <f>IF(H535&gt;'I. Stream &amp; Compound Data'!$F$18,"",ROUND(T535*U535,3))</f>
        <v/>
      </c>
      <c r="W535" s="279"/>
      <c r="X535" s="279"/>
      <c r="Y535" s="279"/>
      <c r="Z535" s="279"/>
      <c r="AA535" s="279"/>
      <c r="AB535" s="279"/>
      <c r="AC535" s="279"/>
      <c r="AD535" s="279"/>
      <c r="AE535" s="279"/>
      <c r="AF535" s="279"/>
      <c r="AG535" s="279"/>
      <c r="AH535" s="279"/>
      <c r="AI535" s="279"/>
      <c r="AJ535" s="279"/>
      <c r="AK535" s="279"/>
      <c r="AL535" s="279"/>
      <c r="AM535" s="279"/>
      <c r="AN535" s="279"/>
      <c r="AO535" s="279"/>
      <c r="AP535" s="279"/>
      <c r="AQ535" s="279"/>
      <c r="AR535" s="279"/>
      <c r="AS535" s="279"/>
      <c r="AT535" s="279"/>
      <c r="AU535" s="279"/>
      <c r="AV535" s="279"/>
      <c r="AW535" s="279"/>
      <c r="AX535" s="279"/>
      <c r="AY535" s="279"/>
      <c r="AZ535" s="279"/>
      <c r="BA535" s="279"/>
      <c r="BB535" s="279"/>
      <c r="BC535" s="279"/>
      <c r="BD535" s="279"/>
      <c r="BE535" s="279"/>
      <c r="BF535" s="279"/>
      <c r="BG535" s="279"/>
      <c r="BH535" s="279"/>
      <c r="BI535" s="279"/>
      <c r="BJ535" s="279"/>
      <c r="BK535" s="279"/>
      <c r="BL535" s="279"/>
      <c r="BM535" s="279"/>
      <c r="BN535" s="279"/>
      <c r="BO535" s="279"/>
      <c r="BP535" s="279"/>
      <c r="BQ535" s="279"/>
      <c r="BR535" s="279"/>
      <c r="BS535" s="279"/>
      <c r="BT535" s="279"/>
      <c r="BU535" s="279"/>
      <c r="BV535" s="279"/>
      <c r="BW535" s="279"/>
      <c r="BX535" s="279"/>
      <c r="BY535" s="279"/>
      <c r="BZ535" s="279"/>
      <c r="CA535" s="279"/>
      <c r="CB535" s="279"/>
      <c r="CC535" s="279"/>
      <c r="CD535" s="279"/>
      <c r="CE535" s="279"/>
      <c r="CF535" s="279"/>
      <c r="CG535" s="279"/>
      <c r="CH535" s="279"/>
      <c r="CI535" s="279"/>
      <c r="CJ535" s="279"/>
      <c r="CK535" s="279"/>
      <c r="CL535" s="279"/>
      <c r="CM535" s="279"/>
      <c r="CN535" s="382"/>
    </row>
    <row r="536" ht="15.75" customHeight="true" x14ac:dyDescent="0.25">
      <c r="B536" s="361"/>
      <c r="C536" s="279"/>
      <c r="D536" s="280"/>
      <c r="E536" s="287"/>
      <c r="F536" s="287"/>
      <c r="G536" s="287"/>
      <c r="H536" s="1292">
        <f t="shared" si="18"/>
        <v>43</v>
      </c>
      <c r="I536" s="1295" t="str">
        <f>IF('I. Stream &amp; Compound Data'!AA304&lt;&gt;"",'I. Stream &amp; Compound Data'!AA304,"")</f>
        <v/>
      </c>
      <c r="J536" s="1295" t="str">
        <f>IF('I. Stream &amp; Compound Data'!Z304&lt;&gt;"",'I. Stream &amp; Compound Data'!Z304,"")</f>
        <v/>
      </c>
      <c r="K536" s="1190" t="str">
        <f>IF('I. Stream &amp; Compound Data'!AP304&lt;&gt;"",'I. Stream &amp; Compound Data'!AP304,IF('I. Stream &amp; Compound Data'!AQ304&lt;&gt;"",'I. Stream &amp; Compound Data'!AQ304,""))</f>
        <v/>
      </c>
      <c r="L536" s="1190" t="str">
        <f>IF('I. Stream &amp; Compound Data'!AT304&lt;&gt;"",'I. Stream &amp; Compound Data'!AT304,IF('I. Stream &amp; Compound Data'!AU304&lt;&gt;"",'I. Stream &amp; Compound Data'!AU304,""))</f>
        <v/>
      </c>
      <c r="M536" s="1295" t="str">
        <f>IF('I. Stream &amp; Compound Data'!AR304&lt;&gt;"",'I. Stream &amp; Compound Data'!AR304,IF('I. Stream &amp; Compound Data'!AS304&lt;&gt;"",'I. Stream &amp; Compound Data'!AS304,""))</f>
        <v/>
      </c>
      <c r="N536" s="1306" t="str">
        <f>IF(H536&gt;'I. Stream &amp; Compound Data'!$F$18,"",IF(I536="","N/A",ROUND(IF(I536&lt;=10,1,IF(AND(I536&gt;10,I536&lt;100000),-0.109*LN(I536)+1.25,0)),3)))</f>
        <v/>
      </c>
      <c r="O536" s="1168" t="str">
        <f>IF(H536&gt;'I. Stream &amp; Compound Data'!$F$18,"",IF(N536="N/A",IF(J536&lt;&gt;"",ROUND(IF(J536&lt;=10,1,IF(AND(J536&gt;10,J536&lt;100000),-0.109*LN(J536)+1.25,0)),3),"N/A"),"N/A"))</f>
        <v/>
      </c>
      <c r="P536" s="1242" t="str">
        <f>IF(H536&gt;'I. Stream &amp; Compound Data'!$F$18,"",IF(AND(N536="N/A",O536="N/A"),IF(K536="","N/A",IF(K536="T+",0.875,IF(K536="T",0.625,IF(K536="Xn",0.375,"N/A")))),"N/A"))</f>
        <v/>
      </c>
      <c r="Q536" s="1242" t="str">
        <f>IF(H536&gt;'I. Stream &amp; Compound Data'!$F$18,"",IF(AND(N536="N/A",O536="N/A",P536="N/A"),IF(L536="","N/A",IF(L536=1,1,IF(L536=2,0.875,IF(L536=3,0.625,IF(L536=4,0.375,IF(L536=5,0.125,0)))))),"N/A"))</f>
        <v/>
      </c>
      <c r="R536" s="1242" t="str">
        <f>IF(H536&gt;'I. Stream &amp; Compound Data'!$F$18,"",IF(AND(N536="N/A",O536="N/A",P536="N/A",Q536="N/A"),IF(M536="","N/A",IF(OR(AND(M536&gt;=26,M536&lt;=29),M536=32),0.875,IF(OR(M536=23,M536=24,M536=25,M536=31),0.625,IF(OR(M536=20,M536=21,,M536=22),0.375,"N/A")))),"N/A"))</f>
        <v/>
      </c>
      <c r="S536" s="1242" t="str">
        <f>IF(H536&gt;'I. Stream &amp; Compound Data'!$F$18,"",IF(I184="","N/A",IF(N536&lt;&gt;"N/A",N536,IF(O536&lt;&gt;"N/A",O536,IF(P536&lt;&gt;"N/A",P536,IF(Q536&lt;&gt;"N/A",Q536,IF(R536&lt;&gt;"N/A",R536,"NO DATA AVAILABLE")))))))</f>
        <v/>
      </c>
      <c r="T536" s="1242" t="str">
        <f>IF(H536&gt;'I. Stream &amp; Compound Data'!$F$18,"",IF(S536="N/A",0,IF(S536&gt;0,ROUND(10^(4*S536+1),3),0)))</f>
        <v/>
      </c>
      <c r="U536" s="1242" t="str">
        <f>IF(H536&gt;'I. Stream &amp; Compound Data'!$F$18,"",IF(H536&gt;'I. Stream &amp; Compound Data'!$F$18,"",MAX(K184:L184)))</f>
        <v/>
      </c>
      <c r="V536" s="1268" t="str">
        <f>IF(H536&gt;'I. Stream &amp; Compound Data'!$F$18,"",ROUND(T536*U536,3))</f>
        <v/>
      </c>
      <c r="W536" s="279"/>
      <c r="X536" s="279"/>
      <c r="Y536" s="279"/>
      <c r="Z536" s="279"/>
      <c r="AA536" s="279"/>
      <c r="AB536" s="279"/>
      <c r="AC536" s="279"/>
      <c r="AD536" s="279"/>
      <c r="AE536" s="279"/>
      <c r="AF536" s="279"/>
      <c r="AG536" s="279"/>
      <c r="AH536" s="279"/>
      <c r="AI536" s="279"/>
      <c r="AJ536" s="279"/>
      <c r="AK536" s="279"/>
      <c r="AL536" s="279"/>
      <c r="AM536" s="279"/>
      <c r="AN536" s="279"/>
      <c r="AO536" s="279"/>
      <c r="AP536" s="279"/>
      <c r="AQ536" s="279"/>
      <c r="AR536" s="279"/>
      <c r="AS536" s="279"/>
      <c r="AT536" s="279"/>
      <c r="AU536" s="279"/>
      <c r="AV536" s="279"/>
      <c r="AW536" s="279"/>
      <c r="AX536" s="279"/>
      <c r="AY536" s="279"/>
      <c r="AZ536" s="279"/>
      <c r="BA536" s="279"/>
      <c r="BB536" s="279"/>
      <c r="BC536" s="279"/>
      <c r="BD536" s="279"/>
      <c r="BE536" s="279"/>
      <c r="BF536" s="279"/>
      <c r="BG536" s="279"/>
      <c r="BH536" s="279"/>
      <c r="BI536" s="279"/>
      <c r="BJ536" s="279"/>
      <c r="BK536" s="279"/>
      <c r="BL536" s="279"/>
      <c r="BM536" s="279"/>
      <c r="BN536" s="279"/>
      <c r="BO536" s="279"/>
      <c r="BP536" s="279"/>
      <c r="BQ536" s="279"/>
      <c r="BR536" s="279"/>
      <c r="BS536" s="279"/>
      <c r="BT536" s="279"/>
      <c r="BU536" s="279"/>
      <c r="BV536" s="279"/>
      <c r="BW536" s="279"/>
      <c r="BX536" s="279"/>
      <c r="BY536" s="279"/>
      <c r="BZ536" s="279"/>
      <c r="CA536" s="279"/>
      <c r="CB536" s="279"/>
      <c r="CC536" s="279"/>
      <c r="CD536" s="279"/>
      <c r="CE536" s="279"/>
      <c r="CF536" s="279"/>
      <c r="CG536" s="279"/>
      <c r="CH536" s="279"/>
      <c r="CI536" s="279"/>
      <c r="CJ536" s="279"/>
      <c r="CK536" s="279"/>
      <c r="CL536" s="279"/>
      <c r="CM536" s="279"/>
      <c r="CN536" s="382"/>
    </row>
    <row r="537" ht="15.75" customHeight="true" x14ac:dyDescent="0.25">
      <c r="B537" s="361"/>
      <c r="C537" s="279"/>
      <c r="D537" s="280"/>
      <c r="E537" s="287"/>
      <c r="F537" s="287"/>
      <c r="G537" s="287"/>
      <c r="H537" s="1292">
        <f t="shared" si="18"/>
        <v>44</v>
      </c>
      <c r="I537" s="1295" t="str">
        <f>IF('I. Stream &amp; Compound Data'!AA305&lt;&gt;"",'I. Stream &amp; Compound Data'!AA305,"")</f>
        <v/>
      </c>
      <c r="J537" s="1295" t="str">
        <f>IF('I. Stream &amp; Compound Data'!Z305&lt;&gt;"",'I. Stream &amp; Compound Data'!Z305,"")</f>
        <v/>
      </c>
      <c r="K537" s="1190" t="str">
        <f>IF('I. Stream &amp; Compound Data'!AP305&lt;&gt;"",'I. Stream &amp; Compound Data'!AP305,IF('I. Stream &amp; Compound Data'!AQ305&lt;&gt;"",'I. Stream &amp; Compound Data'!AQ305,""))</f>
        <v/>
      </c>
      <c r="L537" s="1190" t="str">
        <f>IF('I. Stream &amp; Compound Data'!AT305&lt;&gt;"",'I. Stream &amp; Compound Data'!AT305,IF('I. Stream &amp; Compound Data'!AU305&lt;&gt;"",'I. Stream &amp; Compound Data'!AU305,""))</f>
        <v/>
      </c>
      <c r="M537" s="1295" t="str">
        <f>IF('I. Stream &amp; Compound Data'!AR305&lt;&gt;"",'I. Stream &amp; Compound Data'!AR305,IF('I. Stream &amp; Compound Data'!AS305&lt;&gt;"",'I. Stream &amp; Compound Data'!AS305,""))</f>
        <v/>
      </c>
      <c r="N537" s="1306" t="str">
        <f>IF(H537&gt;'I. Stream &amp; Compound Data'!$F$18,"",IF(I537="","N/A",ROUND(IF(I537&lt;=10,1,IF(AND(I537&gt;10,I537&lt;100000),-0.109*LN(I537)+1.25,0)),3)))</f>
        <v/>
      </c>
      <c r="O537" s="1168" t="str">
        <f>IF(H537&gt;'I. Stream &amp; Compound Data'!$F$18,"",IF(N537="N/A",IF(J537&lt;&gt;"",ROUND(IF(J537&lt;=10,1,IF(AND(J537&gt;10,J537&lt;100000),-0.109*LN(J537)+1.25,0)),3),"N/A"),"N/A"))</f>
        <v/>
      </c>
      <c r="P537" s="1242" t="str">
        <f>IF(H537&gt;'I. Stream &amp; Compound Data'!$F$18,"",IF(AND(N537="N/A",O537="N/A"),IF(K537="","N/A",IF(K537="T+",0.875,IF(K537="T",0.625,IF(K537="Xn",0.375,"N/A")))),"N/A"))</f>
        <v/>
      </c>
      <c r="Q537" s="1242" t="str">
        <f>IF(H537&gt;'I. Stream &amp; Compound Data'!$F$18,"",IF(AND(N537="N/A",O537="N/A",P537="N/A"),IF(L537="","N/A",IF(L537=1,1,IF(L537=2,0.875,IF(L537=3,0.625,IF(L537=4,0.375,IF(L537=5,0.125,0)))))),"N/A"))</f>
        <v/>
      </c>
      <c r="R537" s="1242" t="str">
        <f>IF(H537&gt;'I. Stream &amp; Compound Data'!$F$18,"",IF(AND(N537="N/A",O537="N/A",P537="N/A",Q537="N/A"),IF(M537="","N/A",IF(OR(AND(M537&gt;=26,M537&lt;=29),M537=32),0.875,IF(OR(M537=23,M537=24,M537=25,M537=31),0.625,IF(OR(M537=20,M537=21,,M537=22),0.375,"N/A")))),"N/A"))</f>
        <v/>
      </c>
      <c r="S537" s="1242" t="str">
        <f>IF(H537&gt;'I. Stream &amp; Compound Data'!$F$18,"",IF(I185="","N/A",IF(N537&lt;&gt;"N/A",N537,IF(O537&lt;&gt;"N/A",O537,IF(P537&lt;&gt;"N/A",P537,IF(Q537&lt;&gt;"N/A",Q537,IF(R537&lt;&gt;"N/A",R537,"NO DATA AVAILABLE")))))))</f>
        <v/>
      </c>
      <c r="T537" s="1242" t="str">
        <f>IF(H537&gt;'I. Stream &amp; Compound Data'!$F$18,"",IF(S537="N/A",0,IF(S537&gt;0,ROUND(10^(4*S537+1),3),0)))</f>
        <v/>
      </c>
      <c r="U537" s="1242" t="str">
        <f>IF(H537&gt;'I. Stream &amp; Compound Data'!$F$18,"",IF(H537&gt;'I. Stream &amp; Compound Data'!$F$18,"",MAX(K185:L185)))</f>
        <v/>
      </c>
      <c r="V537" s="1268" t="str">
        <f>IF(H537&gt;'I. Stream &amp; Compound Data'!$F$18,"",ROUND(T537*U537,3))</f>
        <v/>
      </c>
      <c r="W537" s="279"/>
      <c r="X537" s="279"/>
      <c r="Y537" s="279"/>
      <c r="Z537" s="279"/>
      <c r="AA537" s="279"/>
      <c r="AB537" s="279"/>
      <c r="AC537" s="279"/>
      <c r="AD537" s="279"/>
      <c r="AE537" s="279"/>
      <c r="AF537" s="279"/>
      <c r="AG537" s="279"/>
      <c r="AH537" s="279"/>
      <c r="AI537" s="279"/>
      <c r="AJ537" s="279"/>
      <c r="AK537" s="279"/>
      <c r="AL537" s="279"/>
      <c r="AM537" s="279"/>
      <c r="AN537" s="279"/>
      <c r="AO537" s="279"/>
      <c r="AP537" s="279"/>
      <c r="AQ537" s="279"/>
      <c r="AR537" s="279"/>
      <c r="AS537" s="279"/>
      <c r="AT537" s="279"/>
      <c r="AU537" s="279"/>
      <c r="AV537" s="279"/>
      <c r="AW537" s="279"/>
      <c r="AX537" s="279"/>
      <c r="AY537" s="279"/>
      <c r="AZ537" s="279"/>
      <c r="BA537" s="279"/>
      <c r="BB537" s="279"/>
      <c r="BC537" s="279"/>
      <c r="BD537" s="279"/>
      <c r="BE537" s="279"/>
      <c r="BF537" s="279"/>
      <c r="BG537" s="279"/>
      <c r="BH537" s="279"/>
      <c r="BI537" s="279"/>
      <c r="BJ537" s="279"/>
      <c r="BK537" s="279"/>
      <c r="BL537" s="279"/>
      <c r="BM537" s="279"/>
      <c r="BN537" s="279"/>
      <c r="BO537" s="279"/>
      <c r="BP537" s="279"/>
      <c r="BQ537" s="279"/>
      <c r="BR537" s="279"/>
      <c r="BS537" s="279"/>
      <c r="BT537" s="279"/>
      <c r="BU537" s="279"/>
      <c r="BV537" s="279"/>
      <c r="BW537" s="279"/>
      <c r="BX537" s="279"/>
      <c r="BY537" s="279"/>
      <c r="BZ537" s="279"/>
      <c r="CA537" s="279"/>
      <c r="CB537" s="279"/>
      <c r="CC537" s="279"/>
      <c r="CD537" s="279"/>
      <c r="CE537" s="279"/>
      <c r="CF537" s="279"/>
      <c r="CG537" s="279"/>
      <c r="CH537" s="279"/>
      <c r="CI537" s="279"/>
      <c r="CJ537" s="279"/>
      <c r="CK537" s="279"/>
      <c r="CL537" s="279"/>
      <c r="CM537" s="279"/>
      <c r="CN537" s="382"/>
    </row>
    <row r="538" ht="15.75" customHeight="true" x14ac:dyDescent="0.25">
      <c r="B538" s="361"/>
      <c r="C538" s="279"/>
      <c r="D538" s="280"/>
      <c r="E538" s="287"/>
      <c r="F538" s="287"/>
      <c r="G538" s="287"/>
      <c r="H538" s="1292">
        <f t="shared" si="18"/>
        <v>45</v>
      </c>
      <c r="I538" s="1295" t="str">
        <f>IF('I. Stream &amp; Compound Data'!AA306&lt;&gt;"",'I. Stream &amp; Compound Data'!AA306,"")</f>
        <v/>
      </c>
      <c r="J538" s="1295" t="str">
        <f>IF('I. Stream &amp; Compound Data'!Z306&lt;&gt;"",'I. Stream &amp; Compound Data'!Z306,"")</f>
        <v/>
      </c>
      <c r="K538" s="1190" t="str">
        <f>IF('I. Stream &amp; Compound Data'!AP306&lt;&gt;"",'I. Stream &amp; Compound Data'!AP306,IF('I. Stream &amp; Compound Data'!AQ306&lt;&gt;"",'I. Stream &amp; Compound Data'!AQ306,""))</f>
        <v/>
      </c>
      <c r="L538" s="1190" t="str">
        <f>IF('I. Stream &amp; Compound Data'!AT306&lt;&gt;"",'I. Stream &amp; Compound Data'!AT306,IF('I. Stream &amp; Compound Data'!AU306&lt;&gt;"",'I. Stream &amp; Compound Data'!AU306,""))</f>
        <v/>
      </c>
      <c r="M538" s="1295" t="str">
        <f>IF('I. Stream &amp; Compound Data'!AR306&lt;&gt;"",'I. Stream &amp; Compound Data'!AR306,IF('I. Stream &amp; Compound Data'!AS306&lt;&gt;"",'I. Stream &amp; Compound Data'!AS306,""))</f>
        <v/>
      </c>
      <c r="N538" s="1306" t="str">
        <f>IF(H538&gt;'I. Stream &amp; Compound Data'!$F$18,"",IF(I538="","N/A",ROUND(IF(I538&lt;=10,1,IF(AND(I538&gt;10,I538&lt;100000),-0.109*LN(I538)+1.25,0)),3)))</f>
        <v/>
      </c>
      <c r="O538" s="1168" t="str">
        <f>IF(H538&gt;'I. Stream &amp; Compound Data'!$F$18,"",IF(N538="N/A",IF(J538&lt;&gt;"",ROUND(IF(J538&lt;=10,1,IF(AND(J538&gt;10,J538&lt;100000),-0.109*LN(J538)+1.25,0)),3),"N/A"),"N/A"))</f>
        <v/>
      </c>
      <c r="P538" s="1242" t="str">
        <f>IF(H538&gt;'I. Stream &amp; Compound Data'!$F$18,"",IF(AND(N538="N/A",O538="N/A"),IF(K538="","N/A",IF(K538="T+",0.875,IF(K538="T",0.625,IF(K538="Xn",0.375,"N/A")))),"N/A"))</f>
        <v/>
      </c>
      <c r="Q538" s="1242" t="str">
        <f>IF(H538&gt;'I. Stream &amp; Compound Data'!$F$18,"",IF(AND(N538="N/A",O538="N/A",P538="N/A"),IF(L538="","N/A",IF(L538=1,1,IF(L538=2,0.875,IF(L538=3,0.625,IF(L538=4,0.375,IF(L538=5,0.125,0)))))),"N/A"))</f>
        <v/>
      </c>
      <c r="R538" s="1242" t="str">
        <f>IF(H538&gt;'I. Stream &amp; Compound Data'!$F$18,"",IF(AND(N538="N/A",O538="N/A",P538="N/A",Q538="N/A"),IF(M538="","N/A",IF(OR(AND(M538&gt;=26,M538&lt;=29),M538=32),0.875,IF(OR(M538=23,M538=24,M538=25,M538=31),0.625,IF(OR(M538=20,M538=21,,M538=22),0.375,"N/A")))),"N/A"))</f>
        <v/>
      </c>
      <c r="S538" s="1242" t="str">
        <f>IF(H538&gt;'I. Stream &amp; Compound Data'!$F$18,"",IF(I186="","N/A",IF(N538&lt;&gt;"N/A",N538,IF(O538&lt;&gt;"N/A",O538,IF(P538&lt;&gt;"N/A",P538,IF(Q538&lt;&gt;"N/A",Q538,IF(R538&lt;&gt;"N/A",R538,"NO DATA AVAILABLE")))))))</f>
        <v/>
      </c>
      <c r="T538" s="1242" t="str">
        <f>IF(H538&gt;'I. Stream &amp; Compound Data'!$F$18,"",IF(S538="N/A",0,IF(S538&gt;0,ROUND(10^(4*S538+1),3),0)))</f>
        <v/>
      </c>
      <c r="U538" s="1242" t="str">
        <f>IF(H538&gt;'I. Stream &amp; Compound Data'!$F$18,"",IF(H538&gt;'I. Stream &amp; Compound Data'!$F$18,"",MAX(K186:L186)))</f>
        <v/>
      </c>
      <c r="V538" s="1268" t="str">
        <f>IF(H538&gt;'I. Stream &amp; Compound Data'!$F$18,"",ROUND(T538*U538,3))</f>
        <v/>
      </c>
      <c r="W538" s="279"/>
      <c r="X538" s="279"/>
      <c r="Y538" s="279"/>
      <c r="Z538" s="279"/>
      <c r="AA538" s="279"/>
      <c r="AB538" s="279"/>
      <c r="AC538" s="279"/>
      <c r="AD538" s="279"/>
      <c r="AE538" s="279"/>
      <c r="AF538" s="279"/>
      <c r="AG538" s="279"/>
      <c r="AH538" s="279"/>
      <c r="AI538" s="279"/>
      <c r="AJ538" s="279"/>
      <c r="AK538" s="279"/>
      <c r="AL538" s="279"/>
      <c r="AM538" s="279"/>
      <c r="AN538" s="279"/>
      <c r="AO538" s="279"/>
      <c r="AP538" s="279"/>
      <c r="AQ538" s="279"/>
      <c r="AR538" s="279"/>
      <c r="AS538" s="279"/>
      <c r="AT538" s="279"/>
      <c r="AU538" s="279"/>
      <c r="AV538" s="279"/>
      <c r="AW538" s="279"/>
      <c r="AX538" s="279"/>
      <c r="AY538" s="279"/>
      <c r="AZ538" s="279"/>
      <c r="BA538" s="279"/>
      <c r="BB538" s="279"/>
      <c r="BC538" s="279"/>
      <c r="BD538" s="279"/>
      <c r="BE538" s="279"/>
      <c r="BF538" s="279"/>
      <c r="BG538" s="279"/>
      <c r="BH538" s="279"/>
      <c r="BI538" s="279"/>
      <c r="BJ538" s="279"/>
      <c r="BK538" s="279"/>
      <c r="BL538" s="279"/>
      <c r="BM538" s="279"/>
      <c r="BN538" s="279"/>
      <c r="BO538" s="279"/>
      <c r="BP538" s="279"/>
      <c r="BQ538" s="279"/>
      <c r="BR538" s="279"/>
      <c r="BS538" s="279"/>
      <c r="BT538" s="279"/>
      <c r="BU538" s="279"/>
      <c r="BV538" s="279"/>
      <c r="BW538" s="279"/>
      <c r="BX538" s="279"/>
      <c r="BY538" s="279"/>
      <c r="BZ538" s="279"/>
      <c r="CA538" s="279"/>
      <c r="CB538" s="279"/>
      <c r="CC538" s="279"/>
      <c r="CD538" s="279"/>
      <c r="CE538" s="279"/>
      <c r="CF538" s="279"/>
      <c r="CG538" s="279"/>
      <c r="CH538" s="279"/>
      <c r="CI538" s="279"/>
      <c r="CJ538" s="279"/>
      <c r="CK538" s="279"/>
      <c r="CL538" s="279"/>
      <c r="CM538" s="279"/>
      <c r="CN538" s="382"/>
    </row>
    <row r="539" ht="15.75" customHeight="true" x14ac:dyDescent="0.25">
      <c r="B539" s="361"/>
      <c r="C539" s="279"/>
      <c r="D539" s="280"/>
      <c r="E539" s="287"/>
      <c r="F539" s="287"/>
      <c r="G539" s="287"/>
      <c r="H539" s="1292">
        <f t="shared" si="18"/>
        <v>46</v>
      </c>
      <c r="I539" s="1295" t="str">
        <f>IF('I. Stream &amp; Compound Data'!AA307&lt;&gt;"",'I. Stream &amp; Compound Data'!AA307,"")</f>
        <v/>
      </c>
      <c r="J539" s="1295" t="str">
        <f>IF('I. Stream &amp; Compound Data'!Z307&lt;&gt;"",'I. Stream &amp; Compound Data'!Z307,"")</f>
        <v/>
      </c>
      <c r="K539" s="1190" t="str">
        <f>IF('I. Stream &amp; Compound Data'!AP307&lt;&gt;"",'I. Stream &amp; Compound Data'!AP307,IF('I. Stream &amp; Compound Data'!AQ307&lt;&gt;"",'I. Stream &amp; Compound Data'!AQ307,""))</f>
        <v/>
      </c>
      <c r="L539" s="1190" t="str">
        <f>IF('I. Stream &amp; Compound Data'!AT307&lt;&gt;"",'I. Stream &amp; Compound Data'!AT307,IF('I. Stream &amp; Compound Data'!AU307&lt;&gt;"",'I. Stream &amp; Compound Data'!AU307,""))</f>
        <v/>
      </c>
      <c r="M539" s="1295" t="str">
        <f>IF('I. Stream &amp; Compound Data'!AR307&lt;&gt;"",'I. Stream &amp; Compound Data'!AR307,IF('I. Stream &amp; Compound Data'!AS307&lt;&gt;"",'I. Stream &amp; Compound Data'!AS307,""))</f>
        <v/>
      </c>
      <c r="N539" s="1306" t="str">
        <f>IF(H539&gt;'I. Stream &amp; Compound Data'!$F$18,"",IF(I539="","N/A",ROUND(IF(I539&lt;=10,1,IF(AND(I539&gt;10,I539&lt;100000),-0.109*LN(I539)+1.25,0)),3)))</f>
        <v/>
      </c>
      <c r="O539" s="1168" t="str">
        <f>IF(H539&gt;'I. Stream &amp; Compound Data'!$F$18,"",IF(N539="N/A",IF(J539&lt;&gt;"",ROUND(IF(J539&lt;=10,1,IF(AND(J539&gt;10,J539&lt;100000),-0.109*LN(J539)+1.25,0)),3),"N/A"),"N/A"))</f>
        <v/>
      </c>
      <c r="P539" s="1242" t="str">
        <f>IF(H539&gt;'I. Stream &amp; Compound Data'!$F$18,"",IF(AND(N539="N/A",O539="N/A"),IF(K539="","N/A",IF(K539="T+",0.875,IF(K539="T",0.625,IF(K539="Xn",0.375,"N/A")))),"N/A"))</f>
        <v/>
      </c>
      <c r="Q539" s="1242" t="str">
        <f>IF(H539&gt;'I. Stream &amp; Compound Data'!$F$18,"",IF(AND(N539="N/A",O539="N/A",P539="N/A"),IF(L539="","N/A",IF(L539=1,1,IF(L539=2,0.875,IF(L539=3,0.625,IF(L539=4,0.375,IF(L539=5,0.125,0)))))),"N/A"))</f>
        <v/>
      </c>
      <c r="R539" s="1242" t="str">
        <f>IF(H539&gt;'I. Stream &amp; Compound Data'!$F$18,"",IF(AND(N539="N/A",O539="N/A",P539="N/A",Q539="N/A"),IF(M539="","N/A",IF(OR(AND(M539&gt;=26,M539&lt;=29),M539=32),0.875,IF(OR(M539=23,M539=24,M539=25,M539=31),0.625,IF(OR(M539=20,M539=21,,M539=22),0.375,"N/A")))),"N/A"))</f>
        <v/>
      </c>
      <c r="S539" s="1242" t="str">
        <f>IF(H539&gt;'I. Stream &amp; Compound Data'!$F$18,"",IF(I187="","N/A",IF(N539&lt;&gt;"N/A",N539,IF(O539&lt;&gt;"N/A",O539,IF(P539&lt;&gt;"N/A",P539,IF(Q539&lt;&gt;"N/A",Q539,IF(R539&lt;&gt;"N/A",R539,"NO DATA AVAILABLE")))))))</f>
        <v/>
      </c>
      <c r="T539" s="1242" t="str">
        <f>IF(H539&gt;'I. Stream &amp; Compound Data'!$F$18,"",IF(S539="N/A",0,IF(S539&gt;0,ROUND(10^(4*S539+1),3),0)))</f>
        <v/>
      </c>
      <c r="U539" s="1242" t="str">
        <f>IF(H539&gt;'I. Stream &amp; Compound Data'!$F$18,"",IF(H539&gt;'I. Stream &amp; Compound Data'!$F$18,"",MAX(K187:L187)))</f>
        <v/>
      </c>
      <c r="V539" s="1268" t="str">
        <f>IF(H539&gt;'I. Stream &amp; Compound Data'!$F$18,"",ROUND(T539*U539,3))</f>
        <v/>
      </c>
      <c r="W539" s="279"/>
      <c r="X539" s="279"/>
      <c r="Y539" s="279"/>
      <c r="Z539" s="279"/>
      <c r="AA539" s="279"/>
      <c r="AB539" s="279"/>
      <c r="AC539" s="279"/>
      <c r="AD539" s="279"/>
      <c r="AE539" s="279"/>
      <c r="AF539" s="279"/>
      <c r="AG539" s="279"/>
      <c r="AH539" s="279"/>
      <c r="AI539" s="279"/>
      <c r="AJ539" s="279"/>
      <c r="AK539" s="279"/>
      <c r="AL539" s="279"/>
      <c r="AM539" s="279"/>
      <c r="AN539" s="279"/>
      <c r="AO539" s="279"/>
      <c r="AP539" s="279"/>
      <c r="AQ539" s="279"/>
      <c r="AR539" s="279"/>
      <c r="AS539" s="279"/>
      <c r="AT539" s="279"/>
      <c r="AU539" s="279"/>
      <c r="AV539" s="279"/>
      <c r="AW539" s="279"/>
      <c r="AX539" s="279"/>
      <c r="AY539" s="279"/>
      <c r="AZ539" s="279"/>
      <c r="BA539" s="279"/>
      <c r="BB539" s="279"/>
      <c r="BC539" s="279"/>
      <c r="BD539" s="279"/>
      <c r="BE539" s="279"/>
      <c r="BF539" s="279"/>
      <c r="BG539" s="279"/>
      <c r="BH539" s="279"/>
      <c r="BI539" s="279"/>
      <c r="BJ539" s="279"/>
      <c r="BK539" s="279"/>
      <c r="BL539" s="279"/>
      <c r="BM539" s="279"/>
      <c r="BN539" s="279"/>
      <c r="BO539" s="279"/>
      <c r="BP539" s="279"/>
      <c r="BQ539" s="279"/>
      <c r="BR539" s="279"/>
      <c r="BS539" s="279"/>
      <c r="BT539" s="279"/>
      <c r="BU539" s="279"/>
      <c r="BV539" s="279"/>
      <c r="BW539" s="279"/>
      <c r="BX539" s="279"/>
      <c r="BY539" s="279"/>
      <c r="BZ539" s="279"/>
      <c r="CA539" s="279"/>
      <c r="CB539" s="279"/>
      <c r="CC539" s="279"/>
      <c r="CD539" s="279"/>
      <c r="CE539" s="279"/>
      <c r="CF539" s="279"/>
      <c r="CG539" s="279"/>
      <c r="CH539" s="279"/>
      <c r="CI539" s="279"/>
      <c r="CJ539" s="279"/>
      <c r="CK539" s="279"/>
      <c r="CL539" s="279"/>
      <c r="CM539" s="279"/>
      <c r="CN539" s="382"/>
    </row>
    <row r="540" ht="15.75" customHeight="true" x14ac:dyDescent="0.25">
      <c r="B540" s="361"/>
      <c r="C540" s="279"/>
      <c r="D540" s="280"/>
      <c r="E540" s="287"/>
      <c r="F540" s="287"/>
      <c r="G540" s="287"/>
      <c r="H540" s="1292">
        <f t="shared" si="18"/>
        <v>47</v>
      </c>
      <c r="I540" s="1295" t="str">
        <f>IF('I. Stream &amp; Compound Data'!AA308&lt;&gt;"",'I. Stream &amp; Compound Data'!AA308,"")</f>
        <v/>
      </c>
      <c r="J540" s="1295" t="str">
        <f>IF('I. Stream &amp; Compound Data'!Z308&lt;&gt;"",'I. Stream &amp; Compound Data'!Z308,"")</f>
        <v/>
      </c>
      <c r="K540" s="1190" t="str">
        <f>IF('I. Stream &amp; Compound Data'!AP308&lt;&gt;"",'I. Stream &amp; Compound Data'!AP308,IF('I. Stream &amp; Compound Data'!AQ308&lt;&gt;"",'I. Stream &amp; Compound Data'!AQ308,""))</f>
        <v/>
      </c>
      <c r="L540" s="1190" t="str">
        <f>IF('I. Stream &amp; Compound Data'!AT308&lt;&gt;"",'I. Stream &amp; Compound Data'!AT308,IF('I. Stream &amp; Compound Data'!AU308&lt;&gt;"",'I. Stream &amp; Compound Data'!AU308,""))</f>
        <v/>
      </c>
      <c r="M540" s="1295" t="str">
        <f>IF('I. Stream &amp; Compound Data'!AR308&lt;&gt;"",'I. Stream &amp; Compound Data'!AR308,IF('I. Stream &amp; Compound Data'!AS308&lt;&gt;"",'I. Stream &amp; Compound Data'!AS308,""))</f>
        <v/>
      </c>
      <c r="N540" s="1306" t="str">
        <f>IF(H540&gt;'I. Stream &amp; Compound Data'!$F$18,"",IF(I540="","N/A",ROUND(IF(I540&lt;=10,1,IF(AND(I540&gt;10,I540&lt;100000),-0.109*LN(I540)+1.25,0)),3)))</f>
        <v/>
      </c>
      <c r="O540" s="1168" t="str">
        <f>IF(H540&gt;'I. Stream &amp; Compound Data'!$F$18,"",IF(N540="N/A",IF(J540&lt;&gt;"",ROUND(IF(J540&lt;=10,1,IF(AND(J540&gt;10,J540&lt;100000),-0.109*LN(J540)+1.25,0)),3),"N/A"),"N/A"))</f>
        <v/>
      </c>
      <c r="P540" s="1242" t="str">
        <f>IF(H540&gt;'I. Stream &amp; Compound Data'!$F$18,"",IF(AND(N540="N/A",O540="N/A"),IF(K540="","N/A",IF(K540="T+",0.875,IF(K540="T",0.625,IF(K540="Xn",0.375,"N/A")))),"N/A"))</f>
        <v/>
      </c>
      <c r="Q540" s="1242" t="str">
        <f>IF(H540&gt;'I. Stream &amp; Compound Data'!$F$18,"",IF(AND(N540="N/A",O540="N/A",P540="N/A"),IF(L540="","N/A",IF(L540=1,1,IF(L540=2,0.875,IF(L540=3,0.625,IF(L540=4,0.375,IF(L540=5,0.125,0)))))),"N/A"))</f>
        <v/>
      </c>
      <c r="R540" s="1242" t="str">
        <f>IF(H540&gt;'I. Stream &amp; Compound Data'!$F$18,"",IF(AND(N540="N/A",O540="N/A",P540="N/A",Q540="N/A"),IF(M540="","N/A",IF(OR(AND(M540&gt;=26,M540&lt;=29),M540=32),0.875,IF(OR(M540=23,M540=24,M540=25,M540=31),0.625,IF(OR(M540=20,M540=21,,M540=22),0.375,"N/A")))),"N/A"))</f>
        <v/>
      </c>
      <c r="S540" s="1242" t="str">
        <f>IF(H540&gt;'I. Stream &amp; Compound Data'!$F$18,"",IF(I188="","N/A",IF(N540&lt;&gt;"N/A",N540,IF(O540&lt;&gt;"N/A",O540,IF(P540&lt;&gt;"N/A",P540,IF(Q540&lt;&gt;"N/A",Q540,IF(R540&lt;&gt;"N/A",R540,"NO DATA AVAILABLE")))))))</f>
        <v/>
      </c>
      <c r="T540" s="1242" t="str">
        <f>IF(H540&gt;'I. Stream &amp; Compound Data'!$F$18,"",IF(S540="N/A",0,IF(S540&gt;0,ROUND(10^(4*S540+1),3),0)))</f>
        <v/>
      </c>
      <c r="U540" s="1242" t="str">
        <f>IF(H540&gt;'I. Stream &amp; Compound Data'!$F$18,"",IF(H540&gt;'I. Stream &amp; Compound Data'!$F$18,"",MAX(K188:L188)))</f>
        <v/>
      </c>
      <c r="V540" s="1268" t="str">
        <f>IF(H540&gt;'I. Stream &amp; Compound Data'!$F$18,"",ROUND(T540*U540,3))</f>
        <v/>
      </c>
      <c r="W540" s="279"/>
      <c r="X540" s="279"/>
      <c r="Y540" s="279"/>
      <c r="Z540" s="279"/>
      <c r="AA540" s="279"/>
      <c r="AB540" s="279"/>
      <c r="AC540" s="279"/>
      <c r="AD540" s="279"/>
      <c r="AE540" s="279"/>
      <c r="AF540" s="279"/>
      <c r="AG540" s="279"/>
      <c r="AH540" s="279"/>
      <c r="AI540" s="279"/>
      <c r="AJ540" s="279"/>
      <c r="AK540" s="279"/>
      <c r="AL540" s="279"/>
      <c r="AM540" s="279"/>
      <c r="AN540" s="279"/>
      <c r="AO540" s="279"/>
      <c r="AP540" s="279"/>
      <c r="AQ540" s="279"/>
      <c r="AR540" s="279"/>
      <c r="AS540" s="279"/>
      <c r="AT540" s="279"/>
      <c r="AU540" s="279"/>
      <c r="AV540" s="279"/>
      <c r="AW540" s="279"/>
      <c r="AX540" s="279"/>
      <c r="AY540" s="279"/>
      <c r="AZ540" s="279"/>
      <c r="BA540" s="279"/>
      <c r="BB540" s="279"/>
      <c r="BC540" s="279"/>
      <c r="BD540" s="279"/>
      <c r="BE540" s="279"/>
      <c r="BF540" s="279"/>
      <c r="BG540" s="279"/>
      <c r="BH540" s="279"/>
      <c r="BI540" s="279"/>
      <c r="BJ540" s="279"/>
      <c r="BK540" s="279"/>
      <c r="BL540" s="279"/>
      <c r="BM540" s="279"/>
      <c r="BN540" s="279"/>
      <c r="BO540" s="279"/>
      <c r="BP540" s="279"/>
      <c r="BQ540" s="279"/>
      <c r="BR540" s="279"/>
      <c r="BS540" s="279"/>
      <c r="BT540" s="279"/>
      <c r="BU540" s="279"/>
      <c r="BV540" s="279"/>
      <c r="BW540" s="279"/>
      <c r="BX540" s="279"/>
      <c r="BY540" s="279"/>
      <c r="BZ540" s="279"/>
      <c r="CA540" s="279"/>
      <c r="CB540" s="279"/>
      <c r="CC540" s="279"/>
      <c r="CD540" s="279"/>
      <c r="CE540" s="279"/>
      <c r="CF540" s="279"/>
      <c r="CG540" s="279"/>
      <c r="CH540" s="279"/>
      <c r="CI540" s="279"/>
      <c r="CJ540" s="279"/>
      <c r="CK540" s="279"/>
      <c r="CL540" s="279"/>
      <c r="CM540" s="279"/>
      <c r="CN540" s="382"/>
    </row>
    <row r="541" ht="15.75" customHeight="true" x14ac:dyDescent="0.25">
      <c r="B541" s="361"/>
      <c r="C541" s="279"/>
      <c r="D541" s="280"/>
      <c r="E541" s="287"/>
      <c r="F541" s="287"/>
      <c r="G541" s="287"/>
      <c r="H541" s="1292">
        <f t="shared" si="18"/>
        <v>48</v>
      </c>
      <c r="I541" s="1295" t="str">
        <f>IF('I. Stream &amp; Compound Data'!AA309&lt;&gt;"",'I. Stream &amp; Compound Data'!AA309,"")</f>
        <v/>
      </c>
      <c r="J541" s="1295" t="str">
        <f>IF('I. Stream &amp; Compound Data'!Z309&lt;&gt;"",'I. Stream &amp; Compound Data'!Z309,"")</f>
        <v/>
      </c>
      <c r="K541" s="1190" t="str">
        <f>IF('I. Stream &amp; Compound Data'!AP309&lt;&gt;"",'I. Stream &amp; Compound Data'!AP309,IF('I. Stream &amp; Compound Data'!AQ309&lt;&gt;"",'I. Stream &amp; Compound Data'!AQ309,""))</f>
        <v/>
      </c>
      <c r="L541" s="1190" t="str">
        <f>IF('I. Stream &amp; Compound Data'!AT309&lt;&gt;"",'I. Stream &amp; Compound Data'!AT309,IF('I. Stream &amp; Compound Data'!AU309&lt;&gt;"",'I. Stream &amp; Compound Data'!AU309,""))</f>
        <v/>
      </c>
      <c r="M541" s="1295" t="str">
        <f>IF('I. Stream &amp; Compound Data'!AR309&lt;&gt;"",'I. Stream &amp; Compound Data'!AR309,IF('I. Stream &amp; Compound Data'!AS309&lt;&gt;"",'I. Stream &amp; Compound Data'!AS309,""))</f>
        <v/>
      </c>
      <c r="N541" s="1306" t="str">
        <f>IF(H541&gt;'I. Stream &amp; Compound Data'!$F$18,"",IF(I541="","N/A",ROUND(IF(I541&lt;=10,1,IF(AND(I541&gt;10,I541&lt;100000),-0.109*LN(I541)+1.25,0)),3)))</f>
        <v/>
      </c>
      <c r="O541" s="1168" t="str">
        <f>IF(H541&gt;'I. Stream &amp; Compound Data'!$F$18,"",IF(N541="N/A",IF(J541&lt;&gt;"",ROUND(IF(J541&lt;=10,1,IF(AND(J541&gt;10,J541&lt;100000),-0.109*LN(J541)+1.25,0)),3),"N/A"),"N/A"))</f>
        <v/>
      </c>
      <c r="P541" s="1242" t="str">
        <f>IF(H541&gt;'I. Stream &amp; Compound Data'!$F$18,"",IF(AND(N541="N/A",O541="N/A"),IF(K541="","N/A",IF(K541="T+",0.875,IF(K541="T",0.625,IF(K541="Xn",0.375,"N/A")))),"N/A"))</f>
        <v/>
      </c>
      <c r="Q541" s="1242" t="str">
        <f>IF(H541&gt;'I. Stream &amp; Compound Data'!$F$18,"",IF(AND(N541="N/A",O541="N/A",P541="N/A"),IF(L541="","N/A",IF(L541=1,1,IF(L541=2,0.875,IF(L541=3,0.625,IF(L541=4,0.375,IF(L541=5,0.125,0)))))),"N/A"))</f>
        <v/>
      </c>
      <c r="R541" s="1242" t="str">
        <f>IF(H541&gt;'I. Stream &amp; Compound Data'!$F$18,"",IF(AND(N541="N/A",O541="N/A",P541="N/A",Q541="N/A"),IF(M541="","N/A",IF(OR(AND(M541&gt;=26,M541&lt;=29),M541=32),0.875,IF(OR(M541=23,M541=24,M541=25,M541=31),0.625,IF(OR(M541=20,M541=21,,M541=22),0.375,"N/A")))),"N/A"))</f>
        <v/>
      </c>
      <c r="S541" s="1242" t="str">
        <f>IF(H541&gt;'I. Stream &amp; Compound Data'!$F$18,"",IF(I189="","N/A",IF(N541&lt;&gt;"N/A",N541,IF(O541&lt;&gt;"N/A",O541,IF(P541&lt;&gt;"N/A",P541,IF(Q541&lt;&gt;"N/A",Q541,IF(R541&lt;&gt;"N/A",R541,"NO DATA AVAILABLE")))))))</f>
        <v/>
      </c>
      <c r="T541" s="1242" t="str">
        <f>IF(H541&gt;'I. Stream &amp; Compound Data'!$F$18,"",IF(S541="N/A",0,IF(S541&gt;0,ROUND(10^(4*S541+1),3),0)))</f>
        <v/>
      </c>
      <c r="U541" s="1242" t="str">
        <f>IF(H541&gt;'I. Stream &amp; Compound Data'!$F$18,"",IF(H541&gt;'I. Stream &amp; Compound Data'!$F$18,"",MAX(K189:L189)))</f>
        <v/>
      </c>
      <c r="V541" s="1268" t="str">
        <f>IF(H541&gt;'I. Stream &amp; Compound Data'!$F$18,"",ROUND(T541*U541,3))</f>
        <v/>
      </c>
      <c r="W541" s="279"/>
      <c r="X541" s="279"/>
      <c r="Y541" s="279"/>
      <c r="Z541" s="279"/>
      <c r="AA541" s="279"/>
      <c r="AB541" s="279"/>
      <c r="AC541" s="279"/>
      <c r="AD541" s="279"/>
      <c r="AE541" s="279"/>
      <c r="AF541" s="279"/>
      <c r="AG541" s="279"/>
      <c r="AH541" s="279"/>
      <c r="AI541" s="279"/>
      <c r="AJ541" s="279"/>
      <c r="AK541" s="279"/>
      <c r="AL541" s="279"/>
      <c r="AM541" s="279"/>
      <c r="AN541" s="279"/>
      <c r="AO541" s="279"/>
      <c r="AP541" s="279"/>
      <c r="AQ541" s="279"/>
      <c r="AR541" s="279"/>
      <c r="AS541" s="279"/>
      <c r="AT541" s="279"/>
      <c r="AU541" s="279"/>
      <c r="AV541" s="279"/>
      <c r="AW541" s="279"/>
      <c r="AX541" s="279"/>
      <c r="AY541" s="279"/>
      <c r="AZ541" s="279"/>
      <c r="BA541" s="279"/>
      <c r="BB541" s="279"/>
      <c r="BC541" s="279"/>
      <c r="BD541" s="279"/>
      <c r="BE541" s="279"/>
      <c r="BF541" s="279"/>
      <c r="BG541" s="279"/>
      <c r="BH541" s="279"/>
      <c r="BI541" s="279"/>
      <c r="BJ541" s="279"/>
      <c r="BK541" s="279"/>
      <c r="BL541" s="279"/>
      <c r="BM541" s="279"/>
      <c r="BN541" s="279"/>
      <c r="BO541" s="279"/>
      <c r="BP541" s="279"/>
      <c r="BQ541" s="279"/>
      <c r="BR541" s="279"/>
      <c r="BS541" s="279"/>
      <c r="BT541" s="279"/>
      <c r="BU541" s="279"/>
      <c r="BV541" s="279"/>
      <c r="BW541" s="279"/>
      <c r="BX541" s="279"/>
      <c r="BY541" s="279"/>
      <c r="BZ541" s="279"/>
      <c r="CA541" s="279"/>
      <c r="CB541" s="279"/>
      <c r="CC541" s="279"/>
      <c r="CD541" s="279"/>
      <c r="CE541" s="279"/>
      <c r="CF541" s="279"/>
      <c r="CG541" s="279"/>
      <c r="CH541" s="279"/>
      <c r="CI541" s="279"/>
      <c r="CJ541" s="279"/>
      <c r="CK541" s="279"/>
      <c r="CL541" s="279"/>
      <c r="CM541" s="279"/>
      <c r="CN541" s="382"/>
    </row>
    <row r="542" ht="15.75" customHeight="true" x14ac:dyDescent="0.25">
      <c r="B542" s="361"/>
      <c r="C542" s="279"/>
      <c r="D542" s="280"/>
      <c r="E542" s="287"/>
      <c r="F542" s="287"/>
      <c r="G542" s="287"/>
      <c r="H542" s="1292">
        <f t="shared" si="18"/>
        <v>49</v>
      </c>
      <c r="I542" s="1295" t="str">
        <f>IF('I. Stream &amp; Compound Data'!AA310&lt;&gt;"",'I. Stream &amp; Compound Data'!AA310,"")</f>
        <v/>
      </c>
      <c r="J542" s="1295" t="str">
        <f>IF('I. Stream &amp; Compound Data'!Z310&lt;&gt;"",'I. Stream &amp; Compound Data'!Z310,"")</f>
        <v/>
      </c>
      <c r="K542" s="1190" t="str">
        <f>IF('I. Stream &amp; Compound Data'!AP310&lt;&gt;"",'I. Stream &amp; Compound Data'!AP310,IF('I. Stream &amp; Compound Data'!AQ310&lt;&gt;"",'I. Stream &amp; Compound Data'!AQ310,""))</f>
        <v/>
      </c>
      <c r="L542" s="1190" t="str">
        <f>IF('I. Stream &amp; Compound Data'!AT310&lt;&gt;"",'I. Stream &amp; Compound Data'!AT310,IF('I. Stream &amp; Compound Data'!AU310&lt;&gt;"",'I. Stream &amp; Compound Data'!AU310,""))</f>
        <v/>
      </c>
      <c r="M542" s="1295" t="str">
        <f>IF('I. Stream &amp; Compound Data'!AR310&lt;&gt;"",'I. Stream &amp; Compound Data'!AR310,IF('I. Stream &amp; Compound Data'!AS310&lt;&gt;"",'I. Stream &amp; Compound Data'!AS310,""))</f>
        <v/>
      </c>
      <c r="N542" s="1306" t="str">
        <f>IF(H542&gt;'I. Stream &amp; Compound Data'!$F$18,"",IF(I542="","N/A",ROUND(IF(I542&lt;=10,1,IF(AND(I542&gt;10,I542&lt;100000),-0.109*LN(I542)+1.25,0)),3)))</f>
        <v/>
      </c>
      <c r="O542" s="1168" t="str">
        <f>IF(H542&gt;'I. Stream &amp; Compound Data'!$F$18,"",IF(N542="N/A",IF(J542&lt;&gt;"",ROUND(IF(J542&lt;=10,1,IF(AND(J542&gt;10,J542&lt;100000),-0.109*LN(J542)+1.25,0)),3),"N/A"),"N/A"))</f>
        <v/>
      </c>
      <c r="P542" s="1242" t="str">
        <f>IF(H542&gt;'I. Stream &amp; Compound Data'!$F$18,"",IF(AND(N542="N/A",O542="N/A"),IF(K542="","N/A",IF(K542="T+",0.875,IF(K542="T",0.625,IF(K542="Xn",0.375,"N/A")))),"N/A"))</f>
        <v/>
      </c>
      <c r="Q542" s="1242" t="str">
        <f>IF(H542&gt;'I. Stream &amp; Compound Data'!$F$18,"",IF(AND(N542="N/A",O542="N/A",P542="N/A"),IF(L542="","N/A",IF(L542=1,1,IF(L542=2,0.875,IF(L542=3,0.625,IF(L542=4,0.375,IF(L542=5,0.125,0)))))),"N/A"))</f>
        <v/>
      </c>
      <c r="R542" s="1242" t="str">
        <f>IF(H542&gt;'I. Stream &amp; Compound Data'!$F$18,"",IF(AND(N542="N/A",O542="N/A",P542="N/A",Q542="N/A"),IF(M542="","N/A",IF(OR(AND(M542&gt;=26,M542&lt;=29),M542=32),0.875,IF(OR(M542=23,M542=24,M542=25,M542=31),0.625,IF(OR(M542=20,M542=21,,M542=22),0.375,"N/A")))),"N/A"))</f>
        <v/>
      </c>
      <c r="S542" s="1242" t="str">
        <f>IF(H542&gt;'I. Stream &amp; Compound Data'!$F$18,"",IF(I190="","N/A",IF(N542&lt;&gt;"N/A",N542,IF(O542&lt;&gt;"N/A",O542,IF(P542&lt;&gt;"N/A",P542,IF(Q542&lt;&gt;"N/A",Q542,IF(R542&lt;&gt;"N/A",R542,"NO DATA AVAILABLE")))))))</f>
        <v/>
      </c>
      <c r="T542" s="1242" t="str">
        <f>IF(H542&gt;'I. Stream &amp; Compound Data'!$F$18,"",IF(S542="N/A",0,IF(S542&gt;0,ROUND(10^(4*S542+1),3),0)))</f>
        <v/>
      </c>
      <c r="U542" s="1242" t="str">
        <f>IF(H542&gt;'I. Stream &amp; Compound Data'!$F$18,"",IF(H542&gt;'I. Stream &amp; Compound Data'!$F$18,"",MAX(K190:L190)))</f>
        <v/>
      </c>
      <c r="V542" s="1268" t="str">
        <f>IF(H542&gt;'I. Stream &amp; Compound Data'!$F$18,"",ROUND(T542*U542,3))</f>
        <v/>
      </c>
      <c r="W542" s="279"/>
      <c r="X542" s="279"/>
      <c r="Y542" s="279"/>
      <c r="Z542" s="279"/>
      <c r="AA542" s="279"/>
      <c r="AB542" s="279"/>
      <c r="AC542" s="279"/>
      <c r="AD542" s="279"/>
      <c r="AE542" s="279"/>
      <c r="AF542" s="279"/>
      <c r="AG542" s="279"/>
      <c r="AH542" s="279"/>
      <c r="AI542" s="279"/>
      <c r="AJ542" s="279"/>
      <c r="AK542" s="279"/>
      <c r="AL542" s="279"/>
      <c r="AM542" s="279"/>
      <c r="AN542" s="279"/>
      <c r="AO542" s="279"/>
      <c r="AP542" s="279"/>
      <c r="AQ542" s="279"/>
      <c r="AR542" s="279"/>
      <c r="AS542" s="279"/>
      <c r="AT542" s="279"/>
      <c r="AU542" s="279"/>
      <c r="AV542" s="279"/>
      <c r="AW542" s="279"/>
      <c r="AX542" s="279"/>
      <c r="AY542" s="279"/>
      <c r="AZ542" s="279"/>
      <c r="BA542" s="279"/>
      <c r="BB542" s="279"/>
      <c r="BC542" s="279"/>
      <c r="BD542" s="279"/>
      <c r="BE542" s="279"/>
      <c r="BF542" s="279"/>
      <c r="BG542" s="279"/>
      <c r="BH542" s="279"/>
      <c r="BI542" s="279"/>
      <c r="BJ542" s="279"/>
      <c r="BK542" s="279"/>
      <c r="BL542" s="279"/>
      <c r="BM542" s="279"/>
      <c r="BN542" s="279"/>
      <c r="BO542" s="279"/>
      <c r="BP542" s="279"/>
      <c r="BQ542" s="279"/>
      <c r="BR542" s="279"/>
      <c r="BS542" s="279"/>
      <c r="BT542" s="279"/>
      <c r="BU542" s="279"/>
      <c r="BV542" s="279"/>
      <c r="BW542" s="279"/>
      <c r="BX542" s="279"/>
      <c r="BY542" s="279"/>
      <c r="BZ542" s="279"/>
      <c r="CA542" s="279"/>
      <c r="CB542" s="279"/>
      <c r="CC542" s="279"/>
      <c r="CD542" s="279"/>
      <c r="CE542" s="279"/>
      <c r="CF542" s="279"/>
      <c r="CG542" s="279"/>
      <c r="CH542" s="279"/>
      <c r="CI542" s="279"/>
      <c r="CJ542" s="279"/>
      <c r="CK542" s="279"/>
      <c r="CL542" s="279"/>
      <c r="CM542" s="279"/>
      <c r="CN542" s="382"/>
    </row>
    <row r="543" ht="15.75" customHeight="true" thickBot="true" x14ac:dyDescent="0.3">
      <c r="B543" s="361"/>
      <c r="C543" s="279"/>
      <c r="D543" s="280"/>
      <c r="E543" s="287"/>
      <c r="F543" s="287"/>
      <c r="G543" s="287"/>
      <c r="H543" s="1298">
        <f t="shared" si="18"/>
        <v>50</v>
      </c>
      <c r="I543" s="1301" t="str">
        <f>IF('I. Stream &amp; Compound Data'!AA311&lt;&gt;"",'I. Stream &amp; Compound Data'!AA311,"")</f>
        <v/>
      </c>
      <c r="J543" s="1301" t="str">
        <f>IF('I. Stream &amp; Compound Data'!Z311&lt;&gt;"",'I. Stream &amp; Compound Data'!Z311,"")</f>
        <v/>
      </c>
      <c r="K543" s="1259" t="str">
        <f>IF('I. Stream &amp; Compound Data'!AP311&lt;&gt;"",'I. Stream &amp; Compound Data'!AP311,IF('I. Stream &amp; Compound Data'!AQ311&lt;&gt;"",'I. Stream &amp; Compound Data'!AQ311,""))</f>
        <v/>
      </c>
      <c r="L543" s="1259" t="str">
        <f>IF('I. Stream &amp; Compound Data'!AT311&lt;&gt;"",'I. Stream &amp; Compound Data'!AT311,IF('I. Stream &amp; Compound Data'!AU311&lt;&gt;"",'I. Stream &amp; Compound Data'!AU311,""))</f>
        <v/>
      </c>
      <c r="M543" s="1301" t="str">
        <f>IF('I. Stream &amp; Compound Data'!AR311&lt;&gt;"",'I. Stream &amp; Compound Data'!AR311,IF('I. Stream &amp; Compound Data'!AS311&lt;&gt;"",'I. Stream &amp; Compound Data'!AS311,""))</f>
        <v/>
      </c>
      <c r="N543" s="1308" t="str">
        <f>IF(H543&gt;'I. Stream &amp; Compound Data'!$F$18,"",IF(I543="","N/A",ROUND(IF(I543&lt;=10,1,IF(AND(I543&gt;10,I543&lt;100000),-0.109*LN(I543)+1.25,0)),3)))</f>
        <v/>
      </c>
      <c r="O543" s="1225" t="str">
        <f>IF(H543&gt;'I. Stream &amp; Compound Data'!$F$18,"",IF(N543="N/A",IF(J543&lt;&gt;"",ROUND(IF(J543&lt;=10,1,IF(AND(J543&gt;10,J543&lt;100000),-0.109*LN(J543)+1.25,0)),3),"N/A"),"N/A"))</f>
        <v/>
      </c>
      <c r="P543" s="1210" t="str">
        <f>IF(H543&gt;'I. Stream &amp; Compound Data'!$F$18,"",IF(AND(N543="N/A",O543="N/A"),IF(K543="","N/A",IF(K543="T+",0.875,IF(K543="T",0.625,IF(K543="Xn",0.375,"N/A")))),"N/A"))</f>
        <v/>
      </c>
      <c r="Q543" s="1210" t="str">
        <f>IF(H543&gt;'I. Stream &amp; Compound Data'!$F$18,"",IF(AND(N543="N/A",O543="N/A",P543="N/A"),IF(L543="","N/A",IF(L543=1,1,IF(L543=2,0.875,IF(L543=3,0.625,IF(L543=4,0.375,IF(L543=5,0.125,0)))))),"N/A"))</f>
        <v/>
      </c>
      <c r="R543" s="1210" t="str">
        <f>IF(H543&gt;'I. Stream &amp; Compound Data'!$F$18,"",IF(AND(N543="N/A",O543="N/A",P543="N/A",Q543="N/A"),IF(M543="","N/A",IF(OR(AND(M543&gt;=26,M543&lt;=29),M543=32),0.875,IF(OR(M543=23,M543=24,M543=25,M543=31),0.625,IF(OR(M543=20,M543=21,,M543=22),0.375,"N/A")))),"N/A"))</f>
        <v/>
      </c>
      <c r="S543" s="1210" t="str">
        <f>IF(H543&gt;'I. Stream &amp; Compound Data'!$F$18,"",IF(I191="","N/A",IF(N543&lt;&gt;"N/A",N543,IF(O543&lt;&gt;"N/A",O543,IF(P543&lt;&gt;"N/A",P543,IF(Q543&lt;&gt;"N/A",Q543,IF(R543&lt;&gt;"N/A",R543,"NO DATA AVAILABLE")))))))</f>
        <v/>
      </c>
      <c r="T543" s="1210" t="str">
        <f>IF(H543&gt;'I. Stream &amp; Compound Data'!$F$18,"",IF(S543="N/A",0,IF(S543&gt;0,ROUND(10^(4*S543+1),3),0)))</f>
        <v/>
      </c>
      <c r="U543" s="1210" t="str">
        <f>IF(H543&gt;'I. Stream &amp; Compound Data'!$F$18,"",IF(H543&gt;'I. Stream &amp; Compound Data'!$F$18,"",MAX(K191:L191)))</f>
        <v/>
      </c>
      <c r="V543" s="1270" t="str">
        <f>IF(H543&gt;'I. Stream &amp; Compound Data'!$F$18,"",ROUND(T543*U543,3))</f>
        <v/>
      </c>
      <c r="W543" s="279"/>
      <c r="X543" s="279"/>
      <c r="Y543" s="279"/>
      <c r="Z543" s="279"/>
      <c r="AA543" s="279"/>
      <c r="AB543" s="279"/>
      <c r="AC543" s="279"/>
      <c r="AD543" s="279"/>
      <c r="AE543" s="279"/>
      <c r="AF543" s="279"/>
      <c r="AG543" s="279"/>
      <c r="AH543" s="279"/>
      <c r="AI543" s="279"/>
      <c r="AJ543" s="279"/>
      <c r="AK543" s="279"/>
      <c r="AL543" s="279"/>
      <c r="AM543" s="279"/>
      <c r="AN543" s="279"/>
      <c r="AO543" s="279"/>
      <c r="AP543" s="279"/>
      <c r="AQ543" s="279"/>
      <c r="AR543" s="279"/>
      <c r="AS543" s="279"/>
      <c r="AT543" s="279"/>
      <c r="AU543" s="279"/>
      <c r="AV543" s="279"/>
      <c r="AW543" s="279"/>
      <c r="AX543" s="279"/>
      <c r="AY543" s="279"/>
      <c r="AZ543" s="279"/>
      <c r="BA543" s="279"/>
      <c r="BB543" s="279"/>
      <c r="BC543" s="279"/>
      <c r="BD543" s="279"/>
      <c r="BE543" s="279"/>
      <c r="BF543" s="279"/>
      <c r="BG543" s="279"/>
      <c r="BH543" s="279"/>
      <c r="BI543" s="279"/>
      <c r="BJ543" s="279"/>
      <c r="BK543" s="279"/>
      <c r="BL543" s="279"/>
      <c r="BM543" s="279"/>
      <c r="BN543" s="279"/>
      <c r="BO543" s="279"/>
      <c r="BP543" s="279"/>
      <c r="BQ543" s="279"/>
      <c r="BR543" s="279"/>
      <c r="BS543" s="279"/>
      <c r="BT543" s="279"/>
      <c r="BU543" s="279"/>
      <c r="BV543" s="279"/>
      <c r="BW543" s="279"/>
      <c r="BX543" s="279"/>
      <c r="BY543" s="279"/>
      <c r="BZ543" s="279"/>
      <c r="CA543" s="279"/>
      <c r="CB543" s="279"/>
      <c r="CC543" s="279"/>
      <c r="CD543" s="279"/>
      <c r="CE543" s="279"/>
      <c r="CF543" s="279"/>
      <c r="CG543" s="279"/>
      <c r="CH543" s="279"/>
      <c r="CI543" s="279"/>
      <c r="CJ543" s="279"/>
      <c r="CK543" s="279"/>
      <c r="CL543" s="279"/>
      <c r="CM543" s="279"/>
      <c r="CN543" s="382"/>
    </row>
    <row r="544" ht="15.75" customHeight="true" thickBot="true" x14ac:dyDescent="0.35">
      <c r="B544" s="361"/>
      <c r="C544" s="279"/>
      <c r="D544" s="280"/>
      <c r="E544" s="287"/>
      <c r="F544" s="287"/>
      <c r="G544" s="287"/>
      <c r="H544" s="280"/>
      <c r="I544" s="304"/>
      <c r="J544" s="279"/>
      <c r="K544" s="280"/>
      <c r="L544" s="362"/>
      <c r="M544" s="287"/>
      <c r="N544" s="296"/>
      <c r="O544" s="280"/>
      <c r="P544" s="280"/>
      <c r="Q544" s="280"/>
      <c r="R544" s="297"/>
      <c r="S544" s="298"/>
      <c r="T544" s="298"/>
      <c r="U544" s="299" t="s">
        <v>88</v>
      </c>
      <c r="V544" s="1311">
        <f>SUM(V494:V543)</f>
        <v>113932533.485</v>
      </c>
      <c r="W544" s="279"/>
      <c r="X544" s="279"/>
      <c r="Y544" s="279"/>
      <c r="Z544" s="279"/>
      <c r="AA544" s="279"/>
      <c r="AB544" s="279"/>
      <c r="AC544" s="279"/>
      <c r="AD544" s="279"/>
      <c r="AE544" s="279"/>
      <c r="AF544" s="279"/>
      <c r="AG544" s="279"/>
      <c r="AH544" s="279"/>
      <c r="AI544" s="279"/>
      <c r="AJ544" s="279"/>
      <c r="AK544" s="279"/>
      <c r="AL544" s="279"/>
      <c r="AM544" s="279"/>
      <c r="AN544" s="279"/>
      <c r="AO544" s="279"/>
      <c r="AP544" s="279"/>
      <c r="AQ544" s="279"/>
      <c r="AR544" s="279"/>
      <c r="AS544" s="279"/>
      <c r="AT544" s="279"/>
      <c r="AU544" s="279"/>
      <c r="AV544" s="279"/>
      <c r="AW544" s="279"/>
      <c r="AX544" s="279"/>
      <c r="AY544" s="279"/>
      <c r="AZ544" s="279"/>
      <c r="BA544" s="279"/>
      <c r="BB544" s="279"/>
      <c r="BC544" s="279"/>
      <c r="BD544" s="279"/>
      <c r="BE544" s="279"/>
      <c r="BF544" s="279"/>
      <c r="BG544" s="279"/>
      <c r="BH544" s="279"/>
      <c r="BI544" s="279"/>
      <c r="BJ544" s="279"/>
      <c r="BK544" s="279"/>
      <c r="BL544" s="279"/>
      <c r="BM544" s="279"/>
      <c r="BN544" s="279"/>
      <c r="BO544" s="279"/>
      <c r="BP544" s="279"/>
      <c r="BQ544" s="279"/>
      <c r="BR544" s="279"/>
      <c r="BS544" s="279"/>
      <c r="BT544" s="279"/>
      <c r="BU544" s="279"/>
      <c r="BV544" s="279"/>
      <c r="BW544" s="279"/>
      <c r="BX544" s="279"/>
      <c r="BY544" s="279"/>
      <c r="BZ544" s="279"/>
      <c r="CA544" s="279"/>
      <c r="CB544" s="279"/>
      <c r="CC544" s="279"/>
      <c r="CD544" s="279"/>
      <c r="CE544" s="279"/>
      <c r="CF544" s="279"/>
      <c r="CG544" s="279"/>
      <c r="CH544" s="279"/>
      <c r="CI544" s="279"/>
      <c r="CJ544" s="279"/>
      <c r="CK544" s="279"/>
      <c r="CL544" s="279"/>
      <c r="CM544" s="279"/>
      <c r="CN544" s="382"/>
    </row>
    <row r="545" ht="15.75" customHeight="true" x14ac:dyDescent="0.3">
      <c r="B545" s="361"/>
      <c r="C545" s="279"/>
      <c r="D545" s="280"/>
      <c r="E545" s="287"/>
      <c r="F545" s="287"/>
      <c r="G545" s="287"/>
      <c r="H545" s="280"/>
      <c r="I545" s="304"/>
      <c r="J545" s="279"/>
      <c r="K545" s="280"/>
      <c r="L545" s="362"/>
      <c r="M545" s="287"/>
      <c r="N545" s="296"/>
      <c r="O545" s="280"/>
      <c r="P545" s="280"/>
      <c r="Q545" s="280"/>
      <c r="R545" s="297"/>
      <c r="S545" s="298"/>
      <c r="T545" s="298"/>
      <c r="U545" s="299"/>
      <c r="V545" s="279"/>
      <c r="W545" s="279"/>
      <c r="X545" s="279"/>
      <c r="Y545" s="279"/>
      <c r="Z545" s="279"/>
      <c r="AA545" s="279"/>
      <c r="AB545" s="279"/>
      <c r="AC545" s="279"/>
      <c r="AD545" s="279"/>
      <c r="AE545" s="279"/>
      <c r="AF545" s="279"/>
      <c r="AG545" s="279"/>
      <c r="AH545" s="279"/>
      <c r="AI545" s="279"/>
      <c r="AJ545" s="279"/>
      <c r="AK545" s="279"/>
      <c r="AL545" s="279"/>
      <c r="AM545" s="279"/>
      <c r="AN545" s="279"/>
      <c r="AO545" s="279"/>
      <c r="AP545" s="279"/>
      <c r="AQ545" s="279"/>
      <c r="AR545" s="279"/>
      <c r="AS545" s="279"/>
      <c r="AT545" s="279"/>
      <c r="AU545" s="279"/>
      <c r="AV545" s="279"/>
      <c r="AW545" s="279"/>
      <c r="AX545" s="279"/>
      <c r="AY545" s="279"/>
      <c r="AZ545" s="279"/>
      <c r="BA545" s="279"/>
      <c r="BB545" s="279"/>
      <c r="BC545" s="279"/>
      <c r="BD545" s="279"/>
      <c r="BE545" s="279"/>
      <c r="BF545" s="279"/>
      <c r="BG545" s="279"/>
      <c r="BH545" s="279"/>
      <c r="BI545" s="279"/>
      <c r="BJ545" s="279"/>
      <c r="BK545" s="279"/>
      <c r="BL545" s="279"/>
      <c r="BM545" s="279"/>
      <c r="BN545" s="279"/>
      <c r="BO545" s="279"/>
      <c r="BP545" s="279"/>
      <c r="BQ545" s="279"/>
      <c r="BR545" s="279"/>
      <c r="BS545" s="279"/>
      <c r="BT545" s="279"/>
      <c r="BU545" s="279"/>
      <c r="BV545" s="279"/>
      <c r="BW545" s="279"/>
      <c r="BX545" s="279"/>
      <c r="BY545" s="279"/>
      <c r="BZ545" s="279"/>
      <c r="CA545" s="279"/>
      <c r="CB545" s="279"/>
      <c r="CC545" s="279"/>
      <c r="CD545" s="279"/>
      <c r="CE545" s="279"/>
      <c r="CF545" s="279"/>
      <c r="CG545" s="279"/>
      <c r="CH545" s="279"/>
      <c r="CI545" s="279"/>
      <c r="CJ545" s="279"/>
      <c r="CK545" s="279"/>
      <c r="CL545" s="279"/>
      <c r="CM545" s="279"/>
      <c r="CN545" s="382"/>
    </row>
    <row r="546" ht="15.75" customHeight="true" x14ac:dyDescent="0.3">
      <c r="B546" s="361"/>
      <c r="C546" s="279"/>
      <c r="D546" s="280"/>
      <c r="E546" s="287"/>
      <c r="F546" s="287"/>
      <c r="G546" s="287"/>
      <c r="H546" s="280"/>
      <c r="I546" s="304"/>
      <c r="J546" s="279"/>
      <c r="K546" s="280"/>
      <c r="L546" s="362"/>
      <c r="M546" s="287"/>
      <c r="N546" s="296"/>
      <c r="O546" s="280"/>
      <c r="P546" s="280"/>
      <c r="Q546" s="280"/>
      <c r="R546" s="297"/>
      <c r="S546" s="298"/>
      <c r="T546" s="298"/>
      <c r="U546" s="299"/>
      <c r="V546" s="279"/>
      <c r="W546" s="279"/>
      <c r="X546" s="279"/>
      <c r="Y546" s="279"/>
      <c r="Z546" s="279"/>
      <c r="AA546" s="279"/>
      <c r="AB546" s="279"/>
      <c r="AC546" s="279"/>
      <c r="AD546" s="279"/>
      <c r="AE546" s="279"/>
      <c r="AF546" s="279"/>
      <c r="AG546" s="279"/>
      <c r="AH546" s="279"/>
      <c r="AI546" s="279"/>
      <c r="AJ546" s="279"/>
      <c r="AK546" s="279"/>
      <c r="AL546" s="279"/>
      <c r="AM546" s="279"/>
      <c r="AN546" s="279"/>
      <c r="AO546" s="279"/>
      <c r="AP546" s="279"/>
      <c r="AQ546" s="279"/>
      <c r="AR546" s="279"/>
      <c r="AS546" s="279"/>
      <c r="AT546" s="279"/>
      <c r="AU546" s="279"/>
      <c r="AV546" s="279"/>
      <c r="AW546" s="279"/>
      <c r="AX546" s="279"/>
      <c r="AY546" s="279"/>
      <c r="AZ546" s="279"/>
      <c r="BA546" s="279"/>
      <c r="BB546" s="279"/>
      <c r="BC546" s="279"/>
      <c r="BD546" s="279"/>
      <c r="BE546" s="279"/>
      <c r="BF546" s="279"/>
      <c r="BG546" s="279"/>
      <c r="BH546" s="279"/>
      <c r="BI546" s="279"/>
      <c r="BJ546" s="279"/>
      <c r="BK546" s="279"/>
      <c r="BL546" s="279"/>
      <c r="BM546" s="279"/>
      <c r="BN546" s="279"/>
      <c r="BO546" s="279"/>
      <c r="BP546" s="279"/>
      <c r="BQ546" s="279"/>
      <c r="BR546" s="279"/>
      <c r="BS546" s="279"/>
      <c r="BT546" s="279"/>
      <c r="BU546" s="279"/>
      <c r="BV546" s="279"/>
      <c r="BW546" s="279"/>
      <c r="BX546" s="279"/>
      <c r="BY546" s="279"/>
      <c r="BZ546" s="279"/>
      <c r="CA546" s="279"/>
      <c r="CB546" s="279"/>
      <c r="CC546" s="279"/>
      <c r="CD546" s="279"/>
      <c r="CE546" s="279"/>
      <c r="CF546" s="279"/>
      <c r="CG546" s="279"/>
      <c r="CH546" s="279"/>
      <c r="CI546" s="279"/>
      <c r="CJ546" s="279"/>
      <c r="CK546" s="279"/>
      <c r="CL546" s="279"/>
      <c r="CM546" s="279"/>
      <c r="CN546" s="382"/>
    </row>
    <row r="547" ht="15.75" customHeight="true" x14ac:dyDescent="0.3">
      <c r="B547" s="361"/>
      <c r="C547" s="279"/>
      <c r="D547" s="280"/>
      <c r="E547" s="287"/>
      <c r="F547" s="287"/>
      <c r="G547" s="287"/>
      <c r="H547" s="280"/>
      <c r="I547" s="304"/>
      <c r="J547" s="279"/>
      <c r="K547" s="280"/>
      <c r="L547" s="362"/>
      <c r="M547" s="287"/>
      <c r="N547" s="296"/>
      <c r="O547" s="280"/>
      <c r="P547" s="280"/>
      <c r="Q547" s="280"/>
      <c r="R547" s="297"/>
      <c r="S547" s="298"/>
      <c r="T547" s="298"/>
      <c r="U547" s="299"/>
      <c r="V547" s="279"/>
      <c r="W547" s="279"/>
      <c r="X547" s="279"/>
      <c r="Y547" s="279"/>
      <c r="Z547" s="279"/>
      <c r="AA547" s="279"/>
      <c r="AB547" s="279"/>
      <c r="AC547" s="279"/>
      <c r="AD547" s="279"/>
      <c r="AE547" s="279"/>
      <c r="AF547" s="279"/>
      <c r="AG547" s="279"/>
      <c r="AH547" s="279"/>
      <c r="AI547" s="279"/>
      <c r="AJ547" s="279"/>
      <c r="AK547" s="279"/>
      <c r="AL547" s="279"/>
      <c r="AM547" s="279"/>
      <c r="AN547" s="279"/>
      <c r="AO547" s="279"/>
      <c r="AP547" s="279"/>
      <c r="AQ547" s="279"/>
      <c r="AR547" s="279"/>
      <c r="AS547" s="279"/>
      <c r="AT547" s="279"/>
      <c r="AU547" s="279"/>
      <c r="AV547" s="279"/>
      <c r="AW547" s="279"/>
      <c r="AX547" s="279"/>
      <c r="AY547" s="279"/>
      <c r="AZ547" s="279"/>
      <c r="BA547" s="279"/>
      <c r="BB547" s="279"/>
      <c r="BC547" s="279"/>
      <c r="BD547" s="279"/>
      <c r="BE547" s="279"/>
      <c r="BF547" s="279"/>
      <c r="BG547" s="279"/>
      <c r="BH547" s="279"/>
      <c r="BI547" s="279"/>
      <c r="BJ547" s="279"/>
      <c r="BK547" s="279"/>
      <c r="BL547" s="279"/>
      <c r="BM547" s="279"/>
      <c r="BN547" s="279"/>
      <c r="BO547" s="279"/>
      <c r="BP547" s="279"/>
      <c r="BQ547" s="279"/>
      <c r="BR547" s="279"/>
      <c r="BS547" s="279"/>
      <c r="BT547" s="279"/>
      <c r="BU547" s="279"/>
      <c r="BV547" s="279"/>
      <c r="BW547" s="279"/>
      <c r="BX547" s="279"/>
      <c r="BY547" s="279"/>
      <c r="BZ547" s="279"/>
      <c r="CA547" s="279"/>
      <c r="CB547" s="279"/>
      <c r="CC547" s="279"/>
      <c r="CD547" s="279"/>
      <c r="CE547" s="279"/>
      <c r="CF547" s="279"/>
      <c r="CG547" s="279"/>
      <c r="CH547" s="279"/>
      <c r="CI547" s="279"/>
      <c r="CJ547" s="279"/>
      <c r="CK547" s="279"/>
      <c r="CL547" s="279"/>
      <c r="CM547" s="279"/>
      <c r="CN547" s="382"/>
    </row>
    <row r="548" ht="15.75" customHeight="true" x14ac:dyDescent="0.3">
      <c r="B548" s="361"/>
      <c r="C548" s="279"/>
      <c r="D548" s="280"/>
      <c r="E548" s="287"/>
      <c r="F548" s="287"/>
      <c r="G548" s="287"/>
      <c r="H548" s="280"/>
      <c r="I548" s="304"/>
      <c r="J548" s="279"/>
      <c r="K548" s="280"/>
      <c r="L548" s="362"/>
      <c r="M548" s="287"/>
      <c r="N548" s="296"/>
      <c r="O548" s="280"/>
      <c r="P548" s="280"/>
      <c r="Q548" s="280"/>
      <c r="R548" s="297"/>
      <c r="S548" s="298"/>
      <c r="T548" s="298"/>
      <c r="U548" s="299"/>
      <c r="V548" s="279"/>
      <c r="W548" s="279"/>
      <c r="X548" s="279"/>
      <c r="Y548" s="279"/>
      <c r="Z548" s="279"/>
      <c r="AA548" s="279"/>
      <c r="AB548" s="279"/>
      <c r="AC548" s="279"/>
      <c r="AD548" s="279"/>
      <c r="AE548" s="279"/>
      <c r="AF548" s="279"/>
      <c r="AG548" s="279"/>
      <c r="AH548" s="279"/>
      <c r="AI548" s="279"/>
      <c r="AJ548" s="279"/>
      <c r="AK548" s="279"/>
      <c r="AL548" s="279"/>
      <c r="AM548" s="279"/>
      <c r="AN548" s="279"/>
      <c r="AO548" s="279"/>
      <c r="AP548" s="279"/>
      <c r="AQ548" s="279"/>
      <c r="AR548" s="279"/>
      <c r="AS548" s="279"/>
      <c r="AT548" s="279"/>
      <c r="AU548" s="279"/>
      <c r="AV548" s="279"/>
      <c r="AW548" s="279"/>
      <c r="AX548" s="279"/>
      <c r="AY548" s="279"/>
      <c r="AZ548" s="279"/>
      <c r="BA548" s="279"/>
      <c r="BB548" s="279"/>
      <c r="BC548" s="279"/>
      <c r="BD548" s="279"/>
      <c r="BE548" s="279"/>
      <c r="BF548" s="279"/>
      <c r="BG548" s="279"/>
      <c r="BH548" s="279"/>
      <c r="BI548" s="279"/>
      <c r="BJ548" s="279"/>
      <c r="BK548" s="279"/>
      <c r="BL548" s="279"/>
      <c r="BM548" s="279"/>
      <c r="BN548" s="279"/>
      <c r="BO548" s="279"/>
      <c r="BP548" s="279"/>
      <c r="BQ548" s="279"/>
      <c r="BR548" s="279"/>
      <c r="BS548" s="279"/>
      <c r="BT548" s="279"/>
      <c r="BU548" s="279"/>
      <c r="BV548" s="279"/>
      <c r="BW548" s="279"/>
      <c r="BX548" s="279"/>
      <c r="BY548" s="279"/>
      <c r="BZ548" s="279"/>
      <c r="CA548" s="279"/>
      <c r="CB548" s="279"/>
      <c r="CC548" s="279"/>
      <c r="CD548" s="279"/>
      <c r="CE548" s="279"/>
      <c r="CF548" s="279"/>
      <c r="CG548" s="279"/>
      <c r="CH548" s="279"/>
      <c r="CI548" s="279"/>
      <c r="CJ548" s="279"/>
      <c r="CK548" s="279"/>
      <c r="CL548" s="279"/>
      <c r="CM548" s="279"/>
      <c r="CN548" s="382"/>
    </row>
    <row r="549" ht="15.75" customHeight="true" thickBot="true" x14ac:dyDescent="0.35">
      <c r="B549" s="361"/>
      <c r="C549" s="279"/>
      <c r="D549" s="280"/>
      <c r="E549" s="287"/>
      <c r="F549" s="287"/>
      <c r="G549" s="287"/>
      <c r="H549" s="280"/>
      <c r="I549" s="304"/>
      <c r="J549" s="279"/>
      <c r="K549" s="280"/>
      <c r="L549" s="362"/>
      <c r="M549" s="287"/>
      <c r="N549" s="296"/>
      <c r="O549" s="280"/>
      <c r="P549" s="280"/>
      <c r="Q549" s="279"/>
      <c r="R549" s="297"/>
      <c r="S549" s="298"/>
      <c r="T549" s="298"/>
      <c r="U549" s="299"/>
      <c r="V549" s="279"/>
      <c r="W549" s="279"/>
      <c r="X549" s="279"/>
      <c r="Y549" s="279"/>
      <c r="Z549" s="279"/>
      <c r="AA549" s="279"/>
      <c r="AB549" s="279"/>
      <c r="AC549" s="279"/>
      <c r="AD549" s="279"/>
      <c r="AE549" s="279"/>
      <c r="AF549" s="279"/>
      <c r="AG549" s="279"/>
      <c r="AH549" s="279"/>
      <c r="AI549" s="279"/>
      <c r="AJ549" s="279"/>
      <c r="AK549" s="279"/>
      <c r="AL549" s="279"/>
      <c r="AM549" s="279"/>
      <c r="AN549" s="279"/>
      <c r="AO549" s="279"/>
      <c r="AP549" s="279"/>
      <c r="AQ549" s="279"/>
      <c r="AR549" s="279"/>
      <c r="AS549" s="279"/>
      <c r="AT549" s="279"/>
      <c r="AU549" s="279"/>
      <c r="AV549" s="279"/>
      <c r="AW549" s="279"/>
      <c r="AX549" s="279"/>
      <c r="AY549" s="279"/>
      <c r="AZ549" s="279"/>
      <c r="BA549" s="279"/>
      <c r="BB549" s="279"/>
      <c r="BC549" s="279"/>
      <c r="BD549" s="279"/>
      <c r="BE549" s="279"/>
      <c r="BF549" s="279"/>
      <c r="BG549" s="279"/>
      <c r="BH549" s="279"/>
      <c r="BI549" s="279"/>
      <c r="BJ549" s="279"/>
      <c r="BK549" s="279"/>
      <c r="BL549" s="279"/>
      <c r="BM549" s="279"/>
      <c r="BN549" s="279"/>
      <c r="BO549" s="279"/>
      <c r="BP549" s="279"/>
      <c r="BQ549" s="279"/>
      <c r="BR549" s="279"/>
      <c r="BS549" s="279"/>
      <c r="BT549" s="279"/>
      <c r="BU549" s="279"/>
      <c r="BV549" s="279"/>
      <c r="BW549" s="279"/>
      <c r="BX549" s="279"/>
      <c r="BY549" s="279"/>
      <c r="BZ549" s="279"/>
      <c r="CA549" s="279"/>
      <c r="CB549" s="279"/>
      <c r="CC549" s="279"/>
      <c r="CD549" s="279"/>
      <c r="CE549" s="279"/>
      <c r="CF549" s="279"/>
      <c r="CG549" s="279"/>
      <c r="CH549" s="279"/>
      <c r="CI549" s="279"/>
      <c r="CJ549" s="279"/>
      <c r="CK549" s="279"/>
      <c r="CL549" s="279"/>
      <c r="CM549" s="279"/>
      <c r="CN549" s="382"/>
    </row>
    <row r="550" ht="27" customHeight="true" thickBot="true" x14ac:dyDescent="0.35">
      <c r="B550" s="361"/>
      <c r="C550" s="279"/>
      <c r="D550" s="280"/>
      <c r="E550" s="287"/>
      <c r="F550" s="287"/>
      <c r="G550" s="287"/>
      <c r="H550" s="1950" t="s">
        <v>288</v>
      </c>
      <c r="I550" s="1951"/>
      <c r="J550" s="1951"/>
      <c r="K550" s="1951"/>
      <c r="L550" s="1952"/>
      <c r="M550" s="287"/>
      <c r="N550" s="296"/>
      <c r="O550" s="280"/>
      <c r="P550" s="280"/>
      <c r="Q550" s="279"/>
      <c r="R550" s="297"/>
      <c r="S550" s="298"/>
      <c r="T550" s="298"/>
      <c r="U550" s="299"/>
      <c r="V550" s="279"/>
      <c r="W550" s="279"/>
      <c r="X550" s="279"/>
      <c r="Y550" s="279"/>
      <c r="Z550" s="279"/>
      <c r="AA550" s="279"/>
      <c r="AB550" s="279"/>
      <c r="AC550" s="279"/>
      <c r="AD550" s="279"/>
      <c r="AE550" s="279"/>
      <c r="AF550" s="279"/>
      <c r="AG550" s="279"/>
      <c r="AH550" s="279"/>
      <c r="AI550" s="279"/>
      <c r="AJ550" s="279"/>
      <c r="AK550" s="279"/>
      <c r="AL550" s="279"/>
      <c r="AM550" s="279"/>
      <c r="AN550" s="279"/>
      <c r="AO550" s="279"/>
      <c r="AP550" s="279"/>
      <c r="AQ550" s="279"/>
      <c r="AR550" s="279"/>
      <c r="AS550" s="279"/>
      <c r="AT550" s="279"/>
      <c r="AU550" s="279"/>
      <c r="AV550" s="279"/>
      <c r="AW550" s="279"/>
      <c r="AX550" s="279"/>
      <c r="AY550" s="279"/>
      <c r="AZ550" s="279"/>
      <c r="BA550" s="279"/>
      <c r="BB550" s="279"/>
      <c r="BC550" s="279"/>
      <c r="BD550" s="279"/>
      <c r="BE550" s="279"/>
      <c r="BF550" s="279"/>
      <c r="BG550" s="279"/>
      <c r="BH550" s="279"/>
      <c r="BI550" s="279"/>
      <c r="BJ550" s="279"/>
      <c r="BK550" s="279"/>
      <c r="BL550" s="279"/>
      <c r="BM550" s="279"/>
      <c r="BN550" s="279"/>
      <c r="BO550" s="279"/>
      <c r="BP550" s="279"/>
      <c r="BQ550" s="279"/>
      <c r="BR550" s="279"/>
      <c r="BS550" s="279"/>
      <c r="BT550" s="279"/>
      <c r="BU550" s="279"/>
      <c r="BV550" s="279"/>
      <c r="BW550" s="279"/>
      <c r="BX550" s="279"/>
      <c r="BY550" s="279"/>
      <c r="BZ550" s="279"/>
      <c r="CA550" s="279"/>
      <c r="CB550" s="279"/>
      <c r="CC550" s="279"/>
      <c r="CD550" s="279"/>
      <c r="CE550" s="279"/>
      <c r="CF550" s="279"/>
      <c r="CG550" s="279"/>
      <c r="CH550" s="279"/>
      <c r="CI550" s="279"/>
      <c r="CJ550" s="279"/>
      <c r="CK550" s="279"/>
      <c r="CL550" s="279"/>
      <c r="CM550" s="279"/>
      <c r="CN550" s="382"/>
    </row>
    <row r="551" ht="27" customHeight="true" x14ac:dyDescent="0.3">
      <c r="B551" s="361"/>
      <c r="C551" s="279"/>
      <c r="D551" s="280"/>
      <c r="E551" s="287"/>
      <c r="F551" s="287"/>
      <c r="G551" s="287"/>
      <c r="H551" s="282" t="s">
        <v>1469</v>
      </c>
      <c r="I551" s="1166" t="s">
        <v>289</v>
      </c>
      <c r="J551" s="1166" t="s">
        <v>290</v>
      </c>
      <c r="K551" s="283" t="s">
        <v>291</v>
      </c>
      <c r="L551" s="300" t="s">
        <v>292</v>
      </c>
      <c r="M551" s="287"/>
      <c r="N551" s="296"/>
      <c r="O551" s="280"/>
      <c r="P551" s="280"/>
      <c r="Q551" s="279"/>
      <c r="R551" s="297"/>
      <c r="S551" s="298"/>
      <c r="T551" s="298"/>
      <c r="U551" s="299"/>
      <c r="V551" s="279"/>
      <c r="W551" s="279"/>
      <c r="X551" s="279"/>
      <c r="Y551" s="279"/>
      <c r="Z551" s="279"/>
      <c r="AA551" s="279"/>
      <c r="AB551" s="279"/>
      <c r="AC551" s="279"/>
      <c r="AD551" s="279"/>
      <c r="AE551" s="279"/>
      <c r="AF551" s="279"/>
      <c r="AG551" s="279"/>
      <c r="AH551" s="279"/>
      <c r="AI551" s="279"/>
      <c r="AJ551" s="279"/>
      <c r="AK551" s="279"/>
      <c r="AL551" s="279"/>
      <c r="AM551" s="279"/>
      <c r="AN551" s="279"/>
      <c r="AO551" s="279"/>
      <c r="AP551" s="279"/>
      <c r="AQ551" s="279"/>
      <c r="AR551" s="279"/>
      <c r="AS551" s="279"/>
      <c r="AT551" s="279"/>
      <c r="AU551" s="279"/>
      <c r="AV551" s="279"/>
      <c r="AW551" s="279"/>
      <c r="AX551" s="279"/>
      <c r="AY551" s="279"/>
      <c r="AZ551" s="279"/>
      <c r="BA551" s="279"/>
      <c r="BB551" s="279"/>
      <c r="BC551" s="279"/>
      <c r="BD551" s="279"/>
      <c r="BE551" s="279"/>
      <c r="BF551" s="279"/>
      <c r="BG551" s="279"/>
      <c r="BH551" s="279"/>
      <c r="BI551" s="279"/>
      <c r="BJ551" s="279"/>
      <c r="BK551" s="279"/>
      <c r="BL551" s="279"/>
      <c r="BM551" s="279"/>
      <c r="BN551" s="279"/>
      <c r="BO551" s="279"/>
      <c r="BP551" s="279"/>
      <c r="BQ551" s="279"/>
      <c r="BR551" s="279"/>
      <c r="BS551" s="279"/>
      <c r="BT551" s="279"/>
      <c r="BU551" s="279"/>
      <c r="BV551" s="279"/>
      <c r="BW551" s="279"/>
      <c r="BX551" s="279"/>
      <c r="BY551" s="279"/>
      <c r="BZ551" s="279"/>
      <c r="CA551" s="279"/>
      <c r="CB551" s="279"/>
      <c r="CC551" s="279"/>
      <c r="CD551" s="279"/>
      <c r="CE551" s="279"/>
      <c r="CF551" s="279"/>
      <c r="CG551" s="279"/>
      <c r="CH551" s="279"/>
      <c r="CI551" s="279"/>
      <c r="CJ551" s="279"/>
      <c r="CK551" s="279"/>
      <c r="CL551" s="279"/>
      <c r="CM551" s="279"/>
      <c r="CN551" s="382"/>
    </row>
    <row r="552" ht="17.25" customHeight="true" x14ac:dyDescent="0.3">
      <c r="B552" s="361"/>
      <c r="C552" s="279"/>
      <c r="D552" s="280"/>
      <c r="E552" s="287"/>
      <c r="F552" s="287"/>
      <c r="G552" s="287"/>
      <c r="H552" s="1292">
        <f t="shared" ref="H552:H601" si="19">H142</f>
        <v>1</v>
      </c>
      <c r="I552" s="1190">
        <f>N86</f>
        <v>2980.7504537999998</v>
      </c>
      <c r="J552" s="1295">
        <f>IF('I. Stream &amp; Compound Data'!AN262&lt;&gt;"",'I. Stream &amp; Compound Data'!AN262,"")</f>
        <v>0</v>
      </c>
      <c r="K552" s="1312">
        <f t="shared" ref="K552:K570" si="20">IF(I142="","",I552*J552)</f>
        <v>0</v>
      </c>
      <c r="L552" s="301">
        <f>I552</f>
        <v>2980.7504537999998</v>
      </c>
      <c r="M552" s="287"/>
      <c r="N552" s="296"/>
      <c r="O552" s="280"/>
      <c r="P552" s="280"/>
      <c r="Q552" s="279"/>
      <c r="R552" s="297"/>
      <c r="S552" s="298"/>
      <c r="T552" s="298"/>
      <c r="U552" s="299"/>
      <c r="V552" s="279"/>
      <c r="W552" s="279"/>
      <c r="X552" s="279"/>
      <c r="Y552" s="279"/>
      <c r="Z552" s="279"/>
      <c r="AA552" s="279"/>
      <c r="AB552" s="279"/>
      <c r="AC552" s="279"/>
      <c r="AD552" s="279"/>
      <c r="AE552" s="279"/>
      <c r="AF552" s="279"/>
      <c r="AG552" s="279"/>
      <c r="AH552" s="279"/>
      <c r="AI552" s="279"/>
      <c r="AJ552" s="279"/>
      <c r="AK552" s="279"/>
      <c r="AL552" s="279"/>
      <c r="AM552" s="279"/>
      <c r="AN552" s="279"/>
      <c r="AO552" s="279"/>
      <c r="AP552" s="279"/>
      <c r="AQ552" s="279"/>
      <c r="AR552" s="279"/>
      <c r="AS552" s="279"/>
      <c r="AT552" s="279"/>
      <c r="AU552" s="279"/>
      <c r="AV552" s="279"/>
      <c r="AW552" s="279"/>
      <c r="AX552" s="279"/>
      <c r="AY552" s="279"/>
      <c r="AZ552" s="279"/>
      <c r="BA552" s="279"/>
      <c r="BB552" s="279"/>
      <c r="BC552" s="279"/>
      <c r="BD552" s="279"/>
      <c r="BE552" s="279"/>
      <c r="BF552" s="279"/>
      <c r="BG552" s="279"/>
      <c r="BH552" s="279"/>
      <c r="BI552" s="279"/>
      <c r="BJ552" s="279"/>
      <c r="BK552" s="279"/>
      <c r="BL552" s="279"/>
      <c r="BM552" s="279"/>
      <c r="BN552" s="279"/>
      <c r="BO552" s="279"/>
      <c r="BP552" s="279"/>
      <c r="BQ552" s="279"/>
      <c r="BR552" s="279"/>
      <c r="BS552" s="279"/>
      <c r="BT552" s="279"/>
      <c r="BU552" s="279"/>
      <c r="BV552" s="279"/>
      <c r="BW552" s="279"/>
      <c r="BX552" s="279"/>
      <c r="BY552" s="279"/>
      <c r="BZ552" s="279"/>
      <c r="CA552" s="279"/>
      <c r="CB552" s="279"/>
      <c r="CC552" s="279"/>
      <c r="CD552" s="279"/>
      <c r="CE552" s="279"/>
      <c r="CF552" s="279"/>
      <c r="CG552" s="279"/>
      <c r="CH552" s="279"/>
      <c r="CI552" s="279"/>
      <c r="CJ552" s="279"/>
      <c r="CK552" s="279"/>
      <c r="CL552" s="279"/>
      <c r="CM552" s="279"/>
      <c r="CN552" s="382"/>
    </row>
    <row r="553" ht="17.25" customHeight="true" x14ac:dyDescent="0.3">
      <c r="B553" s="361"/>
      <c r="C553" s="279"/>
      <c r="D553" s="280"/>
      <c r="E553" s="287"/>
      <c r="F553" s="287"/>
      <c r="G553" s="287"/>
      <c r="H553" s="1292">
        <f t="shared" si="19"/>
        <v>2</v>
      </c>
      <c r="I553" s="1190">
        <f t="shared" ref="I553:I601" si="21">N87</f>
        <v>0</v>
      </c>
      <c r="J553" s="1295">
        <f>IF('I. Stream &amp; Compound Data'!AN263&lt;&gt;"",'I. Stream &amp; Compound Data'!AN263,"")</f>
        <v>0</v>
      </c>
      <c r="K553" s="1312">
        <f t="shared" si="20"/>
        <v>0</v>
      </c>
      <c r="L553" s="301">
        <f t="shared" ref="L553:L570" si="22">I553</f>
        <v>0</v>
      </c>
      <c r="M553" s="287"/>
      <c r="N553" s="296"/>
      <c r="O553" s="280"/>
      <c r="P553" s="280"/>
      <c r="Q553" s="279"/>
      <c r="R553" s="297"/>
      <c r="S553" s="298"/>
      <c r="T553" s="298"/>
      <c r="U553" s="299"/>
      <c r="V553" s="279"/>
      <c r="W553" s="279"/>
      <c r="X553" s="279"/>
      <c r="Y553" s="279"/>
      <c r="Z553" s="279"/>
      <c r="AA553" s="279"/>
      <c r="AB553" s="279"/>
      <c r="AC553" s="279"/>
      <c r="AD553" s="279"/>
      <c r="AE553" s="279"/>
      <c r="AF553" s="279"/>
      <c r="AG553" s="279"/>
      <c r="AH553" s="279"/>
      <c r="AI553" s="279"/>
      <c r="AJ553" s="279"/>
      <c r="AK553" s="279"/>
      <c r="AL553" s="279"/>
      <c r="AM553" s="279"/>
      <c r="AN553" s="279"/>
      <c r="AO553" s="279"/>
      <c r="AP553" s="279"/>
      <c r="AQ553" s="279"/>
      <c r="AR553" s="279"/>
      <c r="AS553" s="279"/>
      <c r="AT553" s="279"/>
      <c r="AU553" s="279"/>
      <c r="AV553" s="279"/>
      <c r="AW553" s="279"/>
      <c r="AX553" s="279"/>
      <c r="AY553" s="279"/>
      <c r="AZ553" s="279"/>
      <c r="BA553" s="279"/>
      <c r="BB553" s="279"/>
      <c r="BC553" s="279"/>
      <c r="BD553" s="279"/>
      <c r="BE553" s="279"/>
      <c r="BF553" s="279"/>
      <c r="BG553" s="279"/>
      <c r="BH553" s="279"/>
      <c r="BI553" s="279"/>
      <c r="BJ553" s="279"/>
      <c r="BK553" s="279"/>
      <c r="BL553" s="279"/>
      <c r="BM553" s="279"/>
      <c r="BN553" s="279"/>
      <c r="BO553" s="279"/>
      <c r="BP553" s="279"/>
      <c r="BQ553" s="279"/>
      <c r="BR553" s="279"/>
      <c r="BS553" s="279"/>
      <c r="BT553" s="279"/>
      <c r="BU553" s="279"/>
      <c r="BV553" s="279"/>
      <c r="BW553" s="279"/>
      <c r="BX553" s="279"/>
      <c r="BY553" s="279"/>
      <c r="BZ553" s="279"/>
      <c r="CA553" s="279"/>
      <c r="CB553" s="279"/>
      <c r="CC553" s="279"/>
      <c r="CD553" s="279"/>
      <c r="CE553" s="279"/>
      <c r="CF553" s="279"/>
      <c r="CG553" s="279"/>
      <c r="CH553" s="279"/>
      <c r="CI553" s="279"/>
      <c r="CJ553" s="279"/>
      <c r="CK553" s="279"/>
      <c r="CL553" s="279"/>
      <c r="CM553" s="279"/>
      <c r="CN553" s="382"/>
    </row>
    <row r="554" ht="17.25" customHeight="true" x14ac:dyDescent="0.3">
      <c r="B554" s="361"/>
      <c r="C554" s="279"/>
      <c r="D554" s="280"/>
      <c r="E554" s="287"/>
      <c r="F554" s="287"/>
      <c r="G554" s="287"/>
      <c r="H554" s="1292">
        <f t="shared" si="19"/>
        <v>3</v>
      </c>
      <c r="I554" s="1190">
        <f t="shared" si="21"/>
        <v>0</v>
      </c>
      <c r="J554" s="1295">
        <f>IF('I. Stream &amp; Compound Data'!AN264&lt;&gt;"",'I. Stream &amp; Compound Data'!AN264,"")</f>
        <v>0</v>
      </c>
      <c r="K554" s="1312">
        <f t="shared" si="20"/>
        <v>0</v>
      </c>
      <c r="L554" s="301">
        <f t="shared" si="22"/>
        <v>0</v>
      </c>
      <c r="M554" s="287"/>
      <c r="N554" s="296"/>
      <c r="O554" s="280"/>
      <c r="P554" s="280"/>
      <c r="Q554" s="279"/>
      <c r="R554" s="297"/>
      <c r="S554" s="298"/>
      <c r="T554" s="298"/>
      <c r="U554" s="299"/>
      <c r="V554" s="279"/>
      <c r="W554" s="279"/>
      <c r="X554" s="279"/>
      <c r="Y554" s="279"/>
      <c r="Z554" s="279"/>
      <c r="AA554" s="279"/>
      <c r="AB554" s="279"/>
      <c r="AC554" s="279"/>
      <c r="AD554" s="279"/>
      <c r="AE554" s="279"/>
      <c r="AF554" s="279"/>
      <c r="AG554" s="279"/>
      <c r="AH554" s="279"/>
      <c r="AI554" s="279"/>
      <c r="AJ554" s="279"/>
      <c r="AK554" s="279"/>
      <c r="AL554" s="279"/>
      <c r="AM554" s="279"/>
      <c r="AN554" s="279"/>
      <c r="AO554" s="279"/>
      <c r="AP554" s="279"/>
      <c r="AQ554" s="279"/>
      <c r="AR554" s="279"/>
      <c r="AS554" s="279"/>
      <c r="AT554" s="279"/>
      <c r="AU554" s="279"/>
      <c r="AV554" s="279"/>
      <c r="AW554" s="279"/>
      <c r="AX554" s="279"/>
      <c r="AY554" s="279"/>
      <c r="AZ554" s="279"/>
      <c r="BA554" s="279"/>
      <c r="BB554" s="279"/>
      <c r="BC554" s="279"/>
      <c r="BD554" s="279"/>
      <c r="BE554" s="279"/>
      <c r="BF554" s="279"/>
      <c r="BG554" s="279"/>
      <c r="BH554" s="279"/>
      <c r="BI554" s="279"/>
      <c r="BJ554" s="279"/>
      <c r="BK554" s="279"/>
      <c r="BL554" s="279"/>
      <c r="BM554" s="279"/>
      <c r="BN554" s="279"/>
      <c r="BO554" s="279"/>
      <c r="BP554" s="279"/>
      <c r="BQ554" s="279"/>
      <c r="BR554" s="279"/>
      <c r="BS554" s="279"/>
      <c r="BT554" s="279"/>
      <c r="BU554" s="279"/>
      <c r="BV554" s="279"/>
      <c r="BW554" s="279"/>
      <c r="BX554" s="279"/>
      <c r="BY554" s="279"/>
      <c r="BZ554" s="279"/>
      <c r="CA554" s="279"/>
      <c r="CB554" s="279"/>
      <c r="CC554" s="279"/>
      <c r="CD554" s="279"/>
      <c r="CE554" s="279"/>
      <c r="CF554" s="279"/>
      <c r="CG554" s="279"/>
      <c r="CH554" s="279"/>
      <c r="CI554" s="279"/>
      <c r="CJ554" s="279"/>
      <c r="CK554" s="279"/>
      <c r="CL554" s="279"/>
      <c r="CM554" s="279"/>
      <c r="CN554" s="382"/>
    </row>
    <row r="555" ht="17.25" customHeight="true" x14ac:dyDescent="0.3">
      <c r="B555" s="361"/>
      <c r="C555" s="279"/>
      <c r="D555" s="280"/>
      <c r="E555" s="287"/>
      <c r="F555" s="287"/>
      <c r="G555" s="287"/>
      <c r="H555" s="1292">
        <f t="shared" si="19"/>
        <v>4</v>
      </c>
      <c r="I555" s="1190">
        <f t="shared" si="21"/>
        <v>0</v>
      </c>
      <c r="J555" s="1295">
        <f>IF('I. Stream &amp; Compound Data'!AN265&lt;&gt;"",'I. Stream &amp; Compound Data'!AN265,"")</f>
        <v>0</v>
      </c>
      <c r="K555" s="1312">
        <f t="shared" si="20"/>
        <v>0</v>
      </c>
      <c r="L555" s="301">
        <f t="shared" si="22"/>
        <v>0</v>
      </c>
      <c r="M555" s="287"/>
      <c r="N555" s="296"/>
      <c r="O555" s="280"/>
      <c r="P555" s="280"/>
      <c r="Q555" s="279"/>
      <c r="R555" s="297"/>
      <c r="S555" s="298"/>
      <c r="T555" s="298"/>
      <c r="U555" s="299"/>
      <c r="V555" s="279"/>
      <c r="W555" s="279"/>
      <c r="X555" s="279"/>
      <c r="Y555" s="279"/>
      <c r="Z555" s="279"/>
      <c r="AA555" s="279"/>
      <c r="AB555" s="279"/>
      <c r="AC555" s="279"/>
      <c r="AD555" s="279"/>
      <c r="AE555" s="279"/>
      <c r="AF555" s="279"/>
      <c r="AG555" s="279"/>
      <c r="AH555" s="279"/>
      <c r="AI555" s="279"/>
      <c r="AJ555" s="279"/>
      <c r="AK555" s="279"/>
      <c r="AL555" s="279"/>
      <c r="AM555" s="279"/>
      <c r="AN555" s="279"/>
      <c r="AO555" s="279"/>
      <c r="AP555" s="279"/>
      <c r="AQ555" s="279"/>
      <c r="AR555" s="279"/>
      <c r="AS555" s="279"/>
      <c r="AT555" s="279"/>
      <c r="AU555" s="279"/>
      <c r="AV555" s="279"/>
      <c r="AW555" s="279"/>
      <c r="AX555" s="279"/>
      <c r="AY555" s="279"/>
      <c r="AZ555" s="279"/>
      <c r="BA555" s="279"/>
      <c r="BB555" s="279"/>
      <c r="BC555" s="279"/>
      <c r="BD555" s="279"/>
      <c r="BE555" s="279"/>
      <c r="BF555" s="279"/>
      <c r="BG555" s="279"/>
      <c r="BH555" s="279"/>
      <c r="BI555" s="279"/>
      <c r="BJ555" s="279"/>
      <c r="BK555" s="279"/>
      <c r="BL555" s="279"/>
      <c r="BM555" s="279"/>
      <c r="BN555" s="279"/>
      <c r="BO555" s="279"/>
      <c r="BP555" s="279"/>
      <c r="BQ555" s="279"/>
      <c r="BR555" s="279"/>
      <c r="BS555" s="279"/>
      <c r="BT555" s="279"/>
      <c r="BU555" s="279"/>
      <c r="BV555" s="279"/>
      <c r="BW555" s="279"/>
      <c r="BX555" s="279"/>
      <c r="BY555" s="279"/>
      <c r="BZ555" s="279"/>
      <c r="CA555" s="279"/>
      <c r="CB555" s="279"/>
      <c r="CC555" s="279"/>
      <c r="CD555" s="279"/>
      <c r="CE555" s="279"/>
      <c r="CF555" s="279"/>
      <c r="CG555" s="279"/>
      <c r="CH555" s="279"/>
      <c r="CI555" s="279"/>
      <c r="CJ555" s="279"/>
      <c r="CK555" s="279"/>
      <c r="CL555" s="279"/>
      <c r="CM555" s="279"/>
      <c r="CN555" s="382"/>
    </row>
    <row r="556" ht="17.25" customHeight="true" x14ac:dyDescent="0.3">
      <c r="B556" s="361"/>
      <c r="C556" s="279"/>
      <c r="D556" s="280"/>
      <c r="E556" s="287"/>
      <c r="F556" s="287"/>
      <c r="G556" s="287"/>
      <c r="H556" s="1292">
        <f t="shared" si="19"/>
        <v>5</v>
      </c>
      <c r="I556" s="1190" t="str">
        <f t="shared" si="21"/>
        <v/>
      </c>
      <c r="J556" s="1295" t="str">
        <f>IF('I. Stream &amp; Compound Data'!AN266&lt;&gt;"",'I. Stream &amp; Compound Data'!AN266,"")</f>
        <v/>
      </c>
      <c r="K556" s="1312" t="str">
        <f t="shared" si="20"/>
        <v/>
      </c>
      <c r="L556" s="301" t="str">
        <f t="shared" si="22"/>
        <v/>
      </c>
      <c r="M556" s="287"/>
      <c r="N556" s="296"/>
      <c r="O556" s="280"/>
      <c r="P556" s="280"/>
      <c r="Q556" s="279"/>
      <c r="R556" s="297"/>
      <c r="S556" s="298"/>
      <c r="T556" s="298"/>
      <c r="U556" s="299"/>
      <c r="V556" s="279"/>
      <c r="W556" s="279"/>
      <c r="X556" s="279"/>
      <c r="Y556" s="279"/>
      <c r="Z556" s="279"/>
      <c r="AA556" s="279"/>
      <c r="AB556" s="279"/>
      <c r="AC556" s="279"/>
      <c r="AD556" s="279"/>
      <c r="AE556" s="279"/>
      <c r="AF556" s="279"/>
      <c r="AG556" s="279"/>
      <c r="AH556" s="279"/>
      <c r="AI556" s="279"/>
      <c r="AJ556" s="279"/>
      <c r="AK556" s="279"/>
      <c r="AL556" s="279"/>
      <c r="AM556" s="279"/>
      <c r="AN556" s="279"/>
      <c r="AO556" s="279"/>
      <c r="AP556" s="279"/>
      <c r="AQ556" s="279"/>
      <c r="AR556" s="279"/>
      <c r="AS556" s="279"/>
      <c r="AT556" s="279"/>
      <c r="AU556" s="279"/>
      <c r="AV556" s="279"/>
      <c r="AW556" s="279"/>
      <c r="AX556" s="279"/>
      <c r="AY556" s="279"/>
      <c r="AZ556" s="279"/>
      <c r="BA556" s="279"/>
      <c r="BB556" s="279"/>
      <c r="BC556" s="279"/>
      <c r="BD556" s="279"/>
      <c r="BE556" s="279"/>
      <c r="BF556" s="279"/>
      <c r="BG556" s="279"/>
      <c r="BH556" s="279"/>
      <c r="BI556" s="279"/>
      <c r="BJ556" s="279"/>
      <c r="BK556" s="279"/>
      <c r="BL556" s="279"/>
      <c r="BM556" s="279"/>
      <c r="BN556" s="279"/>
      <c r="BO556" s="279"/>
      <c r="BP556" s="279"/>
      <c r="BQ556" s="279"/>
      <c r="BR556" s="279"/>
      <c r="BS556" s="279"/>
      <c r="BT556" s="279"/>
      <c r="BU556" s="279"/>
      <c r="BV556" s="279"/>
      <c r="BW556" s="279"/>
      <c r="BX556" s="279"/>
      <c r="BY556" s="279"/>
      <c r="BZ556" s="279"/>
      <c r="CA556" s="279"/>
      <c r="CB556" s="279"/>
      <c r="CC556" s="279"/>
      <c r="CD556" s="279"/>
      <c r="CE556" s="279"/>
      <c r="CF556" s="279"/>
      <c r="CG556" s="279"/>
      <c r="CH556" s="279"/>
      <c r="CI556" s="279"/>
      <c r="CJ556" s="279"/>
      <c r="CK556" s="279"/>
      <c r="CL556" s="279"/>
      <c r="CM556" s="279"/>
      <c r="CN556" s="382"/>
    </row>
    <row r="557" ht="17.25" customHeight="true" x14ac:dyDescent="0.3">
      <c r="B557" s="361"/>
      <c r="C557" s="279"/>
      <c r="D557" s="280"/>
      <c r="E557" s="287"/>
      <c r="F557" s="287"/>
      <c r="G557" s="287"/>
      <c r="H557" s="1292">
        <f t="shared" si="19"/>
        <v>6</v>
      </c>
      <c r="I557" s="1190" t="str">
        <f t="shared" si="21"/>
        <v/>
      </c>
      <c r="J557" s="1295" t="str">
        <f>IF('I. Stream &amp; Compound Data'!AN267&lt;&gt;"",'I. Stream &amp; Compound Data'!AN267,"")</f>
        <v/>
      </c>
      <c r="K557" s="1312" t="str">
        <f t="shared" si="20"/>
        <v/>
      </c>
      <c r="L557" s="301" t="str">
        <f t="shared" si="22"/>
        <v/>
      </c>
      <c r="M557" s="287"/>
      <c r="N557" s="296"/>
      <c r="O557" s="280"/>
      <c r="P557" s="280"/>
      <c r="Q557" s="279"/>
      <c r="R557" s="297"/>
      <c r="S557" s="298"/>
      <c r="T557" s="298"/>
      <c r="U557" s="299"/>
      <c r="V557" s="279"/>
      <c r="W557" s="279"/>
      <c r="X557" s="279"/>
      <c r="Y557" s="279"/>
      <c r="Z557" s="279"/>
      <c r="AA557" s="279"/>
      <c r="AB557" s="279"/>
      <c r="AC557" s="279"/>
      <c r="AD557" s="279"/>
      <c r="AE557" s="279"/>
      <c r="AF557" s="279"/>
      <c r="AG557" s="279"/>
      <c r="AH557" s="279"/>
      <c r="AI557" s="279"/>
      <c r="AJ557" s="279"/>
      <c r="AK557" s="279"/>
      <c r="AL557" s="279"/>
      <c r="AM557" s="279"/>
      <c r="AN557" s="279"/>
      <c r="AO557" s="279"/>
      <c r="AP557" s="279"/>
      <c r="AQ557" s="279"/>
      <c r="AR557" s="279"/>
      <c r="AS557" s="279"/>
      <c r="AT557" s="279"/>
      <c r="AU557" s="279"/>
      <c r="AV557" s="279"/>
      <c r="AW557" s="279"/>
      <c r="AX557" s="279"/>
      <c r="AY557" s="279"/>
      <c r="AZ557" s="279"/>
      <c r="BA557" s="279"/>
      <c r="BB557" s="279"/>
      <c r="BC557" s="279"/>
      <c r="BD557" s="279"/>
      <c r="BE557" s="279"/>
      <c r="BF557" s="279"/>
      <c r="BG557" s="279"/>
      <c r="BH557" s="279"/>
      <c r="BI557" s="279"/>
      <c r="BJ557" s="279"/>
      <c r="BK557" s="279"/>
      <c r="BL557" s="279"/>
      <c r="BM557" s="279"/>
      <c r="BN557" s="279"/>
      <c r="BO557" s="279"/>
      <c r="BP557" s="279"/>
      <c r="BQ557" s="279"/>
      <c r="BR557" s="279"/>
      <c r="BS557" s="279"/>
      <c r="BT557" s="279"/>
      <c r="BU557" s="279"/>
      <c r="BV557" s="279"/>
      <c r="BW557" s="279"/>
      <c r="BX557" s="279"/>
      <c r="BY557" s="279"/>
      <c r="BZ557" s="279"/>
      <c r="CA557" s="279"/>
      <c r="CB557" s="279"/>
      <c r="CC557" s="279"/>
      <c r="CD557" s="279"/>
      <c r="CE557" s="279"/>
      <c r="CF557" s="279"/>
      <c r="CG557" s="279"/>
      <c r="CH557" s="279"/>
      <c r="CI557" s="279"/>
      <c r="CJ557" s="279"/>
      <c r="CK557" s="279"/>
      <c r="CL557" s="279"/>
      <c r="CM557" s="279"/>
      <c r="CN557" s="382"/>
    </row>
    <row r="558" ht="17.25" customHeight="true" x14ac:dyDescent="0.3">
      <c r="B558" s="361"/>
      <c r="C558" s="279"/>
      <c r="D558" s="280"/>
      <c r="E558" s="287"/>
      <c r="F558" s="287"/>
      <c r="G558" s="287"/>
      <c r="H558" s="1292">
        <f t="shared" si="19"/>
        <v>7</v>
      </c>
      <c r="I558" s="1190" t="str">
        <f t="shared" si="21"/>
        <v/>
      </c>
      <c r="J558" s="1295" t="str">
        <f>IF('I. Stream &amp; Compound Data'!AN268&lt;&gt;"",'I. Stream &amp; Compound Data'!AN268,"")</f>
        <v/>
      </c>
      <c r="K558" s="1312" t="str">
        <f t="shared" si="20"/>
        <v/>
      </c>
      <c r="L558" s="301" t="str">
        <f t="shared" si="22"/>
        <v/>
      </c>
      <c r="M558" s="287"/>
      <c r="N558" s="296"/>
      <c r="O558" s="280"/>
      <c r="P558" s="280"/>
      <c r="Q558" s="279"/>
      <c r="R558" s="297"/>
      <c r="S558" s="298"/>
      <c r="T558" s="298"/>
      <c r="U558" s="299"/>
      <c r="V558" s="279"/>
      <c r="W558" s="279"/>
      <c r="X558" s="279"/>
      <c r="Y558" s="279"/>
      <c r="Z558" s="279"/>
      <c r="AA558" s="279"/>
      <c r="AB558" s="279"/>
      <c r="AC558" s="279"/>
      <c r="AD558" s="279"/>
      <c r="AE558" s="279"/>
      <c r="AF558" s="279"/>
      <c r="AG558" s="279"/>
      <c r="AH558" s="279"/>
      <c r="AI558" s="279"/>
      <c r="AJ558" s="279"/>
      <c r="AK558" s="279"/>
      <c r="AL558" s="279"/>
      <c r="AM558" s="279"/>
      <c r="AN558" s="279"/>
      <c r="AO558" s="279"/>
      <c r="AP558" s="279"/>
      <c r="AQ558" s="279"/>
      <c r="AR558" s="279"/>
      <c r="AS558" s="279"/>
      <c r="AT558" s="279"/>
      <c r="AU558" s="279"/>
      <c r="AV558" s="279"/>
      <c r="AW558" s="279"/>
      <c r="AX558" s="279"/>
      <c r="AY558" s="279"/>
      <c r="AZ558" s="279"/>
      <c r="BA558" s="279"/>
      <c r="BB558" s="279"/>
      <c r="BC558" s="279"/>
      <c r="BD558" s="279"/>
      <c r="BE558" s="279"/>
      <c r="BF558" s="279"/>
      <c r="BG558" s="279"/>
      <c r="BH558" s="279"/>
      <c r="BI558" s="279"/>
      <c r="BJ558" s="279"/>
      <c r="BK558" s="279"/>
      <c r="BL558" s="279"/>
      <c r="BM558" s="279"/>
      <c r="BN558" s="279"/>
      <c r="BO558" s="279"/>
      <c r="BP558" s="279"/>
      <c r="BQ558" s="279"/>
      <c r="BR558" s="279"/>
      <c r="BS558" s="279"/>
      <c r="BT558" s="279"/>
      <c r="BU558" s="279"/>
      <c r="BV558" s="279"/>
      <c r="BW558" s="279"/>
      <c r="BX558" s="279"/>
      <c r="BY558" s="279"/>
      <c r="BZ558" s="279"/>
      <c r="CA558" s="279"/>
      <c r="CB558" s="279"/>
      <c r="CC558" s="279"/>
      <c r="CD558" s="279"/>
      <c r="CE558" s="279"/>
      <c r="CF558" s="279"/>
      <c r="CG558" s="279"/>
      <c r="CH558" s="279"/>
      <c r="CI558" s="279"/>
      <c r="CJ558" s="279"/>
      <c r="CK558" s="279"/>
      <c r="CL558" s="279"/>
      <c r="CM558" s="279"/>
      <c r="CN558" s="382"/>
    </row>
    <row r="559" ht="17.25" customHeight="true" x14ac:dyDescent="0.3">
      <c r="B559" s="361"/>
      <c r="C559" s="279"/>
      <c r="D559" s="280"/>
      <c r="E559" s="287"/>
      <c r="F559" s="287"/>
      <c r="G559" s="287"/>
      <c r="H559" s="1292">
        <f t="shared" si="19"/>
        <v>8</v>
      </c>
      <c r="I559" s="1190" t="str">
        <f t="shared" si="21"/>
        <v/>
      </c>
      <c r="J559" s="1295" t="str">
        <f>IF('I. Stream &amp; Compound Data'!AN269&lt;&gt;"",'I. Stream &amp; Compound Data'!AN269,"")</f>
        <v/>
      </c>
      <c r="K559" s="1312" t="str">
        <f t="shared" si="20"/>
        <v/>
      </c>
      <c r="L559" s="301" t="str">
        <f t="shared" si="22"/>
        <v/>
      </c>
      <c r="M559" s="287"/>
      <c r="N559" s="296"/>
      <c r="O559" s="280"/>
      <c r="P559" s="280"/>
      <c r="Q559" s="279"/>
      <c r="R559" s="297"/>
      <c r="S559" s="298"/>
      <c r="T559" s="298"/>
      <c r="U559" s="299"/>
      <c r="V559" s="279"/>
      <c r="W559" s="279"/>
      <c r="X559" s="279"/>
      <c r="Y559" s="279"/>
      <c r="Z559" s="279"/>
      <c r="AA559" s="279"/>
      <c r="AB559" s="279"/>
      <c r="AC559" s="279"/>
      <c r="AD559" s="279"/>
      <c r="AE559" s="279"/>
      <c r="AF559" s="279"/>
      <c r="AG559" s="279"/>
      <c r="AH559" s="279"/>
      <c r="AI559" s="279"/>
      <c r="AJ559" s="279"/>
      <c r="AK559" s="279"/>
      <c r="AL559" s="279"/>
      <c r="AM559" s="279"/>
      <c r="AN559" s="279"/>
      <c r="AO559" s="279"/>
      <c r="AP559" s="279"/>
      <c r="AQ559" s="279"/>
      <c r="AR559" s="279"/>
      <c r="AS559" s="279"/>
      <c r="AT559" s="279"/>
      <c r="AU559" s="279"/>
      <c r="AV559" s="279"/>
      <c r="AW559" s="279"/>
      <c r="AX559" s="279"/>
      <c r="AY559" s="279"/>
      <c r="AZ559" s="279"/>
      <c r="BA559" s="279"/>
      <c r="BB559" s="279"/>
      <c r="BC559" s="279"/>
      <c r="BD559" s="279"/>
      <c r="BE559" s="279"/>
      <c r="BF559" s="279"/>
      <c r="BG559" s="279"/>
      <c r="BH559" s="279"/>
      <c r="BI559" s="279"/>
      <c r="BJ559" s="279"/>
      <c r="BK559" s="279"/>
      <c r="BL559" s="279"/>
      <c r="BM559" s="279"/>
      <c r="BN559" s="279"/>
      <c r="BO559" s="279"/>
      <c r="BP559" s="279"/>
      <c r="BQ559" s="279"/>
      <c r="BR559" s="279"/>
      <c r="BS559" s="279"/>
      <c r="BT559" s="279"/>
      <c r="BU559" s="279"/>
      <c r="BV559" s="279"/>
      <c r="BW559" s="279"/>
      <c r="BX559" s="279"/>
      <c r="BY559" s="279"/>
      <c r="BZ559" s="279"/>
      <c r="CA559" s="279"/>
      <c r="CB559" s="279"/>
      <c r="CC559" s="279"/>
      <c r="CD559" s="279"/>
      <c r="CE559" s="279"/>
      <c r="CF559" s="279"/>
      <c r="CG559" s="279"/>
      <c r="CH559" s="279"/>
      <c r="CI559" s="279"/>
      <c r="CJ559" s="279"/>
      <c r="CK559" s="279"/>
      <c r="CL559" s="279"/>
      <c r="CM559" s="279"/>
      <c r="CN559" s="382"/>
    </row>
    <row r="560" ht="17.25" customHeight="true" x14ac:dyDescent="0.3">
      <c r="B560" s="361"/>
      <c r="C560" s="279"/>
      <c r="D560" s="280"/>
      <c r="E560" s="287"/>
      <c r="F560" s="287"/>
      <c r="G560" s="287"/>
      <c r="H560" s="1292">
        <f t="shared" si="19"/>
        <v>9</v>
      </c>
      <c r="I560" s="1190" t="str">
        <f t="shared" si="21"/>
        <v/>
      </c>
      <c r="J560" s="1295" t="str">
        <f>IF('I. Stream &amp; Compound Data'!AN270&lt;&gt;"",'I. Stream &amp; Compound Data'!AN270,"")</f>
        <v/>
      </c>
      <c r="K560" s="1312" t="str">
        <f t="shared" si="20"/>
        <v/>
      </c>
      <c r="L560" s="301" t="str">
        <f t="shared" si="22"/>
        <v/>
      </c>
      <c r="M560" s="287"/>
      <c r="N560" s="296"/>
      <c r="O560" s="280"/>
      <c r="P560" s="280"/>
      <c r="Q560" s="279"/>
      <c r="R560" s="297"/>
      <c r="S560" s="298"/>
      <c r="T560" s="298"/>
      <c r="U560" s="299"/>
      <c r="V560" s="279"/>
      <c r="W560" s="279"/>
      <c r="X560" s="279"/>
      <c r="Y560" s="279"/>
      <c r="Z560" s="279"/>
      <c r="AA560" s="279"/>
      <c r="AB560" s="279"/>
      <c r="AC560" s="279"/>
      <c r="AD560" s="279"/>
      <c r="AE560" s="279"/>
      <c r="AF560" s="279"/>
      <c r="AG560" s="279"/>
      <c r="AH560" s="279"/>
      <c r="AI560" s="279"/>
      <c r="AJ560" s="279"/>
      <c r="AK560" s="279"/>
      <c r="AL560" s="279"/>
      <c r="AM560" s="279"/>
      <c r="AN560" s="279"/>
      <c r="AO560" s="279"/>
      <c r="AP560" s="279"/>
      <c r="AQ560" s="279"/>
      <c r="AR560" s="279"/>
      <c r="AS560" s="279"/>
      <c r="AT560" s="279"/>
      <c r="AU560" s="279"/>
      <c r="AV560" s="279"/>
      <c r="AW560" s="279"/>
      <c r="AX560" s="279"/>
      <c r="AY560" s="279"/>
      <c r="AZ560" s="279"/>
      <c r="BA560" s="279"/>
      <c r="BB560" s="279"/>
      <c r="BC560" s="279"/>
      <c r="BD560" s="279"/>
      <c r="BE560" s="279"/>
      <c r="BF560" s="279"/>
      <c r="BG560" s="279"/>
      <c r="BH560" s="279"/>
      <c r="BI560" s="279"/>
      <c r="BJ560" s="279"/>
      <c r="BK560" s="279"/>
      <c r="BL560" s="279"/>
      <c r="BM560" s="279"/>
      <c r="BN560" s="279"/>
      <c r="BO560" s="279"/>
      <c r="BP560" s="279"/>
      <c r="BQ560" s="279"/>
      <c r="BR560" s="279"/>
      <c r="BS560" s="279"/>
      <c r="BT560" s="279"/>
      <c r="BU560" s="279"/>
      <c r="BV560" s="279"/>
      <c r="BW560" s="279"/>
      <c r="BX560" s="279"/>
      <c r="BY560" s="279"/>
      <c r="BZ560" s="279"/>
      <c r="CA560" s="279"/>
      <c r="CB560" s="279"/>
      <c r="CC560" s="279"/>
      <c r="CD560" s="279"/>
      <c r="CE560" s="279"/>
      <c r="CF560" s="279"/>
      <c r="CG560" s="279"/>
      <c r="CH560" s="279"/>
      <c r="CI560" s="279"/>
      <c r="CJ560" s="279"/>
      <c r="CK560" s="279"/>
      <c r="CL560" s="279"/>
      <c r="CM560" s="279"/>
      <c r="CN560" s="382"/>
    </row>
    <row r="561" ht="17.25" customHeight="true" x14ac:dyDescent="0.3">
      <c r="B561" s="361"/>
      <c r="C561" s="279"/>
      <c r="D561" s="280"/>
      <c r="E561" s="287"/>
      <c r="F561" s="287"/>
      <c r="G561" s="287"/>
      <c r="H561" s="1292">
        <f t="shared" si="19"/>
        <v>10</v>
      </c>
      <c r="I561" s="1190" t="str">
        <f t="shared" si="21"/>
        <v/>
      </c>
      <c r="J561" s="1295" t="str">
        <f>IF('I. Stream &amp; Compound Data'!AN271&lt;&gt;"",'I. Stream &amp; Compound Data'!AN271,"")</f>
        <v/>
      </c>
      <c r="K561" s="1312" t="str">
        <f t="shared" si="20"/>
        <v/>
      </c>
      <c r="L561" s="301" t="str">
        <f t="shared" si="22"/>
        <v/>
      </c>
      <c r="M561" s="287"/>
      <c r="N561" s="296"/>
      <c r="O561" s="280"/>
      <c r="P561" s="280"/>
      <c r="Q561" s="279"/>
      <c r="R561" s="297"/>
      <c r="S561" s="298"/>
      <c r="T561" s="298"/>
      <c r="U561" s="299"/>
      <c r="V561" s="279"/>
      <c r="W561" s="279"/>
      <c r="X561" s="279"/>
      <c r="Y561" s="279"/>
      <c r="Z561" s="279"/>
      <c r="AA561" s="279"/>
      <c r="AB561" s="279"/>
      <c r="AC561" s="279"/>
      <c r="AD561" s="279"/>
      <c r="AE561" s="279"/>
      <c r="AF561" s="279"/>
      <c r="AG561" s="279"/>
      <c r="AH561" s="279"/>
      <c r="AI561" s="279"/>
      <c r="AJ561" s="279"/>
      <c r="AK561" s="279"/>
      <c r="AL561" s="279"/>
      <c r="AM561" s="279"/>
      <c r="AN561" s="279"/>
      <c r="AO561" s="279"/>
      <c r="AP561" s="279"/>
      <c r="AQ561" s="279"/>
      <c r="AR561" s="279"/>
      <c r="AS561" s="279"/>
      <c r="AT561" s="279"/>
      <c r="AU561" s="279"/>
      <c r="AV561" s="279"/>
      <c r="AW561" s="279"/>
      <c r="AX561" s="279"/>
      <c r="AY561" s="279"/>
      <c r="AZ561" s="279"/>
      <c r="BA561" s="279"/>
      <c r="BB561" s="279"/>
      <c r="BC561" s="279"/>
      <c r="BD561" s="279"/>
      <c r="BE561" s="279"/>
      <c r="BF561" s="279"/>
      <c r="BG561" s="279"/>
      <c r="BH561" s="279"/>
      <c r="BI561" s="279"/>
      <c r="BJ561" s="279"/>
      <c r="BK561" s="279"/>
      <c r="BL561" s="279"/>
      <c r="BM561" s="279"/>
      <c r="BN561" s="279"/>
      <c r="BO561" s="279"/>
      <c r="BP561" s="279"/>
      <c r="BQ561" s="279"/>
      <c r="BR561" s="279"/>
      <c r="BS561" s="279"/>
      <c r="BT561" s="279"/>
      <c r="BU561" s="279"/>
      <c r="BV561" s="279"/>
      <c r="BW561" s="279"/>
      <c r="BX561" s="279"/>
      <c r="BY561" s="279"/>
      <c r="BZ561" s="279"/>
      <c r="CA561" s="279"/>
      <c r="CB561" s="279"/>
      <c r="CC561" s="279"/>
      <c r="CD561" s="279"/>
      <c r="CE561" s="279"/>
      <c r="CF561" s="279"/>
      <c r="CG561" s="279"/>
      <c r="CH561" s="279"/>
      <c r="CI561" s="279"/>
      <c r="CJ561" s="279"/>
      <c r="CK561" s="279"/>
      <c r="CL561" s="279"/>
      <c r="CM561" s="279"/>
      <c r="CN561" s="382"/>
    </row>
    <row r="562" ht="17.25" customHeight="true" x14ac:dyDescent="0.3">
      <c r="B562" s="361"/>
      <c r="C562" s="279"/>
      <c r="D562" s="280"/>
      <c r="E562" s="287"/>
      <c r="F562" s="287"/>
      <c r="G562" s="287"/>
      <c r="H562" s="1292">
        <f t="shared" si="19"/>
        <v>11</v>
      </c>
      <c r="I562" s="1190" t="str">
        <f t="shared" si="21"/>
        <v/>
      </c>
      <c r="J562" s="1295" t="str">
        <f>IF('I. Stream &amp; Compound Data'!AN272&lt;&gt;"",'I. Stream &amp; Compound Data'!AN272,"")</f>
        <v/>
      </c>
      <c r="K562" s="1312" t="str">
        <f t="shared" si="20"/>
        <v/>
      </c>
      <c r="L562" s="301" t="str">
        <f t="shared" si="22"/>
        <v/>
      </c>
      <c r="M562" s="287"/>
      <c r="N562" s="296"/>
      <c r="O562" s="280"/>
      <c r="P562" s="280"/>
      <c r="Q562" s="279"/>
      <c r="R562" s="297"/>
      <c r="S562" s="298"/>
      <c r="T562" s="298"/>
      <c r="U562" s="299"/>
      <c r="V562" s="279"/>
      <c r="W562" s="279"/>
      <c r="X562" s="279"/>
      <c r="Y562" s="279"/>
      <c r="Z562" s="279"/>
      <c r="AA562" s="279"/>
      <c r="AB562" s="279"/>
      <c r="AC562" s="279"/>
      <c r="AD562" s="279"/>
      <c r="AE562" s="279"/>
      <c r="AF562" s="279"/>
      <c r="AG562" s="279"/>
      <c r="AH562" s="279"/>
      <c r="AI562" s="279"/>
      <c r="AJ562" s="279"/>
      <c r="AK562" s="279"/>
      <c r="AL562" s="279"/>
      <c r="AM562" s="279"/>
      <c r="AN562" s="279"/>
      <c r="AO562" s="279"/>
      <c r="AP562" s="279"/>
      <c r="AQ562" s="279"/>
      <c r="AR562" s="279"/>
      <c r="AS562" s="279"/>
      <c r="AT562" s="279"/>
      <c r="AU562" s="279"/>
      <c r="AV562" s="279"/>
      <c r="AW562" s="279"/>
      <c r="AX562" s="279"/>
      <c r="AY562" s="279"/>
      <c r="AZ562" s="279"/>
      <c r="BA562" s="279"/>
      <c r="BB562" s="279"/>
      <c r="BC562" s="279"/>
      <c r="BD562" s="279"/>
      <c r="BE562" s="279"/>
      <c r="BF562" s="279"/>
      <c r="BG562" s="279"/>
      <c r="BH562" s="279"/>
      <c r="BI562" s="279"/>
      <c r="BJ562" s="279"/>
      <c r="BK562" s="279"/>
      <c r="BL562" s="279"/>
      <c r="BM562" s="279"/>
      <c r="BN562" s="279"/>
      <c r="BO562" s="279"/>
      <c r="BP562" s="279"/>
      <c r="BQ562" s="279"/>
      <c r="BR562" s="279"/>
      <c r="BS562" s="279"/>
      <c r="BT562" s="279"/>
      <c r="BU562" s="279"/>
      <c r="BV562" s="279"/>
      <c r="BW562" s="279"/>
      <c r="BX562" s="279"/>
      <c r="BY562" s="279"/>
      <c r="BZ562" s="279"/>
      <c r="CA562" s="279"/>
      <c r="CB562" s="279"/>
      <c r="CC562" s="279"/>
      <c r="CD562" s="279"/>
      <c r="CE562" s="279"/>
      <c r="CF562" s="279"/>
      <c r="CG562" s="279"/>
      <c r="CH562" s="279"/>
      <c r="CI562" s="279"/>
      <c r="CJ562" s="279"/>
      <c r="CK562" s="279"/>
      <c r="CL562" s="279"/>
      <c r="CM562" s="279"/>
      <c r="CN562" s="382"/>
    </row>
    <row r="563" ht="17.25" customHeight="true" x14ac:dyDescent="0.3">
      <c r="B563" s="361"/>
      <c r="C563" s="279"/>
      <c r="D563" s="280"/>
      <c r="E563" s="287"/>
      <c r="F563" s="287"/>
      <c r="G563" s="287"/>
      <c r="H563" s="1292">
        <f t="shared" si="19"/>
        <v>12</v>
      </c>
      <c r="I563" s="1190" t="str">
        <f t="shared" si="21"/>
        <v/>
      </c>
      <c r="J563" s="1295" t="str">
        <f>IF('I. Stream &amp; Compound Data'!AN273&lt;&gt;"",'I. Stream &amp; Compound Data'!AN273,"")</f>
        <v/>
      </c>
      <c r="K563" s="1312" t="str">
        <f t="shared" si="20"/>
        <v/>
      </c>
      <c r="L563" s="301" t="str">
        <f t="shared" si="22"/>
        <v/>
      </c>
      <c r="M563" s="287"/>
      <c r="N563" s="296"/>
      <c r="O563" s="280"/>
      <c r="P563" s="280"/>
      <c r="Q563" s="279"/>
      <c r="R563" s="297"/>
      <c r="S563" s="298"/>
      <c r="T563" s="298"/>
      <c r="U563" s="299"/>
      <c r="V563" s="279"/>
      <c r="W563" s="279"/>
      <c r="X563" s="279"/>
      <c r="Y563" s="279"/>
      <c r="Z563" s="279"/>
      <c r="AA563" s="279"/>
      <c r="AB563" s="279"/>
      <c r="AC563" s="279"/>
      <c r="AD563" s="279"/>
      <c r="AE563" s="279"/>
      <c r="AF563" s="279"/>
      <c r="AG563" s="279"/>
      <c r="AH563" s="279"/>
      <c r="AI563" s="279"/>
      <c r="AJ563" s="279"/>
      <c r="AK563" s="279"/>
      <c r="AL563" s="279"/>
      <c r="AM563" s="279"/>
      <c r="AN563" s="279"/>
      <c r="AO563" s="279"/>
      <c r="AP563" s="279"/>
      <c r="AQ563" s="279"/>
      <c r="AR563" s="279"/>
      <c r="AS563" s="279"/>
      <c r="AT563" s="279"/>
      <c r="AU563" s="279"/>
      <c r="AV563" s="279"/>
      <c r="AW563" s="279"/>
      <c r="AX563" s="279"/>
      <c r="AY563" s="279"/>
      <c r="AZ563" s="279"/>
      <c r="BA563" s="279"/>
      <c r="BB563" s="279"/>
      <c r="BC563" s="279"/>
      <c r="BD563" s="279"/>
      <c r="BE563" s="279"/>
      <c r="BF563" s="279"/>
      <c r="BG563" s="279"/>
      <c r="BH563" s="279"/>
      <c r="BI563" s="279"/>
      <c r="BJ563" s="279"/>
      <c r="BK563" s="279"/>
      <c r="BL563" s="279"/>
      <c r="BM563" s="279"/>
      <c r="BN563" s="279"/>
      <c r="BO563" s="279"/>
      <c r="BP563" s="279"/>
      <c r="BQ563" s="279"/>
      <c r="BR563" s="279"/>
      <c r="BS563" s="279"/>
      <c r="BT563" s="279"/>
      <c r="BU563" s="279"/>
      <c r="BV563" s="279"/>
      <c r="BW563" s="279"/>
      <c r="BX563" s="279"/>
      <c r="BY563" s="279"/>
      <c r="BZ563" s="279"/>
      <c r="CA563" s="279"/>
      <c r="CB563" s="279"/>
      <c r="CC563" s="279"/>
      <c r="CD563" s="279"/>
      <c r="CE563" s="279"/>
      <c r="CF563" s="279"/>
      <c r="CG563" s="279"/>
      <c r="CH563" s="279"/>
      <c r="CI563" s="279"/>
      <c r="CJ563" s="279"/>
      <c r="CK563" s="279"/>
      <c r="CL563" s="279"/>
      <c r="CM563" s="279"/>
      <c r="CN563" s="382"/>
    </row>
    <row r="564" ht="17.25" customHeight="true" x14ac:dyDescent="0.3">
      <c r="B564" s="361"/>
      <c r="C564" s="279"/>
      <c r="D564" s="280"/>
      <c r="E564" s="287"/>
      <c r="F564" s="287"/>
      <c r="G564" s="287"/>
      <c r="H564" s="1292">
        <f t="shared" si="19"/>
        <v>13</v>
      </c>
      <c r="I564" s="1190" t="str">
        <f t="shared" si="21"/>
        <v/>
      </c>
      <c r="J564" s="1295" t="str">
        <f>IF('I. Stream &amp; Compound Data'!AN274&lt;&gt;"",'I. Stream &amp; Compound Data'!AN274,"")</f>
        <v/>
      </c>
      <c r="K564" s="1312" t="str">
        <f t="shared" si="20"/>
        <v/>
      </c>
      <c r="L564" s="301" t="str">
        <f t="shared" si="22"/>
        <v/>
      </c>
      <c r="M564" s="287"/>
      <c r="N564" s="296"/>
      <c r="O564" s="280"/>
      <c r="P564" s="280"/>
      <c r="Q564" s="279"/>
      <c r="R564" s="297"/>
      <c r="S564" s="298"/>
      <c r="T564" s="298"/>
      <c r="U564" s="299"/>
      <c r="V564" s="279"/>
      <c r="W564" s="279"/>
      <c r="X564" s="279"/>
      <c r="Y564" s="279"/>
      <c r="Z564" s="279"/>
      <c r="AA564" s="279"/>
      <c r="AB564" s="279"/>
      <c r="AC564" s="279"/>
      <c r="AD564" s="279"/>
      <c r="AE564" s="279"/>
      <c r="AF564" s="279"/>
      <c r="AG564" s="279"/>
      <c r="AH564" s="279"/>
      <c r="AI564" s="279"/>
      <c r="AJ564" s="279"/>
      <c r="AK564" s="279"/>
      <c r="AL564" s="279"/>
      <c r="AM564" s="279"/>
      <c r="AN564" s="279"/>
      <c r="AO564" s="279"/>
      <c r="AP564" s="279"/>
      <c r="AQ564" s="279"/>
      <c r="AR564" s="279"/>
      <c r="AS564" s="279"/>
      <c r="AT564" s="279"/>
      <c r="AU564" s="279"/>
      <c r="AV564" s="279"/>
      <c r="AW564" s="279"/>
      <c r="AX564" s="279"/>
      <c r="AY564" s="279"/>
      <c r="AZ564" s="279"/>
      <c r="BA564" s="279"/>
      <c r="BB564" s="279"/>
      <c r="BC564" s="279"/>
      <c r="BD564" s="279"/>
      <c r="BE564" s="279"/>
      <c r="BF564" s="279"/>
      <c r="BG564" s="279"/>
      <c r="BH564" s="279"/>
      <c r="BI564" s="279"/>
      <c r="BJ564" s="279"/>
      <c r="BK564" s="279"/>
      <c r="BL564" s="279"/>
      <c r="BM564" s="279"/>
      <c r="BN564" s="279"/>
      <c r="BO564" s="279"/>
      <c r="BP564" s="279"/>
      <c r="BQ564" s="279"/>
      <c r="BR564" s="279"/>
      <c r="BS564" s="279"/>
      <c r="BT564" s="279"/>
      <c r="BU564" s="279"/>
      <c r="BV564" s="279"/>
      <c r="BW564" s="279"/>
      <c r="BX564" s="279"/>
      <c r="BY564" s="279"/>
      <c r="BZ564" s="279"/>
      <c r="CA564" s="279"/>
      <c r="CB564" s="279"/>
      <c r="CC564" s="279"/>
      <c r="CD564" s="279"/>
      <c r="CE564" s="279"/>
      <c r="CF564" s="279"/>
      <c r="CG564" s="279"/>
      <c r="CH564" s="279"/>
      <c r="CI564" s="279"/>
      <c r="CJ564" s="279"/>
      <c r="CK564" s="279"/>
      <c r="CL564" s="279"/>
      <c r="CM564" s="279"/>
      <c r="CN564" s="382"/>
    </row>
    <row r="565" ht="17.25" customHeight="true" x14ac:dyDescent="0.3">
      <c r="B565" s="361"/>
      <c r="C565" s="279"/>
      <c r="D565" s="280"/>
      <c r="E565" s="287"/>
      <c r="F565" s="287"/>
      <c r="G565" s="287"/>
      <c r="H565" s="1292">
        <f t="shared" si="19"/>
        <v>14</v>
      </c>
      <c r="I565" s="1190" t="str">
        <f t="shared" si="21"/>
        <v/>
      </c>
      <c r="J565" s="1295" t="str">
        <f>IF('I. Stream &amp; Compound Data'!AN275&lt;&gt;"",'I. Stream &amp; Compound Data'!AN275,"")</f>
        <v/>
      </c>
      <c r="K565" s="1312" t="str">
        <f t="shared" si="20"/>
        <v/>
      </c>
      <c r="L565" s="301" t="str">
        <f t="shared" si="22"/>
        <v/>
      </c>
      <c r="M565" s="287"/>
      <c r="N565" s="296"/>
      <c r="O565" s="280"/>
      <c r="P565" s="280"/>
      <c r="Q565" s="279"/>
      <c r="R565" s="297"/>
      <c r="S565" s="298"/>
      <c r="T565" s="298"/>
      <c r="U565" s="299"/>
      <c r="V565" s="279"/>
      <c r="W565" s="279"/>
      <c r="X565" s="279"/>
      <c r="Y565" s="279"/>
      <c r="Z565" s="279"/>
      <c r="AA565" s="279"/>
      <c r="AB565" s="279"/>
      <c r="AC565" s="279"/>
      <c r="AD565" s="279"/>
      <c r="AE565" s="279"/>
      <c r="AF565" s="279"/>
      <c r="AG565" s="279"/>
      <c r="AH565" s="279"/>
      <c r="AI565" s="279"/>
      <c r="AJ565" s="279"/>
      <c r="AK565" s="279"/>
      <c r="AL565" s="279"/>
      <c r="AM565" s="279"/>
      <c r="AN565" s="279"/>
      <c r="AO565" s="279"/>
      <c r="AP565" s="279"/>
      <c r="AQ565" s="279"/>
      <c r="AR565" s="279"/>
      <c r="AS565" s="279"/>
      <c r="AT565" s="279"/>
      <c r="AU565" s="279"/>
      <c r="AV565" s="279"/>
      <c r="AW565" s="279"/>
      <c r="AX565" s="279"/>
      <c r="AY565" s="279"/>
      <c r="AZ565" s="279"/>
      <c r="BA565" s="279"/>
      <c r="BB565" s="279"/>
      <c r="BC565" s="279"/>
      <c r="BD565" s="279"/>
      <c r="BE565" s="279"/>
      <c r="BF565" s="279"/>
      <c r="BG565" s="279"/>
      <c r="BH565" s="279"/>
      <c r="BI565" s="279"/>
      <c r="BJ565" s="279"/>
      <c r="BK565" s="279"/>
      <c r="BL565" s="279"/>
      <c r="BM565" s="279"/>
      <c r="BN565" s="279"/>
      <c r="BO565" s="279"/>
      <c r="BP565" s="279"/>
      <c r="BQ565" s="279"/>
      <c r="BR565" s="279"/>
      <c r="BS565" s="279"/>
      <c r="BT565" s="279"/>
      <c r="BU565" s="279"/>
      <c r="BV565" s="279"/>
      <c r="BW565" s="279"/>
      <c r="BX565" s="279"/>
      <c r="BY565" s="279"/>
      <c r="BZ565" s="279"/>
      <c r="CA565" s="279"/>
      <c r="CB565" s="279"/>
      <c r="CC565" s="279"/>
      <c r="CD565" s="279"/>
      <c r="CE565" s="279"/>
      <c r="CF565" s="279"/>
      <c r="CG565" s="279"/>
      <c r="CH565" s="279"/>
      <c r="CI565" s="279"/>
      <c r="CJ565" s="279"/>
      <c r="CK565" s="279"/>
      <c r="CL565" s="279"/>
      <c r="CM565" s="279"/>
      <c r="CN565" s="382"/>
    </row>
    <row r="566" ht="17.25" customHeight="true" x14ac:dyDescent="0.3">
      <c r="B566" s="361"/>
      <c r="C566" s="279"/>
      <c r="D566" s="280"/>
      <c r="E566" s="287"/>
      <c r="F566" s="287"/>
      <c r="G566" s="287"/>
      <c r="H566" s="1292">
        <f t="shared" si="19"/>
        <v>15</v>
      </c>
      <c r="I566" s="1190" t="str">
        <f t="shared" si="21"/>
        <v/>
      </c>
      <c r="J566" s="1295" t="str">
        <f>IF('I. Stream &amp; Compound Data'!AN276&lt;&gt;"",'I. Stream &amp; Compound Data'!AN276,"")</f>
        <v/>
      </c>
      <c r="K566" s="1312" t="str">
        <f t="shared" si="20"/>
        <v/>
      </c>
      <c r="L566" s="301" t="str">
        <f t="shared" si="22"/>
        <v/>
      </c>
      <c r="M566" s="287"/>
      <c r="N566" s="296"/>
      <c r="O566" s="280"/>
      <c r="P566" s="280"/>
      <c r="Q566" s="279"/>
      <c r="R566" s="297"/>
      <c r="S566" s="298"/>
      <c r="T566" s="298"/>
      <c r="U566" s="299"/>
      <c r="V566" s="279"/>
      <c r="W566" s="279"/>
      <c r="X566" s="279"/>
      <c r="Y566" s="279"/>
      <c r="Z566" s="279"/>
      <c r="AA566" s="279"/>
      <c r="AB566" s="279"/>
      <c r="AC566" s="279"/>
      <c r="AD566" s="279"/>
      <c r="AE566" s="279"/>
      <c r="AF566" s="279"/>
      <c r="AG566" s="279"/>
      <c r="AH566" s="279"/>
      <c r="AI566" s="279"/>
      <c r="AJ566" s="279"/>
      <c r="AK566" s="279"/>
      <c r="AL566" s="279"/>
      <c r="AM566" s="279"/>
      <c r="AN566" s="279"/>
      <c r="AO566" s="279"/>
      <c r="AP566" s="279"/>
      <c r="AQ566" s="279"/>
      <c r="AR566" s="279"/>
      <c r="AS566" s="279"/>
      <c r="AT566" s="279"/>
      <c r="AU566" s="279"/>
      <c r="AV566" s="279"/>
      <c r="AW566" s="279"/>
      <c r="AX566" s="279"/>
      <c r="AY566" s="279"/>
      <c r="AZ566" s="279"/>
      <c r="BA566" s="279"/>
      <c r="BB566" s="279"/>
      <c r="BC566" s="279"/>
      <c r="BD566" s="279"/>
      <c r="BE566" s="279"/>
      <c r="BF566" s="279"/>
      <c r="BG566" s="279"/>
      <c r="BH566" s="279"/>
      <c r="BI566" s="279"/>
      <c r="BJ566" s="279"/>
      <c r="BK566" s="279"/>
      <c r="BL566" s="279"/>
      <c r="BM566" s="279"/>
      <c r="BN566" s="279"/>
      <c r="BO566" s="279"/>
      <c r="BP566" s="279"/>
      <c r="BQ566" s="279"/>
      <c r="BR566" s="279"/>
      <c r="BS566" s="279"/>
      <c r="BT566" s="279"/>
      <c r="BU566" s="279"/>
      <c r="BV566" s="279"/>
      <c r="BW566" s="279"/>
      <c r="BX566" s="279"/>
      <c r="BY566" s="279"/>
      <c r="BZ566" s="279"/>
      <c r="CA566" s="279"/>
      <c r="CB566" s="279"/>
      <c r="CC566" s="279"/>
      <c r="CD566" s="279"/>
      <c r="CE566" s="279"/>
      <c r="CF566" s="279"/>
      <c r="CG566" s="279"/>
      <c r="CH566" s="279"/>
      <c r="CI566" s="279"/>
      <c r="CJ566" s="279"/>
      <c r="CK566" s="279"/>
      <c r="CL566" s="279"/>
      <c r="CM566" s="279"/>
      <c r="CN566" s="382"/>
    </row>
    <row r="567" ht="17.25" customHeight="true" x14ac:dyDescent="0.3">
      <c r="B567" s="361"/>
      <c r="C567" s="279"/>
      <c r="D567" s="280"/>
      <c r="E567" s="287"/>
      <c r="F567" s="287"/>
      <c r="G567" s="287"/>
      <c r="H567" s="1292">
        <f t="shared" si="19"/>
        <v>16</v>
      </c>
      <c r="I567" s="1190" t="str">
        <f t="shared" si="21"/>
        <v/>
      </c>
      <c r="J567" s="1295" t="str">
        <f>IF('I. Stream &amp; Compound Data'!AN277&lt;&gt;"",'I. Stream &amp; Compound Data'!AN277,"")</f>
        <v/>
      </c>
      <c r="K567" s="1312" t="str">
        <f t="shared" si="20"/>
        <v/>
      </c>
      <c r="L567" s="301" t="str">
        <f t="shared" si="22"/>
        <v/>
      </c>
      <c r="M567" s="287"/>
      <c r="N567" s="296"/>
      <c r="O567" s="280"/>
      <c r="P567" s="280"/>
      <c r="Q567" s="279"/>
      <c r="R567" s="297"/>
      <c r="S567" s="298"/>
      <c r="T567" s="298"/>
      <c r="U567" s="299"/>
      <c r="V567" s="279"/>
      <c r="W567" s="279"/>
      <c r="X567" s="279"/>
      <c r="Y567" s="279"/>
      <c r="Z567" s="279"/>
      <c r="AA567" s="279"/>
      <c r="AB567" s="279"/>
      <c r="AC567" s="279"/>
      <c r="AD567" s="279"/>
      <c r="AE567" s="279"/>
      <c r="AF567" s="279"/>
      <c r="AG567" s="279"/>
      <c r="AH567" s="279"/>
      <c r="AI567" s="279"/>
      <c r="AJ567" s="279"/>
      <c r="AK567" s="279"/>
      <c r="AL567" s="279"/>
      <c r="AM567" s="279"/>
      <c r="AN567" s="279"/>
      <c r="AO567" s="279"/>
      <c r="AP567" s="279"/>
      <c r="AQ567" s="279"/>
      <c r="AR567" s="279"/>
      <c r="AS567" s="279"/>
      <c r="AT567" s="279"/>
      <c r="AU567" s="279"/>
      <c r="AV567" s="279"/>
      <c r="AW567" s="279"/>
      <c r="AX567" s="279"/>
      <c r="AY567" s="279"/>
      <c r="AZ567" s="279"/>
      <c r="BA567" s="279"/>
      <c r="BB567" s="279"/>
      <c r="BC567" s="279"/>
      <c r="BD567" s="279"/>
      <c r="BE567" s="279"/>
      <c r="BF567" s="279"/>
      <c r="BG567" s="279"/>
      <c r="BH567" s="279"/>
      <c r="BI567" s="279"/>
      <c r="BJ567" s="279"/>
      <c r="BK567" s="279"/>
      <c r="BL567" s="279"/>
      <c r="BM567" s="279"/>
      <c r="BN567" s="279"/>
      <c r="BO567" s="279"/>
      <c r="BP567" s="279"/>
      <c r="BQ567" s="279"/>
      <c r="BR567" s="279"/>
      <c r="BS567" s="279"/>
      <c r="BT567" s="279"/>
      <c r="BU567" s="279"/>
      <c r="BV567" s="279"/>
      <c r="BW567" s="279"/>
      <c r="BX567" s="279"/>
      <c r="BY567" s="279"/>
      <c r="BZ567" s="279"/>
      <c r="CA567" s="279"/>
      <c r="CB567" s="279"/>
      <c r="CC567" s="279"/>
      <c r="CD567" s="279"/>
      <c r="CE567" s="279"/>
      <c r="CF567" s="279"/>
      <c r="CG567" s="279"/>
      <c r="CH567" s="279"/>
      <c r="CI567" s="279"/>
      <c r="CJ567" s="279"/>
      <c r="CK567" s="279"/>
      <c r="CL567" s="279"/>
      <c r="CM567" s="279"/>
      <c r="CN567" s="382"/>
    </row>
    <row r="568" ht="17.25" customHeight="true" x14ac:dyDescent="0.3">
      <c r="B568" s="361"/>
      <c r="C568" s="279"/>
      <c r="D568" s="280"/>
      <c r="E568" s="287"/>
      <c r="F568" s="287"/>
      <c r="G568" s="287"/>
      <c r="H568" s="1292">
        <f t="shared" si="19"/>
        <v>17</v>
      </c>
      <c r="I568" s="1190" t="str">
        <f t="shared" si="21"/>
        <v/>
      </c>
      <c r="J568" s="1295" t="str">
        <f>IF('I. Stream &amp; Compound Data'!AN278&lt;&gt;"",'I. Stream &amp; Compound Data'!AN278,"")</f>
        <v/>
      </c>
      <c r="K568" s="1312" t="str">
        <f t="shared" si="20"/>
        <v/>
      </c>
      <c r="L568" s="301" t="str">
        <f t="shared" si="22"/>
        <v/>
      </c>
      <c r="M568" s="287"/>
      <c r="N568" s="296"/>
      <c r="O568" s="280"/>
      <c r="P568" s="280"/>
      <c r="Q568" s="279"/>
      <c r="R568" s="297"/>
      <c r="S568" s="298"/>
      <c r="T568" s="298"/>
      <c r="U568" s="299"/>
      <c r="V568" s="279"/>
      <c r="W568" s="279"/>
      <c r="X568" s="279"/>
      <c r="Y568" s="279"/>
      <c r="Z568" s="279"/>
      <c r="AA568" s="279"/>
      <c r="AB568" s="279"/>
      <c r="AC568" s="279"/>
      <c r="AD568" s="279"/>
      <c r="AE568" s="279"/>
      <c r="AF568" s="279"/>
      <c r="AG568" s="279"/>
      <c r="AH568" s="279"/>
      <c r="AI568" s="279"/>
      <c r="AJ568" s="279"/>
      <c r="AK568" s="279"/>
      <c r="AL568" s="279"/>
      <c r="AM568" s="279"/>
      <c r="AN568" s="279"/>
      <c r="AO568" s="279"/>
      <c r="AP568" s="279"/>
      <c r="AQ568" s="279"/>
      <c r="AR568" s="279"/>
      <c r="AS568" s="279"/>
      <c r="AT568" s="279"/>
      <c r="AU568" s="279"/>
      <c r="AV568" s="279"/>
      <c r="AW568" s="279"/>
      <c r="AX568" s="279"/>
      <c r="AY568" s="279"/>
      <c r="AZ568" s="279"/>
      <c r="BA568" s="279"/>
      <c r="BB568" s="279"/>
      <c r="BC568" s="279"/>
      <c r="BD568" s="279"/>
      <c r="BE568" s="279"/>
      <c r="BF568" s="279"/>
      <c r="BG568" s="279"/>
      <c r="BH568" s="279"/>
      <c r="BI568" s="279"/>
      <c r="BJ568" s="279"/>
      <c r="BK568" s="279"/>
      <c r="BL568" s="279"/>
      <c r="BM568" s="279"/>
      <c r="BN568" s="279"/>
      <c r="BO568" s="279"/>
      <c r="BP568" s="279"/>
      <c r="BQ568" s="279"/>
      <c r="BR568" s="279"/>
      <c r="BS568" s="279"/>
      <c r="BT568" s="279"/>
      <c r="BU568" s="279"/>
      <c r="BV568" s="279"/>
      <c r="BW568" s="279"/>
      <c r="BX568" s="279"/>
      <c r="BY568" s="279"/>
      <c r="BZ568" s="279"/>
      <c r="CA568" s="279"/>
      <c r="CB568" s="279"/>
      <c r="CC568" s="279"/>
      <c r="CD568" s="279"/>
      <c r="CE568" s="279"/>
      <c r="CF568" s="279"/>
      <c r="CG568" s="279"/>
      <c r="CH568" s="279"/>
      <c r="CI568" s="279"/>
      <c r="CJ568" s="279"/>
      <c r="CK568" s="279"/>
      <c r="CL568" s="279"/>
      <c r="CM568" s="279"/>
      <c r="CN568" s="382"/>
    </row>
    <row r="569" ht="17.25" customHeight="true" x14ac:dyDescent="0.3">
      <c r="B569" s="361"/>
      <c r="C569" s="279"/>
      <c r="D569" s="280"/>
      <c r="E569" s="287"/>
      <c r="F569" s="287"/>
      <c r="G569" s="287"/>
      <c r="H569" s="1292">
        <f t="shared" si="19"/>
        <v>18</v>
      </c>
      <c r="I569" s="1190" t="str">
        <f t="shared" si="21"/>
        <v/>
      </c>
      <c r="J569" s="1295" t="str">
        <f>IF('I. Stream &amp; Compound Data'!AN279&lt;&gt;"",'I. Stream &amp; Compound Data'!AN279,"")</f>
        <v/>
      </c>
      <c r="K569" s="1312" t="str">
        <f t="shared" si="20"/>
        <v/>
      </c>
      <c r="L569" s="301" t="str">
        <f t="shared" si="22"/>
        <v/>
      </c>
      <c r="M569" s="287"/>
      <c r="N569" s="296"/>
      <c r="O569" s="280"/>
      <c r="P569" s="280"/>
      <c r="Q569" s="279"/>
      <c r="R569" s="297"/>
      <c r="S569" s="298"/>
      <c r="T569" s="298"/>
      <c r="U569" s="299"/>
      <c r="V569" s="279"/>
      <c r="W569" s="279"/>
      <c r="X569" s="279"/>
      <c r="Y569" s="279"/>
      <c r="Z569" s="279"/>
      <c r="AA569" s="279"/>
      <c r="AB569" s="279"/>
      <c r="AC569" s="279"/>
      <c r="AD569" s="279"/>
      <c r="AE569" s="279"/>
      <c r="AF569" s="279"/>
      <c r="AG569" s="279"/>
      <c r="AH569" s="279"/>
      <c r="AI569" s="279"/>
      <c r="AJ569" s="279"/>
      <c r="AK569" s="279"/>
      <c r="AL569" s="279"/>
      <c r="AM569" s="279"/>
      <c r="AN569" s="279"/>
      <c r="AO569" s="279"/>
      <c r="AP569" s="279"/>
      <c r="AQ569" s="279"/>
      <c r="AR569" s="279"/>
      <c r="AS569" s="279"/>
      <c r="AT569" s="279"/>
      <c r="AU569" s="279"/>
      <c r="AV569" s="279"/>
      <c r="AW569" s="279"/>
      <c r="AX569" s="279"/>
      <c r="AY569" s="279"/>
      <c r="AZ569" s="279"/>
      <c r="BA569" s="279"/>
      <c r="BB569" s="279"/>
      <c r="BC569" s="279"/>
      <c r="BD569" s="279"/>
      <c r="BE569" s="279"/>
      <c r="BF569" s="279"/>
      <c r="BG569" s="279"/>
      <c r="BH569" s="279"/>
      <c r="BI569" s="279"/>
      <c r="BJ569" s="279"/>
      <c r="BK569" s="279"/>
      <c r="BL569" s="279"/>
      <c r="BM569" s="279"/>
      <c r="BN569" s="279"/>
      <c r="BO569" s="279"/>
      <c r="BP569" s="279"/>
      <c r="BQ569" s="279"/>
      <c r="BR569" s="279"/>
      <c r="BS569" s="279"/>
      <c r="BT569" s="279"/>
      <c r="BU569" s="279"/>
      <c r="BV569" s="279"/>
      <c r="BW569" s="279"/>
      <c r="BX569" s="279"/>
      <c r="BY569" s="279"/>
      <c r="BZ569" s="279"/>
      <c r="CA569" s="279"/>
      <c r="CB569" s="279"/>
      <c r="CC569" s="279"/>
      <c r="CD569" s="279"/>
      <c r="CE569" s="279"/>
      <c r="CF569" s="279"/>
      <c r="CG569" s="279"/>
      <c r="CH569" s="279"/>
      <c r="CI569" s="279"/>
      <c r="CJ569" s="279"/>
      <c r="CK569" s="279"/>
      <c r="CL569" s="279"/>
      <c r="CM569" s="279"/>
      <c r="CN569" s="382"/>
    </row>
    <row r="570" ht="17.25" customHeight="true" x14ac:dyDescent="0.3">
      <c r="B570" s="361"/>
      <c r="C570" s="279"/>
      <c r="D570" s="280"/>
      <c r="E570" s="287"/>
      <c r="F570" s="287"/>
      <c r="G570" s="287"/>
      <c r="H570" s="1292">
        <f t="shared" si="19"/>
        <v>19</v>
      </c>
      <c r="I570" s="1190" t="str">
        <f t="shared" si="21"/>
        <v/>
      </c>
      <c r="J570" s="1295" t="str">
        <f>IF('I. Stream &amp; Compound Data'!AN280&lt;&gt;"",'I. Stream &amp; Compound Data'!AN280,"")</f>
        <v/>
      </c>
      <c r="K570" s="1312" t="str">
        <f t="shared" si="20"/>
        <v/>
      </c>
      <c r="L570" s="301" t="str">
        <f t="shared" si="22"/>
        <v/>
      </c>
      <c r="M570" s="287"/>
      <c r="N570" s="296"/>
      <c r="O570" s="280"/>
      <c r="P570" s="280"/>
      <c r="Q570" s="279"/>
      <c r="R570" s="297"/>
      <c r="S570" s="298"/>
      <c r="T570" s="298"/>
      <c r="U570" s="299"/>
      <c r="V570" s="279"/>
      <c r="W570" s="279"/>
      <c r="X570" s="279"/>
      <c r="Y570" s="279"/>
      <c r="Z570" s="279"/>
      <c r="AA570" s="279"/>
      <c r="AB570" s="279"/>
      <c r="AC570" s="279"/>
      <c r="AD570" s="279"/>
      <c r="AE570" s="279"/>
      <c r="AF570" s="279"/>
      <c r="AG570" s="279"/>
      <c r="AH570" s="279"/>
      <c r="AI570" s="279"/>
      <c r="AJ570" s="279"/>
      <c r="AK570" s="279"/>
      <c r="AL570" s="279"/>
      <c r="AM570" s="279"/>
      <c r="AN570" s="279"/>
      <c r="AO570" s="279"/>
      <c r="AP570" s="279"/>
      <c r="AQ570" s="279"/>
      <c r="AR570" s="279"/>
      <c r="AS570" s="279"/>
      <c r="AT570" s="279"/>
      <c r="AU570" s="279"/>
      <c r="AV570" s="279"/>
      <c r="AW570" s="279"/>
      <c r="AX570" s="279"/>
      <c r="AY570" s="279"/>
      <c r="AZ570" s="279"/>
      <c r="BA570" s="279"/>
      <c r="BB570" s="279"/>
      <c r="BC570" s="279"/>
      <c r="BD570" s="279"/>
      <c r="BE570" s="279"/>
      <c r="BF570" s="279"/>
      <c r="BG570" s="279"/>
      <c r="BH570" s="279"/>
      <c r="BI570" s="279"/>
      <c r="BJ570" s="279"/>
      <c r="BK570" s="279"/>
      <c r="BL570" s="279"/>
      <c r="BM570" s="279"/>
      <c r="BN570" s="279"/>
      <c r="BO570" s="279"/>
      <c r="BP570" s="279"/>
      <c r="BQ570" s="279"/>
      <c r="BR570" s="279"/>
      <c r="BS570" s="279"/>
      <c r="BT570" s="279"/>
      <c r="BU570" s="279"/>
      <c r="BV570" s="279"/>
      <c r="BW570" s="279"/>
      <c r="BX570" s="279"/>
      <c r="BY570" s="279"/>
      <c r="BZ570" s="279"/>
      <c r="CA570" s="279"/>
      <c r="CB570" s="279"/>
      <c r="CC570" s="279"/>
      <c r="CD570" s="279"/>
      <c r="CE570" s="279"/>
      <c r="CF570" s="279"/>
      <c r="CG570" s="279"/>
      <c r="CH570" s="279"/>
      <c r="CI570" s="279"/>
      <c r="CJ570" s="279"/>
      <c r="CK570" s="279"/>
      <c r="CL570" s="279"/>
      <c r="CM570" s="279"/>
      <c r="CN570" s="382"/>
    </row>
    <row r="571" ht="17.25" customHeight="true" x14ac:dyDescent="0.3">
      <c r="B571" s="361"/>
      <c r="C571" s="279"/>
      <c r="D571" s="280"/>
      <c r="E571" s="287"/>
      <c r="F571" s="287"/>
      <c r="G571" s="287"/>
      <c r="H571" s="1292">
        <f t="shared" si="19"/>
        <v>20</v>
      </c>
      <c r="I571" s="1190" t="str">
        <f t="shared" si="21"/>
        <v/>
      </c>
      <c r="J571" s="1295" t="str">
        <f>IF('I. Stream &amp; Compound Data'!AN281&lt;&gt;"",'I. Stream &amp; Compound Data'!AN281,"")</f>
        <v/>
      </c>
      <c r="K571" s="1312" t="str">
        <f t="shared" ref="K571:K601" si="23">IF(I161="","",I571*J571)</f>
        <v/>
      </c>
      <c r="L571" s="301" t="str">
        <f t="shared" ref="L571:L601" si="24">I571</f>
        <v/>
      </c>
      <c r="M571" s="287"/>
      <c r="N571" s="280"/>
      <c r="O571" s="280"/>
      <c r="P571" s="280"/>
      <c r="Q571" s="279"/>
      <c r="R571" s="297"/>
      <c r="S571" s="298"/>
      <c r="T571" s="298"/>
      <c r="U571" s="299"/>
      <c r="V571" s="279"/>
      <c r="W571" s="279"/>
      <c r="X571" s="279"/>
      <c r="Y571" s="279"/>
      <c r="Z571" s="279"/>
      <c r="AA571" s="279"/>
      <c r="AB571" s="279"/>
      <c r="AC571" s="279"/>
      <c r="AD571" s="279"/>
      <c r="AE571" s="279"/>
      <c r="AF571" s="279"/>
      <c r="AG571" s="279"/>
      <c r="AH571" s="279"/>
      <c r="AI571" s="279"/>
      <c r="AJ571" s="279"/>
      <c r="AK571" s="279"/>
      <c r="AL571" s="279"/>
      <c r="AM571" s="279"/>
      <c r="AN571" s="279"/>
      <c r="AO571" s="279"/>
      <c r="AP571" s="279"/>
      <c r="AQ571" s="279"/>
      <c r="AR571" s="279"/>
      <c r="AS571" s="279"/>
      <c r="AT571" s="279"/>
      <c r="AU571" s="279"/>
      <c r="AV571" s="279"/>
      <c r="AW571" s="279"/>
      <c r="AX571" s="279"/>
      <c r="AY571" s="279"/>
      <c r="AZ571" s="279"/>
      <c r="BA571" s="279"/>
      <c r="BB571" s="279"/>
      <c r="BC571" s="279"/>
      <c r="BD571" s="279"/>
      <c r="BE571" s="279"/>
      <c r="BF571" s="279"/>
      <c r="BG571" s="279"/>
      <c r="BH571" s="279"/>
      <c r="BI571" s="279"/>
      <c r="BJ571" s="279"/>
      <c r="BK571" s="279"/>
      <c r="BL571" s="279"/>
      <c r="BM571" s="279"/>
      <c r="BN571" s="279"/>
      <c r="BO571" s="279"/>
      <c r="BP571" s="279"/>
      <c r="BQ571" s="279"/>
      <c r="BR571" s="279"/>
      <c r="BS571" s="279"/>
      <c r="BT571" s="279"/>
      <c r="BU571" s="279"/>
      <c r="BV571" s="279"/>
      <c r="BW571" s="279"/>
      <c r="BX571" s="279"/>
      <c r="BY571" s="279"/>
      <c r="BZ571" s="279"/>
      <c r="CA571" s="279"/>
      <c r="CB571" s="279"/>
      <c r="CC571" s="279"/>
      <c r="CD571" s="279"/>
      <c r="CE571" s="279"/>
      <c r="CF571" s="279"/>
      <c r="CG571" s="279"/>
      <c r="CH571" s="279"/>
      <c r="CI571" s="279"/>
      <c r="CJ571" s="279"/>
      <c r="CK571" s="279"/>
      <c r="CL571" s="279"/>
      <c r="CM571" s="279"/>
      <c r="CN571" s="382"/>
    </row>
    <row r="572" x14ac:dyDescent="0.3">
      <c r="B572" s="361"/>
      <c r="C572" s="279"/>
      <c r="D572" s="280"/>
      <c r="E572" s="287"/>
      <c r="F572" s="287"/>
      <c r="G572" s="287"/>
      <c r="H572" s="1292">
        <f t="shared" si="19"/>
        <v>21</v>
      </c>
      <c r="I572" s="1190" t="str">
        <f t="shared" si="21"/>
        <v/>
      </c>
      <c r="J572" s="1295" t="str">
        <f>IF('I. Stream &amp; Compound Data'!AN282&lt;&gt;"",'I. Stream &amp; Compound Data'!AN282,"")</f>
        <v/>
      </c>
      <c r="K572" s="1312" t="str">
        <f t="shared" si="23"/>
        <v/>
      </c>
      <c r="L572" s="301" t="str">
        <f t="shared" si="24"/>
        <v/>
      </c>
      <c r="M572" s="287"/>
      <c r="N572" s="296"/>
      <c r="O572" s="280"/>
      <c r="P572" s="280"/>
      <c r="Q572" s="279"/>
      <c r="R572" s="297"/>
      <c r="S572" s="298"/>
      <c r="T572" s="298"/>
      <c r="U572" s="299"/>
      <c r="V572" s="279"/>
      <c r="W572" s="279"/>
      <c r="X572" s="279"/>
      <c r="Y572" s="279"/>
      <c r="Z572" s="279"/>
      <c r="AA572" s="279"/>
      <c r="AB572" s="279"/>
      <c r="AC572" s="279"/>
      <c r="AD572" s="279"/>
      <c r="AE572" s="279"/>
      <c r="AF572" s="279"/>
      <c r="AG572" s="279"/>
      <c r="AH572" s="279"/>
      <c r="AI572" s="279"/>
      <c r="AJ572" s="279"/>
      <c r="AK572" s="279"/>
      <c r="AL572" s="279"/>
      <c r="AM572" s="279"/>
      <c r="AN572" s="279"/>
      <c r="AO572" s="279"/>
      <c r="AP572" s="279"/>
      <c r="AQ572" s="279"/>
      <c r="AR572" s="279"/>
      <c r="AS572" s="279"/>
      <c r="AT572" s="279"/>
      <c r="AU572" s="279"/>
      <c r="AV572" s="279"/>
      <c r="AW572" s="279"/>
      <c r="AX572" s="279"/>
      <c r="AY572" s="279"/>
      <c r="AZ572" s="279"/>
      <c r="BA572" s="279"/>
      <c r="BB572" s="279"/>
      <c r="BC572" s="279"/>
      <c r="BD572" s="279"/>
      <c r="BE572" s="279"/>
      <c r="BF572" s="279"/>
      <c r="BG572" s="279"/>
      <c r="BH572" s="279"/>
      <c r="BI572" s="279"/>
      <c r="BJ572" s="279"/>
      <c r="BK572" s="279"/>
      <c r="BL572" s="279"/>
      <c r="BM572" s="279"/>
      <c r="BN572" s="279"/>
      <c r="BO572" s="279"/>
      <c r="BP572" s="279"/>
      <c r="BQ572" s="279"/>
      <c r="BR572" s="279"/>
      <c r="BS572" s="279"/>
      <c r="BT572" s="279"/>
      <c r="BU572" s="279"/>
      <c r="BV572" s="279"/>
      <c r="BW572" s="279"/>
      <c r="BX572" s="279"/>
      <c r="BY572" s="279"/>
      <c r="BZ572" s="279"/>
      <c r="CA572" s="279"/>
      <c r="CB572" s="279"/>
      <c r="CC572" s="279"/>
      <c r="CD572" s="279"/>
      <c r="CE572" s="279"/>
      <c r="CF572" s="279"/>
      <c r="CG572" s="279"/>
      <c r="CH572" s="279"/>
      <c r="CI572" s="279"/>
      <c r="CJ572" s="279"/>
      <c r="CK572" s="279"/>
      <c r="CL572" s="279"/>
      <c r="CM572" s="279"/>
      <c r="CN572" s="382"/>
    </row>
    <row r="573" x14ac:dyDescent="0.3">
      <c r="B573" s="361"/>
      <c r="C573" s="279"/>
      <c r="D573" s="280"/>
      <c r="E573" s="287"/>
      <c r="F573" s="287"/>
      <c r="G573" s="287"/>
      <c r="H573" s="1292">
        <f t="shared" si="19"/>
        <v>22</v>
      </c>
      <c r="I573" s="1190" t="str">
        <f t="shared" si="21"/>
        <v/>
      </c>
      <c r="J573" s="1295" t="str">
        <f>IF('I. Stream &amp; Compound Data'!AN283&lt;&gt;"",'I. Stream &amp; Compound Data'!AN283,"")</f>
        <v/>
      </c>
      <c r="K573" s="1312" t="str">
        <f t="shared" si="23"/>
        <v/>
      </c>
      <c r="L573" s="301" t="str">
        <f t="shared" si="24"/>
        <v/>
      </c>
      <c r="M573" s="287"/>
      <c r="N573" s="296"/>
      <c r="O573" s="280"/>
      <c r="P573" s="280"/>
      <c r="Q573" s="279"/>
      <c r="R573" s="297"/>
      <c r="S573" s="298"/>
      <c r="T573" s="298"/>
      <c r="U573" s="299"/>
      <c r="V573" s="279"/>
      <c r="W573" s="279"/>
      <c r="X573" s="279"/>
      <c r="Y573" s="279"/>
      <c r="Z573" s="279"/>
      <c r="AA573" s="279"/>
      <c r="AB573" s="279"/>
      <c r="AC573" s="279"/>
      <c r="AD573" s="279"/>
      <c r="AE573" s="279"/>
      <c r="AF573" s="279"/>
      <c r="AG573" s="279"/>
      <c r="AH573" s="279"/>
      <c r="AI573" s="279"/>
      <c r="AJ573" s="279"/>
      <c r="AK573" s="279"/>
      <c r="AL573" s="279"/>
      <c r="AM573" s="279"/>
      <c r="AN573" s="279"/>
      <c r="AO573" s="279"/>
      <c r="AP573" s="279"/>
      <c r="AQ573" s="279"/>
      <c r="AR573" s="279"/>
      <c r="AS573" s="279"/>
      <c r="AT573" s="279"/>
      <c r="AU573" s="279"/>
      <c r="AV573" s="279"/>
      <c r="AW573" s="279"/>
      <c r="AX573" s="279"/>
      <c r="AY573" s="279"/>
      <c r="AZ573" s="279"/>
      <c r="BA573" s="279"/>
      <c r="BB573" s="279"/>
      <c r="BC573" s="279"/>
      <c r="BD573" s="279"/>
      <c r="BE573" s="279"/>
      <c r="BF573" s="279"/>
      <c r="BG573" s="279"/>
      <c r="BH573" s="279"/>
      <c r="BI573" s="279"/>
      <c r="BJ573" s="279"/>
      <c r="BK573" s="279"/>
      <c r="BL573" s="279"/>
      <c r="BM573" s="279"/>
      <c r="BN573" s="279"/>
      <c r="BO573" s="279"/>
      <c r="BP573" s="279"/>
      <c r="BQ573" s="279"/>
      <c r="BR573" s="279"/>
      <c r="BS573" s="279"/>
      <c r="BT573" s="279"/>
      <c r="BU573" s="279"/>
      <c r="BV573" s="279"/>
      <c r="BW573" s="279"/>
      <c r="BX573" s="279"/>
      <c r="BY573" s="279"/>
      <c r="BZ573" s="279"/>
      <c r="CA573" s="279"/>
      <c r="CB573" s="279"/>
      <c r="CC573" s="279"/>
      <c r="CD573" s="279"/>
      <c r="CE573" s="279"/>
      <c r="CF573" s="279"/>
      <c r="CG573" s="279"/>
      <c r="CH573" s="279"/>
      <c r="CI573" s="279"/>
      <c r="CJ573" s="279"/>
      <c r="CK573" s="279"/>
      <c r="CL573" s="279"/>
      <c r="CM573" s="279"/>
      <c r="CN573" s="382"/>
    </row>
    <row r="574" x14ac:dyDescent="0.3">
      <c r="B574" s="361"/>
      <c r="C574" s="279"/>
      <c r="D574" s="280"/>
      <c r="E574" s="287"/>
      <c r="F574" s="287"/>
      <c r="G574" s="287"/>
      <c r="H574" s="1292">
        <f t="shared" si="19"/>
        <v>23</v>
      </c>
      <c r="I574" s="1190" t="str">
        <f t="shared" si="21"/>
        <v/>
      </c>
      <c r="J574" s="1295" t="str">
        <f>IF('I. Stream &amp; Compound Data'!AN284&lt;&gt;"",'I. Stream &amp; Compound Data'!AN284,"")</f>
        <v/>
      </c>
      <c r="K574" s="1312" t="str">
        <f t="shared" si="23"/>
        <v/>
      </c>
      <c r="L574" s="301" t="str">
        <f t="shared" si="24"/>
        <v/>
      </c>
      <c r="M574" s="287"/>
      <c r="N574" s="296"/>
      <c r="O574" s="280"/>
      <c r="P574" s="280"/>
      <c r="Q574" s="279"/>
      <c r="R574" s="297"/>
      <c r="S574" s="298"/>
      <c r="T574" s="298"/>
      <c r="U574" s="299"/>
      <c r="V574" s="279"/>
      <c r="W574" s="279"/>
      <c r="X574" s="279"/>
      <c r="Y574" s="279"/>
      <c r="Z574" s="279"/>
      <c r="AA574" s="279"/>
      <c r="AB574" s="279"/>
      <c r="AC574" s="279"/>
      <c r="AD574" s="279"/>
      <c r="AE574" s="279"/>
      <c r="AF574" s="279"/>
      <c r="AG574" s="279"/>
      <c r="AH574" s="279"/>
      <c r="AI574" s="279"/>
      <c r="AJ574" s="279"/>
      <c r="AK574" s="279"/>
      <c r="AL574" s="279"/>
      <c r="AM574" s="279"/>
      <c r="AN574" s="279"/>
      <c r="AO574" s="279"/>
      <c r="AP574" s="279"/>
      <c r="AQ574" s="279"/>
      <c r="AR574" s="279"/>
      <c r="AS574" s="279"/>
      <c r="AT574" s="279"/>
      <c r="AU574" s="279"/>
      <c r="AV574" s="279"/>
      <c r="AW574" s="279"/>
      <c r="AX574" s="279"/>
      <c r="AY574" s="279"/>
      <c r="AZ574" s="279"/>
      <c r="BA574" s="279"/>
      <c r="BB574" s="279"/>
      <c r="BC574" s="279"/>
      <c r="BD574" s="279"/>
      <c r="BE574" s="279"/>
      <c r="BF574" s="279"/>
      <c r="BG574" s="279"/>
      <c r="BH574" s="279"/>
      <c r="BI574" s="279"/>
      <c r="BJ574" s="279"/>
      <c r="BK574" s="279"/>
      <c r="BL574" s="279"/>
      <c r="BM574" s="279"/>
      <c r="BN574" s="279"/>
      <c r="BO574" s="279"/>
      <c r="BP574" s="279"/>
      <c r="BQ574" s="279"/>
      <c r="BR574" s="279"/>
      <c r="BS574" s="279"/>
      <c r="BT574" s="279"/>
      <c r="BU574" s="279"/>
      <c r="BV574" s="279"/>
      <c r="BW574" s="279"/>
      <c r="BX574" s="279"/>
      <c r="BY574" s="279"/>
      <c r="BZ574" s="279"/>
      <c r="CA574" s="279"/>
      <c r="CB574" s="279"/>
      <c r="CC574" s="279"/>
      <c r="CD574" s="279"/>
      <c r="CE574" s="279"/>
      <c r="CF574" s="279"/>
      <c r="CG574" s="279"/>
      <c r="CH574" s="279"/>
      <c r="CI574" s="279"/>
      <c r="CJ574" s="279"/>
      <c r="CK574" s="279"/>
      <c r="CL574" s="279"/>
      <c r="CM574" s="279"/>
      <c r="CN574" s="382"/>
    </row>
    <row r="575" x14ac:dyDescent="0.3">
      <c r="B575" s="361"/>
      <c r="C575" s="279"/>
      <c r="D575" s="280"/>
      <c r="E575" s="287"/>
      <c r="F575" s="287"/>
      <c r="G575" s="287"/>
      <c r="H575" s="1292">
        <f t="shared" si="19"/>
        <v>24</v>
      </c>
      <c r="I575" s="1190" t="str">
        <f t="shared" si="21"/>
        <v/>
      </c>
      <c r="J575" s="1295" t="str">
        <f>IF('I. Stream &amp; Compound Data'!AN285&lt;&gt;"",'I. Stream &amp; Compound Data'!AN285,"")</f>
        <v/>
      </c>
      <c r="K575" s="1312" t="str">
        <f t="shared" si="23"/>
        <v/>
      </c>
      <c r="L575" s="301" t="str">
        <f t="shared" si="24"/>
        <v/>
      </c>
      <c r="M575" s="287"/>
      <c r="N575" s="296"/>
      <c r="O575" s="280"/>
      <c r="P575" s="280"/>
      <c r="Q575" s="279"/>
      <c r="R575" s="297"/>
      <c r="S575" s="298"/>
      <c r="T575" s="298"/>
      <c r="U575" s="299"/>
      <c r="V575" s="279"/>
      <c r="W575" s="279"/>
      <c r="X575" s="279"/>
      <c r="Y575" s="279"/>
      <c r="Z575" s="279"/>
      <c r="AA575" s="279"/>
      <c r="AB575" s="279"/>
      <c r="AC575" s="279"/>
      <c r="AD575" s="279"/>
      <c r="AE575" s="279"/>
      <c r="AF575" s="279"/>
      <c r="AG575" s="279"/>
      <c r="AH575" s="279"/>
      <c r="AI575" s="279"/>
      <c r="AJ575" s="279"/>
      <c r="AK575" s="279"/>
      <c r="AL575" s="279"/>
      <c r="AM575" s="279"/>
      <c r="AN575" s="279"/>
      <c r="AO575" s="279"/>
      <c r="AP575" s="279"/>
      <c r="AQ575" s="279"/>
      <c r="AR575" s="279"/>
      <c r="AS575" s="279"/>
      <c r="AT575" s="279"/>
      <c r="AU575" s="279"/>
      <c r="AV575" s="279"/>
      <c r="AW575" s="279"/>
      <c r="AX575" s="279"/>
      <c r="AY575" s="279"/>
      <c r="AZ575" s="279"/>
      <c r="BA575" s="279"/>
      <c r="BB575" s="279"/>
      <c r="BC575" s="279"/>
      <c r="BD575" s="279"/>
      <c r="BE575" s="279"/>
      <c r="BF575" s="279"/>
      <c r="BG575" s="279"/>
      <c r="BH575" s="279"/>
      <c r="BI575" s="279"/>
      <c r="BJ575" s="279"/>
      <c r="BK575" s="279"/>
      <c r="BL575" s="279"/>
      <c r="BM575" s="279"/>
      <c r="BN575" s="279"/>
      <c r="BO575" s="279"/>
      <c r="BP575" s="279"/>
      <c r="BQ575" s="279"/>
      <c r="BR575" s="279"/>
      <c r="BS575" s="279"/>
      <c r="BT575" s="279"/>
      <c r="BU575" s="279"/>
      <c r="BV575" s="279"/>
      <c r="BW575" s="279"/>
      <c r="BX575" s="279"/>
      <c r="BY575" s="279"/>
      <c r="BZ575" s="279"/>
      <c r="CA575" s="279"/>
      <c r="CB575" s="279"/>
      <c r="CC575" s="279"/>
      <c r="CD575" s="279"/>
      <c r="CE575" s="279"/>
      <c r="CF575" s="279"/>
      <c r="CG575" s="279"/>
      <c r="CH575" s="279"/>
      <c r="CI575" s="279"/>
      <c r="CJ575" s="279"/>
      <c r="CK575" s="279"/>
      <c r="CL575" s="279"/>
      <c r="CM575" s="279"/>
      <c r="CN575" s="382"/>
    </row>
    <row r="576" x14ac:dyDescent="0.3">
      <c r="B576" s="361"/>
      <c r="C576" s="279"/>
      <c r="D576" s="280"/>
      <c r="E576" s="287"/>
      <c r="F576" s="287"/>
      <c r="G576" s="287"/>
      <c r="H576" s="1292">
        <f t="shared" si="19"/>
        <v>25</v>
      </c>
      <c r="I576" s="1190" t="str">
        <f t="shared" si="21"/>
        <v/>
      </c>
      <c r="J576" s="1295" t="str">
        <f>IF('I. Stream &amp; Compound Data'!AN286&lt;&gt;"",'I. Stream &amp; Compound Data'!AN286,"")</f>
        <v/>
      </c>
      <c r="K576" s="1312" t="str">
        <f t="shared" si="23"/>
        <v/>
      </c>
      <c r="L576" s="301" t="str">
        <f t="shared" si="24"/>
        <v/>
      </c>
      <c r="M576" s="287"/>
      <c r="N576" s="296"/>
      <c r="O576" s="280"/>
      <c r="P576" s="280"/>
      <c r="Q576" s="279"/>
      <c r="R576" s="297"/>
      <c r="S576" s="298"/>
      <c r="T576" s="298"/>
      <c r="U576" s="299"/>
      <c r="V576" s="279"/>
      <c r="W576" s="279"/>
      <c r="X576" s="279"/>
      <c r="Y576" s="279"/>
      <c r="Z576" s="279"/>
      <c r="AA576" s="279"/>
      <c r="AB576" s="279"/>
      <c r="AC576" s="279"/>
      <c r="AD576" s="279"/>
      <c r="AE576" s="279"/>
      <c r="AF576" s="279"/>
      <c r="AG576" s="279"/>
      <c r="AH576" s="279"/>
      <c r="AI576" s="279"/>
      <c r="AJ576" s="279"/>
      <c r="AK576" s="279"/>
      <c r="AL576" s="279"/>
      <c r="AM576" s="279"/>
      <c r="AN576" s="279"/>
      <c r="AO576" s="279"/>
      <c r="AP576" s="279"/>
      <c r="AQ576" s="279"/>
      <c r="AR576" s="279"/>
      <c r="AS576" s="279"/>
      <c r="AT576" s="279"/>
      <c r="AU576" s="279"/>
      <c r="AV576" s="279"/>
      <c r="AW576" s="279"/>
      <c r="AX576" s="279"/>
      <c r="AY576" s="279"/>
      <c r="AZ576" s="279"/>
      <c r="BA576" s="279"/>
      <c r="BB576" s="279"/>
      <c r="BC576" s="279"/>
      <c r="BD576" s="279"/>
      <c r="BE576" s="279"/>
      <c r="BF576" s="279"/>
      <c r="BG576" s="279"/>
      <c r="BH576" s="279"/>
      <c r="BI576" s="279"/>
      <c r="BJ576" s="279"/>
      <c r="BK576" s="279"/>
      <c r="BL576" s="279"/>
      <c r="BM576" s="279"/>
      <c r="BN576" s="279"/>
      <c r="BO576" s="279"/>
      <c r="BP576" s="279"/>
      <c r="BQ576" s="279"/>
      <c r="BR576" s="279"/>
      <c r="BS576" s="279"/>
      <c r="BT576" s="279"/>
      <c r="BU576" s="279"/>
      <c r="BV576" s="279"/>
      <c r="BW576" s="279"/>
      <c r="BX576" s="279"/>
      <c r="BY576" s="279"/>
      <c r="BZ576" s="279"/>
      <c r="CA576" s="279"/>
      <c r="CB576" s="279"/>
      <c r="CC576" s="279"/>
      <c r="CD576" s="279"/>
      <c r="CE576" s="279"/>
      <c r="CF576" s="279"/>
      <c r="CG576" s="279"/>
      <c r="CH576" s="279"/>
      <c r="CI576" s="279"/>
      <c r="CJ576" s="279"/>
      <c r="CK576" s="279"/>
      <c r="CL576" s="279"/>
      <c r="CM576" s="279"/>
      <c r="CN576" s="382"/>
    </row>
    <row r="577" x14ac:dyDescent="0.3">
      <c r="B577" s="361"/>
      <c r="C577" s="279"/>
      <c r="D577" s="280"/>
      <c r="E577" s="287"/>
      <c r="F577" s="287"/>
      <c r="G577" s="287"/>
      <c r="H577" s="1292">
        <f t="shared" si="19"/>
        <v>26</v>
      </c>
      <c r="I577" s="1190" t="str">
        <f t="shared" si="21"/>
        <v/>
      </c>
      <c r="J577" s="1295" t="str">
        <f>IF('I. Stream &amp; Compound Data'!AN287&lt;&gt;"",'I. Stream &amp; Compound Data'!AN287,"")</f>
        <v/>
      </c>
      <c r="K577" s="1312" t="str">
        <f t="shared" si="23"/>
        <v/>
      </c>
      <c r="L577" s="301" t="str">
        <f t="shared" si="24"/>
        <v/>
      </c>
      <c r="M577" s="287"/>
      <c r="N577" s="296"/>
      <c r="O577" s="280"/>
      <c r="P577" s="280"/>
      <c r="Q577" s="279"/>
      <c r="R577" s="297"/>
      <c r="S577" s="298"/>
      <c r="T577" s="298"/>
      <c r="U577" s="299"/>
      <c r="V577" s="279"/>
      <c r="W577" s="279"/>
      <c r="X577" s="279"/>
      <c r="Y577" s="279"/>
      <c r="Z577" s="279"/>
      <c r="AA577" s="279"/>
      <c r="AB577" s="279"/>
      <c r="AC577" s="279"/>
      <c r="AD577" s="279"/>
      <c r="AE577" s="279"/>
      <c r="AF577" s="279"/>
      <c r="AG577" s="279"/>
      <c r="AH577" s="279"/>
      <c r="AI577" s="279"/>
      <c r="AJ577" s="279"/>
      <c r="AK577" s="279"/>
      <c r="AL577" s="279"/>
      <c r="AM577" s="279"/>
      <c r="AN577" s="279"/>
      <c r="AO577" s="279"/>
      <c r="AP577" s="279"/>
      <c r="AQ577" s="279"/>
      <c r="AR577" s="279"/>
      <c r="AS577" s="279"/>
      <c r="AT577" s="279"/>
      <c r="AU577" s="279"/>
      <c r="AV577" s="279"/>
      <c r="AW577" s="279"/>
      <c r="AX577" s="279"/>
      <c r="AY577" s="279"/>
      <c r="AZ577" s="279"/>
      <c r="BA577" s="279"/>
      <c r="BB577" s="279"/>
      <c r="BC577" s="279"/>
      <c r="BD577" s="279"/>
      <c r="BE577" s="279"/>
      <c r="BF577" s="279"/>
      <c r="BG577" s="279"/>
      <c r="BH577" s="279"/>
      <c r="BI577" s="279"/>
      <c r="BJ577" s="279"/>
      <c r="BK577" s="279"/>
      <c r="BL577" s="279"/>
      <c r="BM577" s="279"/>
      <c r="BN577" s="279"/>
      <c r="BO577" s="279"/>
      <c r="BP577" s="279"/>
      <c r="BQ577" s="279"/>
      <c r="BR577" s="279"/>
      <c r="BS577" s="279"/>
      <c r="BT577" s="279"/>
      <c r="BU577" s="279"/>
      <c r="BV577" s="279"/>
      <c r="BW577" s="279"/>
      <c r="BX577" s="279"/>
      <c r="BY577" s="279"/>
      <c r="BZ577" s="279"/>
      <c r="CA577" s="279"/>
      <c r="CB577" s="279"/>
      <c r="CC577" s="279"/>
      <c r="CD577" s="279"/>
      <c r="CE577" s="279"/>
      <c r="CF577" s="279"/>
      <c r="CG577" s="279"/>
      <c r="CH577" s="279"/>
      <c r="CI577" s="279"/>
      <c r="CJ577" s="279"/>
      <c r="CK577" s="279"/>
      <c r="CL577" s="279"/>
      <c r="CM577" s="279"/>
      <c r="CN577" s="382"/>
    </row>
    <row r="578" x14ac:dyDescent="0.3">
      <c r="B578" s="361"/>
      <c r="C578" s="279"/>
      <c r="D578" s="280"/>
      <c r="E578" s="287"/>
      <c r="F578" s="287"/>
      <c r="G578" s="287"/>
      <c r="H578" s="1292">
        <f t="shared" si="19"/>
        <v>27</v>
      </c>
      <c r="I578" s="1190" t="str">
        <f t="shared" si="21"/>
        <v/>
      </c>
      <c r="J578" s="1295" t="str">
        <f>IF('I. Stream &amp; Compound Data'!AN288&lt;&gt;"",'I. Stream &amp; Compound Data'!AN288,"")</f>
        <v/>
      </c>
      <c r="K578" s="1312" t="str">
        <f t="shared" si="23"/>
        <v/>
      </c>
      <c r="L578" s="301" t="str">
        <f t="shared" si="24"/>
        <v/>
      </c>
      <c r="M578" s="287"/>
      <c r="N578" s="296"/>
      <c r="O578" s="280"/>
      <c r="P578" s="280"/>
      <c r="Q578" s="279"/>
      <c r="R578" s="297"/>
      <c r="S578" s="298"/>
      <c r="T578" s="298"/>
      <c r="U578" s="299"/>
      <c r="V578" s="279"/>
      <c r="W578" s="279"/>
      <c r="X578" s="279"/>
      <c r="Y578" s="279"/>
      <c r="Z578" s="279"/>
      <c r="AA578" s="279"/>
      <c r="AB578" s="279"/>
      <c r="AC578" s="279"/>
      <c r="AD578" s="279"/>
      <c r="AE578" s="279"/>
      <c r="AF578" s="279"/>
      <c r="AG578" s="279"/>
      <c r="AH578" s="279"/>
      <c r="AI578" s="279"/>
      <c r="AJ578" s="279"/>
      <c r="AK578" s="279"/>
      <c r="AL578" s="279"/>
      <c r="AM578" s="279"/>
      <c r="AN578" s="279"/>
      <c r="AO578" s="279"/>
      <c r="AP578" s="279"/>
      <c r="AQ578" s="279"/>
      <c r="AR578" s="279"/>
      <c r="AS578" s="279"/>
      <c r="AT578" s="279"/>
      <c r="AU578" s="279"/>
      <c r="AV578" s="279"/>
      <c r="AW578" s="279"/>
      <c r="AX578" s="279"/>
      <c r="AY578" s="279"/>
      <c r="AZ578" s="279"/>
      <c r="BA578" s="279"/>
      <c r="BB578" s="279"/>
      <c r="BC578" s="279"/>
      <c r="BD578" s="279"/>
      <c r="BE578" s="279"/>
      <c r="BF578" s="279"/>
      <c r="BG578" s="279"/>
      <c r="BH578" s="279"/>
      <c r="BI578" s="279"/>
      <c r="BJ578" s="279"/>
      <c r="BK578" s="279"/>
      <c r="BL578" s="279"/>
      <c r="BM578" s="279"/>
      <c r="BN578" s="279"/>
      <c r="BO578" s="279"/>
      <c r="BP578" s="279"/>
      <c r="BQ578" s="279"/>
      <c r="BR578" s="279"/>
      <c r="BS578" s="279"/>
      <c r="BT578" s="279"/>
      <c r="BU578" s="279"/>
      <c r="BV578" s="279"/>
      <c r="BW578" s="279"/>
      <c r="BX578" s="279"/>
      <c r="BY578" s="279"/>
      <c r="BZ578" s="279"/>
      <c r="CA578" s="279"/>
      <c r="CB578" s="279"/>
      <c r="CC578" s="279"/>
      <c r="CD578" s="279"/>
      <c r="CE578" s="279"/>
      <c r="CF578" s="279"/>
      <c r="CG578" s="279"/>
      <c r="CH578" s="279"/>
      <c r="CI578" s="279"/>
      <c r="CJ578" s="279"/>
      <c r="CK578" s="279"/>
      <c r="CL578" s="279"/>
      <c r="CM578" s="279"/>
      <c r="CN578" s="382"/>
    </row>
    <row r="579" x14ac:dyDescent="0.3">
      <c r="B579" s="361"/>
      <c r="C579" s="279"/>
      <c r="D579" s="280"/>
      <c r="E579" s="287"/>
      <c r="F579" s="287"/>
      <c r="G579" s="287"/>
      <c r="H579" s="1292">
        <f t="shared" si="19"/>
        <v>28</v>
      </c>
      <c r="I579" s="1190" t="str">
        <f t="shared" si="21"/>
        <v/>
      </c>
      <c r="J579" s="1295" t="str">
        <f>IF('I. Stream &amp; Compound Data'!AN289&lt;&gt;"",'I. Stream &amp; Compound Data'!AN289,"")</f>
        <v/>
      </c>
      <c r="K579" s="1312" t="str">
        <f t="shared" si="23"/>
        <v/>
      </c>
      <c r="L579" s="301" t="str">
        <f t="shared" si="24"/>
        <v/>
      </c>
      <c r="M579" s="287"/>
      <c r="N579" s="296"/>
      <c r="O579" s="280"/>
      <c r="P579" s="280"/>
      <c r="Q579" s="279"/>
      <c r="R579" s="297"/>
      <c r="S579" s="298"/>
      <c r="T579" s="298"/>
      <c r="U579" s="299"/>
      <c r="V579" s="279"/>
      <c r="W579" s="279"/>
      <c r="X579" s="279"/>
      <c r="Y579" s="279"/>
      <c r="Z579" s="279"/>
      <c r="AA579" s="279"/>
      <c r="AB579" s="279"/>
      <c r="AC579" s="279"/>
      <c r="AD579" s="279"/>
      <c r="AE579" s="279"/>
      <c r="AF579" s="279"/>
      <c r="AG579" s="279"/>
      <c r="AH579" s="279"/>
      <c r="AI579" s="279"/>
      <c r="AJ579" s="279"/>
      <c r="AK579" s="279"/>
      <c r="AL579" s="279"/>
      <c r="AM579" s="279"/>
      <c r="AN579" s="279"/>
      <c r="AO579" s="279"/>
      <c r="AP579" s="279"/>
      <c r="AQ579" s="279"/>
      <c r="AR579" s="279"/>
      <c r="AS579" s="279"/>
      <c r="AT579" s="279"/>
      <c r="AU579" s="279"/>
      <c r="AV579" s="279"/>
      <c r="AW579" s="279"/>
      <c r="AX579" s="279"/>
      <c r="AY579" s="279"/>
      <c r="AZ579" s="279"/>
      <c r="BA579" s="279"/>
      <c r="BB579" s="279"/>
      <c r="BC579" s="279"/>
      <c r="BD579" s="279"/>
      <c r="BE579" s="279"/>
      <c r="BF579" s="279"/>
      <c r="BG579" s="279"/>
      <c r="BH579" s="279"/>
      <c r="BI579" s="279"/>
      <c r="BJ579" s="279"/>
      <c r="BK579" s="279"/>
      <c r="BL579" s="279"/>
      <c r="BM579" s="279"/>
      <c r="BN579" s="279"/>
      <c r="BO579" s="279"/>
      <c r="BP579" s="279"/>
      <c r="BQ579" s="279"/>
      <c r="BR579" s="279"/>
      <c r="BS579" s="279"/>
      <c r="BT579" s="279"/>
      <c r="BU579" s="279"/>
      <c r="BV579" s="279"/>
      <c r="BW579" s="279"/>
      <c r="BX579" s="279"/>
      <c r="BY579" s="279"/>
      <c r="BZ579" s="279"/>
      <c r="CA579" s="279"/>
      <c r="CB579" s="279"/>
      <c r="CC579" s="279"/>
      <c r="CD579" s="279"/>
      <c r="CE579" s="279"/>
      <c r="CF579" s="279"/>
      <c r="CG579" s="279"/>
      <c r="CH579" s="279"/>
      <c r="CI579" s="279"/>
      <c r="CJ579" s="279"/>
      <c r="CK579" s="279"/>
      <c r="CL579" s="279"/>
      <c r="CM579" s="279"/>
      <c r="CN579" s="382"/>
    </row>
    <row r="580" x14ac:dyDescent="0.3">
      <c r="B580" s="361"/>
      <c r="C580" s="279"/>
      <c r="D580" s="280"/>
      <c r="E580" s="287"/>
      <c r="F580" s="287"/>
      <c r="G580" s="287"/>
      <c r="H580" s="1292">
        <f t="shared" si="19"/>
        <v>29</v>
      </c>
      <c r="I580" s="1190" t="str">
        <f t="shared" si="21"/>
        <v/>
      </c>
      <c r="J580" s="1295" t="str">
        <f>IF('I. Stream &amp; Compound Data'!AN290&lt;&gt;"",'I. Stream &amp; Compound Data'!AN290,"")</f>
        <v/>
      </c>
      <c r="K580" s="1312" t="str">
        <f t="shared" si="23"/>
        <v/>
      </c>
      <c r="L580" s="301" t="str">
        <f t="shared" si="24"/>
        <v/>
      </c>
      <c r="M580" s="287"/>
      <c r="N580" s="296"/>
      <c r="O580" s="280"/>
      <c r="P580" s="280"/>
      <c r="Q580" s="279"/>
      <c r="R580" s="297"/>
      <c r="S580" s="298"/>
      <c r="T580" s="298"/>
      <c r="U580" s="299"/>
      <c r="V580" s="279"/>
      <c r="W580" s="279"/>
      <c r="X580" s="279"/>
      <c r="Y580" s="279"/>
      <c r="Z580" s="279"/>
      <c r="AA580" s="279"/>
      <c r="AB580" s="279"/>
      <c r="AC580" s="279"/>
      <c r="AD580" s="279"/>
      <c r="AE580" s="279"/>
      <c r="AF580" s="279"/>
      <c r="AG580" s="279"/>
      <c r="AH580" s="279"/>
      <c r="AI580" s="279"/>
      <c r="AJ580" s="279"/>
      <c r="AK580" s="279"/>
      <c r="AL580" s="279"/>
      <c r="AM580" s="279"/>
      <c r="AN580" s="279"/>
      <c r="AO580" s="279"/>
      <c r="AP580" s="279"/>
      <c r="AQ580" s="279"/>
      <c r="AR580" s="279"/>
      <c r="AS580" s="279"/>
      <c r="AT580" s="279"/>
      <c r="AU580" s="279"/>
      <c r="AV580" s="279"/>
      <c r="AW580" s="279"/>
      <c r="AX580" s="279"/>
      <c r="AY580" s="279"/>
      <c r="AZ580" s="279"/>
      <c r="BA580" s="279"/>
      <c r="BB580" s="279"/>
      <c r="BC580" s="279"/>
      <c r="BD580" s="279"/>
      <c r="BE580" s="279"/>
      <c r="BF580" s="279"/>
      <c r="BG580" s="279"/>
      <c r="BH580" s="279"/>
      <c r="BI580" s="279"/>
      <c r="BJ580" s="279"/>
      <c r="BK580" s="279"/>
      <c r="BL580" s="279"/>
      <c r="BM580" s="279"/>
      <c r="BN580" s="279"/>
      <c r="BO580" s="279"/>
      <c r="BP580" s="279"/>
      <c r="BQ580" s="279"/>
      <c r="BR580" s="279"/>
      <c r="BS580" s="279"/>
      <c r="BT580" s="279"/>
      <c r="BU580" s="279"/>
      <c r="BV580" s="279"/>
      <c r="BW580" s="279"/>
      <c r="BX580" s="279"/>
      <c r="BY580" s="279"/>
      <c r="BZ580" s="279"/>
      <c r="CA580" s="279"/>
      <c r="CB580" s="279"/>
      <c r="CC580" s="279"/>
      <c r="CD580" s="279"/>
      <c r="CE580" s="279"/>
      <c r="CF580" s="279"/>
      <c r="CG580" s="279"/>
      <c r="CH580" s="279"/>
      <c r="CI580" s="279"/>
      <c r="CJ580" s="279"/>
      <c r="CK580" s="279"/>
      <c r="CL580" s="279"/>
      <c r="CM580" s="279"/>
      <c r="CN580" s="382"/>
    </row>
    <row r="581" x14ac:dyDescent="0.3">
      <c r="B581" s="361"/>
      <c r="C581" s="279"/>
      <c r="D581" s="280"/>
      <c r="E581" s="287"/>
      <c r="F581" s="287"/>
      <c r="G581" s="287"/>
      <c r="H581" s="1292">
        <f t="shared" si="19"/>
        <v>30</v>
      </c>
      <c r="I581" s="1190" t="str">
        <f t="shared" si="21"/>
        <v/>
      </c>
      <c r="J581" s="1295" t="str">
        <f>IF('I. Stream &amp; Compound Data'!AN291&lt;&gt;"",'I. Stream &amp; Compound Data'!AN291,"")</f>
        <v/>
      </c>
      <c r="K581" s="1312" t="str">
        <f t="shared" si="23"/>
        <v/>
      </c>
      <c r="L581" s="301" t="str">
        <f t="shared" si="24"/>
        <v/>
      </c>
      <c r="M581" s="287"/>
      <c r="N581" s="296"/>
      <c r="O581" s="280"/>
      <c r="P581" s="280"/>
      <c r="Q581" s="279"/>
      <c r="R581" s="297"/>
      <c r="S581" s="298"/>
      <c r="T581" s="298"/>
      <c r="U581" s="299"/>
      <c r="V581" s="279"/>
      <c r="W581" s="279"/>
      <c r="X581" s="279"/>
      <c r="Y581" s="279"/>
      <c r="Z581" s="279"/>
      <c r="AA581" s="279"/>
      <c r="AB581" s="279"/>
      <c r="AC581" s="279"/>
      <c r="AD581" s="279"/>
      <c r="AE581" s="279"/>
      <c r="AF581" s="279"/>
      <c r="AG581" s="279"/>
      <c r="AH581" s="279"/>
      <c r="AI581" s="279"/>
      <c r="AJ581" s="279"/>
      <c r="AK581" s="279"/>
      <c r="AL581" s="279"/>
      <c r="AM581" s="279"/>
      <c r="AN581" s="279"/>
      <c r="AO581" s="279"/>
      <c r="AP581" s="279"/>
      <c r="AQ581" s="279"/>
      <c r="AR581" s="279"/>
      <c r="AS581" s="279"/>
      <c r="AT581" s="279"/>
      <c r="AU581" s="279"/>
      <c r="AV581" s="279"/>
      <c r="AW581" s="279"/>
      <c r="AX581" s="279"/>
      <c r="AY581" s="279"/>
      <c r="AZ581" s="279"/>
      <c r="BA581" s="279"/>
      <c r="BB581" s="279"/>
      <c r="BC581" s="279"/>
      <c r="BD581" s="279"/>
      <c r="BE581" s="279"/>
      <c r="BF581" s="279"/>
      <c r="BG581" s="279"/>
      <c r="BH581" s="279"/>
      <c r="BI581" s="279"/>
      <c r="BJ581" s="279"/>
      <c r="BK581" s="279"/>
      <c r="BL581" s="279"/>
      <c r="BM581" s="279"/>
      <c r="BN581" s="279"/>
      <c r="BO581" s="279"/>
      <c r="BP581" s="279"/>
      <c r="BQ581" s="279"/>
      <c r="BR581" s="279"/>
      <c r="BS581" s="279"/>
      <c r="BT581" s="279"/>
      <c r="BU581" s="279"/>
      <c r="BV581" s="279"/>
      <c r="BW581" s="279"/>
      <c r="BX581" s="279"/>
      <c r="BY581" s="279"/>
      <c r="BZ581" s="279"/>
      <c r="CA581" s="279"/>
      <c r="CB581" s="279"/>
      <c r="CC581" s="279"/>
      <c r="CD581" s="279"/>
      <c r="CE581" s="279"/>
      <c r="CF581" s="279"/>
      <c r="CG581" s="279"/>
      <c r="CH581" s="279"/>
      <c r="CI581" s="279"/>
      <c r="CJ581" s="279"/>
      <c r="CK581" s="279"/>
      <c r="CL581" s="279"/>
      <c r="CM581" s="279"/>
      <c r="CN581" s="382"/>
    </row>
    <row r="582" x14ac:dyDescent="0.3">
      <c r="B582" s="361"/>
      <c r="C582" s="279"/>
      <c r="D582" s="280"/>
      <c r="E582" s="287"/>
      <c r="F582" s="287"/>
      <c r="G582" s="287"/>
      <c r="H582" s="1292">
        <f t="shared" si="19"/>
        <v>31</v>
      </c>
      <c r="I582" s="1190" t="str">
        <f t="shared" si="21"/>
        <v/>
      </c>
      <c r="J582" s="1295" t="str">
        <f>IF('I. Stream &amp; Compound Data'!AN292&lt;&gt;"",'I. Stream &amp; Compound Data'!AN292,"")</f>
        <v/>
      </c>
      <c r="K582" s="1312" t="str">
        <f t="shared" si="23"/>
        <v/>
      </c>
      <c r="L582" s="301" t="str">
        <f t="shared" si="24"/>
        <v/>
      </c>
      <c r="M582" s="287"/>
      <c r="N582" s="296"/>
      <c r="O582" s="280"/>
      <c r="P582" s="280"/>
      <c r="Q582" s="279"/>
      <c r="R582" s="297"/>
      <c r="S582" s="298"/>
      <c r="T582" s="298"/>
      <c r="U582" s="299"/>
      <c r="V582" s="279"/>
      <c r="W582" s="279"/>
      <c r="X582" s="279"/>
      <c r="Y582" s="279"/>
      <c r="Z582" s="279"/>
      <c r="AA582" s="279"/>
      <c r="AB582" s="279"/>
      <c r="AC582" s="279"/>
      <c r="AD582" s="279"/>
      <c r="AE582" s="279"/>
      <c r="AF582" s="279"/>
      <c r="AG582" s="279"/>
      <c r="AH582" s="279"/>
      <c r="AI582" s="279"/>
      <c r="AJ582" s="279"/>
      <c r="AK582" s="279"/>
      <c r="AL582" s="279"/>
      <c r="AM582" s="279"/>
      <c r="AN582" s="279"/>
      <c r="AO582" s="279"/>
      <c r="AP582" s="279"/>
      <c r="AQ582" s="279"/>
      <c r="AR582" s="279"/>
      <c r="AS582" s="279"/>
      <c r="AT582" s="279"/>
      <c r="AU582" s="279"/>
      <c r="AV582" s="279"/>
      <c r="AW582" s="279"/>
      <c r="AX582" s="279"/>
      <c r="AY582" s="279"/>
      <c r="AZ582" s="279"/>
      <c r="BA582" s="279"/>
      <c r="BB582" s="279"/>
      <c r="BC582" s="279"/>
      <c r="BD582" s="279"/>
      <c r="BE582" s="279"/>
      <c r="BF582" s="279"/>
      <c r="BG582" s="279"/>
      <c r="BH582" s="279"/>
      <c r="BI582" s="279"/>
      <c r="BJ582" s="279"/>
      <c r="BK582" s="279"/>
      <c r="BL582" s="279"/>
      <c r="BM582" s="279"/>
      <c r="BN582" s="279"/>
      <c r="BO582" s="279"/>
      <c r="BP582" s="279"/>
      <c r="BQ582" s="279"/>
      <c r="BR582" s="279"/>
      <c r="BS582" s="279"/>
      <c r="BT582" s="279"/>
      <c r="BU582" s="279"/>
      <c r="BV582" s="279"/>
      <c r="BW582" s="279"/>
      <c r="BX582" s="279"/>
      <c r="BY582" s="279"/>
      <c r="BZ582" s="279"/>
      <c r="CA582" s="279"/>
      <c r="CB582" s="279"/>
      <c r="CC582" s="279"/>
      <c r="CD582" s="279"/>
      <c r="CE582" s="279"/>
      <c r="CF582" s="279"/>
      <c r="CG582" s="279"/>
      <c r="CH582" s="279"/>
      <c r="CI582" s="279"/>
      <c r="CJ582" s="279"/>
      <c r="CK582" s="279"/>
      <c r="CL582" s="279"/>
      <c r="CM582" s="279"/>
      <c r="CN582" s="382"/>
    </row>
    <row r="583" x14ac:dyDescent="0.3">
      <c r="B583" s="361"/>
      <c r="C583" s="279"/>
      <c r="D583" s="280"/>
      <c r="E583" s="287"/>
      <c r="F583" s="287"/>
      <c r="G583" s="287"/>
      <c r="H583" s="1292">
        <f t="shared" si="19"/>
        <v>32</v>
      </c>
      <c r="I583" s="1190" t="str">
        <f t="shared" si="21"/>
        <v/>
      </c>
      <c r="J583" s="1295" t="str">
        <f>IF('I. Stream &amp; Compound Data'!AN293&lt;&gt;"",'I. Stream &amp; Compound Data'!AN293,"")</f>
        <v/>
      </c>
      <c r="K583" s="1312" t="str">
        <f t="shared" si="23"/>
        <v/>
      </c>
      <c r="L583" s="301" t="str">
        <f t="shared" si="24"/>
        <v/>
      </c>
      <c r="M583" s="287"/>
      <c r="N583" s="296"/>
      <c r="O583" s="280"/>
      <c r="P583" s="280"/>
      <c r="Q583" s="279"/>
      <c r="R583" s="297"/>
      <c r="S583" s="298"/>
      <c r="T583" s="298"/>
      <c r="U583" s="299"/>
      <c r="V583" s="279"/>
      <c r="W583" s="279"/>
      <c r="X583" s="279"/>
      <c r="Y583" s="279"/>
      <c r="Z583" s="279"/>
      <c r="AA583" s="279"/>
      <c r="AB583" s="279"/>
      <c r="AC583" s="279"/>
      <c r="AD583" s="279"/>
      <c r="AE583" s="279"/>
      <c r="AF583" s="279"/>
      <c r="AG583" s="279"/>
      <c r="AH583" s="279"/>
      <c r="AI583" s="279"/>
      <c r="AJ583" s="279"/>
      <c r="AK583" s="279"/>
      <c r="AL583" s="279"/>
      <c r="AM583" s="279"/>
      <c r="AN583" s="279"/>
      <c r="AO583" s="279"/>
      <c r="AP583" s="279"/>
      <c r="AQ583" s="279"/>
      <c r="AR583" s="279"/>
      <c r="AS583" s="279"/>
      <c r="AT583" s="279"/>
      <c r="AU583" s="279"/>
      <c r="AV583" s="279"/>
      <c r="AW583" s="279"/>
      <c r="AX583" s="279"/>
      <c r="AY583" s="279"/>
      <c r="AZ583" s="279"/>
      <c r="BA583" s="279"/>
      <c r="BB583" s="279"/>
      <c r="BC583" s="279"/>
      <c r="BD583" s="279"/>
      <c r="BE583" s="279"/>
      <c r="BF583" s="279"/>
      <c r="BG583" s="279"/>
      <c r="BH583" s="279"/>
      <c r="BI583" s="279"/>
      <c r="BJ583" s="279"/>
      <c r="BK583" s="279"/>
      <c r="BL583" s="279"/>
      <c r="BM583" s="279"/>
      <c r="BN583" s="279"/>
      <c r="BO583" s="279"/>
      <c r="BP583" s="279"/>
      <c r="BQ583" s="279"/>
      <c r="BR583" s="279"/>
      <c r="BS583" s="279"/>
      <c r="BT583" s="279"/>
      <c r="BU583" s="279"/>
      <c r="BV583" s="279"/>
      <c r="BW583" s="279"/>
      <c r="BX583" s="279"/>
      <c r="BY583" s="279"/>
      <c r="BZ583" s="279"/>
      <c r="CA583" s="279"/>
      <c r="CB583" s="279"/>
      <c r="CC583" s="279"/>
      <c r="CD583" s="279"/>
      <c r="CE583" s="279"/>
      <c r="CF583" s="279"/>
      <c r="CG583" s="279"/>
      <c r="CH583" s="279"/>
      <c r="CI583" s="279"/>
      <c r="CJ583" s="279"/>
      <c r="CK583" s="279"/>
      <c r="CL583" s="279"/>
      <c r="CM583" s="279"/>
      <c r="CN583" s="382"/>
    </row>
    <row r="584" x14ac:dyDescent="0.3">
      <c r="B584" s="361"/>
      <c r="C584" s="279"/>
      <c r="D584" s="280"/>
      <c r="E584" s="287"/>
      <c r="F584" s="287"/>
      <c r="G584" s="287"/>
      <c r="H584" s="1292">
        <f t="shared" si="19"/>
        <v>33</v>
      </c>
      <c r="I584" s="1190" t="str">
        <f t="shared" si="21"/>
        <v/>
      </c>
      <c r="J584" s="1295" t="str">
        <f>IF('I. Stream &amp; Compound Data'!AN294&lt;&gt;"",'I. Stream &amp; Compound Data'!AN294,"")</f>
        <v/>
      </c>
      <c r="K584" s="1312" t="str">
        <f t="shared" si="23"/>
        <v/>
      </c>
      <c r="L584" s="301" t="str">
        <f t="shared" si="24"/>
        <v/>
      </c>
      <c r="M584" s="287"/>
      <c r="N584" s="296"/>
      <c r="O584" s="280"/>
      <c r="P584" s="280"/>
      <c r="Q584" s="279"/>
      <c r="R584" s="297"/>
      <c r="S584" s="298"/>
      <c r="T584" s="298"/>
      <c r="U584" s="299"/>
      <c r="V584" s="279"/>
      <c r="W584" s="279"/>
      <c r="X584" s="279"/>
      <c r="Y584" s="279"/>
      <c r="Z584" s="279"/>
      <c r="AA584" s="279"/>
      <c r="AB584" s="279"/>
      <c r="AC584" s="279"/>
      <c r="AD584" s="279"/>
      <c r="AE584" s="279"/>
      <c r="AF584" s="279"/>
      <c r="AG584" s="279"/>
      <c r="AH584" s="279"/>
      <c r="AI584" s="279"/>
      <c r="AJ584" s="279"/>
      <c r="AK584" s="279"/>
      <c r="AL584" s="279"/>
      <c r="AM584" s="279"/>
      <c r="AN584" s="279"/>
      <c r="AO584" s="279"/>
      <c r="AP584" s="279"/>
      <c r="AQ584" s="279"/>
      <c r="AR584" s="279"/>
      <c r="AS584" s="279"/>
      <c r="AT584" s="279"/>
      <c r="AU584" s="279"/>
      <c r="AV584" s="279"/>
      <c r="AW584" s="279"/>
      <c r="AX584" s="279"/>
      <c r="AY584" s="279"/>
      <c r="AZ584" s="279"/>
      <c r="BA584" s="279"/>
      <c r="BB584" s="279"/>
      <c r="BC584" s="279"/>
      <c r="BD584" s="279"/>
      <c r="BE584" s="279"/>
      <c r="BF584" s="279"/>
      <c r="BG584" s="279"/>
      <c r="BH584" s="279"/>
      <c r="BI584" s="279"/>
      <c r="BJ584" s="279"/>
      <c r="BK584" s="279"/>
      <c r="BL584" s="279"/>
      <c r="BM584" s="279"/>
      <c r="BN584" s="279"/>
      <c r="BO584" s="279"/>
      <c r="BP584" s="279"/>
      <c r="BQ584" s="279"/>
      <c r="BR584" s="279"/>
      <c r="BS584" s="279"/>
      <c r="BT584" s="279"/>
      <c r="BU584" s="279"/>
      <c r="BV584" s="279"/>
      <c r="BW584" s="279"/>
      <c r="BX584" s="279"/>
      <c r="BY584" s="279"/>
      <c r="BZ584" s="279"/>
      <c r="CA584" s="279"/>
      <c r="CB584" s="279"/>
      <c r="CC584" s="279"/>
      <c r="CD584" s="279"/>
      <c r="CE584" s="279"/>
      <c r="CF584" s="279"/>
      <c r="CG584" s="279"/>
      <c r="CH584" s="279"/>
      <c r="CI584" s="279"/>
      <c r="CJ584" s="279"/>
      <c r="CK584" s="279"/>
      <c r="CL584" s="279"/>
      <c r="CM584" s="279"/>
      <c r="CN584" s="382"/>
    </row>
    <row r="585" x14ac:dyDescent="0.3">
      <c r="B585" s="361"/>
      <c r="C585" s="279"/>
      <c r="D585" s="280"/>
      <c r="E585" s="287"/>
      <c r="F585" s="287"/>
      <c r="G585" s="287"/>
      <c r="H585" s="1292">
        <f t="shared" si="19"/>
        <v>34</v>
      </c>
      <c r="I585" s="1190" t="str">
        <f t="shared" si="21"/>
        <v/>
      </c>
      <c r="J585" s="1295" t="str">
        <f>IF('I. Stream &amp; Compound Data'!AN295&lt;&gt;"",'I. Stream &amp; Compound Data'!AN295,"")</f>
        <v/>
      </c>
      <c r="K585" s="1312" t="str">
        <f t="shared" si="23"/>
        <v/>
      </c>
      <c r="L585" s="301" t="str">
        <f t="shared" si="24"/>
        <v/>
      </c>
      <c r="M585" s="287"/>
      <c r="N585" s="296"/>
      <c r="O585" s="280"/>
      <c r="P585" s="280"/>
      <c r="Q585" s="279"/>
      <c r="R585" s="297"/>
      <c r="S585" s="298"/>
      <c r="T585" s="298"/>
      <c r="U585" s="299"/>
      <c r="V585" s="279"/>
      <c r="W585" s="279"/>
      <c r="X585" s="279"/>
      <c r="Y585" s="279"/>
      <c r="Z585" s="279"/>
      <c r="AA585" s="279"/>
      <c r="AB585" s="279"/>
      <c r="AC585" s="279"/>
      <c r="AD585" s="279"/>
      <c r="AE585" s="279"/>
      <c r="AF585" s="279"/>
      <c r="AG585" s="279"/>
      <c r="AH585" s="279"/>
      <c r="AI585" s="279"/>
      <c r="AJ585" s="279"/>
      <c r="AK585" s="279"/>
      <c r="AL585" s="279"/>
      <c r="AM585" s="279"/>
      <c r="AN585" s="279"/>
      <c r="AO585" s="279"/>
      <c r="AP585" s="279"/>
      <c r="AQ585" s="279"/>
      <c r="AR585" s="279"/>
      <c r="AS585" s="279"/>
      <c r="AT585" s="279"/>
      <c r="AU585" s="279"/>
      <c r="AV585" s="279"/>
      <c r="AW585" s="279"/>
      <c r="AX585" s="279"/>
      <c r="AY585" s="279"/>
      <c r="AZ585" s="279"/>
      <c r="BA585" s="279"/>
      <c r="BB585" s="279"/>
      <c r="BC585" s="279"/>
      <c r="BD585" s="279"/>
      <c r="BE585" s="279"/>
      <c r="BF585" s="279"/>
      <c r="BG585" s="279"/>
      <c r="BH585" s="279"/>
      <c r="BI585" s="279"/>
      <c r="BJ585" s="279"/>
      <c r="BK585" s="279"/>
      <c r="BL585" s="279"/>
      <c r="BM585" s="279"/>
      <c r="BN585" s="279"/>
      <c r="BO585" s="279"/>
      <c r="BP585" s="279"/>
      <c r="BQ585" s="279"/>
      <c r="BR585" s="279"/>
      <c r="BS585" s="279"/>
      <c r="BT585" s="279"/>
      <c r="BU585" s="279"/>
      <c r="BV585" s="279"/>
      <c r="BW585" s="279"/>
      <c r="BX585" s="279"/>
      <c r="BY585" s="279"/>
      <c r="BZ585" s="279"/>
      <c r="CA585" s="279"/>
      <c r="CB585" s="279"/>
      <c r="CC585" s="279"/>
      <c r="CD585" s="279"/>
      <c r="CE585" s="279"/>
      <c r="CF585" s="279"/>
      <c r="CG585" s="279"/>
      <c r="CH585" s="279"/>
      <c r="CI585" s="279"/>
      <c r="CJ585" s="279"/>
      <c r="CK585" s="279"/>
      <c r="CL585" s="279"/>
      <c r="CM585" s="279"/>
      <c r="CN585" s="382"/>
    </row>
    <row r="586" x14ac:dyDescent="0.3">
      <c r="B586" s="361"/>
      <c r="C586" s="279"/>
      <c r="D586" s="280"/>
      <c r="E586" s="287"/>
      <c r="F586" s="287"/>
      <c r="G586" s="287"/>
      <c r="H586" s="1292">
        <f t="shared" si="19"/>
        <v>35</v>
      </c>
      <c r="I586" s="1190" t="str">
        <f t="shared" si="21"/>
        <v/>
      </c>
      <c r="J586" s="1295" t="str">
        <f>IF('I. Stream &amp; Compound Data'!AN296&lt;&gt;"",'I. Stream &amp; Compound Data'!AN296,"")</f>
        <v/>
      </c>
      <c r="K586" s="1312" t="str">
        <f t="shared" si="23"/>
        <v/>
      </c>
      <c r="L586" s="301" t="str">
        <f t="shared" si="24"/>
        <v/>
      </c>
      <c r="M586" s="287"/>
      <c r="N586" s="296"/>
      <c r="O586" s="280"/>
      <c r="P586" s="280"/>
      <c r="Q586" s="279"/>
      <c r="R586" s="297"/>
      <c r="S586" s="298"/>
      <c r="T586" s="298"/>
      <c r="U586" s="299"/>
      <c r="V586" s="279"/>
      <c r="W586" s="279"/>
      <c r="X586" s="279"/>
      <c r="Y586" s="279"/>
      <c r="Z586" s="279"/>
      <c r="AA586" s="279"/>
      <c r="AB586" s="279"/>
      <c r="AC586" s="279"/>
      <c r="AD586" s="279"/>
      <c r="AE586" s="279"/>
      <c r="AF586" s="279"/>
      <c r="AG586" s="279"/>
      <c r="AH586" s="279"/>
      <c r="AI586" s="279"/>
      <c r="AJ586" s="279"/>
      <c r="AK586" s="279"/>
      <c r="AL586" s="279"/>
      <c r="AM586" s="279"/>
      <c r="AN586" s="279"/>
      <c r="AO586" s="279"/>
      <c r="AP586" s="279"/>
      <c r="AQ586" s="279"/>
      <c r="AR586" s="279"/>
      <c r="AS586" s="279"/>
      <c r="AT586" s="279"/>
      <c r="AU586" s="279"/>
      <c r="AV586" s="279"/>
      <c r="AW586" s="279"/>
      <c r="AX586" s="279"/>
      <c r="AY586" s="279"/>
      <c r="AZ586" s="279"/>
      <c r="BA586" s="279"/>
      <c r="BB586" s="279"/>
      <c r="BC586" s="279"/>
      <c r="BD586" s="279"/>
      <c r="BE586" s="279"/>
      <c r="BF586" s="279"/>
      <c r="BG586" s="279"/>
      <c r="BH586" s="279"/>
      <c r="BI586" s="279"/>
      <c r="BJ586" s="279"/>
      <c r="BK586" s="279"/>
      <c r="BL586" s="279"/>
      <c r="BM586" s="279"/>
      <c r="BN586" s="279"/>
      <c r="BO586" s="279"/>
      <c r="BP586" s="279"/>
      <c r="BQ586" s="279"/>
      <c r="BR586" s="279"/>
      <c r="BS586" s="279"/>
      <c r="BT586" s="279"/>
      <c r="BU586" s="279"/>
      <c r="BV586" s="279"/>
      <c r="BW586" s="279"/>
      <c r="BX586" s="279"/>
      <c r="BY586" s="279"/>
      <c r="BZ586" s="279"/>
      <c r="CA586" s="279"/>
      <c r="CB586" s="279"/>
      <c r="CC586" s="279"/>
      <c r="CD586" s="279"/>
      <c r="CE586" s="279"/>
      <c r="CF586" s="279"/>
      <c r="CG586" s="279"/>
      <c r="CH586" s="279"/>
      <c r="CI586" s="279"/>
      <c r="CJ586" s="279"/>
      <c r="CK586" s="279"/>
      <c r="CL586" s="279"/>
      <c r="CM586" s="279"/>
      <c r="CN586" s="382"/>
    </row>
    <row r="587" x14ac:dyDescent="0.3">
      <c r="B587" s="361"/>
      <c r="C587" s="279"/>
      <c r="D587" s="280"/>
      <c r="E587" s="287"/>
      <c r="F587" s="287"/>
      <c r="G587" s="287"/>
      <c r="H587" s="1292">
        <f t="shared" si="19"/>
        <v>36</v>
      </c>
      <c r="I587" s="1190" t="str">
        <f t="shared" si="21"/>
        <v/>
      </c>
      <c r="J587" s="1295" t="str">
        <f>IF('I. Stream &amp; Compound Data'!AN297&lt;&gt;"",'I. Stream &amp; Compound Data'!AN297,"")</f>
        <v/>
      </c>
      <c r="K587" s="1312" t="str">
        <f t="shared" si="23"/>
        <v/>
      </c>
      <c r="L587" s="301" t="str">
        <f t="shared" si="24"/>
        <v/>
      </c>
      <c r="M587" s="287"/>
      <c r="N587" s="296"/>
      <c r="O587" s="280"/>
      <c r="P587" s="280"/>
      <c r="Q587" s="279"/>
      <c r="R587" s="297"/>
      <c r="S587" s="298"/>
      <c r="T587" s="298"/>
      <c r="U587" s="299"/>
      <c r="V587" s="279"/>
      <c r="W587" s="279"/>
      <c r="X587" s="279"/>
      <c r="Y587" s="279"/>
      <c r="Z587" s="279"/>
      <c r="AA587" s="279"/>
      <c r="AB587" s="279"/>
      <c r="AC587" s="279"/>
      <c r="AD587" s="279"/>
      <c r="AE587" s="279"/>
      <c r="AF587" s="279"/>
      <c r="AG587" s="279"/>
      <c r="AH587" s="279"/>
      <c r="AI587" s="279"/>
      <c r="AJ587" s="279"/>
      <c r="AK587" s="279"/>
      <c r="AL587" s="279"/>
      <c r="AM587" s="279"/>
      <c r="AN587" s="279"/>
      <c r="AO587" s="279"/>
      <c r="AP587" s="279"/>
      <c r="AQ587" s="279"/>
      <c r="AR587" s="279"/>
      <c r="AS587" s="279"/>
      <c r="AT587" s="279"/>
      <c r="AU587" s="279"/>
      <c r="AV587" s="279"/>
      <c r="AW587" s="279"/>
      <c r="AX587" s="279"/>
      <c r="AY587" s="279"/>
      <c r="AZ587" s="279"/>
      <c r="BA587" s="279"/>
      <c r="BB587" s="279"/>
      <c r="BC587" s="279"/>
      <c r="BD587" s="279"/>
      <c r="BE587" s="279"/>
      <c r="BF587" s="279"/>
      <c r="BG587" s="279"/>
      <c r="BH587" s="279"/>
      <c r="BI587" s="279"/>
      <c r="BJ587" s="279"/>
      <c r="BK587" s="279"/>
      <c r="BL587" s="279"/>
      <c r="BM587" s="279"/>
      <c r="BN587" s="279"/>
      <c r="BO587" s="279"/>
      <c r="BP587" s="279"/>
      <c r="BQ587" s="279"/>
      <c r="BR587" s="279"/>
      <c r="BS587" s="279"/>
      <c r="BT587" s="279"/>
      <c r="BU587" s="279"/>
      <c r="BV587" s="279"/>
      <c r="BW587" s="279"/>
      <c r="BX587" s="279"/>
      <c r="BY587" s="279"/>
      <c r="BZ587" s="279"/>
      <c r="CA587" s="279"/>
      <c r="CB587" s="279"/>
      <c r="CC587" s="279"/>
      <c r="CD587" s="279"/>
      <c r="CE587" s="279"/>
      <c r="CF587" s="279"/>
      <c r="CG587" s="279"/>
      <c r="CH587" s="279"/>
      <c r="CI587" s="279"/>
      <c r="CJ587" s="279"/>
      <c r="CK587" s="279"/>
      <c r="CL587" s="279"/>
      <c r="CM587" s="279"/>
      <c r="CN587" s="382"/>
    </row>
    <row r="588" x14ac:dyDescent="0.3">
      <c r="B588" s="361"/>
      <c r="C588" s="279"/>
      <c r="D588" s="280"/>
      <c r="E588" s="287"/>
      <c r="F588" s="287"/>
      <c r="G588" s="287"/>
      <c r="H588" s="1292">
        <f t="shared" si="19"/>
        <v>37</v>
      </c>
      <c r="I588" s="1190" t="str">
        <f t="shared" si="21"/>
        <v/>
      </c>
      <c r="J588" s="1295" t="str">
        <f>IF('I. Stream &amp; Compound Data'!AN298&lt;&gt;"",'I. Stream &amp; Compound Data'!AN298,"")</f>
        <v/>
      </c>
      <c r="K588" s="1312" t="str">
        <f t="shared" si="23"/>
        <v/>
      </c>
      <c r="L588" s="301" t="str">
        <f t="shared" si="24"/>
        <v/>
      </c>
      <c r="M588" s="287"/>
      <c r="N588" s="296"/>
      <c r="O588" s="280"/>
      <c r="P588" s="280"/>
      <c r="Q588" s="279"/>
      <c r="R588" s="297"/>
      <c r="S588" s="298"/>
      <c r="T588" s="298"/>
      <c r="U588" s="299"/>
      <c r="V588" s="279"/>
      <c r="W588" s="279"/>
      <c r="X588" s="279"/>
      <c r="Y588" s="279"/>
      <c r="Z588" s="279"/>
      <c r="AA588" s="279"/>
      <c r="AB588" s="279"/>
      <c r="AC588" s="279"/>
      <c r="AD588" s="279"/>
      <c r="AE588" s="279"/>
      <c r="AF588" s="279"/>
      <c r="AG588" s="279"/>
      <c r="AH588" s="279"/>
      <c r="AI588" s="279"/>
      <c r="AJ588" s="279"/>
      <c r="AK588" s="279"/>
      <c r="AL588" s="279"/>
      <c r="AM588" s="279"/>
      <c r="AN588" s="279"/>
      <c r="AO588" s="279"/>
      <c r="AP588" s="279"/>
      <c r="AQ588" s="279"/>
      <c r="AR588" s="279"/>
      <c r="AS588" s="279"/>
      <c r="AT588" s="279"/>
      <c r="AU588" s="279"/>
      <c r="AV588" s="279"/>
      <c r="AW588" s="279"/>
      <c r="AX588" s="279"/>
      <c r="AY588" s="279"/>
      <c r="AZ588" s="279"/>
      <c r="BA588" s="279"/>
      <c r="BB588" s="279"/>
      <c r="BC588" s="279"/>
      <c r="BD588" s="279"/>
      <c r="BE588" s="279"/>
      <c r="BF588" s="279"/>
      <c r="BG588" s="279"/>
      <c r="BH588" s="279"/>
      <c r="BI588" s="279"/>
      <c r="BJ588" s="279"/>
      <c r="BK588" s="279"/>
      <c r="BL588" s="279"/>
      <c r="BM588" s="279"/>
      <c r="BN588" s="279"/>
      <c r="BO588" s="279"/>
      <c r="BP588" s="279"/>
      <c r="BQ588" s="279"/>
      <c r="BR588" s="279"/>
      <c r="BS588" s="279"/>
      <c r="BT588" s="279"/>
      <c r="BU588" s="279"/>
      <c r="BV588" s="279"/>
      <c r="BW588" s="279"/>
      <c r="BX588" s="279"/>
      <c r="BY588" s="279"/>
      <c r="BZ588" s="279"/>
      <c r="CA588" s="279"/>
      <c r="CB588" s="279"/>
      <c r="CC588" s="279"/>
      <c r="CD588" s="279"/>
      <c r="CE588" s="279"/>
      <c r="CF588" s="279"/>
      <c r="CG588" s="279"/>
      <c r="CH588" s="279"/>
      <c r="CI588" s="279"/>
      <c r="CJ588" s="279"/>
      <c r="CK588" s="279"/>
      <c r="CL588" s="279"/>
      <c r="CM588" s="279"/>
      <c r="CN588" s="382"/>
    </row>
    <row r="589" x14ac:dyDescent="0.3">
      <c r="B589" s="361"/>
      <c r="C589" s="279"/>
      <c r="D589" s="280"/>
      <c r="E589" s="287"/>
      <c r="F589" s="287"/>
      <c r="G589" s="287"/>
      <c r="H589" s="1292">
        <f t="shared" si="19"/>
        <v>38</v>
      </c>
      <c r="I589" s="1190" t="str">
        <f t="shared" si="21"/>
        <v/>
      </c>
      <c r="J589" s="1295" t="str">
        <f>IF('I. Stream &amp; Compound Data'!AN299&lt;&gt;"",'I. Stream &amp; Compound Data'!AN299,"")</f>
        <v/>
      </c>
      <c r="K589" s="1312" t="str">
        <f t="shared" si="23"/>
        <v/>
      </c>
      <c r="L589" s="301" t="str">
        <f t="shared" si="24"/>
        <v/>
      </c>
      <c r="M589" s="287"/>
      <c r="N589" s="296"/>
      <c r="O589" s="280"/>
      <c r="P589" s="280"/>
      <c r="Q589" s="279"/>
      <c r="R589" s="297"/>
      <c r="S589" s="298"/>
      <c r="T589" s="298"/>
      <c r="U589" s="299"/>
      <c r="V589" s="279"/>
      <c r="W589" s="279"/>
      <c r="X589" s="279"/>
      <c r="Y589" s="279"/>
      <c r="Z589" s="279"/>
      <c r="AA589" s="279"/>
      <c r="AB589" s="279"/>
      <c r="AC589" s="279"/>
      <c r="AD589" s="279"/>
      <c r="AE589" s="279"/>
      <c r="AF589" s="279"/>
      <c r="AG589" s="279"/>
      <c r="AH589" s="279"/>
      <c r="AI589" s="279"/>
      <c r="AJ589" s="279"/>
      <c r="AK589" s="279"/>
      <c r="AL589" s="279"/>
      <c r="AM589" s="279"/>
      <c r="AN589" s="279"/>
      <c r="AO589" s="279"/>
      <c r="AP589" s="279"/>
      <c r="AQ589" s="279"/>
      <c r="AR589" s="279"/>
      <c r="AS589" s="279"/>
      <c r="AT589" s="279"/>
      <c r="AU589" s="279"/>
      <c r="AV589" s="279"/>
      <c r="AW589" s="279"/>
      <c r="AX589" s="279"/>
      <c r="AY589" s="279"/>
      <c r="AZ589" s="279"/>
      <c r="BA589" s="279"/>
      <c r="BB589" s="279"/>
      <c r="BC589" s="279"/>
      <c r="BD589" s="279"/>
      <c r="BE589" s="279"/>
      <c r="BF589" s="279"/>
      <c r="BG589" s="279"/>
      <c r="BH589" s="279"/>
      <c r="BI589" s="279"/>
      <c r="BJ589" s="279"/>
      <c r="BK589" s="279"/>
      <c r="BL589" s="279"/>
      <c r="BM589" s="279"/>
      <c r="BN589" s="279"/>
      <c r="BO589" s="279"/>
      <c r="BP589" s="279"/>
      <c r="BQ589" s="279"/>
      <c r="BR589" s="279"/>
      <c r="BS589" s="279"/>
      <c r="BT589" s="279"/>
      <c r="BU589" s="279"/>
      <c r="BV589" s="279"/>
      <c r="BW589" s="279"/>
      <c r="BX589" s="279"/>
      <c r="BY589" s="279"/>
      <c r="BZ589" s="279"/>
      <c r="CA589" s="279"/>
      <c r="CB589" s="279"/>
      <c r="CC589" s="279"/>
      <c r="CD589" s="279"/>
      <c r="CE589" s="279"/>
      <c r="CF589" s="279"/>
      <c r="CG589" s="279"/>
      <c r="CH589" s="279"/>
      <c r="CI589" s="279"/>
      <c r="CJ589" s="279"/>
      <c r="CK589" s="279"/>
      <c r="CL589" s="279"/>
      <c r="CM589" s="279"/>
      <c r="CN589" s="382"/>
    </row>
    <row r="590" x14ac:dyDescent="0.3">
      <c r="B590" s="361"/>
      <c r="C590" s="279"/>
      <c r="D590" s="280"/>
      <c r="E590" s="287"/>
      <c r="F590" s="287"/>
      <c r="G590" s="287"/>
      <c r="H590" s="1292">
        <f t="shared" si="19"/>
        <v>39</v>
      </c>
      <c r="I590" s="1190" t="str">
        <f t="shared" si="21"/>
        <v/>
      </c>
      <c r="J590" s="1295" t="str">
        <f>IF('I. Stream &amp; Compound Data'!AN300&lt;&gt;"",'I. Stream &amp; Compound Data'!AN300,"")</f>
        <v/>
      </c>
      <c r="K590" s="1312" t="str">
        <f t="shared" si="23"/>
        <v/>
      </c>
      <c r="L590" s="301" t="str">
        <f t="shared" si="24"/>
        <v/>
      </c>
      <c r="M590" s="287"/>
      <c r="N590" s="296"/>
      <c r="O590" s="280"/>
      <c r="P590" s="280"/>
      <c r="Q590" s="279"/>
      <c r="R590" s="297"/>
      <c r="S590" s="298"/>
      <c r="T590" s="298"/>
      <c r="U590" s="299"/>
      <c r="V590" s="279"/>
      <c r="W590" s="279"/>
      <c r="X590" s="279"/>
      <c r="Y590" s="279"/>
      <c r="Z590" s="279"/>
      <c r="AA590" s="279"/>
      <c r="AB590" s="279"/>
      <c r="AC590" s="279"/>
      <c r="AD590" s="279"/>
      <c r="AE590" s="279"/>
      <c r="AF590" s="279"/>
      <c r="AG590" s="279"/>
      <c r="AH590" s="279"/>
      <c r="AI590" s="279"/>
      <c r="AJ590" s="279"/>
      <c r="AK590" s="279"/>
      <c r="AL590" s="279"/>
      <c r="AM590" s="279"/>
      <c r="AN590" s="279"/>
      <c r="AO590" s="279"/>
      <c r="AP590" s="279"/>
      <c r="AQ590" s="279"/>
      <c r="AR590" s="279"/>
      <c r="AS590" s="279"/>
      <c r="AT590" s="279"/>
      <c r="AU590" s="279"/>
      <c r="AV590" s="279"/>
      <c r="AW590" s="279"/>
      <c r="AX590" s="279"/>
      <c r="AY590" s="279"/>
      <c r="AZ590" s="279"/>
      <c r="BA590" s="279"/>
      <c r="BB590" s="279"/>
      <c r="BC590" s="279"/>
      <c r="BD590" s="279"/>
      <c r="BE590" s="279"/>
      <c r="BF590" s="279"/>
      <c r="BG590" s="279"/>
      <c r="BH590" s="279"/>
      <c r="BI590" s="279"/>
      <c r="BJ590" s="279"/>
      <c r="BK590" s="279"/>
      <c r="BL590" s="279"/>
      <c r="BM590" s="279"/>
      <c r="BN590" s="279"/>
      <c r="BO590" s="279"/>
      <c r="BP590" s="279"/>
      <c r="BQ590" s="279"/>
      <c r="BR590" s="279"/>
      <c r="BS590" s="279"/>
      <c r="BT590" s="279"/>
      <c r="BU590" s="279"/>
      <c r="BV590" s="279"/>
      <c r="BW590" s="279"/>
      <c r="BX590" s="279"/>
      <c r="BY590" s="279"/>
      <c r="BZ590" s="279"/>
      <c r="CA590" s="279"/>
      <c r="CB590" s="279"/>
      <c r="CC590" s="279"/>
      <c r="CD590" s="279"/>
      <c r="CE590" s="279"/>
      <c r="CF590" s="279"/>
      <c r="CG590" s="279"/>
      <c r="CH590" s="279"/>
      <c r="CI590" s="279"/>
      <c r="CJ590" s="279"/>
      <c r="CK590" s="279"/>
      <c r="CL590" s="279"/>
      <c r="CM590" s="279"/>
      <c r="CN590" s="382"/>
    </row>
    <row r="591" x14ac:dyDescent="0.3">
      <c r="B591" s="361"/>
      <c r="C591" s="279"/>
      <c r="D591" s="280"/>
      <c r="E591" s="287"/>
      <c r="F591" s="287"/>
      <c r="G591" s="287"/>
      <c r="H591" s="1292">
        <f t="shared" si="19"/>
        <v>40</v>
      </c>
      <c r="I591" s="1190" t="str">
        <f t="shared" si="21"/>
        <v/>
      </c>
      <c r="J591" s="1295" t="str">
        <f>IF('I. Stream &amp; Compound Data'!AN301&lt;&gt;"",'I. Stream &amp; Compound Data'!AN301,"")</f>
        <v/>
      </c>
      <c r="K591" s="1312" t="str">
        <f t="shared" si="23"/>
        <v/>
      </c>
      <c r="L591" s="301" t="str">
        <f t="shared" si="24"/>
        <v/>
      </c>
      <c r="M591" s="287"/>
      <c r="N591" s="296"/>
      <c r="O591" s="280"/>
      <c r="P591" s="280"/>
      <c r="Q591" s="279"/>
      <c r="R591" s="297"/>
      <c r="S591" s="298"/>
      <c r="T591" s="298"/>
      <c r="U591" s="299"/>
      <c r="V591" s="279"/>
      <c r="W591" s="279"/>
      <c r="X591" s="279"/>
      <c r="Y591" s="279"/>
      <c r="Z591" s="279"/>
      <c r="AA591" s="279"/>
      <c r="AB591" s="279"/>
      <c r="AC591" s="279"/>
      <c r="AD591" s="279"/>
      <c r="AE591" s="279"/>
      <c r="AF591" s="279"/>
      <c r="AG591" s="279"/>
      <c r="AH591" s="279"/>
      <c r="AI591" s="279"/>
      <c r="AJ591" s="279"/>
      <c r="AK591" s="279"/>
      <c r="AL591" s="279"/>
      <c r="AM591" s="279"/>
      <c r="AN591" s="279"/>
      <c r="AO591" s="279"/>
      <c r="AP591" s="279"/>
      <c r="AQ591" s="279"/>
      <c r="AR591" s="279"/>
      <c r="AS591" s="279"/>
      <c r="AT591" s="279"/>
      <c r="AU591" s="279"/>
      <c r="AV591" s="279"/>
      <c r="AW591" s="279"/>
      <c r="AX591" s="279"/>
      <c r="AY591" s="279"/>
      <c r="AZ591" s="279"/>
      <c r="BA591" s="279"/>
      <c r="BB591" s="279"/>
      <c r="BC591" s="279"/>
      <c r="BD591" s="279"/>
      <c r="BE591" s="279"/>
      <c r="BF591" s="279"/>
      <c r="BG591" s="279"/>
      <c r="BH591" s="279"/>
      <c r="BI591" s="279"/>
      <c r="BJ591" s="279"/>
      <c r="BK591" s="279"/>
      <c r="BL591" s="279"/>
      <c r="BM591" s="279"/>
      <c r="BN591" s="279"/>
      <c r="BO591" s="279"/>
      <c r="BP591" s="279"/>
      <c r="BQ591" s="279"/>
      <c r="BR591" s="279"/>
      <c r="BS591" s="279"/>
      <c r="BT591" s="279"/>
      <c r="BU591" s="279"/>
      <c r="BV591" s="279"/>
      <c r="BW591" s="279"/>
      <c r="BX591" s="279"/>
      <c r="BY591" s="279"/>
      <c r="BZ591" s="279"/>
      <c r="CA591" s="279"/>
      <c r="CB591" s="279"/>
      <c r="CC591" s="279"/>
      <c r="CD591" s="279"/>
      <c r="CE591" s="279"/>
      <c r="CF591" s="279"/>
      <c r="CG591" s="279"/>
      <c r="CH591" s="279"/>
      <c r="CI591" s="279"/>
      <c r="CJ591" s="279"/>
      <c r="CK591" s="279"/>
      <c r="CL591" s="279"/>
      <c r="CM591" s="279"/>
      <c r="CN591" s="382"/>
    </row>
    <row r="592" x14ac:dyDescent="0.3">
      <c r="B592" s="361"/>
      <c r="C592" s="279"/>
      <c r="D592" s="280"/>
      <c r="E592" s="287"/>
      <c r="F592" s="287"/>
      <c r="G592" s="287"/>
      <c r="H592" s="1292">
        <f t="shared" si="19"/>
        <v>41</v>
      </c>
      <c r="I592" s="1190" t="str">
        <f t="shared" si="21"/>
        <v/>
      </c>
      <c r="J592" s="1295" t="str">
        <f>IF('I. Stream &amp; Compound Data'!AN302&lt;&gt;"",'I. Stream &amp; Compound Data'!AN302,"")</f>
        <v/>
      </c>
      <c r="K592" s="1312" t="str">
        <f t="shared" si="23"/>
        <v/>
      </c>
      <c r="L592" s="301" t="str">
        <f t="shared" si="24"/>
        <v/>
      </c>
      <c r="M592" s="287"/>
      <c r="N592" s="296"/>
      <c r="O592" s="280"/>
      <c r="P592" s="280"/>
      <c r="Q592" s="279"/>
      <c r="R592" s="297"/>
      <c r="S592" s="298"/>
      <c r="T592" s="298"/>
      <c r="U592" s="299"/>
      <c r="V592" s="279"/>
      <c r="W592" s="279"/>
      <c r="X592" s="279"/>
      <c r="Y592" s="279"/>
      <c r="Z592" s="279"/>
      <c r="AA592" s="279"/>
      <c r="AB592" s="279"/>
      <c r="AC592" s="279"/>
      <c r="AD592" s="279"/>
      <c r="AE592" s="279"/>
      <c r="AF592" s="279"/>
      <c r="AG592" s="279"/>
      <c r="AH592" s="279"/>
      <c r="AI592" s="279"/>
      <c r="AJ592" s="279"/>
      <c r="AK592" s="279"/>
      <c r="AL592" s="279"/>
      <c r="AM592" s="279"/>
      <c r="AN592" s="279"/>
      <c r="AO592" s="279"/>
      <c r="AP592" s="279"/>
      <c r="AQ592" s="279"/>
      <c r="AR592" s="279"/>
      <c r="AS592" s="279"/>
      <c r="AT592" s="279"/>
      <c r="AU592" s="279"/>
      <c r="AV592" s="279"/>
      <c r="AW592" s="279"/>
      <c r="AX592" s="279"/>
      <c r="AY592" s="279"/>
      <c r="AZ592" s="279"/>
      <c r="BA592" s="279"/>
      <c r="BB592" s="279"/>
      <c r="BC592" s="279"/>
      <c r="BD592" s="279"/>
      <c r="BE592" s="279"/>
      <c r="BF592" s="279"/>
      <c r="BG592" s="279"/>
      <c r="BH592" s="279"/>
      <c r="BI592" s="279"/>
      <c r="BJ592" s="279"/>
      <c r="BK592" s="279"/>
      <c r="BL592" s="279"/>
      <c r="BM592" s="279"/>
      <c r="BN592" s="279"/>
      <c r="BO592" s="279"/>
      <c r="BP592" s="279"/>
      <c r="BQ592" s="279"/>
      <c r="BR592" s="279"/>
      <c r="BS592" s="279"/>
      <c r="BT592" s="279"/>
      <c r="BU592" s="279"/>
      <c r="BV592" s="279"/>
      <c r="BW592" s="279"/>
      <c r="BX592" s="279"/>
      <c r="BY592" s="279"/>
      <c r="BZ592" s="279"/>
      <c r="CA592" s="279"/>
      <c r="CB592" s="279"/>
      <c r="CC592" s="279"/>
      <c r="CD592" s="279"/>
      <c r="CE592" s="279"/>
      <c r="CF592" s="279"/>
      <c r="CG592" s="279"/>
      <c r="CH592" s="279"/>
      <c r="CI592" s="279"/>
      <c r="CJ592" s="279"/>
      <c r="CK592" s="279"/>
      <c r="CL592" s="279"/>
      <c r="CM592" s="279"/>
      <c r="CN592" s="382"/>
    </row>
    <row r="593" x14ac:dyDescent="0.3">
      <c r="B593" s="361"/>
      <c r="C593" s="279"/>
      <c r="D593" s="280"/>
      <c r="E593" s="287"/>
      <c r="F593" s="287"/>
      <c r="G593" s="287"/>
      <c r="H593" s="1292">
        <f t="shared" si="19"/>
        <v>42</v>
      </c>
      <c r="I593" s="1190" t="str">
        <f t="shared" si="21"/>
        <v/>
      </c>
      <c r="J593" s="1295" t="str">
        <f>IF('I. Stream &amp; Compound Data'!AN303&lt;&gt;"",'I. Stream &amp; Compound Data'!AN303,"")</f>
        <v/>
      </c>
      <c r="K593" s="1312" t="str">
        <f t="shared" si="23"/>
        <v/>
      </c>
      <c r="L593" s="301" t="str">
        <f t="shared" si="24"/>
        <v/>
      </c>
      <c r="M593" s="287"/>
      <c r="N593" s="296"/>
      <c r="O593" s="280"/>
      <c r="P593" s="280"/>
      <c r="Q593" s="279"/>
      <c r="R593" s="297"/>
      <c r="S593" s="298"/>
      <c r="T593" s="298"/>
      <c r="U593" s="299"/>
      <c r="V593" s="279"/>
      <c r="W593" s="279"/>
      <c r="X593" s="279"/>
      <c r="Y593" s="279"/>
      <c r="Z593" s="279"/>
      <c r="AA593" s="279"/>
      <c r="AB593" s="279"/>
      <c r="AC593" s="279"/>
      <c r="AD593" s="279"/>
      <c r="AE593" s="279"/>
      <c r="AF593" s="279"/>
      <c r="AG593" s="279"/>
      <c r="AH593" s="279"/>
      <c r="AI593" s="279"/>
      <c r="AJ593" s="279"/>
      <c r="AK593" s="279"/>
      <c r="AL593" s="279"/>
      <c r="AM593" s="279"/>
      <c r="AN593" s="279"/>
      <c r="AO593" s="279"/>
      <c r="AP593" s="279"/>
      <c r="AQ593" s="279"/>
      <c r="AR593" s="279"/>
      <c r="AS593" s="279"/>
      <c r="AT593" s="279"/>
      <c r="AU593" s="279"/>
      <c r="AV593" s="279"/>
      <c r="AW593" s="279"/>
      <c r="AX593" s="279"/>
      <c r="AY593" s="279"/>
      <c r="AZ593" s="279"/>
      <c r="BA593" s="279"/>
      <c r="BB593" s="279"/>
      <c r="BC593" s="279"/>
      <c r="BD593" s="279"/>
      <c r="BE593" s="279"/>
      <c r="BF593" s="279"/>
      <c r="BG593" s="279"/>
      <c r="BH593" s="279"/>
      <c r="BI593" s="279"/>
      <c r="BJ593" s="279"/>
      <c r="BK593" s="279"/>
      <c r="BL593" s="279"/>
      <c r="BM593" s="279"/>
      <c r="BN593" s="279"/>
      <c r="BO593" s="279"/>
      <c r="BP593" s="279"/>
      <c r="BQ593" s="279"/>
      <c r="BR593" s="279"/>
      <c r="BS593" s="279"/>
      <c r="BT593" s="279"/>
      <c r="BU593" s="279"/>
      <c r="BV593" s="279"/>
      <c r="BW593" s="279"/>
      <c r="BX593" s="279"/>
      <c r="BY593" s="279"/>
      <c r="BZ593" s="279"/>
      <c r="CA593" s="279"/>
      <c r="CB593" s="279"/>
      <c r="CC593" s="279"/>
      <c r="CD593" s="279"/>
      <c r="CE593" s="279"/>
      <c r="CF593" s="279"/>
      <c r="CG593" s="279"/>
      <c r="CH593" s="279"/>
      <c r="CI593" s="279"/>
      <c r="CJ593" s="279"/>
      <c r="CK593" s="279"/>
      <c r="CL593" s="279"/>
      <c r="CM593" s="279"/>
      <c r="CN593" s="382"/>
    </row>
    <row r="594" x14ac:dyDescent="0.3">
      <c r="B594" s="361"/>
      <c r="C594" s="279"/>
      <c r="D594" s="280"/>
      <c r="E594" s="287"/>
      <c r="F594" s="287"/>
      <c r="G594" s="287"/>
      <c r="H594" s="1292">
        <f t="shared" si="19"/>
        <v>43</v>
      </c>
      <c r="I594" s="1190" t="str">
        <f t="shared" si="21"/>
        <v/>
      </c>
      <c r="J594" s="1295" t="str">
        <f>IF('I. Stream &amp; Compound Data'!AN304&lt;&gt;"",'I. Stream &amp; Compound Data'!AN304,"")</f>
        <v/>
      </c>
      <c r="K594" s="1312" t="str">
        <f t="shared" si="23"/>
        <v/>
      </c>
      <c r="L594" s="301" t="str">
        <f t="shared" si="24"/>
        <v/>
      </c>
      <c r="M594" s="287"/>
      <c r="N594" s="296"/>
      <c r="O594" s="280"/>
      <c r="P594" s="280"/>
      <c r="Q594" s="279"/>
      <c r="R594" s="297"/>
      <c r="S594" s="298"/>
      <c r="T594" s="298"/>
      <c r="U594" s="299"/>
      <c r="V594" s="279"/>
      <c r="W594" s="279"/>
      <c r="X594" s="279"/>
      <c r="Y594" s="279"/>
      <c r="Z594" s="279"/>
      <c r="AA594" s="279"/>
      <c r="AB594" s="279"/>
      <c r="AC594" s="279"/>
      <c r="AD594" s="279"/>
      <c r="AE594" s="279"/>
      <c r="AF594" s="279"/>
      <c r="AG594" s="279"/>
      <c r="AH594" s="279"/>
      <c r="AI594" s="279"/>
      <c r="AJ594" s="279"/>
      <c r="AK594" s="279"/>
      <c r="AL594" s="279"/>
      <c r="AM594" s="279"/>
      <c r="AN594" s="279"/>
      <c r="AO594" s="279"/>
      <c r="AP594" s="279"/>
      <c r="AQ594" s="279"/>
      <c r="AR594" s="279"/>
      <c r="AS594" s="279"/>
      <c r="AT594" s="279"/>
      <c r="AU594" s="279"/>
      <c r="AV594" s="279"/>
      <c r="AW594" s="279"/>
      <c r="AX594" s="279"/>
      <c r="AY594" s="279"/>
      <c r="AZ594" s="279"/>
      <c r="BA594" s="279"/>
      <c r="BB594" s="279"/>
      <c r="BC594" s="279"/>
      <c r="BD594" s="279"/>
      <c r="BE594" s="279"/>
      <c r="BF594" s="279"/>
      <c r="BG594" s="279"/>
      <c r="BH594" s="279"/>
      <c r="BI594" s="279"/>
      <c r="BJ594" s="279"/>
      <c r="BK594" s="279"/>
      <c r="BL594" s="279"/>
      <c r="BM594" s="279"/>
      <c r="BN594" s="279"/>
      <c r="BO594" s="279"/>
      <c r="BP594" s="279"/>
      <c r="BQ594" s="279"/>
      <c r="BR594" s="279"/>
      <c r="BS594" s="279"/>
      <c r="BT594" s="279"/>
      <c r="BU594" s="279"/>
      <c r="BV594" s="279"/>
      <c r="BW594" s="279"/>
      <c r="BX594" s="279"/>
      <c r="BY594" s="279"/>
      <c r="BZ594" s="279"/>
      <c r="CA594" s="279"/>
      <c r="CB594" s="279"/>
      <c r="CC594" s="279"/>
      <c r="CD594" s="279"/>
      <c r="CE594" s="279"/>
      <c r="CF594" s="279"/>
      <c r="CG594" s="279"/>
      <c r="CH594" s="279"/>
      <c r="CI594" s="279"/>
      <c r="CJ594" s="279"/>
      <c r="CK594" s="279"/>
      <c r="CL594" s="279"/>
      <c r="CM594" s="279"/>
      <c r="CN594" s="382"/>
    </row>
    <row r="595" x14ac:dyDescent="0.3">
      <c r="B595" s="361"/>
      <c r="C595" s="279"/>
      <c r="D595" s="280"/>
      <c r="E595" s="287"/>
      <c r="F595" s="287"/>
      <c r="G595" s="287"/>
      <c r="H595" s="1292">
        <f t="shared" si="19"/>
        <v>44</v>
      </c>
      <c r="I595" s="1190" t="str">
        <f t="shared" si="21"/>
        <v/>
      </c>
      <c r="J595" s="1295" t="str">
        <f>IF('I. Stream &amp; Compound Data'!AN305&lt;&gt;"",'I. Stream &amp; Compound Data'!AN305,"")</f>
        <v/>
      </c>
      <c r="K595" s="1312" t="str">
        <f t="shared" si="23"/>
        <v/>
      </c>
      <c r="L595" s="301" t="str">
        <f t="shared" si="24"/>
        <v/>
      </c>
      <c r="M595" s="287"/>
      <c r="N595" s="296"/>
      <c r="O595" s="280"/>
      <c r="P595" s="280"/>
      <c r="Q595" s="279"/>
      <c r="R595" s="297"/>
      <c r="S595" s="298"/>
      <c r="T595" s="298"/>
      <c r="U595" s="299"/>
      <c r="V595" s="279"/>
      <c r="W595" s="279"/>
      <c r="X595" s="279"/>
      <c r="Y595" s="279"/>
      <c r="Z595" s="279"/>
      <c r="AA595" s="279"/>
      <c r="AB595" s="279"/>
      <c r="AC595" s="279"/>
      <c r="AD595" s="279"/>
      <c r="AE595" s="279"/>
      <c r="AF595" s="279"/>
      <c r="AG595" s="279"/>
      <c r="AH595" s="279"/>
      <c r="AI595" s="279"/>
      <c r="AJ595" s="279"/>
      <c r="AK595" s="279"/>
      <c r="AL595" s="279"/>
      <c r="AM595" s="279"/>
      <c r="AN595" s="279"/>
      <c r="AO595" s="279"/>
      <c r="AP595" s="279"/>
      <c r="AQ595" s="279"/>
      <c r="AR595" s="279"/>
      <c r="AS595" s="279"/>
      <c r="AT595" s="279"/>
      <c r="AU595" s="279"/>
      <c r="AV595" s="279"/>
      <c r="AW595" s="279"/>
      <c r="AX595" s="279"/>
      <c r="AY595" s="279"/>
      <c r="AZ595" s="279"/>
      <c r="BA595" s="279"/>
      <c r="BB595" s="279"/>
      <c r="BC595" s="279"/>
      <c r="BD595" s="279"/>
      <c r="BE595" s="279"/>
      <c r="BF595" s="279"/>
      <c r="BG595" s="279"/>
      <c r="BH595" s="279"/>
      <c r="BI595" s="279"/>
      <c r="BJ595" s="279"/>
      <c r="BK595" s="279"/>
      <c r="BL595" s="279"/>
      <c r="BM595" s="279"/>
      <c r="BN595" s="279"/>
      <c r="BO595" s="279"/>
      <c r="BP595" s="279"/>
      <c r="BQ595" s="279"/>
      <c r="BR595" s="279"/>
      <c r="BS595" s="279"/>
      <c r="BT595" s="279"/>
      <c r="BU595" s="279"/>
      <c r="BV595" s="279"/>
      <c r="BW595" s="279"/>
      <c r="BX595" s="279"/>
      <c r="BY595" s="279"/>
      <c r="BZ595" s="279"/>
      <c r="CA595" s="279"/>
      <c r="CB595" s="279"/>
      <c r="CC595" s="279"/>
      <c r="CD595" s="279"/>
      <c r="CE595" s="279"/>
      <c r="CF595" s="279"/>
      <c r="CG595" s="279"/>
      <c r="CH595" s="279"/>
      <c r="CI595" s="279"/>
      <c r="CJ595" s="279"/>
      <c r="CK595" s="279"/>
      <c r="CL595" s="279"/>
      <c r="CM595" s="279"/>
      <c r="CN595" s="382"/>
    </row>
    <row r="596" x14ac:dyDescent="0.3">
      <c r="B596" s="361"/>
      <c r="C596" s="279"/>
      <c r="D596" s="280"/>
      <c r="E596" s="287"/>
      <c r="F596" s="287"/>
      <c r="G596" s="287"/>
      <c r="H596" s="1292">
        <f t="shared" si="19"/>
        <v>45</v>
      </c>
      <c r="I596" s="1190" t="str">
        <f t="shared" si="21"/>
        <v/>
      </c>
      <c r="J596" s="1295" t="str">
        <f>IF('I. Stream &amp; Compound Data'!AN306&lt;&gt;"",'I. Stream &amp; Compound Data'!AN306,"")</f>
        <v/>
      </c>
      <c r="K596" s="1312" t="str">
        <f t="shared" si="23"/>
        <v/>
      </c>
      <c r="L596" s="301" t="str">
        <f t="shared" si="24"/>
        <v/>
      </c>
      <c r="M596" s="287"/>
      <c r="N596" s="296"/>
      <c r="O596" s="280"/>
      <c r="P596" s="280"/>
      <c r="Q596" s="279"/>
      <c r="R596" s="297"/>
      <c r="S596" s="298"/>
      <c r="T596" s="298"/>
      <c r="U596" s="299"/>
      <c r="V596" s="279"/>
      <c r="W596" s="279"/>
      <c r="X596" s="279"/>
      <c r="Y596" s="279"/>
      <c r="Z596" s="279"/>
      <c r="AA596" s="279"/>
      <c r="AB596" s="279"/>
      <c r="AC596" s="279"/>
      <c r="AD596" s="279"/>
      <c r="AE596" s="279"/>
      <c r="AF596" s="279"/>
      <c r="AG596" s="279"/>
      <c r="AH596" s="279"/>
      <c r="AI596" s="279"/>
      <c r="AJ596" s="279"/>
      <c r="AK596" s="279"/>
      <c r="AL596" s="279"/>
      <c r="AM596" s="279"/>
      <c r="AN596" s="279"/>
      <c r="AO596" s="279"/>
      <c r="AP596" s="279"/>
      <c r="AQ596" s="279"/>
      <c r="AR596" s="279"/>
      <c r="AS596" s="279"/>
      <c r="AT596" s="279"/>
      <c r="AU596" s="279"/>
      <c r="AV596" s="279"/>
      <c r="AW596" s="279"/>
      <c r="AX596" s="279"/>
      <c r="AY596" s="279"/>
      <c r="AZ596" s="279"/>
      <c r="BA596" s="279"/>
      <c r="BB596" s="279"/>
      <c r="BC596" s="279"/>
      <c r="BD596" s="279"/>
      <c r="BE596" s="279"/>
      <c r="BF596" s="279"/>
      <c r="BG596" s="279"/>
      <c r="BH596" s="279"/>
      <c r="BI596" s="279"/>
      <c r="BJ596" s="279"/>
      <c r="BK596" s="279"/>
      <c r="BL596" s="279"/>
      <c r="BM596" s="279"/>
      <c r="BN596" s="279"/>
      <c r="BO596" s="279"/>
      <c r="BP596" s="279"/>
      <c r="BQ596" s="279"/>
      <c r="BR596" s="279"/>
      <c r="BS596" s="279"/>
      <c r="BT596" s="279"/>
      <c r="BU596" s="279"/>
      <c r="BV596" s="279"/>
      <c r="BW596" s="279"/>
      <c r="BX596" s="279"/>
      <c r="BY596" s="279"/>
      <c r="BZ596" s="279"/>
      <c r="CA596" s="279"/>
      <c r="CB596" s="279"/>
      <c r="CC596" s="279"/>
      <c r="CD596" s="279"/>
      <c r="CE596" s="279"/>
      <c r="CF596" s="279"/>
      <c r="CG596" s="279"/>
      <c r="CH596" s="279"/>
      <c r="CI596" s="279"/>
      <c r="CJ596" s="279"/>
      <c r="CK596" s="279"/>
      <c r="CL596" s="279"/>
      <c r="CM596" s="279"/>
      <c r="CN596" s="382"/>
    </row>
    <row r="597" x14ac:dyDescent="0.3">
      <c r="B597" s="361"/>
      <c r="C597" s="279"/>
      <c r="D597" s="280"/>
      <c r="E597" s="287"/>
      <c r="F597" s="287"/>
      <c r="G597" s="287"/>
      <c r="H597" s="1292">
        <f t="shared" si="19"/>
        <v>46</v>
      </c>
      <c r="I597" s="1190" t="str">
        <f t="shared" si="21"/>
        <v/>
      </c>
      <c r="J597" s="1295" t="str">
        <f>IF('I. Stream &amp; Compound Data'!AN307&lt;&gt;"",'I. Stream &amp; Compound Data'!AN307,"")</f>
        <v/>
      </c>
      <c r="K597" s="1312" t="str">
        <f t="shared" si="23"/>
        <v/>
      </c>
      <c r="L597" s="301" t="str">
        <f t="shared" si="24"/>
        <v/>
      </c>
      <c r="M597" s="287"/>
      <c r="N597" s="296"/>
      <c r="O597" s="280"/>
      <c r="P597" s="280"/>
      <c r="Q597" s="279"/>
      <c r="R597" s="297"/>
      <c r="S597" s="298"/>
      <c r="T597" s="298"/>
      <c r="U597" s="299"/>
      <c r="V597" s="279"/>
      <c r="W597" s="279"/>
      <c r="X597" s="279"/>
      <c r="Y597" s="279"/>
      <c r="Z597" s="279"/>
      <c r="AA597" s="279"/>
      <c r="AB597" s="279"/>
      <c r="AC597" s="279"/>
      <c r="AD597" s="279"/>
      <c r="AE597" s="279"/>
      <c r="AF597" s="279"/>
      <c r="AG597" s="279"/>
      <c r="AH597" s="279"/>
      <c r="AI597" s="279"/>
      <c r="AJ597" s="279"/>
      <c r="AK597" s="279"/>
      <c r="AL597" s="279"/>
      <c r="AM597" s="279"/>
      <c r="AN597" s="279"/>
      <c r="AO597" s="279"/>
      <c r="AP597" s="279"/>
      <c r="AQ597" s="279"/>
      <c r="AR597" s="279"/>
      <c r="AS597" s="279"/>
      <c r="AT597" s="279"/>
      <c r="AU597" s="279"/>
      <c r="AV597" s="279"/>
      <c r="AW597" s="279"/>
      <c r="AX597" s="279"/>
      <c r="AY597" s="279"/>
      <c r="AZ597" s="279"/>
      <c r="BA597" s="279"/>
      <c r="BB597" s="279"/>
      <c r="BC597" s="279"/>
      <c r="BD597" s="279"/>
      <c r="BE597" s="279"/>
      <c r="BF597" s="279"/>
      <c r="BG597" s="279"/>
      <c r="BH597" s="279"/>
      <c r="BI597" s="279"/>
      <c r="BJ597" s="279"/>
      <c r="BK597" s="279"/>
      <c r="BL597" s="279"/>
      <c r="BM597" s="279"/>
      <c r="BN597" s="279"/>
      <c r="BO597" s="279"/>
      <c r="BP597" s="279"/>
      <c r="BQ597" s="279"/>
      <c r="BR597" s="279"/>
      <c r="BS597" s="279"/>
      <c r="BT597" s="279"/>
      <c r="BU597" s="279"/>
      <c r="BV597" s="279"/>
      <c r="BW597" s="279"/>
      <c r="BX597" s="279"/>
      <c r="BY597" s="279"/>
      <c r="BZ597" s="279"/>
      <c r="CA597" s="279"/>
      <c r="CB597" s="279"/>
      <c r="CC597" s="279"/>
      <c r="CD597" s="279"/>
      <c r="CE597" s="279"/>
      <c r="CF597" s="279"/>
      <c r="CG597" s="279"/>
      <c r="CH597" s="279"/>
      <c r="CI597" s="279"/>
      <c r="CJ597" s="279"/>
      <c r="CK597" s="279"/>
      <c r="CL597" s="279"/>
      <c r="CM597" s="279"/>
      <c r="CN597" s="382"/>
    </row>
    <row r="598" x14ac:dyDescent="0.3">
      <c r="B598" s="361"/>
      <c r="C598" s="279"/>
      <c r="D598" s="280"/>
      <c r="E598" s="287"/>
      <c r="F598" s="287"/>
      <c r="G598" s="287"/>
      <c r="H598" s="1292">
        <f t="shared" si="19"/>
        <v>47</v>
      </c>
      <c r="I598" s="1190" t="str">
        <f t="shared" si="21"/>
        <v/>
      </c>
      <c r="J598" s="1295" t="str">
        <f>IF('I. Stream &amp; Compound Data'!AN308&lt;&gt;"",'I. Stream &amp; Compound Data'!AN308,"")</f>
        <v/>
      </c>
      <c r="K598" s="1312" t="str">
        <f t="shared" si="23"/>
        <v/>
      </c>
      <c r="L598" s="301" t="str">
        <f t="shared" si="24"/>
        <v/>
      </c>
      <c r="M598" s="287"/>
      <c r="N598" s="296"/>
      <c r="O598" s="280"/>
      <c r="P598" s="280"/>
      <c r="Q598" s="279"/>
      <c r="R598" s="297"/>
      <c r="S598" s="298"/>
      <c r="T598" s="298"/>
      <c r="U598" s="299"/>
      <c r="V598" s="279"/>
      <c r="W598" s="279"/>
      <c r="X598" s="279"/>
      <c r="Y598" s="279"/>
      <c r="Z598" s="279"/>
      <c r="AA598" s="279"/>
      <c r="AB598" s="279"/>
      <c r="AC598" s="279"/>
      <c r="AD598" s="279"/>
      <c r="AE598" s="279"/>
      <c r="AF598" s="279"/>
      <c r="AG598" s="279"/>
      <c r="AH598" s="279"/>
      <c r="AI598" s="279"/>
      <c r="AJ598" s="279"/>
      <c r="AK598" s="279"/>
      <c r="AL598" s="279"/>
      <c r="AM598" s="279"/>
      <c r="AN598" s="279"/>
      <c r="AO598" s="279"/>
      <c r="AP598" s="279"/>
      <c r="AQ598" s="279"/>
      <c r="AR598" s="279"/>
      <c r="AS598" s="279"/>
      <c r="AT598" s="279"/>
      <c r="AU598" s="279"/>
      <c r="AV598" s="279"/>
      <c r="AW598" s="279"/>
      <c r="AX598" s="279"/>
      <c r="AY598" s="279"/>
      <c r="AZ598" s="279"/>
      <c r="BA598" s="279"/>
      <c r="BB598" s="279"/>
      <c r="BC598" s="279"/>
      <c r="BD598" s="279"/>
      <c r="BE598" s="279"/>
      <c r="BF598" s="279"/>
      <c r="BG598" s="279"/>
      <c r="BH598" s="279"/>
      <c r="BI598" s="279"/>
      <c r="BJ598" s="279"/>
      <c r="BK598" s="279"/>
      <c r="BL598" s="279"/>
      <c r="BM598" s="279"/>
      <c r="BN598" s="279"/>
      <c r="BO598" s="279"/>
      <c r="BP598" s="279"/>
      <c r="BQ598" s="279"/>
      <c r="BR598" s="279"/>
      <c r="BS598" s="279"/>
      <c r="BT598" s="279"/>
      <c r="BU598" s="279"/>
      <c r="BV598" s="279"/>
      <c r="BW598" s="279"/>
      <c r="BX598" s="279"/>
      <c r="BY598" s="279"/>
      <c r="BZ598" s="279"/>
      <c r="CA598" s="279"/>
      <c r="CB598" s="279"/>
      <c r="CC598" s="279"/>
      <c r="CD598" s="279"/>
      <c r="CE598" s="279"/>
      <c r="CF598" s="279"/>
      <c r="CG598" s="279"/>
      <c r="CH598" s="279"/>
      <c r="CI598" s="279"/>
      <c r="CJ598" s="279"/>
      <c r="CK598" s="279"/>
      <c r="CL598" s="279"/>
      <c r="CM598" s="279"/>
      <c r="CN598" s="382"/>
    </row>
    <row r="599" x14ac:dyDescent="0.3">
      <c r="B599" s="361"/>
      <c r="C599" s="279"/>
      <c r="D599" s="280"/>
      <c r="E599" s="287"/>
      <c r="F599" s="287"/>
      <c r="G599" s="287"/>
      <c r="H599" s="1292">
        <f t="shared" si="19"/>
        <v>48</v>
      </c>
      <c r="I599" s="1190" t="str">
        <f t="shared" si="21"/>
        <v/>
      </c>
      <c r="J599" s="1295" t="str">
        <f>IF('I. Stream &amp; Compound Data'!AN309&lt;&gt;"",'I. Stream &amp; Compound Data'!AN309,"")</f>
        <v/>
      </c>
      <c r="K599" s="1312" t="str">
        <f t="shared" si="23"/>
        <v/>
      </c>
      <c r="L599" s="301" t="str">
        <f t="shared" si="24"/>
        <v/>
      </c>
      <c r="M599" s="287"/>
      <c r="N599" s="296"/>
      <c r="O599" s="280"/>
      <c r="P599" s="280"/>
      <c r="Q599" s="279"/>
      <c r="R599" s="297"/>
      <c r="S599" s="298"/>
      <c r="T599" s="298"/>
      <c r="U599" s="299"/>
      <c r="V599" s="279"/>
      <c r="W599" s="279"/>
      <c r="X599" s="279"/>
      <c r="Y599" s="279"/>
      <c r="Z599" s="279"/>
      <c r="AA599" s="279"/>
      <c r="AB599" s="279"/>
      <c r="AC599" s="279"/>
      <c r="AD599" s="279"/>
      <c r="AE599" s="279"/>
      <c r="AF599" s="279"/>
      <c r="AG599" s="279"/>
      <c r="AH599" s="279"/>
      <c r="AI599" s="279"/>
      <c r="AJ599" s="279"/>
      <c r="AK599" s="279"/>
      <c r="AL599" s="279"/>
      <c r="AM599" s="279"/>
      <c r="AN599" s="279"/>
      <c r="AO599" s="279"/>
      <c r="AP599" s="279"/>
      <c r="AQ599" s="279"/>
      <c r="AR599" s="279"/>
      <c r="AS599" s="279"/>
      <c r="AT599" s="279"/>
      <c r="AU599" s="279"/>
      <c r="AV599" s="279"/>
      <c r="AW599" s="279"/>
      <c r="AX599" s="279"/>
      <c r="AY599" s="279"/>
      <c r="AZ599" s="279"/>
      <c r="BA599" s="279"/>
      <c r="BB599" s="279"/>
      <c r="BC599" s="279"/>
      <c r="BD599" s="279"/>
      <c r="BE599" s="279"/>
      <c r="BF599" s="279"/>
      <c r="BG599" s="279"/>
      <c r="BH599" s="279"/>
      <c r="BI599" s="279"/>
      <c r="BJ599" s="279"/>
      <c r="BK599" s="279"/>
      <c r="BL599" s="279"/>
      <c r="BM599" s="279"/>
      <c r="BN599" s="279"/>
      <c r="BO599" s="279"/>
      <c r="BP599" s="279"/>
      <c r="BQ599" s="279"/>
      <c r="BR599" s="279"/>
      <c r="BS599" s="279"/>
      <c r="BT599" s="279"/>
      <c r="BU599" s="279"/>
      <c r="BV599" s="279"/>
      <c r="BW599" s="279"/>
      <c r="BX599" s="279"/>
      <c r="BY599" s="279"/>
      <c r="BZ599" s="279"/>
      <c r="CA599" s="279"/>
      <c r="CB599" s="279"/>
      <c r="CC599" s="279"/>
      <c r="CD599" s="279"/>
      <c r="CE599" s="279"/>
      <c r="CF599" s="279"/>
      <c r="CG599" s="279"/>
      <c r="CH599" s="279"/>
      <c r="CI599" s="279"/>
      <c r="CJ599" s="279"/>
      <c r="CK599" s="279"/>
      <c r="CL599" s="279"/>
      <c r="CM599" s="279"/>
      <c r="CN599" s="382"/>
    </row>
    <row r="600" x14ac:dyDescent="0.3">
      <c r="B600" s="361"/>
      <c r="C600" s="279"/>
      <c r="D600" s="280"/>
      <c r="E600" s="287"/>
      <c r="F600" s="287"/>
      <c r="G600" s="287"/>
      <c r="H600" s="1292">
        <f t="shared" si="19"/>
        <v>49</v>
      </c>
      <c r="I600" s="1190" t="str">
        <f t="shared" si="21"/>
        <v/>
      </c>
      <c r="J600" s="1295" t="str">
        <f>IF('I. Stream &amp; Compound Data'!AN310&lt;&gt;"",'I. Stream &amp; Compound Data'!AN310,"")</f>
        <v/>
      </c>
      <c r="K600" s="1312" t="str">
        <f t="shared" si="23"/>
        <v/>
      </c>
      <c r="L600" s="301" t="str">
        <f t="shared" si="24"/>
        <v/>
      </c>
      <c r="M600" s="287"/>
      <c r="N600" s="296"/>
      <c r="O600" s="280"/>
      <c r="P600" s="280"/>
      <c r="Q600" s="279"/>
      <c r="R600" s="297"/>
      <c r="S600" s="298"/>
      <c r="T600" s="298"/>
      <c r="U600" s="299"/>
      <c r="V600" s="279"/>
      <c r="W600" s="279"/>
      <c r="X600" s="279"/>
      <c r="Y600" s="279"/>
      <c r="Z600" s="279"/>
      <c r="AA600" s="279"/>
      <c r="AB600" s="279"/>
      <c r="AC600" s="279"/>
      <c r="AD600" s="279"/>
      <c r="AE600" s="279"/>
      <c r="AF600" s="279"/>
      <c r="AG600" s="279"/>
      <c r="AH600" s="279"/>
      <c r="AI600" s="279"/>
      <c r="AJ600" s="279"/>
      <c r="AK600" s="279"/>
      <c r="AL600" s="279"/>
      <c r="AM600" s="279"/>
      <c r="AN600" s="279"/>
      <c r="AO600" s="279"/>
      <c r="AP600" s="279"/>
      <c r="AQ600" s="279"/>
      <c r="AR600" s="279"/>
      <c r="AS600" s="279"/>
      <c r="AT600" s="279"/>
      <c r="AU600" s="279"/>
      <c r="AV600" s="279"/>
      <c r="AW600" s="279"/>
      <c r="AX600" s="279"/>
      <c r="AY600" s="279"/>
      <c r="AZ600" s="279"/>
      <c r="BA600" s="279"/>
      <c r="BB600" s="279"/>
      <c r="BC600" s="279"/>
      <c r="BD600" s="279"/>
      <c r="BE600" s="279"/>
      <c r="BF600" s="279"/>
      <c r="BG600" s="279"/>
      <c r="BH600" s="279"/>
      <c r="BI600" s="279"/>
      <c r="BJ600" s="279"/>
      <c r="BK600" s="279"/>
      <c r="BL600" s="279"/>
      <c r="BM600" s="279"/>
      <c r="BN600" s="279"/>
      <c r="BO600" s="279"/>
      <c r="BP600" s="279"/>
      <c r="BQ600" s="279"/>
      <c r="BR600" s="279"/>
      <c r="BS600" s="279"/>
      <c r="BT600" s="279"/>
      <c r="BU600" s="279"/>
      <c r="BV600" s="279"/>
      <c r="BW600" s="279"/>
      <c r="BX600" s="279"/>
      <c r="BY600" s="279"/>
      <c r="BZ600" s="279"/>
      <c r="CA600" s="279"/>
      <c r="CB600" s="279"/>
      <c r="CC600" s="279"/>
      <c r="CD600" s="279"/>
      <c r="CE600" s="279"/>
      <c r="CF600" s="279"/>
      <c r="CG600" s="279"/>
      <c r="CH600" s="279"/>
      <c r="CI600" s="279"/>
      <c r="CJ600" s="279"/>
      <c r="CK600" s="279"/>
      <c r="CL600" s="279"/>
      <c r="CM600" s="279"/>
      <c r="CN600" s="382"/>
    </row>
    <row r="601" ht="16.2" thickBot="true" x14ac:dyDescent="0.35">
      <c r="B601" s="361"/>
      <c r="C601" s="279"/>
      <c r="D601" s="280"/>
      <c r="E601" s="287"/>
      <c r="F601" s="287"/>
      <c r="G601" s="287"/>
      <c r="H601" s="1298">
        <f t="shared" si="19"/>
        <v>50</v>
      </c>
      <c r="I601" s="1259" t="str">
        <f t="shared" si="21"/>
        <v/>
      </c>
      <c r="J601" s="1301" t="str">
        <f>IF('I. Stream &amp; Compound Data'!AN311&lt;&gt;"",'I. Stream &amp; Compound Data'!AN311,"")</f>
        <v/>
      </c>
      <c r="K601" s="1313" t="str">
        <f t="shared" si="23"/>
        <v/>
      </c>
      <c r="L601" s="1314" t="str">
        <f t="shared" si="24"/>
        <v/>
      </c>
      <c r="M601" s="287"/>
      <c r="N601" s="296"/>
      <c r="O601" s="280"/>
      <c r="P601" s="280"/>
      <c r="Q601" s="279"/>
      <c r="R601" s="297"/>
      <c r="S601" s="298"/>
      <c r="T601" s="298"/>
      <c r="U601" s="299"/>
      <c r="V601" s="279"/>
      <c r="W601" s="279"/>
      <c r="X601" s="279"/>
      <c r="Y601" s="279"/>
      <c r="Z601" s="279"/>
      <c r="AA601" s="279"/>
      <c r="AB601" s="279"/>
      <c r="AC601" s="279"/>
      <c r="AD601" s="279"/>
      <c r="AE601" s="279"/>
      <c r="AF601" s="279"/>
      <c r="AG601" s="279"/>
      <c r="AH601" s="279"/>
      <c r="AI601" s="279"/>
      <c r="AJ601" s="279"/>
      <c r="AK601" s="279"/>
      <c r="AL601" s="279"/>
      <c r="AM601" s="279"/>
      <c r="AN601" s="279"/>
      <c r="AO601" s="279"/>
      <c r="AP601" s="279"/>
      <c r="AQ601" s="279"/>
      <c r="AR601" s="279"/>
      <c r="AS601" s="279"/>
      <c r="AT601" s="279"/>
      <c r="AU601" s="279"/>
      <c r="AV601" s="279"/>
      <c r="AW601" s="279"/>
      <c r="AX601" s="279"/>
      <c r="AY601" s="279"/>
      <c r="AZ601" s="279"/>
      <c r="BA601" s="279"/>
      <c r="BB601" s="279"/>
      <c r="BC601" s="279"/>
      <c r="BD601" s="279"/>
      <c r="BE601" s="279"/>
      <c r="BF601" s="279"/>
      <c r="BG601" s="279"/>
      <c r="BH601" s="279"/>
      <c r="BI601" s="279"/>
      <c r="BJ601" s="279"/>
      <c r="BK601" s="279"/>
      <c r="BL601" s="279"/>
      <c r="BM601" s="279"/>
      <c r="BN601" s="279"/>
      <c r="BO601" s="279"/>
      <c r="BP601" s="279"/>
      <c r="BQ601" s="279"/>
      <c r="BR601" s="279"/>
      <c r="BS601" s="279"/>
      <c r="BT601" s="279"/>
      <c r="BU601" s="279"/>
      <c r="BV601" s="279"/>
      <c r="BW601" s="279"/>
      <c r="BX601" s="279"/>
      <c r="BY601" s="279"/>
      <c r="BZ601" s="279"/>
      <c r="CA601" s="279"/>
      <c r="CB601" s="279"/>
      <c r="CC601" s="279"/>
      <c r="CD601" s="279"/>
      <c r="CE601" s="279"/>
      <c r="CF601" s="279"/>
      <c r="CG601" s="279"/>
      <c r="CH601" s="279"/>
      <c r="CI601" s="279"/>
      <c r="CJ601" s="279"/>
      <c r="CK601" s="279"/>
      <c r="CL601" s="279"/>
      <c r="CM601" s="279"/>
      <c r="CN601" s="382"/>
    </row>
    <row r="602" ht="16.2" thickBot="true" x14ac:dyDescent="0.35">
      <c r="B602" s="361"/>
      <c r="C602" s="279"/>
      <c r="D602" s="280"/>
      <c r="E602" s="287"/>
      <c r="F602" s="287"/>
      <c r="G602" s="287"/>
      <c r="H602" s="280"/>
      <c r="I602" s="304"/>
      <c r="J602" s="302" t="s">
        <v>88</v>
      </c>
      <c r="K602" s="1315">
        <f>SUM(K552:K601)</f>
        <v>0</v>
      </c>
      <c r="L602" s="1316">
        <f>SUM(L552:L601)</f>
        <v>2980.7504537999998</v>
      </c>
      <c r="M602" s="287"/>
      <c r="N602" s="296"/>
      <c r="O602" s="280"/>
      <c r="P602" s="280"/>
      <c r="Q602" s="279"/>
      <c r="R602" s="297"/>
      <c r="S602" s="298"/>
      <c r="T602" s="298"/>
      <c r="U602" s="299"/>
      <c r="V602" s="279"/>
      <c r="W602" s="279"/>
      <c r="X602" s="279"/>
      <c r="Y602" s="279"/>
      <c r="Z602" s="279"/>
      <c r="AA602" s="279"/>
      <c r="AB602" s="279"/>
      <c r="AC602" s="279"/>
      <c r="AD602" s="279"/>
      <c r="AE602" s="279"/>
      <c r="AF602" s="279"/>
      <c r="AG602" s="279"/>
      <c r="AH602" s="279"/>
      <c r="AI602" s="279"/>
      <c r="AJ602" s="279"/>
      <c r="AK602" s="279"/>
      <c r="AL602" s="279"/>
      <c r="AM602" s="279"/>
      <c r="AN602" s="279"/>
      <c r="AO602" s="279"/>
      <c r="AP602" s="279"/>
      <c r="AQ602" s="279"/>
      <c r="AR602" s="279"/>
      <c r="AS602" s="279"/>
      <c r="AT602" s="279"/>
      <c r="AU602" s="279"/>
      <c r="AV602" s="279"/>
      <c r="AW602" s="279"/>
      <c r="AX602" s="279"/>
      <c r="AY602" s="279"/>
      <c r="AZ602" s="279"/>
      <c r="BA602" s="279"/>
      <c r="BB602" s="279"/>
      <c r="BC602" s="279"/>
      <c r="BD602" s="279"/>
      <c r="BE602" s="279"/>
      <c r="BF602" s="279"/>
      <c r="BG602" s="279"/>
      <c r="BH602" s="279"/>
      <c r="BI602" s="279"/>
      <c r="BJ602" s="279"/>
      <c r="BK602" s="279"/>
      <c r="BL602" s="279"/>
      <c r="BM602" s="279"/>
      <c r="BN602" s="279"/>
      <c r="BO602" s="279"/>
      <c r="BP602" s="279"/>
      <c r="BQ602" s="279"/>
      <c r="BR602" s="279"/>
      <c r="BS602" s="279"/>
      <c r="BT602" s="279"/>
      <c r="BU602" s="279"/>
      <c r="BV602" s="279"/>
      <c r="BW602" s="279"/>
      <c r="BX602" s="279"/>
      <c r="BY602" s="279"/>
      <c r="BZ602" s="279"/>
      <c r="CA602" s="279"/>
      <c r="CB602" s="279"/>
      <c r="CC602" s="279"/>
      <c r="CD602" s="279"/>
      <c r="CE602" s="279"/>
      <c r="CF602" s="279"/>
      <c r="CG602" s="279"/>
      <c r="CH602" s="279"/>
      <c r="CI602" s="279"/>
      <c r="CJ602" s="279"/>
      <c r="CK602" s="279"/>
      <c r="CL602" s="279"/>
      <c r="CM602" s="279"/>
      <c r="CN602" s="382"/>
    </row>
    <row r="603" x14ac:dyDescent="0.3">
      <c r="B603" s="361"/>
      <c r="C603" s="279"/>
      <c r="D603" s="280"/>
      <c r="E603" s="287"/>
      <c r="F603" s="287"/>
      <c r="G603" s="287"/>
      <c r="H603" s="280"/>
      <c r="I603" s="304"/>
      <c r="J603" s="302"/>
      <c r="K603" s="287"/>
      <c r="L603" s="287"/>
      <c r="M603" s="287"/>
      <c r="N603" s="296"/>
      <c r="O603" s="280"/>
      <c r="P603" s="280"/>
      <c r="Q603" s="279"/>
      <c r="R603" s="297"/>
      <c r="S603" s="298"/>
      <c r="T603" s="298"/>
      <c r="U603" s="299"/>
      <c r="V603" s="279"/>
      <c r="W603" s="279"/>
      <c r="X603" s="279"/>
      <c r="Y603" s="279"/>
      <c r="Z603" s="279"/>
      <c r="AA603" s="279"/>
      <c r="AB603" s="279"/>
      <c r="AC603" s="279"/>
      <c r="AD603" s="279"/>
      <c r="AE603" s="279"/>
      <c r="AF603" s="279"/>
      <c r="AG603" s="279"/>
      <c r="AH603" s="279"/>
      <c r="AI603" s="279"/>
      <c r="AJ603" s="279"/>
      <c r="AK603" s="279"/>
      <c r="AL603" s="279"/>
      <c r="AM603" s="279"/>
      <c r="AN603" s="279"/>
      <c r="AO603" s="279"/>
      <c r="AP603" s="279"/>
      <c r="AQ603" s="279"/>
      <c r="AR603" s="279"/>
      <c r="AS603" s="279"/>
      <c r="AT603" s="279"/>
      <c r="AU603" s="279"/>
      <c r="AV603" s="279"/>
      <c r="AW603" s="279"/>
      <c r="AX603" s="279"/>
      <c r="AY603" s="279"/>
      <c r="AZ603" s="279"/>
      <c r="BA603" s="279"/>
      <c r="BB603" s="279"/>
      <c r="BC603" s="279"/>
      <c r="BD603" s="279"/>
      <c r="BE603" s="279"/>
      <c r="BF603" s="279"/>
      <c r="BG603" s="279"/>
      <c r="BH603" s="279"/>
      <c r="BI603" s="279"/>
      <c r="BJ603" s="279"/>
      <c r="BK603" s="279"/>
      <c r="BL603" s="279"/>
      <c r="BM603" s="279"/>
      <c r="BN603" s="279"/>
      <c r="BO603" s="279"/>
      <c r="BP603" s="279"/>
      <c r="BQ603" s="279"/>
      <c r="BR603" s="279"/>
      <c r="BS603" s="279"/>
      <c r="BT603" s="279"/>
      <c r="BU603" s="279"/>
      <c r="BV603" s="279"/>
      <c r="BW603" s="279"/>
      <c r="BX603" s="279"/>
      <c r="BY603" s="279"/>
      <c r="BZ603" s="279"/>
      <c r="CA603" s="279"/>
      <c r="CB603" s="279"/>
      <c r="CC603" s="279"/>
      <c r="CD603" s="279"/>
      <c r="CE603" s="279"/>
      <c r="CF603" s="279"/>
      <c r="CG603" s="279"/>
      <c r="CH603" s="279"/>
      <c r="CI603" s="279"/>
      <c r="CJ603" s="279"/>
      <c r="CK603" s="279"/>
      <c r="CL603" s="279"/>
      <c r="CM603" s="279"/>
      <c r="CN603" s="382"/>
    </row>
    <row r="604" x14ac:dyDescent="0.3">
      <c r="B604" s="361"/>
      <c r="C604" s="279"/>
      <c r="D604" s="280"/>
      <c r="E604" s="287"/>
      <c r="F604" s="287"/>
      <c r="G604" s="287"/>
      <c r="H604" s="280"/>
      <c r="I604" s="304"/>
      <c r="J604" s="302"/>
      <c r="K604" s="287"/>
      <c r="L604" s="287"/>
      <c r="M604" s="287"/>
      <c r="N604" s="296"/>
      <c r="O604" s="280"/>
      <c r="P604" s="280"/>
      <c r="Q604" s="279"/>
      <c r="R604" s="297"/>
      <c r="S604" s="298"/>
      <c r="T604" s="298"/>
      <c r="U604" s="299"/>
      <c r="V604" s="279"/>
      <c r="W604" s="279"/>
      <c r="X604" s="279"/>
      <c r="Y604" s="279"/>
      <c r="Z604" s="279"/>
      <c r="AA604" s="279"/>
      <c r="AB604" s="279"/>
      <c r="AC604" s="279"/>
      <c r="AD604" s="279"/>
      <c r="AE604" s="279"/>
      <c r="AF604" s="279"/>
      <c r="AG604" s="279"/>
      <c r="AH604" s="279"/>
      <c r="AI604" s="279"/>
      <c r="AJ604" s="279"/>
      <c r="AK604" s="279"/>
      <c r="AL604" s="279"/>
      <c r="AM604" s="279"/>
      <c r="AN604" s="279"/>
      <c r="AO604" s="279"/>
      <c r="AP604" s="279"/>
      <c r="AQ604" s="279"/>
      <c r="AR604" s="279"/>
      <c r="AS604" s="279"/>
      <c r="AT604" s="279"/>
      <c r="AU604" s="279"/>
      <c r="AV604" s="279"/>
      <c r="AW604" s="279"/>
      <c r="AX604" s="279"/>
      <c r="AY604" s="279"/>
      <c r="AZ604" s="279"/>
      <c r="BA604" s="279"/>
      <c r="BB604" s="279"/>
      <c r="BC604" s="279"/>
      <c r="BD604" s="279"/>
      <c r="BE604" s="279"/>
      <c r="BF604" s="279"/>
      <c r="BG604" s="279"/>
      <c r="BH604" s="279"/>
      <c r="BI604" s="279"/>
      <c r="BJ604" s="279"/>
      <c r="BK604" s="279"/>
      <c r="BL604" s="279"/>
      <c r="BM604" s="279"/>
      <c r="BN604" s="279"/>
      <c r="BO604" s="279"/>
      <c r="BP604" s="279"/>
      <c r="BQ604" s="279"/>
      <c r="BR604" s="279"/>
      <c r="BS604" s="279"/>
      <c r="BT604" s="279"/>
      <c r="BU604" s="279"/>
      <c r="BV604" s="279"/>
      <c r="BW604" s="279"/>
      <c r="BX604" s="279"/>
      <c r="BY604" s="279"/>
      <c r="BZ604" s="279"/>
      <c r="CA604" s="279"/>
      <c r="CB604" s="279"/>
      <c r="CC604" s="279"/>
      <c r="CD604" s="279"/>
      <c r="CE604" s="279"/>
      <c r="CF604" s="279"/>
      <c r="CG604" s="279"/>
      <c r="CH604" s="279"/>
      <c r="CI604" s="279"/>
      <c r="CJ604" s="279"/>
      <c r="CK604" s="279"/>
      <c r="CL604" s="279"/>
      <c r="CM604" s="279"/>
      <c r="CN604" s="382"/>
    </row>
    <row r="605" x14ac:dyDescent="0.3">
      <c r="B605" s="361"/>
      <c r="C605" s="279"/>
      <c r="D605" s="280"/>
      <c r="E605" s="287"/>
      <c r="F605" s="287"/>
      <c r="G605" s="287"/>
      <c r="H605" s="280"/>
      <c r="I605" s="304"/>
      <c r="J605" s="279"/>
      <c r="K605" s="280"/>
      <c r="L605" s="362"/>
      <c r="M605" s="287"/>
      <c r="N605" s="296"/>
      <c r="O605" s="280"/>
      <c r="P605" s="280"/>
      <c r="Q605" s="279"/>
      <c r="R605" s="297"/>
      <c r="S605" s="298"/>
      <c r="T605" s="298"/>
      <c r="U605" s="299"/>
      <c r="V605" s="279"/>
      <c r="W605" s="279"/>
      <c r="X605" s="279"/>
      <c r="Y605" s="279"/>
      <c r="Z605" s="279"/>
      <c r="AA605" s="279"/>
      <c r="AB605" s="279"/>
      <c r="AC605" s="279"/>
      <c r="AD605" s="279"/>
      <c r="AE605" s="279"/>
      <c r="AF605" s="279"/>
      <c r="AG605" s="279"/>
      <c r="AH605" s="279"/>
      <c r="AI605" s="279"/>
      <c r="AJ605" s="279"/>
      <c r="AK605" s="279"/>
      <c r="AL605" s="279"/>
      <c r="AM605" s="279"/>
      <c r="AN605" s="279"/>
      <c r="AO605" s="279"/>
      <c r="AP605" s="279"/>
      <c r="AQ605" s="279"/>
      <c r="AR605" s="279"/>
      <c r="AS605" s="279"/>
      <c r="AT605" s="279"/>
      <c r="AU605" s="279"/>
      <c r="AV605" s="279"/>
      <c r="AW605" s="279"/>
      <c r="AX605" s="279"/>
      <c r="AY605" s="279"/>
      <c r="AZ605" s="279"/>
      <c r="BA605" s="279"/>
      <c r="BB605" s="279"/>
      <c r="BC605" s="279"/>
      <c r="BD605" s="279"/>
      <c r="BE605" s="279"/>
      <c r="BF605" s="279"/>
      <c r="BG605" s="279"/>
      <c r="BH605" s="279"/>
      <c r="BI605" s="279"/>
      <c r="BJ605" s="279"/>
      <c r="BK605" s="279"/>
      <c r="BL605" s="279"/>
      <c r="BM605" s="279"/>
      <c r="BN605" s="279"/>
      <c r="BO605" s="279"/>
      <c r="BP605" s="279"/>
      <c r="BQ605" s="279"/>
      <c r="BR605" s="279"/>
      <c r="BS605" s="279"/>
      <c r="BT605" s="279"/>
      <c r="BU605" s="279"/>
      <c r="BV605" s="279"/>
      <c r="BW605" s="279"/>
      <c r="BX605" s="279"/>
      <c r="BY605" s="279"/>
      <c r="BZ605" s="279"/>
      <c r="CA605" s="279"/>
      <c r="CB605" s="279"/>
      <c r="CC605" s="279"/>
      <c r="CD605" s="279"/>
      <c r="CE605" s="279"/>
      <c r="CF605" s="279"/>
      <c r="CG605" s="279"/>
      <c r="CH605" s="279"/>
      <c r="CI605" s="279"/>
      <c r="CJ605" s="279"/>
      <c r="CK605" s="279"/>
      <c r="CL605" s="279"/>
      <c r="CM605" s="279"/>
      <c r="CN605" s="382"/>
    </row>
    <row r="606" x14ac:dyDescent="0.3">
      <c r="B606" s="361"/>
      <c r="C606" s="279"/>
      <c r="D606" s="280"/>
      <c r="E606" s="287"/>
      <c r="F606" s="287"/>
      <c r="G606" s="287"/>
      <c r="H606" s="280"/>
      <c r="I606" s="304"/>
      <c r="J606" s="279"/>
      <c r="K606" s="280"/>
      <c r="L606" s="362"/>
      <c r="M606" s="287"/>
      <c r="N606" s="296"/>
      <c r="O606" s="280"/>
      <c r="P606" s="280"/>
      <c r="Q606" s="279"/>
      <c r="R606" s="297"/>
      <c r="S606" s="298"/>
      <c r="T606" s="298"/>
      <c r="U606" s="299"/>
      <c r="V606" s="279"/>
      <c r="W606" s="279"/>
      <c r="X606" s="279"/>
      <c r="Y606" s="279"/>
      <c r="Z606" s="279"/>
      <c r="AA606" s="279"/>
      <c r="AB606" s="279"/>
      <c r="AC606" s="279"/>
      <c r="AD606" s="279"/>
      <c r="AE606" s="279"/>
      <c r="AF606" s="279"/>
      <c r="AG606" s="279"/>
      <c r="AH606" s="279"/>
      <c r="AI606" s="279"/>
      <c r="AJ606" s="279"/>
      <c r="AK606" s="279"/>
      <c r="AL606" s="279"/>
      <c r="AM606" s="279"/>
      <c r="AN606" s="279"/>
      <c r="AO606" s="279"/>
      <c r="AP606" s="279"/>
      <c r="AQ606" s="279"/>
      <c r="AR606" s="279"/>
      <c r="AS606" s="279"/>
      <c r="AT606" s="279"/>
      <c r="AU606" s="279"/>
      <c r="AV606" s="279"/>
      <c r="AW606" s="279"/>
      <c r="AX606" s="279"/>
      <c r="AY606" s="279"/>
      <c r="AZ606" s="279"/>
      <c r="BA606" s="279"/>
      <c r="BB606" s="279"/>
      <c r="BC606" s="279"/>
      <c r="BD606" s="279"/>
      <c r="BE606" s="279"/>
      <c r="BF606" s="279"/>
      <c r="BG606" s="279"/>
      <c r="BH606" s="279"/>
      <c r="BI606" s="279"/>
      <c r="BJ606" s="279"/>
      <c r="BK606" s="279"/>
      <c r="BL606" s="279"/>
      <c r="BM606" s="279"/>
      <c r="BN606" s="279"/>
      <c r="BO606" s="279"/>
      <c r="BP606" s="279"/>
      <c r="BQ606" s="279"/>
      <c r="BR606" s="279"/>
      <c r="BS606" s="279"/>
      <c r="BT606" s="279"/>
      <c r="BU606" s="279"/>
      <c r="BV606" s="279"/>
      <c r="BW606" s="279"/>
      <c r="BX606" s="279"/>
      <c r="BY606" s="279"/>
      <c r="BZ606" s="279"/>
      <c r="CA606" s="279"/>
      <c r="CB606" s="279"/>
      <c r="CC606" s="279"/>
      <c r="CD606" s="279"/>
      <c r="CE606" s="279"/>
      <c r="CF606" s="279"/>
      <c r="CG606" s="279"/>
      <c r="CH606" s="279"/>
      <c r="CI606" s="279"/>
      <c r="CJ606" s="279"/>
      <c r="CK606" s="279"/>
      <c r="CL606" s="279"/>
      <c r="CM606" s="279"/>
      <c r="CN606" s="382"/>
    </row>
    <row r="607" ht="16.2" thickBot="true" x14ac:dyDescent="0.35">
      <c r="B607" s="361"/>
      <c r="C607" s="279"/>
      <c r="D607" s="280"/>
      <c r="E607" s="287"/>
      <c r="F607" s="287"/>
      <c r="G607" s="287"/>
      <c r="H607" s="280"/>
      <c r="I607" s="304"/>
      <c r="J607" s="279"/>
      <c r="K607" s="280"/>
      <c r="L607" s="362"/>
      <c r="M607" s="287"/>
      <c r="N607" s="296"/>
      <c r="O607" s="280"/>
      <c r="P607" s="280"/>
      <c r="Q607" s="279"/>
      <c r="R607" s="297"/>
      <c r="S607" s="298"/>
      <c r="T607" s="298"/>
      <c r="U607" s="299"/>
      <c r="V607" s="279"/>
      <c r="W607" s="279"/>
      <c r="X607" s="279"/>
      <c r="Y607" s="279"/>
      <c r="Z607" s="279"/>
      <c r="AA607" s="279"/>
      <c r="AB607" s="279"/>
      <c r="AC607" s="279"/>
      <c r="AD607" s="279"/>
      <c r="AE607" s="279"/>
      <c r="AF607" s="279"/>
      <c r="AG607" s="279"/>
      <c r="AH607" s="279"/>
      <c r="AI607" s="279"/>
      <c r="AJ607" s="279"/>
      <c r="AK607" s="279"/>
      <c r="AL607" s="279"/>
      <c r="AM607" s="279"/>
      <c r="AN607" s="279"/>
      <c r="AO607" s="279"/>
      <c r="AP607" s="279"/>
      <c r="AQ607" s="279"/>
      <c r="AR607" s="279"/>
      <c r="AS607" s="279"/>
      <c r="AT607" s="279"/>
      <c r="AU607" s="279"/>
      <c r="AV607" s="279"/>
      <c r="AW607" s="279"/>
      <c r="AX607" s="279"/>
      <c r="AY607" s="279"/>
      <c r="AZ607" s="279"/>
      <c r="BA607" s="279"/>
      <c r="BB607" s="279"/>
      <c r="BC607" s="279"/>
      <c r="BD607" s="279"/>
      <c r="BE607" s="279"/>
      <c r="BF607" s="279"/>
      <c r="BG607" s="279"/>
      <c r="BH607" s="279"/>
      <c r="BI607" s="279"/>
      <c r="BJ607" s="279"/>
      <c r="BK607" s="279"/>
      <c r="BL607" s="279"/>
      <c r="BM607" s="279"/>
      <c r="BN607" s="279"/>
      <c r="BO607" s="279"/>
      <c r="BP607" s="279"/>
      <c r="BQ607" s="279"/>
      <c r="BR607" s="279"/>
      <c r="BS607" s="279"/>
      <c r="BT607" s="279"/>
      <c r="BU607" s="279"/>
      <c r="BV607" s="279"/>
      <c r="BW607" s="279"/>
      <c r="BX607" s="279"/>
      <c r="BY607" s="279"/>
      <c r="BZ607" s="279"/>
      <c r="CA607" s="279"/>
      <c r="CB607" s="279"/>
      <c r="CC607" s="279"/>
      <c r="CD607" s="279"/>
      <c r="CE607" s="279"/>
      <c r="CF607" s="279"/>
      <c r="CG607" s="279"/>
      <c r="CH607" s="279"/>
      <c r="CI607" s="279"/>
      <c r="CJ607" s="279"/>
      <c r="CK607" s="279"/>
      <c r="CL607" s="279"/>
      <c r="CM607" s="279"/>
      <c r="CN607" s="382"/>
    </row>
    <row r="608" ht="27" customHeight="true" thickBot="true" x14ac:dyDescent="0.35">
      <c r="B608" s="361"/>
      <c r="C608" s="279"/>
      <c r="D608" s="280"/>
      <c r="E608" s="287"/>
      <c r="F608" s="287"/>
      <c r="G608" s="287"/>
      <c r="H608" s="1950" t="s">
        <v>383</v>
      </c>
      <c r="I608" s="1951"/>
      <c r="J608" s="1951"/>
      <c r="K608" s="1951"/>
      <c r="L608" s="1952"/>
      <c r="M608" s="287"/>
      <c r="N608" s="296"/>
      <c r="O608" s="280"/>
      <c r="P608" s="280"/>
      <c r="Q608" s="279"/>
      <c r="R608" s="297"/>
      <c r="S608" s="298"/>
      <c r="T608" s="298"/>
      <c r="U608" s="299"/>
      <c r="V608" s="279"/>
      <c r="W608" s="279"/>
      <c r="X608" s="279"/>
      <c r="Y608" s="279"/>
      <c r="Z608" s="279"/>
      <c r="AA608" s="279"/>
      <c r="AB608" s="279"/>
      <c r="AC608" s="279"/>
      <c r="AD608" s="279"/>
      <c r="AE608" s="279"/>
      <c r="AF608" s="279"/>
      <c r="AG608" s="279"/>
      <c r="AH608" s="279"/>
      <c r="AI608" s="279"/>
      <c r="AJ608" s="279"/>
      <c r="AK608" s="279"/>
      <c r="AL608" s="279"/>
      <c r="AM608" s="279"/>
      <c r="AN608" s="279"/>
      <c r="AO608" s="279"/>
      <c r="AP608" s="279"/>
      <c r="AQ608" s="279"/>
      <c r="AR608" s="279"/>
      <c r="AS608" s="279"/>
      <c r="AT608" s="279"/>
      <c r="AU608" s="279"/>
      <c r="AV608" s="279"/>
      <c r="AW608" s="279"/>
      <c r="AX608" s="279"/>
      <c r="AY608" s="279"/>
      <c r="AZ608" s="279"/>
      <c r="BA608" s="279"/>
      <c r="BB608" s="279"/>
      <c r="BC608" s="279"/>
      <c r="BD608" s="279"/>
      <c r="BE608" s="279"/>
      <c r="BF608" s="279"/>
      <c r="BG608" s="279"/>
      <c r="BH608" s="279"/>
      <c r="BI608" s="279"/>
      <c r="BJ608" s="279"/>
      <c r="BK608" s="279"/>
      <c r="BL608" s="279"/>
      <c r="BM608" s="279"/>
      <c r="BN608" s="279"/>
      <c r="BO608" s="279"/>
      <c r="BP608" s="279"/>
      <c r="BQ608" s="279"/>
      <c r="BR608" s="279"/>
      <c r="BS608" s="279"/>
      <c r="BT608" s="279"/>
      <c r="BU608" s="279"/>
      <c r="BV608" s="279"/>
      <c r="BW608" s="279"/>
      <c r="BX608" s="279"/>
      <c r="BY608" s="279"/>
      <c r="BZ608" s="279"/>
      <c r="CA608" s="279"/>
      <c r="CB608" s="279"/>
      <c r="CC608" s="279"/>
      <c r="CD608" s="279"/>
      <c r="CE608" s="279"/>
      <c r="CF608" s="279"/>
      <c r="CG608" s="279"/>
      <c r="CH608" s="279"/>
      <c r="CI608" s="279"/>
      <c r="CJ608" s="279"/>
      <c r="CK608" s="279"/>
      <c r="CL608" s="279"/>
      <c r="CM608" s="279"/>
      <c r="CN608" s="382"/>
    </row>
    <row r="609" x14ac:dyDescent="0.3">
      <c r="B609" s="361"/>
      <c r="C609" s="279"/>
      <c r="D609" s="280"/>
      <c r="E609" s="287"/>
      <c r="F609" s="287"/>
      <c r="G609" s="287"/>
      <c r="H609" s="282" t="s">
        <v>1469</v>
      </c>
      <c r="I609" s="181" t="s">
        <v>289</v>
      </c>
      <c r="J609" s="181" t="s">
        <v>384</v>
      </c>
      <c r="K609" s="1186" t="s">
        <v>385</v>
      </c>
      <c r="L609" s="291" t="s">
        <v>386</v>
      </c>
      <c r="M609" s="287"/>
      <c r="N609" s="296"/>
      <c r="O609" s="280"/>
      <c r="P609" s="280"/>
      <c r="Q609" s="279"/>
      <c r="R609" s="297"/>
      <c r="S609" s="298"/>
      <c r="T609" s="298"/>
      <c r="U609" s="299"/>
      <c r="V609" s="279"/>
      <c r="W609" s="279"/>
      <c r="X609" s="279"/>
      <c r="Y609" s="279"/>
      <c r="Z609" s="279"/>
      <c r="AA609" s="279"/>
      <c r="AB609" s="279"/>
      <c r="AC609" s="279"/>
      <c r="AD609" s="279"/>
      <c r="AE609" s="279"/>
      <c r="AF609" s="279"/>
      <c r="AG609" s="279"/>
      <c r="AH609" s="279"/>
      <c r="AI609" s="279"/>
      <c r="AJ609" s="279"/>
      <c r="AK609" s="279"/>
      <c r="AL609" s="279"/>
      <c r="AM609" s="279"/>
      <c r="AN609" s="279"/>
      <c r="AO609" s="279"/>
      <c r="AP609" s="279"/>
      <c r="AQ609" s="279"/>
      <c r="AR609" s="279"/>
      <c r="AS609" s="279"/>
      <c r="AT609" s="279"/>
      <c r="AU609" s="279"/>
      <c r="AV609" s="279"/>
      <c r="AW609" s="279"/>
      <c r="AX609" s="279"/>
      <c r="AY609" s="279"/>
      <c r="AZ609" s="279"/>
      <c r="BA609" s="279"/>
      <c r="BB609" s="279"/>
      <c r="BC609" s="279"/>
      <c r="BD609" s="279"/>
      <c r="BE609" s="279"/>
      <c r="BF609" s="279"/>
      <c r="BG609" s="279"/>
      <c r="BH609" s="279"/>
      <c r="BI609" s="279"/>
      <c r="BJ609" s="279"/>
      <c r="BK609" s="279"/>
      <c r="BL609" s="279"/>
      <c r="BM609" s="279"/>
      <c r="BN609" s="279"/>
      <c r="BO609" s="279"/>
      <c r="BP609" s="279"/>
      <c r="BQ609" s="279"/>
      <c r="BR609" s="279"/>
      <c r="BS609" s="279"/>
      <c r="BT609" s="279"/>
      <c r="BU609" s="279"/>
      <c r="BV609" s="279"/>
      <c r="BW609" s="279"/>
      <c r="BX609" s="279"/>
      <c r="BY609" s="279"/>
      <c r="BZ609" s="279"/>
      <c r="CA609" s="279"/>
      <c r="CB609" s="279"/>
      <c r="CC609" s="279"/>
      <c r="CD609" s="279"/>
      <c r="CE609" s="279"/>
      <c r="CF609" s="279"/>
      <c r="CG609" s="279"/>
      <c r="CH609" s="279"/>
      <c r="CI609" s="279"/>
      <c r="CJ609" s="279"/>
      <c r="CK609" s="279"/>
      <c r="CL609" s="279"/>
      <c r="CM609" s="279"/>
      <c r="CN609" s="382"/>
    </row>
    <row r="610" ht="19.5" customHeight="true" x14ac:dyDescent="0.3">
      <c r="B610" s="361"/>
      <c r="C610" s="279"/>
      <c r="D610" s="280"/>
      <c r="E610" s="287"/>
      <c r="F610" s="287"/>
      <c r="G610" s="287"/>
      <c r="H610" s="1292">
        <f t="shared" ref="H610:H659" si="25">H142</f>
        <v>1</v>
      </c>
      <c r="I610" s="1190">
        <f>N86</f>
        <v>2980.7504537999998</v>
      </c>
      <c r="J610" s="1295">
        <f>IF('I. Stream &amp; Compound Data'!BO262&lt;&gt;"",'I. Stream &amp; Compound Data'!BO262,IF('I. Stream &amp; Compound Data'!BP262&lt;&gt;"",'I. Stream &amp; Compound Data'!BP262,""))</f>
        <v>0</v>
      </c>
      <c r="K610" s="1295">
        <f t="shared" ref="K610:K628" si="26">IF(I142="","",I610*J610)</f>
        <v>0</v>
      </c>
      <c r="L610" s="1317">
        <f>I610</f>
        <v>2980.7504537999998</v>
      </c>
      <c r="M610" s="287"/>
      <c r="N610" s="296"/>
      <c r="O610" s="280"/>
      <c r="P610" s="280"/>
      <c r="Q610" s="279"/>
      <c r="R610" s="297"/>
      <c r="S610" s="298"/>
      <c r="T610" s="298"/>
      <c r="U610" s="299"/>
      <c r="V610" s="279"/>
      <c r="W610" s="279"/>
      <c r="X610" s="279"/>
      <c r="Y610" s="279"/>
      <c r="Z610" s="279"/>
      <c r="AA610" s="279"/>
      <c r="AB610" s="279"/>
      <c r="AC610" s="279"/>
      <c r="AD610" s="279"/>
      <c r="AE610" s="279"/>
      <c r="AF610" s="279"/>
      <c r="AG610" s="279"/>
      <c r="AH610" s="279"/>
      <c r="AI610" s="279"/>
      <c r="AJ610" s="279"/>
      <c r="AK610" s="279"/>
      <c r="AL610" s="279"/>
      <c r="AM610" s="279"/>
      <c r="AN610" s="279"/>
      <c r="AO610" s="279"/>
      <c r="AP610" s="279"/>
      <c r="AQ610" s="279"/>
      <c r="AR610" s="279"/>
      <c r="AS610" s="279"/>
      <c r="AT610" s="279"/>
      <c r="AU610" s="279"/>
      <c r="AV610" s="279"/>
      <c r="AW610" s="279"/>
      <c r="AX610" s="279"/>
      <c r="AY610" s="279"/>
      <c r="AZ610" s="279"/>
      <c r="BA610" s="279"/>
      <c r="BB610" s="279"/>
      <c r="BC610" s="279"/>
      <c r="BD610" s="279"/>
      <c r="BE610" s="279"/>
      <c r="BF610" s="279"/>
      <c r="BG610" s="279"/>
      <c r="BH610" s="279"/>
      <c r="BI610" s="279"/>
      <c r="BJ610" s="279"/>
      <c r="BK610" s="279"/>
      <c r="BL610" s="279"/>
      <c r="BM610" s="279"/>
      <c r="BN610" s="279"/>
      <c r="BO610" s="279"/>
      <c r="BP610" s="279"/>
      <c r="BQ610" s="279"/>
      <c r="BR610" s="279"/>
      <c r="BS610" s="279"/>
      <c r="BT610" s="279"/>
      <c r="BU610" s="279"/>
      <c r="BV610" s="279"/>
      <c r="BW610" s="279"/>
      <c r="BX610" s="279"/>
      <c r="BY610" s="279"/>
      <c r="BZ610" s="279"/>
      <c r="CA610" s="279"/>
      <c r="CB610" s="279"/>
      <c r="CC610" s="279"/>
      <c r="CD610" s="279"/>
      <c r="CE610" s="279"/>
      <c r="CF610" s="279"/>
      <c r="CG610" s="279"/>
      <c r="CH610" s="279"/>
      <c r="CI610" s="279"/>
      <c r="CJ610" s="279"/>
      <c r="CK610" s="279"/>
      <c r="CL610" s="279"/>
      <c r="CM610" s="279"/>
      <c r="CN610" s="382"/>
    </row>
    <row r="611" ht="19.5" customHeight="true" x14ac:dyDescent="0.3">
      <c r="B611" s="361"/>
      <c r="C611" s="279"/>
      <c r="D611" s="280"/>
      <c r="E611" s="287"/>
      <c r="F611" s="287"/>
      <c r="G611" s="287"/>
      <c r="H611" s="1292">
        <f t="shared" si="25"/>
        <v>2</v>
      </c>
      <c r="I611" s="1190">
        <f t="shared" ref="I611:I659" si="27">N87</f>
        <v>0</v>
      </c>
      <c r="J611" s="1295">
        <f>IF('I. Stream &amp; Compound Data'!BO263&lt;&gt;"",'I. Stream &amp; Compound Data'!BO263,IF('I. Stream &amp; Compound Data'!BP263&lt;&gt;"",'I. Stream &amp; Compound Data'!BP263,""))</f>
        <v>0</v>
      </c>
      <c r="K611" s="1295">
        <f t="shared" si="26"/>
        <v>0</v>
      </c>
      <c r="L611" s="1317">
        <f t="shared" ref="L611:L628" si="28">I611</f>
        <v>0</v>
      </c>
      <c r="M611" s="287"/>
      <c r="N611" s="296"/>
      <c r="O611" s="280"/>
      <c r="P611" s="280"/>
      <c r="Q611" s="279"/>
      <c r="R611" s="297"/>
      <c r="S611" s="298"/>
      <c r="T611" s="298"/>
      <c r="U611" s="299"/>
      <c r="V611" s="279"/>
      <c r="W611" s="279"/>
      <c r="X611" s="279"/>
      <c r="Y611" s="279"/>
      <c r="Z611" s="279"/>
      <c r="AA611" s="279"/>
      <c r="AB611" s="279"/>
      <c r="AC611" s="279"/>
      <c r="AD611" s="279"/>
      <c r="AE611" s="279"/>
      <c r="AF611" s="279"/>
      <c r="AG611" s="279"/>
      <c r="AH611" s="279"/>
      <c r="AI611" s="279"/>
      <c r="AJ611" s="279"/>
      <c r="AK611" s="279"/>
      <c r="AL611" s="279"/>
      <c r="AM611" s="279"/>
      <c r="AN611" s="279"/>
      <c r="AO611" s="279"/>
      <c r="AP611" s="279"/>
      <c r="AQ611" s="279"/>
      <c r="AR611" s="279"/>
      <c r="AS611" s="279"/>
      <c r="AT611" s="279"/>
      <c r="AU611" s="279"/>
      <c r="AV611" s="279"/>
      <c r="AW611" s="279"/>
      <c r="AX611" s="279"/>
      <c r="AY611" s="279"/>
      <c r="AZ611" s="279"/>
      <c r="BA611" s="279"/>
      <c r="BB611" s="279"/>
      <c r="BC611" s="279"/>
      <c r="BD611" s="279"/>
      <c r="BE611" s="279"/>
      <c r="BF611" s="279"/>
      <c r="BG611" s="279"/>
      <c r="BH611" s="279"/>
      <c r="BI611" s="279"/>
      <c r="BJ611" s="279"/>
      <c r="BK611" s="279"/>
      <c r="BL611" s="279"/>
      <c r="BM611" s="279"/>
      <c r="BN611" s="279"/>
      <c r="BO611" s="279"/>
      <c r="BP611" s="279"/>
      <c r="BQ611" s="279"/>
      <c r="BR611" s="279"/>
      <c r="BS611" s="279"/>
      <c r="BT611" s="279"/>
      <c r="BU611" s="279"/>
      <c r="BV611" s="279"/>
      <c r="BW611" s="279"/>
      <c r="BX611" s="279"/>
      <c r="BY611" s="279"/>
      <c r="BZ611" s="279"/>
      <c r="CA611" s="279"/>
      <c r="CB611" s="279"/>
      <c r="CC611" s="279"/>
      <c r="CD611" s="279"/>
      <c r="CE611" s="279"/>
      <c r="CF611" s="279"/>
      <c r="CG611" s="279"/>
      <c r="CH611" s="279"/>
      <c r="CI611" s="279"/>
      <c r="CJ611" s="279"/>
      <c r="CK611" s="279"/>
      <c r="CL611" s="279"/>
      <c r="CM611" s="279"/>
      <c r="CN611" s="382"/>
    </row>
    <row r="612" ht="19.5" customHeight="true" x14ac:dyDescent="0.3">
      <c r="B612" s="361"/>
      <c r="C612" s="279"/>
      <c r="D612" s="280"/>
      <c r="E612" s="287"/>
      <c r="F612" s="287"/>
      <c r="G612" s="287"/>
      <c r="H612" s="1292">
        <f t="shared" si="25"/>
        <v>3</v>
      </c>
      <c r="I612" s="1190">
        <f t="shared" si="27"/>
        <v>0</v>
      </c>
      <c r="J612" s="1295">
        <f>IF('I. Stream &amp; Compound Data'!BO264&lt;&gt;"",'I. Stream &amp; Compound Data'!BO264,IF('I. Stream &amp; Compound Data'!BP264&lt;&gt;"",'I. Stream &amp; Compound Data'!BP264,""))</f>
        <v>0</v>
      </c>
      <c r="K612" s="1295">
        <f t="shared" si="26"/>
        <v>0</v>
      </c>
      <c r="L612" s="1317">
        <f t="shared" si="28"/>
        <v>0</v>
      </c>
      <c r="M612" s="287"/>
      <c r="N612" s="296"/>
      <c r="O612" s="280"/>
      <c r="P612" s="280"/>
      <c r="Q612" s="279"/>
      <c r="R612" s="297"/>
      <c r="S612" s="298"/>
      <c r="T612" s="298"/>
      <c r="U612" s="299"/>
      <c r="V612" s="279"/>
      <c r="W612" s="279"/>
      <c r="X612" s="279"/>
      <c r="Y612" s="279"/>
      <c r="Z612" s="279"/>
      <c r="AA612" s="279"/>
      <c r="AB612" s="279"/>
      <c r="AC612" s="279"/>
      <c r="AD612" s="279"/>
      <c r="AE612" s="279"/>
      <c r="AF612" s="279"/>
      <c r="AG612" s="279"/>
      <c r="AH612" s="279"/>
      <c r="AI612" s="279"/>
      <c r="AJ612" s="279"/>
      <c r="AK612" s="279"/>
      <c r="AL612" s="279"/>
      <c r="AM612" s="279"/>
      <c r="AN612" s="279"/>
      <c r="AO612" s="279"/>
      <c r="AP612" s="279"/>
      <c r="AQ612" s="279"/>
      <c r="AR612" s="279"/>
      <c r="AS612" s="279"/>
      <c r="AT612" s="279"/>
      <c r="AU612" s="279"/>
      <c r="AV612" s="279"/>
      <c r="AW612" s="279"/>
      <c r="AX612" s="279"/>
      <c r="AY612" s="279"/>
      <c r="AZ612" s="279"/>
      <c r="BA612" s="279"/>
      <c r="BB612" s="279"/>
      <c r="BC612" s="279"/>
      <c r="BD612" s="279"/>
      <c r="BE612" s="279"/>
      <c r="BF612" s="279"/>
      <c r="BG612" s="279"/>
      <c r="BH612" s="279"/>
      <c r="BI612" s="279"/>
      <c r="BJ612" s="279"/>
      <c r="BK612" s="279"/>
      <c r="BL612" s="279"/>
      <c r="BM612" s="279"/>
      <c r="BN612" s="279"/>
      <c r="BO612" s="279"/>
      <c r="BP612" s="279"/>
      <c r="BQ612" s="279"/>
      <c r="BR612" s="279"/>
      <c r="BS612" s="279"/>
      <c r="BT612" s="279"/>
      <c r="BU612" s="279"/>
      <c r="BV612" s="279"/>
      <c r="BW612" s="279"/>
      <c r="BX612" s="279"/>
      <c r="BY612" s="279"/>
      <c r="BZ612" s="279"/>
      <c r="CA612" s="279"/>
      <c r="CB612" s="279"/>
      <c r="CC612" s="279"/>
      <c r="CD612" s="279"/>
      <c r="CE612" s="279"/>
      <c r="CF612" s="279"/>
      <c r="CG612" s="279"/>
      <c r="CH612" s="279"/>
      <c r="CI612" s="279"/>
      <c r="CJ612" s="279"/>
      <c r="CK612" s="279"/>
      <c r="CL612" s="279"/>
      <c r="CM612" s="279"/>
      <c r="CN612" s="382"/>
    </row>
    <row r="613" ht="19.5" customHeight="true" x14ac:dyDescent="0.3">
      <c r="B613" s="361"/>
      <c r="C613" s="279"/>
      <c r="D613" s="280"/>
      <c r="E613" s="287"/>
      <c r="F613" s="287"/>
      <c r="G613" s="287"/>
      <c r="H613" s="1292">
        <f t="shared" si="25"/>
        <v>4</v>
      </c>
      <c r="I613" s="1190">
        <f t="shared" si="27"/>
        <v>0</v>
      </c>
      <c r="J613" s="1295">
        <f>IF('I. Stream &amp; Compound Data'!BO265&lt;&gt;"",'I. Stream &amp; Compound Data'!BO265,IF('I. Stream &amp; Compound Data'!BP265&lt;&gt;"",'I. Stream &amp; Compound Data'!BP265,""))</f>
        <v>0</v>
      </c>
      <c r="K613" s="1295">
        <f t="shared" si="26"/>
        <v>0</v>
      </c>
      <c r="L613" s="1317">
        <f t="shared" si="28"/>
        <v>0</v>
      </c>
      <c r="M613" s="287"/>
      <c r="N613" s="296"/>
      <c r="O613" s="280"/>
      <c r="P613" s="280"/>
      <c r="Q613" s="279"/>
      <c r="R613" s="297"/>
      <c r="S613" s="298"/>
      <c r="T613" s="298"/>
      <c r="U613" s="299"/>
      <c r="V613" s="279"/>
      <c r="W613" s="279"/>
      <c r="X613" s="279"/>
      <c r="Y613" s="279"/>
      <c r="Z613" s="279"/>
      <c r="AA613" s="279"/>
      <c r="AB613" s="279"/>
      <c r="AC613" s="279"/>
      <c r="AD613" s="279"/>
      <c r="AE613" s="279"/>
      <c r="AF613" s="279"/>
      <c r="AG613" s="279"/>
      <c r="AH613" s="279"/>
      <c r="AI613" s="279"/>
      <c r="AJ613" s="279"/>
      <c r="AK613" s="279"/>
      <c r="AL613" s="279"/>
      <c r="AM613" s="279"/>
      <c r="AN613" s="279"/>
      <c r="AO613" s="279"/>
      <c r="AP613" s="279"/>
      <c r="AQ613" s="279"/>
      <c r="AR613" s="279"/>
      <c r="AS613" s="279"/>
      <c r="AT613" s="279"/>
      <c r="AU613" s="279"/>
      <c r="AV613" s="279"/>
      <c r="AW613" s="279"/>
      <c r="AX613" s="279"/>
      <c r="AY613" s="279"/>
      <c r="AZ613" s="279"/>
      <c r="BA613" s="279"/>
      <c r="BB613" s="279"/>
      <c r="BC613" s="279"/>
      <c r="BD613" s="279"/>
      <c r="BE613" s="279"/>
      <c r="BF613" s="279"/>
      <c r="BG613" s="279"/>
      <c r="BH613" s="279"/>
      <c r="BI613" s="279"/>
      <c r="BJ613" s="279"/>
      <c r="BK613" s="279"/>
      <c r="BL613" s="279"/>
      <c r="BM613" s="279"/>
      <c r="BN613" s="279"/>
      <c r="BO613" s="279"/>
      <c r="BP613" s="279"/>
      <c r="BQ613" s="279"/>
      <c r="BR613" s="279"/>
      <c r="BS613" s="279"/>
      <c r="BT613" s="279"/>
      <c r="BU613" s="279"/>
      <c r="BV613" s="279"/>
      <c r="BW613" s="279"/>
      <c r="BX613" s="279"/>
      <c r="BY613" s="279"/>
      <c r="BZ613" s="279"/>
      <c r="CA613" s="279"/>
      <c r="CB613" s="279"/>
      <c r="CC613" s="279"/>
      <c r="CD613" s="279"/>
      <c r="CE613" s="279"/>
      <c r="CF613" s="279"/>
      <c r="CG613" s="279"/>
      <c r="CH613" s="279"/>
      <c r="CI613" s="279"/>
      <c r="CJ613" s="279"/>
      <c r="CK613" s="279"/>
      <c r="CL613" s="279"/>
      <c r="CM613" s="279"/>
      <c r="CN613" s="382"/>
    </row>
    <row r="614" ht="19.5" customHeight="true" x14ac:dyDescent="0.3">
      <c r="B614" s="361"/>
      <c r="C614" s="279"/>
      <c r="D614" s="280"/>
      <c r="E614" s="287"/>
      <c r="F614" s="287"/>
      <c r="G614" s="287"/>
      <c r="H614" s="1292">
        <f t="shared" si="25"/>
        <v>5</v>
      </c>
      <c r="I614" s="1190" t="str">
        <f t="shared" si="27"/>
        <v/>
      </c>
      <c r="J614" s="1295" t="str">
        <f>IF('I. Stream &amp; Compound Data'!BO266&lt;&gt;"",'I. Stream &amp; Compound Data'!BO266,IF('I. Stream &amp; Compound Data'!BP266&lt;&gt;"",'I. Stream &amp; Compound Data'!BP266,""))</f>
        <v/>
      </c>
      <c r="K614" s="1295" t="str">
        <f t="shared" si="26"/>
        <v/>
      </c>
      <c r="L614" s="1317" t="str">
        <f t="shared" si="28"/>
        <v/>
      </c>
      <c r="M614" s="287"/>
      <c r="N614" s="296"/>
      <c r="O614" s="280"/>
      <c r="P614" s="280"/>
      <c r="Q614" s="279"/>
      <c r="R614" s="297"/>
      <c r="S614" s="298"/>
      <c r="T614" s="298"/>
      <c r="U614" s="299"/>
      <c r="V614" s="279"/>
      <c r="W614" s="279"/>
      <c r="X614" s="279"/>
      <c r="Y614" s="279"/>
      <c r="Z614" s="279"/>
      <c r="AA614" s="279"/>
      <c r="AB614" s="279"/>
      <c r="AC614" s="279"/>
      <c r="AD614" s="279"/>
      <c r="AE614" s="279"/>
      <c r="AF614" s="279"/>
      <c r="AG614" s="279"/>
      <c r="AH614" s="279"/>
      <c r="AI614" s="279"/>
      <c r="AJ614" s="279"/>
      <c r="AK614" s="279"/>
      <c r="AL614" s="279"/>
      <c r="AM614" s="279"/>
      <c r="AN614" s="279"/>
      <c r="AO614" s="279"/>
      <c r="AP614" s="279"/>
      <c r="AQ614" s="279"/>
      <c r="AR614" s="279"/>
      <c r="AS614" s="279"/>
      <c r="AT614" s="279"/>
      <c r="AU614" s="279"/>
      <c r="AV614" s="279"/>
      <c r="AW614" s="279"/>
      <c r="AX614" s="279"/>
      <c r="AY614" s="279"/>
      <c r="AZ614" s="279"/>
      <c r="BA614" s="279"/>
      <c r="BB614" s="279"/>
      <c r="BC614" s="279"/>
      <c r="BD614" s="279"/>
      <c r="BE614" s="279"/>
      <c r="BF614" s="279"/>
      <c r="BG614" s="279"/>
      <c r="BH614" s="279"/>
      <c r="BI614" s="279"/>
      <c r="BJ614" s="279"/>
      <c r="BK614" s="279"/>
      <c r="BL614" s="279"/>
      <c r="BM614" s="279"/>
      <c r="BN614" s="279"/>
      <c r="BO614" s="279"/>
      <c r="BP614" s="279"/>
      <c r="BQ614" s="279"/>
      <c r="BR614" s="279"/>
      <c r="BS614" s="279"/>
      <c r="BT614" s="279"/>
      <c r="BU614" s="279"/>
      <c r="BV614" s="279"/>
      <c r="BW614" s="279"/>
      <c r="BX614" s="279"/>
      <c r="BY614" s="279"/>
      <c r="BZ614" s="279"/>
      <c r="CA614" s="279"/>
      <c r="CB614" s="279"/>
      <c r="CC614" s="279"/>
      <c r="CD614" s="279"/>
      <c r="CE614" s="279"/>
      <c r="CF614" s="279"/>
      <c r="CG614" s="279"/>
      <c r="CH614" s="279"/>
      <c r="CI614" s="279"/>
      <c r="CJ614" s="279"/>
      <c r="CK614" s="279"/>
      <c r="CL614" s="279"/>
      <c r="CM614" s="279"/>
      <c r="CN614" s="382"/>
    </row>
    <row r="615" ht="19.5" customHeight="true" x14ac:dyDescent="0.3">
      <c r="B615" s="361"/>
      <c r="C615" s="279"/>
      <c r="D615" s="280"/>
      <c r="E615" s="287"/>
      <c r="F615" s="287"/>
      <c r="G615" s="287"/>
      <c r="H615" s="1292">
        <f t="shared" si="25"/>
        <v>6</v>
      </c>
      <c r="I615" s="1190" t="str">
        <f t="shared" si="27"/>
        <v/>
      </c>
      <c r="J615" s="1295" t="str">
        <f>IF('I. Stream &amp; Compound Data'!BO267&lt;&gt;"",'I. Stream &amp; Compound Data'!BO267,IF('I. Stream &amp; Compound Data'!BP267&lt;&gt;"",'I. Stream &amp; Compound Data'!BP267,""))</f>
        <v/>
      </c>
      <c r="K615" s="1295" t="str">
        <f t="shared" si="26"/>
        <v/>
      </c>
      <c r="L615" s="1317" t="str">
        <f t="shared" si="28"/>
        <v/>
      </c>
      <c r="M615" s="287"/>
      <c r="N615" s="296"/>
      <c r="O615" s="280"/>
      <c r="P615" s="280"/>
      <c r="Q615" s="279"/>
      <c r="R615" s="297"/>
      <c r="S615" s="298"/>
      <c r="T615" s="298"/>
      <c r="U615" s="299"/>
      <c r="V615" s="279"/>
      <c r="W615" s="279"/>
      <c r="X615" s="279"/>
      <c r="Y615" s="279"/>
      <c r="Z615" s="279"/>
      <c r="AA615" s="279"/>
      <c r="AB615" s="279"/>
      <c r="AC615" s="279"/>
      <c r="AD615" s="279"/>
      <c r="AE615" s="279"/>
      <c r="AF615" s="279"/>
      <c r="AG615" s="279"/>
      <c r="AH615" s="279"/>
      <c r="AI615" s="279"/>
      <c r="AJ615" s="279"/>
      <c r="AK615" s="279"/>
      <c r="AL615" s="279"/>
      <c r="AM615" s="279"/>
      <c r="AN615" s="279"/>
      <c r="AO615" s="279"/>
      <c r="AP615" s="279"/>
      <c r="AQ615" s="279"/>
      <c r="AR615" s="279"/>
      <c r="AS615" s="279"/>
      <c r="AT615" s="279"/>
      <c r="AU615" s="279"/>
      <c r="AV615" s="279"/>
      <c r="AW615" s="279"/>
      <c r="AX615" s="279"/>
      <c r="AY615" s="279"/>
      <c r="AZ615" s="279"/>
      <c r="BA615" s="279"/>
      <c r="BB615" s="279"/>
      <c r="BC615" s="279"/>
      <c r="BD615" s="279"/>
      <c r="BE615" s="279"/>
      <c r="BF615" s="279"/>
      <c r="BG615" s="279"/>
      <c r="BH615" s="279"/>
      <c r="BI615" s="279"/>
      <c r="BJ615" s="279"/>
      <c r="BK615" s="279"/>
      <c r="BL615" s="279"/>
      <c r="BM615" s="279"/>
      <c r="BN615" s="279"/>
      <c r="BO615" s="279"/>
      <c r="BP615" s="279"/>
      <c r="BQ615" s="279"/>
      <c r="BR615" s="279"/>
      <c r="BS615" s="279"/>
      <c r="BT615" s="279"/>
      <c r="BU615" s="279"/>
      <c r="BV615" s="279"/>
      <c r="BW615" s="279"/>
      <c r="BX615" s="279"/>
      <c r="BY615" s="279"/>
      <c r="BZ615" s="279"/>
      <c r="CA615" s="279"/>
      <c r="CB615" s="279"/>
      <c r="CC615" s="279"/>
      <c r="CD615" s="279"/>
      <c r="CE615" s="279"/>
      <c r="CF615" s="279"/>
      <c r="CG615" s="279"/>
      <c r="CH615" s="279"/>
      <c r="CI615" s="279"/>
      <c r="CJ615" s="279"/>
      <c r="CK615" s="279"/>
      <c r="CL615" s="279"/>
      <c r="CM615" s="279"/>
      <c r="CN615" s="382"/>
    </row>
    <row r="616" ht="19.5" customHeight="true" x14ac:dyDescent="0.3">
      <c r="B616" s="361"/>
      <c r="C616" s="279"/>
      <c r="D616" s="280"/>
      <c r="E616" s="287"/>
      <c r="F616" s="287"/>
      <c r="G616" s="287"/>
      <c r="H616" s="1292">
        <f t="shared" si="25"/>
        <v>7</v>
      </c>
      <c r="I616" s="1190" t="str">
        <f t="shared" si="27"/>
        <v/>
      </c>
      <c r="J616" s="1295" t="str">
        <f>IF('I. Stream &amp; Compound Data'!BO268&lt;&gt;"",'I. Stream &amp; Compound Data'!BO268,IF('I. Stream &amp; Compound Data'!BP268&lt;&gt;"",'I. Stream &amp; Compound Data'!BP268,""))</f>
        <v/>
      </c>
      <c r="K616" s="1295" t="str">
        <f t="shared" si="26"/>
        <v/>
      </c>
      <c r="L616" s="1317" t="str">
        <f t="shared" si="28"/>
        <v/>
      </c>
      <c r="M616" s="287"/>
      <c r="N616" s="306"/>
      <c r="O616" s="287"/>
      <c r="P616" s="287"/>
      <c r="Q616" s="279"/>
      <c r="R616" s="297"/>
      <c r="S616" s="298"/>
      <c r="T616" s="298"/>
      <c r="U616" s="299"/>
      <c r="V616" s="279"/>
      <c r="W616" s="279"/>
      <c r="X616" s="279"/>
      <c r="Y616" s="279"/>
      <c r="Z616" s="279"/>
      <c r="AA616" s="279"/>
      <c r="AB616" s="279"/>
      <c r="AC616" s="279"/>
      <c r="AD616" s="279"/>
      <c r="AE616" s="279"/>
      <c r="AF616" s="279"/>
      <c r="AG616" s="279"/>
      <c r="AH616" s="279"/>
      <c r="AI616" s="279"/>
      <c r="AJ616" s="279"/>
      <c r="AK616" s="279"/>
      <c r="AL616" s="279"/>
      <c r="AM616" s="279"/>
      <c r="AN616" s="279"/>
      <c r="AO616" s="279"/>
      <c r="AP616" s="279"/>
      <c r="AQ616" s="279"/>
      <c r="AR616" s="279"/>
      <c r="AS616" s="279"/>
      <c r="AT616" s="279"/>
      <c r="AU616" s="279"/>
      <c r="AV616" s="279"/>
      <c r="AW616" s="279"/>
      <c r="AX616" s="279"/>
      <c r="AY616" s="279"/>
      <c r="AZ616" s="279"/>
      <c r="BA616" s="279"/>
      <c r="BB616" s="279"/>
      <c r="BC616" s="279"/>
      <c r="BD616" s="279"/>
      <c r="BE616" s="279"/>
      <c r="BF616" s="279"/>
      <c r="BG616" s="279"/>
      <c r="BH616" s="279"/>
      <c r="BI616" s="279"/>
      <c r="BJ616" s="279"/>
      <c r="BK616" s="279"/>
      <c r="BL616" s="279"/>
      <c r="BM616" s="279"/>
      <c r="BN616" s="279"/>
      <c r="BO616" s="279"/>
      <c r="BP616" s="279"/>
      <c r="BQ616" s="279"/>
      <c r="BR616" s="279"/>
      <c r="BS616" s="279"/>
      <c r="BT616" s="279"/>
      <c r="BU616" s="279"/>
      <c r="BV616" s="279"/>
      <c r="BW616" s="279"/>
      <c r="BX616" s="279"/>
      <c r="BY616" s="279"/>
      <c r="BZ616" s="279"/>
      <c r="CA616" s="279"/>
      <c r="CB616" s="279"/>
      <c r="CC616" s="279"/>
      <c r="CD616" s="279"/>
      <c r="CE616" s="279"/>
      <c r="CF616" s="279"/>
      <c r="CG616" s="279"/>
      <c r="CH616" s="279"/>
      <c r="CI616" s="279"/>
      <c r="CJ616" s="279"/>
      <c r="CK616" s="279"/>
      <c r="CL616" s="279"/>
      <c r="CM616" s="279"/>
      <c r="CN616" s="382"/>
    </row>
    <row r="617" ht="19.5" customHeight="true" x14ac:dyDescent="0.3">
      <c r="B617" s="361"/>
      <c r="C617" s="279"/>
      <c r="D617" s="280"/>
      <c r="E617" s="287"/>
      <c r="F617" s="287"/>
      <c r="G617" s="287"/>
      <c r="H617" s="1292">
        <f t="shared" si="25"/>
        <v>8</v>
      </c>
      <c r="I617" s="1190" t="str">
        <f t="shared" si="27"/>
        <v/>
      </c>
      <c r="J617" s="1295" t="str">
        <f>IF('I. Stream &amp; Compound Data'!BO269&lt;&gt;"",'I. Stream &amp; Compound Data'!BO269,IF('I. Stream &amp; Compound Data'!BP269&lt;&gt;"",'I. Stream &amp; Compound Data'!BP269,""))</f>
        <v/>
      </c>
      <c r="K617" s="1295" t="str">
        <f t="shared" si="26"/>
        <v/>
      </c>
      <c r="L617" s="1317" t="str">
        <f t="shared" si="28"/>
        <v/>
      </c>
      <c r="M617" s="287"/>
      <c r="N617" s="306"/>
      <c r="O617" s="287"/>
      <c r="P617" s="287"/>
      <c r="Q617" s="279"/>
      <c r="R617" s="297"/>
      <c r="S617" s="298"/>
      <c r="T617" s="298"/>
      <c r="U617" s="299"/>
      <c r="V617" s="279"/>
      <c r="W617" s="279"/>
      <c r="X617" s="279"/>
      <c r="Y617" s="279"/>
      <c r="Z617" s="279"/>
      <c r="AA617" s="279"/>
      <c r="AB617" s="279"/>
      <c r="AC617" s="279"/>
      <c r="AD617" s="279"/>
      <c r="AE617" s="279"/>
      <c r="AF617" s="279"/>
      <c r="AG617" s="279"/>
      <c r="AH617" s="279"/>
      <c r="AI617" s="279"/>
      <c r="AJ617" s="279"/>
      <c r="AK617" s="279"/>
      <c r="AL617" s="279"/>
      <c r="AM617" s="279"/>
      <c r="AN617" s="279"/>
      <c r="AO617" s="279"/>
      <c r="AP617" s="279"/>
      <c r="AQ617" s="279"/>
      <c r="AR617" s="279"/>
      <c r="AS617" s="279"/>
      <c r="AT617" s="279"/>
      <c r="AU617" s="279"/>
      <c r="AV617" s="279"/>
      <c r="AW617" s="279"/>
      <c r="AX617" s="279"/>
      <c r="AY617" s="279"/>
      <c r="AZ617" s="279"/>
      <c r="BA617" s="279"/>
      <c r="BB617" s="279"/>
      <c r="BC617" s="279"/>
      <c r="BD617" s="279"/>
      <c r="BE617" s="279"/>
      <c r="BF617" s="279"/>
      <c r="BG617" s="279"/>
      <c r="BH617" s="279"/>
      <c r="BI617" s="279"/>
      <c r="BJ617" s="279"/>
      <c r="BK617" s="279"/>
      <c r="BL617" s="279"/>
      <c r="BM617" s="279"/>
      <c r="BN617" s="279"/>
      <c r="BO617" s="279"/>
      <c r="BP617" s="279"/>
      <c r="BQ617" s="279"/>
      <c r="BR617" s="279"/>
      <c r="BS617" s="279"/>
      <c r="BT617" s="279"/>
      <c r="BU617" s="279"/>
      <c r="BV617" s="279"/>
      <c r="BW617" s="279"/>
      <c r="BX617" s="279"/>
      <c r="BY617" s="279"/>
      <c r="BZ617" s="279"/>
      <c r="CA617" s="279"/>
      <c r="CB617" s="279"/>
      <c r="CC617" s="279"/>
      <c r="CD617" s="279"/>
      <c r="CE617" s="279"/>
      <c r="CF617" s="279"/>
      <c r="CG617" s="279"/>
      <c r="CH617" s="279"/>
      <c r="CI617" s="279"/>
      <c r="CJ617" s="279"/>
      <c r="CK617" s="279"/>
      <c r="CL617" s="279"/>
      <c r="CM617" s="279"/>
      <c r="CN617" s="382"/>
    </row>
    <row r="618" ht="19.5" customHeight="true" x14ac:dyDescent="0.3">
      <c r="B618" s="361"/>
      <c r="C618" s="279"/>
      <c r="D618" s="280"/>
      <c r="E618" s="287"/>
      <c r="F618" s="287"/>
      <c r="G618" s="287"/>
      <c r="H618" s="1292">
        <f t="shared" si="25"/>
        <v>9</v>
      </c>
      <c r="I618" s="1190" t="str">
        <f t="shared" si="27"/>
        <v/>
      </c>
      <c r="J618" s="1295" t="str">
        <f>IF('I. Stream &amp; Compound Data'!BO270&lt;&gt;"",'I. Stream &amp; Compound Data'!BO270,IF('I. Stream &amp; Compound Data'!BP270&lt;&gt;"",'I. Stream &amp; Compound Data'!BP270,""))</f>
        <v/>
      </c>
      <c r="K618" s="1295" t="str">
        <f t="shared" si="26"/>
        <v/>
      </c>
      <c r="L618" s="1317" t="str">
        <f t="shared" si="28"/>
        <v/>
      </c>
      <c r="M618" s="287"/>
      <c r="N618" s="296"/>
      <c r="O618" s="287"/>
      <c r="P618" s="287"/>
      <c r="Q618" s="279"/>
      <c r="R618" s="297"/>
      <c r="S618" s="298"/>
      <c r="T618" s="298"/>
      <c r="U618" s="299"/>
      <c r="V618" s="279"/>
      <c r="W618" s="279"/>
      <c r="X618" s="279"/>
      <c r="Y618" s="279"/>
      <c r="Z618" s="279"/>
      <c r="AA618" s="279"/>
      <c r="AB618" s="279"/>
      <c r="AC618" s="279"/>
      <c r="AD618" s="279"/>
      <c r="AE618" s="279"/>
      <c r="AF618" s="279"/>
      <c r="AG618" s="279"/>
      <c r="AH618" s="279"/>
      <c r="AI618" s="279"/>
      <c r="AJ618" s="279"/>
      <c r="AK618" s="279"/>
      <c r="AL618" s="279"/>
      <c r="AM618" s="279"/>
      <c r="AN618" s="279"/>
      <c r="AO618" s="279"/>
      <c r="AP618" s="279"/>
      <c r="AQ618" s="279"/>
      <c r="AR618" s="279"/>
      <c r="AS618" s="279"/>
      <c r="AT618" s="279"/>
      <c r="AU618" s="279"/>
      <c r="AV618" s="279"/>
      <c r="AW618" s="279"/>
      <c r="AX618" s="279"/>
      <c r="AY618" s="279"/>
      <c r="AZ618" s="279"/>
      <c r="BA618" s="279"/>
      <c r="BB618" s="279"/>
      <c r="BC618" s="279"/>
      <c r="BD618" s="279"/>
      <c r="BE618" s="279"/>
      <c r="BF618" s="279"/>
      <c r="BG618" s="279"/>
      <c r="BH618" s="279"/>
      <c r="BI618" s="279"/>
      <c r="BJ618" s="279"/>
      <c r="BK618" s="279"/>
      <c r="BL618" s="279"/>
      <c r="BM618" s="279"/>
      <c r="BN618" s="279"/>
      <c r="BO618" s="279"/>
      <c r="BP618" s="279"/>
      <c r="BQ618" s="279"/>
      <c r="BR618" s="279"/>
      <c r="BS618" s="279"/>
      <c r="BT618" s="279"/>
      <c r="BU618" s="279"/>
      <c r="BV618" s="279"/>
      <c r="BW618" s="279"/>
      <c r="BX618" s="279"/>
      <c r="BY618" s="279"/>
      <c r="BZ618" s="279"/>
      <c r="CA618" s="279"/>
      <c r="CB618" s="279"/>
      <c r="CC618" s="279"/>
      <c r="CD618" s="279"/>
      <c r="CE618" s="279"/>
      <c r="CF618" s="279"/>
      <c r="CG618" s="279"/>
      <c r="CH618" s="279"/>
      <c r="CI618" s="279"/>
      <c r="CJ618" s="279"/>
      <c r="CK618" s="279"/>
      <c r="CL618" s="279"/>
      <c r="CM618" s="279"/>
      <c r="CN618" s="382"/>
    </row>
    <row r="619" ht="19.5" customHeight="true" x14ac:dyDescent="0.3">
      <c r="B619" s="361"/>
      <c r="C619" s="279"/>
      <c r="D619" s="280"/>
      <c r="E619" s="287"/>
      <c r="F619" s="287"/>
      <c r="G619" s="287"/>
      <c r="H619" s="1292">
        <f t="shared" si="25"/>
        <v>10</v>
      </c>
      <c r="I619" s="1190" t="str">
        <f t="shared" si="27"/>
        <v/>
      </c>
      <c r="J619" s="1295" t="str">
        <f>IF('I. Stream &amp; Compound Data'!BO271&lt;&gt;"",'I. Stream &amp; Compound Data'!BO271,IF('I. Stream &amp; Compound Data'!BP271&lt;&gt;"",'I. Stream &amp; Compound Data'!BP271,""))</f>
        <v/>
      </c>
      <c r="K619" s="1295" t="str">
        <f t="shared" si="26"/>
        <v/>
      </c>
      <c r="L619" s="1317" t="str">
        <f t="shared" si="28"/>
        <v/>
      </c>
      <c r="M619" s="287"/>
      <c r="N619" s="296"/>
      <c r="O619" s="287"/>
      <c r="P619" s="287"/>
      <c r="Q619" s="279"/>
      <c r="R619" s="297"/>
      <c r="S619" s="298"/>
      <c r="T619" s="298"/>
      <c r="U619" s="299"/>
      <c r="V619" s="279"/>
      <c r="W619" s="279"/>
      <c r="X619" s="279"/>
      <c r="Y619" s="279"/>
      <c r="Z619" s="279"/>
      <c r="AA619" s="279"/>
      <c r="AB619" s="279"/>
      <c r="AC619" s="279"/>
      <c r="AD619" s="279"/>
      <c r="AE619" s="279"/>
      <c r="AF619" s="279"/>
      <c r="AG619" s="279"/>
      <c r="AH619" s="279"/>
      <c r="AI619" s="279"/>
      <c r="AJ619" s="279"/>
      <c r="AK619" s="279"/>
      <c r="AL619" s="279"/>
      <c r="AM619" s="279"/>
      <c r="AN619" s="279"/>
      <c r="AO619" s="279"/>
      <c r="AP619" s="279"/>
      <c r="AQ619" s="279"/>
      <c r="AR619" s="279"/>
      <c r="AS619" s="279"/>
      <c r="AT619" s="279"/>
      <c r="AU619" s="279"/>
      <c r="AV619" s="279"/>
      <c r="AW619" s="279"/>
      <c r="AX619" s="279"/>
      <c r="AY619" s="279"/>
      <c r="AZ619" s="279"/>
      <c r="BA619" s="279"/>
      <c r="BB619" s="279"/>
      <c r="BC619" s="279"/>
      <c r="BD619" s="279"/>
      <c r="BE619" s="279"/>
      <c r="BF619" s="279"/>
      <c r="BG619" s="279"/>
      <c r="BH619" s="279"/>
      <c r="BI619" s="279"/>
      <c r="BJ619" s="279"/>
      <c r="BK619" s="279"/>
      <c r="BL619" s="279"/>
      <c r="BM619" s="279"/>
      <c r="BN619" s="279"/>
      <c r="BO619" s="279"/>
      <c r="BP619" s="279"/>
      <c r="BQ619" s="279"/>
      <c r="BR619" s="279"/>
      <c r="BS619" s="279"/>
      <c r="BT619" s="279"/>
      <c r="BU619" s="279"/>
      <c r="BV619" s="279"/>
      <c r="BW619" s="279"/>
      <c r="BX619" s="279"/>
      <c r="BY619" s="279"/>
      <c r="BZ619" s="279"/>
      <c r="CA619" s="279"/>
      <c r="CB619" s="279"/>
      <c r="CC619" s="279"/>
      <c r="CD619" s="279"/>
      <c r="CE619" s="279"/>
      <c r="CF619" s="279"/>
      <c r="CG619" s="279"/>
      <c r="CH619" s="279"/>
      <c r="CI619" s="279"/>
      <c r="CJ619" s="279"/>
      <c r="CK619" s="279"/>
      <c r="CL619" s="279"/>
      <c r="CM619" s="279"/>
      <c r="CN619" s="382"/>
    </row>
    <row r="620" ht="19.5" customHeight="true" x14ac:dyDescent="0.3">
      <c r="B620" s="361"/>
      <c r="C620" s="279"/>
      <c r="D620" s="280"/>
      <c r="E620" s="287"/>
      <c r="F620" s="287"/>
      <c r="G620" s="287"/>
      <c r="H620" s="1292">
        <f t="shared" si="25"/>
        <v>11</v>
      </c>
      <c r="I620" s="1190" t="str">
        <f t="shared" si="27"/>
        <v/>
      </c>
      <c r="J620" s="1295" t="str">
        <f>IF('I. Stream &amp; Compound Data'!BO272&lt;&gt;"",'I. Stream &amp; Compound Data'!BO272,IF('I. Stream &amp; Compound Data'!BP272&lt;&gt;"",'I. Stream &amp; Compound Data'!BP272,""))</f>
        <v/>
      </c>
      <c r="K620" s="1295" t="str">
        <f t="shared" si="26"/>
        <v/>
      </c>
      <c r="L620" s="1317" t="str">
        <f t="shared" si="28"/>
        <v/>
      </c>
      <c r="M620" s="287"/>
      <c r="N620" s="296"/>
      <c r="O620" s="287"/>
      <c r="P620" s="287"/>
      <c r="Q620" s="279"/>
      <c r="R620" s="297"/>
      <c r="S620" s="298"/>
      <c r="T620" s="298"/>
      <c r="U620" s="299"/>
      <c r="V620" s="279"/>
      <c r="W620" s="279"/>
      <c r="X620" s="279"/>
      <c r="Y620" s="279"/>
      <c r="Z620" s="279"/>
      <c r="AA620" s="279"/>
      <c r="AB620" s="279"/>
      <c r="AC620" s="279"/>
      <c r="AD620" s="279"/>
      <c r="AE620" s="279"/>
      <c r="AF620" s="279"/>
      <c r="AG620" s="279"/>
      <c r="AH620" s="279"/>
      <c r="AI620" s="279"/>
      <c r="AJ620" s="279"/>
      <c r="AK620" s="279"/>
      <c r="AL620" s="279"/>
      <c r="AM620" s="279"/>
      <c r="AN620" s="279"/>
      <c r="AO620" s="279"/>
      <c r="AP620" s="279"/>
      <c r="AQ620" s="279"/>
      <c r="AR620" s="279"/>
      <c r="AS620" s="279"/>
      <c r="AT620" s="279"/>
      <c r="AU620" s="279"/>
      <c r="AV620" s="279"/>
      <c r="AW620" s="279"/>
      <c r="AX620" s="279"/>
      <c r="AY620" s="279"/>
      <c r="AZ620" s="279"/>
      <c r="BA620" s="279"/>
      <c r="BB620" s="279"/>
      <c r="BC620" s="279"/>
      <c r="BD620" s="279"/>
      <c r="BE620" s="279"/>
      <c r="BF620" s="279"/>
      <c r="BG620" s="279"/>
      <c r="BH620" s="279"/>
      <c r="BI620" s="279"/>
      <c r="BJ620" s="279"/>
      <c r="BK620" s="279"/>
      <c r="BL620" s="279"/>
      <c r="BM620" s="279"/>
      <c r="BN620" s="279"/>
      <c r="BO620" s="279"/>
      <c r="BP620" s="279"/>
      <c r="BQ620" s="279"/>
      <c r="BR620" s="279"/>
      <c r="BS620" s="279"/>
      <c r="BT620" s="279"/>
      <c r="BU620" s="279"/>
      <c r="BV620" s="279"/>
      <c r="BW620" s="279"/>
      <c r="BX620" s="279"/>
      <c r="BY620" s="279"/>
      <c r="BZ620" s="279"/>
      <c r="CA620" s="279"/>
      <c r="CB620" s="279"/>
      <c r="CC620" s="279"/>
      <c r="CD620" s="279"/>
      <c r="CE620" s="279"/>
      <c r="CF620" s="279"/>
      <c r="CG620" s="279"/>
      <c r="CH620" s="279"/>
      <c r="CI620" s="279"/>
      <c r="CJ620" s="279"/>
      <c r="CK620" s="279"/>
      <c r="CL620" s="279"/>
      <c r="CM620" s="279"/>
      <c r="CN620" s="382"/>
    </row>
    <row r="621" ht="19.5" customHeight="true" x14ac:dyDescent="0.3">
      <c r="B621" s="361"/>
      <c r="C621" s="279"/>
      <c r="D621" s="280"/>
      <c r="E621" s="287"/>
      <c r="F621" s="287"/>
      <c r="G621" s="287"/>
      <c r="H621" s="1292">
        <f t="shared" si="25"/>
        <v>12</v>
      </c>
      <c r="I621" s="1190" t="str">
        <f t="shared" si="27"/>
        <v/>
      </c>
      <c r="J621" s="1295" t="str">
        <f>IF('I. Stream &amp; Compound Data'!BO273&lt;&gt;"",'I. Stream &amp; Compound Data'!BO273,IF('I. Stream &amp; Compound Data'!BP273&lt;&gt;"",'I. Stream &amp; Compound Data'!BP273,""))</f>
        <v/>
      </c>
      <c r="K621" s="1295" t="str">
        <f t="shared" si="26"/>
        <v/>
      </c>
      <c r="L621" s="1317" t="str">
        <f t="shared" si="28"/>
        <v/>
      </c>
      <c r="M621" s="287"/>
      <c r="N621" s="296"/>
      <c r="O621" s="287"/>
      <c r="P621" s="287"/>
      <c r="Q621" s="279"/>
      <c r="R621" s="297"/>
      <c r="S621" s="298"/>
      <c r="T621" s="298"/>
      <c r="U621" s="299"/>
      <c r="V621" s="279"/>
      <c r="W621" s="279"/>
      <c r="X621" s="279"/>
      <c r="Y621" s="279"/>
      <c r="Z621" s="279"/>
      <c r="AA621" s="279"/>
      <c r="AB621" s="279"/>
      <c r="AC621" s="279"/>
      <c r="AD621" s="279"/>
      <c r="AE621" s="279"/>
      <c r="AF621" s="279"/>
      <c r="AG621" s="279"/>
      <c r="AH621" s="279"/>
      <c r="AI621" s="279"/>
      <c r="AJ621" s="279"/>
      <c r="AK621" s="279"/>
      <c r="AL621" s="279"/>
      <c r="AM621" s="279"/>
      <c r="AN621" s="279"/>
      <c r="AO621" s="279"/>
      <c r="AP621" s="279"/>
      <c r="AQ621" s="279"/>
      <c r="AR621" s="279"/>
      <c r="AS621" s="279"/>
      <c r="AT621" s="279"/>
      <c r="AU621" s="279"/>
      <c r="AV621" s="279"/>
      <c r="AW621" s="279"/>
      <c r="AX621" s="279"/>
      <c r="AY621" s="279"/>
      <c r="AZ621" s="279"/>
      <c r="BA621" s="279"/>
      <c r="BB621" s="279"/>
      <c r="BC621" s="279"/>
      <c r="BD621" s="279"/>
      <c r="BE621" s="279"/>
      <c r="BF621" s="279"/>
      <c r="BG621" s="279"/>
      <c r="BH621" s="279"/>
      <c r="BI621" s="279"/>
      <c r="BJ621" s="279"/>
      <c r="BK621" s="279"/>
      <c r="BL621" s="279"/>
      <c r="BM621" s="279"/>
      <c r="BN621" s="279"/>
      <c r="BO621" s="279"/>
      <c r="BP621" s="279"/>
      <c r="BQ621" s="279"/>
      <c r="BR621" s="279"/>
      <c r="BS621" s="279"/>
      <c r="BT621" s="279"/>
      <c r="BU621" s="279"/>
      <c r="BV621" s="279"/>
      <c r="BW621" s="279"/>
      <c r="BX621" s="279"/>
      <c r="BY621" s="279"/>
      <c r="BZ621" s="279"/>
      <c r="CA621" s="279"/>
      <c r="CB621" s="279"/>
      <c r="CC621" s="279"/>
      <c r="CD621" s="279"/>
      <c r="CE621" s="279"/>
      <c r="CF621" s="279"/>
      <c r="CG621" s="279"/>
      <c r="CH621" s="279"/>
      <c r="CI621" s="279"/>
      <c r="CJ621" s="279"/>
      <c r="CK621" s="279"/>
      <c r="CL621" s="279"/>
      <c r="CM621" s="279"/>
      <c r="CN621" s="382"/>
    </row>
    <row r="622" ht="19.5" customHeight="true" x14ac:dyDescent="0.3">
      <c r="B622" s="361"/>
      <c r="C622" s="279"/>
      <c r="D622" s="280"/>
      <c r="E622" s="287"/>
      <c r="F622" s="287"/>
      <c r="G622" s="287"/>
      <c r="H622" s="1292">
        <f t="shared" si="25"/>
        <v>13</v>
      </c>
      <c r="I622" s="1190" t="str">
        <f t="shared" si="27"/>
        <v/>
      </c>
      <c r="J622" s="1295" t="str">
        <f>IF('I. Stream &amp; Compound Data'!BO274&lt;&gt;"",'I. Stream &amp; Compound Data'!BO274,IF('I. Stream &amp; Compound Data'!BP274&lt;&gt;"",'I. Stream &amp; Compound Data'!BP274,""))</f>
        <v/>
      </c>
      <c r="K622" s="1295" t="str">
        <f t="shared" si="26"/>
        <v/>
      </c>
      <c r="L622" s="1317" t="str">
        <f t="shared" si="28"/>
        <v/>
      </c>
      <c r="M622" s="287"/>
      <c r="N622" s="296"/>
      <c r="O622" s="287"/>
      <c r="P622" s="287"/>
      <c r="Q622" s="279"/>
      <c r="R622" s="297"/>
      <c r="S622" s="298"/>
      <c r="T622" s="298"/>
      <c r="U622" s="299"/>
      <c r="V622" s="279"/>
      <c r="W622" s="279"/>
      <c r="X622" s="279"/>
      <c r="Y622" s="279"/>
      <c r="Z622" s="279"/>
      <c r="AA622" s="279"/>
      <c r="AB622" s="279"/>
      <c r="AC622" s="279"/>
      <c r="AD622" s="279"/>
      <c r="AE622" s="279"/>
      <c r="AF622" s="279"/>
      <c r="AG622" s="279"/>
      <c r="AH622" s="279"/>
      <c r="AI622" s="279"/>
      <c r="AJ622" s="279"/>
      <c r="AK622" s="279"/>
      <c r="AL622" s="279"/>
      <c r="AM622" s="279"/>
      <c r="AN622" s="279"/>
      <c r="AO622" s="279"/>
      <c r="AP622" s="279"/>
      <c r="AQ622" s="279"/>
      <c r="AR622" s="279"/>
      <c r="AS622" s="279"/>
      <c r="AT622" s="279"/>
      <c r="AU622" s="279"/>
      <c r="AV622" s="279"/>
      <c r="AW622" s="279"/>
      <c r="AX622" s="279"/>
      <c r="AY622" s="279"/>
      <c r="AZ622" s="279"/>
      <c r="BA622" s="279"/>
      <c r="BB622" s="279"/>
      <c r="BC622" s="279"/>
      <c r="BD622" s="279"/>
      <c r="BE622" s="279"/>
      <c r="BF622" s="279"/>
      <c r="BG622" s="279"/>
      <c r="BH622" s="279"/>
      <c r="BI622" s="279"/>
      <c r="BJ622" s="279"/>
      <c r="BK622" s="279"/>
      <c r="BL622" s="279"/>
      <c r="BM622" s="279"/>
      <c r="BN622" s="279"/>
      <c r="BO622" s="279"/>
      <c r="BP622" s="279"/>
      <c r="BQ622" s="279"/>
      <c r="BR622" s="279"/>
      <c r="BS622" s="279"/>
      <c r="BT622" s="279"/>
      <c r="BU622" s="279"/>
      <c r="BV622" s="279"/>
      <c r="BW622" s="279"/>
      <c r="BX622" s="279"/>
      <c r="BY622" s="279"/>
      <c r="BZ622" s="279"/>
      <c r="CA622" s="279"/>
      <c r="CB622" s="279"/>
      <c r="CC622" s="279"/>
      <c r="CD622" s="279"/>
      <c r="CE622" s="279"/>
      <c r="CF622" s="279"/>
      <c r="CG622" s="279"/>
      <c r="CH622" s="279"/>
      <c r="CI622" s="279"/>
      <c r="CJ622" s="279"/>
      <c r="CK622" s="279"/>
      <c r="CL622" s="279"/>
      <c r="CM622" s="279"/>
      <c r="CN622" s="382"/>
    </row>
    <row r="623" ht="19.5" customHeight="true" x14ac:dyDescent="0.3">
      <c r="B623" s="361"/>
      <c r="C623" s="279"/>
      <c r="D623" s="280"/>
      <c r="E623" s="287"/>
      <c r="F623" s="287"/>
      <c r="G623" s="287"/>
      <c r="H623" s="1292">
        <f t="shared" si="25"/>
        <v>14</v>
      </c>
      <c r="I623" s="1190" t="str">
        <f t="shared" si="27"/>
        <v/>
      </c>
      <c r="J623" s="1295" t="str">
        <f>IF('I. Stream &amp; Compound Data'!BO275&lt;&gt;"",'I. Stream &amp; Compound Data'!BO275,IF('I. Stream &amp; Compound Data'!BP275&lt;&gt;"",'I. Stream &amp; Compound Data'!BP275,""))</f>
        <v/>
      </c>
      <c r="K623" s="1295" t="str">
        <f t="shared" si="26"/>
        <v/>
      </c>
      <c r="L623" s="1317" t="str">
        <f t="shared" si="28"/>
        <v/>
      </c>
      <c r="M623" s="287"/>
      <c r="N623" s="296"/>
      <c r="O623" s="287"/>
      <c r="P623" s="287"/>
      <c r="Q623" s="279"/>
      <c r="R623" s="297"/>
      <c r="S623" s="298"/>
      <c r="T623" s="298"/>
      <c r="U623" s="299"/>
      <c r="V623" s="279"/>
      <c r="W623" s="279"/>
      <c r="X623" s="279"/>
      <c r="Y623" s="279"/>
      <c r="Z623" s="279"/>
      <c r="AA623" s="279"/>
      <c r="AB623" s="279"/>
      <c r="AC623" s="279"/>
      <c r="AD623" s="279"/>
      <c r="AE623" s="279"/>
      <c r="AF623" s="279"/>
      <c r="AG623" s="279"/>
      <c r="AH623" s="279"/>
      <c r="AI623" s="279"/>
      <c r="AJ623" s="279"/>
      <c r="AK623" s="279"/>
      <c r="AL623" s="279"/>
      <c r="AM623" s="279"/>
      <c r="AN623" s="279"/>
      <c r="AO623" s="279"/>
      <c r="AP623" s="279"/>
      <c r="AQ623" s="279"/>
      <c r="AR623" s="279"/>
      <c r="AS623" s="279"/>
      <c r="AT623" s="279"/>
      <c r="AU623" s="279"/>
      <c r="AV623" s="279"/>
      <c r="AW623" s="279"/>
      <c r="AX623" s="279"/>
      <c r="AY623" s="279"/>
      <c r="AZ623" s="279"/>
      <c r="BA623" s="279"/>
      <c r="BB623" s="279"/>
      <c r="BC623" s="279"/>
      <c r="BD623" s="279"/>
      <c r="BE623" s="279"/>
      <c r="BF623" s="279"/>
      <c r="BG623" s="279"/>
      <c r="BH623" s="279"/>
      <c r="BI623" s="279"/>
      <c r="BJ623" s="279"/>
      <c r="BK623" s="279"/>
      <c r="BL623" s="279"/>
      <c r="BM623" s="279"/>
      <c r="BN623" s="279"/>
      <c r="BO623" s="279"/>
      <c r="BP623" s="279"/>
      <c r="BQ623" s="279"/>
      <c r="BR623" s="279"/>
      <c r="BS623" s="279"/>
      <c r="BT623" s="279"/>
      <c r="BU623" s="279"/>
      <c r="BV623" s="279"/>
      <c r="BW623" s="279"/>
      <c r="BX623" s="279"/>
      <c r="BY623" s="279"/>
      <c r="BZ623" s="279"/>
      <c r="CA623" s="279"/>
      <c r="CB623" s="279"/>
      <c r="CC623" s="279"/>
      <c r="CD623" s="279"/>
      <c r="CE623" s="279"/>
      <c r="CF623" s="279"/>
      <c r="CG623" s="279"/>
      <c r="CH623" s="279"/>
      <c r="CI623" s="279"/>
      <c r="CJ623" s="279"/>
      <c r="CK623" s="279"/>
      <c r="CL623" s="279"/>
      <c r="CM623" s="279"/>
      <c r="CN623" s="382"/>
    </row>
    <row r="624" ht="19.5" customHeight="true" x14ac:dyDescent="0.3">
      <c r="B624" s="361"/>
      <c r="C624" s="279"/>
      <c r="D624" s="280"/>
      <c r="E624" s="287"/>
      <c r="F624" s="287"/>
      <c r="G624" s="287"/>
      <c r="H624" s="1292">
        <f t="shared" si="25"/>
        <v>15</v>
      </c>
      <c r="I624" s="1190" t="str">
        <f t="shared" si="27"/>
        <v/>
      </c>
      <c r="J624" s="1295" t="str">
        <f>IF('I. Stream &amp; Compound Data'!BO276&lt;&gt;"",'I. Stream &amp; Compound Data'!BO276,IF('I. Stream &amp; Compound Data'!BP276&lt;&gt;"",'I. Stream &amp; Compound Data'!BP276,""))</f>
        <v/>
      </c>
      <c r="K624" s="1295" t="str">
        <f t="shared" si="26"/>
        <v/>
      </c>
      <c r="L624" s="1317" t="str">
        <f t="shared" si="28"/>
        <v/>
      </c>
      <c r="M624" s="287"/>
      <c r="N624" s="296"/>
      <c r="O624" s="287"/>
      <c r="P624" s="287"/>
      <c r="Q624" s="279"/>
      <c r="R624" s="297"/>
      <c r="S624" s="298"/>
      <c r="T624" s="298"/>
      <c r="U624" s="299"/>
      <c r="V624" s="279"/>
      <c r="W624" s="279"/>
      <c r="X624" s="279"/>
      <c r="Y624" s="279"/>
      <c r="Z624" s="279"/>
      <c r="AA624" s="279"/>
      <c r="AB624" s="279"/>
      <c r="AC624" s="279"/>
      <c r="AD624" s="279"/>
      <c r="AE624" s="279"/>
      <c r="AF624" s="279"/>
      <c r="AG624" s="279"/>
      <c r="AH624" s="279"/>
      <c r="AI624" s="279"/>
      <c r="AJ624" s="279"/>
      <c r="AK624" s="279"/>
      <c r="AL624" s="279"/>
      <c r="AM624" s="279"/>
      <c r="AN624" s="279"/>
      <c r="AO624" s="279"/>
      <c r="AP624" s="279"/>
      <c r="AQ624" s="279"/>
      <c r="AR624" s="279"/>
      <c r="AS624" s="279"/>
      <c r="AT624" s="279"/>
      <c r="AU624" s="279"/>
      <c r="AV624" s="279"/>
      <c r="AW624" s="279"/>
      <c r="AX624" s="279"/>
      <c r="AY624" s="279"/>
      <c r="AZ624" s="279"/>
      <c r="BA624" s="279"/>
      <c r="BB624" s="279"/>
      <c r="BC624" s="279"/>
      <c r="BD624" s="279"/>
      <c r="BE624" s="279"/>
      <c r="BF624" s="279"/>
      <c r="BG624" s="279"/>
      <c r="BH624" s="279"/>
      <c r="BI624" s="279"/>
      <c r="BJ624" s="279"/>
      <c r="BK624" s="279"/>
      <c r="BL624" s="279"/>
      <c r="BM624" s="279"/>
      <c r="BN624" s="279"/>
      <c r="BO624" s="279"/>
      <c r="BP624" s="279"/>
      <c r="BQ624" s="279"/>
      <c r="BR624" s="279"/>
      <c r="BS624" s="279"/>
      <c r="BT624" s="279"/>
      <c r="BU624" s="279"/>
      <c r="BV624" s="279"/>
      <c r="BW624" s="279"/>
      <c r="BX624" s="279"/>
      <c r="BY624" s="279"/>
      <c r="BZ624" s="279"/>
      <c r="CA624" s="279"/>
      <c r="CB624" s="279"/>
      <c r="CC624" s="279"/>
      <c r="CD624" s="279"/>
      <c r="CE624" s="279"/>
      <c r="CF624" s="279"/>
      <c r="CG624" s="279"/>
      <c r="CH624" s="279"/>
      <c r="CI624" s="279"/>
      <c r="CJ624" s="279"/>
      <c r="CK624" s="279"/>
      <c r="CL624" s="279"/>
      <c r="CM624" s="279"/>
      <c r="CN624" s="382"/>
    </row>
    <row r="625" ht="19.5" customHeight="true" x14ac:dyDescent="0.3">
      <c r="B625" s="361"/>
      <c r="C625" s="279"/>
      <c r="D625" s="280"/>
      <c r="E625" s="287"/>
      <c r="F625" s="287"/>
      <c r="G625" s="287"/>
      <c r="H625" s="1292">
        <f t="shared" si="25"/>
        <v>16</v>
      </c>
      <c r="I625" s="1190" t="str">
        <f t="shared" si="27"/>
        <v/>
      </c>
      <c r="J625" s="1295" t="str">
        <f>IF('I. Stream &amp; Compound Data'!BO277&lt;&gt;"",'I. Stream &amp; Compound Data'!BO277,IF('I. Stream &amp; Compound Data'!BP277&lt;&gt;"",'I. Stream &amp; Compound Data'!BP277,""))</f>
        <v/>
      </c>
      <c r="K625" s="1295" t="str">
        <f t="shared" si="26"/>
        <v/>
      </c>
      <c r="L625" s="1317" t="str">
        <f t="shared" si="28"/>
        <v/>
      </c>
      <c r="M625" s="287"/>
      <c r="N625" s="296"/>
      <c r="O625" s="287"/>
      <c r="P625" s="287"/>
      <c r="Q625" s="279"/>
      <c r="R625" s="297"/>
      <c r="S625" s="298"/>
      <c r="T625" s="298"/>
      <c r="U625" s="299"/>
      <c r="V625" s="279"/>
      <c r="W625" s="279"/>
      <c r="X625" s="279"/>
      <c r="Y625" s="279"/>
      <c r="Z625" s="279"/>
      <c r="AA625" s="279"/>
      <c r="AB625" s="279"/>
      <c r="AC625" s="279"/>
      <c r="AD625" s="279"/>
      <c r="AE625" s="279"/>
      <c r="AF625" s="279"/>
      <c r="AG625" s="279"/>
      <c r="AH625" s="279"/>
      <c r="AI625" s="279"/>
      <c r="AJ625" s="279"/>
      <c r="AK625" s="279"/>
      <c r="AL625" s="279"/>
      <c r="AM625" s="279"/>
      <c r="AN625" s="279"/>
      <c r="AO625" s="279"/>
      <c r="AP625" s="279"/>
      <c r="AQ625" s="279"/>
      <c r="AR625" s="279"/>
      <c r="AS625" s="279"/>
      <c r="AT625" s="279"/>
      <c r="AU625" s="279"/>
      <c r="AV625" s="279"/>
      <c r="AW625" s="279"/>
      <c r="AX625" s="279"/>
      <c r="AY625" s="279"/>
      <c r="AZ625" s="279"/>
      <c r="BA625" s="279"/>
      <c r="BB625" s="279"/>
      <c r="BC625" s="279"/>
      <c r="BD625" s="279"/>
      <c r="BE625" s="279"/>
      <c r="BF625" s="279"/>
      <c r="BG625" s="279"/>
      <c r="BH625" s="279"/>
      <c r="BI625" s="279"/>
      <c r="BJ625" s="279"/>
      <c r="BK625" s="279"/>
      <c r="BL625" s="279"/>
      <c r="BM625" s="279"/>
      <c r="BN625" s="279"/>
      <c r="BO625" s="279"/>
      <c r="BP625" s="279"/>
      <c r="BQ625" s="279"/>
      <c r="BR625" s="279"/>
      <c r="BS625" s="279"/>
      <c r="BT625" s="279"/>
      <c r="BU625" s="279"/>
      <c r="BV625" s="279"/>
      <c r="BW625" s="279"/>
      <c r="BX625" s="279"/>
      <c r="BY625" s="279"/>
      <c r="BZ625" s="279"/>
      <c r="CA625" s="279"/>
      <c r="CB625" s="279"/>
      <c r="CC625" s="279"/>
      <c r="CD625" s="279"/>
      <c r="CE625" s="279"/>
      <c r="CF625" s="279"/>
      <c r="CG625" s="279"/>
      <c r="CH625" s="279"/>
      <c r="CI625" s="279"/>
      <c r="CJ625" s="279"/>
      <c r="CK625" s="279"/>
      <c r="CL625" s="279"/>
      <c r="CM625" s="279"/>
      <c r="CN625" s="382"/>
    </row>
    <row r="626" s="95" customFormat="true" ht="19.5" customHeight="true" x14ac:dyDescent="0.3">
      <c r="B626" s="365"/>
      <c r="C626" s="303"/>
      <c r="D626" s="280"/>
      <c r="E626" s="287"/>
      <c r="F626" s="287"/>
      <c r="G626" s="287"/>
      <c r="H626" s="1292">
        <f t="shared" si="25"/>
        <v>17</v>
      </c>
      <c r="I626" s="1190" t="str">
        <f t="shared" si="27"/>
        <v/>
      </c>
      <c r="J626" s="1295" t="str">
        <f>IF('I. Stream &amp; Compound Data'!BO278&lt;&gt;"",'I. Stream &amp; Compound Data'!BO278,IF('I. Stream &amp; Compound Data'!BP278&lt;&gt;"",'I. Stream &amp; Compound Data'!BP278,""))</f>
        <v/>
      </c>
      <c r="K626" s="1295" t="str">
        <f t="shared" si="26"/>
        <v/>
      </c>
      <c r="L626" s="1317" t="str">
        <f t="shared" si="28"/>
        <v/>
      </c>
      <c r="M626" s="287"/>
      <c r="N626" s="296"/>
      <c r="O626" s="287"/>
      <c r="P626" s="287"/>
      <c r="Q626" s="279"/>
      <c r="R626" s="297"/>
      <c r="S626" s="298"/>
      <c r="T626" s="298"/>
      <c r="U626" s="299"/>
      <c r="V626" s="303"/>
      <c r="W626" s="303"/>
      <c r="X626" s="303"/>
      <c r="Y626" s="303"/>
      <c r="Z626" s="303"/>
      <c r="AA626" s="303"/>
      <c r="AB626" s="303"/>
      <c r="AC626" s="303"/>
      <c r="AD626" s="303"/>
      <c r="AE626" s="303"/>
      <c r="AF626" s="303"/>
      <c r="AG626" s="303"/>
      <c r="AH626" s="303"/>
      <c r="AI626" s="303"/>
      <c r="AJ626" s="303"/>
      <c r="AK626" s="303"/>
      <c r="AL626" s="303"/>
      <c r="AM626" s="303"/>
      <c r="AN626" s="303"/>
      <c r="AO626" s="303"/>
      <c r="AP626" s="303"/>
      <c r="AQ626" s="303"/>
      <c r="AR626" s="303"/>
      <c r="AS626" s="303"/>
      <c r="AT626" s="303"/>
      <c r="AU626" s="303"/>
      <c r="AV626" s="303"/>
      <c r="AW626" s="303"/>
      <c r="AX626" s="303"/>
      <c r="AY626" s="303"/>
      <c r="AZ626" s="303"/>
      <c r="BA626" s="303"/>
      <c r="BB626" s="303"/>
      <c r="BC626" s="303"/>
      <c r="BD626" s="303"/>
      <c r="BE626" s="303"/>
      <c r="BF626" s="303"/>
      <c r="BG626" s="303"/>
      <c r="BH626" s="303"/>
      <c r="BI626" s="303"/>
      <c r="BJ626" s="303"/>
      <c r="BK626" s="303"/>
      <c r="BL626" s="303"/>
      <c r="BM626" s="303"/>
      <c r="BN626" s="303"/>
      <c r="BO626" s="303"/>
      <c r="BP626" s="303"/>
      <c r="BQ626" s="303"/>
      <c r="BR626" s="303"/>
      <c r="BS626" s="303"/>
      <c r="BT626" s="303"/>
      <c r="BU626" s="303"/>
      <c r="BV626" s="303"/>
      <c r="BW626" s="303"/>
      <c r="BX626" s="303"/>
      <c r="BY626" s="303"/>
      <c r="BZ626" s="303"/>
      <c r="CA626" s="303"/>
      <c r="CB626" s="303"/>
      <c r="CC626" s="303"/>
      <c r="CD626" s="303"/>
      <c r="CE626" s="303"/>
      <c r="CF626" s="303"/>
      <c r="CG626" s="303"/>
      <c r="CH626" s="303"/>
      <c r="CI626" s="303"/>
      <c r="CJ626" s="303"/>
      <c r="CK626" s="303"/>
      <c r="CL626" s="303"/>
      <c r="CM626" s="303"/>
      <c r="CN626" s="383"/>
    </row>
    <row r="627" ht="19.5" customHeight="true" x14ac:dyDescent="0.3">
      <c r="B627" s="361"/>
      <c r="C627" s="279"/>
      <c r="D627" s="280"/>
      <c r="E627" s="287"/>
      <c r="F627" s="287"/>
      <c r="G627" s="287"/>
      <c r="H627" s="1292">
        <f t="shared" si="25"/>
        <v>18</v>
      </c>
      <c r="I627" s="1190" t="str">
        <f t="shared" si="27"/>
        <v/>
      </c>
      <c r="J627" s="1295" t="str">
        <f>IF('I. Stream &amp; Compound Data'!BO279&lt;&gt;"",'I. Stream &amp; Compound Data'!BO279,IF('I. Stream &amp; Compound Data'!BP279&lt;&gt;"",'I. Stream &amp; Compound Data'!BP279,""))</f>
        <v/>
      </c>
      <c r="K627" s="1295" t="str">
        <f t="shared" si="26"/>
        <v/>
      </c>
      <c r="L627" s="1317" t="str">
        <f t="shared" si="28"/>
        <v/>
      </c>
      <c r="M627" s="287"/>
      <c r="N627" s="296"/>
      <c r="O627" s="287"/>
      <c r="P627" s="287"/>
      <c r="Q627" s="279"/>
      <c r="R627" s="297"/>
      <c r="S627" s="298"/>
      <c r="T627" s="298"/>
      <c r="U627" s="299"/>
      <c r="V627" s="279"/>
      <c r="W627" s="279"/>
      <c r="X627" s="279"/>
      <c r="Y627" s="279"/>
      <c r="Z627" s="279"/>
      <c r="AA627" s="279"/>
      <c r="AB627" s="279"/>
      <c r="AC627" s="279"/>
      <c r="AD627" s="279"/>
      <c r="AE627" s="279"/>
      <c r="AF627" s="279"/>
      <c r="AG627" s="279"/>
      <c r="AH627" s="279"/>
      <c r="AI627" s="279"/>
      <c r="AJ627" s="279"/>
      <c r="AK627" s="279"/>
      <c r="AL627" s="279"/>
      <c r="AM627" s="279"/>
      <c r="AN627" s="279"/>
      <c r="AO627" s="279"/>
      <c r="AP627" s="279"/>
      <c r="AQ627" s="279"/>
      <c r="AR627" s="279"/>
      <c r="AS627" s="279"/>
      <c r="AT627" s="279"/>
      <c r="AU627" s="279"/>
      <c r="AV627" s="279"/>
      <c r="AW627" s="279"/>
      <c r="AX627" s="279"/>
      <c r="AY627" s="279"/>
      <c r="AZ627" s="279"/>
      <c r="BA627" s="279"/>
      <c r="BB627" s="279"/>
      <c r="BC627" s="279"/>
      <c r="BD627" s="279"/>
      <c r="BE627" s="279"/>
      <c r="BF627" s="279"/>
      <c r="BG627" s="279"/>
      <c r="BH627" s="279"/>
      <c r="BI627" s="279"/>
      <c r="BJ627" s="279"/>
      <c r="BK627" s="279"/>
      <c r="BL627" s="279"/>
      <c r="BM627" s="279"/>
      <c r="BN627" s="279"/>
      <c r="BO627" s="279"/>
      <c r="BP627" s="279"/>
      <c r="BQ627" s="279"/>
      <c r="BR627" s="279"/>
      <c r="BS627" s="279"/>
      <c r="BT627" s="279"/>
      <c r="BU627" s="279"/>
      <c r="BV627" s="279"/>
      <c r="BW627" s="279"/>
      <c r="BX627" s="279"/>
      <c r="BY627" s="279"/>
      <c r="BZ627" s="279"/>
      <c r="CA627" s="279"/>
      <c r="CB627" s="279"/>
      <c r="CC627" s="279"/>
      <c r="CD627" s="279"/>
      <c r="CE627" s="279"/>
      <c r="CF627" s="279"/>
      <c r="CG627" s="279"/>
      <c r="CH627" s="279"/>
      <c r="CI627" s="279"/>
      <c r="CJ627" s="279"/>
      <c r="CK627" s="279"/>
      <c r="CL627" s="279"/>
      <c r="CM627" s="279"/>
      <c r="CN627" s="382"/>
    </row>
    <row r="628" ht="19.5" customHeight="true" x14ac:dyDescent="0.3">
      <c r="B628" s="361"/>
      <c r="C628" s="279"/>
      <c r="D628" s="280"/>
      <c r="E628" s="287"/>
      <c r="F628" s="287"/>
      <c r="G628" s="287"/>
      <c r="H628" s="1292">
        <f t="shared" si="25"/>
        <v>19</v>
      </c>
      <c r="I628" s="1190" t="str">
        <f t="shared" si="27"/>
        <v/>
      </c>
      <c r="J628" s="1295" t="str">
        <f>IF('I. Stream &amp; Compound Data'!BO280&lt;&gt;"",'I. Stream &amp; Compound Data'!BO280,IF('I. Stream &amp; Compound Data'!BP280&lt;&gt;"",'I. Stream &amp; Compound Data'!BP280,""))</f>
        <v/>
      </c>
      <c r="K628" s="1295" t="str">
        <f t="shared" si="26"/>
        <v/>
      </c>
      <c r="L628" s="1317" t="str">
        <f t="shared" si="28"/>
        <v/>
      </c>
      <c r="M628" s="287"/>
      <c r="N628" s="306"/>
      <c r="O628" s="287"/>
      <c r="P628" s="287"/>
      <c r="Q628" s="279"/>
      <c r="R628" s="297"/>
      <c r="S628" s="298"/>
      <c r="T628" s="298"/>
      <c r="U628" s="299"/>
      <c r="V628" s="279"/>
      <c r="W628" s="279"/>
      <c r="X628" s="279"/>
      <c r="Y628" s="279"/>
      <c r="Z628" s="279"/>
      <c r="AA628" s="279"/>
      <c r="AB628" s="279"/>
      <c r="AC628" s="279"/>
      <c r="AD628" s="279"/>
      <c r="AE628" s="279"/>
      <c r="AF628" s="279"/>
      <c r="AG628" s="279"/>
      <c r="AH628" s="279"/>
      <c r="AI628" s="279"/>
      <c r="AJ628" s="279"/>
      <c r="AK628" s="279"/>
      <c r="AL628" s="279"/>
      <c r="AM628" s="279"/>
      <c r="AN628" s="279"/>
      <c r="AO628" s="279"/>
      <c r="AP628" s="279"/>
      <c r="AQ628" s="279"/>
      <c r="AR628" s="279"/>
      <c r="AS628" s="279"/>
      <c r="AT628" s="279"/>
      <c r="AU628" s="279"/>
      <c r="AV628" s="279"/>
      <c r="AW628" s="279"/>
      <c r="AX628" s="279"/>
      <c r="AY628" s="279"/>
      <c r="AZ628" s="279"/>
      <c r="BA628" s="279"/>
      <c r="BB628" s="279"/>
      <c r="BC628" s="279"/>
      <c r="BD628" s="279"/>
      <c r="BE628" s="279"/>
      <c r="BF628" s="279"/>
      <c r="BG628" s="279"/>
      <c r="BH628" s="279"/>
      <c r="BI628" s="279"/>
      <c r="BJ628" s="279"/>
      <c r="BK628" s="279"/>
      <c r="BL628" s="279"/>
      <c r="BM628" s="279"/>
      <c r="BN628" s="279"/>
      <c r="BO628" s="279"/>
      <c r="BP628" s="279"/>
      <c r="BQ628" s="279"/>
      <c r="BR628" s="279"/>
      <c r="BS628" s="279"/>
      <c r="BT628" s="279"/>
      <c r="BU628" s="279"/>
      <c r="BV628" s="279"/>
      <c r="BW628" s="279"/>
      <c r="BX628" s="279"/>
      <c r="BY628" s="279"/>
      <c r="BZ628" s="279"/>
      <c r="CA628" s="279"/>
      <c r="CB628" s="279"/>
      <c r="CC628" s="279"/>
      <c r="CD628" s="279"/>
      <c r="CE628" s="279"/>
      <c r="CF628" s="279"/>
      <c r="CG628" s="279"/>
      <c r="CH628" s="279"/>
      <c r="CI628" s="279"/>
      <c r="CJ628" s="279"/>
      <c r="CK628" s="279"/>
      <c r="CL628" s="279"/>
      <c r="CM628" s="279"/>
      <c r="CN628" s="382"/>
    </row>
    <row r="629" ht="19.5" customHeight="true" x14ac:dyDescent="0.3">
      <c r="B629" s="361"/>
      <c r="C629" s="279"/>
      <c r="D629" s="280"/>
      <c r="E629" s="287"/>
      <c r="F629" s="287"/>
      <c r="G629" s="287"/>
      <c r="H629" s="1292">
        <f t="shared" si="25"/>
        <v>20</v>
      </c>
      <c r="I629" s="1190" t="str">
        <f t="shared" si="27"/>
        <v/>
      </c>
      <c r="J629" s="1295" t="str">
        <f>IF('I. Stream &amp; Compound Data'!BO281&lt;&gt;"",'I. Stream &amp; Compound Data'!BO281,IF('I. Stream &amp; Compound Data'!BP281&lt;&gt;"",'I. Stream &amp; Compound Data'!BP281,""))</f>
        <v/>
      </c>
      <c r="K629" s="1295" t="str">
        <f t="shared" ref="K629:K659" si="29">IF(I161="","",I629*J629)</f>
        <v/>
      </c>
      <c r="L629" s="1317" t="str">
        <f t="shared" ref="L629:L659" si="30">I629</f>
        <v/>
      </c>
      <c r="M629" s="287"/>
      <c r="N629" s="306"/>
      <c r="O629" s="287"/>
      <c r="P629" s="287"/>
      <c r="Q629" s="279"/>
      <c r="R629" s="297"/>
      <c r="S629" s="298"/>
      <c r="T629" s="298"/>
      <c r="U629" s="299"/>
      <c r="V629" s="279"/>
      <c r="W629" s="279"/>
      <c r="X629" s="279"/>
      <c r="Y629" s="279"/>
      <c r="Z629" s="279"/>
      <c r="AA629" s="279"/>
      <c r="AB629" s="279"/>
      <c r="AC629" s="279"/>
      <c r="AD629" s="279"/>
      <c r="AE629" s="279"/>
      <c r="AF629" s="279"/>
      <c r="AG629" s="279"/>
      <c r="AH629" s="279"/>
      <c r="AI629" s="279"/>
      <c r="AJ629" s="279"/>
      <c r="AK629" s="279"/>
      <c r="AL629" s="279"/>
      <c r="AM629" s="279"/>
      <c r="AN629" s="279"/>
      <c r="AO629" s="279"/>
      <c r="AP629" s="279"/>
      <c r="AQ629" s="279"/>
      <c r="AR629" s="279"/>
      <c r="AS629" s="279"/>
      <c r="AT629" s="279"/>
      <c r="AU629" s="279"/>
      <c r="AV629" s="279"/>
      <c r="AW629" s="279"/>
      <c r="AX629" s="279"/>
      <c r="AY629" s="279"/>
      <c r="AZ629" s="279"/>
      <c r="BA629" s="279"/>
      <c r="BB629" s="279"/>
      <c r="BC629" s="279"/>
      <c r="BD629" s="279"/>
      <c r="BE629" s="279"/>
      <c r="BF629" s="279"/>
      <c r="BG629" s="279"/>
      <c r="BH629" s="279"/>
      <c r="BI629" s="279"/>
      <c r="BJ629" s="279"/>
      <c r="BK629" s="279"/>
      <c r="BL629" s="279"/>
      <c r="BM629" s="279"/>
      <c r="BN629" s="279"/>
      <c r="BO629" s="279"/>
      <c r="BP629" s="279"/>
      <c r="BQ629" s="279"/>
      <c r="BR629" s="279"/>
      <c r="BS629" s="279"/>
      <c r="BT629" s="279"/>
      <c r="BU629" s="279"/>
      <c r="BV629" s="279"/>
      <c r="BW629" s="279"/>
      <c r="BX629" s="279"/>
      <c r="BY629" s="279"/>
      <c r="BZ629" s="279"/>
      <c r="CA629" s="279"/>
      <c r="CB629" s="279"/>
      <c r="CC629" s="279"/>
      <c r="CD629" s="279"/>
      <c r="CE629" s="279"/>
      <c r="CF629" s="279"/>
      <c r="CG629" s="279"/>
      <c r="CH629" s="279"/>
      <c r="CI629" s="279"/>
      <c r="CJ629" s="279"/>
      <c r="CK629" s="279"/>
      <c r="CL629" s="279"/>
      <c r="CM629" s="279"/>
      <c r="CN629" s="382"/>
    </row>
    <row r="630" x14ac:dyDescent="0.3">
      <c r="B630" s="361"/>
      <c r="C630" s="279"/>
      <c r="D630" s="280"/>
      <c r="E630" s="287"/>
      <c r="F630" s="287"/>
      <c r="G630" s="287"/>
      <c r="H630" s="1292">
        <f t="shared" si="25"/>
        <v>21</v>
      </c>
      <c r="I630" s="1190" t="str">
        <f t="shared" si="27"/>
        <v/>
      </c>
      <c r="J630" s="1295" t="str">
        <f>IF('I. Stream &amp; Compound Data'!BO282&lt;&gt;"",'I. Stream &amp; Compound Data'!BO282,IF('I. Stream &amp; Compound Data'!BP282&lt;&gt;"",'I. Stream &amp; Compound Data'!BP282,""))</f>
        <v/>
      </c>
      <c r="K630" s="1295" t="str">
        <f t="shared" si="29"/>
        <v/>
      </c>
      <c r="L630" s="1317" t="str">
        <f t="shared" si="30"/>
        <v/>
      </c>
      <c r="M630" s="287"/>
      <c r="N630" s="296"/>
      <c r="O630" s="280"/>
      <c r="P630" s="287"/>
      <c r="Q630" s="279"/>
      <c r="R630" s="297"/>
      <c r="S630" s="298"/>
      <c r="T630" s="298"/>
      <c r="U630" s="299"/>
      <c r="V630" s="279"/>
      <c r="W630" s="279"/>
      <c r="X630" s="279"/>
      <c r="Y630" s="279"/>
      <c r="Z630" s="279"/>
      <c r="AA630" s="279"/>
      <c r="AB630" s="279"/>
      <c r="AC630" s="279"/>
      <c r="AD630" s="279"/>
      <c r="AE630" s="279"/>
      <c r="AF630" s="279"/>
      <c r="AG630" s="279"/>
      <c r="AH630" s="279"/>
      <c r="AI630" s="279"/>
      <c r="AJ630" s="279"/>
      <c r="AK630" s="279"/>
      <c r="AL630" s="279"/>
      <c r="AM630" s="279"/>
      <c r="AN630" s="279"/>
      <c r="AO630" s="279"/>
      <c r="AP630" s="279"/>
      <c r="AQ630" s="279"/>
      <c r="AR630" s="279"/>
      <c r="AS630" s="279"/>
      <c r="AT630" s="279"/>
      <c r="AU630" s="279"/>
      <c r="AV630" s="279"/>
      <c r="AW630" s="279"/>
      <c r="AX630" s="279"/>
      <c r="AY630" s="279"/>
      <c r="AZ630" s="279"/>
      <c r="BA630" s="279"/>
      <c r="BB630" s="279"/>
      <c r="BC630" s="279"/>
      <c r="BD630" s="279"/>
      <c r="BE630" s="279"/>
      <c r="BF630" s="279"/>
      <c r="BG630" s="279"/>
      <c r="BH630" s="279"/>
      <c r="BI630" s="279"/>
      <c r="BJ630" s="279"/>
      <c r="BK630" s="279"/>
      <c r="BL630" s="279"/>
      <c r="BM630" s="279"/>
      <c r="BN630" s="279"/>
      <c r="BO630" s="279"/>
      <c r="BP630" s="279"/>
      <c r="BQ630" s="279"/>
      <c r="BR630" s="279"/>
      <c r="BS630" s="279"/>
      <c r="BT630" s="279"/>
      <c r="BU630" s="279"/>
      <c r="BV630" s="279"/>
      <c r="BW630" s="279"/>
      <c r="BX630" s="279"/>
      <c r="BY630" s="279"/>
      <c r="BZ630" s="279"/>
      <c r="CA630" s="279"/>
      <c r="CB630" s="279"/>
      <c r="CC630" s="279"/>
      <c r="CD630" s="279"/>
      <c r="CE630" s="279"/>
      <c r="CF630" s="279"/>
      <c r="CG630" s="279"/>
      <c r="CH630" s="279"/>
      <c r="CI630" s="279"/>
      <c r="CJ630" s="279"/>
      <c r="CK630" s="279"/>
      <c r="CL630" s="279"/>
      <c r="CM630" s="279"/>
      <c r="CN630" s="382"/>
    </row>
    <row r="631" x14ac:dyDescent="0.3">
      <c r="B631" s="361"/>
      <c r="C631" s="279"/>
      <c r="D631" s="280"/>
      <c r="E631" s="287"/>
      <c r="F631" s="287"/>
      <c r="G631" s="287"/>
      <c r="H631" s="1292">
        <f t="shared" si="25"/>
        <v>22</v>
      </c>
      <c r="I631" s="1190" t="str">
        <f t="shared" si="27"/>
        <v/>
      </c>
      <c r="J631" s="1295" t="str">
        <f>IF('I. Stream &amp; Compound Data'!BO283&lt;&gt;"",'I. Stream &amp; Compound Data'!BO283,IF('I. Stream &amp; Compound Data'!BP283&lt;&gt;"",'I. Stream &amp; Compound Data'!BP283,""))</f>
        <v/>
      </c>
      <c r="K631" s="1295" t="str">
        <f t="shared" si="29"/>
        <v/>
      </c>
      <c r="L631" s="1317" t="str">
        <f t="shared" si="30"/>
        <v/>
      </c>
      <c r="M631" s="287"/>
      <c r="N631" s="296"/>
      <c r="O631" s="280"/>
      <c r="P631" s="287"/>
      <c r="Q631" s="279"/>
      <c r="R631" s="297"/>
      <c r="S631" s="298"/>
      <c r="T631" s="298"/>
      <c r="U631" s="299"/>
      <c r="V631" s="279"/>
      <c r="W631" s="279"/>
      <c r="X631" s="279"/>
      <c r="Y631" s="279"/>
      <c r="Z631" s="279"/>
      <c r="AA631" s="279"/>
      <c r="AB631" s="279"/>
      <c r="AC631" s="279"/>
      <c r="AD631" s="279"/>
      <c r="AE631" s="279"/>
      <c r="AF631" s="279"/>
      <c r="AG631" s="279"/>
      <c r="AH631" s="279"/>
      <c r="AI631" s="279"/>
      <c r="AJ631" s="279"/>
      <c r="AK631" s="279"/>
      <c r="AL631" s="279"/>
      <c r="AM631" s="279"/>
      <c r="AN631" s="279"/>
      <c r="AO631" s="279"/>
      <c r="AP631" s="279"/>
      <c r="AQ631" s="279"/>
      <c r="AR631" s="279"/>
      <c r="AS631" s="279"/>
      <c r="AT631" s="279"/>
      <c r="AU631" s="279"/>
      <c r="AV631" s="279"/>
      <c r="AW631" s="279"/>
      <c r="AX631" s="279"/>
      <c r="AY631" s="279"/>
      <c r="AZ631" s="279"/>
      <c r="BA631" s="279"/>
      <c r="BB631" s="279"/>
      <c r="BC631" s="279"/>
      <c r="BD631" s="279"/>
      <c r="BE631" s="279"/>
      <c r="BF631" s="279"/>
      <c r="BG631" s="279"/>
      <c r="BH631" s="279"/>
      <c r="BI631" s="279"/>
      <c r="BJ631" s="279"/>
      <c r="BK631" s="279"/>
      <c r="BL631" s="279"/>
      <c r="BM631" s="279"/>
      <c r="BN631" s="279"/>
      <c r="BO631" s="279"/>
      <c r="BP631" s="279"/>
      <c r="BQ631" s="279"/>
      <c r="BR631" s="279"/>
      <c r="BS631" s="279"/>
      <c r="BT631" s="279"/>
      <c r="BU631" s="279"/>
      <c r="BV631" s="279"/>
      <c r="BW631" s="279"/>
      <c r="BX631" s="279"/>
      <c r="BY631" s="279"/>
      <c r="BZ631" s="279"/>
      <c r="CA631" s="279"/>
      <c r="CB631" s="279"/>
      <c r="CC631" s="279"/>
      <c r="CD631" s="279"/>
      <c r="CE631" s="279"/>
      <c r="CF631" s="279"/>
      <c r="CG631" s="279"/>
      <c r="CH631" s="279"/>
      <c r="CI631" s="279"/>
      <c r="CJ631" s="279"/>
      <c r="CK631" s="279"/>
      <c r="CL631" s="279"/>
      <c r="CM631" s="279"/>
      <c r="CN631" s="382"/>
    </row>
    <row r="632" x14ac:dyDescent="0.3">
      <c r="B632" s="361"/>
      <c r="C632" s="279"/>
      <c r="D632" s="280"/>
      <c r="E632" s="287"/>
      <c r="F632" s="287"/>
      <c r="G632" s="287"/>
      <c r="H632" s="1292">
        <f t="shared" si="25"/>
        <v>23</v>
      </c>
      <c r="I632" s="1190" t="str">
        <f t="shared" si="27"/>
        <v/>
      </c>
      <c r="J632" s="1295" t="str">
        <f>IF('I. Stream &amp; Compound Data'!BO284&lt;&gt;"",'I. Stream &amp; Compound Data'!BO284,IF('I. Stream &amp; Compound Data'!BP284&lt;&gt;"",'I. Stream &amp; Compound Data'!BP284,""))</f>
        <v/>
      </c>
      <c r="K632" s="1295" t="str">
        <f t="shared" si="29"/>
        <v/>
      </c>
      <c r="L632" s="1317" t="str">
        <f t="shared" si="30"/>
        <v/>
      </c>
      <c r="M632" s="287"/>
      <c r="N632" s="296"/>
      <c r="O632" s="280"/>
      <c r="P632" s="287"/>
      <c r="Q632" s="279"/>
      <c r="R632" s="297"/>
      <c r="S632" s="298"/>
      <c r="T632" s="298"/>
      <c r="U632" s="299"/>
      <c r="V632" s="279"/>
      <c r="W632" s="279"/>
      <c r="X632" s="279"/>
      <c r="Y632" s="279"/>
      <c r="Z632" s="279"/>
      <c r="AA632" s="279"/>
      <c r="AB632" s="279"/>
      <c r="AC632" s="279"/>
      <c r="AD632" s="279"/>
      <c r="AE632" s="279"/>
      <c r="AF632" s="279"/>
      <c r="AG632" s="279"/>
      <c r="AH632" s="279"/>
      <c r="AI632" s="279"/>
      <c r="AJ632" s="279"/>
      <c r="AK632" s="279"/>
      <c r="AL632" s="279"/>
      <c r="AM632" s="279"/>
      <c r="AN632" s="279"/>
      <c r="AO632" s="279"/>
      <c r="AP632" s="279"/>
      <c r="AQ632" s="279"/>
      <c r="AR632" s="279"/>
      <c r="AS632" s="279"/>
      <c r="AT632" s="279"/>
      <c r="AU632" s="279"/>
      <c r="AV632" s="279"/>
      <c r="AW632" s="279"/>
      <c r="AX632" s="279"/>
      <c r="AY632" s="279"/>
      <c r="AZ632" s="279"/>
      <c r="BA632" s="279"/>
      <c r="BB632" s="279"/>
      <c r="BC632" s="279"/>
      <c r="BD632" s="279"/>
      <c r="BE632" s="279"/>
      <c r="BF632" s="279"/>
      <c r="BG632" s="279"/>
      <c r="BH632" s="279"/>
      <c r="BI632" s="279"/>
      <c r="BJ632" s="279"/>
      <c r="BK632" s="279"/>
      <c r="BL632" s="279"/>
      <c r="BM632" s="279"/>
      <c r="BN632" s="279"/>
      <c r="BO632" s="279"/>
      <c r="BP632" s="279"/>
      <c r="BQ632" s="279"/>
      <c r="BR632" s="279"/>
      <c r="BS632" s="279"/>
      <c r="BT632" s="279"/>
      <c r="BU632" s="279"/>
      <c r="BV632" s="279"/>
      <c r="BW632" s="279"/>
      <c r="BX632" s="279"/>
      <c r="BY632" s="279"/>
      <c r="BZ632" s="279"/>
      <c r="CA632" s="279"/>
      <c r="CB632" s="279"/>
      <c r="CC632" s="279"/>
      <c r="CD632" s="279"/>
      <c r="CE632" s="279"/>
      <c r="CF632" s="279"/>
      <c r="CG632" s="279"/>
      <c r="CH632" s="279"/>
      <c r="CI632" s="279"/>
      <c r="CJ632" s="279"/>
      <c r="CK632" s="279"/>
      <c r="CL632" s="279"/>
      <c r="CM632" s="279"/>
      <c r="CN632" s="382"/>
    </row>
    <row r="633" x14ac:dyDescent="0.3">
      <c r="B633" s="361"/>
      <c r="C633" s="279"/>
      <c r="D633" s="280"/>
      <c r="E633" s="287"/>
      <c r="F633" s="287"/>
      <c r="G633" s="287"/>
      <c r="H633" s="1292">
        <f t="shared" si="25"/>
        <v>24</v>
      </c>
      <c r="I633" s="1190" t="str">
        <f t="shared" si="27"/>
        <v/>
      </c>
      <c r="J633" s="1295" t="str">
        <f>IF('I. Stream &amp; Compound Data'!BO285&lt;&gt;"",'I. Stream &amp; Compound Data'!BO285,IF('I. Stream &amp; Compound Data'!BP285&lt;&gt;"",'I. Stream &amp; Compound Data'!BP285,""))</f>
        <v/>
      </c>
      <c r="K633" s="1295" t="str">
        <f t="shared" si="29"/>
        <v/>
      </c>
      <c r="L633" s="1317" t="str">
        <f t="shared" si="30"/>
        <v/>
      </c>
      <c r="M633" s="287"/>
      <c r="N633" s="296"/>
      <c r="O633" s="280"/>
      <c r="P633" s="287"/>
      <c r="Q633" s="279"/>
      <c r="R633" s="297"/>
      <c r="S633" s="298"/>
      <c r="T633" s="298"/>
      <c r="U633" s="299"/>
      <c r="V633" s="279"/>
      <c r="W633" s="279"/>
      <c r="X633" s="279"/>
      <c r="Y633" s="279"/>
      <c r="Z633" s="279"/>
      <c r="AA633" s="279"/>
      <c r="AB633" s="279"/>
      <c r="AC633" s="279"/>
      <c r="AD633" s="279"/>
      <c r="AE633" s="279"/>
      <c r="AF633" s="279"/>
      <c r="AG633" s="279"/>
      <c r="AH633" s="279"/>
      <c r="AI633" s="279"/>
      <c r="AJ633" s="279"/>
      <c r="AK633" s="279"/>
      <c r="AL633" s="279"/>
      <c r="AM633" s="279"/>
      <c r="AN633" s="279"/>
      <c r="AO633" s="279"/>
      <c r="AP633" s="279"/>
      <c r="AQ633" s="279"/>
      <c r="AR633" s="279"/>
      <c r="AS633" s="279"/>
      <c r="AT633" s="279"/>
      <c r="AU633" s="279"/>
      <c r="AV633" s="279"/>
      <c r="AW633" s="279"/>
      <c r="AX633" s="279"/>
      <c r="AY633" s="279"/>
      <c r="AZ633" s="279"/>
      <c r="BA633" s="279"/>
      <c r="BB633" s="279"/>
      <c r="BC633" s="279"/>
      <c r="BD633" s="279"/>
      <c r="BE633" s="279"/>
      <c r="BF633" s="279"/>
      <c r="BG633" s="279"/>
      <c r="BH633" s="279"/>
      <c r="BI633" s="279"/>
      <c r="BJ633" s="279"/>
      <c r="BK633" s="279"/>
      <c r="BL633" s="279"/>
      <c r="BM633" s="279"/>
      <c r="BN633" s="279"/>
      <c r="BO633" s="279"/>
      <c r="BP633" s="279"/>
      <c r="BQ633" s="279"/>
      <c r="BR633" s="279"/>
      <c r="BS633" s="279"/>
      <c r="BT633" s="279"/>
      <c r="BU633" s="279"/>
      <c r="BV633" s="279"/>
      <c r="BW633" s="279"/>
      <c r="BX633" s="279"/>
      <c r="BY633" s="279"/>
      <c r="BZ633" s="279"/>
      <c r="CA633" s="279"/>
      <c r="CB633" s="279"/>
      <c r="CC633" s="279"/>
      <c r="CD633" s="279"/>
      <c r="CE633" s="279"/>
      <c r="CF633" s="279"/>
      <c r="CG633" s="279"/>
      <c r="CH633" s="279"/>
      <c r="CI633" s="279"/>
      <c r="CJ633" s="279"/>
      <c r="CK633" s="279"/>
      <c r="CL633" s="279"/>
      <c r="CM633" s="279"/>
      <c r="CN633" s="382"/>
    </row>
    <row r="634" x14ac:dyDescent="0.3">
      <c r="B634" s="361"/>
      <c r="C634" s="279"/>
      <c r="D634" s="280"/>
      <c r="E634" s="287"/>
      <c r="F634" s="287"/>
      <c r="G634" s="287"/>
      <c r="H634" s="1292">
        <f t="shared" si="25"/>
        <v>25</v>
      </c>
      <c r="I634" s="1190" t="str">
        <f t="shared" si="27"/>
        <v/>
      </c>
      <c r="J634" s="1295" t="str">
        <f>IF('I. Stream &amp; Compound Data'!BO286&lt;&gt;"",'I. Stream &amp; Compound Data'!BO286,IF('I. Stream &amp; Compound Data'!BP286&lt;&gt;"",'I. Stream &amp; Compound Data'!BP286,""))</f>
        <v/>
      </c>
      <c r="K634" s="1295" t="str">
        <f t="shared" si="29"/>
        <v/>
      </c>
      <c r="L634" s="1317" t="str">
        <f t="shared" si="30"/>
        <v/>
      </c>
      <c r="M634" s="287"/>
      <c r="N634" s="296"/>
      <c r="O634" s="280"/>
      <c r="P634" s="287"/>
      <c r="Q634" s="279"/>
      <c r="R634" s="297"/>
      <c r="S634" s="298"/>
      <c r="T634" s="298"/>
      <c r="U634" s="299"/>
      <c r="V634" s="279"/>
      <c r="W634" s="279"/>
      <c r="X634" s="279"/>
      <c r="Y634" s="279"/>
      <c r="Z634" s="279"/>
      <c r="AA634" s="279"/>
      <c r="AB634" s="279"/>
      <c r="AC634" s="279"/>
      <c r="AD634" s="279"/>
      <c r="AE634" s="279"/>
      <c r="AF634" s="279"/>
      <c r="AG634" s="279"/>
      <c r="AH634" s="279"/>
      <c r="AI634" s="279"/>
      <c r="AJ634" s="279"/>
      <c r="AK634" s="279"/>
      <c r="AL634" s="279"/>
      <c r="AM634" s="279"/>
      <c r="AN634" s="279"/>
      <c r="AO634" s="279"/>
      <c r="AP634" s="279"/>
      <c r="AQ634" s="279"/>
      <c r="AR634" s="279"/>
      <c r="AS634" s="279"/>
      <c r="AT634" s="279"/>
      <c r="AU634" s="279"/>
      <c r="AV634" s="279"/>
      <c r="AW634" s="279"/>
      <c r="AX634" s="279"/>
      <c r="AY634" s="279"/>
      <c r="AZ634" s="279"/>
      <c r="BA634" s="279"/>
      <c r="BB634" s="279"/>
      <c r="BC634" s="279"/>
      <c r="BD634" s="279"/>
      <c r="BE634" s="279"/>
      <c r="BF634" s="279"/>
      <c r="BG634" s="279"/>
      <c r="BH634" s="279"/>
      <c r="BI634" s="279"/>
      <c r="BJ634" s="279"/>
      <c r="BK634" s="279"/>
      <c r="BL634" s="279"/>
      <c r="BM634" s="279"/>
      <c r="BN634" s="279"/>
      <c r="BO634" s="279"/>
      <c r="BP634" s="279"/>
      <c r="BQ634" s="279"/>
      <c r="BR634" s="279"/>
      <c r="BS634" s="279"/>
      <c r="BT634" s="279"/>
      <c r="BU634" s="279"/>
      <c r="BV634" s="279"/>
      <c r="BW634" s="279"/>
      <c r="BX634" s="279"/>
      <c r="BY634" s="279"/>
      <c r="BZ634" s="279"/>
      <c r="CA634" s="279"/>
      <c r="CB634" s="279"/>
      <c r="CC634" s="279"/>
      <c r="CD634" s="279"/>
      <c r="CE634" s="279"/>
      <c r="CF634" s="279"/>
      <c r="CG634" s="279"/>
      <c r="CH634" s="279"/>
      <c r="CI634" s="279"/>
      <c r="CJ634" s="279"/>
      <c r="CK634" s="279"/>
      <c r="CL634" s="279"/>
      <c r="CM634" s="279"/>
      <c r="CN634" s="382"/>
    </row>
    <row r="635" x14ac:dyDescent="0.3">
      <c r="B635" s="361"/>
      <c r="C635" s="279"/>
      <c r="D635" s="280"/>
      <c r="E635" s="287"/>
      <c r="F635" s="287"/>
      <c r="G635" s="287"/>
      <c r="H635" s="1292">
        <f t="shared" si="25"/>
        <v>26</v>
      </c>
      <c r="I635" s="1190" t="str">
        <f t="shared" si="27"/>
        <v/>
      </c>
      <c r="J635" s="1295" t="str">
        <f>IF('I. Stream &amp; Compound Data'!BO287&lt;&gt;"",'I. Stream &amp; Compound Data'!BO287,IF('I. Stream &amp; Compound Data'!BP287&lt;&gt;"",'I. Stream &amp; Compound Data'!BP287,""))</f>
        <v/>
      </c>
      <c r="K635" s="1295" t="str">
        <f t="shared" si="29"/>
        <v/>
      </c>
      <c r="L635" s="1317" t="str">
        <f t="shared" si="30"/>
        <v/>
      </c>
      <c r="M635" s="287"/>
      <c r="N635" s="296"/>
      <c r="O635" s="280"/>
      <c r="P635" s="287"/>
      <c r="Q635" s="279"/>
      <c r="R635" s="297"/>
      <c r="S635" s="298"/>
      <c r="T635" s="298"/>
      <c r="U635" s="299"/>
      <c r="V635" s="279"/>
      <c r="W635" s="279"/>
      <c r="X635" s="279"/>
      <c r="Y635" s="279"/>
      <c r="Z635" s="279"/>
      <c r="AA635" s="279"/>
      <c r="AB635" s="279"/>
      <c r="AC635" s="279"/>
      <c r="AD635" s="279"/>
      <c r="AE635" s="279"/>
      <c r="AF635" s="279"/>
      <c r="AG635" s="279"/>
      <c r="AH635" s="279"/>
      <c r="AI635" s="279"/>
      <c r="AJ635" s="279"/>
      <c r="AK635" s="279"/>
      <c r="AL635" s="279"/>
      <c r="AM635" s="279"/>
      <c r="AN635" s="279"/>
      <c r="AO635" s="279"/>
      <c r="AP635" s="279"/>
      <c r="AQ635" s="279"/>
      <c r="AR635" s="279"/>
      <c r="AS635" s="279"/>
      <c r="AT635" s="279"/>
      <c r="AU635" s="279"/>
      <c r="AV635" s="279"/>
      <c r="AW635" s="279"/>
      <c r="AX635" s="279"/>
      <c r="AY635" s="279"/>
      <c r="AZ635" s="279"/>
      <c r="BA635" s="279"/>
      <c r="BB635" s="279"/>
      <c r="BC635" s="279"/>
      <c r="BD635" s="279"/>
      <c r="BE635" s="279"/>
      <c r="BF635" s="279"/>
      <c r="BG635" s="279"/>
      <c r="BH635" s="279"/>
      <c r="BI635" s="279"/>
      <c r="BJ635" s="279"/>
      <c r="BK635" s="279"/>
      <c r="BL635" s="279"/>
      <c r="BM635" s="279"/>
      <c r="BN635" s="279"/>
      <c r="BO635" s="279"/>
      <c r="BP635" s="279"/>
      <c r="BQ635" s="279"/>
      <c r="BR635" s="279"/>
      <c r="BS635" s="279"/>
      <c r="BT635" s="279"/>
      <c r="BU635" s="279"/>
      <c r="BV635" s="279"/>
      <c r="BW635" s="279"/>
      <c r="BX635" s="279"/>
      <c r="BY635" s="279"/>
      <c r="BZ635" s="279"/>
      <c r="CA635" s="279"/>
      <c r="CB635" s="279"/>
      <c r="CC635" s="279"/>
      <c r="CD635" s="279"/>
      <c r="CE635" s="279"/>
      <c r="CF635" s="279"/>
      <c r="CG635" s="279"/>
      <c r="CH635" s="279"/>
      <c r="CI635" s="279"/>
      <c r="CJ635" s="279"/>
      <c r="CK635" s="279"/>
      <c r="CL635" s="279"/>
      <c r="CM635" s="279"/>
      <c r="CN635" s="382"/>
    </row>
    <row r="636" x14ac:dyDescent="0.3">
      <c r="B636" s="361"/>
      <c r="C636" s="279"/>
      <c r="D636" s="280"/>
      <c r="E636" s="287"/>
      <c r="F636" s="287"/>
      <c r="G636" s="287"/>
      <c r="H636" s="1292">
        <f t="shared" si="25"/>
        <v>27</v>
      </c>
      <c r="I636" s="1190" t="str">
        <f t="shared" si="27"/>
        <v/>
      </c>
      <c r="J636" s="1295" t="str">
        <f>IF('I. Stream &amp; Compound Data'!BO288&lt;&gt;"",'I. Stream &amp; Compound Data'!BO288,IF('I. Stream &amp; Compound Data'!BP288&lt;&gt;"",'I. Stream &amp; Compound Data'!BP288,""))</f>
        <v/>
      </c>
      <c r="K636" s="1295" t="str">
        <f t="shared" si="29"/>
        <v/>
      </c>
      <c r="L636" s="1317" t="str">
        <f t="shared" si="30"/>
        <v/>
      </c>
      <c r="M636" s="287"/>
      <c r="N636" s="296"/>
      <c r="O636" s="280"/>
      <c r="P636" s="287"/>
      <c r="Q636" s="279"/>
      <c r="R636" s="297"/>
      <c r="S636" s="298"/>
      <c r="T636" s="298"/>
      <c r="U636" s="299"/>
      <c r="V636" s="279"/>
      <c r="W636" s="279"/>
      <c r="X636" s="279"/>
      <c r="Y636" s="279"/>
      <c r="Z636" s="279"/>
      <c r="AA636" s="279"/>
      <c r="AB636" s="279"/>
      <c r="AC636" s="279"/>
      <c r="AD636" s="279"/>
      <c r="AE636" s="279"/>
      <c r="AF636" s="279"/>
      <c r="AG636" s="279"/>
      <c r="AH636" s="279"/>
      <c r="AI636" s="279"/>
      <c r="AJ636" s="279"/>
      <c r="AK636" s="279"/>
      <c r="AL636" s="279"/>
      <c r="AM636" s="279"/>
      <c r="AN636" s="279"/>
      <c r="AO636" s="279"/>
      <c r="AP636" s="279"/>
      <c r="AQ636" s="279"/>
      <c r="AR636" s="279"/>
      <c r="AS636" s="279"/>
      <c r="AT636" s="279"/>
      <c r="AU636" s="279"/>
      <c r="AV636" s="279"/>
      <c r="AW636" s="279"/>
      <c r="AX636" s="279"/>
      <c r="AY636" s="279"/>
      <c r="AZ636" s="279"/>
      <c r="BA636" s="279"/>
      <c r="BB636" s="279"/>
      <c r="BC636" s="279"/>
      <c r="BD636" s="279"/>
      <c r="BE636" s="279"/>
      <c r="BF636" s="279"/>
      <c r="BG636" s="279"/>
      <c r="BH636" s="279"/>
      <c r="BI636" s="279"/>
      <c r="BJ636" s="279"/>
      <c r="BK636" s="279"/>
      <c r="BL636" s="279"/>
      <c r="BM636" s="279"/>
      <c r="BN636" s="279"/>
      <c r="BO636" s="279"/>
      <c r="BP636" s="279"/>
      <c r="BQ636" s="279"/>
      <c r="BR636" s="279"/>
      <c r="BS636" s="279"/>
      <c r="BT636" s="279"/>
      <c r="BU636" s="279"/>
      <c r="BV636" s="279"/>
      <c r="BW636" s="279"/>
      <c r="BX636" s="279"/>
      <c r="BY636" s="279"/>
      <c r="BZ636" s="279"/>
      <c r="CA636" s="279"/>
      <c r="CB636" s="279"/>
      <c r="CC636" s="279"/>
      <c r="CD636" s="279"/>
      <c r="CE636" s="279"/>
      <c r="CF636" s="279"/>
      <c r="CG636" s="279"/>
      <c r="CH636" s="279"/>
      <c r="CI636" s="279"/>
      <c r="CJ636" s="279"/>
      <c r="CK636" s="279"/>
      <c r="CL636" s="279"/>
      <c r="CM636" s="279"/>
      <c r="CN636" s="382"/>
    </row>
    <row r="637" x14ac:dyDescent="0.3">
      <c r="B637" s="361"/>
      <c r="C637" s="279"/>
      <c r="D637" s="280"/>
      <c r="E637" s="287"/>
      <c r="F637" s="287"/>
      <c r="G637" s="287"/>
      <c r="H637" s="1292">
        <f t="shared" si="25"/>
        <v>28</v>
      </c>
      <c r="I637" s="1190" t="str">
        <f t="shared" si="27"/>
        <v/>
      </c>
      <c r="J637" s="1295" t="str">
        <f>IF('I. Stream &amp; Compound Data'!BO289&lt;&gt;"",'I. Stream &amp; Compound Data'!BO289,IF('I. Stream &amp; Compound Data'!BP289&lt;&gt;"",'I. Stream &amp; Compound Data'!BP289,""))</f>
        <v/>
      </c>
      <c r="K637" s="1295" t="str">
        <f t="shared" si="29"/>
        <v/>
      </c>
      <c r="L637" s="1317" t="str">
        <f t="shared" si="30"/>
        <v/>
      </c>
      <c r="M637" s="287"/>
      <c r="N637" s="296"/>
      <c r="O637" s="280"/>
      <c r="P637" s="287"/>
      <c r="Q637" s="279"/>
      <c r="R637" s="297"/>
      <c r="S637" s="298"/>
      <c r="T637" s="298"/>
      <c r="U637" s="299"/>
      <c r="V637" s="279"/>
      <c r="W637" s="279"/>
      <c r="X637" s="279"/>
      <c r="Y637" s="279"/>
      <c r="Z637" s="279"/>
      <c r="AA637" s="279"/>
      <c r="AB637" s="279"/>
      <c r="AC637" s="279"/>
      <c r="AD637" s="279"/>
      <c r="AE637" s="279"/>
      <c r="AF637" s="279"/>
      <c r="AG637" s="279"/>
      <c r="AH637" s="279"/>
      <c r="AI637" s="279"/>
      <c r="AJ637" s="279"/>
      <c r="AK637" s="279"/>
      <c r="AL637" s="279"/>
      <c r="AM637" s="279"/>
      <c r="AN637" s="279"/>
      <c r="AO637" s="279"/>
      <c r="AP637" s="279"/>
      <c r="AQ637" s="279"/>
      <c r="AR637" s="279"/>
      <c r="AS637" s="279"/>
      <c r="AT637" s="279"/>
      <c r="AU637" s="279"/>
      <c r="AV637" s="279"/>
      <c r="AW637" s="279"/>
      <c r="AX637" s="279"/>
      <c r="AY637" s="279"/>
      <c r="AZ637" s="279"/>
      <c r="BA637" s="279"/>
      <c r="BB637" s="279"/>
      <c r="BC637" s="279"/>
      <c r="BD637" s="279"/>
      <c r="BE637" s="279"/>
      <c r="BF637" s="279"/>
      <c r="BG637" s="279"/>
      <c r="BH637" s="279"/>
      <c r="BI637" s="279"/>
      <c r="BJ637" s="279"/>
      <c r="BK637" s="279"/>
      <c r="BL637" s="279"/>
      <c r="BM637" s="279"/>
      <c r="BN637" s="279"/>
      <c r="BO637" s="279"/>
      <c r="BP637" s="279"/>
      <c r="BQ637" s="279"/>
      <c r="BR637" s="279"/>
      <c r="BS637" s="279"/>
      <c r="BT637" s="279"/>
      <c r="BU637" s="279"/>
      <c r="BV637" s="279"/>
      <c r="BW637" s="279"/>
      <c r="BX637" s="279"/>
      <c r="BY637" s="279"/>
      <c r="BZ637" s="279"/>
      <c r="CA637" s="279"/>
      <c r="CB637" s="279"/>
      <c r="CC637" s="279"/>
      <c r="CD637" s="279"/>
      <c r="CE637" s="279"/>
      <c r="CF637" s="279"/>
      <c r="CG637" s="279"/>
      <c r="CH637" s="279"/>
      <c r="CI637" s="279"/>
      <c r="CJ637" s="279"/>
      <c r="CK637" s="279"/>
      <c r="CL637" s="279"/>
      <c r="CM637" s="279"/>
      <c r="CN637" s="382"/>
    </row>
    <row r="638" x14ac:dyDescent="0.3">
      <c r="B638" s="361"/>
      <c r="C638" s="279"/>
      <c r="D638" s="280"/>
      <c r="E638" s="287"/>
      <c r="F638" s="287"/>
      <c r="G638" s="287"/>
      <c r="H638" s="1292">
        <f t="shared" si="25"/>
        <v>29</v>
      </c>
      <c r="I638" s="1190" t="str">
        <f t="shared" si="27"/>
        <v/>
      </c>
      <c r="J638" s="1295" t="str">
        <f>IF('I. Stream &amp; Compound Data'!BO290&lt;&gt;"",'I. Stream &amp; Compound Data'!BO290,IF('I. Stream &amp; Compound Data'!BP290&lt;&gt;"",'I. Stream &amp; Compound Data'!BP290,""))</f>
        <v/>
      </c>
      <c r="K638" s="1295" t="str">
        <f t="shared" si="29"/>
        <v/>
      </c>
      <c r="L638" s="1317" t="str">
        <f t="shared" si="30"/>
        <v/>
      </c>
      <c r="M638" s="287"/>
      <c r="N638" s="296"/>
      <c r="O638" s="280"/>
      <c r="P638" s="287"/>
      <c r="Q638" s="279"/>
      <c r="R638" s="297"/>
      <c r="S638" s="298"/>
      <c r="T638" s="298"/>
      <c r="U638" s="299"/>
      <c r="V638" s="279"/>
      <c r="W638" s="279"/>
      <c r="X638" s="279"/>
      <c r="Y638" s="279"/>
      <c r="Z638" s="279"/>
      <c r="AA638" s="279"/>
      <c r="AB638" s="279"/>
      <c r="AC638" s="279"/>
      <c r="AD638" s="279"/>
      <c r="AE638" s="279"/>
      <c r="AF638" s="279"/>
      <c r="AG638" s="279"/>
      <c r="AH638" s="279"/>
      <c r="AI638" s="279"/>
      <c r="AJ638" s="279"/>
      <c r="AK638" s="279"/>
      <c r="AL638" s="279"/>
      <c r="AM638" s="279"/>
      <c r="AN638" s="279"/>
      <c r="AO638" s="279"/>
      <c r="AP638" s="279"/>
      <c r="AQ638" s="279"/>
      <c r="AR638" s="279"/>
      <c r="AS638" s="279"/>
      <c r="AT638" s="279"/>
      <c r="AU638" s="279"/>
      <c r="AV638" s="279"/>
      <c r="AW638" s="279"/>
      <c r="AX638" s="279"/>
      <c r="AY638" s="279"/>
      <c r="AZ638" s="279"/>
      <c r="BA638" s="279"/>
      <c r="BB638" s="279"/>
      <c r="BC638" s="279"/>
      <c r="BD638" s="279"/>
      <c r="BE638" s="279"/>
      <c r="BF638" s="279"/>
      <c r="BG638" s="279"/>
      <c r="BH638" s="279"/>
      <c r="BI638" s="279"/>
      <c r="BJ638" s="279"/>
      <c r="BK638" s="279"/>
      <c r="BL638" s="279"/>
      <c r="BM638" s="279"/>
      <c r="BN638" s="279"/>
      <c r="BO638" s="279"/>
      <c r="BP638" s="279"/>
      <c r="BQ638" s="279"/>
      <c r="BR638" s="279"/>
      <c r="BS638" s="279"/>
      <c r="BT638" s="279"/>
      <c r="BU638" s="279"/>
      <c r="BV638" s="279"/>
      <c r="BW638" s="279"/>
      <c r="BX638" s="279"/>
      <c r="BY638" s="279"/>
      <c r="BZ638" s="279"/>
      <c r="CA638" s="279"/>
      <c r="CB638" s="279"/>
      <c r="CC638" s="279"/>
      <c r="CD638" s="279"/>
      <c r="CE638" s="279"/>
      <c r="CF638" s="279"/>
      <c r="CG638" s="279"/>
      <c r="CH638" s="279"/>
      <c r="CI638" s="279"/>
      <c r="CJ638" s="279"/>
      <c r="CK638" s="279"/>
      <c r="CL638" s="279"/>
      <c r="CM638" s="279"/>
      <c r="CN638" s="382"/>
    </row>
    <row r="639" x14ac:dyDescent="0.3">
      <c r="B639" s="361"/>
      <c r="C639" s="279"/>
      <c r="D639" s="280"/>
      <c r="E639" s="287"/>
      <c r="F639" s="287"/>
      <c r="G639" s="287"/>
      <c r="H639" s="1292">
        <f t="shared" si="25"/>
        <v>30</v>
      </c>
      <c r="I639" s="1190" t="str">
        <f t="shared" si="27"/>
        <v/>
      </c>
      <c r="J639" s="1295" t="str">
        <f>IF('I. Stream &amp; Compound Data'!BO291&lt;&gt;"",'I. Stream &amp; Compound Data'!BO291,IF('I. Stream &amp; Compound Data'!BP291&lt;&gt;"",'I. Stream &amp; Compound Data'!BP291,""))</f>
        <v/>
      </c>
      <c r="K639" s="1295" t="str">
        <f t="shared" si="29"/>
        <v/>
      </c>
      <c r="L639" s="1317" t="str">
        <f t="shared" si="30"/>
        <v/>
      </c>
      <c r="M639" s="287"/>
      <c r="N639" s="296"/>
      <c r="O639" s="280"/>
      <c r="P639" s="287"/>
      <c r="Q639" s="279"/>
      <c r="R639" s="297"/>
      <c r="S639" s="298"/>
      <c r="T639" s="298"/>
      <c r="U639" s="299"/>
      <c r="V639" s="279"/>
      <c r="W639" s="279"/>
      <c r="X639" s="279"/>
      <c r="Y639" s="279"/>
      <c r="Z639" s="279"/>
      <c r="AA639" s="279"/>
      <c r="AB639" s="279"/>
      <c r="AC639" s="279"/>
      <c r="AD639" s="279"/>
      <c r="AE639" s="279"/>
      <c r="AF639" s="279"/>
      <c r="AG639" s="279"/>
      <c r="AH639" s="279"/>
      <c r="AI639" s="279"/>
      <c r="AJ639" s="279"/>
      <c r="AK639" s="279"/>
      <c r="AL639" s="279"/>
      <c r="AM639" s="279"/>
      <c r="AN639" s="279"/>
      <c r="AO639" s="279"/>
      <c r="AP639" s="279"/>
      <c r="AQ639" s="279"/>
      <c r="AR639" s="279"/>
      <c r="AS639" s="279"/>
      <c r="AT639" s="279"/>
      <c r="AU639" s="279"/>
      <c r="AV639" s="279"/>
      <c r="AW639" s="279"/>
      <c r="AX639" s="279"/>
      <c r="AY639" s="279"/>
      <c r="AZ639" s="279"/>
      <c r="BA639" s="279"/>
      <c r="BB639" s="279"/>
      <c r="BC639" s="279"/>
      <c r="BD639" s="279"/>
      <c r="BE639" s="279"/>
      <c r="BF639" s="279"/>
      <c r="BG639" s="279"/>
      <c r="BH639" s="279"/>
      <c r="BI639" s="279"/>
      <c r="BJ639" s="279"/>
      <c r="BK639" s="279"/>
      <c r="BL639" s="279"/>
      <c r="BM639" s="279"/>
      <c r="BN639" s="279"/>
      <c r="BO639" s="279"/>
      <c r="BP639" s="279"/>
      <c r="BQ639" s="279"/>
      <c r="BR639" s="279"/>
      <c r="BS639" s="279"/>
      <c r="BT639" s="279"/>
      <c r="BU639" s="279"/>
      <c r="BV639" s="279"/>
      <c r="BW639" s="279"/>
      <c r="BX639" s="279"/>
      <c r="BY639" s="279"/>
      <c r="BZ639" s="279"/>
      <c r="CA639" s="279"/>
      <c r="CB639" s="279"/>
      <c r="CC639" s="279"/>
      <c r="CD639" s="279"/>
      <c r="CE639" s="279"/>
      <c r="CF639" s="279"/>
      <c r="CG639" s="279"/>
      <c r="CH639" s="279"/>
      <c r="CI639" s="279"/>
      <c r="CJ639" s="279"/>
      <c r="CK639" s="279"/>
      <c r="CL639" s="279"/>
      <c r="CM639" s="279"/>
      <c r="CN639" s="382"/>
    </row>
    <row r="640" x14ac:dyDescent="0.3">
      <c r="B640" s="361"/>
      <c r="C640" s="279"/>
      <c r="D640" s="280"/>
      <c r="E640" s="287"/>
      <c r="F640" s="287"/>
      <c r="G640" s="287"/>
      <c r="H640" s="1292">
        <f t="shared" si="25"/>
        <v>31</v>
      </c>
      <c r="I640" s="1190" t="str">
        <f t="shared" si="27"/>
        <v/>
      </c>
      <c r="J640" s="1295" t="str">
        <f>IF('I. Stream &amp; Compound Data'!BO292&lt;&gt;"",'I. Stream &amp; Compound Data'!BO292,IF('I. Stream &amp; Compound Data'!BP292&lt;&gt;"",'I. Stream &amp; Compound Data'!BP292,""))</f>
        <v/>
      </c>
      <c r="K640" s="1295" t="str">
        <f t="shared" si="29"/>
        <v/>
      </c>
      <c r="L640" s="1317" t="str">
        <f t="shared" si="30"/>
        <v/>
      </c>
      <c r="M640" s="287"/>
      <c r="N640" s="296"/>
      <c r="O640" s="280"/>
      <c r="P640" s="287"/>
      <c r="Q640" s="279"/>
      <c r="R640" s="297"/>
      <c r="S640" s="298"/>
      <c r="T640" s="298"/>
      <c r="U640" s="299"/>
      <c r="V640" s="279"/>
      <c r="W640" s="279"/>
      <c r="X640" s="279"/>
      <c r="Y640" s="279"/>
      <c r="Z640" s="279"/>
      <c r="AA640" s="279"/>
      <c r="AB640" s="279"/>
      <c r="AC640" s="279"/>
      <c r="AD640" s="279"/>
      <c r="AE640" s="279"/>
      <c r="AF640" s="279"/>
      <c r="AG640" s="279"/>
      <c r="AH640" s="279"/>
      <c r="AI640" s="279"/>
      <c r="AJ640" s="279"/>
      <c r="AK640" s="279"/>
      <c r="AL640" s="279"/>
      <c r="AM640" s="279"/>
      <c r="AN640" s="279"/>
      <c r="AO640" s="279"/>
      <c r="AP640" s="279"/>
      <c r="AQ640" s="279"/>
      <c r="AR640" s="279"/>
      <c r="AS640" s="279"/>
      <c r="AT640" s="279"/>
      <c r="AU640" s="279"/>
      <c r="AV640" s="279"/>
      <c r="AW640" s="279"/>
      <c r="AX640" s="279"/>
      <c r="AY640" s="279"/>
      <c r="AZ640" s="279"/>
      <c r="BA640" s="279"/>
      <c r="BB640" s="279"/>
      <c r="BC640" s="279"/>
      <c r="BD640" s="279"/>
      <c r="BE640" s="279"/>
      <c r="BF640" s="279"/>
      <c r="BG640" s="279"/>
      <c r="BH640" s="279"/>
      <c r="BI640" s="279"/>
      <c r="BJ640" s="279"/>
      <c r="BK640" s="279"/>
      <c r="BL640" s="279"/>
      <c r="BM640" s="279"/>
      <c r="BN640" s="279"/>
      <c r="BO640" s="279"/>
      <c r="BP640" s="279"/>
      <c r="BQ640" s="279"/>
      <c r="BR640" s="279"/>
      <c r="BS640" s="279"/>
      <c r="BT640" s="279"/>
      <c r="BU640" s="279"/>
      <c r="BV640" s="279"/>
      <c r="BW640" s="279"/>
      <c r="BX640" s="279"/>
      <c r="BY640" s="279"/>
      <c r="BZ640" s="279"/>
      <c r="CA640" s="279"/>
      <c r="CB640" s="279"/>
      <c r="CC640" s="279"/>
      <c r="CD640" s="279"/>
      <c r="CE640" s="279"/>
      <c r="CF640" s="279"/>
      <c r="CG640" s="279"/>
      <c r="CH640" s="279"/>
      <c r="CI640" s="279"/>
      <c r="CJ640" s="279"/>
      <c r="CK640" s="279"/>
      <c r="CL640" s="279"/>
      <c r="CM640" s="279"/>
      <c r="CN640" s="382"/>
    </row>
    <row r="641" x14ac:dyDescent="0.3">
      <c r="B641" s="361"/>
      <c r="C641" s="279"/>
      <c r="D641" s="280"/>
      <c r="E641" s="287"/>
      <c r="F641" s="287"/>
      <c r="G641" s="287"/>
      <c r="H641" s="1292">
        <f t="shared" si="25"/>
        <v>32</v>
      </c>
      <c r="I641" s="1190" t="str">
        <f t="shared" si="27"/>
        <v/>
      </c>
      <c r="J641" s="1295" t="str">
        <f>IF('I. Stream &amp; Compound Data'!BO293&lt;&gt;"",'I. Stream &amp; Compound Data'!BO293,IF('I. Stream &amp; Compound Data'!BP293&lt;&gt;"",'I. Stream &amp; Compound Data'!BP293,""))</f>
        <v/>
      </c>
      <c r="K641" s="1295" t="str">
        <f t="shared" si="29"/>
        <v/>
      </c>
      <c r="L641" s="1317" t="str">
        <f t="shared" si="30"/>
        <v/>
      </c>
      <c r="M641" s="287"/>
      <c r="N641" s="296"/>
      <c r="O641" s="280"/>
      <c r="P641" s="287"/>
      <c r="Q641" s="279"/>
      <c r="R641" s="297"/>
      <c r="S641" s="298"/>
      <c r="T641" s="298"/>
      <c r="U641" s="299"/>
      <c r="V641" s="279"/>
      <c r="W641" s="279"/>
      <c r="X641" s="279"/>
      <c r="Y641" s="279"/>
      <c r="Z641" s="279"/>
      <c r="AA641" s="279"/>
      <c r="AB641" s="279"/>
      <c r="AC641" s="279"/>
      <c r="AD641" s="279"/>
      <c r="AE641" s="279"/>
      <c r="AF641" s="279"/>
      <c r="AG641" s="279"/>
      <c r="AH641" s="279"/>
      <c r="AI641" s="279"/>
      <c r="AJ641" s="279"/>
      <c r="AK641" s="279"/>
      <c r="AL641" s="279"/>
      <c r="AM641" s="279"/>
      <c r="AN641" s="279"/>
      <c r="AO641" s="279"/>
      <c r="AP641" s="279"/>
      <c r="AQ641" s="279"/>
      <c r="AR641" s="279"/>
      <c r="AS641" s="279"/>
      <c r="AT641" s="279"/>
      <c r="AU641" s="279"/>
      <c r="AV641" s="279"/>
      <c r="AW641" s="279"/>
      <c r="AX641" s="279"/>
      <c r="AY641" s="279"/>
      <c r="AZ641" s="279"/>
      <c r="BA641" s="279"/>
      <c r="BB641" s="279"/>
      <c r="BC641" s="279"/>
      <c r="BD641" s="279"/>
      <c r="BE641" s="279"/>
      <c r="BF641" s="279"/>
      <c r="BG641" s="279"/>
      <c r="BH641" s="279"/>
      <c r="BI641" s="279"/>
      <c r="BJ641" s="279"/>
      <c r="BK641" s="279"/>
      <c r="BL641" s="279"/>
      <c r="BM641" s="279"/>
      <c r="BN641" s="279"/>
      <c r="BO641" s="279"/>
      <c r="BP641" s="279"/>
      <c r="BQ641" s="279"/>
      <c r="BR641" s="279"/>
      <c r="BS641" s="279"/>
      <c r="BT641" s="279"/>
      <c r="BU641" s="279"/>
      <c r="BV641" s="279"/>
      <c r="BW641" s="279"/>
      <c r="BX641" s="279"/>
      <c r="BY641" s="279"/>
      <c r="BZ641" s="279"/>
      <c r="CA641" s="279"/>
      <c r="CB641" s="279"/>
      <c r="CC641" s="279"/>
      <c r="CD641" s="279"/>
      <c r="CE641" s="279"/>
      <c r="CF641" s="279"/>
      <c r="CG641" s="279"/>
      <c r="CH641" s="279"/>
      <c r="CI641" s="279"/>
      <c r="CJ641" s="279"/>
      <c r="CK641" s="279"/>
      <c r="CL641" s="279"/>
      <c r="CM641" s="279"/>
      <c r="CN641" s="382"/>
    </row>
    <row r="642" x14ac:dyDescent="0.3">
      <c r="B642" s="361"/>
      <c r="C642" s="279"/>
      <c r="D642" s="280"/>
      <c r="E642" s="287"/>
      <c r="F642" s="287"/>
      <c r="G642" s="287"/>
      <c r="H642" s="1292">
        <f t="shared" si="25"/>
        <v>33</v>
      </c>
      <c r="I642" s="1190" t="str">
        <f t="shared" si="27"/>
        <v/>
      </c>
      <c r="J642" s="1295" t="str">
        <f>IF('I. Stream &amp; Compound Data'!BO294&lt;&gt;"",'I. Stream &amp; Compound Data'!BO294,IF('I. Stream &amp; Compound Data'!BP294&lt;&gt;"",'I. Stream &amp; Compound Data'!BP294,""))</f>
        <v/>
      </c>
      <c r="K642" s="1295" t="str">
        <f t="shared" si="29"/>
        <v/>
      </c>
      <c r="L642" s="1317" t="str">
        <f t="shared" si="30"/>
        <v/>
      </c>
      <c r="M642" s="287"/>
      <c r="N642" s="296"/>
      <c r="O642" s="280"/>
      <c r="P642" s="287"/>
      <c r="Q642" s="279"/>
      <c r="R642" s="297"/>
      <c r="S642" s="298"/>
      <c r="T642" s="298"/>
      <c r="U642" s="299"/>
      <c r="V642" s="279"/>
      <c r="W642" s="279"/>
      <c r="X642" s="279"/>
      <c r="Y642" s="279"/>
      <c r="Z642" s="279"/>
      <c r="AA642" s="279"/>
      <c r="AB642" s="279"/>
      <c r="AC642" s="279"/>
      <c r="AD642" s="279"/>
      <c r="AE642" s="279"/>
      <c r="AF642" s="279"/>
      <c r="AG642" s="279"/>
      <c r="AH642" s="279"/>
      <c r="AI642" s="279"/>
      <c r="AJ642" s="279"/>
      <c r="AK642" s="279"/>
      <c r="AL642" s="279"/>
      <c r="AM642" s="279"/>
      <c r="AN642" s="279"/>
      <c r="AO642" s="279"/>
      <c r="AP642" s="279"/>
      <c r="AQ642" s="279"/>
      <c r="AR642" s="279"/>
      <c r="AS642" s="279"/>
      <c r="AT642" s="279"/>
      <c r="AU642" s="279"/>
      <c r="AV642" s="279"/>
      <c r="AW642" s="279"/>
      <c r="AX642" s="279"/>
      <c r="AY642" s="279"/>
      <c r="AZ642" s="279"/>
      <c r="BA642" s="279"/>
      <c r="BB642" s="279"/>
      <c r="BC642" s="279"/>
      <c r="BD642" s="279"/>
      <c r="BE642" s="279"/>
      <c r="BF642" s="279"/>
      <c r="BG642" s="279"/>
      <c r="BH642" s="279"/>
      <c r="BI642" s="279"/>
      <c r="BJ642" s="279"/>
      <c r="BK642" s="279"/>
      <c r="BL642" s="279"/>
      <c r="BM642" s="279"/>
      <c r="BN642" s="279"/>
      <c r="BO642" s="279"/>
      <c r="BP642" s="279"/>
      <c r="BQ642" s="279"/>
      <c r="BR642" s="279"/>
      <c r="BS642" s="279"/>
      <c r="BT642" s="279"/>
      <c r="BU642" s="279"/>
      <c r="BV642" s="279"/>
      <c r="BW642" s="279"/>
      <c r="BX642" s="279"/>
      <c r="BY642" s="279"/>
      <c r="BZ642" s="279"/>
      <c r="CA642" s="279"/>
      <c r="CB642" s="279"/>
      <c r="CC642" s="279"/>
      <c r="CD642" s="279"/>
      <c r="CE642" s="279"/>
      <c r="CF642" s="279"/>
      <c r="CG642" s="279"/>
      <c r="CH642" s="279"/>
      <c r="CI642" s="279"/>
      <c r="CJ642" s="279"/>
      <c r="CK642" s="279"/>
      <c r="CL642" s="279"/>
      <c r="CM642" s="279"/>
      <c r="CN642" s="382"/>
    </row>
    <row r="643" x14ac:dyDescent="0.3">
      <c r="B643" s="361"/>
      <c r="C643" s="279"/>
      <c r="D643" s="280"/>
      <c r="E643" s="287"/>
      <c r="F643" s="287"/>
      <c r="G643" s="287"/>
      <c r="H643" s="1292">
        <f t="shared" si="25"/>
        <v>34</v>
      </c>
      <c r="I643" s="1190" t="str">
        <f t="shared" si="27"/>
        <v/>
      </c>
      <c r="J643" s="1295" t="str">
        <f>IF('I. Stream &amp; Compound Data'!BO295&lt;&gt;"",'I. Stream &amp; Compound Data'!BO295,IF('I. Stream &amp; Compound Data'!BP295&lt;&gt;"",'I. Stream &amp; Compound Data'!BP295,""))</f>
        <v/>
      </c>
      <c r="K643" s="1295" t="str">
        <f t="shared" si="29"/>
        <v/>
      </c>
      <c r="L643" s="1317" t="str">
        <f t="shared" si="30"/>
        <v/>
      </c>
      <c r="M643" s="287"/>
      <c r="N643" s="296"/>
      <c r="O643" s="280"/>
      <c r="P643" s="287"/>
      <c r="Q643" s="279"/>
      <c r="R643" s="297"/>
      <c r="S643" s="298"/>
      <c r="T643" s="298"/>
      <c r="U643" s="299"/>
      <c r="V643" s="279"/>
      <c r="W643" s="279"/>
      <c r="X643" s="279"/>
      <c r="Y643" s="279"/>
      <c r="Z643" s="279"/>
      <c r="AA643" s="279"/>
      <c r="AB643" s="279"/>
      <c r="AC643" s="279"/>
      <c r="AD643" s="279"/>
      <c r="AE643" s="279"/>
      <c r="AF643" s="279"/>
      <c r="AG643" s="279"/>
      <c r="AH643" s="279"/>
      <c r="AI643" s="279"/>
      <c r="AJ643" s="279"/>
      <c r="AK643" s="279"/>
      <c r="AL643" s="279"/>
      <c r="AM643" s="279"/>
      <c r="AN643" s="279"/>
      <c r="AO643" s="279"/>
      <c r="AP643" s="279"/>
      <c r="AQ643" s="279"/>
      <c r="AR643" s="279"/>
      <c r="AS643" s="279"/>
      <c r="AT643" s="279"/>
      <c r="AU643" s="279"/>
      <c r="AV643" s="279"/>
      <c r="AW643" s="279"/>
      <c r="AX643" s="279"/>
      <c r="AY643" s="279"/>
      <c r="AZ643" s="279"/>
      <c r="BA643" s="279"/>
      <c r="BB643" s="279"/>
      <c r="BC643" s="279"/>
      <c r="BD643" s="279"/>
      <c r="BE643" s="279"/>
      <c r="BF643" s="279"/>
      <c r="BG643" s="279"/>
      <c r="BH643" s="279"/>
      <c r="BI643" s="279"/>
      <c r="BJ643" s="279"/>
      <c r="BK643" s="279"/>
      <c r="BL643" s="279"/>
      <c r="BM643" s="279"/>
      <c r="BN643" s="279"/>
      <c r="BO643" s="279"/>
      <c r="BP643" s="279"/>
      <c r="BQ643" s="279"/>
      <c r="BR643" s="279"/>
      <c r="BS643" s="279"/>
      <c r="BT643" s="279"/>
      <c r="BU643" s="279"/>
      <c r="BV643" s="279"/>
      <c r="BW643" s="279"/>
      <c r="BX643" s="279"/>
      <c r="BY643" s="279"/>
      <c r="BZ643" s="279"/>
      <c r="CA643" s="279"/>
      <c r="CB643" s="279"/>
      <c r="CC643" s="279"/>
      <c r="CD643" s="279"/>
      <c r="CE643" s="279"/>
      <c r="CF643" s="279"/>
      <c r="CG643" s="279"/>
      <c r="CH643" s="279"/>
      <c r="CI643" s="279"/>
      <c r="CJ643" s="279"/>
      <c r="CK643" s="279"/>
      <c r="CL643" s="279"/>
      <c r="CM643" s="279"/>
      <c r="CN643" s="382"/>
    </row>
    <row r="644" x14ac:dyDescent="0.3">
      <c r="B644" s="361"/>
      <c r="C644" s="279"/>
      <c r="D644" s="280"/>
      <c r="E644" s="287"/>
      <c r="F644" s="287"/>
      <c r="G644" s="287"/>
      <c r="H644" s="1292">
        <f t="shared" si="25"/>
        <v>35</v>
      </c>
      <c r="I644" s="1190" t="str">
        <f t="shared" si="27"/>
        <v/>
      </c>
      <c r="J644" s="1295" t="str">
        <f>IF('I. Stream &amp; Compound Data'!BO296&lt;&gt;"",'I. Stream &amp; Compound Data'!BO296,IF('I. Stream &amp; Compound Data'!BP296&lt;&gt;"",'I. Stream &amp; Compound Data'!BP296,""))</f>
        <v/>
      </c>
      <c r="K644" s="1295" t="str">
        <f t="shared" si="29"/>
        <v/>
      </c>
      <c r="L644" s="1317" t="str">
        <f t="shared" si="30"/>
        <v/>
      </c>
      <c r="M644" s="287"/>
      <c r="N644" s="296"/>
      <c r="O644" s="280"/>
      <c r="P644" s="287"/>
      <c r="Q644" s="279"/>
      <c r="R644" s="297"/>
      <c r="S644" s="298"/>
      <c r="T644" s="298"/>
      <c r="U644" s="299"/>
      <c r="V644" s="279"/>
      <c r="W644" s="279"/>
      <c r="X644" s="279"/>
      <c r="Y644" s="279"/>
      <c r="Z644" s="279"/>
      <c r="AA644" s="279"/>
      <c r="AB644" s="279"/>
      <c r="AC644" s="279"/>
      <c r="AD644" s="279"/>
      <c r="AE644" s="279"/>
      <c r="AF644" s="279"/>
      <c r="AG644" s="279"/>
      <c r="AH644" s="279"/>
      <c r="AI644" s="279"/>
      <c r="AJ644" s="279"/>
      <c r="AK644" s="279"/>
      <c r="AL644" s="279"/>
      <c r="AM644" s="279"/>
      <c r="AN644" s="279"/>
      <c r="AO644" s="279"/>
      <c r="AP644" s="279"/>
      <c r="AQ644" s="279"/>
      <c r="AR644" s="279"/>
      <c r="AS644" s="279"/>
      <c r="AT644" s="279"/>
      <c r="AU644" s="279"/>
      <c r="AV644" s="279"/>
      <c r="AW644" s="279"/>
      <c r="AX644" s="279"/>
      <c r="AY644" s="279"/>
      <c r="AZ644" s="279"/>
      <c r="BA644" s="279"/>
      <c r="BB644" s="279"/>
      <c r="BC644" s="279"/>
      <c r="BD644" s="279"/>
      <c r="BE644" s="279"/>
      <c r="BF644" s="279"/>
      <c r="BG644" s="279"/>
      <c r="BH644" s="279"/>
      <c r="BI644" s="279"/>
      <c r="BJ644" s="279"/>
      <c r="BK644" s="279"/>
      <c r="BL644" s="279"/>
      <c r="BM644" s="279"/>
      <c r="BN644" s="279"/>
      <c r="BO644" s="279"/>
      <c r="BP644" s="279"/>
      <c r="BQ644" s="279"/>
      <c r="BR644" s="279"/>
      <c r="BS644" s="279"/>
      <c r="BT644" s="279"/>
      <c r="BU644" s="279"/>
      <c r="BV644" s="279"/>
      <c r="BW644" s="279"/>
      <c r="BX644" s="279"/>
      <c r="BY644" s="279"/>
      <c r="BZ644" s="279"/>
      <c r="CA644" s="279"/>
      <c r="CB644" s="279"/>
      <c r="CC644" s="279"/>
      <c r="CD644" s="279"/>
      <c r="CE644" s="279"/>
      <c r="CF644" s="279"/>
      <c r="CG644" s="279"/>
      <c r="CH644" s="279"/>
      <c r="CI644" s="279"/>
      <c r="CJ644" s="279"/>
      <c r="CK644" s="279"/>
      <c r="CL644" s="279"/>
      <c r="CM644" s="279"/>
      <c r="CN644" s="382"/>
    </row>
    <row r="645" x14ac:dyDescent="0.3">
      <c r="B645" s="361"/>
      <c r="C645" s="279"/>
      <c r="D645" s="280"/>
      <c r="E645" s="287"/>
      <c r="F645" s="287"/>
      <c r="G645" s="287"/>
      <c r="H645" s="1292">
        <f t="shared" si="25"/>
        <v>36</v>
      </c>
      <c r="I645" s="1190" t="str">
        <f t="shared" si="27"/>
        <v/>
      </c>
      <c r="J645" s="1295" t="str">
        <f>IF('I. Stream &amp; Compound Data'!BO297&lt;&gt;"",'I. Stream &amp; Compound Data'!BO297,IF('I. Stream &amp; Compound Data'!BP297&lt;&gt;"",'I. Stream &amp; Compound Data'!BP297,""))</f>
        <v/>
      </c>
      <c r="K645" s="1295" t="str">
        <f t="shared" si="29"/>
        <v/>
      </c>
      <c r="L645" s="1317" t="str">
        <f t="shared" si="30"/>
        <v/>
      </c>
      <c r="M645" s="287"/>
      <c r="N645" s="296"/>
      <c r="O645" s="280"/>
      <c r="P645" s="287"/>
      <c r="Q645" s="279"/>
      <c r="R645" s="297"/>
      <c r="S645" s="298"/>
      <c r="T645" s="298"/>
      <c r="U645" s="299"/>
      <c r="V645" s="279"/>
      <c r="W645" s="279"/>
      <c r="X645" s="279"/>
      <c r="Y645" s="279"/>
      <c r="Z645" s="279"/>
      <c r="AA645" s="279"/>
      <c r="AB645" s="279"/>
      <c r="AC645" s="279"/>
      <c r="AD645" s="279"/>
      <c r="AE645" s="279"/>
      <c r="AF645" s="279"/>
      <c r="AG645" s="279"/>
      <c r="AH645" s="279"/>
      <c r="AI645" s="279"/>
      <c r="AJ645" s="279"/>
      <c r="AK645" s="279"/>
      <c r="AL645" s="279"/>
      <c r="AM645" s="279"/>
      <c r="AN645" s="279"/>
      <c r="AO645" s="279"/>
      <c r="AP645" s="279"/>
      <c r="AQ645" s="279"/>
      <c r="AR645" s="279"/>
      <c r="AS645" s="279"/>
      <c r="AT645" s="279"/>
      <c r="AU645" s="279"/>
      <c r="AV645" s="279"/>
      <c r="AW645" s="279"/>
      <c r="AX645" s="279"/>
      <c r="AY645" s="279"/>
      <c r="AZ645" s="279"/>
      <c r="BA645" s="279"/>
      <c r="BB645" s="279"/>
      <c r="BC645" s="279"/>
      <c r="BD645" s="279"/>
      <c r="BE645" s="279"/>
      <c r="BF645" s="279"/>
      <c r="BG645" s="279"/>
      <c r="BH645" s="279"/>
      <c r="BI645" s="279"/>
      <c r="BJ645" s="279"/>
      <c r="BK645" s="279"/>
      <c r="BL645" s="279"/>
      <c r="BM645" s="279"/>
      <c r="BN645" s="279"/>
      <c r="BO645" s="279"/>
      <c r="BP645" s="279"/>
      <c r="BQ645" s="279"/>
      <c r="BR645" s="279"/>
      <c r="BS645" s="279"/>
      <c r="BT645" s="279"/>
      <c r="BU645" s="279"/>
      <c r="BV645" s="279"/>
      <c r="BW645" s="279"/>
      <c r="BX645" s="279"/>
      <c r="BY645" s="279"/>
      <c r="BZ645" s="279"/>
      <c r="CA645" s="279"/>
      <c r="CB645" s="279"/>
      <c r="CC645" s="279"/>
      <c r="CD645" s="279"/>
      <c r="CE645" s="279"/>
      <c r="CF645" s="279"/>
      <c r="CG645" s="279"/>
      <c r="CH645" s="279"/>
      <c r="CI645" s="279"/>
      <c r="CJ645" s="279"/>
      <c r="CK645" s="279"/>
      <c r="CL645" s="279"/>
      <c r="CM645" s="279"/>
      <c r="CN645" s="382"/>
    </row>
    <row r="646" x14ac:dyDescent="0.3">
      <c r="B646" s="361"/>
      <c r="C646" s="279"/>
      <c r="D646" s="280"/>
      <c r="E646" s="287"/>
      <c r="F646" s="287"/>
      <c r="G646" s="287"/>
      <c r="H646" s="1292">
        <f t="shared" si="25"/>
        <v>37</v>
      </c>
      <c r="I646" s="1190" t="str">
        <f t="shared" si="27"/>
        <v/>
      </c>
      <c r="J646" s="1295" t="str">
        <f>IF('I. Stream &amp; Compound Data'!BO298&lt;&gt;"",'I. Stream &amp; Compound Data'!BO298,IF('I. Stream &amp; Compound Data'!BP298&lt;&gt;"",'I. Stream &amp; Compound Data'!BP298,""))</f>
        <v/>
      </c>
      <c r="K646" s="1295" t="str">
        <f t="shared" si="29"/>
        <v/>
      </c>
      <c r="L646" s="1317" t="str">
        <f t="shared" si="30"/>
        <v/>
      </c>
      <c r="M646" s="287"/>
      <c r="N646" s="296"/>
      <c r="O646" s="280"/>
      <c r="P646" s="287"/>
      <c r="Q646" s="279"/>
      <c r="R646" s="297"/>
      <c r="S646" s="298"/>
      <c r="T646" s="298"/>
      <c r="U646" s="299"/>
      <c r="V646" s="279"/>
      <c r="W646" s="279"/>
      <c r="X646" s="279"/>
      <c r="Y646" s="279"/>
      <c r="Z646" s="279"/>
      <c r="AA646" s="279"/>
      <c r="AB646" s="279"/>
      <c r="AC646" s="279"/>
      <c r="AD646" s="279"/>
      <c r="AE646" s="279"/>
      <c r="AF646" s="279"/>
      <c r="AG646" s="279"/>
      <c r="AH646" s="279"/>
      <c r="AI646" s="279"/>
      <c r="AJ646" s="279"/>
      <c r="AK646" s="279"/>
      <c r="AL646" s="279"/>
      <c r="AM646" s="279"/>
      <c r="AN646" s="279"/>
      <c r="AO646" s="279"/>
      <c r="AP646" s="279"/>
      <c r="AQ646" s="279"/>
      <c r="AR646" s="279"/>
      <c r="AS646" s="279"/>
      <c r="AT646" s="279"/>
      <c r="AU646" s="279"/>
      <c r="AV646" s="279"/>
      <c r="AW646" s="279"/>
      <c r="AX646" s="279"/>
      <c r="AY646" s="279"/>
      <c r="AZ646" s="279"/>
      <c r="BA646" s="279"/>
      <c r="BB646" s="279"/>
      <c r="BC646" s="279"/>
      <c r="BD646" s="279"/>
      <c r="BE646" s="279"/>
      <c r="BF646" s="279"/>
      <c r="BG646" s="279"/>
      <c r="BH646" s="279"/>
      <c r="BI646" s="279"/>
      <c r="BJ646" s="279"/>
      <c r="BK646" s="279"/>
      <c r="BL646" s="279"/>
      <c r="BM646" s="279"/>
      <c r="BN646" s="279"/>
      <c r="BO646" s="279"/>
      <c r="BP646" s="279"/>
      <c r="BQ646" s="279"/>
      <c r="BR646" s="279"/>
      <c r="BS646" s="279"/>
      <c r="BT646" s="279"/>
      <c r="BU646" s="279"/>
      <c r="BV646" s="279"/>
      <c r="BW646" s="279"/>
      <c r="BX646" s="279"/>
      <c r="BY646" s="279"/>
      <c r="BZ646" s="279"/>
      <c r="CA646" s="279"/>
      <c r="CB646" s="279"/>
      <c r="CC646" s="279"/>
      <c r="CD646" s="279"/>
      <c r="CE646" s="279"/>
      <c r="CF646" s="279"/>
      <c r="CG646" s="279"/>
      <c r="CH646" s="279"/>
      <c r="CI646" s="279"/>
      <c r="CJ646" s="279"/>
      <c r="CK646" s="279"/>
      <c r="CL646" s="279"/>
      <c r="CM646" s="279"/>
      <c r="CN646" s="382"/>
    </row>
    <row r="647" x14ac:dyDescent="0.3">
      <c r="B647" s="361"/>
      <c r="C647" s="279"/>
      <c r="D647" s="280"/>
      <c r="E647" s="287"/>
      <c r="F647" s="287"/>
      <c r="G647" s="287"/>
      <c r="H647" s="1292">
        <f t="shared" si="25"/>
        <v>38</v>
      </c>
      <c r="I647" s="1190" t="str">
        <f t="shared" si="27"/>
        <v/>
      </c>
      <c r="J647" s="1295" t="str">
        <f>IF('I. Stream &amp; Compound Data'!BO299&lt;&gt;"",'I. Stream &amp; Compound Data'!BO299,IF('I. Stream &amp; Compound Data'!BP299&lt;&gt;"",'I. Stream &amp; Compound Data'!BP299,""))</f>
        <v/>
      </c>
      <c r="K647" s="1295" t="str">
        <f t="shared" si="29"/>
        <v/>
      </c>
      <c r="L647" s="1317" t="str">
        <f t="shared" si="30"/>
        <v/>
      </c>
      <c r="M647" s="287"/>
      <c r="N647" s="296"/>
      <c r="O647" s="280"/>
      <c r="P647" s="287"/>
      <c r="Q647" s="279"/>
      <c r="R647" s="297"/>
      <c r="S647" s="298"/>
      <c r="T647" s="298"/>
      <c r="U647" s="299"/>
      <c r="V647" s="279"/>
      <c r="W647" s="279"/>
      <c r="X647" s="279"/>
      <c r="Y647" s="279"/>
      <c r="Z647" s="279"/>
      <c r="AA647" s="279"/>
      <c r="AB647" s="279"/>
      <c r="AC647" s="279"/>
      <c r="AD647" s="279"/>
      <c r="AE647" s="279"/>
      <c r="AF647" s="279"/>
      <c r="AG647" s="279"/>
      <c r="AH647" s="279"/>
      <c r="AI647" s="279"/>
      <c r="AJ647" s="279"/>
      <c r="AK647" s="279"/>
      <c r="AL647" s="279"/>
      <c r="AM647" s="279"/>
      <c r="AN647" s="279"/>
      <c r="AO647" s="279"/>
      <c r="AP647" s="279"/>
      <c r="AQ647" s="279"/>
      <c r="AR647" s="279"/>
      <c r="AS647" s="279"/>
      <c r="AT647" s="279"/>
      <c r="AU647" s="279"/>
      <c r="AV647" s="279"/>
      <c r="AW647" s="279"/>
      <c r="AX647" s="279"/>
      <c r="AY647" s="279"/>
      <c r="AZ647" s="279"/>
      <c r="BA647" s="279"/>
      <c r="BB647" s="279"/>
      <c r="BC647" s="279"/>
      <c r="BD647" s="279"/>
      <c r="BE647" s="279"/>
      <c r="BF647" s="279"/>
      <c r="BG647" s="279"/>
      <c r="BH647" s="279"/>
      <c r="BI647" s="279"/>
      <c r="BJ647" s="279"/>
      <c r="BK647" s="279"/>
      <c r="BL647" s="279"/>
      <c r="BM647" s="279"/>
      <c r="BN647" s="279"/>
      <c r="BO647" s="279"/>
      <c r="BP647" s="279"/>
      <c r="BQ647" s="279"/>
      <c r="BR647" s="279"/>
      <c r="BS647" s="279"/>
      <c r="BT647" s="279"/>
      <c r="BU647" s="279"/>
      <c r="BV647" s="279"/>
      <c r="BW647" s="279"/>
      <c r="BX647" s="279"/>
      <c r="BY647" s="279"/>
      <c r="BZ647" s="279"/>
      <c r="CA647" s="279"/>
      <c r="CB647" s="279"/>
      <c r="CC647" s="279"/>
      <c r="CD647" s="279"/>
      <c r="CE647" s="279"/>
      <c r="CF647" s="279"/>
      <c r="CG647" s="279"/>
      <c r="CH647" s="279"/>
      <c r="CI647" s="279"/>
      <c r="CJ647" s="279"/>
      <c r="CK647" s="279"/>
      <c r="CL647" s="279"/>
      <c r="CM647" s="279"/>
      <c r="CN647" s="382"/>
    </row>
    <row r="648" x14ac:dyDescent="0.3">
      <c r="B648" s="361"/>
      <c r="C648" s="279"/>
      <c r="D648" s="280"/>
      <c r="E648" s="287"/>
      <c r="F648" s="287"/>
      <c r="G648" s="287"/>
      <c r="H648" s="1292">
        <f t="shared" si="25"/>
        <v>39</v>
      </c>
      <c r="I648" s="1190" t="str">
        <f t="shared" si="27"/>
        <v/>
      </c>
      <c r="J648" s="1295" t="str">
        <f>IF('I. Stream &amp; Compound Data'!BO300&lt;&gt;"",'I. Stream &amp; Compound Data'!BO300,IF('I. Stream &amp; Compound Data'!BP300&lt;&gt;"",'I. Stream &amp; Compound Data'!BP300,""))</f>
        <v/>
      </c>
      <c r="K648" s="1295" t="str">
        <f t="shared" si="29"/>
        <v/>
      </c>
      <c r="L648" s="1317" t="str">
        <f t="shared" si="30"/>
        <v/>
      </c>
      <c r="M648" s="287"/>
      <c r="N648" s="296"/>
      <c r="O648" s="280"/>
      <c r="P648" s="287"/>
      <c r="Q648" s="279"/>
      <c r="R648" s="297"/>
      <c r="S648" s="298"/>
      <c r="T648" s="298"/>
      <c r="U648" s="299"/>
      <c r="V648" s="279"/>
      <c r="W648" s="279"/>
      <c r="X648" s="279"/>
      <c r="Y648" s="279"/>
      <c r="Z648" s="279"/>
      <c r="AA648" s="279"/>
      <c r="AB648" s="279"/>
      <c r="AC648" s="279"/>
      <c r="AD648" s="279"/>
      <c r="AE648" s="279"/>
      <c r="AF648" s="279"/>
      <c r="AG648" s="279"/>
      <c r="AH648" s="279"/>
      <c r="AI648" s="279"/>
      <c r="AJ648" s="279"/>
      <c r="AK648" s="279"/>
      <c r="AL648" s="279"/>
      <c r="AM648" s="279"/>
      <c r="AN648" s="279"/>
      <c r="AO648" s="279"/>
      <c r="AP648" s="279"/>
      <c r="AQ648" s="279"/>
      <c r="AR648" s="279"/>
      <c r="AS648" s="279"/>
      <c r="AT648" s="279"/>
      <c r="AU648" s="279"/>
      <c r="AV648" s="279"/>
      <c r="AW648" s="279"/>
      <c r="AX648" s="279"/>
      <c r="AY648" s="279"/>
      <c r="AZ648" s="279"/>
      <c r="BA648" s="279"/>
      <c r="BB648" s="279"/>
      <c r="BC648" s="279"/>
      <c r="BD648" s="279"/>
      <c r="BE648" s="279"/>
      <c r="BF648" s="279"/>
      <c r="BG648" s="279"/>
      <c r="BH648" s="279"/>
      <c r="BI648" s="279"/>
      <c r="BJ648" s="279"/>
      <c r="BK648" s="279"/>
      <c r="BL648" s="279"/>
      <c r="BM648" s="279"/>
      <c r="BN648" s="279"/>
      <c r="BO648" s="279"/>
      <c r="BP648" s="279"/>
      <c r="BQ648" s="279"/>
      <c r="BR648" s="279"/>
      <c r="BS648" s="279"/>
      <c r="BT648" s="279"/>
      <c r="BU648" s="279"/>
      <c r="BV648" s="279"/>
      <c r="BW648" s="279"/>
      <c r="BX648" s="279"/>
      <c r="BY648" s="279"/>
      <c r="BZ648" s="279"/>
      <c r="CA648" s="279"/>
      <c r="CB648" s="279"/>
      <c r="CC648" s="279"/>
      <c r="CD648" s="279"/>
      <c r="CE648" s="279"/>
      <c r="CF648" s="279"/>
      <c r="CG648" s="279"/>
      <c r="CH648" s="279"/>
      <c r="CI648" s="279"/>
      <c r="CJ648" s="279"/>
      <c r="CK648" s="279"/>
      <c r="CL648" s="279"/>
      <c r="CM648" s="279"/>
      <c r="CN648" s="382"/>
    </row>
    <row r="649" x14ac:dyDescent="0.3">
      <c r="B649" s="361"/>
      <c r="C649" s="279"/>
      <c r="D649" s="280"/>
      <c r="E649" s="287"/>
      <c r="F649" s="287"/>
      <c r="G649" s="287"/>
      <c r="H649" s="1292">
        <f t="shared" si="25"/>
        <v>40</v>
      </c>
      <c r="I649" s="1190" t="str">
        <f t="shared" si="27"/>
        <v/>
      </c>
      <c r="J649" s="1295" t="str">
        <f>IF('I. Stream &amp; Compound Data'!BO301&lt;&gt;"",'I. Stream &amp; Compound Data'!BO301,IF('I. Stream &amp; Compound Data'!BP301&lt;&gt;"",'I. Stream &amp; Compound Data'!BP301,""))</f>
        <v/>
      </c>
      <c r="K649" s="1295" t="str">
        <f t="shared" si="29"/>
        <v/>
      </c>
      <c r="L649" s="1317" t="str">
        <f t="shared" si="30"/>
        <v/>
      </c>
      <c r="M649" s="287"/>
      <c r="N649" s="296"/>
      <c r="O649" s="280"/>
      <c r="P649" s="287"/>
      <c r="Q649" s="279"/>
      <c r="R649" s="297"/>
      <c r="S649" s="298"/>
      <c r="T649" s="298"/>
      <c r="U649" s="299"/>
      <c r="V649" s="279"/>
      <c r="W649" s="279"/>
      <c r="X649" s="279"/>
      <c r="Y649" s="279"/>
      <c r="Z649" s="279"/>
      <c r="AA649" s="279"/>
      <c r="AB649" s="279"/>
      <c r="AC649" s="279"/>
      <c r="AD649" s="279"/>
      <c r="AE649" s="279"/>
      <c r="AF649" s="279"/>
      <c r="AG649" s="279"/>
      <c r="AH649" s="279"/>
      <c r="AI649" s="279"/>
      <c r="AJ649" s="279"/>
      <c r="AK649" s="279"/>
      <c r="AL649" s="279"/>
      <c r="AM649" s="279"/>
      <c r="AN649" s="279"/>
      <c r="AO649" s="279"/>
      <c r="AP649" s="279"/>
      <c r="AQ649" s="279"/>
      <c r="AR649" s="279"/>
      <c r="AS649" s="279"/>
      <c r="AT649" s="279"/>
      <c r="AU649" s="279"/>
      <c r="AV649" s="279"/>
      <c r="AW649" s="279"/>
      <c r="AX649" s="279"/>
      <c r="AY649" s="279"/>
      <c r="AZ649" s="279"/>
      <c r="BA649" s="279"/>
      <c r="BB649" s="279"/>
      <c r="BC649" s="279"/>
      <c r="BD649" s="279"/>
      <c r="BE649" s="279"/>
      <c r="BF649" s="279"/>
      <c r="BG649" s="279"/>
      <c r="BH649" s="279"/>
      <c r="BI649" s="279"/>
      <c r="BJ649" s="279"/>
      <c r="BK649" s="279"/>
      <c r="BL649" s="279"/>
      <c r="BM649" s="279"/>
      <c r="BN649" s="279"/>
      <c r="BO649" s="279"/>
      <c r="BP649" s="279"/>
      <c r="BQ649" s="279"/>
      <c r="BR649" s="279"/>
      <c r="BS649" s="279"/>
      <c r="BT649" s="279"/>
      <c r="BU649" s="279"/>
      <c r="BV649" s="279"/>
      <c r="BW649" s="279"/>
      <c r="BX649" s="279"/>
      <c r="BY649" s="279"/>
      <c r="BZ649" s="279"/>
      <c r="CA649" s="279"/>
      <c r="CB649" s="279"/>
      <c r="CC649" s="279"/>
      <c r="CD649" s="279"/>
      <c r="CE649" s="279"/>
      <c r="CF649" s="279"/>
      <c r="CG649" s="279"/>
      <c r="CH649" s="279"/>
      <c r="CI649" s="279"/>
      <c r="CJ649" s="279"/>
      <c r="CK649" s="279"/>
      <c r="CL649" s="279"/>
      <c r="CM649" s="279"/>
      <c r="CN649" s="382"/>
    </row>
    <row r="650" x14ac:dyDescent="0.3">
      <c r="B650" s="361"/>
      <c r="C650" s="279"/>
      <c r="D650" s="280"/>
      <c r="E650" s="287"/>
      <c r="F650" s="287"/>
      <c r="G650" s="287"/>
      <c r="H650" s="1292">
        <f t="shared" si="25"/>
        <v>41</v>
      </c>
      <c r="I650" s="1190" t="str">
        <f t="shared" si="27"/>
        <v/>
      </c>
      <c r="J650" s="1295" t="str">
        <f>IF('I. Stream &amp; Compound Data'!BO302&lt;&gt;"",'I. Stream &amp; Compound Data'!BO302,IF('I. Stream &amp; Compound Data'!BP302&lt;&gt;"",'I. Stream &amp; Compound Data'!BP302,""))</f>
        <v/>
      </c>
      <c r="K650" s="1295" t="str">
        <f t="shared" si="29"/>
        <v/>
      </c>
      <c r="L650" s="1317" t="str">
        <f t="shared" si="30"/>
        <v/>
      </c>
      <c r="M650" s="287"/>
      <c r="N650" s="296"/>
      <c r="O650" s="280"/>
      <c r="P650" s="287"/>
      <c r="Q650" s="279"/>
      <c r="R650" s="297"/>
      <c r="S650" s="298"/>
      <c r="T650" s="298"/>
      <c r="U650" s="299"/>
      <c r="V650" s="279"/>
      <c r="W650" s="279"/>
      <c r="X650" s="279"/>
      <c r="Y650" s="279"/>
      <c r="Z650" s="279"/>
      <c r="AA650" s="279"/>
      <c r="AB650" s="279"/>
      <c r="AC650" s="279"/>
      <c r="AD650" s="279"/>
      <c r="AE650" s="279"/>
      <c r="AF650" s="279"/>
      <c r="AG650" s="279"/>
      <c r="AH650" s="279"/>
      <c r="AI650" s="279"/>
      <c r="AJ650" s="279"/>
      <c r="AK650" s="279"/>
      <c r="AL650" s="279"/>
      <c r="AM650" s="279"/>
      <c r="AN650" s="279"/>
      <c r="AO650" s="279"/>
      <c r="AP650" s="279"/>
      <c r="AQ650" s="279"/>
      <c r="AR650" s="279"/>
      <c r="AS650" s="279"/>
      <c r="AT650" s="279"/>
      <c r="AU650" s="279"/>
      <c r="AV650" s="279"/>
      <c r="AW650" s="279"/>
      <c r="AX650" s="279"/>
      <c r="AY650" s="279"/>
      <c r="AZ650" s="279"/>
      <c r="BA650" s="279"/>
      <c r="BB650" s="279"/>
      <c r="BC650" s="279"/>
      <c r="BD650" s="279"/>
      <c r="BE650" s="279"/>
      <c r="BF650" s="279"/>
      <c r="BG650" s="279"/>
      <c r="BH650" s="279"/>
      <c r="BI650" s="279"/>
      <c r="BJ650" s="279"/>
      <c r="BK650" s="279"/>
      <c r="BL650" s="279"/>
      <c r="BM650" s="279"/>
      <c r="BN650" s="279"/>
      <c r="BO650" s="279"/>
      <c r="BP650" s="279"/>
      <c r="BQ650" s="279"/>
      <c r="BR650" s="279"/>
      <c r="BS650" s="279"/>
      <c r="BT650" s="279"/>
      <c r="BU650" s="279"/>
      <c r="BV650" s="279"/>
      <c r="BW650" s="279"/>
      <c r="BX650" s="279"/>
      <c r="BY650" s="279"/>
      <c r="BZ650" s="279"/>
      <c r="CA650" s="279"/>
      <c r="CB650" s="279"/>
      <c r="CC650" s="279"/>
      <c r="CD650" s="279"/>
      <c r="CE650" s="279"/>
      <c r="CF650" s="279"/>
      <c r="CG650" s="279"/>
      <c r="CH650" s="279"/>
      <c r="CI650" s="279"/>
      <c r="CJ650" s="279"/>
      <c r="CK650" s="279"/>
      <c r="CL650" s="279"/>
      <c r="CM650" s="279"/>
      <c r="CN650" s="382"/>
    </row>
    <row r="651" x14ac:dyDescent="0.3">
      <c r="B651" s="361"/>
      <c r="C651" s="279"/>
      <c r="D651" s="280"/>
      <c r="E651" s="287"/>
      <c r="F651" s="287"/>
      <c r="G651" s="287"/>
      <c r="H651" s="1292">
        <f t="shared" si="25"/>
        <v>42</v>
      </c>
      <c r="I651" s="1190" t="str">
        <f t="shared" si="27"/>
        <v/>
      </c>
      <c r="J651" s="1295" t="str">
        <f>IF('I. Stream &amp; Compound Data'!BO303&lt;&gt;"",'I. Stream &amp; Compound Data'!BO303,IF('I. Stream &amp; Compound Data'!BP303&lt;&gt;"",'I. Stream &amp; Compound Data'!BP303,""))</f>
        <v/>
      </c>
      <c r="K651" s="1295" t="str">
        <f t="shared" si="29"/>
        <v/>
      </c>
      <c r="L651" s="1317" t="str">
        <f t="shared" si="30"/>
        <v/>
      </c>
      <c r="M651" s="287"/>
      <c r="N651" s="296"/>
      <c r="O651" s="280"/>
      <c r="P651" s="287"/>
      <c r="Q651" s="279"/>
      <c r="R651" s="297"/>
      <c r="S651" s="298"/>
      <c r="T651" s="298"/>
      <c r="U651" s="299"/>
      <c r="V651" s="279"/>
      <c r="W651" s="279"/>
      <c r="X651" s="279"/>
      <c r="Y651" s="279"/>
      <c r="Z651" s="279"/>
      <c r="AA651" s="279"/>
      <c r="AB651" s="279"/>
      <c r="AC651" s="279"/>
      <c r="AD651" s="279"/>
      <c r="AE651" s="279"/>
      <c r="AF651" s="279"/>
      <c r="AG651" s="279"/>
      <c r="AH651" s="279"/>
      <c r="AI651" s="279"/>
      <c r="AJ651" s="279"/>
      <c r="AK651" s="279"/>
      <c r="AL651" s="279"/>
      <c r="AM651" s="279"/>
      <c r="AN651" s="279"/>
      <c r="AO651" s="279"/>
      <c r="AP651" s="279"/>
      <c r="AQ651" s="279"/>
      <c r="AR651" s="279"/>
      <c r="AS651" s="279"/>
      <c r="AT651" s="279"/>
      <c r="AU651" s="279"/>
      <c r="AV651" s="279"/>
      <c r="AW651" s="279"/>
      <c r="AX651" s="279"/>
      <c r="AY651" s="279"/>
      <c r="AZ651" s="279"/>
      <c r="BA651" s="279"/>
      <c r="BB651" s="279"/>
      <c r="BC651" s="279"/>
      <c r="BD651" s="279"/>
      <c r="BE651" s="279"/>
      <c r="BF651" s="279"/>
      <c r="BG651" s="279"/>
      <c r="BH651" s="279"/>
      <c r="BI651" s="279"/>
      <c r="BJ651" s="279"/>
      <c r="BK651" s="279"/>
      <c r="BL651" s="279"/>
      <c r="BM651" s="279"/>
      <c r="BN651" s="279"/>
      <c r="BO651" s="279"/>
      <c r="BP651" s="279"/>
      <c r="BQ651" s="279"/>
      <c r="BR651" s="279"/>
      <c r="BS651" s="279"/>
      <c r="BT651" s="279"/>
      <c r="BU651" s="279"/>
      <c r="BV651" s="279"/>
      <c r="BW651" s="279"/>
      <c r="BX651" s="279"/>
      <c r="BY651" s="279"/>
      <c r="BZ651" s="279"/>
      <c r="CA651" s="279"/>
      <c r="CB651" s="279"/>
      <c r="CC651" s="279"/>
      <c r="CD651" s="279"/>
      <c r="CE651" s="279"/>
      <c r="CF651" s="279"/>
      <c r="CG651" s="279"/>
      <c r="CH651" s="279"/>
      <c r="CI651" s="279"/>
      <c r="CJ651" s="279"/>
      <c r="CK651" s="279"/>
      <c r="CL651" s="279"/>
      <c r="CM651" s="279"/>
      <c r="CN651" s="382"/>
    </row>
    <row r="652" x14ac:dyDescent="0.3">
      <c r="B652" s="361"/>
      <c r="C652" s="279"/>
      <c r="D652" s="280"/>
      <c r="E652" s="287"/>
      <c r="F652" s="287"/>
      <c r="G652" s="287"/>
      <c r="H652" s="1292">
        <f t="shared" si="25"/>
        <v>43</v>
      </c>
      <c r="I652" s="1190" t="str">
        <f t="shared" si="27"/>
        <v/>
      </c>
      <c r="J652" s="1295" t="str">
        <f>IF('I. Stream &amp; Compound Data'!BO304&lt;&gt;"",'I. Stream &amp; Compound Data'!BO304,IF('I. Stream &amp; Compound Data'!BP304&lt;&gt;"",'I. Stream &amp; Compound Data'!BP304,""))</f>
        <v/>
      </c>
      <c r="K652" s="1295" t="str">
        <f t="shared" si="29"/>
        <v/>
      </c>
      <c r="L652" s="1317" t="str">
        <f t="shared" si="30"/>
        <v/>
      </c>
      <c r="M652" s="287"/>
      <c r="N652" s="296"/>
      <c r="O652" s="280"/>
      <c r="P652" s="287"/>
      <c r="Q652" s="279"/>
      <c r="R652" s="297"/>
      <c r="S652" s="298"/>
      <c r="T652" s="298"/>
      <c r="U652" s="299"/>
      <c r="V652" s="279"/>
      <c r="W652" s="279"/>
      <c r="X652" s="279"/>
      <c r="Y652" s="279"/>
      <c r="Z652" s="279"/>
      <c r="AA652" s="279"/>
      <c r="AB652" s="279"/>
      <c r="AC652" s="279"/>
      <c r="AD652" s="279"/>
      <c r="AE652" s="279"/>
      <c r="AF652" s="279"/>
      <c r="AG652" s="279"/>
      <c r="AH652" s="279"/>
      <c r="AI652" s="279"/>
      <c r="AJ652" s="279"/>
      <c r="AK652" s="279"/>
      <c r="AL652" s="279"/>
      <c r="AM652" s="279"/>
      <c r="AN652" s="279"/>
      <c r="AO652" s="279"/>
      <c r="AP652" s="279"/>
      <c r="AQ652" s="279"/>
      <c r="AR652" s="279"/>
      <c r="AS652" s="279"/>
      <c r="AT652" s="279"/>
      <c r="AU652" s="279"/>
      <c r="AV652" s="279"/>
      <c r="AW652" s="279"/>
      <c r="AX652" s="279"/>
      <c r="AY652" s="279"/>
      <c r="AZ652" s="279"/>
      <c r="BA652" s="279"/>
      <c r="BB652" s="279"/>
      <c r="BC652" s="279"/>
      <c r="BD652" s="279"/>
      <c r="BE652" s="279"/>
      <c r="BF652" s="279"/>
      <c r="BG652" s="279"/>
      <c r="BH652" s="279"/>
      <c r="BI652" s="279"/>
      <c r="BJ652" s="279"/>
      <c r="BK652" s="279"/>
      <c r="BL652" s="279"/>
      <c r="BM652" s="279"/>
      <c r="BN652" s="279"/>
      <c r="BO652" s="279"/>
      <c r="BP652" s="279"/>
      <c r="BQ652" s="279"/>
      <c r="BR652" s="279"/>
      <c r="BS652" s="279"/>
      <c r="BT652" s="279"/>
      <c r="BU652" s="279"/>
      <c r="BV652" s="279"/>
      <c r="BW652" s="279"/>
      <c r="BX652" s="279"/>
      <c r="BY652" s="279"/>
      <c r="BZ652" s="279"/>
      <c r="CA652" s="279"/>
      <c r="CB652" s="279"/>
      <c r="CC652" s="279"/>
      <c r="CD652" s="279"/>
      <c r="CE652" s="279"/>
      <c r="CF652" s="279"/>
      <c r="CG652" s="279"/>
      <c r="CH652" s="279"/>
      <c r="CI652" s="279"/>
      <c r="CJ652" s="279"/>
      <c r="CK652" s="279"/>
      <c r="CL652" s="279"/>
      <c r="CM652" s="279"/>
      <c r="CN652" s="382"/>
    </row>
    <row r="653" x14ac:dyDescent="0.3">
      <c r="B653" s="361"/>
      <c r="C653" s="279"/>
      <c r="D653" s="280"/>
      <c r="E653" s="287"/>
      <c r="F653" s="287"/>
      <c r="G653" s="287"/>
      <c r="H653" s="1292">
        <f t="shared" si="25"/>
        <v>44</v>
      </c>
      <c r="I653" s="1190" t="str">
        <f t="shared" si="27"/>
        <v/>
      </c>
      <c r="J653" s="1295" t="str">
        <f>IF('I. Stream &amp; Compound Data'!BO305&lt;&gt;"",'I. Stream &amp; Compound Data'!BO305,IF('I. Stream &amp; Compound Data'!BP305&lt;&gt;"",'I. Stream &amp; Compound Data'!BP305,""))</f>
        <v/>
      </c>
      <c r="K653" s="1295" t="str">
        <f t="shared" si="29"/>
        <v/>
      </c>
      <c r="L653" s="1317" t="str">
        <f t="shared" si="30"/>
        <v/>
      </c>
      <c r="M653" s="287"/>
      <c r="N653" s="296"/>
      <c r="O653" s="280"/>
      <c r="P653" s="287"/>
      <c r="Q653" s="279"/>
      <c r="R653" s="297"/>
      <c r="S653" s="298"/>
      <c r="T653" s="298"/>
      <c r="U653" s="299"/>
      <c r="V653" s="279"/>
      <c r="W653" s="279"/>
      <c r="X653" s="279"/>
      <c r="Y653" s="279"/>
      <c r="Z653" s="279"/>
      <c r="AA653" s="279"/>
      <c r="AB653" s="279"/>
      <c r="AC653" s="279"/>
      <c r="AD653" s="279"/>
      <c r="AE653" s="279"/>
      <c r="AF653" s="279"/>
      <c r="AG653" s="279"/>
      <c r="AH653" s="279"/>
      <c r="AI653" s="279"/>
      <c r="AJ653" s="279"/>
      <c r="AK653" s="279"/>
      <c r="AL653" s="279"/>
      <c r="AM653" s="279"/>
      <c r="AN653" s="279"/>
      <c r="AO653" s="279"/>
      <c r="AP653" s="279"/>
      <c r="AQ653" s="279"/>
      <c r="AR653" s="279"/>
      <c r="AS653" s="279"/>
      <c r="AT653" s="279"/>
      <c r="AU653" s="279"/>
      <c r="AV653" s="279"/>
      <c r="AW653" s="279"/>
      <c r="AX653" s="279"/>
      <c r="AY653" s="279"/>
      <c r="AZ653" s="279"/>
      <c r="BA653" s="279"/>
      <c r="BB653" s="279"/>
      <c r="BC653" s="279"/>
      <c r="BD653" s="279"/>
      <c r="BE653" s="279"/>
      <c r="BF653" s="279"/>
      <c r="BG653" s="279"/>
      <c r="BH653" s="279"/>
      <c r="BI653" s="279"/>
      <c r="BJ653" s="279"/>
      <c r="BK653" s="279"/>
      <c r="BL653" s="279"/>
      <c r="BM653" s="279"/>
      <c r="BN653" s="279"/>
      <c r="BO653" s="279"/>
      <c r="BP653" s="279"/>
      <c r="BQ653" s="279"/>
      <c r="BR653" s="279"/>
      <c r="BS653" s="279"/>
      <c r="BT653" s="279"/>
      <c r="BU653" s="279"/>
      <c r="BV653" s="279"/>
      <c r="BW653" s="279"/>
      <c r="BX653" s="279"/>
      <c r="BY653" s="279"/>
      <c r="BZ653" s="279"/>
      <c r="CA653" s="279"/>
      <c r="CB653" s="279"/>
      <c r="CC653" s="279"/>
      <c r="CD653" s="279"/>
      <c r="CE653" s="279"/>
      <c r="CF653" s="279"/>
      <c r="CG653" s="279"/>
      <c r="CH653" s="279"/>
      <c r="CI653" s="279"/>
      <c r="CJ653" s="279"/>
      <c r="CK653" s="279"/>
      <c r="CL653" s="279"/>
      <c r="CM653" s="279"/>
      <c r="CN653" s="382"/>
    </row>
    <row r="654" x14ac:dyDescent="0.3">
      <c r="B654" s="361"/>
      <c r="C654" s="279"/>
      <c r="D654" s="280"/>
      <c r="E654" s="287"/>
      <c r="F654" s="287"/>
      <c r="G654" s="287"/>
      <c r="H654" s="1292">
        <f t="shared" si="25"/>
        <v>45</v>
      </c>
      <c r="I654" s="1190" t="str">
        <f t="shared" si="27"/>
        <v/>
      </c>
      <c r="J654" s="1295" t="str">
        <f>IF('I. Stream &amp; Compound Data'!BO306&lt;&gt;"",'I. Stream &amp; Compound Data'!BO306,IF('I. Stream &amp; Compound Data'!BP306&lt;&gt;"",'I. Stream &amp; Compound Data'!BP306,""))</f>
        <v/>
      </c>
      <c r="K654" s="1295" t="str">
        <f t="shared" si="29"/>
        <v/>
      </c>
      <c r="L654" s="1317" t="str">
        <f t="shared" si="30"/>
        <v/>
      </c>
      <c r="M654" s="287"/>
      <c r="N654" s="296"/>
      <c r="O654" s="280"/>
      <c r="P654" s="287"/>
      <c r="Q654" s="279"/>
      <c r="R654" s="297"/>
      <c r="S654" s="298"/>
      <c r="T654" s="298"/>
      <c r="U654" s="299"/>
      <c r="V654" s="279"/>
      <c r="W654" s="279"/>
      <c r="X654" s="279"/>
      <c r="Y654" s="279"/>
      <c r="Z654" s="279"/>
      <c r="AA654" s="279"/>
      <c r="AB654" s="279"/>
      <c r="AC654" s="279"/>
      <c r="AD654" s="279"/>
      <c r="AE654" s="279"/>
      <c r="AF654" s="279"/>
      <c r="AG654" s="279"/>
      <c r="AH654" s="279"/>
      <c r="AI654" s="279"/>
      <c r="AJ654" s="279"/>
      <c r="AK654" s="279"/>
      <c r="AL654" s="279"/>
      <c r="AM654" s="279"/>
      <c r="AN654" s="279"/>
      <c r="AO654" s="279"/>
      <c r="AP654" s="279"/>
      <c r="AQ654" s="279"/>
      <c r="AR654" s="279"/>
      <c r="AS654" s="279"/>
      <c r="AT654" s="279"/>
      <c r="AU654" s="279"/>
      <c r="AV654" s="279"/>
      <c r="AW654" s="279"/>
      <c r="AX654" s="279"/>
      <c r="AY654" s="279"/>
      <c r="AZ654" s="279"/>
      <c r="BA654" s="279"/>
      <c r="BB654" s="279"/>
      <c r="BC654" s="279"/>
      <c r="BD654" s="279"/>
      <c r="BE654" s="279"/>
      <c r="BF654" s="279"/>
      <c r="BG654" s="279"/>
      <c r="BH654" s="279"/>
      <c r="BI654" s="279"/>
      <c r="BJ654" s="279"/>
      <c r="BK654" s="279"/>
      <c r="BL654" s="279"/>
      <c r="BM654" s="279"/>
      <c r="BN654" s="279"/>
      <c r="BO654" s="279"/>
      <c r="BP654" s="279"/>
      <c r="BQ654" s="279"/>
      <c r="BR654" s="279"/>
      <c r="BS654" s="279"/>
      <c r="BT654" s="279"/>
      <c r="BU654" s="279"/>
      <c r="BV654" s="279"/>
      <c r="BW654" s="279"/>
      <c r="BX654" s="279"/>
      <c r="BY654" s="279"/>
      <c r="BZ654" s="279"/>
      <c r="CA654" s="279"/>
      <c r="CB654" s="279"/>
      <c r="CC654" s="279"/>
      <c r="CD654" s="279"/>
      <c r="CE654" s="279"/>
      <c r="CF654" s="279"/>
      <c r="CG654" s="279"/>
      <c r="CH654" s="279"/>
      <c r="CI654" s="279"/>
      <c r="CJ654" s="279"/>
      <c r="CK654" s="279"/>
      <c r="CL654" s="279"/>
      <c r="CM654" s="279"/>
      <c r="CN654" s="382"/>
    </row>
    <row r="655" x14ac:dyDescent="0.3">
      <c r="B655" s="361"/>
      <c r="C655" s="279"/>
      <c r="D655" s="280"/>
      <c r="E655" s="287"/>
      <c r="F655" s="287"/>
      <c r="G655" s="287"/>
      <c r="H655" s="1292">
        <f t="shared" si="25"/>
        <v>46</v>
      </c>
      <c r="I655" s="1190" t="str">
        <f t="shared" si="27"/>
        <v/>
      </c>
      <c r="J655" s="1295" t="str">
        <f>IF('I. Stream &amp; Compound Data'!BO307&lt;&gt;"",'I. Stream &amp; Compound Data'!BO307,IF('I. Stream &amp; Compound Data'!BP307&lt;&gt;"",'I. Stream &amp; Compound Data'!BP307,""))</f>
        <v/>
      </c>
      <c r="K655" s="1295" t="str">
        <f t="shared" si="29"/>
        <v/>
      </c>
      <c r="L655" s="1317" t="str">
        <f t="shared" si="30"/>
        <v/>
      </c>
      <c r="M655" s="287"/>
      <c r="N655" s="296"/>
      <c r="O655" s="280"/>
      <c r="P655" s="287"/>
      <c r="Q655" s="279"/>
      <c r="R655" s="297"/>
      <c r="S655" s="298"/>
      <c r="T655" s="298"/>
      <c r="U655" s="299"/>
      <c r="V655" s="279"/>
      <c r="W655" s="279"/>
      <c r="X655" s="279"/>
      <c r="Y655" s="279"/>
      <c r="Z655" s="279"/>
      <c r="AA655" s="279"/>
      <c r="AB655" s="279"/>
      <c r="AC655" s="279"/>
      <c r="AD655" s="279"/>
      <c r="AE655" s="279"/>
      <c r="AF655" s="279"/>
      <c r="AG655" s="279"/>
      <c r="AH655" s="279"/>
      <c r="AI655" s="279"/>
      <c r="AJ655" s="279"/>
      <c r="AK655" s="279"/>
      <c r="AL655" s="279"/>
      <c r="AM655" s="279"/>
      <c r="AN655" s="279"/>
      <c r="AO655" s="279"/>
      <c r="AP655" s="279"/>
      <c r="AQ655" s="279"/>
      <c r="AR655" s="279"/>
      <c r="AS655" s="279"/>
      <c r="AT655" s="279"/>
      <c r="AU655" s="279"/>
      <c r="AV655" s="279"/>
      <c r="AW655" s="279"/>
      <c r="AX655" s="279"/>
      <c r="AY655" s="279"/>
      <c r="AZ655" s="279"/>
      <c r="BA655" s="279"/>
      <c r="BB655" s="279"/>
      <c r="BC655" s="279"/>
      <c r="BD655" s="279"/>
      <c r="BE655" s="279"/>
      <c r="BF655" s="279"/>
      <c r="BG655" s="279"/>
      <c r="BH655" s="279"/>
      <c r="BI655" s="279"/>
      <c r="BJ655" s="279"/>
      <c r="BK655" s="279"/>
      <c r="BL655" s="279"/>
      <c r="BM655" s="279"/>
      <c r="BN655" s="279"/>
      <c r="BO655" s="279"/>
      <c r="BP655" s="279"/>
      <c r="BQ655" s="279"/>
      <c r="BR655" s="279"/>
      <c r="BS655" s="279"/>
      <c r="BT655" s="279"/>
      <c r="BU655" s="279"/>
      <c r="BV655" s="279"/>
      <c r="BW655" s="279"/>
      <c r="BX655" s="279"/>
      <c r="BY655" s="279"/>
      <c r="BZ655" s="279"/>
      <c r="CA655" s="279"/>
      <c r="CB655" s="279"/>
      <c r="CC655" s="279"/>
      <c r="CD655" s="279"/>
      <c r="CE655" s="279"/>
      <c r="CF655" s="279"/>
      <c r="CG655" s="279"/>
      <c r="CH655" s="279"/>
      <c r="CI655" s="279"/>
      <c r="CJ655" s="279"/>
      <c r="CK655" s="279"/>
      <c r="CL655" s="279"/>
      <c r="CM655" s="279"/>
      <c r="CN655" s="382"/>
    </row>
    <row r="656" x14ac:dyDescent="0.3">
      <c r="B656" s="361"/>
      <c r="C656" s="279"/>
      <c r="D656" s="280"/>
      <c r="E656" s="287"/>
      <c r="F656" s="287"/>
      <c r="G656" s="287"/>
      <c r="H656" s="1292">
        <f t="shared" si="25"/>
        <v>47</v>
      </c>
      <c r="I656" s="1190" t="str">
        <f t="shared" si="27"/>
        <v/>
      </c>
      <c r="J656" s="1295" t="str">
        <f>IF('I. Stream &amp; Compound Data'!BO308&lt;&gt;"",'I. Stream &amp; Compound Data'!BO308,IF('I. Stream &amp; Compound Data'!BP308&lt;&gt;"",'I. Stream &amp; Compound Data'!BP308,""))</f>
        <v/>
      </c>
      <c r="K656" s="1295" t="str">
        <f t="shared" si="29"/>
        <v/>
      </c>
      <c r="L656" s="1317" t="str">
        <f t="shared" si="30"/>
        <v/>
      </c>
      <c r="M656" s="287"/>
      <c r="N656" s="296"/>
      <c r="O656" s="280"/>
      <c r="P656" s="287"/>
      <c r="Q656" s="279"/>
      <c r="R656" s="297"/>
      <c r="S656" s="298"/>
      <c r="T656" s="298"/>
      <c r="U656" s="299"/>
      <c r="V656" s="279"/>
      <c r="W656" s="279"/>
      <c r="X656" s="279"/>
      <c r="Y656" s="279"/>
      <c r="Z656" s="279"/>
      <c r="AA656" s="279"/>
      <c r="AB656" s="279"/>
      <c r="AC656" s="279"/>
      <c r="AD656" s="279"/>
      <c r="AE656" s="279"/>
      <c r="AF656" s="279"/>
      <c r="AG656" s="279"/>
      <c r="AH656" s="279"/>
      <c r="AI656" s="279"/>
      <c r="AJ656" s="279"/>
      <c r="AK656" s="279"/>
      <c r="AL656" s="279"/>
      <c r="AM656" s="279"/>
      <c r="AN656" s="279"/>
      <c r="AO656" s="279"/>
      <c r="AP656" s="279"/>
      <c r="AQ656" s="279"/>
      <c r="AR656" s="279"/>
      <c r="AS656" s="279"/>
      <c r="AT656" s="279"/>
      <c r="AU656" s="279"/>
      <c r="AV656" s="279"/>
      <c r="AW656" s="279"/>
      <c r="AX656" s="279"/>
      <c r="AY656" s="279"/>
      <c r="AZ656" s="279"/>
      <c r="BA656" s="279"/>
      <c r="BB656" s="279"/>
      <c r="BC656" s="279"/>
      <c r="BD656" s="279"/>
      <c r="BE656" s="279"/>
      <c r="BF656" s="279"/>
      <c r="BG656" s="279"/>
      <c r="BH656" s="279"/>
      <c r="BI656" s="279"/>
      <c r="BJ656" s="279"/>
      <c r="BK656" s="279"/>
      <c r="BL656" s="279"/>
      <c r="BM656" s="279"/>
      <c r="BN656" s="279"/>
      <c r="BO656" s="279"/>
      <c r="BP656" s="279"/>
      <c r="BQ656" s="279"/>
      <c r="BR656" s="279"/>
      <c r="BS656" s="279"/>
      <c r="BT656" s="279"/>
      <c r="BU656" s="279"/>
      <c r="BV656" s="279"/>
      <c r="BW656" s="279"/>
      <c r="BX656" s="279"/>
      <c r="BY656" s="279"/>
      <c r="BZ656" s="279"/>
      <c r="CA656" s="279"/>
      <c r="CB656" s="279"/>
      <c r="CC656" s="279"/>
      <c r="CD656" s="279"/>
      <c r="CE656" s="279"/>
      <c r="CF656" s="279"/>
      <c r="CG656" s="279"/>
      <c r="CH656" s="279"/>
      <c r="CI656" s="279"/>
      <c r="CJ656" s="279"/>
      <c r="CK656" s="279"/>
      <c r="CL656" s="279"/>
      <c r="CM656" s="279"/>
      <c r="CN656" s="382"/>
    </row>
    <row r="657" x14ac:dyDescent="0.3">
      <c r="B657" s="361"/>
      <c r="C657" s="279"/>
      <c r="D657" s="280"/>
      <c r="E657" s="287"/>
      <c r="F657" s="287"/>
      <c r="G657" s="287"/>
      <c r="H657" s="1292">
        <f t="shared" si="25"/>
        <v>48</v>
      </c>
      <c r="I657" s="1190" t="str">
        <f t="shared" si="27"/>
        <v/>
      </c>
      <c r="J657" s="1295" t="str">
        <f>IF('I. Stream &amp; Compound Data'!BO309&lt;&gt;"",'I. Stream &amp; Compound Data'!BO309,IF('I. Stream &amp; Compound Data'!BP309&lt;&gt;"",'I. Stream &amp; Compound Data'!BP309,""))</f>
        <v/>
      </c>
      <c r="K657" s="1295" t="str">
        <f t="shared" si="29"/>
        <v/>
      </c>
      <c r="L657" s="1317" t="str">
        <f t="shared" si="30"/>
        <v/>
      </c>
      <c r="M657" s="287"/>
      <c r="N657" s="296"/>
      <c r="O657" s="280"/>
      <c r="P657" s="287"/>
      <c r="Q657" s="279"/>
      <c r="R657" s="297"/>
      <c r="S657" s="298"/>
      <c r="T657" s="298"/>
      <c r="U657" s="299"/>
      <c r="V657" s="279"/>
      <c r="W657" s="279"/>
      <c r="X657" s="279"/>
      <c r="Y657" s="279"/>
      <c r="Z657" s="279"/>
      <c r="AA657" s="279"/>
      <c r="AB657" s="279"/>
      <c r="AC657" s="279"/>
      <c r="AD657" s="279"/>
      <c r="AE657" s="279"/>
      <c r="AF657" s="279"/>
      <c r="AG657" s="279"/>
      <c r="AH657" s="279"/>
      <c r="AI657" s="279"/>
      <c r="AJ657" s="279"/>
      <c r="AK657" s="279"/>
      <c r="AL657" s="279"/>
      <c r="AM657" s="279"/>
      <c r="AN657" s="279"/>
      <c r="AO657" s="279"/>
      <c r="AP657" s="279"/>
      <c r="AQ657" s="279"/>
      <c r="AR657" s="279"/>
      <c r="AS657" s="279"/>
      <c r="AT657" s="279"/>
      <c r="AU657" s="279"/>
      <c r="AV657" s="279"/>
      <c r="AW657" s="279"/>
      <c r="AX657" s="279"/>
      <c r="AY657" s="279"/>
      <c r="AZ657" s="279"/>
      <c r="BA657" s="279"/>
      <c r="BB657" s="279"/>
      <c r="BC657" s="279"/>
      <c r="BD657" s="279"/>
      <c r="BE657" s="279"/>
      <c r="BF657" s="279"/>
      <c r="BG657" s="279"/>
      <c r="BH657" s="279"/>
      <c r="BI657" s="279"/>
      <c r="BJ657" s="279"/>
      <c r="BK657" s="279"/>
      <c r="BL657" s="279"/>
      <c r="BM657" s="279"/>
      <c r="BN657" s="279"/>
      <c r="BO657" s="279"/>
      <c r="BP657" s="279"/>
      <c r="BQ657" s="279"/>
      <c r="BR657" s="279"/>
      <c r="BS657" s="279"/>
      <c r="BT657" s="279"/>
      <c r="BU657" s="279"/>
      <c r="BV657" s="279"/>
      <c r="BW657" s="279"/>
      <c r="BX657" s="279"/>
      <c r="BY657" s="279"/>
      <c r="BZ657" s="279"/>
      <c r="CA657" s="279"/>
      <c r="CB657" s="279"/>
      <c r="CC657" s="279"/>
      <c r="CD657" s="279"/>
      <c r="CE657" s="279"/>
      <c r="CF657" s="279"/>
      <c r="CG657" s="279"/>
      <c r="CH657" s="279"/>
      <c r="CI657" s="279"/>
      <c r="CJ657" s="279"/>
      <c r="CK657" s="279"/>
      <c r="CL657" s="279"/>
      <c r="CM657" s="279"/>
      <c r="CN657" s="382"/>
    </row>
    <row r="658" x14ac:dyDescent="0.3">
      <c r="B658" s="361"/>
      <c r="C658" s="279"/>
      <c r="D658" s="280"/>
      <c r="E658" s="287"/>
      <c r="F658" s="287"/>
      <c r="G658" s="287"/>
      <c r="H658" s="1292">
        <f t="shared" si="25"/>
        <v>49</v>
      </c>
      <c r="I658" s="1190" t="str">
        <f t="shared" si="27"/>
        <v/>
      </c>
      <c r="J658" s="1295" t="str">
        <f>IF('I. Stream &amp; Compound Data'!BO310&lt;&gt;"",'I. Stream &amp; Compound Data'!BO310,IF('I. Stream &amp; Compound Data'!BP310&lt;&gt;"",'I. Stream &amp; Compound Data'!BP310,""))</f>
        <v/>
      </c>
      <c r="K658" s="1295" t="str">
        <f t="shared" si="29"/>
        <v/>
      </c>
      <c r="L658" s="1317" t="str">
        <f t="shared" si="30"/>
        <v/>
      </c>
      <c r="M658" s="287"/>
      <c r="N658" s="296"/>
      <c r="O658" s="280"/>
      <c r="P658" s="287"/>
      <c r="Q658" s="279"/>
      <c r="R658" s="297"/>
      <c r="S658" s="298"/>
      <c r="T658" s="298"/>
      <c r="U658" s="299"/>
      <c r="V658" s="279"/>
      <c r="W658" s="279"/>
      <c r="X658" s="279"/>
      <c r="Y658" s="279"/>
      <c r="Z658" s="279"/>
      <c r="AA658" s="279"/>
      <c r="AB658" s="279"/>
      <c r="AC658" s="279"/>
      <c r="AD658" s="279"/>
      <c r="AE658" s="279"/>
      <c r="AF658" s="279"/>
      <c r="AG658" s="279"/>
      <c r="AH658" s="279"/>
      <c r="AI658" s="279"/>
      <c r="AJ658" s="279"/>
      <c r="AK658" s="279"/>
      <c r="AL658" s="279"/>
      <c r="AM658" s="279"/>
      <c r="AN658" s="279"/>
      <c r="AO658" s="279"/>
      <c r="AP658" s="279"/>
      <c r="AQ658" s="279"/>
      <c r="AR658" s="279"/>
      <c r="AS658" s="279"/>
      <c r="AT658" s="279"/>
      <c r="AU658" s="279"/>
      <c r="AV658" s="279"/>
      <c r="AW658" s="279"/>
      <c r="AX658" s="279"/>
      <c r="AY658" s="279"/>
      <c r="AZ658" s="279"/>
      <c r="BA658" s="279"/>
      <c r="BB658" s="279"/>
      <c r="BC658" s="279"/>
      <c r="BD658" s="279"/>
      <c r="BE658" s="279"/>
      <c r="BF658" s="279"/>
      <c r="BG658" s="279"/>
      <c r="BH658" s="279"/>
      <c r="BI658" s="279"/>
      <c r="BJ658" s="279"/>
      <c r="BK658" s="279"/>
      <c r="BL658" s="279"/>
      <c r="BM658" s="279"/>
      <c r="BN658" s="279"/>
      <c r="BO658" s="279"/>
      <c r="BP658" s="279"/>
      <c r="BQ658" s="279"/>
      <c r="BR658" s="279"/>
      <c r="BS658" s="279"/>
      <c r="BT658" s="279"/>
      <c r="BU658" s="279"/>
      <c r="BV658" s="279"/>
      <c r="BW658" s="279"/>
      <c r="BX658" s="279"/>
      <c r="BY658" s="279"/>
      <c r="BZ658" s="279"/>
      <c r="CA658" s="279"/>
      <c r="CB658" s="279"/>
      <c r="CC658" s="279"/>
      <c r="CD658" s="279"/>
      <c r="CE658" s="279"/>
      <c r="CF658" s="279"/>
      <c r="CG658" s="279"/>
      <c r="CH658" s="279"/>
      <c r="CI658" s="279"/>
      <c r="CJ658" s="279"/>
      <c r="CK658" s="279"/>
      <c r="CL658" s="279"/>
      <c r="CM658" s="279"/>
      <c r="CN658" s="382"/>
    </row>
    <row r="659" ht="16.2" thickBot="true" x14ac:dyDescent="0.35">
      <c r="B659" s="361"/>
      <c r="C659" s="279"/>
      <c r="D659" s="280"/>
      <c r="E659" s="287"/>
      <c r="F659" s="287"/>
      <c r="G659" s="287"/>
      <c r="H659" s="1298">
        <f t="shared" si="25"/>
        <v>50</v>
      </c>
      <c r="I659" s="1259" t="str">
        <f t="shared" si="27"/>
        <v/>
      </c>
      <c r="J659" s="1301" t="str">
        <f>IF('I. Stream &amp; Compound Data'!BO311&lt;&gt;"",'I. Stream &amp; Compound Data'!BO311,IF('I. Stream &amp; Compound Data'!BP311&lt;&gt;"",'I. Stream &amp; Compound Data'!BP311,""))</f>
        <v/>
      </c>
      <c r="K659" s="1301" t="str">
        <f t="shared" si="29"/>
        <v/>
      </c>
      <c r="L659" s="1318" t="str">
        <f t="shared" si="30"/>
        <v/>
      </c>
      <c r="M659" s="287"/>
      <c r="N659" s="296"/>
      <c r="O659" s="280"/>
      <c r="P659" s="287"/>
      <c r="Q659" s="279"/>
      <c r="R659" s="297"/>
      <c r="S659" s="298"/>
      <c r="T659" s="298"/>
      <c r="U659" s="299"/>
      <c r="V659" s="279"/>
      <c r="W659" s="279"/>
      <c r="X659" s="279"/>
      <c r="Y659" s="279"/>
      <c r="Z659" s="279"/>
      <c r="AA659" s="279"/>
      <c r="AB659" s="279"/>
      <c r="AC659" s="279"/>
      <c r="AD659" s="279"/>
      <c r="AE659" s="279"/>
      <c r="AF659" s="279"/>
      <c r="AG659" s="279"/>
      <c r="AH659" s="279"/>
      <c r="AI659" s="279"/>
      <c r="AJ659" s="279"/>
      <c r="AK659" s="279"/>
      <c r="AL659" s="279"/>
      <c r="AM659" s="279"/>
      <c r="AN659" s="279"/>
      <c r="AO659" s="279"/>
      <c r="AP659" s="279"/>
      <c r="AQ659" s="279"/>
      <c r="AR659" s="279"/>
      <c r="AS659" s="279"/>
      <c r="AT659" s="279"/>
      <c r="AU659" s="279"/>
      <c r="AV659" s="279"/>
      <c r="AW659" s="279"/>
      <c r="AX659" s="279"/>
      <c r="AY659" s="279"/>
      <c r="AZ659" s="279"/>
      <c r="BA659" s="279"/>
      <c r="BB659" s="279"/>
      <c r="BC659" s="279"/>
      <c r="BD659" s="279"/>
      <c r="BE659" s="279"/>
      <c r="BF659" s="279"/>
      <c r="BG659" s="279"/>
      <c r="BH659" s="279"/>
      <c r="BI659" s="279"/>
      <c r="BJ659" s="279"/>
      <c r="BK659" s="279"/>
      <c r="BL659" s="279"/>
      <c r="BM659" s="279"/>
      <c r="BN659" s="279"/>
      <c r="BO659" s="279"/>
      <c r="BP659" s="279"/>
      <c r="BQ659" s="279"/>
      <c r="BR659" s="279"/>
      <c r="BS659" s="279"/>
      <c r="BT659" s="279"/>
      <c r="BU659" s="279"/>
      <c r="BV659" s="279"/>
      <c r="BW659" s="279"/>
      <c r="BX659" s="279"/>
      <c r="BY659" s="279"/>
      <c r="BZ659" s="279"/>
      <c r="CA659" s="279"/>
      <c r="CB659" s="279"/>
      <c r="CC659" s="279"/>
      <c r="CD659" s="279"/>
      <c r="CE659" s="279"/>
      <c r="CF659" s="279"/>
      <c r="CG659" s="279"/>
      <c r="CH659" s="279"/>
      <c r="CI659" s="279"/>
      <c r="CJ659" s="279"/>
      <c r="CK659" s="279"/>
      <c r="CL659" s="279"/>
      <c r="CM659" s="279"/>
      <c r="CN659" s="382"/>
    </row>
    <row r="660" ht="16.2" thickBot="true" x14ac:dyDescent="0.35">
      <c r="B660" s="361"/>
      <c r="C660" s="279"/>
      <c r="D660" s="280"/>
      <c r="E660" s="287"/>
      <c r="F660" s="287"/>
      <c r="G660" s="287"/>
      <c r="H660" s="280"/>
      <c r="I660" s="304"/>
      <c r="J660" s="305" t="s">
        <v>88</v>
      </c>
      <c r="K660" s="1315">
        <f>SUM(K610:K659)</f>
        <v>0</v>
      </c>
      <c r="L660" s="1316">
        <f>SUM(L610:L659)</f>
        <v>2980.7504537999998</v>
      </c>
      <c r="M660" s="287"/>
      <c r="N660" s="296"/>
      <c r="O660" s="280"/>
      <c r="P660" s="287"/>
      <c r="Q660" s="279"/>
      <c r="R660" s="297"/>
      <c r="S660" s="298"/>
      <c r="T660" s="298"/>
      <c r="U660" s="299"/>
      <c r="V660" s="279"/>
      <c r="W660" s="279"/>
      <c r="X660" s="279"/>
      <c r="Y660" s="279"/>
      <c r="Z660" s="279"/>
      <c r="AA660" s="279"/>
      <c r="AB660" s="279"/>
      <c r="AC660" s="279"/>
      <c r="AD660" s="279"/>
      <c r="AE660" s="279"/>
      <c r="AF660" s="279"/>
      <c r="AG660" s="279"/>
      <c r="AH660" s="279"/>
      <c r="AI660" s="279"/>
      <c r="AJ660" s="279"/>
      <c r="AK660" s="279"/>
      <c r="AL660" s="279"/>
      <c r="AM660" s="279"/>
      <c r="AN660" s="279"/>
      <c r="AO660" s="279"/>
      <c r="AP660" s="279"/>
      <c r="AQ660" s="279"/>
      <c r="AR660" s="279"/>
      <c r="AS660" s="279"/>
      <c r="AT660" s="279"/>
      <c r="AU660" s="279"/>
      <c r="AV660" s="279"/>
      <c r="AW660" s="279"/>
      <c r="AX660" s="279"/>
      <c r="AY660" s="279"/>
      <c r="AZ660" s="279"/>
      <c r="BA660" s="279"/>
      <c r="BB660" s="279"/>
      <c r="BC660" s="279"/>
      <c r="BD660" s="279"/>
      <c r="BE660" s="279"/>
      <c r="BF660" s="279"/>
      <c r="BG660" s="279"/>
      <c r="BH660" s="279"/>
      <c r="BI660" s="279"/>
      <c r="BJ660" s="279"/>
      <c r="BK660" s="279"/>
      <c r="BL660" s="279"/>
      <c r="BM660" s="279"/>
      <c r="BN660" s="279"/>
      <c r="BO660" s="279"/>
      <c r="BP660" s="279"/>
      <c r="BQ660" s="279"/>
      <c r="BR660" s="279"/>
      <c r="BS660" s="279"/>
      <c r="BT660" s="279"/>
      <c r="BU660" s="279"/>
      <c r="BV660" s="279"/>
      <c r="BW660" s="279"/>
      <c r="BX660" s="279"/>
      <c r="BY660" s="279"/>
      <c r="BZ660" s="279"/>
      <c r="CA660" s="279"/>
      <c r="CB660" s="279"/>
      <c r="CC660" s="279"/>
      <c r="CD660" s="279"/>
      <c r="CE660" s="279"/>
      <c r="CF660" s="279"/>
      <c r="CG660" s="279"/>
      <c r="CH660" s="279"/>
      <c r="CI660" s="279"/>
      <c r="CJ660" s="279"/>
      <c r="CK660" s="279"/>
      <c r="CL660" s="279"/>
      <c r="CM660" s="279"/>
      <c r="CN660" s="382"/>
    </row>
    <row r="661" x14ac:dyDescent="0.3">
      <c r="B661" s="361"/>
      <c r="C661" s="279"/>
      <c r="D661" s="280"/>
      <c r="E661" s="287"/>
      <c r="F661" s="287"/>
      <c r="G661" s="287"/>
      <c r="H661" s="280"/>
      <c r="I661" s="304"/>
      <c r="J661" s="305"/>
      <c r="K661" s="287"/>
      <c r="L661" s="287"/>
      <c r="M661" s="287"/>
      <c r="N661" s="296"/>
      <c r="O661" s="280"/>
      <c r="P661" s="287"/>
      <c r="Q661" s="279"/>
      <c r="R661" s="297"/>
      <c r="S661" s="298"/>
      <c r="T661" s="298"/>
      <c r="U661" s="299"/>
      <c r="V661" s="279"/>
      <c r="W661" s="279"/>
      <c r="X661" s="279"/>
      <c r="Y661" s="279"/>
      <c r="Z661" s="279"/>
      <c r="AA661" s="279"/>
      <c r="AB661" s="279"/>
      <c r="AC661" s="279"/>
      <c r="AD661" s="279"/>
      <c r="AE661" s="279"/>
      <c r="AF661" s="279"/>
      <c r="AG661" s="279"/>
      <c r="AH661" s="279"/>
      <c r="AI661" s="279"/>
      <c r="AJ661" s="279"/>
      <c r="AK661" s="279"/>
      <c r="AL661" s="279"/>
      <c r="AM661" s="279"/>
      <c r="AN661" s="279"/>
      <c r="AO661" s="279"/>
      <c r="AP661" s="279"/>
      <c r="AQ661" s="279"/>
      <c r="AR661" s="279"/>
      <c r="AS661" s="279"/>
      <c r="AT661" s="279"/>
      <c r="AU661" s="279"/>
      <c r="AV661" s="279"/>
      <c r="AW661" s="279"/>
      <c r="AX661" s="279"/>
      <c r="AY661" s="279"/>
      <c r="AZ661" s="279"/>
      <c r="BA661" s="279"/>
      <c r="BB661" s="279"/>
      <c r="BC661" s="279"/>
      <c r="BD661" s="279"/>
      <c r="BE661" s="279"/>
      <c r="BF661" s="279"/>
      <c r="BG661" s="279"/>
      <c r="BH661" s="279"/>
      <c r="BI661" s="279"/>
      <c r="BJ661" s="279"/>
      <c r="BK661" s="279"/>
      <c r="BL661" s="279"/>
      <c r="BM661" s="279"/>
      <c r="BN661" s="279"/>
      <c r="BO661" s="279"/>
      <c r="BP661" s="279"/>
      <c r="BQ661" s="279"/>
      <c r="BR661" s="279"/>
      <c r="BS661" s="279"/>
      <c r="BT661" s="279"/>
      <c r="BU661" s="279"/>
      <c r="BV661" s="279"/>
      <c r="BW661" s="279"/>
      <c r="BX661" s="279"/>
      <c r="BY661" s="279"/>
      <c r="BZ661" s="279"/>
      <c r="CA661" s="279"/>
      <c r="CB661" s="279"/>
      <c r="CC661" s="279"/>
      <c r="CD661" s="279"/>
      <c r="CE661" s="279"/>
      <c r="CF661" s="279"/>
      <c r="CG661" s="279"/>
      <c r="CH661" s="279"/>
      <c r="CI661" s="279"/>
      <c r="CJ661" s="279"/>
      <c r="CK661" s="279"/>
      <c r="CL661" s="279"/>
      <c r="CM661" s="279"/>
      <c r="CN661" s="382"/>
    </row>
    <row r="662" x14ac:dyDescent="0.3">
      <c r="B662" s="361"/>
      <c r="C662" s="279"/>
      <c r="D662" s="280"/>
      <c r="E662" s="287"/>
      <c r="F662" s="287"/>
      <c r="G662" s="287"/>
      <c r="H662" s="280"/>
      <c r="I662" s="304"/>
      <c r="J662" s="305"/>
      <c r="K662" s="287"/>
      <c r="L662" s="287"/>
      <c r="M662" s="287"/>
      <c r="N662" s="296"/>
      <c r="O662" s="280"/>
      <c r="P662" s="287"/>
      <c r="Q662" s="279"/>
      <c r="R662" s="297"/>
      <c r="S662" s="298"/>
      <c r="T662" s="298"/>
      <c r="U662" s="299"/>
      <c r="V662" s="279"/>
      <c r="W662" s="279"/>
      <c r="X662" s="279"/>
      <c r="Y662" s="279"/>
      <c r="Z662" s="279"/>
      <c r="AA662" s="279"/>
      <c r="AB662" s="279"/>
      <c r="AC662" s="279"/>
      <c r="AD662" s="279"/>
      <c r="AE662" s="279"/>
      <c r="AF662" s="279"/>
      <c r="AG662" s="279"/>
      <c r="AH662" s="279"/>
      <c r="AI662" s="279"/>
      <c r="AJ662" s="279"/>
      <c r="AK662" s="279"/>
      <c r="AL662" s="279"/>
      <c r="AM662" s="279"/>
      <c r="AN662" s="279"/>
      <c r="AO662" s="279"/>
      <c r="AP662" s="279"/>
      <c r="AQ662" s="279"/>
      <c r="AR662" s="279"/>
      <c r="AS662" s="279"/>
      <c r="AT662" s="279"/>
      <c r="AU662" s="279"/>
      <c r="AV662" s="279"/>
      <c r="AW662" s="279"/>
      <c r="AX662" s="279"/>
      <c r="AY662" s="279"/>
      <c r="AZ662" s="279"/>
      <c r="BA662" s="279"/>
      <c r="BB662" s="279"/>
      <c r="BC662" s="279"/>
      <c r="BD662" s="279"/>
      <c r="BE662" s="279"/>
      <c r="BF662" s="279"/>
      <c r="BG662" s="279"/>
      <c r="BH662" s="279"/>
      <c r="BI662" s="279"/>
      <c r="BJ662" s="279"/>
      <c r="BK662" s="279"/>
      <c r="BL662" s="279"/>
      <c r="BM662" s="279"/>
      <c r="BN662" s="279"/>
      <c r="BO662" s="279"/>
      <c r="BP662" s="279"/>
      <c r="BQ662" s="279"/>
      <c r="BR662" s="279"/>
      <c r="BS662" s="279"/>
      <c r="BT662" s="279"/>
      <c r="BU662" s="279"/>
      <c r="BV662" s="279"/>
      <c r="BW662" s="279"/>
      <c r="BX662" s="279"/>
      <c r="BY662" s="279"/>
      <c r="BZ662" s="279"/>
      <c r="CA662" s="279"/>
      <c r="CB662" s="279"/>
      <c r="CC662" s="279"/>
      <c r="CD662" s="279"/>
      <c r="CE662" s="279"/>
      <c r="CF662" s="279"/>
      <c r="CG662" s="279"/>
      <c r="CH662" s="279"/>
      <c r="CI662" s="279"/>
      <c r="CJ662" s="279"/>
      <c r="CK662" s="279"/>
      <c r="CL662" s="279"/>
      <c r="CM662" s="279"/>
      <c r="CN662" s="382"/>
    </row>
    <row r="663" x14ac:dyDescent="0.3">
      <c r="B663" s="361"/>
      <c r="C663" s="279"/>
      <c r="D663" s="280"/>
      <c r="E663" s="287"/>
      <c r="F663" s="287"/>
      <c r="G663" s="287"/>
      <c r="H663" s="280"/>
      <c r="I663" s="304"/>
      <c r="J663" s="279"/>
      <c r="K663" s="280"/>
      <c r="L663" s="362"/>
      <c r="M663" s="287"/>
      <c r="N663" s="306"/>
      <c r="O663" s="280"/>
      <c r="P663" s="287"/>
      <c r="Q663" s="279"/>
      <c r="R663" s="297"/>
      <c r="S663" s="298"/>
      <c r="T663" s="298"/>
      <c r="U663" s="299"/>
      <c r="V663" s="279"/>
      <c r="W663" s="279"/>
      <c r="X663" s="279"/>
      <c r="Y663" s="279"/>
      <c r="Z663" s="279"/>
      <c r="AA663" s="279"/>
      <c r="AB663" s="279"/>
      <c r="AC663" s="279"/>
      <c r="AD663" s="279"/>
      <c r="AE663" s="279"/>
      <c r="AF663" s="279"/>
      <c r="AG663" s="279"/>
      <c r="AH663" s="279"/>
      <c r="AI663" s="279"/>
      <c r="AJ663" s="279"/>
      <c r="AK663" s="279"/>
      <c r="AL663" s="279"/>
      <c r="AM663" s="279"/>
      <c r="AN663" s="279"/>
      <c r="AO663" s="279"/>
      <c r="AP663" s="279"/>
      <c r="AQ663" s="279"/>
      <c r="AR663" s="279"/>
      <c r="AS663" s="279"/>
      <c r="AT663" s="279"/>
      <c r="AU663" s="279"/>
      <c r="AV663" s="279"/>
      <c r="AW663" s="279"/>
      <c r="AX663" s="279"/>
      <c r="AY663" s="279"/>
      <c r="AZ663" s="279"/>
      <c r="BA663" s="279"/>
      <c r="BB663" s="279"/>
      <c r="BC663" s="279"/>
      <c r="BD663" s="279"/>
      <c r="BE663" s="279"/>
      <c r="BF663" s="279"/>
      <c r="BG663" s="279"/>
      <c r="BH663" s="279"/>
      <c r="BI663" s="279"/>
      <c r="BJ663" s="279"/>
      <c r="BK663" s="279"/>
      <c r="BL663" s="279"/>
      <c r="BM663" s="279"/>
      <c r="BN663" s="279"/>
      <c r="BO663" s="279"/>
      <c r="BP663" s="279"/>
      <c r="BQ663" s="279"/>
      <c r="BR663" s="279"/>
      <c r="BS663" s="279"/>
      <c r="BT663" s="279"/>
      <c r="BU663" s="279"/>
      <c r="BV663" s="279"/>
      <c r="BW663" s="279"/>
      <c r="BX663" s="279"/>
      <c r="BY663" s="279"/>
      <c r="BZ663" s="279"/>
      <c r="CA663" s="279"/>
      <c r="CB663" s="279"/>
      <c r="CC663" s="279"/>
      <c r="CD663" s="279"/>
      <c r="CE663" s="279"/>
      <c r="CF663" s="279"/>
      <c r="CG663" s="279"/>
      <c r="CH663" s="279"/>
      <c r="CI663" s="279"/>
      <c r="CJ663" s="279"/>
      <c r="CK663" s="279"/>
      <c r="CL663" s="279"/>
      <c r="CM663" s="279"/>
      <c r="CN663" s="382"/>
    </row>
    <row r="664" x14ac:dyDescent="0.3">
      <c r="B664" s="361"/>
      <c r="C664" s="279"/>
      <c r="D664" s="366"/>
      <c r="E664" s="306"/>
      <c r="F664" s="306"/>
      <c r="G664" s="306"/>
      <c r="H664" s="366"/>
      <c r="I664" s="304"/>
      <c r="J664" s="279"/>
      <c r="K664" s="280"/>
      <c r="L664" s="362"/>
      <c r="M664" s="306"/>
      <c r="N664" s="296"/>
      <c r="O664" s="366"/>
      <c r="P664" s="306"/>
      <c r="Q664" s="303"/>
      <c r="R664" s="367"/>
      <c r="S664" s="368"/>
      <c r="T664" s="368"/>
      <c r="U664" s="369"/>
      <c r="V664" s="279"/>
      <c r="W664" s="279"/>
      <c r="X664" s="279"/>
      <c r="Y664" s="279"/>
      <c r="Z664" s="279"/>
      <c r="AA664" s="279"/>
      <c r="AB664" s="279"/>
      <c r="AC664" s="279"/>
      <c r="AD664" s="279"/>
      <c r="AE664" s="279"/>
      <c r="AF664" s="279"/>
      <c r="AG664" s="279"/>
      <c r="AH664" s="279"/>
      <c r="AI664" s="279"/>
      <c r="AJ664" s="279"/>
      <c r="AK664" s="279"/>
      <c r="AL664" s="279"/>
      <c r="AM664" s="279"/>
      <c r="AN664" s="279"/>
      <c r="AO664" s="279"/>
      <c r="AP664" s="279"/>
      <c r="AQ664" s="279"/>
      <c r="AR664" s="279"/>
      <c r="AS664" s="279"/>
      <c r="AT664" s="279"/>
      <c r="AU664" s="279"/>
      <c r="AV664" s="279"/>
      <c r="AW664" s="279"/>
      <c r="AX664" s="279"/>
      <c r="AY664" s="279"/>
      <c r="AZ664" s="279"/>
      <c r="BA664" s="279"/>
      <c r="BB664" s="279"/>
      <c r="BC664" s="279"/>
      <c r="BD664" s="279"/>
      <c r="BE664" s="279"/>
      <c r="BF664" s="279"/>
      <c r="BG664" s="279"/>
      <c r="BH664" s="279"/>
      <c r="BI664" s="279"/>
      <c r="BJ664" s="279"/>
      <c r="BK664" s="279"/>
      <c r="BL664" s="279"/>
      <c r="BM664" s="279"/>
      <c r="BN664" s="279"/>
      <c r="BO664" s="279"/>
      <c r="BP664" s="279"/>
      <c r="BQ664" s="279"/>
      <c r="BR664" s="279"/>
      <c r="BS664" s="279"/>
      <c r="BT664" s="279"/>
      <c r="BU664" s="279"/>
      <c r="BV664" s="279"/>
      <c r="BW664" s="279"/>
      <c r="BX664" s="279"/>
      <c r="BY664" s="279"/>
      <c r="BZ664" s="279"/>
      <c r="CA664" s="279"/>
      <c r="CB664" s="279"/>
      <c r="CC664" s="279"/>
      <c r="CD664" s="279"/>
      <c r="CE664" s="279"/>
      <c r="CF664" s="279"/>
      <c r="CG664" s="279"/>
      <c r="CH664" s="279"/>
      <c r="CI664" s="279"/>
      <c r="CJ664" s="279"/>
      <c r="CK664" s="279"/>
      <c r="CL664" s="279"/>
      <c r="CM664" s="279"/>
      <c r="CN664" s="382"/>
    </row>
    <row r="665" ht="16.2" thickBot="true" x14ac:dyDescent="0.35">
      <c r="B665" s="361"/>
      <c r="C665" s="279"/>
      <c r="D665" s="280"/>
      <c r="E665" s="287"/>
      <c r="F665" s="287"/>
      <c r="G665" s="287"/>
      <c r="H665" s="280"/>
      <c r="I665" s="304"/>
      <c r="J665" s="279"/>
      <c r="K665" s="280"/>
      <c r="L665" s="362"/>
      <c r="M665" s="287"/>
      <c r="N665" s="296"/>
      <c r="O665" s="280"/>
      <c r="P665" s="287"/>
      <c r="Q665" s="279"/>
      <c r="R665" s="297"/>
      <c r="S665" s="298"/>
      <c r="T665" s="298"/>
      <c r="U665" s="299"/>
      <c r="V665" s="279"/>
      <c r="W665" s="279"/>
      <c r="X665" s="279"/>
      <c r="Y665" s="279"/>
      <c r="Z665" s="279"/>
      <c r="AA665" s="279"/>
      <c r="AB665" s="279"/>
      <c r="AC665" s="279"/>
      <c r="AD665" s="279"/>
      <c r="AE665" s="279"/>
      <c r="AF665" s="279"/>
      <c r="AG665" s="279"/>
      <c r="AH665" s="279"/>
      <c r="AI665" s="279"/>
      <c r="AJ665" s="279"/>
      <c r="AK665" s="279"/>
      <c r="AL665" s="279"/>
      <c r="AM665" s="279"/>
      <c r="AN665" s="279"/>
      <c r="AO665" s="279"/>
      <c r="AP665" s="279"/>
      <c r="AQ665" s="279"/>
      <c r="AR665" s="279"/>
      <c r="AS665" s="279"/>
      <c r="AT665" s="279"/>
      <c r="AU665" s="279"/>
      <c r="AV665" s="279"/>
      <c r="AW665" s="279"/>
      <c r="AX665" s="279"/>
      <c r="AY665" s="279"/>
      <c r="AZ665" s="279"/>
      <c r="BA665" s="279"/>
      <c r="BB665" s="279"/>
      <c r="BC665" s="279"/>
      <c r="BD665" s="279"/>
      <c r="BE665" s="279"/>
      <c r="BF665" s="279"/>
      <c r="BG665" s="279"/>
      <c r="BH665" s="279"/>
      <c r="BI665" s="279"/>
      <c r="BJ665" s="279"/>
      <c r="BK665" s="279"/>
      <c r="BL665" s="279"/>
      <c r="BM665" s="279"/>
      <c r="BN665" s="279"/>
      <c r="BO665" s="279"/>
      <c r="BP665" s="279"/>
      <c r="BQ665" s="279"/>
      <c r="BR665" s="279"/>
      <c r="BS665" s="279"/>
      <c r="BT665" s="279"/>
      <c r="BU665" s="279"/>
      <c r="BV665" s="279"/>
      <c r="BW665" s="279"/>
      <c r="BX665" s="279"/>
      <c r="BY665" s="279"/>
      <c r="BZ665" s="279"/>
      <c r="CA665" s="279"/>
      <c r="CB665" s="279"/>
      <c r="CC665" s="279"/>
      <c r="CD665" s="279"/>
      <c r="CE665" s="279"/>
      <c r="CF665" s="279"/>
      <c r="CG665" s="279"/>
      <c r="CH665" s="279"/>
      <c r="CI665" s="279"/>
      <c r="CJ665" s="279"/>
      <c r="CK665" s="279"/>
      <c r="CL665" s="279"/>
      <c r="CM665" s="279"/>
      <c r="CN665" s="382"/>
    </row>
    <row r="666" ht="26.25" customHeight="true" thickBot="true" x14ac:dyDescent="0.35">
      <c r="B666" s="361"/>
      <c r="C666" s="279"/>
      <c r="D666" s="280"/>
      <c r="E666" s="287"/>
      <c r="F666" s="287"/>
      <c r="G666" s="287"/>
      <c r="H666" s="1950" t="s">
        <v>387</v>
      </c>
      <c r="I666" s="1951"/>
      <c r="J666" s="1951"/>
      <c r="K666" s="1951"/>
      <c r="L666" s="1952"/>
      <c r="M666" s="287"/>
      <c r="N666" s="296"/>
      <c r="O666" s="280"/>
      <c r="P666" s="280"/>
      <c r="Q666" s="279"/>
      <c r="R666" s="297"/>
      <c r="S666" s="298"/>
      <c r="T666" s="298"/>
      <c r="U666" s="299"/>
      <c r="V666" s="279"/>
      <c r="W666" s="279"/>
      <c r="X666" s="279"/>
      <c r="Y666" s="279"/>
      <c r="Z666" s="279"/>
      <c r="AA666" s="279"/>
      <c r="AB666" s="279"/>
      <c r="AC666" s="279"/>
      <c r="AD666" s="279"/>
      <c r="AE666" s="279"/>
      <c r="AF666" s="279"/>
      <c r="AG666" s="279"/>
      <c r="AH666" s="279"/>
      <c r="AI666" s="279"/>
      <c r="AJ666" s="279"/>
      <c r="AK666" s="279"/>
      <c r="AL666" s="279"/>
      <c r="AM666" s="279"/>
      <c r="AN666" s="279"/>
      <c r="AO666" s="279"/>
      <c r="AP666" s="279"/>
      <c r="AQ666" s="279"/>
      <c r="AR666" s="279"/>
      <c r="AS666" s="279"/>
      <c r="AT666" s="279"/>
      <c r="AU666" s="279"/>
      <c r="AV666" s="279"/>
      <c r="AW666" s="279"/>
      <c r="AX666" s="279"/>
      <c r="AY666" s="279"/>
      <c r="AZ666" s="279"/>
      <c r="BA666" s="279"/>
      <c r="BB666" s="279"/>
      <c r="BC666" s="279"/>
      <c r="BD666" s="279"/>
      <c r="BE666" s="279"/>
      <c r="BF666" s="279"/>
      <c r="BG666" s="279"/>
      <c r="BH666" s="279"/>
      <c r="BI666" s="279"/>
      <c r="BJ666" s="279"/>
      <c r="BK666" s="279"/>
      <c r="BL666" s="279"/>
      <c r="BM666" s="279"/>
      <c r="BN666" s="279"/>
      <c r="BO666" s="279"/>
      <c r="BP666" s="279"/>
      <c r="BQ666" s="279"/>
      <c r="BR666" s="279"/>
      <c r="BS666" s="279"/>
      <c r="BT666" s="279"/>
      <c r="BU666" s="279"/>
      <c r="BV666" s="279"/>
      <c r="BW666" s="279"/>
      <c r="BX666" s="279"/>
      <c r="BY666" s="279"/>
      <c r="BZ666" s="279"/>
      <c r="CA666" s="279"/>
      <c r="CB666" s="279"/>
      <c r="CC666" s="279"/>
      <c r="CD666" s="279"/>
      <c r="CE666" s="279"/>
      <c r="CF666" s="279"/>
      <c r="CG666" s="279"/>
      <c r="CH666" s="279"/>
      <c r="CI666" s="279"/>
      <c r="CJ666" s="279"/>
      <c r="CK666" s="279"/>
      <c r="CL666" s="279"/>
      <c r="CM666" s="279"/>
      <c r="CN666" s="382"/>
    </row>
    <row r="667" ht="28.8" x14ac:dyDescent="0.3">
      <c r="B667" s="361"/>
      <c r="C667" s="279"/>
      <c r="D667" s="280"/>
      <c r="E667" s="287"/>
      <c r="F667" s="287"/>
      <c r="G667" s="287"/>
      <c r="H667" s="282" t="s">
        <v>1469</v>
      </c>
      <c r="I667" s="1166" t="s">
        <v>388</v>
      </c>
      <c r="J667" s="283" t="s">
        <v>244</v>
      </c>
      <c r="K667" s="1949" t="s">
        <v>254</v>
      </c>
      <c r="L667" s="1963"/>
      <c r="M667" s="288" t="s">
        <v>253</v>
      </c>
      <c r="N667" s="283" t="s">
        <v>401</v>
      </c>
      <c r="O667" s="1166" t="s">
        <v>289</v>
      </c>
      <c r="P667" s="295" t="s">
        <v>390</v>
      </c>
      <c r="Q667" s="279"/>
      <c r="R667" s="297"/>
      <c r="S667" s="298"/>
      <c r="T667" s="298"/>
      <c r="U667" s="299"/>
      <c r="V667" s="279"/>
      <c r="W667" s="279"/>
      <c r="X667" s="279"/>
      <c r="Y667" s="279"/>
      <c r="Z667" s="279"/>
      <c r="AA667" s="279"/>
      <c r="AB667" s="279"/>
      <c r="AC667" s="279"/>
      <c r="AD667" s="279"/>
      <c r="AE667" s="279"/>
      <c r="AF667" s="279"/>
      <c r="AG667" s="279"/>
      <c r="AH667" s="279"/>
      <c r="AI667" s="279"/>
      <c r="AJ667" s="279"/>
      <c r="AK667" s="279"/>
      <c r="AL667" s="279"/>
      <c r="AM667" s="279"/>
      <c r="AN667" s="279"/>
      <c r="AO667" s="279"/>
      <c r="AP667" s="279"/>
      <c r="AQ667" s="279"/>
      <c r="AR667" s="279"/>
      <c r="AS667" s="279"/>
      <c r="AT667" s="279"/>
      <c r="AU667" s="279"/>
      <c r="AV667" s="279"/>
      <c r="AW667" s="279"/>
      <c r="AX667" s="279"/>
      <c r="AY667" s="279"/>
      <c r="AZ667" s="279"/>
      <c r="BA667" s="279"/>
      <c r="BB667" s="279"/>
      <c r="BC667" s="279"/>
      <c r="BD667" s="279"/>
      <c r="BE667" s="279"/>
      <c r="BF667" s="279"/>
      <c r="BG667" s="279"/>
      <c r="BH667" s="279"/>
      <c r="BI667" s="279"/>
      <c r="BJ667" s="279"/>
      <c r="BK667" s="279"/>
      <c r="BL667" s="279"/>
      <c r="BM667" s="279"/>
      <c r="BN667" s="279"/>
      <c r="BO667" s="279"/>
      <c r="BP667" s="279"/>
      <c r="BQ667" s="279"/>
      <c r="BR667" s="279"/>
      <c r="BS667" s="279"/>
      <c r="BT667" s="279"/>
      <c r="BU667" s="279"/>
      <c r="BV667" s="279"/>
      <c r="BW667" s="279"/>
      <c r="BX667" s="279"/>
      <c r="BY667" s="279"/>
      <c r="BZ667" s="279"/>
      <c r="CA667" s="279"/>
      <c r="CB667" s="279"/>
      <c r="CC667" s="279"/>
      <c r="CD667" s="279"/>
      <c r="CE667" s="279"/>
      <c r="CF667" s="279"/>
      <c r="CG667" s="279"/>
      <c r="CH667" s="279"/>
      <c r="CI667" s="279"/>
      <c r="CJ667" s="279"/>
      <c r="CK667" s="279"/>
      <c r="CL667" s="279"/>
      <c r="CM667" s="279"/>
      <c r="CN667" s="382"/>
    </row>
    <row r="668" x14ac:dyDescent="0.3">
      <c r="B668" s="361"/>
      <c r="C668" s="279"/>
      <c r="D668" s="280"/>
      <c r="E668" s="287"/>
      <c r="F668" s="287"/>
      <c r="G668" s="287"/>
      <c r="H668" s="1292">
        <f t="shared" ref="H668:H717" si="31">H142</f>
        <v>1</v>
      </c>
      <c r="I668" s="1295">
        <f>IF('I. Stream &amp; Compound Data'!AC262&lt;&gt;"",'I. Stream &amp; Compound Data'!AC262,"")</f>
        <v>43829</v>
      </c>
      <c r="J668" s="1295" t="str">
        <f>IF('I. Stream &amp; Compound Data'!AD262&lt;&gt;"",'I. Stream &amp; Compound Data'!AD262,"")</f>
        <v/>
      </c>
      <c r="K668" s="1306">
        <f>IF(H668&gt;'I. Stream &amp; Compound Data'!$F$18,"",IF(I668="","N/A",ROUND(IF(I668&lt;=1,0,IF(AND(I668&gt;1,I668&lt;100),0.217*LN(I668)-0.001,1)),3)))</f>
        <v>1</v>
      </c>
      <c r="L668" s="1242" t="str">
        <f>IF(H668&gt;'I. Stream &amp; Compound Data'!$F$18,"",IF(K668="N/A",IF(J668="","N/A",IF(J668&lt;=20,1,IF(AND(J668&gt;20,J668&lt;99.8),0.0002*J668^2-0.0313*J668+1.5553,0))),"N/A"))</f>
        <v>N/A</v>
      </c>
      <c r="M668" s="1242">
        <f>IF(H668&gt;'I. Stream &amp; Compound Data'!$F$18,"",IF(I142="","N/A",IF(K668&lt;&gt;"N/A",K668,IF(L668&lt;&gt;"N/A",L668,"NO DATA AVAILABLE"))))</f>
        <v>1</v>
      </c>
      <c r="N668" s="1242">
        <f>IF(H668&gt;'I. Stream &amp; Compound Data'!$F$18,"",IF(M668="N/A",0,IF(M668&gt;0,ROUND(10^(2*M668-2),3),0.01)))</f>
        <v>1</v>
      </c>
      <c r="O668" s="1190">
        <f>'I. Stream &amp; Compound Data'!P262</f>
        <v>2980.7504537999998</v>
      </c>
      <c r="P668" s="1268">
        <f>IF(O668="","",IF('I. Stream &amp; Compound Data'!E32="H2O",0,O668*N668))</f>
        <v>2980.7504537999998</v>
      </c>
      <c r="Q668" s="279"/>
      <c r="R668" s="297"/>
      <c r="S668" s="298"/>
      <c r="T668" s="298"/>
      <c r="U668" s="299"/>
      <c r="V668" s="279"/>
      <c r="W668" s="279"/>
      <c r="X668" s="279"/>
      <c r="Y668" s="279"/>
      <c r="Z668" s="279"/>
      <c r="AA668" s="279"/>
      <c r="AB668" s="279"/>
      <c r="AC668" s="279"/>
      <c r="AD668" s="279"/>
      <c r="AE668" s="279"/>
      <c r="AF668" s="279"/>
      <c r="AG668" s="279"/>
      <c r="AH668" s="279"/>
      <c r="AI668" s="279"/>
      <c r="AJ668" s="279"/>
      <c r="AK668" s="279"/>
      <c r="AL668" s="279"/>
      <c r="AM668" s="279"/>
      <c r="AN668" s="279"/>
      <c r="AO668" s="279"/>
      <c r="AP668" s="279"/>
      <c r="AQ668" s="279"/>
      <c r="AR668" s="279"/>
      <c r="AS668" s="279"/>
      <c r="AT668" s="279"/>
      <c r="AU668" s="279"/>
      <c r="AV668" s="279"/>
      <c r="AW668" s="279"/>
      <c r="AX668" s="279"/>
      <c r="AY668" s="279"/>
      <c r="AZ668" s="279"/>
      <c r="BA668" s="279"/>
      <c r="BB668" s="279"/>
      <c r="BC668" s="279"/>
      <c r="BD668" s="279"/>
      <c r="BE668" s="279"/>
      <c r="BF668" s="279"/>
      <c r="BG668" s="279"/>
      <c r="BH668" s="279"/>
      <c r="BI668" s="279"/>
      <c r="BJ668" s="279"/>
      <c r="BK668" s="279"/>
      <c r="BL668" s="279"/>
      <c r="BM668" s="279"/>
      <c r="BN668" s="279"/>
      <c r="BO668" s="279"/>
      <c r="BP668" s="279"/>
      <c r="BQ668" s="279"/>
      <c r="BR668" s="279"/>
      <c r="BS668" s="279"/>
      <c r="BT668" s="279"/>
      <c r="BU668" s="279"/>
      <c r="BV668" s="279"/>
      <c r="BW668" s="279"/>
      <c r="BX668" s="279"/>
      <c r="BY668" s="279"/>
      <c r="BZ668" s="279"/>
      <c r="CA668" s="279"/>
      <c r="CB668" s="279"/>
      <c r="CC668" s="279"/>
      <c r="CD668" s="279"/>
      <c r="CE668" s="279"/>
      <c r="CF668" s="279"/>
      <c r="CG668" s="279"/>
      <c r="CH668" s="279"/>
      <c r="CI668" s="279"/>
      <c r="CJ668" s="279"/>
      <c r="CK668" s="279"/>
      <c r="CL668" s="279"/>
      <c r="CM668" s="279"/>
      <c r="CN668" s="382"/>
    </row>
    <row r="669" x14ac:dyDescent="0.3">
      <c r="B669" s="361"/>
      <c r="C669" s="279"/>
      <c r="D669" s="280"/>
      <c r="E669" s="287"/>
      <c r="F669" s="287"/>
      <c r="G669" s="287"/>
      <c r="H669" s="1292">
        <f t="shared" si="31"/>
        <v>2</v>
      </c>
      <c r="I669" s="1295">
        <f>IF('I. Stream &amp; Compound Data'!AC263&lt;&gt;"",'I. Stream &amp; Compound Data'!AC263,"")</f>
        <v>0</v>
      </c>
      <c r="J669" s="1295" t="str">
        <f>IF('I. Stream &amp; Compound Data'!AD263&lt;&gt;"",'I. Stream &amp; Compound Data'!AD263,"")</f>
        <v/>
      </c>
      <c r="K669" s="1306">
        <f>IF(H669&gt;'I. Stream &amp; Compound Data'!$F$18,"",IF(I669="","N/A",ROUND(IF(I669&lt;=1,0,IF(AND(I669&gt;1,I669&lt;100),0.217*LN(I669)-0.001,1)),3)))</f>
        <v>0</v>
      </c>
      <c r="L669" s="1242" t="str">
        <f>IF(H669&gt;'I. Stream &amp; Compound Data'!$F$18,"",IF(K669="N/A",IF(J669="","N/A",IF(J669&lt;=20,1,IF(AND(J669&gt;20,J669&lt;99.8),0.0002*J669^2-0.0313*J669+1.5553,0))),"N/A"))</f>
        <v>N/A</v>
      </c>
      <c r="M669" s="1242">
        <f>IF(H669&gt;'I. Stream &amp; Compound Data'!$F$18,"",IF(I143="","N/A",IF(K669&lt;&gt;"N/A",K669,IF(L669&lt;&gt;"N/A",L669,"NO DATA AVAILABLE"))))</f>
        <v>0</v>
      </c>
      <c r="N669" s="1242">
        <f>IF(H669&gt;'I. Stream &amp; Compound Data'!$F$18,"",IF(M669="N/A",0,IF(M669&gt;0,ROUND(10^(2*M669-2),3),0.01)))</f>
        <v>0.01</v>
      </c>
      <c r="O669" s="1190">
        <f>'I. Stream &amp; Compound Data'!P263</f>
        <v>0</v>
      </c>
      <c r="P669" s="1268">
        <f>IF(O669="","",IF('I. Stream &amp; Compound Data'!E33="H2O",0,O669*N669))</f>
        <v>0</v>
      </c>
      <c r="Q669" s="279"/>
      <c r="R669" s="297"/>
      <c r="S669" s="298"/>
      <c r="T669" s="298"/>
      <c r="U669" s="299"/>
      <c r="V669" s="279"/>
      <c r="W669" s="279"/>
      <c r="X669" s="279"/>
      <c r="Y669" s="279"/>
      <c r="Z669" s="279"/>
      <c r="AA669" s="279"/>
      <c r="AB669" s="279"/>
      <c r="AC669" s="279"/>
      <c r="AD669" s="279"/>
      <c r="AE669" s="279"/>
      <c r="AF669" s="279"/>
      <c r="AG669" s="279"/>
      <c r="AH669" s="279"/>
      <c r="AI669" s="279"/>
      <c r="AJ669" s="279"/>
      <c r="AK669" s="279"/>
      <c r="AL669" s="279"/>
      <c r="AM669" s="279"/>
      <c r="AN669" s="279"/>
      <c r="AO669" s="279"/>
      <c r="AP669" s="279"/>
      <c r="AQ669" s="279"/>
      <c r="AR669" s="279"/>
      <c r="AS669" s="279"/>
      <c r="AT669" s="279"/>
      <c r="AU669" s="279"/>
      <c r="AV669" s="279"/>
      <c r="AW669" s="279"/>
      <c r="AX669" s="279"/>
      <c r="AY669" s="279"/>
      <c r="AZ669" s="279"/>
      <c r="BA669" s="279"/>
      <c r="BB669" s="279"/>
      <c r="BC669" s="279"/>
      <c r="BD669" s="279"/>
      <c r="BE669" s="279"/>
      <c r="BF669" s="279"/>
      <c r="BG669" s="279"/>
      <c r="BH669" s="279"/>
      <c r="BI669" s="279"/>
      <c r="BJ669" s="279"/>
      <c r="BK669" s="279"/>
      <c r="BL669" s="279"/>
      <c r="BM669" s="279"/>
      <c r="BN669" s="279"/>
      <c r="BO669" s="279"/>
      <c r="BP669" s="279"/>
      <c r="BQ669" s="279"/>
      <c r="BR669" s="279"/>
      <c r="BS669" s="279"/>
      <c r="BT669" s="279"/>
      <c r="BU669" s="279"/>
      <c r="BV669" s="279"/>
      <c r="BW669" s="279"/>
      <c r="BX669" s="279"/>
      <c r="BY669" s="279"/>
      <c r="BZ669" s="279"/>
      <c r="CA669" s="279"/>
      <c r="CB669" s="279"/>
      <c r="CC669" s="279"/>
      <c r="CD669" s="279"/>
      <c r="CE669" s="279"/>
      <c r="CF669" s="279"/>
      <c r="CG669" s="279"/>
      <c r="CH669" s="279"/>
      <c r="CI669" s="279"/>
      <c r="CJ669" s="279"/>
      <c r="CK669" s="279"/>
      <c r="CL669" s="279"/>
      <c r="CM669" s="279"/>
      <c r="CN669" s="382"/>
    </row>
    <row r="670" x14ac:dyDescent="0.3">
      <c r="B670" s="361"/>
      <c r="C670" s="279"/>
      <c r="D670" s="280"/>
      <c r="E670" s="287"/>
      <c r="F670" s="287"/>
      <c r="G670" s="287"/>
      <c r="H670" s="1292">
        <f t="shared" si="31"/>
        <v>3</v>
      </c>
      <c r="I670" s="1295">
        <f>IF('I. Stream &amp; Compound Data'!AC264&lt;&gt;"",'I. Stream &amp; Compound Data'!AC264,"")</f>
        <v>0</v>
      </c>
      <c r="J670" s="1295" t="str">
        <f>IF('I. Stream &amp; Compound Data'!AD264&lt;&gt;"",'I. Stream &amp; Compound Data'!AD264,"")</f>
        <v/>
      </c>
      <c r="K670" s="1306">
        <f>IF(H670&gt;'I. Stream &amp; Compound Data'!$F$18,"",IF(I670="","N/A",ROUND(IF(I670&lt;=1,0,IF(AND(I670&gt;1,I670&lt;100),0.217*LN(I670)-0.001,1)),3)))</f>
        <v>0</v>
      </c>
      <c r="L670" s="1242" t="str">
        <f>IF(H670&gt;'I. Stream &amp; Compound Data'!$F$18,"",IF(K670="N/A",IF(J670="","N/A",IF(J670&lt;=20,1,IF(AND(J670&gt;20,J670&lt;99.8),0.0002*J670^2-0.0313*J670+1.5553,0))),"N/A"))</f>
        <v>N/A</v>
      </c>
      <c r="M670" s="1242">
        <f>IF(H670&gt;'I. Stream &amp; Compound Data'!$F$18,"",IF(I144="","N/A",IF(K670&lt;&gt;"N/A",K670,IF(L670&lt;&gt;"N/A",L670,"NO DATA AVAILABLE"))))</f>
        <v>0</v>
      </c>
      <c r="N670" s="1242">
        <f>IF(H670&gt;'I. Stream &amp; Compound Data'!$F$18,"",IF(M670="N/A",0,IF(M670&gt;0,ROUND(10^(2*M670-2),3),0.01)))</f>
        <v>0.01</v>
      </c>
      <c r="O670" s="1190">
        <f>'I. Stream &amp; Compound Data'!P264</f>
        <v>0</v>
      </c>
      <c r="P670" s="1268">
        <f>IF(O670="","",IF('I. Stream &amp; Compound Data'!E34="H2O",0,O670*N670))</f>
        <v>0</v>
      </c>
      <c r="Q670" s="279"/>
      <c r="R670" s="297"/>
      <c r="S670" s="298"/>
      <c r="T670" s="298"/>
      <c r="U670" s="299"/>
      <c r="V670" s="279"/>
      <c r="W670" s="279"/>
      <c r="X670" s="279"/>
      <c r="Y670" s="279"/>
      <c r="Z670" s="279"/>
      <c r="AA670" s="279"/>
      <c r="AB670" s="279"/>
      <c r="AC670" s="279"/>
      <c r="AD670" s="279"/>
      <c r="AE670" s="279"/>
      <c r="AF670" s="279"/>
      <c r="AG670" s="279"/>
      <c r="AH670" s="279"/>
      <c r="AI670" s="279"/>
      <c r="AJ670" s="279"/>
      <c r="AK670" s="279"/>
      <c r="AL670" s="279"/>
      <c r="AM670" s="279"/>
      <c r="AN670" s="279"/>
      <c r="AO670" s="279"/>
      <c r="AP670" s="279"/>
      <c r="AQ670" s="279"/>
      <c r="AR670" s="279"/>
      <c r="AS670" s="279"/>
      <c r="AT670" s="279"/>
      <c r="AU670" s="279"/>
      <c r="AV670" s="279"/>
      <c r="AW670" s="279"/>
      <c r="AX670" s="279"/>
      <c r="AY670" s="279"/>
      <c r="AZ670" s="279"/>
      <c r="BA670" s="279"/>
      <c r="BB670" s="279"/>
      <c r="BC670" s="279"/>
      <c r="BD670" s="279"/>
      <c r="BE670" s="279"/>
      <c r="BF670" s="279"/>
      <c r="BG670" s="279"/>
      <c r="BH670" s="279"/>
      <c r="BI670" s="279"/>
      <c r="BJ670" s="279"/>
      <c r="BK670" s="279"/>
      <c r="BL670" s="279"/>
      <c r="BM670" s="279"/>
      <c r="BN670" s="279"/>
      <c r="BO670" s="279"/>
      <c r="BP670" s="279"/>
      <c r="BQ670" s="279"/>
      <c r="BR670" s="279"/>
      <c r="BS670" s="279"/>
      <c r="BT670" s="279"/>
      <c r="BU670" s="279"/>
      <c r="BV670" s="279"/>
      <c r="BW670" s="279"/>
      <c r="BX670" s="279"/>
      <c r="BY670" s="279"/>
      <c r="BZ670" s="279"/>
      <c r="CA670" s="279"/>
      <c r="CB670" s="279"/>
      <c r="CC670" s="279"/>
      <c r="CD670" s="279"/>
      <c r="CE670" s="279"/>
      <c r="CF670" s="279"/>
      <c r="CG670" s="279"/>
      <c r="CH670" s="279"/>
      <c r="CI670" s="279"/>
      <c r="CJ670" s="279"/>
      <c r="CK670" s="279"/>
      <c r="CL670" s="279"/>
      <c r="CM670" s="279"/>
      <c r="CN670" s="382"/>
    </row>
    <row r="671" x14ac:dyDescent="0.3">
      <c r="B671" s="361"/>
      <c r="C671" s="279"/>
      <c r="D671" s="280"/>
      <c r="E671" s="287"/>
      <c r="F671" s="287"/>
      <c r="G671" s="287"/>
      <c r="H671" s="1292">
        <f t="shared" si="31"/>
        <v>4</v>
      </c>
      <c r="I671" s="1295">
        <f>IF('I. Stream &amp; Compound Data'!AC265&lt;&gt;"",'I. Stream &amp; Compound Data'!AC265,"")</f>
        <v>0</v>
      </c>
      <c r="J671" s="1295" t="str">
        <f>IF('I. Stream &amp; Compound Data'!AD265&lt;&gt;"",'I. Stream &amp; Compound Data'!AD265,"")</f>
        <v/>
      </c>
      <c r="K671" s="1306">
        <f>IF(H671&gt;'I. Stream &amp; Compound Data'!$F$18,"",IF(I671="","N/A",ROUND(IF(I671&lt;=1,0,IF(AND(I671&gt;1,I671&lt;100),0.217*LN(I671)-0.001,1)),3)))</f>
        <v>0</v>
      </c>
      <c r="L671" s="1242" t="str">
        <f>IF(H671&gt;'I. Stream &amp; Compound Data'!$F$18,"",IF(K671="N/A",IF(J671="","N/A",IF(J671&lt;=20,1,IF(AND(J671&gt;20,J671&lt;99.8),0.0002*J671^2-0.0313*J671+1.5553,0))),"N/A"))</f>
        <v>N/A</v>
      </c>
      <c r="M671" s="1242">
        <f>IF(H671&gt;'I. Stream &amp; Compound Data'!$F$18,"",IF(I145="","N/A",IF(K671&lt;&gt;"N/A",K671,IF(L671&lt;&gt;"N/A",L671,"NO DATA AVAILABLE"))))</f>
        <v>0</v>
      </c>
      <c r="N671" s="1242">
        <f>IF(H671&gt;'I. Stream &amp; Compound Data'!$F$18,"",IF(M671="N/A",0,IF(M671&gt;0,ROUND(10^(2*M671-2),3),0.01)))</f>
        <v>0.01</v>
      </c>
      <c r="O671" s="1190">
        <f>'I. Stream &amp; Compound Data'!P265</f>
        <v>0</v>
      </c>
      <c r="P671" s="1268">
        <f>IF(O671="","",IF('I. Stream &amp; Compound Data'!E35="H2O",0,O671*N671))</f>
        <v>0</v>
      </c>
      <c r="Q671" s="279"/>
      <c r="R671" s="297"/>
      <c r="S671" s="298"/>
      <c r="T671" s="298"/>
      <c r="U671" s="299"/>
      <c r="V671" s="279"/>
      <c r="W671" s="279"/>
      <c r="X671" s="279"/>
      <c r="Y671" s="279"/>
      <c r="Z671" s="279"/>
      <c r="AA671" s="279"/>
      <c r="AB671" s="279"/>
      <c r="AC671" s="279"/>
      <c r="AD671" s="279"/>
      <c r="AE671" s="279"/>
      <c r="AF671" s="279"/>
      <c r="AG671" s="279"/>
      <c r="AH671" s="279"/>
      <c r="AI671" s="279"/>
      <c r="AJ671" s="279"/>
      <c r="AK671" s="279"/>
      <c r="AL671" s="279"/>
      <c r="AM671" s="279"/>
      <c r="AN671" s="279"/>
      <c r="AO671" s="279"/>
      <c r="AP671" s="279"/>
      <c r="AQ671" s="279"/>
      <c r="AR671" s="279"/>
      <c r="AS671" s="279"/>
      <c r="AT671" s="279"/>
      <c r="AU671" s="279"/>
      <c r="AV671" s="279"/>
      <c r="AW671" s="279"/>
      <c r="AX671" s="279"/>
      <c r="AY671" s="279"/>
      <c r="AZ671" s="279"/>
      <c r="BA671" s="279"/>
      <c r="BB671" s="279"/>
      <c r="BC671" s="279"/>
      <c r="BD671" s="279"/>
      <c r="BE671" s="279"/>
      <c r="BF671" s="279"/>
      <c r="BG671" s="279"/>
      <c r="BH671" s="279"/>
      <c r="BI671" s="279"/>
      <c r="BJ671" s="279"/>
      <c r="BK671" s="279"/>
      <c r="BL671" s="279"/>
      <c r="BM671" s="279"/>
      <c r="BN671" s="279"/>
      <c r="BO671" s="279"/>
      <c r="BP671" s="279"/>
      <c r="BQ671" s="279"/>
      <c r="BR671" s="279"/>
      <c r="BS671" s="279"/>
      <c r="BT671" s="279"/>
      <c r="BU671" s="279"/>
      <c r="BV671" s="279"/>
      <c r="BW671" s="279"/>
      <c r="BX671" s="279"/>
      <c r="BY671" s="279"/>
      <c r="BZ671" s="279"/>
      <c r="CA671" s="279"/>
      <c r="CB671" s="279"/>
      <c r="CC671" s="279"/>
      <c r="CD671" s="279"/>
      <c r="CE671" s="279"/>
      <c r="CF671" s="279"/>
      <c r="CG671" s="279"/>
      <c r="CH671" s="279"/>
      <c r="CI671" s="279"/>
      <c r="CJ671" s="279"/>
      <c r="CK671" s="279"/>
      <c r="CL671" s="279"/>
      <c r="CM671" s="279"/>
      <c r="CN671" s="382"/>
    </row>
    <row r="672" x14ac:dyDescent="0.3">
      <c r="B672" s="361"/>
      <c r="C672" s="279"/>
      <c r="D672" s="280"/>
      <c r="E672" s="287"/>
      <c r="F672" s="287"/>
      <c r="G672" s="287"/>
      <c r="H672" s="1292">
        <f t="shared" si="31"/>
        <v>5</v>
      </c>
      <c r="I672" s="1295" t="str">
        <f>IF('I. Stream &amp; Compound Data'!AC266&lt;&gt;"",'I. Stream &amp; Compound Data'!AC266,"")</f>
        <v/>
      </c>
      <c r="J672" s="1295" t="str">
        <f>IF('I. Stream &amp; Compound Data'!AD266&lt;&gt;"",'I. Stream &amp; Compound Data'!AD266,"")</f>
        <v/>
      </c>
      <c r="K672" s="1306" t="str">
        <f>IF(H672&gt;'I. Stream &amp; Compound Data'!$F$18,"",IF(I672="","N/A",ROUND(IF(I672&lt;=1,0,IF(AND(I672&gt;1,I672&lt;100),0.217*LN(I672)-0.001,1)),3)))</f>
        <v/>
      </c>
      <c r="L672" s="1242" t="str">
        <f>IF(H672&gt;'I. Stream &amp; Compound Data'!$F$18,"",IF(K672="N/A",IF(J672="","N/A",IF(J672&lt;=20,1,IF(AND(J672&gt;20,J672&lt;99.8),0.0002*J672^2-0.0313*J672+1.5553,0))),"N/A"))</f>
        <v/>
      </c>
      <c r="M672" s="1242" t="str">
        <f>IF(H672&gt;'I. Stream &amp; Compound Data'!$F$18,"",IF(I146="","N/A",IF(K672&lt;&gt;"N/A",K672,IF(L672&lt;&gt;"N/A",L672,"NO DATA AVAILABLE"))))</f>
        <v/>
      </c>
      <c r="N672" s="1242" t="str">
        <f>IF(H672&gt;'I. Stream &amp; Compound Data'!$F$18,"",IF(M672="N/A",0,IF(M672&gt;0,ROUND(10^(2*M672-2),3),0.01)))</f>
        <v/>
      </c>
      <c r="O672" s="1190" t="str">
        <f>'I. Stream &amp; Compound Data'!P266</f>
        <v/>
      </c>
      <c r="P672" s="1268" t="str">
        <f>IF(O672="","",IF('I. Stream &amp; Compound Data'!E36="H2O",0,O672*N672))</f>
        <v/>
      </c>
      <c r="Q672" s="279"/>
      <c r="R672" s="297"/>
      <c r="S672" s="298"/>
      <c r="T672" s="298"/>
      <c r="U672" s="299"/>
      <c r="V672" s="279"/>
      <c r="W672" s="279"/>
      <c r="X672" s="279"/>
      <c r="Y672" s="279"/>
      <c r="Z672" s="279"/>
      <c r="AA672" s="279"/>
      <c r="AB672" s="279"/>
      <c r="AC672" s="279"/>
      <c r="AD672" s="279"/>
      <c r="AE672" s="279"/>
      <c r="AF672" s="279"/>
      <c r="AG672" s="279"/>
      <c r="AH672" s="279"/>
      <c r="AI672" s="279"/>
      <c r="AJ672" s="279"/>
      <c r="AK672" s="279"/>
      <c r="AL672" s="279"/>
      <c r="AM672" s="279"/>
      <c r="AN672" s="279"/>
      <c r="AO672" s="279"/>
      <c r="AP672" s="279"/>
      <c r="AQ672" s="279"/>
      <c r="AR672" s="279"/>
      <c r="AS672" s="279"/>
      <c r="AT672" s="279"/>
      <c r="AU672" s="279"/>
      <c r="AV672" s="279"/>
      <c r="AW672" s="279"/>
      <c r="AX672" s="279"/>
      <c r="AY672" s="279"/>
      <c r="AZ672" s="279"/>
      <c r="BA672" s="279"/>
      <c r="BB672" s="279"/>
      <c r="BC672" s="279"/>
      <c r="BD672" s="279"/>
      <c r="BE672" s="279"/>
      <c r="BF672" s="279"/>
      <c r="BG672" s="279"/>
      <c r="BH672" s="279"/>
      <c r="BI672" s="279"/>
      <c r="BJ672" s="279"/>
      <c r="BK672" s="279"/>
      <c r="BL672" s="279"/>
      <c r="BM672" s="279"/>
      <c r="BN672" s="279"/>
      <c r="BO672" s="279"/>
      <c r="BP672" s="279"/>
      <c r="BQ672" s="279"/>
      <c r="BR672" s="279"/>
      <c r="BS672" s="279"/>
      <c r="BT672" s="279"/>
      <c r="BU672" s="279"/>
      <c r="BV672" s="279"/>
      <c r="BW672" s="279"/>
      <c r="BX672" s="279"/>
      <c r="BY672" s="279"/>
      <c r="BZ672" s="279"/>
      <c r="CA672" s="279"/>
      <c r="CB672" s="279"/>
      <c r="CC672" s="279"/>
      <c r="CD672" s="279"/>
      <c r="CE672" s="279"/>
      <c r="CF672" s="279"/>
      <c r="CG672" s="279"/>
      <c r="CH672" s="279"/>
      <c r="CI672" s="279"/>
      <c r="CJ672" s="279"/>
      <c r="CK672" s="279"/>
      <c r="CL672" s="279"/>
      <c r="CM672" s="279"/>
      <c r="CN672" s="382"/>
    </row>
    <row r="673" x14ac:dyDescent="0.3">
      <c r="B673" s="361"/>
      <c r="C673" s="279"/>
      <c r="D673" s="280"/>
      <c r="E673" s="287"/>
      <c r="F673" s="287"/>
      <c r="G673" s="287"/>
      <c r="H673" s="1292">
        <f t="shared" si="31"/>
        <v>6</v>
      </c>
      <c r="I673" s="1295" t="str">
        <f>IF('I. Stream &amp; Compound Data'!AC267&lt;&gt;"",'I. Stream &amp; Compound Data'!AC267,"")</f>
        <v/>
      </c>
      <c r="J673" s="1295" t="str">
        <f>IF('I. Stream &amp; Compound Data'!AD267&lt;&gt;"",'I. Stream &amp; Compound Data'!AD267,"")</f>
        <v/>
      </c>
      <c r="K673" s="1306" t="str">
        <f>IF(H673&gt;'I. Stream &amp; Compound Data'!$F$18,"",IF(I673="","N/A",ROUND(IF(I673&lt;=1,0,IF(AND(I673&gt;1,I673&lt;100),0.217*LN(I673)-0.001,1)),3)))</f>
        <v/>
      </c>
      <c r="L673" s="1242" t="str">
        <f>IF(H673&gt;'I. Stream &amp; Compound Data'!$F$18,"",IF(K673="N/A",IF(J673="","N/A",IF(J673&lt;=20,1,IF(AND(J673&gt;20,J673&lt;99.8),0.0002*J673^2-0.0313*J673+1.5553,0))),"N/A"))</f>
        <v/>
      </c>
      <c r="M673" s="1242" t="str">
        <f>IF(H673&gt;'I. Stream &amp; Compound Data'!$F$18,"",IF(I147="","N/A",IF(K673&lt;&gt;"N/A",K673,IF(L673&lt;&gt;"N/A",L673,"NO DATA AVAILABLE"))))</f>
        <v/>
      </c>
      <c r="N673" s="1242" t="str">
        <f>IF(H673&gt;'I. Stream &amp; Compound Data'!$F$18,"",IF(M673="N/A",0,IF(M673&gt;0,ROUND(10^(2*M673-2),3),0.01)))</f>
        <v/>
      </c>
      <c r="O673" s="1190" t="str">
        <f>'I. Stream &amp; Compound Data'!P267</f>
        <v/>
      </c>
      <c r="P673" s="1268" t="str">
        <f>IF(O673="","",IF('I. Stream &amp; Compound Data'!E37="H2O",0,O673*N673))</f>
        <v/>
      </c>
      <c r="Q673" s="279"/>
      <c r="R673" s="297"/>
      <c r="S673" s="298"/>
      <c r="T673" s="298"/>
      <c r="U673" s="299"/>
      <c r="V673" s="279"/>
      <c r="W673" s="279"/>
      <c r="X673" s="279"/>
      <c r="Y673" s="279"/>
      <c r="Z673" s="279"/>
      <c r="AA673" s="279"/>
      <c r="AB673" s="279"/>
      <c r="AC673" s="279"/>
      <c r="AD673" s="279"/>
      <c r="AE673" s="279"/>
      <c r="AF673" s="279"/>
      <c r="AG673" s="279"/>
      <c r="AH673" s="279"/>
      <c r="AI673" s="279"/>
      <c r="AJ673" s="279"/>
      <c r="AK673" s="279"/>
      <c r="AL673" s="279"/>
      <c r="AM673" s="279"/>
      <c r="AN673" s="279"/>
      <c r="AO673" s="279"/>
      <c r="AP673" s="279"/>
      <c r="AQ673" s="279"/>
      <c r="AR673" s="279"/>
      <c r="AS673" s="279"/>
      <c r="AT673" s="279"/>
      <c r="AU673" s="279"/>
      <c r="AV673" s="279"/>
      <c r="AW673" s="279"/>
      <c r="AX673" s="279"/>
      <c r="AY673" s="279"/>
      <c r="AZ673" s="279"/>
      <c r="BA673" s="279"/>
      <c r="BB673" s="279"/>
      <c r="BC673" s="279"/>
      <c r="BD673" s="279"/>
      <c r="BE673" s="279"/>
      <c r="BF673" s="279"/>
      <c r="BG673" s="279"/>
      <c r="BH673" s="279"/>
      <c r="BI673" s="279"/>
      <c r="BJ673" s="279"/>
      <c r="BK673" s="279"/>
      <c r="BL673" s="279"/>
      <c r="BM673" s="279"/>
      <c r="BN673" s="279"/>
      <c r="BO673" s="279"/>
      <c r="BP673" s="279"/>
      <c r="BQ673" s="279"/>
      <c r="BR673" s="279"/>
      <c r="BS673" s="279"/>
      <c r="BT673" s="279"/>
      <c r="BU673" s="279"/>
      <c r="BV673" s="279"/>
      <c r="BW673" s="279"/>
      <c r="BX673" s="279"/>
      <c r="BY673" s="279"/>
      <c r="BZ673" s="279"/>
      <c r="CA673" s="279"/>
      <c r="CB673" s="279"/>
      <c r="CC673" s="279"/>
      <c r="CD673" s="279"/>
      <c r="CE673" s="279"/>
      <c r="CF673" s="279"/>
      <c r="CG673" s="279"/>
      <c r="CH673" s="279"/>
      <c r="CI673" s="279"/>
      <c r="CJ673" s="279"/>
      <c r="CK673" s="279"/>
      <c r="CL673" s="279"/>
      <c r="CM673" s="279"/>
      <c r="CN673" s="382"/>
    </row>
    <row r="674" x14ac:dyDescent="0.3">
      <c r="B674" s="361"/>
      <c r="C674" s="279"/>
      <c r="D674" s="280"/>
      <c r="E674" s="287"/>
      <c r="F674" s="287"/>
      <c r="G674" s="287"/>
      <c r="H674" s="1292">
        <f t="shared" si="31"/>
        <v>7</v>
      </c>
      <c r="I674" s="1295" t="str">
        <f>IF('I. Stream &amp; Compound Data'!AC268&lt;&gt;"",'I. Stream &amp; Compound Data'!AC268,"")</f>
        <v/>
      </c>
      <c r="J674" s="1295" t="str">
        <f>IF('I. Stream &amp; Compound Data'!AD268&lt;&gt;"",'I. Stream &amp; Compound Data'!AD268,"")</f>
        <v/>
      </c>
      <c r="K674" s="1306" t="str">
        <f>IF(H674&gt;'I. Stream &amp; Compound Data'!$F$18,"",IF(I674="","N/A",ROUND(IF(I674&lt;=1,0,IF(AND(I674&gt;1,I674&lt;100),0.217*LN(I674)-0.001,1)),3)))</f>
        <v/>
      </c>
      <c r="L674" s="1242" t="str">
        <f>IF(H674&gt;'I. Stream &amp; Compound Data'!$F$18,"",IF(K674="N/A",IF(J674="","N/A",IF(J674&lt;=20,1,IF(AND(J674&gt;20,J674&lt;99.8),0.0002*J674^2-0.0313*J674+1.5553,0))),"N/A"))</f>
        <v/>
      </c>
      <c r="M674" s="1242" t="str">
        <f>IF(H674&gt;'I. Stream &amp; Compound Data'!$F$18,"",IF(I148="","N/A",IF(K674&lt;&gt;"N/A",K674,IF(L674&lt;&gt;"N/A",L674,"NO DATA AVAILABLE"))))</f>
        <v/>
      </c>
      <c r="N674" s="1242" t="str">
        <f>IF(H674&gt;'I. Stream &amp; Compound Data'!$F$18,"",IF(M674="N/A",0,IF(M674&gt;0,ROUND(10^(2*M674-2),3),0.01)))</f>
        <v/>
      </c>
      <c r="O674" s="1190" t="str">
        <f>'I. Stream &amp; Compound Data'!P268</f>
        <v/>
      </c>
      <c r="P674" s="1268" t="str">
        <f>IF(O674="","",IF('I. Stream &amp; Compound Data'!E38="H2O",0,O674*N674))</f>
        <v/>
      </c>
      <c r="Q674" s="279"/>
      <c r="R674" s="297"/>
      <c r="S674" s="298"/>
      <c r="T674" s="298"/>
      <c r="U674" s="299"/>
      <c r="V674" s="279"/>
      <c r="W674" s="279"/>
      <c r="X674" s="279"/>
      <c r="Y674" s="279"/>
      <c r="Z674" s="279"/>
      <c r="AA674" s="279"/>
      <c r="AB674" s="279"/>
      <c r="AC674" s="279"/>
      <c r="AD674" s="279"/>
      <c r="AE674" s="279"/>
      <c r="AF674" s="279"/>
      <c r="AG674" s="279"/>
      <c r="AH674" s="279"/>
      <c r="AI674" s="279"/>
      <c r="AJ674" s="279"/>
      <c r="AK674" s="279"/>
      <c r="AL674" s="279"/>
      <c r="AM674" s="279"/>
      <c r="AN674" s="279"/>
      <c r="AO674" s="279"/>
      <c r="AP674" s="279"/>
      <c r="AQ674" s="279"/>
      <c r="AR674" s="279"/>
      <c r="AS674" s="279"/>
      <c r="AT674" s="279"/>
      <c r="AU674" s="279"/>
      <c r="AV674" s="279"/>
      <c r="AW674" s="279"/>
      <c r="AX674" s="279"/>
      <c r="AY674" s="279"/>
      <c r="AZ674" s="279"/>
      <c r="BA674" s="279"/>
      <c r="BB674" s="279"/>
      <c r="BC674" s="279"/>
      <c r="BD674" s="279"/>
      <c r="BE674" s="279"/>
      <c r="BF674" s="279"/>
      <c r="BG674" s="279"/>
      <c r="BH674" s="279"/>
      <c r="BI674" s="279"/>
      <c r="BJ674" s="279"/>
      <c r="BK674" s="279"/>
      <c r="BL674" s="279"/>
      <c r="BM674" s="279"/>
      <c r="BN674" s="279"/>
      <c r="BO674" s="279"/>
      <c r="BP674" s="279"/>
      <c r="BQ674" s="279"/>
      <c r="BR674" s="279"/>
      <c r="BS674" s="279"/>
      <c r="BT674" s="279"/>
      <c r="BU674" s="279"/>
      <c r="BV674" s="279"/>
      <c r="BW674" s="279"/>
      <c r="BX674" s="279"/>
      <c r="BY674" s="279"/>
      <c r="BZ674" s="279"/>
      <c r="CA674" s="279"/>
      <c r="CB674" s="279"/>
      <c r="CC674" s="279"/>
      <c r="CD674" s="279"/>
      <c r="CE674" s="279"/>
      <c r="CF674" s="279"/>
      <c r="CG674" s="279"/>
      <c r="CH674" s="279"/>
      <c r="CI674" s="279"/>
      <c r="CJ674" s="279"/>
      <c r="CK674" s="279"/>
      <c r="CL674" s="279"/>
      <c r="CM674" s="279"/>
      <c r="CN674" s="382"/>
    </row>
    <row r="675" x14ac:dyDescent="0.3">
      <c r="B675" s="361"/>
      <c r="C675" s="279"/>
      <c r="D675" s="280"/>
      <c r="E675" s="287"/>
      <c r="F675" s="287"/>
      <c r="G675" s="287"/>
      <c r="H675" s="1292">
        <f t="shared" si="31"/>
        <v>8</v>
      </c>
      <c r="I675" s="1295" t="str">
        <f>IF('I. Stream &amp; Compound Data'!AC269&lt;&gt;"",'I. Stream &amp; Compound Data'!AC269,"")</f>
        <v/>
      </c>
      <c r="J675" s="1295" t="str">
        <f>IF('I. Stream &amp; Compound Data'!AD269&lt;&gt;"",'I. Stream &amp; Compound Data'!AD269,"")</f>
        <v/>
      </c>
      <c r="K675" s="1306" t="str">
        <f>IF(H675&gt;'I. Stream &amp; Compound Data'!$F$18,"",IF(I675="","N/A",ROUND(IF(I675&lt;=1,0,IF(AND(I675&gt;1,I675&lt;100),0.217*LN(I675)-0.001,1)),3)))</f>
        <v/>
      </c>
      <c r="L675" s="1242" t="str">
        <f>IF(H675&gt;'I. Stream &amp; Compound Data'!$F$18,"",IF(K675="N/A",IF(J675="","N/A",IF(J675&lt;=20,1,IF(AND(J675&gt;20,J675&lt;99.8),0.0002*J675^2-0.0313*J675+1.5553,0))),"N/A"))</f>
        <v/>
      </c>
      <c r="M675" s="1242" t="str">
        <f>IF(H675&gt;'I. Stream &amp; Compound Data'!$F$18,"",IF(I149="","N/A",IF(K675&lt;&gt;"N/A",K675,IF(L675&lt;&gt;"N/A",L675,"NO DATA AVAILABLE"))))</f>
        <v/>
      </c>
      <c r="N675" s="1242" t="str">
        <f>IF(H675&gt;'I. Stream &amp; Compound Data'!$F$18,"",IF(M675="N/A",0,IF(M675&gt;0,ROUND(10^(2*M675-2),3),0.01)))</f>
        <v/>
      </c>
      <c r="O675" s="1190" t="str">
        <f>'I. Stream &amp; Compound Data'!P269</f>
        <v/>
      </c>
      <c r="P675" s="1268" t="str">
        <f>IF(O675="","",IF('I. Stream &amp; Compound Data'!E39="H2O",0,O675*N675))</f>
        <v/>
      </c>
      <c r="Q675" s="279"/>
      <c r="R675" s="297"/>
      <c r="S675" s="298"/>
      <c r="T675" s="298"/>
      <c r="U675" s="299"/>
      <c r="V675" s="279"/>
      <c r="W675" s="279"/>
      <c r="X675" s="279"/>
      <c r="Y675" s="279"/>
      <c r="Z675" s="279"/>
      <c r="AA675" s="279"/>
      <c r="AB675" s="279"/>
      <c r="AC675" s="279"/>
      <c r="AD675" s="279"/>
      <c r="AE675" s="279"/>
      <c r="AF675" s="279"/>
      <c r="AG675" s="279"/>
      <c r="AH675" s="279"/>
      <c r="AI675" s="279"/>
      <c r="AJ675" s="279"/>
      <c r="AK675" s="279"/>
      <c r="AL675" s="279"/>
      <c r="AM675" s="279"/>
      <c r="AN675" s="279"/>
      <c r="AO675" s="279"/>
      <c r="AP675" s="279"/>
      <c r="AQ675" s="279"/>
      <c r="AR675" s="279"/>
      <c r="AS675" s="279"/>
      <c r="AT675" s="279"/>
      <c r="AU675" s="279"/>
      <c r="AV675" s="279"/>
      <c r="AW675" s="279"/>
      <c r="AX675" s="279"/>
      <c r="AY675" s="279"/>
      <c r="AZ675" s="279"/>
      <c r="BA675" s="279"/>
      <c r="BB675" s="279"/>
      <c r="BC675" s="279"/>
      <c r="BD675" s="279"/>
      <c r="BE675" s="279"/>
      <c r="BF675" s="279"/>
      <c r="BG675" s="279"/>
      <c r="BH675" s="279"/>
      <c r="BI675" s="279"/>
      <c r="BJ675" s="279"/>
      <c r="BK675" s="279"/>
      <c r="BL675" s="279"/>
      <c r="BM675" s="279"/>
      <c r="BN675" s="279"/>
      <c r="BO675" s="279"/>
      <c r="BP675" s="279"/>
      <c r="BQ675" s="279"/>
      <c r="BR675" s="279"/>
      <c r="BS675" s="279"/>
      <c r="BT675" s="279"/>
      <c r="BU675" s="279"/>
      <c r="BV675" s="279"/>
      <c r="BW675" s="279"/>
      <c r="BX675" s="279"/>
      <c r="BY675" s="279"/>
      <c r="BZ675" s="279"/>
      <c r="CA675" s="279"/>
      <c r="CB675" s="279"/>
      <c r="CC675" s="279"/>
      <c r="CD675" s="279"/>
      <c r="CE675" s="279"/>
      <c r="CF675" s="279"/>
      <c r="CG675" s="279"/>
      <c r="CH675" s="279"/>
      <c r="CI675" s="279"/>
      <c r="CJ675" s="279"/>
      <c r="CK675" s="279"/>
      <c r="CL675" s="279"/>
      <c r="CM675" s="279"/>
      <c r="CN675" s="382"/>
    </row>
    <row r="676" x14ac:dyDescent="0.3">
      <c r="B676" s="361"/>
      <c r="C676" s="279"/>
      <c r="D676" s="280"/>
      <c r="E676" s="287"/>
      <c r="F676" s="287"/>
      <c r="G676" s="287"/>
      <c r="H676" s="1292">
        <f t="shared" si="31"/>
        <v>9</v>
      </c>
      <c r="I676" s="1295" t="str">
        <f>IF('I. Stream &amp; Compound Data'!AC270&lt;&gt;"",'I. Stream &amp; Compound Data'!AC270,"")</f>
        <v/>
      </c>
      <c r="J676" s="1295" t="str">
        <f>IF('I. Stream &amp; Compound Data'!AD270&lt;&gt;"",'I. Stream &amp; Compound Data'!AD270,"")</f>
        <v/>
      </c>
      <c r="K676" s="1306" t="str">
        <f>IF(H676&gt;'I. Stream &amp; Compound Data'!$F$18,"",IF(I676="","N/A",ROUND(IF(I676&lt;=1,0,IF(AND(I676&gt;1,I676&lt;100),0.217*LN(I676)-0.001,1)),3)))</f>
        <v/>
      </c>
      <c r="L676" s="1242" t="str">
        <f>IF(H676&gt;'I. Stream &amp; Compound Data'!$F$18,"",IF(K676="N/A",IF(J676="","N/A",IF(J676&lt;=20,1,IF(AND(J676&gt;20,J676&lt;99.8),0.0002*J676^2-0.0313*J676+1.5553,0))),"N/A"))</f>
        <v/>
      </c>
      <c r="M676" s="1242" t="str">
        <f>IF(H676&gt;'I. Stream &amp; Compound Data'!$F$18,"",IF(I150="","N/A",IF(K676&lt;&gt;"N/A",K676,IF(L676&lt;&gt;"N/A",L676,"NO DATA AVAILABLE"))))</f>
        <v/>
      </c>
      <c r="N676" s="1242" t="str">
        <f>IF(H676&gt;'I. Stream &amp; Compound Data'!$F$18,"",IF(M676="N/A",0,IF(M676&gt;0,ROUND(10^(2*M676-2),3),0.01)))</f>
        <v/>
      </c>
      <c r="O676" s="1190" t="str">
        <f>'I. Stream &amp; Compound Data'!P270</f>
        <v/>
      </c>
      <c r="P676" s="1268" t="str">
        <f>IF(O676="","",IF('I. Stream &amp; Compound Data'!E40="H2O",0,O676*N676))</f>
        <v/>
      </c>
      <c r="Q676" s="279"/>
      <c r="R676" s="297"/>
      <c r="S676" s="298"/>
      <c r="T676" s="298"/>
      <c r="U676" s="299"/>
      <c r="V676" s="279"/>
      <c r="W676" s="279"/>
      <c r="X676" s="279"/>
      <c r="Y676" s="279"/>
      <c r="Z676" s="279"/>
      <c r="AA676" s="279"/>
      <c r="AB676" s="279"/>
      <c r="AC676" s="279"/>
      <c r="AD676" s="279"/>
      <c r="AE676" s="279"/>
      <c r="AF676" s="279"/>
      <c r="AG676" s="279"/>
      <c r="AH676" s="279"/>
      <c r="AI676" s="279"/>
      <c r="AJ676" s="279"/>
      <c r="AK676" s="279"/>
      <c r="AL676" s="279"/>
      <c r="AM676" s="279"/>
      <c r="AN676" s="279"/>
      <c r="AO676" s="279"/>
      <c r="AP676" s="279"/>
      <c r="AQ676" s="279"/>
      <c r="AR676" s="279"/>
      <c r="AS676" s="279"/>
      <c r="AT676" s="279"/>
      <c r="AU676" s="279"/>
      <c r="AV676" s="279"/>
      <c r="AW676" s="279"/>
      <c r="AX676" s="279"/>
      <c r="AY676" s="279"/>
      <c r="AZ676" s="279"/>
      <c r="BA676" s="279"/>
      <c r="BB676" s="279"/>
      <c r="BC676" s="279"/>
      <c r="BD676" s="279"/>
      <c r="BE676" s="279"/>
      <c r="BF676" s="279"/>
      <c r="BG676" s="279"/>
      <c r="BH676" s="279"/>
      <c r="BI676" s="279"/>
      <c r="BJ676" s="279"/>
      <c r="BK676" s="279"/>
      <c r="BL676" s="279"/>
      <c r="BM676" s="279"/>
      <c r="BN676" s="279"/>
      <c r="BO676" s="279"/>
      <c r="BP676" s="279"/>
      <c r="BQ676" s="279"/>
      <c r="BR676" s="279"/>
      <c r="BS676" s="279"/>
      <c r="BT676" s="279"/>
      <c r="BU676" s="279"/>
      <c r="BV676" s="279"/>
      <c r="BW676" s="279"/>
      <c r="BX676" s="279"/>
      <c r="BY676" s="279"/>
      <c r="BZ676" s="279"/>
      <c r="CA676" s="279"/>
      <c r="CB676" s="279"/>
      <c r="CC676" s="279"/>
      <c r="CD676" s="279"/>
      <c r="CE676" s="279"/>
      <c r="CF676" s="279"/>
      <c r="CG676" s="279"/>
      <c r="CH676" s="279"/>
      <c r="CI676" s="279"/>
      <c r="CJ676" s="279"/>
      <c r="CK676" s="279"/>
      <c r="CL676" s="279"/>
      <c r="CM676" s="279"/>
      <c r="CN676" s="382"/>
    </row>
    <row r="677" x14ac:dyDescent="0.3">
      <c r="B677" s="361"/>
      <c r="C677" s="279"/>
      <c r="D677" s="280"/>
      <c r="E677" s="287"/>
      <c r="F677" s="287"/>
      <c r="G677" s="287"/>
      <c r="H677" s="1292">
        <f t="shared" si="31"/>
        <v>10</v>
      </c>
      <c r="I677" s="1295" t="str">
        <f>IF('I. Stream &amp; Compound Data'!AC271&lt;&gt;"",'I. Stream &amp; Compound Data'!AC271,"")</f>
        <v/>
      </c>
      <c r="J677" s="1295" t="str">
        <f>IF('I. Stream &amp; Compound Data'!AD271&lt;&gt;"",'I. Stream &amp; Compound Data'!AD271,"")</f>
        <v/>
      </c>
      <c r="K677" s="1306" t="str">
        <f>IF(H677&gt;'I. Stream &amp; Compound Data'!$F$18,"",IF(I677="","N/A",ROUND(IF(I677&lt;=1,0,IF(AND(I677&gt;1,I677&lt;100),0.217*LN(I677)-0.001,1)),3)))</f>
        <v/>
      </c>
      <c r="L677" s="1242" t="str">
        <f>IF(H677&gt;'I. Stream &amp; Compound Data'!$F$18,"",IF(K677="N/A",IF(J677="","N/A",IF(J677&lt;=20,1,IF(AND(J677&gt;20,J677&lt;99.8),0.0002*J677^2-0.0313*J677+1.5553,0))),"N/A"))</f>
        <v/>
      </c>
      <c r="M677" s="1242" t="str">
        <f>IF(H677&gt;'I. Stream &amp; Compound Data'!$F$18,"",IF(I151="","N/A",IF(K677&lt;&gt;"N/A",K677,IF(L677&lt;&gt;"N/A",L677,"NO DATA AVAILABLE"))))</f>
        <v/>
      </c>
      <c r="N677" s="1242" t="str">
        <f>IF(H677&gt;'I. Stream &amp; Compound Data'!$F$18,"",IF(M677="N/A",0,IF(M677&gt;0,ROUND(10^(2*M677-2),3),0.01)))</f>
        <v/>
      </c>
      <c r="O677" s="1190" t="str">
        <f>'I. Stream &amp; Compound Data'!P271</f>
        <v/>
      </c>
      <c r="P677" s="1268" t="str">
        <f>IF(O677="","",IF('I. Stream &amp; Compound Data'!E41="H2O",0,O677*N677))</f>
        <v/>
      </c>
      <c r="Q677" s="279"/>
      <c r="R677" s="297"/>
      <c r="S677" s="298"/>
      <c r="T677" s="298"/>
      <c r="U677" s="299"/>
      <c r="V677" s="279"/>
      <c r="W677" s="279"/>
      <c r="X677" s="279"/>
      <c r="Y677" s="279"/>
      <c r="Z677" s="279"/>
      <c r="AA677" s="279"/>
      <c r="AB677" s="279"/>
      <c r="AC677" s="279"/>
      <c r="AD677" s="279"/>
      <c r="AE677" s="279"/>
      <c r="AF677" s="279"/>
      <c r="AG677" s="279"/>
      <c r="AH677" s="279"/>
      <c r="AI677" s="279"/>
      <c r="AJ677" s="279"/>
      <c r="AK677" s="279"/>
      <c r="AL677" s="279"/>
      <c r="AM677" s="279"/>
      <c r="AN677" s="279"/>
      <c r="AO677" s="279"/>
      <c r="AP677" s="279"/>
      <c r="AQ677" s="279"/>
      <c r="AR677" s="279"/>
      <c r="AS677" s="279"/>
      <c r="AT677" s="279"/>
      <c r="AU677" s="279"/>
      <c r="AV677" s="279"/>
      <c r="AW677" s="279"/>
      <c r="AX677" s="279"/>
      <c r="AY677" s="279"/>
      <c r="AZ677" s="279"/>
      <c r="BA677" s="279"/>
      <c r="BB677" s="279"/>
      <c r="BC677" s="279"/>
      <c r="BD677" s="279"/>
      <c r="BE677" s="279"/>
      <c r="BF677" s="279"/>
      <c r="BG677" s="279"/>
      <c r="BH677" s="279"/>
      <c r="BI677" s="279"/>
      <c r="BJ677" s="279"/>
      <c r="BK677" s="279"/>
      <c r="BL677" s="279"/>
      <c r="BM677" s="279"/>
      <c r="BN677" s="279"/>
      <c r="BO677" s="279"/>
      <c r="BP677" s="279"/>
      <c r="BQ677" s="279"/>
      <c r="BR677" s="279"/>
      <c r="BS677" s="279"/>
      <c r="BT677" s="279"/>
      <c r="BU677" s="279"/>
      <c r="BV677" s="279"/>
      <c r="BW677" s="279"/>
      <c r="BX677" s="279"/>
      <c r="BY677" s="279"/>
      <c r="BZ677" s="279"/>
      <c r="CA677" s="279"/>
      <c r="CB677" s="279"/>
      <c r="CC677" s="279"/>
      <c r="CD677" s="279"/>
      <c r="CE677" s="279"/>
      <c r="CF677" s="279"/>
      <c r="CG677" s="279"/>
      <c r="CH677" s="279"/>
      <c r="CI677" s="279"/>
      <c r="CJ677" s="279"/>
      <c r="CK677" s="279"/>
      <c r="CL677" s="279"/>
      <c r="CM677" s="279"/>
      <c r="CN677" s="382"/>
    </row>
    <row r="678" x14ac:dyDescent="0.3">
      <c r="B678" s="361"/>
      <c r="C678" s="279"/>
      <c r="D678" s="280"/>
      <c r="E678" s="287"/>
      <c r="F678" s="287"/>
      <c r="G678" s="287"/>
      <c r="H678" s="1292">
        <f t="shared" si="31"/>
        <v>11</v>
      </c>
      <c r="I678" s="1295" t="str">
        <f>IF('I. Stream &amp; Compound Data'!AC272&lt;&gt;"",'I. Stream &amp; Compound Data'!AC272,"")</f>
        <v/>
      </c>
      <c r="J678" s="1295" t="str">
        <f>IF('I. Stream &amp; Compound Data'!AD272&lt;&gt;"",'I. Stream &amp; Compound Data'!AD272,"")</f>
        <v/>
      </c>
      <c r="K678" s="1306" t="str">
        <f>IF(H678&gt;'I. Stream &amp; Compound Data'!$F$18,"",IF(I678="","N/A",ROUND(IF(I678&lt;=1,0,IF(AND(I678&gt;1,I678&lt;100),0.217*LN(I678)-0.001,1)),3)))</f>
        <v/>
      </c>
      <c r="L678" s="1242" t="str">
        <f>IF(H678&gt;'I. Stream &amp; Compound Data'!$F$18,"",IF(K678="N/A",IF(J678="","N/A",IF(J678&lt;=20,1,IF(AND(J678&gt;20,J678&lt;99.8),0.0002*J678^2-0.0313*J678+1.5553,0))),"N/A"))</f>
        <v/>
      </c>
      <c r="M678" s="1242" t="str">
        <f>IF(H678&gt;'I. Stream &amp; Compound Data'!$F$18,"",IF(I152="","N/A",IF(K678&lt;&gt;"N/A",K678,IF(L678&lt;&gt;"N/A",L678,"NO DATA AVAILABLE"))))</f>
        <v/>
      </c>
      <c r="N678" s="1242" t="str">
        <f>IF(H678&gt;'I. Stream &amp; Compound Data'!$F$18,"",IF(M678="N/A",0,IF(M678&gt;0,ROUND(10^(2*M678-2),3),0.01)))</f>
        <v/>
      </c>
      <c r="O678" s="1190" t="str">
        <f>'I. Stream &amp; Compound Data'!P272</f>
        <v/>
      </c>
      <c r="P678" s="1268" t="str">
        <f>IF(O678="","",IF('I. Stream &amp; Compound Data'!E42="H2O",0,O678*N678))</f>
        <v/>
      </c>
      <c r="Q678" s="279"/>
      <c r="R678" s="297"/>
      <c r="S678" s="298"/>
      <c r="T678" s="298"/>
      <c r="U678" s="299"/>
      <c r="V678" s="279"/>
      <c r="W678" s="279"/>
      <c r="X678" s="279"/>
      <c r="Y678" s="279"/>
      <c r="Z678" s="279"/>
      <c r="AA678" s="279"/>
      <c r="AB678" s="279"/>
      <c r="AC678" s="279"/>
      <c r="AD678" s="279"/>
      <c r="AE678" s="279"/>
      <c r="AF678" s="279"/>
      <c r="AG678" s="279"/>
      <c r="AH678" s="279"/>
      <c r="AI678" s="279"/>
      <c r="AJ678" s="279"/>
      <c r="AK678" s="279"/>
      <c r="AL678" s="279"/>
      <c r="AM678" s="279"/>
      <c r="AN678" s="279"/>
      <c r="AO678" s="279"/>
      <c r="AP678" s="279"/>
      <c r="AQ678" s="279"/>
      <c r="AR678" s="279"/>
      <c r="AS678" s="279"/>
      <c r="AT678" s="279"/>
      <c r="AU678" s="279"/>
      <c r="AV678" s="279"/>
      <c r="AW678" s="279"/>
      <c r="AX678" s="279"/>
      <c r="AY678" s="279"/>
      <c r="AZ678" s="279"/>
      <c r="BA678" s="279"/>
      <c r="BB678" s="279"/>
      <c r="BC678" s="279"/>
      <c r="BD678" s="279"/>
      <c r="BE678" s="279"/>
      <c r="BF678" s="279"/>
      <c r="BG678" s="279"/>
      <c r="BH678" s="279"/>
      <c r="BI678" s="279"/>
      <c r="BJ678" s="279"/>
      <c r="BK678" s="279"/>
      <c r="BL678" s="279"/>
      <c r="BM678" s="279"/>
      <c r="BN678" s="279"/>
      <c r="BO678" s="279"/>
      <c r="BP678" s="279"/>
      <c r="BQ678" s="279"/>
      <c r="BR678" s="279"/>
      <c r="BS678" s="279"/>
      <c r="BT678" s="279"/>
      <c r="BU678" s="279"/>
      <c r="BV678" s="279"/>
      <c r="BW678" s="279"/>
      <c r="BX678" s="279"/>
      <c r="BY678" s="279"/>
      <c r="BZ678" s="279"/>
      <c r="CA678" s="279"/>
      <c r="CB678" s="279"/>
      <c r="CC678" s="279"/>
      <c r="CD678" s="279"/>
      <c r="CE678" s="279"/>
      <c r="CF678" s="279"/>
      <c r="CG678" s="279"/>
      <c r="CH678" s="279"/>
      <c r="CI678" s="279"/>
      <c r="CJ678" s="279"/>
      <c r="CK678" s="279"/>
      <c r="CL678" s="279"/>
      <c r="CM678" s="279"/>
      <c r="CN678" s="382"/>
    </row>
    <row r="679" x14ac:dyDescent="0.3">
      <c r="B679" s="361"/>
      <c r="C679" s="279"/>
      <c r="D679" s="280"/>
      <c r="E679" s="287"/>
      <c r="F679" s="287"/>
      <c r="G679" s="287"/>
      <c r="H679" s="1292">
        <f t="shared" si="31"/>
        <v>12</v>
      </c>
      <c r="I679" s="1295" t="str">
        <f>IF('I. Stream &amp; Compound Data'!AC273&lt;&gt;"",'I. Stream &amp; Compound Data'!AC273,"")</f>
        <v/>
      </c>
      <c r="J679" s="1295" t="str">
        <f>IF('I. Stream &amp; Compound Data'!AD273&lt;&gt;"",'I. Stream &amp; Compound Data'!AD273,"")</f>
        <v/>
      </c>
      <c r="K679" s="1306" t="str">
        <f>IF(H679&gt;'I. Stream &amp; Compound Data'!$F$18,"",IF(I679="","N/A",ROUND(IF(I679&lt;=1,0,IF(AND(I679&gt;1,I679&lt;100),0.217*LN(I679)-0.001,1)),3)))</f>
        <v/>
      </c>
      <c r="L679" s="1242" t="str">
        <f>IF(H679&gt;'I. Stream &amp; Compound Data'!$F$18,"",IF(K679="N/A",IF(J679="","N/A",IF(J679&lt;=20,1,IF(AND(J679&gt;20,J679&lt;99.8),0.0002*J679^2-0.0313*J679+1.5553,0))),"N/A"))</f>
        <v/>
      </c>
      <c r="M679" s="1242" t="str">
        <f>IF(H679&gt;'I. Stream &amp; Compound Data'!$F$18,"",IF(I153="","N/A",IF(K679&lt;&gt;"N/A",K679,IF(L679&lt;&gt;"N/A",L679,"NO DATA AVAILABLE"))))</f>
        <v/>
      </c>
      <c r="N679" s="1242" t="str">
        <f>IF(H679&gt;'I. Stream &amp; Compound Data'!$F$18,"",IF(M679="N/A",0,IF(M679&gt;0,ROUND(10^(2*M679-2),3),0.01)))</f>
        <v/>
      </c>
      <c r="O679" s="1190" t="str">
        <f>'I. Stream &amp; Compound Data'!P273</f>
        <v/>
      </c>
      <c r="P679" s="1268" t="str">
        <f>IF(O679="","",IF('I. Stream &amp; Compound Data'!E43="H2O",0,O679*N679))</f>
        <v/>
      </c>
      <c r="Q679" s="279"/>
      <c r="R679" s="297"/>
      <c r="S679" s="298"/>
      <c r="T679" s="298"/>
      <c r="U679" s="299"/>
      <c r="V679" s="279"/>
      <c r="W679" s="279"/>
      <c r="X679" s="279"/>
      <c r="Y679" s="279"/>
      <c r="Z679" s="279"/>
      <c r="AA679" s="279"/>
      <c r="AB679" s="279"/>
      <c r="AC679" s="279"/>
      <c r="AD679" s="279"/>
      <c r="AE679" s="279"/>
      <c r="AF679" s="279"/>
      <c r="AG679" s="279"/>
      <c r="AH679" s="279"/>
      <c r="AI679" s="279"/>
      <c r="AJ679" s="279"/>
      <c r="AK679" s="279"/>
      <c r="AL679" s="279"/>
      <c r="AM679" s="279"/>
      <c r="AN679" s="279"/>
      <c r="AO679" s="279"/>
      <c r="AP679" s="279"/>
      <c r="AQ679" s="279"/>
      <c r="AR679" s="279"/>
      <c r="AS679" s="279"/>
      <c r="AT679" s="279"/>
      <c r="AU679" s="279"/>
      <c r="AV679" s="279"/>
      <c r="AW679" s="279"/>
      <c r="AX679" s="279"/>
      <c r="AY679" s="279"/>
      <c r="AZ679" s="279"/>
      <c r="BA679" s="279"/>
      <c r="BB679" s="279"/>
      <c r="BC679" s="279"/>
      <c r="BD679" s="279"/>
      <c r="BE679" s="279"/>
      <c r="BF679" s="279"/>
      <c r="BG679" s="279"/>
      <c r="BH679" s="279"/>
      <c r="BI679" s="279"/>
      <c r="BJ679" s="279"/>
      <c r="BK679" s="279"/>
      <c r="BL679" s="279"/>
      <c r="BM679" s="279"/>
      <c r="BN679" s="279"/>
      <c r="BO679" s="279"/>
      <c r="BP679" s="279"/>
      <c r="BQ679" s="279"/>
      <c r="BR679" s="279"/>
      <c r="BS679" s="279"/>
      <c r="BT679" s="279"/>
      <c r="BU679" s="279"/>
      <c r="BV679" s="279"/>
      <c r="BW679" s="279"/>
      <c r="BX679" s="279"/>
      <c r="BY679" s="279"/>
      <c r="BZ679" s="279"/>
      <c r="CA679" s="279"/>
      <c r="CB679" s="279"/>
      <c r="CC679" s="279"/>
      <c r="CD679" s="279"/>
      <c r="CE679" s="279"/>
      <c r="CF679" s="279"/>
      <c r="CG679" s="279"/>
      <c r="CH679" s="279"/>
      <c r="CI679" s="279"/>
      <c r="CJ679" s="279"/>
      <c r="CK679" s="279"/>
      <c r="CL679" s="279"/>
      <c r="CM679" s="279"/>
      <c r="CN679" s="382"/>
    </row>
    <row r="680" x14ac:dyDescent="0.3">
      <c r="B680" s="361"/>
      <c r="C680" s="279"/>
      <c r="D680" s="280"/>
      <c r="E680" s="287"/>
      <c r="F680" s="287"/>
      <c r="G680" s="287"/>
      <c r="H680" s="1292">
        <f t="shared" si="31"/>
        <v>13</v>
      </c>
      <c r="I680" s="1295" t="str">
        <f>IF('I. Stream &amp; Compound Data'!AC274&lt;&gt;"",'I. Stream &amp; Compound Data'!AC274,"")</f>
        <v/>
      </c>
      <c r="J680" s="1295" t="str">
        <f>IF('I. Stream &amp; Compound Data'!AD274&lt;&gt;"",'I. Stream &amp; Compound Data'!AD274,"")</f>
        <v/>
      </c>
      <c r="K680" s="1306" t="str">
        <f>IF(H680&gt;'I. Stream &amp; Compound Data'!$F$18,"",IF(I680="","N/A",ROUND(IF(I680&lt;=1,0,IF(AND(I680&gt;1,I680&lt;100),0.217*LN(I680)-0.001,1)),3)))</f>
        <v/>
      </c>
      <c r="L680" s="1242" t="str">
        <f>IF(H680&gt;'I. Stream &amp; Compound Data'!$F$18,"",IF(K680="N/A",IF(J680="","N/A",IF(J680&lt;=20,1,IF(AND(J680&gt;20,J680&lt;99.8),0.0002*J680^2-0.0313*J680+1.5553,0))),"N/A"))</f>
        <v/>
      </c>
      <c r="M680" s="1242" t="str">
        <f>IF(H680&gt;'I. Stream &amp; Compound Data'!$F$18,"",IF(I154="","N/A",IF(K680&lt;&gt;"N/A",K680,IF(L680&lt;&gt;"N/A",L680,"NO DATA AVAILABLE"))))</f>
        <v/>
      </c>
      <c r="N680" s="1242" t="str">
        <f>IF(H680&gt;'I. Stream &amp; Compound Data'!$F$18,"",IF(M680="N/A",0,IF(M680&gt;0,ROUND(10^(2*M680-2),3),0.01)))</f>
        <v/>
      </c>
      <c r="O680" s="1190" t="str">
        <f>'I. Stream &amp; Compound Data'!P274</f>
        <v/>
      </c>
      <c r="P680" s="1268" t="str">
        <f>IF(O680="","",IF('I. Stream &amp; Compound Data'!E44="H2O",0,O680*N680))</f>
        <v/>
      </c>
      <c r="Q680" s="279"/>
      <c r="R680" s="297"/>
      <c r="S680" s="298"/>
      <c r="T680" s="298"/>
      <c r="U680" s="299"/>
      <c r="V680" s="279"/>
      <c r="W680" s="279"/>
      <c r="X680" s="279"/>
      <c r="Y680" s="279"/>
      <c r="Z680" s="279"/>
      <c r="AA680" s="279"/>
      <c r="AB680" s="279"/>
      <c r="AC680" s="279"/>
      <c r="AD680" s="279"/>
      <c r="AE680" s="279"/>
      <c r="AF680" s="279"/>
      <c r="AG680" s="279"/>
      <c r="AH680" s="279"/>
      <c r="AI680" s="279"/>
      <c r="AJ680" s="279"/>
      <c r="AK680" s="279"/>
      <c r="AL680" s="279"/>
      <c r="AM680" s="279"/>
      <c r="AN680" s="279"/>
      <c r="AO680" s="279"/>
      <c r="AP680" s="279"/>
      <c r="AQ680" s="279"/>
      <c r="AR680" s="279"/>
      <c r="AS680" s="279"/>
      <c r="AT680" s="279"/>
      <c r="AU680" s="279"/>
      <c r="AV680" s="279"/>
      <c r="AW680" s="279"/>
      <c r="AX680" s="279"/>
      <c r="AY680" s="279"/>
      <c r="AZ680" s="279"/>
      <c r="BA680" s="279"/>
      <c r="BB680" s="279"/>
      <c r="BC680" s="279"/>
      <c r="BD680" s="279"/>
      <c r="BE680" s="279"/>
      <c r="BF680" s="279"/>
      <c r="BG680" s="279"/>
      <c r="BH680" s="279"/>
      <c r="BI680" s="279"/>
      <c r="BJ680" s="279"/>
      <c r="BK680" s="279"/>
      <c r="BL680" s="279"/>
      <c r="BM680" s="279"/>
      <c r="BN680" s="279"/>
      <c r="BO680" s="279"/>
      <c r="BP680" s="279"/>
      <c r="BQ680" s="279"/>
      <c r="BR680" s="279"/>
      <c r="BS680" s="279"/>
      <c r="BT680" s="279"/>
      <c r="BU680" s="279"/>
      <c r="BV680" s="279"/>
      <c r="BW680" s="279"/>
      <c r="BX680" s="279"/>
      <c r="BY680" s="279"/>
      <c r="BZ680" s="279"/>
      <c r="CA680" s="279"/>
      <c r="CB680" s="279"/>
      <c r="CC680" s="279"/>
      <c r="CD680" s="279"/>
      <c r="CE680" s="279"/>
      <c r="CF680" s="279"/>
      <c r="CG680" s="279"/>
      <c r="CH680" s="279"/>
      <c r="CI680" s="279"/>
      <c r="CJ680" s="279"/>
      <c r="CK680" s="279"/>
      <c r="CL680" s="279"/>
      <c r="CM680" s="279"/>
      <c r="CN680" s="382"/>
    </row>
    <row r="681" x14ac:dyDescent="0.3">
      <c r="B681" s="361"/>
      <c r="C681" s="279"/>
      <c r="D681" s="280"/>
      <c r="E681" s="287"/>
      <c r="F681" s="287"/>
      <c r="G681" s="287"/>
      <c r="H681" s="1292">
        <f t="shared" si="31"/>
        <v>14</v>
      </c>
      <c r="I681" s="1295" t="str">
        <f>IF('I. Stream &amp; Compound Data'!AC275&lt;&gt;"",'I. Stream &amp; Compound Data'!AC275,"")</f>
        <v/>
      </c>
      <c r="J681" s="1295" t="str">
        <f>IF('I. Stream &amp; Compound Data'!AD275&lt;&gt;"",'I. Stream &amp; Compound Data'!AD275,"")</f>
        <v/>
      </c>
      <c r="K681" s="1306" t="str">
        <f>IF(H681&gt;'I. Stream &amp; Compound Data'!$F$18,"",IF(I681="","N/A",ROUND(IF(I681&lt;=1,0,IF(AND(I681&gt;1,I681&lt;100),0.217*LN(I681)-0.001,1)),3)))</f>
        <v/>
      </c>
      <c r="L681" s="1242" t="str">
        <f>IF(H681&gt;'I. Stream &amp; Compound Data'!$F$18,"",IF(K681="N/A",IF(J681="","N/A",IF(J681&lt;=20,1,IF(AND(J681&gt;20,J681&lt;99.8),0.0002*J681^2-0.0313*J681+1.5553,0))),"N/A"))</f>
        <v/>
      </c>
      <c r="M681" s="1242" t="str">
        <f>IF(H681&gt;'I. Stream &amp; Compound Data'!$F$18,"",IF(I155="","N/A",IF(K681&lt;&gt;"N/A",K681,IF(L681&lt;&gt;"N/A",L681,"NO DATA AVAILABLE"))))</f>
        <v/>
      </c>
      <c r="N681" s="1242" t="str">
        <f>IF(H681&gt;'I. Stream &amp; Compound Data'!$F$18,"",IF(M681="N/A",0,IF(M681&gt;0,ROUND(10^(2*M681-2),3),0.01)))</f>
        <v/>
      </c>
      <c r="O681" s="1190" t="str">
        <f>'I. Stream &amp; Compound Data'!P275</f>
        <v/>
      </c>
      <c r="P681" s="1268" t="str">
        <f>IF(O681="","",IF('I. Stream &amp; Compound Data'!E45="H2O",0,O681*N681))</f>
        <v/>
      </c>
      <c r="Q681" s="279"/>
      <c r="R681" s="297"/>
      <c r="S681" s="298"/>
      <c r="T681" s="298"/>
      <c r="U681" s="299"/>
      <c r="V681" s="279"/>
      <c r="W681" s="279"/>
      <c r="X681" s="279"/>
      <c r="Y681" s="279"/>
      <c r="Z681" s="279"/>
      <c r="AA681" s="279"/>
      <c r="AB681" s="279"/>
      <c r="AC681" s="279"/>
      <c r="AD681" s="279"/>
      <c r="AE681" s="279"/>
      <c r="AF681" s="279"/>
      <c r="AG681" s="279"/>
      <c r="AH681" s="279"/>
      <c r="AI681" s="279"/>
      <c r="AJ681" s="279"/>
      <c r="AK681" s="279"/>
      <c r="AL681" s="279"/>
      <c r="AM681" s="279"/>
      <c r="AN681" s="279"/>
      <c r="AO681" s="279"/>
      <c r="AP681" s="279"/>
      <c r="AQ681" s="279"/>
      <c r="AR681" s="279"/>
      <c r="AS681" s="279"/>
      <c r="AT681" s="279"/>
      <c r="AU681" s="279"/>
      <c r="AV681" s="279"/>
      <c r="AW681" s="279"/>
      <c r="AX681" s="279"/>
      <c r="AY681" s="279"/>
      <c r="AZ681" s="279"/>
      <c r="BA681" s="279"/>
      <c r="BB681" s="279"/>
      <c r="BC681" s="279"/>
      <c r="BD681" s="279"/>
      <c r="BE681" s="279"/>
      <c r="BF681" s="279"/>
      <c r="BG681" s="279"/>
      <c r="BH681" s="279"/>
      <c r="BI681" s="279"/>
      <c r="BJ681" s="279"/>
      <c r="BK681" s="279"/>
      <c r="BL681" s="279"/>
      <c r="BM681" s="279"/>
      <c r="BN681" s="279"/>
      <c r="BO681" s="279"/>
      <c r="BP681" s="279"/>
      <c r="BQ681" s="279"/>
      <c r="BR681" s="279"/>
      <c r="BS681" s="279"/>
      <c r="BT681" s="279"/>
      <c r="BU681" s="279"/>
      <c r="BV681" s="279"/>
      <c r="BW681" s="279"/>
      <c r="BX681" s="279"/>
      <c r="BY681" s="279"/>
      <c r="BZ681" s="279"/>
      <c r="CA681" s="279"/>
      <c r="CB681" s="279"/>
      <c r="CC681" s="279"/>
      <c r="CD681" s="279"/>
      <c r="CE681" s="279"/>
      <c r="CF681" s="279"/>
      <c r="CG681" s="279"/>
      <c r="CH681" s="279"/>
      <c r="CI681" s="279"/>
      <c r="CJ681" s="279"/>
      <c r="CK681" s="279"/>
      <c r="CL681" s="279"/>
      <c r="CM681" s="279"/>
      <c r="CN681" s="382"/>
    </row>
    <row r="682" x14ac:dyDescent="0.3">
      <c r="B682" s="361"/>
      <c r="C682" s="279"/>
      <c r="D682" s="280"/>
      <c r="E682" s="287"/>
      <c r="F682" s="287"/>
      <c r="G682" s="287"/>
      <c r="H682" s="1292">
        <f t="shared" si="31"/>
        <v>15</v>
      </c>
      <c r="I682" s="1295" t="str">
        <f>IF('I. Stream &amp; Compound Data'!AC276&lt;&gt;"",'I. Stream &amp; Compound Data'!AC276,"")</f>
        <v/>
      </c>
      <c r="J682" s="1295" t="str">
        <f>IF('I. Stream &amp; Compound Data'!AD276&lt;&gt;"",'I. Stream &amp; Compound Data'!AD276,"")</f>
        <v/>
      </c>
      <c r="K682" s="1306" t="str">
        <f>IF(H682&gt;'I. Stream &amp; Compound Data'!$F$18,"",IF(I682="","N/A",ROUND(IF(I682&lt;=1,0,IF(AND(I682&gt;1,I682&lt;100),0.217*LN(I682)-0.001,1)),3)))</f>
        <v/>
      </c>
      <c r="L682" s="1242" t="str">
        <f>IF(H682&gt;'I. Stream &amp; Compound Data'!$F$18,"",IF(K682="N/A",IF(J682="","N/A",IF(J682&lt;=20,1,IF(AND(J682&gt;20,J682&lt;99.8),0.0002*J682^2-0.0313*J682+1.5553,0))),"N/A"))</f>
        <v/>
      </c>
      <c r="M682" s="1242" t="str">
        <f>IF(H682&gt;'I. Stream &amp; Compound Data'!$F$18,"",IF(I156="","N/A",IF(K682&lt;&gt;"N/A",K682,IF(L682&lt;&gt;"N/A",L682,"NO DATA AVAILABLE"))))</f>
        <v/>
      </c>
      <c r="N682" s="1242" t="str">
        <f>IF(H682&gt;'I. Stream &amp; Compound Data'!$F$18,"",IF(M682="N/A",0,IF(M682&gt;0,ROUND(10^(2*M682-2),3),0.01)))</f>
        <v/>
      </c>
      <c r="O682" s="1190" t="str">
        <f>'I. Stream &amp; Compound Data'!P276</f>
        <v/>
      </c>
      <c r="P682" s="1268" t="str">
        <f>IF(O682="","",IF('I. Stream &amp; Compound Data'!E46="H2O",0,O682*N682))</f>
        <v/>
      </c>
      <c r="Q682" s="279"/>
      <c r="R682" s="297"/>
      <c r="S682" s="298"/>
      <c r="T682" s="298"/>
      <c r="U682" s="299"/>
      <c r="V682" s="279"/>
      <c r="W682" s="279"/>
      <c r="X682" s="279"/>
      <c r="Y682" s="279"/>
      <c r="Z682" s="279"/>
      <c r="AA682" s="279"/>
      <c r="AB682" s="279"/>
      <c r="AC682" s="279"/>
      <c r="AD682" s="279"/>
      <c r="AE682" s="279"/>
      <c r="AF682" s="279"/>
      <c r="AG682" s="279"/>
      <c r="AH682" s="279"/>
      <c r="AI682" s="279"/>
      <c r="AJ682" s="279"/>
      <c r="AK682" s="279"/>
      <c r="AL682" s="279"/>
      <c r="AM682" s="279"/>
      <c r="AN682" s="279"/>
      <c r="AO682" s="279"/>
      <c r="AP682" s="279"/>
      <c r="AQ682" s="279"/>
      <c r="AR682" s="279"/>
      <c r="AS682" s="279"/>
      <c r="AT682" s="279"/>
      <c r="AU682" s="279"/>
      <c r="AV682" s="279"/>
      <c r="AW682" s="279"/>
      <c r="AX682" s="279"/>
      <c r="AY682" s="279"/>
      <c r="AZ682" s="279"/>
      <c r="BA682" s="279"/>
      <c r="BB682" s="279"/>
      <c r="BC682" s="279"/>
      <c r="BD682" s="279"/>
      <c r="BE682" s="279"/>
      <c r="BF682" s="279"/>
      <c r="BG682" s="279"/>
      <c r="BH682" s="279"/>
      <c r="BI682" s="279"/>
      <c r="BJ682" s="279"/>
      <c r="BK682" s="279"/>
      <c r="BL682" s="279"/>
      <c r="BM682" s="279"/>
      <c r="BN682" s="279"/>
      <c r="BO682" s="279"/>
      <c r="BP682" s="279"/>
      <c r="BQ682" s="279"/>
      <c r="BR682" s="279"/>
      <c r="BS682" s="279"/>
      <c r="BT682" s="279"/>
      <c r="BU682" s="279"/>
      <c r="BV682" s="279"/>
      <c r="BW682" s="279"/>
      <c r="BX682" s="279"/>
      <c r="BY682" s="279"/>
      <c r="BZ682" s="279"/>
      <c r="CA682" s="279"/>
      <c r="CB682" s="279"/>
      <c r="CC682" s="279"/>
      <c r="CD682" s="279"/>
      <c r="CE682" s="279"/>
      <c r="CF682" s="279"/>
      <c r="CG682" s="279"/>
      <c r="CH682" s="279"/>
      <c r="CI682" s="279"/>
      <c r="CJ682" s="279"/>
      <c r="CK682" s="279"/>
      <c r="CL682" s="279"/>
      <c r="CM682" s="279"/>
      <c r="CN682" s="382"/>
    </row>
    <row r="683" x14ac:dyDescent="0.3">
      <c r="B683" s="361"/>
      <c r="C683" s="279"/>
      <c r="D683" s="280"/>
      <c r="E683" s="287"/>
      <c r="F683" s="287"/>
      <c r="G683" s="287"/>
      <c r="H683" s="1292">
        <f t="shared" si="31"/>
        <v>16</v>
      </c>
      <c r="I683" s="1295" t="str">
        <f>IF('I. Stream &amp; Compound Data'!AC277&lt;&gt;"",'I. Stream &amp; Compound Data'!AC277,"")</f>
        <v/>
      </c>
      <c r="J683" s="1295" t="str">
        <f>IF('I. Stream &amp; Compound Data'!AD277&lt;&gt;"",'I. Stream &amp; Compound Data'!AD277,"")</f>
        <v/>
      </c>
      <c r="K683" s="1306" t="str">
        <f>IF(H683&gt;'I. Stream &amp; Compound Data'!$F$18,"",IF(I683="","N/A",ROUND(IF(I683&lt;=1,0,IF(AND(I683&gt;1,I683&lt;100),0.217*LN(I683)-0.001,1)),3)))</f>
        <v/>
      </c>
      <c r="L683" s="1242" t="str">
        <f>IF(H683&gt;'I. Stream &amp; Compound Data'!$F$18,"",IF(K683="N/A",IF(J683="","N/A",IF(J683&lt;=20,1,IF(AND(J683&gt;20,J683&lt;99.8),0.0002*J683^2-0.0313*J683+1.5553,0))),"N/A"))</f>
        <v/>
      </c>
      <c r="M683" s="1242" t="str">
        <f>IF(H683&gt;'I. Stream &amp; Compound Data'!$F$18,"",IF(I157="","N/A",IF(K683&lt;&gt;"N/A",K683,IF(L683&lt;&gt;"N/A",L683,"NO DATA AVAILABLE"))))</f>
        <v/>
      </c>
      <c r="N683" s="1242" t="str">
        <f>IF(H683&gt;'I. Stream &amp; Compound Data'!$F$18,"",IF(M683="N/A",0,IF(M683&gt;0,ROUND(10^(2*M683-2),3),0.01)))</f>
        <v/>
      </c>
      <c r="O683" s="1190" t="str">
        <f>'I. Stream &amp; Compound Data'!P277</f>
        <v/>
      </c>
      <c r="P683" s="1268" t="str">
        <f>IF(O683="","",IF('I. Stream &amp; Compound Data'!E47="H2O",0,O683*N683))</f>
        <v/>
      </c>
      <c r="Q683" s="279"/>
      <c r="R683" s="297"/>
      <c r="S683" s="298"/>
      <c r="T683" s="298"/>
      <c r="U683" s="299"/>
      <c r="V683" s="279"/>
      <c r="W683" s="279"/>
      <c r="X683" s="279"/>
      <c r="Y683" s="279"/>
      <c r="Z683" s="279"/>
      <c r="AA683" s="279"/>
      <c r="AB683" s="279"/>
      <c r="AC683" s="279"/>
      <c r="AD683" s="279"/>
      <c r="AE683" s="279"/>
      <c r="AF683" s="279"/>
      <c r="AG683" s="279"/>
      <c r="AH683" s="279"/>
      <c r="AI683" s="279"/>
      <c r="AJ683" s="279"/>
      <c r="AK683" s="279"/>
      <c r="AL683" s="279"/>
      <c r="AM683" s="279"/>
      <c r="AN683" s="279"/>
      <c r="AO683" s="279"/>
      <c r="AP683" s="279"/>
      <c r="AQ683" s="279"/>
      <c r="AR683" s="279"/>
      <c r="AS683" s="279"/>
      <c r="AT683" s="279"/>
      <c r="AU683" s="279"/>
      <c r="AV683" s="279"/>
      <c r="AW683" s="279"/>
      <c r="AX683" s="279"/>
      <c r="AY683" s="279"/>
      <c r="AZ683" s="279"/>
      <c r="BA683" s="279"/>
      <c r="BB683" s="279"/>
      <c r="BC683" s="279"/>
      <c r="BD683" s="279"/>
      <c r="BE683" s="279"/>
      <c r="BF683" s="279"/>
      <c r="BG683" s="279"/>
      <c r="BH683" s="279"/>
      <c r="BI683" s="279"/>
      <c r="BJ683" s="279"/>
      <c r="BK683" s="279"/>
      <c r="BL683" s="279"/>
      <c r="BM683" s="279"/>
      <c r="BN683" s="279"/>
      <c r="BO683" s="279"/>
      <c r="BP683" s="279"/>
      <c r="BQ683" s="279"/>
      <c r="BR683" s="279"/>
      <c r="BS683" s="279"/>
      <c r="BT683" s="279"/>
      <c r="BU683" s="279"/>
      <c r="BV683" s="279"/>
      <c r="BW683" s="279"/>
      <c r="BX683" s="279"/>
      <c r="BY683" s="279"/>
      <c r="BZ683" s="279"/>
      <c r="CA683" s="279"/>
      <c r="CB683" s="279"/>
      <c r="CC683" s="279"/>
      <c r="CD683" s="279"/>
      <c r="CE683" s="279"/>
      <c r="CF683" s="279"/>
      <c r="CG683" s="279"/>
      <c r="CH683" s="279"/>
      <c r="CI683" s="279"/>
      <c r="CJ683" s="279"/>
      <c r="CK683" s="279"/>
      <c r="CL683" s="279"/>
      <c r="CM683" s="279"/>
      <c r="CN683" s="382"/>
    </row>
    <row r="684" x14ac:dyDescent="0.3">
      <c r="B684" s="361"/>
      <c r="C684" s="279"/>
      <c r="D684" s="280"/>
      <c r="E684" s="287"/>
      <c r="F684" s="287"/>
      <c r="G684" s="287"/>
      <c r="H684" s="1292">
        <f t="shared" si="31"/>
        <v>17</v>
      </c>
      <c r="I684" s="1295" t="str">
        <f>IF('I. Stream &amp; Compound Data'!AC278&lt;&gt;"",'I. Stream &amp; Compound Data'!AC278,"")</f>
        <v/>
      </c>
      <c r="J684" s="1295" t="str">
        <f>IF('I. Stream &amp; Compound Data'!AD278&lt;&gt;"",'I. Stream &amp; Compound Data'!AD278,"")</f>
        <v/>
      </c>
      <c r="K684" s="1306" t="str">
        <f>IF(H684&gt;'I. Stream &amp; Compound Data'!$F$18,"",IF(I684="","N/A",ROUND(IF(I684&lt;=1,0,IF(AND(I684&gt;1,I684&lt;100),0.217*LN(I684)-0.001,1)),3)))</f>
        <v/>
      </c>
      <c r="L684" s="1242" t="str">
        <f>IF(H684&gt;'I. Stream &amp; Compound Data'!$F$18,"",IF(K684="N/A",IF(J684="","N/A",IF(J684&lt;=20,1,IF(AND(J684&gt;20,J684&lt;99.8),0.0002*J684^2-0.0313*J684+1.5553,0))),"N/A"))</f>
        <v/>
      </c>
      <c r="M684" s="1242" t="str">
        <f>IF(H684&gt;'I. Stream &amp; Compound Data'!$F$18,"",IF(I158="","N/A",IF(K684&lt;&gt;"N/A",K684,IF(L684&lt;&gt;"N/A",L684,"NO DATA AVAILABLE"))))</f>
        <v/>
      </c>
      <c r="N684" s="1242" t="str">
        <f>IF(H684&gt;'I. Stream &amp; Compound Data'!$F$18,"",IF(M684="N/A",0,IF(M684&gt;0,ROUND(10^(2*M684-2),3),0.01)))</f>
        <v/>
      </c>
      <c r="O684" s="1190" t="str">
        <f>'I. Stream &amp; Compound Data'!P278</f>
        <v/>
      </c>
      <c r="P684" s="1268" t="str">
        <f>IF(O684="","",IF('I. Stream &amp; Compound Data'!E48="H2O",0,O684*N684))</f>
        <v/>
      </c>
      <c r="Q684" s="279"/>
      <c r="R684" s="297"/>
      <c r="S684" s="298"/>
      <c r="T684" s="298"/>
      <c r="U684" s="299"/>
      <c r="V684" s="279"/>
      <c r="W684" s="279"/>
      <c r="X684" s="279"/>
      <c r="Y684" s="279"/>
      <c r="Z684" s="279"/>
      <c r="AA684" s="279"/>
      <c r="AB684" s="279"/>
      <c r="AC684" s="279"/>
      <c r="AD684" s="279"/>
      <c r="AE684" s="279"/>
      <c r="AF684" s="279"/>
      <c r="AG684" s="279"/>
      <c r="AH684" s="279"/>
      <c r="AI684" s="279"/>
      <c r="AJ684" s="279"/>
      <c r="AK684" s="279"/>
      <c r="AL684" s="279"/>
      <c r="AM684" s="279"/>
      <c r="AN684" s="279"/>
      <c r="AO684" s="279"/>
      <c r="AP684" s="279"/>
      <c r="AQ684" s="279"/>
      <c r="AR684" s="279"/>
      <c r="AS684" s="279"/>
      <c r="AT684" s="279"/>
      <c r="AU684" s="279"/>
      <c r="AV684" s="279"/>
      <c r="AW684" s="279"/>
      <c r="AX684" s="279"/>
      <c r="AY684" s="279"/>
      <c r="AZ684" s="279"/>
      <c r="BA684" s="279"/>
      <c r="BB684" s="279"/>
      <c r="BC684" s="279"/>
      <c r="BD684" s="279"/>
      <c r="BE684" s="279"/>
      <c r="BF684" s="279"/>
      <c r="BG684" s="279"/>
      <c r="BH684" s="279"/>
      <c r="BI684" s="279"/>
      <c r="BJ684" s="279"/>
      <c r="BK684" s="279"/>
      <c r="BL684" s="279"/>
      <c r="BM684" s="279"/>
      <c r="BN684" s="279"/>
      <c r="BO684" s="279"/>
      <c r="BP684" s="279"/>
      <c r="BQ684" s="279"/>
      <c r="BR684" s="279"/>
      <c r="BS684" s="279"/>
      <c r="BT684" s="279"/>
      <c r="BU684" s="279"/>
      <c r="BV684" s="279"/>
      <c r="BW684" s="279"/>
      <c r="BX684" s="279"/>
      <c r="BY684" s="279"/>
      <c r="BZ684" s="279"/>
      <c r="CA684" s="279"/>
      <c r="CB684" s="279"/>
      <c r="CC684" s="279"/>
      <c r="CD684" s="279"/>
      <c r="CE684" s="279"/>
      <c r="CF684" s="279"/>
      <c r="CG684" s="279"/>
      <c r="CH684" s="279"/>
      <c r="CI684" s="279"/>
      <c r="CJ684" s="279"/>
      <c r="CK684" s="279"/>
      <c r="CL684" s="279"/>
      <c r="CM684" s="279"/>
      <c r="CN684" s="382"/>
    </row>
    <row r="685" x14ac:dyDescent="0.3">
      <c r="B685" s="361"/>
      <c r="C685" s="279"/>
      <c r="D685" s="280"/>
      <c r="E685" s="287"/>
      <c r="F685" s="287"/>
      <c r="G685" s="287"/>
      <c r="H685" s="1292">
        <f t="shared" si="31"/>
        <v>18</v>
      </c>
      <c r="I685" s="1295" t="str">
        <f>IF('I. Stream &amp; Compound Data'!AC279&lt;&gt;"",'I. Stream &amp; Compound Data'!AC279,"")</f>
        <v/>
      </c>
      <c r="J685" s="1295" t="str">
        <f>IF('I. Stream &amp; Compound Data'!AD279&lt;&gt;"",'I. Stream &amp; Compound Data'!AD279,"")</f>
        <v/>
      </c>
      <c r="K685" s="1306" t="str">
        <f>IF(H685&gt;'I. Stream &amp; Compound Data'!$F$18,"",IF(I685="","N/A",ROUND(IF(I685&lt;=1,0,IF(AND(I685&gt;1,I685&lt;100),0.217*LN(I685)-0.001,1)),3)))</f>
        <v/>
      </c>
      <c r="L685" s="1242" t="str">
        <f>IF(H685&gt;'I. Stream &amp; Compound Data'!$F$18,"",IF(K685="N/A",IF(J685="","N/A",IF(J685&lt;=20,1,IF(AND(J685&gt;20,J685&lt;99.8),0.0002*J685^2-0.0313*J685+1.5553,0))),"N/A"))</f>
        <v/>
      </c>
      <c r="M685" s="1242" t="str">
        <f>IF(H685&gt;'I. Stream &amp; Compound Data'!$F$18,"",IF(I159="","N/A",IF(K685&lt;&gt;"N/A",K685,IF(L685&lt;&gt;"N/A",L685,"NO DATA AVAILABLE"))))</f>
        <v/>
      </c>
      <c r="N685" s="1242" t="str">
        <f>IF(H685&gt;'I. Stream &amp; Compound Data'!$F$18,"",IF(M685="N/A",0,IF(M685&gt;0,ROUND(10^(2*M685-2),3),0.01)))</f>
        <v/>
      </c>
      <c r="O685" s="1190" t="str">
        <f>'I. Stream &amp; Compound Data'!P279</f>
        <v/>
      </c>
      <c r="P685" s="1268" t="str">
        <f>IF(O685="","",IF('I. Stream &amp; Compound Data'!E49="H2O",0,O685*N685))</f>
        <v/>
      </c>
      <c r="Q685" s="279"/>
      <c r="R685" s="297"/>
      <c r="S685" s="298"/>
      <c r="T685" s="298"/>
      <c r="U685" s="299"/>
      <c r="V685" s="279"/>
      <c r="W685" s="279"/>
      <c r="X685" s="279"/>
      <c r="Y685" s="279"/>
      <c r="Z685" s="279"/>
      <c r="AA685" s="279"/>
      <c r="AB685" s="279"/>
      <c r="AC685" s="279"/>
      <c r="AD685" s="279"/>
      <c r="AE685" s="279"/>
      <c r="AF685" s="279"/>
      <c r="AG685" s="279"/>
      <c r="AH685" s="279"/>
      <c r="AI685" s="279"/>
      <c r="AJ685" s="279"/>
      <c r="AK685" s="279"/>
      <c r="AL685" s="279"/>
      <c r="AM685" s="279"/>
      <c r="AN685" s="279"/>
      <c r="AO685" s="279"/>
      <c r="AP685" s="279"/>
      <c r="AQ685" s="279"/>
      <c r="AR685" s="279"/>
      <c r="AS685" s="279"/>
      <c r="AT685" s="279"/>
      <c r="AU685" s="279"/>
      <c r="AV685" s="279"/>
      <c r="AW685" s="279"/>
      <c r="AX685" s="279"/>
      <c r="AY685" s="279"/>
      <c r="AZ685" s="279"/>
      <c r="BA685" s="279"/>
      <c r="BB685" s="279"/>
      <c r="BC685" s="279"/>
      <c r="BD685" s="279"/>
      <c r="BE685" s="279"/>
      <c r="BF685" s="279"/>
      <c r="BG685" s="279"/>
      <c r="BH685" s="279"/>
      <c r="BI685" s="279"/>
      <c r="BJ685" s="279"/>
      <c r="BK685" s="279"/>
      <c r="BL685" s="279"/>
      <c r="BM685" s="279"/>
      <c r="BN685" s="279"/>
      <c r="BO685" s="279"/>
      <c r="BP685" s="279"/>
      <c r="BQ685" s="279"/>
      <c r="BR685" s="279"/>
      <c r="BS685" s="279"/>
      <c r="BT685" s="279"/>
      <c r="BU685" s="279"/>
      <c r="BV685" s="279"/>
      <c r="BW685" s="279"/>
      <c r="BX685" s="279"/>
      <c r="BY685" s="279"/>
      <c r="BZ685" s="279"/>
      <c r="CA685" s="279"/>
      <c r="CB685" s="279"/>
      <c r="CC685" s="279"/>
      <c r="CD685" s="279"/>
      <c r="CE685" s="279"/>
      <c r="CF685" s="279"/>
      <c r="CG685" s="279"/>
      <c r="CH685" s="279"/>
      <c r="CI685" s="279"/>
      <c r="CJ685" s="279"/>
      <c r="CK685" s="279"/>
      <c r="CL685" s="279"/>
      <c r="CM685" s="279"/>
      <c r="CN685" s="382"/>
    </row>
    <row r="686" x14ac:dyDescent="0.3">
      <c r="B686" s="361"/>
      <c r="C686" s="279"/>
      <c r="D686" s="280"/>
      <c r="E686" s="287"/>
      <c r="F686" s="287"/>
      <c r="G686" s="287"/>
      <c r="H686" s="1292">
        <f t="shared" si="31"/>
        <v>19</v>
      </c>
      <c r="I686" s="1295" t="str">
        <f>IF('I. Stream &amp; Compound Data'!AC280&lt;&gt;"",'I. Stream &amp; Compound Data'!AC280,"")</f>
        <v/>
      </c>
      <c r="J686" s="1295" t="str">
        <f>IF('I. Stream &amp; Compound Data'!AD280&lt;&gt;"",'I. Stream &amp; Compound Data'!AD280,"")</f>
        <v/>
      </c>
      <c r="K686" s="1306" t="str">
        <f>IF(H686&gt;'I. Stream &amp; Compound Data'!$F$18,"",IF(I686="","N/A",ROUND(IF(I686&lt;=1,0,IF(AND(I686&gt;1,I686&lt;100),0.217*LN(I686)-0.001,1)),3)))</f>
        <v/>
      </c>
      <c r="L686" s="1242" t="str">
        <f>IF(H686&gt;'I. Stream &amp; Compound Data'!$F$18,"",IF(K686="N/A",IF(J686="","N/A",IF(J686&lt;=20,1,IF(AND(J686&gt;20,J686&lt;99.8),0.0002*J686^2-0.0313*J686+1.5553,0))),"N/A"))</f>
        <v/>
      </c>
      <c r="M686" s="1242" t="str">
        <f>IF(H686&gt;'I. Stream &amp; Compound Data'!$F$18,"",IF(I160="","N/A",IF(K686&lt;&gt;"N/A",K686,IF(L686&lt;&gt;"N/A",L686,"NO DATA AVAILABLE"))))</f>
        <v/>
      </c>
      <c r="N686" s="1242" t="str">
        <f>IF(H686&gt;'I. Stream &amp; Compound Data'!$F$18,"",IF(M686="N/A",0,IF(M686&gt;0,ROUND(10^(2*M686-2),3),0.01)))</f>
        <v/>
      </c>
      <c r="O686" s="1190" t="str">
        <f>'I. Stream &amp; Compound Data'!P280</f>
        <v/>
      </c>
      <c r="P686" s="1268" t="str">
        <f>IF(O686="","",IF('I. Stream &amp; Compound Data'!E50="H2O",0,O686*N686))</f>
        <v/>
      </c>
      <c r="Q686" s="279"/>
      <c r="R686" s="297"/>
      <c r="S686" s="298"/>
      <c r="T686" s="298"/>
      <c r="U686" s="299"/>
      <c r="V686" s="279"/>
      <c r="W686" s="279"/>
      <c r="X686" s="279"/>
      <c r="Y686" s="279"/>
      <c r="Z686" s="279"/>
      <c r="AA686" s="279"/>
      <c r="AB686" s="279"/>
      <c r="AC686" s="279"/>
      <c r="AD686" s="279"/>
      <c r="AE686" s="279"/>
      <c r="AF686" s="279"/>
      <c r="AG686" s="279"/>
      <c r="AH686" s="279"/>
      <c r="AI686" s="279"/>
      <c r="AJ686" s="279"/>
      <c r="AK686" s="279"/>
      <c r="AL686" s="279"/>
      <c r="AM686" s="279"/>
      <c r="AN686" s="279"/>
      <c r="AO686" s="279"/>
      <c r="AP686" s="279"/>
      <c r="AQ686" s="279"/>
      <c r="AR686" s="279"/>
      <c r="AS686" s="279"/>
      <c r="AT686" s="279"/>
      <c r="AU686" s="279"/>
      <c r="AV686" s="279"/>
      <c r="AW686" s="279"/>
      <c r="AX686" s="279"/>
      <c r="AY686" s="279"/>
      <c r="AZ686" s="279"/>
      <c r="BA686" s="279"/>
      <c r="BB686" s="279"/>
      <c r="BC686" s="279"/>
      <c r="BD686" s="279"/>
      <c r="BE686" s="279"/>
      <c r="BF686" s="279"/>
      <c r="BG686" s="279"/>
      <c r="BH686" s="279"/>
      <c r="BI686" s="279"/>
      <c r="BJ686" s="279"/>
      <c r="BK686" s="279"/>
      <c r="BL686" s="279"/>
      <c r="BM686" s="279"/>
      <c r="BN686" s="279"/>
      <c r="BO686" s="279"/>
      <c r="BP686" s="279"/>
      <c r="BQ686" s="279"/>
      <c r="BR686" s="279"/>
      <c r="BS686" s="279"/>
      <c r="BT686" s="279"/>
      <c r="BU686" s="279"/>
      <c r="BV686" s="279"/>
      <c r="BW686" s="279"/>
      <c r="BX686" s="279"/>
      <c r="BY686" s="279"/>
      <c r="BZ686" s="279"/>
      <c r="CA686" s="279"/>
      <c r="CB686" s="279"/>
      <c r="CC686" s="279"/>
      <c r="CD686" s="279"/>
      <c r="CE686" s="279"/>
      <c r="CF686" s="279"/>
      <c r="CG686" s="279"/>
      <c r="CH686" s="279"/>
      <c r="CI686" s="279"/>
      <c r="CJ686" s="279"/>
      <c r="CK686" s="279"/>
      <c r="CL686" s="279"/>
      <c r="CM686" s="279"/>
      <c r="CN686" s="382"/>
    </row>
    <row r="687" x14ac:dyDescent="0.3">
      <c r="B687" s="361"/>
      <c r="C687" s="279"/>
      <c r="D687" s="280"/>
      <c r="E687" s="287"/>
      <c r="F687" s="287"/>
      <c r="G687" s="287"/>
      <c r="H687" s="1292">
        <f t="shared" si="31"/>
        <v>20</v>
      </c>
      <c r="I687" s="1295" t="str">
        <f>IF('I. Stream &amp; Compound Data'!AC281&lt;&gt;"",'I. Stream &amp; Compound Data'!AC281,"")</f>
        <v/>
      </c>
      <c r="J687" s="1295" t="str">
        <f>IF('I. Stream &amp; Compound Data'!AD281&lt;&gt;"",'I. Stream &amp; Compound Data'!AD281,"")</f>
        <v/>
      </c>
      <c r="K687" s="1306" t="str">
        <f>IF(H687&gt;'I. Stream &amp; Compound Data'!$F$18,"",IF(I687="","N/A",ROUND(IF(I687&lt;=1,0,IF(AND(I687&gt;1,I687&lt;100),0.217*LN(I687)-0.001,1)),3)))</f>
        <v/>
      </c>
      <c r="L687" s="1242" t="str">
        <f>IF(H687&gt;'I. Stream &amp; Compound Data'!$F$18,"",IF(K687="N/A",IF(J687="","N/A",IF(J687&lt;=20,1,IF(AND(J687&gt;20,J687&lt;99.8),0.0002*J687^2-0.0313*J687+1.5553,0))),"N/A"))</f>
        <v/>
      </c>
      <c r="M687" s="1242" t="str">
        <f>IF(H687&gt;'I. Stream &amp; Compound Data'!$F$18,"",IF(I161="","N/A",IF(K687&lt;&gt;"N/A",K687,IF(L687&lt;&gt;"N/A",L687,"NO DATA AVAILABLE"))))</f>
        <v/>
      </c>
      <c r="N687" s="1242" t="str">
        <f>IF(H687&gt;'I. Stream &amp; Compound Data'!$F$18,"",IF(M687="N/A",0,IF(M687&gt;0,ROUND(10^(2*M687-2),3),0.01)))</f>
        <v/>
      </c>
      <c r="O687" s="1190" t="str">
        <f>'I. Stream &amp; Compound Data'!P281</f>
        <v/>
      </c>
      <c r="P687" s="1268" t="str">
        <f>IF(O687="","",IF('I. Stream &amp; Compound Data'!E51="H2O",0,O687*N687))</f>
        <v/>
      </c>
      <c r="Q687" s="279"/>
      <c r="R687" s="297"/>
      <c r="S687" s="298"/>
      <c r="T687" s="298"/>
      <c r="U687" s="299"/>
      <c r="V687" s="279"/>
      <c r="W687" s="279"/>
      <c r="X687" s="279"/>
      <c r="Y687" s="279"/>
      <c r="Z687" s="279"/>
      <c r="AA687" s="279"/>
      <c r="AB687" s="279"/>
      <c r="AC687" s="279"/>
      <c r="AD687" s="279"/>
      <c r="AE687" s="279"/>
      <c r="AF687" s="279"/>
      <c r="AG687" s="279"/>
      <c r="AH687" s="279"/>
      <c r="AI687" s="279"/>
      <c r="AJ687" s="279"/>
      <c r="AK687" s="279"/>
      <c r="AL687" s="279"/>
      <c r="AM687" s="279"/>
      <c r="AN687" s="279"/>
      <c r="AO687" s="279"/>
      <c r="AP687" s="279"/>
      <c r="AQ687" s="279"/>
      <c r="AR687" s="279"/>
      <c r="AS687" s="279"/>
      <c r="AT687" s="279"/>
      <c r="AU687" s="279"/>
      <c r="AV687" s="279"/>
      <c r="AW687" s="279"/>
      <c r="AX687" s="279"/>
      <c r="AY687" s="279"/>
      <c r="AZ687" s="279"/>
      <c r="BA687" s="279"/>
      <c r="BB687" s="279"/>
      <c r="BC687" s="279"/>
      <c r="BD687" s="279"/>
      <c r="BE687" s="279"/>
      <c r="BF687" s="279"/>
      <c r="BG687" s="279"/>
      <c r="BH687" s="279"/>
      <c r="BI687" s="279"/>
      <c r="BJ687" s="279"/>
      <c r="BK687" s="279"/>
      <c r="BL687" s="279"/>
      <c r="BM687" s="279"/>
      <c r="BN687" s="279"/>
      <c r="BO687" s="279"/>
      <c r="BP687" s="279"/>
      <c r="BQ687" s="279"/>
      <c r="BR687" s="279"/>
      <c r="BS687" s="279"/>
      <c r="BT687" s="279"/>
      <c r="BU687" s="279"/>
      <c r="BV687" s="279"/>
      <c r="BW687" s="279"/>
      <c r="BX687" s="279"/>
      <c r="BY687" s="279"/>
      <c r="BZ687" s="279"/>
      <c r="CA687" s="279"/>
      <c r="CB687" s="279"/>
      <c r="CC687" s="279"/>
      <c r="CD687" s="279"/>
      <c r="CE687" s="279"/>
      <c r="CF687" s="279"/>
      <c r="CG687" s="279"/>
      <c r="CH687" s="279"/>
      <c r="CI687" s="279"/>
      <c r="CJ687" s="279"/>
      <c r="CK687" s="279"/>
      <c r="CL687" s="279"/>
      <c r="CM687" s="279"/>
      <c r="CN687" s="382"/>
    </row>
    <row r="688" x14ac:dyDescent="0.3">
      <c r="B688" s="361"/>
      <c r="C688" s="279"/>
      <c r="D688" s="280"/>
      <c r="E688" s="287"/>
      <c r="F688" s="287"/>
      <c r="G688" s="287"/>
      <c r="H688" s="1292">
        <f t="shared" si="31"/>
        <v>21</v>
      </c>
      <c r="I688" s="1295" t="str">
        <f>IF('I. Stream &amp; Compound Data'!AC282&lt;&gt;"",'I. Stream &amp; Compound Data'!AC282,"")</f>
        <v/>
      </c>
      <c r="J688" s="1295" t="str">
        <f>IF('I. Stream &amp; Compound Data'!AD282&lt;&gt;"",'I. Stream &amp; Compound Data'!AD282,"")</f>
        <v/>
      </c>
      <c r="K688" s="1306" t="str">
        <f>IF(H688&gt;'I. Stream &amp; Compound Data'!$F$18,"",IF(I688="","N/A",ROUND(IF(I688&lt;=1,0,IF(AND(I688&gt;1,I688&lt;100),0.217*LN(I688)-0.001,1)),3)))</f>
        <v/>
      </c>
      <c r="L688" s="1242" t="str">
        <f>IF(H688&gt;'I. Stream &amp; Compound Data'!$F$18,"",IF(K688="N/A",IF(J688="","N/A",IF(J688&lt;=20,1,IF(AND(J688&gt;20,J688&lt;99.8),0.0002*J688^2-0.0313*J688+1.5553,0))),"N/A"))</f>
        <v/>
      </c>
      <c r="M688" s="1242" t="str">
        <f>IF(H688&gt;'I. Stream &amp; Compound Data'!$F$18,"",IF(I162="","N/A",IF(K688&lt;&gt;"N/A",K688,IF(L688&lt;&gt;"N/A",L688,"NO DATA AVAILABLE"))))</f>
        <v/>
      </c>
      <c r="N688" s="1242" t="str">
        <f>IF(H688&gt;'I. Stream &amp; Compound Data'!$F$18,"",IF(M688="N/A",0,IF(M688&gt;0,ROUND(10^(2*M688-2),3),0.01)))</f>
        <v/>
      </c>
      <c r="O688" s="1190" t="str">
        <f>'I. Stream &amp; Compound Data'!P282</f>
        <v/>
      </c>
      <c r="P688" s="1268" t="str">
        <f>IF(O688="","",IF('I. Stream &amp; Compound Data'!E52="H2O",0,O688*N688))</f>
        <v/>
      </c>
      <c r="Q688" s="279"/>
      <c r="R688" s="297"/>
      <c r="S688" s="298"/>
      <c r="T688" s="298"/>
      <c r="U688" s="299"/>
      <c r="V688" s="279"/>
      <c r="W688" s="279"/>
      <c r="X688" s="279"/>
      <c r="Y688" s="279"/>
      <c r="Z688" s="279"/>
      <c r="AA688" s="279"/>
      <c r="AB688" s="279"/>
      <c r="AC688" s="279"/>
      <c r="AD688" s="279"/>
      <c r="AE688" s="279"/>
      <c r="AF688" s="279"/>
      <c r="AG688" s="279"/>
      <c r="AH688" s="279"/>
      <c r="AI688" s="279"/>
      <c r="AJ688" s="279"/>
      <c r="AK688" s="279"/>
      <c r="AL688" s="279"/>
      <c r="AM688" s="279"/>
      <c r="AN688" s="279"/>
      <c r="AO688" s="279"/>
      <c r="AP688" s="279"/>
      <c r="AQ688" s="279"/>
      <c r="AR688" s="279"/>
      <c r="AS688" s="279"/>
      <c r="AT688" s="279"/>
      <c r="AU688" s="279"/>
      <c r="AV688" s="279"/>
      <c r="AW688" s="279"/>
      <c r="AX688" s="279"/>
      <c r="AY688" s="279"/>
      <c r="AZ688" s="279"/>
      <c r="BA688" s="279"/>
      <c r="BB688" s="279"/>
      <c r="BC688" s="279"/>
      <c r="BD688" s="279"/>
      <c r="BE688" s="279"/>
      <c r="BF688" s="279"/>
      <c r="BG688" s="279"/>
      <c r="BH688" s="279"/>
      <c r="BI688" s="279"/>
      <c r="BJ688" s="279"/>
      <c r="BK688" s="279"/>
      <c r="BL688" s="279"/>
      <c r="BM688" s="279"/>
      <c r="BN688" s="279"/>
      <c r="BO688" s="279"/>
      <c r="BP688" s="279"/>
      <c r="BQ688" s="279"/>
      <c r="BR688" s="279"/>
      <c r="BS688" s="279"/>
      <c r="BT688" s="279"/>
      <c r="BU688" s="279"/>
      <c r="BV688" s="279"/>
      <c r="BW688" s="279"/>
      <c r="BX688" s="279"/>
      <c r="BY688" s="279"/>
      <c r="BZ688" s="279"/>
      <c r="CA688" s="279"/>
      <c r="CB688" s="279"/>
      <c r="CC688" s="279"/>
      <c r="CD688" s="279"/>
      <c r="CE688" s="279"/>
      <c r="CF688" s="279"/>
      <c r="CG688" s="279"/>
      <c r="CH688" s="279"/>
      <c r="CI688" s="279"/>
      <c r="CJ688" s="279"/>
      <c r="CK688" s="279"/>
      <c r="CL688" s="279"/>
      <c r="CM688" s="279"/>
      <c r="CN688" s="382"/>
    </row>
    <row r="689" x14ac:dyDescent="0.3">
      <c r="B689" s="361"/>
      <c r="C689" s="279"/>
      <c r="D689" s="280"/>
      <c r="E689" s="287"/>
      <c r="F689" s="287"/>
      <c r="G689" s="287"/>
      <c r="H689" s="1292">
        <f t="shared" si="31"/>
        <v>22</v>
      </c>
      <c r="I689" s="1295" t="str">
        <f>IF('I. Stream &amp; Compound Data'!AC283&lt;&gt;"",'I. Stream &amp; Compound Data'!AC283,"")</f>
        <v/>
      </c>
      <c r="J689" s="1295" t="str">
        <f>IF('I. Stream &amp; Compound Data'!AD283&lt;&gt;"",'I. Stream &amp; Compound Data'!AD283,"")</f>
        <v/>
      </c>
      <c r="K689" s="1306" t="str">
        <f>IF(H689&gt;'I. Stream &amp; Compound Data'!$F$18,"",IF(I689="","N/A",ROUND(IF(I689&lt;=1,0,IF(AND(I689&gt;1,I689&lt;100),0.217*LN(I689)-0.001,1)),3)))</f>
        <v/>
      </c>
      <c r="L689" s="1242" t="str">
        <f>IF(H689&gt;'I. Stream &amp; Compound Data'!$F$18,"",IF(K689="N/A",IF(J689="","N/A",IF(J689&lt;=20,1,IF(AND(J689&gt;20,J689&lt;99.8),0.0002*J689^2-0.0313*J689+1.5553,0))),"N/A"))</f>
        <v/>
      </c>
      <c r="M689" s="1242" t="str">
        <f>IF(H689&gt;'I. Stream &amp; Compound Data'!$F$18,"",IF(I163="","N/A",IF(K689&lt;&gt;"N/A",K689,IF(L689&lt;&gt;"N/A",L689,"NO DATA AVAILABLE"))))</f>
        <v/>
      </c>
      <c r="N689" s="1242" t="str">
        <f>IF(H689&gt;'I. Stream &amp; Compound Data'!$F$18,"",IF(M689="N/A",0,IF(M689&gt;0,ROUND(10^(2*M689-2),3),0.01)))</f>
        <v/>
      </c>
      <c r="O689" s="1190" t="str">
        <f>'I. Stream &amp; Compound Data'!P283</f>
        <v/>
      </c>
      <c r="P689" s="1268" t="str">
        <f>IF(O689="","",IF('I. Stream &amp; Compound Data'!E53="H2O",0,O689*N689))</f>
        <v/>
      </c>
      <c r="Q689" s="279"/>
      <c r="R689" s="297"/>
      <c r="S689" s="298"/>
      <c r="T689" s="298"/>
      <c r="U689" s="299"/>
      <c r="V689" s="279"/>
      <c r="W689" s="279"/>
      <c r="X689" s="279"/>
      <c r="Y689" s="279"/>
      <c r="Z689" s="279"/>
      <c r="AA689" s="279"/>
      <c r="AB689" s="279"/>
      <c r="AC689" s="279"/>
      <c r="AD689" s="279"/>
      <c r="AE689" s="279"/>
      <c r="AF689" s="279"/>
      <c r="AG689" s="279"/>
      <c r="AH689" s="279"/>
      <c r="AI689" s="279"/>
      <c r="AJ689" s="279"/>
      <c r="AK689" s="279"/>
      <c r="AL689" s="279"/>
      <c r="AM689" s="279"/>
      <c r="AN689" s="279"/>
      <c r="AO689" s="279"/>
      <c r="AP689" s="279"/>
      <c r="AQ689" s="279"/>
      <c r="AR689" s="279"/>
      <c r="AS689" s="279"/>
      <c r="AT689" s="279"/>
      <c r="AU689" s="279"/>
      <c r="AV689" s="279"/>
      <c r="AW689" s="279"/>
      <c r="AX689" s="279"/>
      <c r="AY689" s="279"/>
      <c r="AZ689" s="279"/>
      <c r="BA689" s="279"/>
      <c r="BB689" s="279"/>
      <c r="BC689" s="279"/>
      <c r="BD689" s="279"/>
      <c r="BE689" s="279"/>
      <c r="BF689" s="279"/>
      <c r="BG689" s="279"/>
      <c r="BH689" s="279"/>
      <c r="BI689" s="279"/>
      <c r="BJ689" s="279"/>
      <c r="BK689" s="279"/>
      <c r="BL689" s="279"/>
      <c r="BM689" s="279"/>
      <c r="BN689" s="279"/>
      <c r="BO689" s="279"/>
      <c r="BP689" s="279"/>
      <c r="BQ689" s="279"/>
      <c r="BR689" s="279"/>
      <c r="BS689" s="279"/>
      <c r="BT689" s="279"/>
      <c r="BU689" s="279"/>
      <c r="BV689" s="279"/>
      <c r="BW689" s="279"/>
      <c r="BX689" s="279"/>
      <c r="BY689" s="279"/>
      <c r="BZ689" s="279"/>
      <c r="CA689" s="279"/>
      <c r="CB689" s="279"/>
      <c r="CC689" s="279"/>
      <c r="CD689" s="279"/>
      <c r="CE689" s="279"/>
      <c r="CF689" s="279"/>
      <c r="CG689" s="279"/>
      <c r="CH689" s="279"/>
      <c r="CI689" s="279"/>
      <c r="CJ689" s="279"/>
      <c r="CK689" s="279"/>
      <c r="CL689" s="279"/>
      <c r="CM689" s="279"/>
      <c r="CN689" s="382"/>
    </row>
    <row r="690" x14ac:dyDescent="0.3">
      <c r="B690" s="361"/>
      <c r="C690" s="279"/>
      <c r="D690" s="280"/>
      <c r="E690" s="287"/>
      <c r="F690" s="287"/>
      <c r="G690" s="287"/>
      <c r="H690" s="1292">
        <f t="shared" si="31"/>
        <v>23</v>
      </c>
      <c r="I690" s="1295" t="str">
        <f>IF('I. Stream &amp; Compound Data'!AC284&lt;&gt;"",'I. Stream &amp; Compound Data'!AC284,"")</f>
        <v/>
      </c>
      <c r="J690" s="1295" t="str">
        <f>IF('I. Stream &amp; Compound Data'!AD284&lt;&gt;"",'I. Stream &amp; Compound Data'!AD284,"")</f>
        <v/>
      </c>
      <c r="K690" s="1306" t="str">
        <f>IF(H690&gt;'I. Stream &amp; Compound Data'!$F$18,"",IF(I690="","N/A",ROUND(IF(I690&lt;=1,0,IF(AND(I690&gt;1,I690&lt;100),0.217*LN(I690)-0.001,1)),3)))</f>
        <v/>
      </c>
      <c r="L690" s="1242" t="str">
        <f>IF(H690&gt;'I. Stream &amp; Compound Data'!$F$18,"",IF(K690="N/A",IF(J690="","N/A",IF(J690&lt;=20,1,IF(AND(J690&gt;20,J690&lt;99.8),0.0002*J690^2-0.0313*J690+1.5553,0))),"N/A"))</f>
        <v/>
      </c>
      <c r="M690" s="1242" t="str">
        <f>IF(H690&gt;'I. Stream &amp; Compound Data'!$F$18,"",IF(I164="","N/A",IF(K690&lt;&gt;"N/A",K690,IF(L690&lt;&gt;"N/A",L690,"NO DATA AVAILABLE"))))</f>
        <v/>
      </c>
      <c r="N690" s="1242" t="str">
        <f>IF(H690&gt;'I. Stream &amp; Compound Data'!$F$18,"",IF(M690="N/A",0,IF(M690&gt;0,ROUND(10^(2*M690-2),3),0.01)))</f>
        <v/>
      </c>
      <c r="O690" s="1190" t="str">
        <f>'I. Stream &amp; Compound Data'!P284</f>
        <v/>
      </c>
      <c r="P690" s="1268" t="str">
        <f>IF(O690="","",IF('I. Stream &amp; Compound Data'!E54="H2O",0,O690*N690))</f>
        <v/>
      </c>
      <c r="Q690" s="279"/>
      <c r="R690" s="297"/>
      <c r="S690" s="298"/>
      <c r="T690" s="298"/>
      <c r="U690" s="299"/>
      <c r="V690" s="279"/>
      <c r="W690" s="279"/>
      <c r="X690" s="279"/>
      <c r="Y690" s="279"/>
      <c r="Z690" s="279"/>
      <c r="AA690" s="279"/>
      <c r="AB690" s="279"/>
      <c r="AC690" s="279"/>
      <c r="AD690" s="279"/>
      <c r="AE690" s="279"/>
      <c r="AF690" s="279"/>
      <c r="AG690" s="279"/>
      <c r="AH690" s="279"/>
      <c r="AI690" s="279"/>
      <c r="AJ690" s="279"/>
      <c r="AK690" s="279"/>
      <c r="AL690" s="279"/>
      <c r="AM690" s="279"/>
      <c r="AN690" s="279"/>
      <c r="AO690" s="279"/>
      <c r="AP690" s="279"/>
      <c r="AQ690" s="279"/>
      <c r="AR690" s="279"/>
      <c r="AS690" s="279"/>
      <c r="AT690" s="279"/>
      <c r="AU690" s="279"/>
      <c r="AV690" s="279"/>
      <c r="AW690" s="279"/>
      <c r="AX690" s="279"/>
      <c r="AY690" s="279"/>
      <c r="AZ690" s="279"/>
      <c r="BA690" s="279"/>
      <c r="BB690" s="279"/>
      <c r="BC690" s="279"/>
      <c r="BD690" s="279"/>
      <c r="BE690" s="279"/>
      <c r="BF690" s="279"/>
      <c r="BG690" s="279"/>
      <c r="BH690" s="279"/>
      <c r="BI690" s="279"/>
      <c r="BJ690" s="279"/>
      <c r="BK690" s="279"/>
      <c r="BL690" s="279"/>
      <c r="BM690" s="279"/>
      <c r="BN690" s="279"/>
      <c r="BO690" s="279"/>
      <c r="BP690" s="279"/>
      <c r="BQ690" s="279"/>
      <c r="BR690" s="279"/>
      <c r="BS690" s="279"/>
      <c r="BT690" s="279"/>
      <c r="BU690" s="279"/>
      <c r="BV690" s="279"/>
      <c r="BW690" s="279"/>
      <c r="BX690" s="279"/>
      <c r="BY690" s="279"/>
      <c r="BZ690" s="279"/>
      <c r="CA690" s="279"/>
      <c r="CB690" s="279"/>
      <c r="CC690" s="279"/>
      <c r="CD690" s="279"/>
      <c r="CE690" s="279"/>
      <c r="CF690" s="279"/>
      <c r="CG690" s="279"/>
      <c r="CH690" s="279"/>
      <c r="CI690" s="279"/>
      <c r="CJ690" s="279"/>
      <c r="CK690" s="279"/>
      <c r="CL690" s="279"/>
      <c r="CM690" s="279"/>
      <c r="CN690" s="382"/>
    </row>
    <row r="691" x14ac:dyDescent="0.3">
      <c r="B691" s="361"/>
      <c r="C691" s="279"/>
      <c r="D691" s="280"/>
      <c r="E691" s="287"/>
      <c r="F691" s="287"/>
      <c r="G691" s="287"/>
      <c r="H691" s="1292">
        <f t="shared" si="31"/>
        <v>24</v>
      </c>
      <c r="I691" s="1295" t="str">
        <f>IF('I. Stream &amp; Compound Data'!AC285&lt;&gt;"",'I. Stream &amp; Compound Data'!AC285,"")</f>
        <v/>
      </c>
      <c r="J691" s="1295" t="str">
        <f>IF('I. Stream &amp; Compound Data'!AD285&lt;&gt;"",'I. Stream &amp; Compound Data'!AD285,"")</f>
        <v/>
      </c>
      <c r="K691" s="1306" t="str">
        <f>IF(H691&gt;'I. Stream &amp; Compound Data'!$F$18,"",IF(I691="","N/A",ROUND(IF(I691&lt;=1,0,IF(AND(I691&gt;1,I691&lt;100),0.217*LN(I691)-0.001,1)),3)))</f>
        <v/>
      </c>
      <c r="L691" s="1242" t="str">
        <f>IF(H691&gt;'I. Stream &amp; Compound Data'!$F$18,"",IF(K691="N/A",IF(J691="","N/A",IF(J691&lt;=20,1,IF(AND(J691&gt;20,J691&lt;99.8),0.0002*J691^2-0.0313*J691+1.5553,0))),"N/A"))</f>
        <v/>
      </c>
      <c r="M691" s="1242" t="str">
        <f>IF(H691&gt;'I. Stream &amp; Compound Data'!$F$18,"",IF(I165="","N/A",IF(K691&lt;&gt;"N/A",K691,IF(L691&lt;&gt;"N/A",L691,"NO DATA AVAILABLE"))))</f>
        <v/>
      </c>
      <c r="N691" s="1242" t="str">
        <f>IF(H691&gt;'I. Stream &amp; Compound Data'!$F$18,"",IF(M691="N/A",0,IF(M691&gt;0,ROUND(10^(2*M691-2),3),0.01)))</f>
        <v/>
      </c>
      <c r="O691" s="1190" t="str">
        <f>'I. Stream &amp; Compound Data'!P285</f>
        <v/>
      </c>
      <c r="P691" s="1268" t="str">
        <f>IF(O691="","",IF('I. Stream &amp; Compound Data'!E55="H2O",0,O691*N691))</f>
        <v/>
      </c>
      <c r="Q691" s="279"/>
      <c r="R691" s="297"/>
      <c r="S691" s="298"/>
      <c r="T691" s="298"/>
      <c r="U691" s="299"/>
      <c r="V691" s="279"/>
      <c r="W691" s="279"/>
      <c r="X691" s="279"/>
      <c r="Y691" s="279"/>
      <c r="Z691" s="279"/>
      <c r="AA691" s="279"/>
      <c r="AB691" s="279"/>
      <c r="AC691" s="279"/>
      <c r="AD691" s="279"/>
      <c r="AE691" s="279"/>
      <c r="AF691" s="279"/>
      <c r="AG691" s="279"/>
      <c r="AH691" s="279"/>
      <c r="AI691" s="279"/>
      <c r="AJ691" s="279"/>
      <c r="AK691" s="279"/>
      <c r="AL691" s="279"/>
      <c r="AM691" s="279"/>
      <c r="AN691" s="279"/>
      <c r="AO691" s="279"/>
      <c r="AP691" s="279"/>
      <c r="AQ691" s="279"/>
      <c r="AR691" s="279"/>
      <c r="AS691" s="279"/>
      <c r="AT691" s="279"/>
      <c r="AU691" s="279"/>
      <c r="AV691" s="279"/>
      <c r="AW691" s="279"/>
      <c r="AX691" s="279"/>
      <c r="AY691" s="279"/>
      <c r="AZ691" s="279"/>
      <c r="BA691" s="279"/>
      <c r="BB691" s="279"/>
      <c r="BC691" s="279"/>
      <c r="BD691" s="279"/>
      <c r="BE691" s="279"/>
      <c r="BF691" s="279"/>
      <c r="BG691" s="279"/>
      <c r="BH691" s="279"/>
      <c r="BI691" s="279"/>
      <c r="BJ691" s="279"/>
      <c r="BK691" s="279"/>
      <c r="BL691" s="279"/>
      <c r="BM691" s="279"/>
      <c r="BN691" s="279"/>
      <c r="BO691" s="279"/>
      <c r="BP691" s="279"/>
      <c r="BQ691" s="279"/>
      <c r="BR691" s="279"/>
      <c r="BS691" s="279"/>
      <c r="BT691" s="279"/>
      <c r="BU691" s="279"/>
      <c r="BV691" s="279"/>
      <c r="BW691" s="279"/>
      <c r="BX691" s="279"/>
      <c r="BY691" s="279"/>
      <c r="BZ691" s="279"/>
      <c r="CA691" s="279"/>
      <c r="CB691" s="279"/>
      <c r="CC691" s="279"/>
      <c r="CD691" s="279"/>
      <c r="CE691" s="279"/>
      <c r="CF691" s="279"/>
      <c r="CG691" s="279"/>
      <c r="CH691" s="279"/>
      <c r="CI691" s="279"/>
      <c r="CJ691" s="279"/>
      <c r="CK691" s="279"/>
      <c r="CL691" s="279"/>
      <c r="CM691" s="279"/>
      <c r="CN691" s="382"/>
    </row>
    <row r="692" x14ac:dyDescent="0.3">
      <c r="B692" s="361"/>
      <c r="C692" s="279"/>
      <c r="D692" s="280"/>
      <c r="E692" s="287"/>
      <c r="F692" s="287"/>
      <c r="G692" s="287"/>
      <c r="H692" s="1292">
        <f t="shared" si="31"/>
        <v>25</v>
      </c>
      <c r="I692" s="1295" t="str">
        <f>IF('I. Stream &amp; Compound Data'!AC286&lt;&gt;"",'I. Stream &amp; Compound Data'!AC286,"")</f>
        <v/>
      </c>
      <c r="J692" s="1295" t="str">
        <f>IF('I. Stream &amp; Compound Data'!AD286&lt;&gt;"",'I. Stream &amp; Compound Data'!AD286,"")</f>
        <v/>
      </c>
      <c r="K692" s="1306" t="str">
        <f>IF(H692&gt;'I. Stream &amp; Compound Data'!$F$18,"",IF(I692="","N/A",ROUND(IF(I692&lt;=1,0,IF(AND(I692&gt;1,I692&lt;100),0.217*LN(I692)-0.001,1)),3)))</f>
        <v/>
      </c>
      <c r="L692" s="1242" t="str">
        <f>IF(H692&gt;'I. Stream &amp; Compound Data'!$F$18,"",IF(K692="N/A",IF(J692="","N/A",IF(J692&lt;=20,1,IF(AND(J692&gt;20,J692&lt;99.8),0.0002*J692^2-0.0313*J692+1.5553,0))),"N/A"))</f>
        <v/>
      </c>
      <c r="M692" s="1242" t="str">
        <f>IF(H692&gt;'I. Stream &amp; Compound Data'!$F$18,"",IF(I166="","N/A",IF(K692&lt;&gt;"N/A",K692,IF(L692&lt;&gt;"N/A",L692,"NO DATA AVAILABLE"))))</f>
        <v/>
      </c>
      <c r="N692" s="1242" t="str">
        <f>IF(H692&gt;'I. Stream &amp; Compound Data'!$F$18,"",IF(M692="N/A",0,IF(M692&gt;0,ROUND(10^(2*M692-2),3),0.01)))</f>
        <v/>
      </c>
      <c r="O692" s="1190" t="str">
        <f>'I. Stream &amp; Compound Data'!P286</f>
        <v/>
      </c>
      <c r="P692" s="1268" t="str">
        <f>IF(O692="","",IF('I. Stream &amp; Compound Data'!E56="H2O",0,O692*N692))</f>
        <v/>
      </c>
      <c r="Q692" s="279"/>
      <c r="R692" s="297"/>
      <c r="S692" s="298"/>
      <c r="T692" s="298"/>
      <c r="U692" s="299"/>
      <c r="V692" s="279"/>
      <c r="W692" s="279"/>
      <c r="X692" s="279"/>
      <c r="Y692" s="279"/>
      <c r="Z692" s="279"/>
      <c r="AA692" s="279"/>
      <c r="AB692" s="279"/>
      <c r="AC692" s="279"/>
      <c r="AD692" s="279"/>
      <c r="AE692" s="279"/>
      <c r="AF692" s="279"/>
      <c r="AG692" s="279"/>
      <c r="AH692" s="279"/>
      <c r="AI692" s="279"/>
      <c r="AJ692" s="279"/>
      <c r="AK692" s="279"/>
      <c r="AL692" s="279"/>
      <c r="AM692" s="279"/>
      <c r="AN692" s="279"/>
      <c r="AO692" s="279"/>
      <c r="AP692" s="279"/>
      <c r="AQ692" s="279"/>
      <c r="AR692" s="279"/>
      <c r="AS692" s="279"/>
      <c r="AT692" s="279"/>
      <c r="AU692" s="279"/>
      <c r="AV692" s="279"/>
      <c r="AW692" s="279"/>
      <c r="AX692" s="279"/>
      <c r="AY692" s="279"/>
      <c r="AZ692" s="279"/>
      <c r="BA692" s="279"/>
      <c r="BB692" s="279"/>
      <c r="BC692" s="279"/>
      <c r="BD692" s="279"/>
      <c r="BE692" s="279"/>
      <c r="BF692" s="279"/>
      <c r="BG692" s="279"/>
      <c r="BH692" s="279"/>
      <c r="BI692" s="279"/>
      <c r="BJ692" s="279"/>
      <c r="BK692" s="279"/>
      <c r="BL692" s="279"/>
      <c r="BM692" s="279"/>
      <c r="BN692" s="279"/>
      <c r="BO692" s="279"/>
      <c r="BP692" s="279"/>
      <c r="BQ692" s="279"/>
      <c r="BR692" s="279"/>
      <c r="BS692" s="279"/>
      <c r="BT692" s="279"/>
      <c r="BU692" s="279"/>
      <c r="BV692" s="279"/>
      <c r="BW692" s="279"/>
      <c r="BX692" s="279"/>
      <c r="BY692" s="279"/>
      <c r="BZ692" s="279"/>
      <c r="CA692" s="279"/>
      <c r="CB692" s="279"/>
      <c r="CC692" s="279"/>
      <c r="CD692" s="279"/>
      <c r="CE692" s="279"/>
      <c r="CF692" s="279"/>
      <c r="CG692" s="279"/>
      <c r="CH692" s="279"/>
      <c r="CI692" s="279"/>
      <c r="CJ692" s="279"/>
      <c r="CK692" s="279"/>
      <c r="CL692" s="279"/>
      <c r="CM692" s="279"/>
      <c r="CN692" s="382"/>
    </row>
    <row r="693" x14ac:dyDescent="0.3">
      <c r="B693" s="361"/>
      <c r="C693" s="279"/>
      <c r="D693" s="280"/>
      <c r="E693" s="287"/>
      <c r="F693" s="287"/>
      <c r="G693" s="287"/>
      <c r="H693" s="1292">
        <f t="shared" si="31"/>
        <v>26</v>
      </c>
      <c r="I693" s="1295" t="str">
        <f>IF('I. Stream &amp; Compound Data'!AC287&lt;&gt;"",'I. Stream &amp; Compound Data'!AC287,"")</f>
        <v/>
      </c>
      <c r="J693" s="1295" t="str">
        <f>IF('I. Stream &amp; Compound Data'!AD287&lt;&gt;"",'I. Stream &amp; Compound Data'!AD287,"")</f>
        <v/>
      </c>
      <c r="K693" s="1306" t="str">
        <f>IF(H693&gt;'I. Stream &amp; Compound Data'!$F$18,"",IF(I693="","N/A",ROUND(IF(I693&lt;=1,0,IF(AND(I693&gt;1,I693&lt;100),0.217*LN(I693)-0.001,1)),3)))</f>
        <v/>
      </c>
      <c r="L693" s="1242" t="str">
        <f>IF(H693&gt;'I. Stream &amp; Compound Data'!$F$18,"",IF(K693="N/A",IF(J693="","N/A",IF(J693&lt;=20,1,IF(AND(J693&gt;20,J693&lt;99.8),0.0002*J693^2-0.0313*J693+1.5553,0))),"N/A"))</f>
        <v/>
      </c>
      <c r="M693" s="1242" t="str">
        <f>IF(H693&gt;'I. Stream &amp; Compound Data'!$F$18,"",IF(I167="","N/A",IF(K693&lt;&gt;"N/A",K693,IF(L693&lt;&gt;"N/A",L693,"NO DATA AVAILABLE"))))</f>
        <v/>
      </c>
      <c r="N693" s="1242" t="str">
        <f>IF(H693&gt;'I. Stream &amp; Compound Data'!$F$18,"",IF(M693="N/A",0,IF(M693&gt;0,ROUND(10^(2*M693-2),3),0.01)))</f>
        <v/>
      </c>
      <c r="O693" s="1190" t="str">
        <f>'I. Stream &amp; Compound Data'!P287</f>
        <v/>
      </c>
      <c r="P693" s="1268" t="str">
        <f>IF(O693="","",IF('I. Stream &amp; Compound Data'!E57="H2O",0,O693*N693))</f>
        <v/>
      </c>
      <c r="Q693" s="279"/>
      <c r="R693" s="297"/>
      <c r="S693" s="298"/>
      <c r="T693" s="298"/>
      <c r="U693" s="299"/>
      <c r="V693" s="279"/>
      <c r="W693" s="279"/>
      <c r="X693" s="279"/>
      <c r="Y693" s="279"/>
      <c r="Z693" s="279"/>
      <c r="AA693" s="279"/>
      <c r="AB693" s="279"/>
      <c r="AC693" s="279"/>
      <c r="AD693" s="279"/>
      <c r="AE693" s="279"/>
      <c r="AF693" s="279"/>
      <c r="AG693" s="279"/>
      <c r="AH693" s="279"/>
      <c r="AI693" s="279"/>
      <c r="AJ693" s="279"/>
      <c r="AK693" s="279"/>
      <c r="AL693" s="279"/>
      <c r="AM693" s="279"/>
      <c r="AN693" s="279"/>
      <c r="AO693" s="279"/>
      <c r="AP693" s="279"/>
      <c r="AQ693" s="279"/>
      <c r="AR693" s="279"/>
      <c r="AS693" s="279"/>
      <c r="AT693" s="279"/>
      <c r="AU693" s="279"/>
      <c r="AV693" s="279"/>
      <c r="AW693" s="279"/>
      <c r="AX693" s="279"/>
      <c r="AY693" s="279"/>
      <c r="AZ693" s="279"/>
      <c r="BA693" s="279"/>
      <c r="BB693" s="279"/>
      <c r="BC693" s="279"/>
      <c r="BD693" s="279"/>
      <c r="BE693" s="279"/>
      <c r="BF693" s="279"/>
      <c r="BG693" s="279"/>
      <c r="BH693" s="279"/>
      <c r="BI693" s="279"/>
      <c r="BJ693" s="279"/>
      <c r="BK693" s="279"/>
      <c r="BL693" s="279"/>
      <c r="BM693" s="279"/>
      <c r="BN693" s="279"/>
      <c r="BO693" s="279"/>
      <c r="BP693" s="279"/>
      <c r="BQ693" s="279"/>
      <c r="BR693" s="279"/>
      <c r="BS693" s="279"/>
      <c r="BT693" s="279"/>
      <c r="BU693" s="279"/>
      <c r="BV693" s="279"/>
      <c r="BW693" s="279"/>
      <c r="BX693" s="279"/>
      <c r="BY693" s="279"/>
      <c r="BZ693" s="279"/>
      <c r="CA693" s="279"/>
      <c r="CB693" s="279"/>
      <c r="CC693" s="279"/>
      <c r="CD693" s="279"/>
      <c r="CE693" s="279"/>
      <c r="CF693" s="279"/>
      <c r="CG693" s="279"/>
      <c r="CH693" s="279"/>
      <c r="CI693" s="279"/>
      <c r="CJ693" s="279"/>
      <c r="CK693" s="279"/>
      <c r="CL693" s="279"/>
      <c r="CM693" s="279"/>
      <c r="CN693" s="382"/>
    </row>
    <row r="694" x14ac:dyDescent="0.3">
      <c r="B694" s="361"/>
      <c r="C694" s="279"/>
      <c r="D694" s="280"/>
      <c r="E694" s="287"/>
      <c r="F694" s="287"/>
      <c r="G694" s="287"/>
      <c r="H694" s="1292">
        <f t="shared" si="31"/>
        <v>27</v>
      </c>
      <c r="I694" s="1295" t="str">
        <f>IF('I. Stream &amp; Compound Data'!AC288&lt;&gt;"",'I. Stream &amp; Compound Data'!AC288,"")</f>
        <v/>
      </c>
      <c r="J694" s="1295" t="str">
        <f>IF('I. Stream &amp; Compound Data'!AD288&lt;&gt;"",'I. Stream &amp; Compound Data'!AD288,"")</f>
        <v/>
      </c>
      <c r="K694" s="1306" t="str">
        <f>IF(H694&gt;'I. Stream &amp; Compound Data'!$F$18,"",IF(I694="","N/A",ROUND(IF(I694&lt;=1,0,IF(AND(I694&gt;1,I694&lt;100),0.217*LN(I694)-0.001,1)),3)))</f>
        <v/>
      </c>
      <c r="L694" s="1242" t="str">
        <f>IF(H694&gt;'I. Stream &amp; Compound Data'!$F$18,"",IF(K694="N/A",IF(J694="","N/A",IF(J694&lt;=20,1,IF(AND(J694&gt;20,J694&lt;99.8),0.0002*J694^2-0.0313*J694+1.5553,0))),"N/A"))</f>
        <v/>
      </c>
      <c r="M694" s="1242" t="str">
        <f>IF(H694&gt;'I. Stream &amp; Compound Data'!$F$18,"",IF(I168="","N/A",IF(K694&lt;&gt;"N/A",K694,IF(L694&lt;&gt;"N/A",L694,"NO DATA AVAILABLE"))))</f>
        <v/>
      </c>
      <c r="N694" s="1242" t="str">
        <f>IF(H694&gt;'I. Stream &amp; Compound Data'!$F$18,"",IF(M694="N/A",0,IF(M694&gt;0,ROUND(10^(2*M694-2),3),0.01)))</f>
        <v/>
      </c>
      <c r="O694" s="1190" t="str">
        <f>'I. Stream &amp; Compound Data'!P288</f>
        <v/>
      </c>
      <c r="P694" s="1268" t="str">
        <f>IF(O694="","",IF('I. Stream &amp; Compound Data'!E58="H2O",0,O694*N694))</f>
        <v/>
      </c>
      <c r="Q694" s="279"/>
      <c r="R694" s="297"/>
      <c r="S694" s="298"/>
      <c r="T694" s="298"/>
      <c r="U694" s="299"/>
      <c r="V694" s="279"/>
      <c r="W694" s="279"/>
      <c r="X694" s="279"/>
      <c r="Y694" s="279"/>
      <c r="Z694" s="279"/>
      <c r="AA694" s="279"/>
      <c r="AB694" s="279"/>
      <c r="AC694" s="279"/>
      <c r="AD694" s="279"/>
      <c r="AE694" s="279"/>
      <c r="AF694" s="279"/>
      <c r="AG694" s="279"/>
      <c r="AH694" s="279"/>
      <c r="AI694" s="279"/>
      <c r="AJ694" s="279"/>
      <c r="AK694" s="279"/>
      <c r="AL694" s="279"/>
      <c r="AM694" s="279"/>
      <c r="AN694" s="279"/>
      <c r="AO694" s="279"/>
      <c r="AP694" s="279"/>
      <c r="AQ694" s="279"/>
      <c r="AR694" s="279"/>
      <c r="AS694" s="279"/>
      <c r="AT694" s="279"/>
      <c r="AU694" s="279"/>
      <c r="AV694" s="279"/>
      <c r="AW694" s="279"/>
      <c r="AX694" s="279"/>
      <c r="AY694" s="279"/>
      <c r="AZ694" s="279"/>
      <c r="BA694" s="279"/>
      <c r="BB694" s="279"/>
      <c r="BC694" s="279"/>
      <c r="BD694" s="279"/>
      <c r="BE694" s="279"/>
      <c r="BF694" s="279"/>
      <c r="BG694" s="279"/>
      <c r="BH694" s="279"/>
      <c r="BI694" s="279"/>
      <c r="BJ694" s="279"/>
      <c r="BK694" s="279"/>
      <c r="BL694" s="279"/>
      <c r="BM694" s="279"/>
      <c r="BN694" s="279"/>
      <c r="BO694" s="279"/>
      <c r="BP694" s="279"/>
      <c r="BQ694" s="279"/>
      <c r="BR694" s="279"/>
      <c r="BS694" s="279"/>
      <c r="BT694" s="279"/>
      <c r="BU694" s="279"/>
      <c r="BV694" s="279"/>
      <c r="BW694" s="279"/>
      <c r="BX694" s="279"/>
      <c r="BY694" s="279"/>
      <c r="BZ694" s="279"/>
      <c r="CA694" s="279"/>
      <c r="CB694" s="279"/>
      <c r="CC694" s="279"/>
      <c r="CD694" s="279"/>
      <c r="CE694" s="279"/>
      <c r="CF694" s="279"/>
      <c r="CG694" s="279"/>
      <c r="CH694" s="279"/>
      <c r="CI694" s="279"/>
      <c r="CJ694" s="279"/>
      <c r="CK694" s="279"/>
      <c r="CL694" s="279"/>
      <c r="CM694" s="279"/>
      <c r="CN694" s="382"/>
    </row>
    <row r="695" x14ac:dyDescent="0.3">
      <c r="B695" s="361"/>
      <c r="C695" s="279"/>
      <c r="D695" s="280"/>
      <c r="E695" s="287"/>
      <c r="F695" s="287"/>
      <c r="G695" s="287"/>
      <c r="H695" s="1292">
        <f t="shared" si="31"/>
        <v>28</v>
      </c>
      <c r="I695" s="1295" t="str">
        <f>IF('I. Stream &amp; Compound Data'!AC289&lt;&gt;"",'I. Stream &amp; Compound Data'!AC289,"")</f>
        <v/>
      </c>
      <c r="J695" s="1295" t="str">
        <f>IF('I. Stream &amp; Compound Data'!AD289&lt;&gt;"",'I. Stream &amp; Compound Data'!AD289,"")</f>
        <v/>
      </c>
      <c r="K695" s="1306" t="str">
        <f>IF(H695&gt;'I. Stream &amp; Compound Data'!$F$18,"",IF(I695="","N/A",ROUND(IF(I695&lt;=1,0,IF(AND(I695&gt;1,I695&lt;100),0.217*LN(I695)-0.001,1)),3)))</f>
        <v/>
      </c>
      <c r="L695" s="1242" t="str">
        <f>IF(H695&gt;'I. Stream &amp; Compound Data'!$F$18,"",IF(K695="N/A",IF(J695="","N/A",IF(J695&lt;=20,1,IF(AND(J695&gt;20,J695&lt;99.8),0.0002*J695^2-0.0313*J695+1.5553,0))),"N/A"))</f>
        <v/>
      </c>
      <c r="M695" s="1242" t="str">
        <f>IF(H695&gt;'I. Stream &amp; Compound Data'!$F$18,"",IF(I169="","N/A",IF(K695&lt;&gt;"N/A",K695,IF(L695&lt;&gt;"N/A",L695,"NO DATA AVAILABLE"))))</f>
        <v/>
      </c>
      <c r="N695" s="1242" t="str">
        <f>IF(H695&gt;'I. Stream &amp; Compound Data'!$F$18,"",IF(M695="N/A",0,IF(M695&gt;0,ROUND(10^(2*M695-2),3),0.01)))</f>
        <v/>
      </c>
      <c r="O695" s="1190" t="str">
        <f>'I. Stream &amp; Compound Data'!P289</f>
        <v/>
      </c>
      <c r="P695" s="1268" t="str">
        <f>IF(O695="","",IF('I. Stream &amp; Compound Data'!E59="H2O",0,O695*N695))</f>
        <v/>
      </c>
      <c r="Q695" s="279"/>
      <c r="R695" s="297"/>
      <c r="S695" s="298"/>
      <c r="T695" s="298"/>
      <c r="U695" s="299"/>
      <c r="V695" s="279"/>
      <c r="W695" s="279"/>
      <c r="X695" s="279"/>
      <c r="Y695" s="279"/>
      <c r="Z695" s="279"/>
      <c r="AA695" s="279"/>
      <c r="AB695" s="279"/>
      <c r="AC695" s="279"/>
      <c r="AD695" s="279"/>
      <c r="AE695" s="279"/>
      <c r="AF695" s="279"/>
      <c r="AG695" s="279"/>
      <c r="AH695" s="279"/>
      <c r="AI695" s="279"/>
      <c r="AJ695" s="279"/>
      <c r="AK695" s="279"/>
      <c r="AL695" s="279"/>
      <c r="AM695" s="279"/>
      <c r="AN695" s="279"/>
      <c r="AO695" s="279"/>
      <c r="AP695" s="279"/>
      <c r="AQ695" s="279"/>
      <c r="AR695" s="279"/>
      <c r="AS695" s="279"/>
      <c r="AT695" s="279"/>
      <c r="AU695" s="279"/>
      <c r="AV695" s="279"/>
      <c r="AW695" s="279"/>
      <c r="AX695" s="279"/>
      <c r="AY695" s="279"/>
      <c r="AZ695" s="279"/>
      <c r="BA695" s="279"/>
      <c r="BB695" s="279"/>
      <c r="BC695" s="279"/>
      <c r="BD695" s="279"/>
      <c r="BE695" s="279"/>
      <c r="BF695" s="279"/>
      <c r="BG695" s="279"/>
      <c r="BH695" s="279"/>
      <c r="BI695" s="279"/>
      <c r="BJ695" s="279"/>
      <c r="BK695" s="279"/>
      <c r="BL695" s="279"/>
      <c r="BM695" s="279"/>
      <c r="BN695" s="279"/>
      <c r="BO695" s="279"/>
      <c r="BP695" s="279"/>
      <c r="BQ695" s="279"/>
      <c r="BR695" s="279"/>
      <c r="BS695" s="279"/>
      <c r="BT695" s="279"/>
      <c r="BU695" s="279"/>
      <c r="BV695" s="279"/>
      <c r="BW695" s="279"/>
      <c r="BX695" s="279"/>
      <c r="BY695" s="279"/>
      <c r="BZ695" s="279"/>
      <c r="CA695" s="279"/>
      <c r="CB695" s="279"/>
      <c r="CC695" s="279"/>
      <c r="CD695" s="279"/>
      <c r="CE695" s="279"/>
      <c r="CF695" s="279"/>
      <c r="CG695" s="279"/>
      <c r="CH695" s="279"/>
      <c r="CI695" s="279"/>
      <c r="CJ695" s="279"/>
      <c r="CK695" s="279"/>
      <c r="CL695" s="279"/>
      <c r="CM695" s="279"/>
      <c r="CN695" s="382"/>
    </row>
    <row r="696" x14ac:dyDescent="0.3">
      <c r="B696" s="361"/>
      <c r="C696" s="279"/>
      <c r="D696" s="280"/>
      <c r="E696" s="287"/>
      <c r="F696" s="287"/>
      <c r="G696" s="287"/>
      <c r="H696" s="1292">
        <f t="shared" si="31"/>
        <v>29</v>
      </c>
      <c r="I696" s="1295" t="str">
        <f>IF('I. Stream &amp; Compound Data'!AC290&lt;&gt;"",'I. Stream &amp; Compound Data'!AC290,"")</f>
        <v/>
      </c>
      <c r="J696" s="1295" t="str">
        <f>IF('I. Stream &amp; Compound Data'!AD290&lt;&gt;"",'I. Stream &amp; Compound Data'!AD290,"")</f>
        <v/>
      </c>
      <c r="K696" s="1306" t="str">
        <f>IF(H696&gt;'I. Stream &amp; Compound Data'!$F$18,"",IF(I696="","N/A",ROUND(IF(I696&lt;=1,0,IF(AND(I696&gt;1,I696&lt;100),0.217*LN(I696)-0.001,1)),3)))</f>
        <v/>
      </c>
      <c r="L696" s="1242" t="str">
        <f>IF(H696&gt;'I. Stream &amp; Compound Data'!$F$18,"",IF(K696="N/A",IF(J696="","N/A",IF(J696&lt;=20,1,IF(AND(J696&gt;20,J696&lt;99.8),0.0002*J696^2-0.0313*J696+1.5553,0))),"N/A"))</f>
        <v/>
      </c>
      <c r="M696" s="1242" t="str">
        <f>IF(H696&gt;'I. Stream &amp; Compound Data'!$F$18,"",IF(I170="","N/A",IF(K696&lt;&gt;"N/A",K696,IF(L696&lt;&gt;"N/A",L696,"NO DATA AVAILABLE"))))</f>
        <v/>
      </c>
      <c r="N696" s="1242" t="str">
        <f>IF(H696&gt;'I. Stream &amp; Compound Data'!$F$18,"",IF(M696="N/A",0,IF(M696&gt;0,ROUND(10^(2*M696-2),3),0.01)))</f>
        <v/>
      </c>
      <c r="O696" s="1190" t="str">
        <f>'I. Stream &amp; Compound Data'!P290</f>
        <v/>
      </c>
      <c r="P696" s="1268" t="str">
        <f>IF(O696="","",IF('I. Stream &amp; Compound Data'!E60="H2O",0,O696*N696))</f>
        <v/>
      </c>
      <c r="Q696" s="279"/>
      <c r="R696" s="297"/>
      <c r="S696" s="298"/>
      <c r="T696" s="298"/>
      <c r="U696" s="299"/>
      <c r="V696" s="279"/>
      <c r="W696" s="279"/>
      <c r="X696" s="279"/>
      <c r="Y696" s="279"/>
      <c r="Z696" s="279"/>
      <c r="AA696" s="279"/>
      <c r="AB696" s="279"/>
      <c r="AC696" s="279"/>
      <c r="AD696" s="279"/>
      <c r="AE696" s="279"/>
      <c r="AF696" s="279"/>
      <c r="AG696" s="279"/>
      <c r="AH696" s="279"/>
      <c r="AI696" s="279"/>
      <c r="AJ696" s="279"/>
      <c r="AK696" s="279"/>
      <c r="AL696" s="279"/>
      <c r="AM696" s="279"/>
      <c r="AN696" s="279"/>
      <c r="AO696" s="279"/>
      <c r="AP696" s="279"/>
      <c r="AQ696" s="279"/>
      <c r="AR696" s="279"/>
      <c r="AS696" s="279"/>
      <c r="AT696" s="279"/>
      <c r="AU696" s="279"/>
      <c r="AV696" s="279"/>
      <c r="AW696" s="279"/>
      <c r="AX696" s="279"/>
      <c r="AY696" s="279"/>
      <c r="AZ696" s="279"/>
      <c r="BA696" s="279"/>
      <c r="BB696" s="279"/>
      <c r="BC696" s="279"/>
      <c r="BD696" s="279"/>
      <c r="BE696" s="279"/>
      <c r="BF696" s="279"/>
      <c r="BG696" s="279"/>
      <c r="BH696" s="279"/>
      <c r="BI696" s="279"/>
      <c r="BJ696" s="279"/>
      <c r="BK696" s="279"/>
      <c r="BL696" s="279"/>
      <c r="BM696" s="279"/>
      <c r="BN696" s="279"/>
      <c r="BO696" s="279"/>
      <c r="BP696" s="279"/>
      <c r="BQ696" s="279"/>
      <c r="BR696" s="279"/>
      <c r="BS696" s="279"/>
      <c r="BT696" s="279"/>
      <c r="BU696" s="279"/>
      <c r="BV696" s="279"/>
      <c r="BW696" s="279"/>
      <c r="BX696" s="279"/>
      <c r="BY696" s="279"/>
      <c r="BZ696" s="279"/>
      <c r="CA696" s="279"/>
      <c r="CB696" s="279"/>
      <c r="CC696" s="279"/>
      <c r="CD696" s="279"/>
      <c r="CE696" s="279"/>
      <c r="CF696" s="279"/>
      <c r="CG696" s="279"/>
      <c r="CH696" s="279"/>
      <c r="CI696" s="279"/>
      <c r="CJ696" s="279"/>
      <c r="CK696" s="279"/>
      <c r="CL696" s="279"/>
      <c r="CM696" s="279"/>
      <c r="CN696" s="382"/>
    </row>
    <row r="697" x14ac:dyDescent="0.3">
      <c r="B697" s="361"/>
      <c r="C697" s="279"/>
      <c r="D697" s="280"/>
      <c r="E697" s="287"/>
      <c r="F697" s="287"/>
      <c r="G697" s="287"/>
      <c r="H697" s="1292">
        <f t="shared" si="31"/>
        <v>30</v>
      </c>
      <c r="I697" s="1295" t="str">
        <f>IF('I. Stream &amp; Compound Data'!AC291&lt;&gt;"",'I. Stream &amp; Compound Data'!AC291,"")</f>
        <v/>
      </c>
      <c r="J697" s="1295" t="str">
        <f>IF('I. Stream &amp; Compound Data'!AD291&lt;&gt;"",'I. Stream &amp; Compound Data'!AD291,"")</f>
        <v/>
      </c>
      <c r="K697" s="1306" t="str">
        <f>IF(H697&gt;'I. Stream &amp; Compound Data'!$F$18,"",IF(I697="","N/A",ROUND(IF(I697&lt;=1,0,IF(AND(I697&gt;1,I697&lt;100),0.217*LN(I697)-0.001,1)),3)))</f>
        <v/>
      </c>
      <c r="L697" s="1242" t="str">
        <f>IF(H697&gt;'I. Stream &amp; Compound Data'!$F$18,"",IF(K697="N/A",IF(J697="","N/A",IF(J697&lt;=20,1,IF(AND(J697&gt;20,J697&lt;99.8),0.0002*J697^2-0.0313*J697+1.5553,0))),"N/A"))</f>
        <v/>
      </c>
      <c r="M697" s="1242" t="str">
        <f>IF(H697&gt;'I. Stream &amp; Compound Data'!$F$18,"",IF(I171="","N/A",IF(K697&lt;&gt;"N/A",K697,IF(L697&lt;&gt;"N/A",L697,"NO DATA AVAILABLE"))))</f>
        <v/>
      </c>
      <c r="N697" s="1242" t="str">
        <f>IF(H697&gt;'I. Stream &amp; Compound Data'!$F$18,"",IF(M697="N/A",0,IF(M697&gt;0,ROUND(10^(2*M697-2),3),0.01)))</f>
        <v/>
      </c>
      <c r="O697" s="1190" t="str">
        <f>'I. Stream &amp; Compound Data'!P291</f>
        <v/>
      </c>
      <c r="P697" s="1268" t="str">
        <f>IF(O697="","",IF('I. Stream &amp; Compound Data'!E61="H2O",0,O697*N697))</f>
        <v/>
      </c>
      <c r="Q697" s="279"/>
      <c r="R697" s="297"/>
      <c r="S697" s="298"/>
      <c r="T697" s="298"/>
      <c r="U697" s="299"/>
      <c r="V697" s="279"/>
      <c r="W697" s="279"/>
      <c r="X697" s="279"/>
      <c r="Y697" s="279"/>
      <c r="Z697" s="279"/>
      <c r="AA697" s="279"/>
      <c r="AB697" s="279"/>
      <c r="AC697" s="279"/>
      <c r="AD697" s="279"/>
      <c r="AE697" s="279"/>
      <c r="AF697" s="279"/>
      <c r="AG697" s="279"/>
      <c r="AH697" s="279"/>
      <c r="AI697" s="279"/>
      <c r="AJ697" s="279"/>
      <c r="AK697" s="279"/>
      <c r="AL697" s="279"/>
      <c r="AM697" s="279"/>
      <c r="AN697" s="279"/>
      <c r="AO697" s="279"/>
      <c r="AP697" s="279"/>
      <c r="AQ697" s="279"/>
      <c r="AR697" s="279"/>
      <c r="AS697" s="279"/>
      <c r="AT697" s="279"/>
      <c r="AU697" s="279"/>
      <c r="AV697" s="279"/>
      <c r="AW697" s="279"/>
      <c r="AX697" s="279"/>
      <c r="AY697" s="279"/>
      <c r="AZ697" s="279"/>
      <c r="BA697" s="279"/>
      <c r="BB697" s="279"/>
      <c r="BC697" s="279"/>
      <c r="BD697" s="279"/>
      <c r="BE697" s="279"/>
      <c r="BF697" s="279"/>
      <c r="BG697" s="279"/>
      <c r="BH697" s="279"/>
      <c r="BI697" s="279"/>
      <c r="BJ697" s="279"/>
      <c r="BK697" s="279"/>
      <c r="BL697" s="279"/>
      <c r="BM697" s="279"/>
      <c r="BN697" s="279"/>
      <c r="BO697" s="279"/>
      <c r="BP697" s="279"/>
      <c r="BQ697" s="279"/>
      <c r="BR697" s="279"/>
      <c r="BS697" s="279"/>
      <c r="BT697" s="279"/>
      <c r="BU697" s="279"/>
      <c r="BV697" s="279"/>
      <c r="BW697" s="279"/>
      <c r="BX697" s="279"/>
      <c r="BY697" s="279"/>
      <c r="BZ697" s="279"/>
      <c r="CA697" s="279"/>
      <c r="CB697" s="279"/>
      <c r="CC697" s="279"/>
      <c r="CD697" s="279"/>
      <c r="CE697" s="279"/>
      <c r="CF697" s="279"/>
      <c r="CG697" s="279"/>
      <c r="CH697" s="279"/>
      <c r="CI697" s="279"/>
      <c r="CJ697" s="279"/>
      <c r="CK697" s="279"/>
      <c r="CL697" s="279"/>
      <c r="CM697" s="279"/>
      <c r="CN697" s="382"/>
    </row>
    <row r="698" x14ac:dyDescent="0.3">
      <c r="B698" s="361"/>
      <c r="C698" s="279"/>
      <c r="D698" s="280"/>
      <c r="E698" s="287"/>
      <c r="F698" s="287"/>
      <c r="G698" s="287"/>
      <c r="H698" s="1292">
        <f t="shared" si="31"/>
        <v>31</v>
      </c>
      <c r="I698" s="1295" t="str">
        <f>IF('I. Stream &amp; Compound Data'!AC292&lt;&gt;"",'I. Stream &amp; Compound Data'!AC292,"")</f>
        <v/>
      </c>
      <c r="J698" s="1295" t="str">
        <f>IF('I. Stream &amp; Compound Data'!AD292&lt;&gt;"",'I. Stream &amp; Compound Data'!AD292,"")</f>
        <v/>
      </c>
      <c r="K698" s="1306" t="str">
        <f>IF(H698&gt;'I. Stream &amp; Compound Data'!$F$18,"",IF(I698="","N/A",ROUND(IF(I698&lt;=1,0,IF(AND(I698&gt;1,I698&lt;100),0.217*LN(I698)-0.001,1)),3)))</f>
        <v/>
      </c>
      <c r="L698" s="1242" t="str">
        <f>IF(H698&gt;'I. Stream &amp; Compound Data'!$F$18,"",IF(K698="N/A",IF(J698="","N/A",IF(J698&lt;=20,1,IF(AND(J698&gt;20,J698&lt;99.8),0.0002*J698^2-0.0313*J698+1.5553,0))),"N/A"))</f>
        <v/>
      </c>
      <c r="M698" s="1242" t="str">
        <f>IF(H698&gt;'I. Stream &amp; Compound Data'!$F$18,"",IF(I172="","N/A",IF(K698&lt;&gt;"N/A",K698,IF(L698&lt;&gt;"N/A",L698,"NO DATA AVAILABLE"))))</f>
        <v/>
      </c>
      <c r="N698" s="1242" t="str">
        <f>IF(H698&gt;'I. Stream &amp; Compound Data'!$F$18,"",IF(M698="N/A",0,IF(M698&gt;0,ROUND(10^(2*M698-2),3),0.01)))</f>
        <v/>
      </c>
      <c r="O698" s="1190" t="str">
        <f>'I. Stream &amp; Compound Data'!P292</f>
        <v/>
      </c>
      <c r="P698" s="1268" t="str">
        <f>IF(O698="","",IF('I. Stream &amp; Compound Data'!E62="H2O",0,O698*N698))</f>
        <v/>
      </c>
      <c r="Q698" s="279"/>
      <c r="R698" s="297"/>
      <c r="S698" s="298"/>
      <c r="T698" s="298"/>
      <c r="U698" s="299"/>
      <c r="V698" s="279"/>
      <c r="W698" s="279"/>
      <c r="X698" s="279"/>
      <c r="Y698" s="279"/>
      <c r="Z698" s="279"/>
      <c r="AA698" s="279"/>
      <c r="AB698" s="279"/>
      <c r="AC698" s="279"/>
      <c r="AD698" s="279"/>
      <c r="AE698" s="279"/>
      <c r="AF698" s="279"/>
      <c r="AG698" s="279"/>
      <c r="AH698" s="279"/>
      <c r="AI698" s="279"/>
      <c r="AJ698" s="279"/>
      <c r="AK698" s="279"/>
      <c r="AL698" s="279"/>
      <c r="AM698" s="279"/>
      <c r="AN698" s="279"/>
      <c r="AO698" s="279"/>
      <c r="AP698" s="279"/>
      <c r="AQ698" s="279"/>
      <c r="AR698" s="279"/>
      <c r="AS698" s="279"/>
      <c r="AT698" s="279"/>
      <c r="AU698" s="279"/>
      <c r="AV698" s="279"/>
      <c r="AW698" s="279"/>
      <c r="AX698" s="279"/>
      <c r="AY698" s="279"/>
      <c r="AZ698" s="279"/>
      <c r="BA698" s="279"/>
      <c r="BB698" s="279"/>
      <c r="BC698" s="279"/>
      <c r="BD698" s="279"/>
      <c r="BE698" s="279"/>
      <c r="BF698" s="279"/>
      <c r="BG698" s="279"/>
      <c r="BH698" s="279"/>
      <c r="BI698" s="279"/>
      <c r="BJ698" s="279"/>
      <c r="BK698" s="279"/>
      <c r="BL698" s="279"/>
      <c r="BM698" s="279"/>
      <c r="BN698" s="279"/>
      <c r="BO698" s="279"/>
      <c r="BP698" s="279"/>
      <c r="BQ698" s="279"/>
      <c r="BR698" s="279"/>
      <c r="BS698" s="279"/>
      <c r="BT698" s="279"/>
      <c r="BU698" s="279"/>
      <c r="BV698" s="279"/>
      <c r="BW698" s="279"/>
      <c r="BX698" s="279"/>
      <c r="BY698" s="279"/>
      <c r="BZ698" s="279"/>
      <c r="CA698" s="279"/>
      <c r="CB698" s="279"/>
      <c r="CC698" s="279"/>
      <c r="CD698" s="279"/>
      <c r="CE698" s="279"/>
      <c r="CF698" s="279"/>
      <c r="CG698" s="279"/>
      <c r="CH698" s="279"/>
      <c r="CI698" s="279"/>
      <c r="CJ698" s="279"/>
      <c r="CK698" s="279"/>
      <c r="CL698" s="279"/>
      <c r="CM698" s="279"/>
      <c r="CN698" s="382"/>
    </row>
    <row r="699" x14ac:dyDescent="0.3">
      <c r="B699" s="361"/>
      <c r="C699" s="279"/>
      <c r="D699" s="280"/>
      <c r="E699" s="287"/>
      <c r="F699" s="287"/>
      <c r="G699" s="287"/>
      <c r="H699" s="1292">
        <f t="shared" si="31"/>
        <v>32</v>
      </c>
      <c r="I699" s="1295" t="str">
        <f>IF('I. Stream &amp; Compound Data'!AC293&lt;&gt;"",'I. Stream &amp; Compound Data'!AC293,"")</f>
        <v/>
      </c>
      <c r="J699" s="1295" t="str">
        <f>IF('I. Stream &amp; Compound Data'!AD293&lt;&gt;"",'I. Stream &amp; Compound Data'!AD293,"")</f>
        <v/>
      </c>
      <c r="K699" s="1306" t="str">
        <f>IF(H699&gt;'I. Stream &amp; Compound Data'!$F$18,"",IF(I699="","N/A",ROUND(IF(I699&lt;=1,0,IF(AND(I699&gt;1,I699&lt;100),0.217*LN(I699)-0.001,1)),3)))</f>
        <v/>
      </c>
      <c r="L699" s="1242" t="str">
        <f>IF(H699&gt;'I. Stream &amp; Compound Data'!$F$18,"",IF(K699="N/A",IF(J699="","N/A",IF(J699&lt;=20,1,IF(AND(J699&gt;20,J699&lt;99.8),0.0002*J699^2-0.0313*J699+1.5553,0))),"N/A"))</f>
        <v/>
      </c>
      <c r="M699" s="1242" t="str">
        <f>IF(H699&gt;'I. Stream &amp; Compound Data'!$F$18,"",IF(I173="","N/A",IF(K699&lt;&gt;"N/A",K699,IF(L699&lt;&gt;"N/A",L699,"NO DATA AVAILABLE"))))</f>
        <v/>
      </c>
      <c r="N699" s="1242" t="str">
        <f>IF(H699&gt;'I. Stream &amp; Compound Data'!$F$18,"",IF(M699="N/A",0,IF(M699&gt;0,ROUND(10^(2*M699-2),3),0.01)))</f>
        <v/>
      </c>
      <c r="O699" s="1190" t="str">
        <f>'I. Stream &amp; Compound Data'!P293</f>
        <v/>
      </c>
      <c r="P699" s="1268" t="str">
        <f>IF(O699="","",IF('I. Stream &amp; Compound Data'!E63="H2O",0,O699*N699))</f>
        <v/>
      </c>
      <c r="Q699" s="279"/>
      <c r="R699" s="297"/>
      <c r="S699" s="298"/>
      <c r="T699" s="298"/>
      <c r="U699" s="299"/>
      <c r="V699" s="279"/>
      <c r="W699" s="279"/>
      <c r="X699" s="279"/>
      <c r="Y699" s="279"/>
      <c r="Z699" s="279"/>
      <c r="AA699" s="279"/>
      <c r="AB699" s="279"/>
      <c r="AC699" s="279"/>
      <c r="AD699" s="279"/>
      <c r="AE699" s="279"/>
      <c r="AF699" s="279"/>
      <c r="AG699" s="279"/>
      <c r="AH699" s="279"/>
      <c r="AI699" s="279"/>
      <c r="AJ699" s="279"/>
      <c r="AK699" s="279"/>
      <c r="AL699" s="279"/>
      <c r="AM699" s="279"/>
      <c r="AN699" s="279"/>
      <c r="AO699" s="279"/>
      <c r="AP699" s="279"/>
      <c r="AQ699" s="279"/>
      <c r="AR699" s="279"/>
      <c r="AS699" s="279"/>
      <c r="AT699" s="279"/>
      <c r="AU699" s="279"/>
      <c r="AV699" s="279"/>
      <c r="AW699" s="279"/>
      <c r="AX699" s="279"/>
      <c r="AY699" s="279"/>
      <c r="AZ699" s="279"/>
      <c r="BA699" s="279"/>
      <c r="BB699" s="279"/>
      <c r="BC699" s="279"/>
      <c r="BD699" s="279"/>
      <c r="BE699" s="279"/>
      <c r="BF699" s="279"/>
      <c r="BG699" s="279"/>
      <c r="BH699" s="279"/>
      <c r="BI699" s="279"/>
      <c r="BJ699" s="279"/>
      <c r="BK699" s="279"/>
      <c r="BL699" s="279"/>
      <c r="BM699" s="279"/>
      <c r="BN699" s="279"/>
      <c r="BO699" s="279"/>
      <c r="BP699" s="279"/>
      <c r="BQ699" s="279"/>
      <c r="BR699" s="279"/>
      <c r="BS699" s="279"/>
      <c r="BT699" s="279"/>
      <c r="BU699" s="279"/>
      <c r="BV699" s="279"/>
      <c r="BW699" s="279"/>
      <c r="BX699" s="279"/>
      <c r="BY699" s="279"/>
      <c r="BZ699" s="279"/>
      <c r="CA699" s="279"/>
      <c r="CB699" s="279"/>
      <c r="CC699" s="279"/>
      <c r="CD699" s="279"/>
      <c r="CE699" s="279"/>
      <c r="CF699" s="279"/>
      <c r="CG699" s="279"/>
      <c r="CH699" s="279"/>
      <c r="CI699" s="279"/>
      <c r="CJ699" s="279"/>
      <c r="CK699" s="279"/>
      <c r="CL699" s="279"/>
      <c r="CM699" s="279"/>
      <c r="CN699" s="382"/>
    </row>
    <row r="700" x14ac:dyDescent="0.3">
      <c r="B700" s="361"/>
      <c r="C700" s="279"/>
      <c r="D700" s="280"/>
      <c r="E700" s="287"/>
      <c r="F700" s="287"/>
      <c r="G700" s="287"/>
      <c r="H700" s="1292">
        <f t="shared" si="31"/>
        <v>33</v>
      </c>
      <c r="I700" s="1295" t="str">
        <f>IF('I. Stream &amp; Compound Data'!AC294&lt;&gt;"",'I. Stream &amp; Compound Data'!AC294,"")</f>
        <v/>
      </c>
      <c r="J700" s="1295" t="str">
        <f>IF('I. Stream &amp; Compound Data'!AD294&lt;&gt;"",'I. Stream &amp; Compound Data'!AD294,"")</f>
        <v/>
      </c>
      <c r="K700" s="1306" t="str">
        <f>IF(H700&gt;'I. Stream &amp; Compound Data'!$F$18,"",IF(I700="","N/A",ROUND(IF(I700&lt;=1,0,IF(AND(I700&gt;1,I700&lt;100),0.217*LN(I700)-0.001,1)),3)))</f>
        <v/>
      </c>
      <c r="L700" s="1242" t="str">
        <f>IF(H700&gt;'I. Stream &amp; Compound Data'!$F$18,"",IF(K700="N/A",IF(J700="","N/A",IF(J700&lt;=20,1,IF(AND(J700&gt;20,J700&lt;99.8),0.0002*J700^2-0.0313*J700+1.5553,0))),"N/A"))</f>
        <v/>
      </c>
      <c r="M700" s="1242" t="str">
        <f>IF(H700&gt;'I. Stream &amp; Compound Data'!$F$18,"",IF(I174="","N/A",IF(K700&lt;&gt;"N/A",K700,IF(L700&lt;&gt;"N/A",L700,"NO DATA AVAILABLE"))))</f>
        <v/>
      </c>
      <c r="N700" s="1242" t="str">
        <f>IF(H700&gt;'I. Stream &amp; Compound Data'!$F$18,"",IF(M700="N/A",0,IF(M700&gt;0,ROUND(10^(2*M700-2),3),0.01)))</f>
        <v/>
      </c>
      <c r="O700" s="1190" t="str">
        <f>'I. Stream &amp; Compound Data'!P294</f>
        <v/>
      </c>
      <c r="P700" s="1268" t="str">
        <f>IF(O700="","",IF('I. Stream &amp; Compound Data'!E64="H2O",0,O700*N700))</f>
        <v/>
      </c>
      <c r="Q700" s="279"/>
      <c r="R700" s="297"/>
      <c r="S700" s="298"/>
      <c r="T700" s="298"/>
      <c r="U700" s="299"/>
      <c r="V700" s="279"/>
      <c r="W700" s="279"/>
      <c r="X700" s="279"/>
      <c r="Y700" s="279"/>
      <c r="Z700" s="279"/>
      <c r="AA700" s="279"/>
      <c r="AB700" s="279"/>
      <c r="AC700" s="279"/>
      <c r="AD700" s="279"/>
      <c r="AE700" s="279"/>
      <c r="AF700" s="279"/>
      <c r="AG700" s="279"/>
      <c r="AH700" s="279"/>
      <c r="AI700" s="279"/>
      <c r="AJ700" s="279"/>
      <c r="AK700" s="279"/>
      <c r="AL700" s="279"/>
      <c r="AM700" s="279"/>
      <c r="AN700" s="279"/>
      <c r="AO700" s="279"/>
      <c r="AP700" s="279"/>
      <c r="AQ700" s="279"/>
      <c r="AR700" s="279"/>
      <c r="AS700" s="279"/>
      <c r="AT700" s="279"/>
      <c r="AU700" s="279"/>
      <c r="AV700" s="279"/>
      <c r="AW700" s="279"/>
      <c r="AX700" s="279"/>
      <c r="AY700" s="279"/>
      <c r="AZ700" s="279"/>
      <c r="BA700" s="279"/>
      <c r="BB700" s="279"/>
      <c r="BC700" s="279"/>
      <c r="BD700" s="279"/>
      <c r="BE700" s="279"/>
      <c r="BF700" s="279"/>
      <c r="BG700" s="279"/>
      <c r="BH700" s="279"/>
      <c r="BI700" s="279"/>
      <c r="BJ700" s="279"/>
      <c r="BK700" s="279"/>
      <c r="BL700" s="279"/>
      <c r="BM700" s="279"/>
      <c r="BN700" s="279"/>
      <c r="BO700" s="279"/>
      <c r="BP700" s="279"/>
      <c r="BQ700" s="279"/>
      <c r="BR700" s="279"/>
      <c r="BS700" s="279"/>
      <c r="BT700" s="279"/>
      <c r="BU700" s="279"/>
      <c r="BV700" s="279"/>
      <c r="BW700" s="279"/>
      <c r="BX700" s="279"/>
      <c r="BY700" s="279"/>
      <c r="BZ700" s="279"/>
      <c r="CA700" s="279"/>
      <c r="CB700" s="279"/>
      <c r="CC700" s="279"/>
      <c r="CD700" s="279"/>
      <c r="CE700" s="279"/>
      <c r="CF700" s="279"/>
      <c r="CG700" s="279"/>
      <c r="CH700" s="279"/>
      <c r="CI700" s="279"/>
      <c r="CJ700" s="279"/>
      <c r="CK700" s="279"/>
      <c r="CL700" s="279"/>
      <c r="CM700" s="279"/>
      <c r="CN700" s="382"/>
    </row>
    <row r="701" x14ac:dyDescent="0.3">
      <c r="B701" s="361"/>
      <c r="C701" s="279"/>
      <c r="D701" s="280"/>
      <c r="E701" s="287"/>
      <c r="F701" s="287"/>
      <c r="G701" s="287"/>
      <c r="H701" s="1292">
        <f t="shared" si="31"/>
        <v>34</v>
      </c>
      <c r="I701" s="1295" t="str">
        <f>IF('I. Stream &amp; Compound Data'!AC295&lt;&gt;"",'I. Stream &amp; Compound Data'!AC295,"")</f>
        <v/>
      </c>
      <c r="J701" s="1295" t="str">
        <f>IF('I. Stream &amp; Compound Data'!AD295&lt;&gt;"",'I. Stream &amp; Compound Data'!AD295,"")</f>
        <v/>
      </c>
      <c r="K701" s="1306" t="str">
        <f>IF(H701&gt;'I. Stream &amp; Compound Data'!$F$18,"",IF(I701="","N/A",ROUND(IF(I701&lt;=1,0,IF(AND(I701&gt;1,I701&lt;100),0.217*LN(I701)-0.001,1)),3)))</f>
        <v/>
      </c>
      <c r="L701" s="1242" t="str">
        <f>IF(H701&gt;'I. Stream &amp; Compound Data'!$F$18,"",IF(K701="N/A",IF(J701="","N/A",IF(J701&lt;=20,1,IF(AND(J701&gt;20,J701&lt;99.8),0.0002*J701^2-0.0313*J701+1.5553,0))),"N/A"))</f>
        <v/>
      </c>
      <c r="M701" s="1242" t="str">
        <f>IF(H701&gt;'I. Stream &amp; Compound Data'!$F$18,"",IF(I175="","N/A",IF(K701&lt;&gt;"N/A",K701,IF(L701&lt;&gt;"N/A",L701,"NO DATA AVAILABLE"))))</f>
        <v/>
      </c>
      <c r="N701" s="1242" t="str">
        <f>IF(H701&gt;'I. Stream &amp; Compound Data'!$F$18,"",IF(M701="N/A",0,IF(M701&gt;0,ROUND(10^(2*M701-2),3),0.01)))</f>
        <v/>
      </c>
      <c r="O701" s="1190" t="str">
        <f>'I. Stream &amp; Compound Data'!P295</f>
        <v/>
      </c>
      <c r="P701" s="1268" t="str">
        <f>IF(O701="","",IF('I. Stream &amp; Compound Data'!E65="H2O",0,O701*N701))</f>
        <v/>
      </c>
      <c r="Q701" s="279"/>
      <c r="R701" s="297"/>
      <c r="S701" s="298"/>
      <c r="T701" s="298"/>
      <c r="U701" s="299"/>
      <c r="V701" s="279"/>
      <c r="W701" s="279"/>
      <c r="X701" s="279"/>
      <c r="Y701" s="279"/>
      <c r="Z701" s="279"/>
      <c r="AA701" s="279"/>
      <c r="AB701" s="279"/>
      <c r="AC701" s="279"/>
      <c r="AD701" s="279"/>
      <c r="AE701" s="279"/>
      <c r="AF701" s="279"/>
      <c r="AG701" s="279"/>
      <c r="AH701" s="279"/>
      <c r="AI701" s="279"/>
      <c r="AJ701" s="279"/>
      <c r="AK701" s="279"/>
      <c r="AL701" s="279"/>
      <c r="AM701" s="279"/>
      <c r="AN701" s="279"/>
      <c r="AO701" s="279"/>
      <c r="AP701" s="279"/>
      <c r="AQ701" s="279"/>
      <c r="AR701" s="279"/>
      <c r="AS701" s="279"/>
      <c r="AT701" s="279"/>
      <c r="AU701" s="279"/>
      <c r="AV701" s="279"/>
      <c r="AW701" s="279"/>
      <c r="AX701" s="279"/>
      <c r="AY701" s="279"/>
      <c r="AZ701" s="279"/>
      <c r="BA701" s="279"/>
      <c r="BB701" s="279"/>
      <c r="BC701" s="279"/>
      <c r="BD701" s="279"/>
      <c r="BE701" s="279"/>
      <c r="BF701" s="279"/>
      <c r="BG701" s="279"/>
      <c r="BH701" s="279"/>
      <c r="BI701" s="279"/>
      <c r="BJ701" s="279"/>
      <c r="BK701" s="279"/>
      <c r="BL701" s="279"/>
      <c r="BM701" s="279"/>
      <c r="BN701" s="279"/>
      <c r="BO701" s="279"/>
      <c r="BP701" s="279"/>
      <c r="BQ701" s="279"/>
      <c r="BR701" s="279"/>
      <c r="BS701" s="279"/>
      <c r="BT701" s="279"/>
      <c r="BU701" s="279"/>
      <c r="BV701" s="279"/>
      <c r="BW701" s="279"/>
      <c r="BX701" s="279"/>
      <c r="BY701" s="279"/>
      <c r="BZ701" s="279"/>
      <c r="CA701" s="279"/>
      <c r="CB701" s="279"/>
      <c r="CC701" s="279"/>
      <c r="CD701" s="279"/>
      <c r="CE701" s="279"/>
      <c r="CF701" s="279"/>
      <c r="CG701" s="279"/>
      <c r="CH701" s="279"/>
      <c r="CI701" s="279"/>
      <c r="CJ701" s="279"/>
      <c r="CK701" s="279"/>
      <c r="CL701" s="279"/>
      <c r="CM701" s="279"/>
      <c r="CN701" s="382"/>
    </row>
    <row r="702" x14ac:dyDescent="0.3">
      <c r="B702" s="361"/>
      <c r="C702" s="279"/>
      <c r="D702" s="280"/>
      <c r="E702" s="287"/>
      <c r="F702" s="287"/>
      <c r="G702" s="287"/>
      <c r="H702" s="1292">
        <f t="shared" si="31"/>
        <v>35</v>
      </c>
      <c r="I702" s="1295" t="str">
        <f>IF('I. Stream &amp; Compound Data'!AC296&lt;&gt;"",'I. Stream &amp; Compound Data'!AC296,"")</f>
        <v/>
      </c>
      <c r="J702" s="1295" t="str">
        <f>IF('I. Stream &amp; Compound Data'!AD296&lt;&gt;"",'I. Stream &amp; Compound Data'!AD296,"")</f>
        <v/>
      </c>
      <c r="K702" s="1306" t="str">
        <f>IF(H702&gt;'I. Stream &amp; Compound Data'!$F$18,"",IF(I702="","N/A",ROUND(IF(I702&lt;=1,0,IF(AND(I702&gt;1,I702&lt;100),0.217*LN(I702)-0.001,1)),3)))</f>
        <v/>
      </c>
      <c r="L702" s="1242" t="str">
        <f>IF(H702&gt;'I. Stream &amp; Compound Data'!$F$18,"",IF(K702="N/A",IF(J702="","N/A",IF(J702&lt;=20,1,IF(AND(J702&gt;20,J702&lt;99.8),0.0002*J702^2-0.0313*J702+1.5553,0))),"N/A"))</f>
        <v/>
      </c>
      <c r="M702" s="1242" t="str">
        <f>IF(H702&gt;'I. Stream &amp; Compound Data'!$F$18,"",IF(I176="","N/A",IF(K702&lt;&gt;"N/A",K702,IF(L702&lt;&gt;"N/A",L702,"NO DATA AVAILABLE"))))</f>
        <v/>
      </c>
      <c r="N702" s="1242" t="str">
        <f>IF(H702&gt;'I. Stream &amp; Compound Data'!$F$18,"",IF(M702="N/A",0,IF(M702&gt;0,ROUND(10^(2*M702-2),3),0.01)))</f>
        <v/>
      </c>
      <c r="O702" s="1190" t="str">
        <f>'I. Stream &amp; Compound Data'!P296</f>
        <v/>
      </c>
      <c r="P702" s="1268" t="str">
        <f>IF(O702="","",IF('I. Stream &amp; Compound Data'!E66="H2O",0,O702*N702))</f>
        <v/>
      </c>
      <c r="Q702" s="279"/>
      <c r="R702" s="297"/>
      <c r="S702" s="298"/>
      <c r="T702" s="298"/>
      <c r="U702" s="299"/>
      <c r="V702" s="279"/>
      <c r="W702" s="279"/>
      <c r="X702" s="279"/>
      <c r="Y702" s="279"/>
      <c r="Z702" s="279"/>
      <c r="AA702" s="279"/>
      <c r="AB702" s="279"/>
      <c r="AC702" s="279"/>
      <c r="AD702" s="279"/>
      <c r="AE702" s="279"/>
      <c r="AF702" s="279"/>
      <c r="AG702" s="279"/>
      <c r="AH702" s="279"/>
      <c r="AI702" s="279"/>
      <c r="AJ702" s="279"/>
      <c r="AK702" s="279"/>
      <c r="AL702" s="279"/>
      <c r="AM702" s="279"/>
      <c r="AN702" s="279"/>
      <c r="AO702" s="279"/>
      <c r="AP702" s="279"/>
      <c r="AQ702" s="279"/>
      <c r="AR702" s="279"/>
      <c r="AS702" s="279"/>
      <c r="AT702" s="279"/>
      <c r="AU702" s="279"/>
      <c r="AV702" s="279"/>
      <c r="AW702" s="279"/>
      <c r="AX702" s="279"/>
      <c r="AY702" s="279"/>
      <c r="AZ702" s="279"/>
      <c r="BA702" s="279"/>
      <c r="BB702" s="279"/>
      <c r="BC702" s="279"/>
      <c r="BD702" s="279"/>
      <c r="BE702" s="279"/>
      <c r="BF702" s="279"/>
      <c r="BG702" s="279"/>
      <c r="BH702" s="279"/>
      <c r="BI702" s="279"/>
      <c r="BJ702" s="279"/>
      <c r="BK702" s="279"/>
      <c r="BL702" s="279"/>
      <c r="BM702" s="279"/>
      <c r="BN702" s="279"/>
      <c r="BO702" s="279"/>
      <c r="BP702" s="279"/>
      <c r="BQ702" s="279"/>
      <c r="BR702" s="279"/>
      <c r="BS702" s="279"/>
      <c r="BT702" s="279"/>
      <c r="BU702" s="279"/>
      <c r="BV702" s="279"/>
      <c r="BW702" s="279"/>
      <c r="BX702" s="279"/>
      <c r="BY702" s="279"/>
      <c r="BZ702" s="279"/>
      <c r="CA702" s="279"/>
      <c r="CB702" s="279"/>
      <c r="CC702" s="279"/>
      <c r="CD702" s="279"/>
      <c r="CE702" s="279"/>
      <c r="CF702" s="279"/>
      <c r="CG702" s="279"/>
      <c r="CH702" s="279"/>
      <c r="CI702" s="279"/>
      <c r="CJ702" s="279"/>
      <c r="CK702" s="279"/>
      <c r="CL702" s="279"/>
      <c r="CM702" s="279"/>
      <c r="CN702" s="382"/>
    </row>
    <row r="703" x14ac:dyDescent="0.3">
      <c r="B703" s="361"/>
      <c r="C703" s="279"/>
      <c r="D703" s="280"/>
      <c r="E703" s="287"/>
      <c r="F703" s="287"/>
      <c r="G703" s="287"/>
      <c r="H703" s="1292">
        <f t="shared" si="31"/>
        <v>36</v>
      </c>
      <c r="I703" s="1295" t="str">
        <f>IF('I. Stream &amp; Compound Data'!AC297&lt;&gt;"",'I. Stream &amp; Compound Data'!AC297,"")</f>
        <v/>
      </c>
      <c r="J703" s="1295" t="str">
        <f>IF('I. Stream &amp; Compound Data'!AD297&lt;&gt;"",'I. Stream &amp; Compound Data'!AD297,"")</f>
        <v/>
      </c>
      <c r="K703" s="1306" t="str">
        <f>IF(H703&gt;'I. Stream &amp; Compound Data'!$F$18,"",IF(I703="","N/A",ROUND(IF(I703&lt;=1,0,IF(AND(I703&gt;1,I703&lt;100),0.217*LN(I703)-0.001,1)),3)))</f>
        <v/>
      </c>
      <c r="L703" s="1242" t="str">
        <f>IF(H703&gt;'I. Stream &amp; Compound Data'!$F$18,"",IF(K703="N/A",IF(J703="","N/A",IF(J703&lt;=20,1,IF(AND(J703&gt;20,J703&lt;99.8),0.0002*J703^2-0.0313*J703+1.5553,0))),"N/A"))</f>
        <v/>
      </c>
      <c r="M703" s="1242" t="str">
        <f>IF(H703&gt;'I. Stream &amp; Compound Data'!$F$18,"",IF(I177="","N/A",IF(K703&lt;&gt;"N/A",K703,IF(L703&lt;&gt;"N/A",L703,"NO DATA AVAILABLE"))))</f>
        <v/>
      </c>
      <c r="N703" s="1242" t="str">
        <f>IF(H703&gt;'I. Stream &amp; Compound Data'!$F$18,"",IF(M703="N/A",0,IF(M703&gt;0,ROUND(10^(2*M703-2),3),0.01)))</f>
        <v/>
      </c>
      <c r="O703" s="1190" t="str">
        <f>'I. Stream &amp; Compound Data'!P297</f>
        <v/>
      </c>
      <c r="P703" s="1268" t="str">
        <f>IF(O703="","",IF('I. Stream &amp; Compound Data'!E67="H2O",0,O703*N703))</f>
        <v/>
      </c>
      <c r="Q703" s="279"/>
      <c r="R703" s="297"/>
      <c r="S703" s="298"/>
      <c r="T703" s="298"/>
      <c r="U703" s="299"/>
      <c r="V703" s="279"/>
      <c r="W703" s="279"/>
      <c r="X703" s="279"/>
      <c r="Y703" s="279"/>
      <c r="Z703" s="279"/>
      <c r="AA703" s="279"/>
      <c r="AB703" s="279"/>
      <c r="AC703" s="279"/>
      <c r="AD703" s="279"/>
      <c r="AE703" s="279"/>
      <c r="AF703" s="279"/>
      <c r="AG703" s="279"/>
      <c r="AH703" s="279"/>
      <c r="AI703" s="279"/>
      <c r="AJ703" s="279"/>
      <c r="AK703" s="279"/>
      <c r="AL703" s="279"/>
      <c r="AM703" s="279"/>
      <c r="AN703" s="279"/>
      <c r="AO703" s="279"/>
      <c r="AP703" s="279"/>
      <c r="AQ703" s="279"/>
      <c r="AR703" s="279"/>
      <c r="AS703" s="279"/>
      <c r="AT703" s="279"/>
      <c r="AU703" s="279"/>
      <c r="AV703" s="279"/>
      <c r="AW703" s="279"/>
      <c r="AX703" s="279"/>
      <c r="AY703" s="279"/>
      <c r="AZ703" s="279"/>
      <c r="BA703" s="279"/>
      <c r="BB703" s="279"/>
      <c r="BC703" s="279"/>
      <c r="BD703" s="279"/>
      <c r="BE703" s="279"/>
      <c r="BF703" s="279"/>
      <c r="BG703" s="279"/>
      <c r="BH703" s="279"/>
      <c r="BI703" s="279"/>
      <c r="BJ703" s="279"/>
      <c r="BK703" s="279"/>
      <c r="BL703" s="279"/>
      <c r="BM703" s="279"/>
      <c r="BN703" s="279"/>
      <c r="BO703" s="279"/>
      <c r="BP703" s="279"/>
      <c r="BQ703" s="279"/>
      <c r="BR703" s="279"/>
      <c r="BS703" s="279"/>
      <c r="BT703" s="279"/>
      <c r="BU703" s="279"/>
      <c r="BV703" s="279"/>
      <c r="BW703" s="279"/>
      <c r="BX703" s="279"/>
      <c r="BY703" s="279"/>
      <c r="BZ703" s="279"/>
      <c r="CA703" s="279"/>
      <c r="CB703" s="279"/>
      <c r="CC703" s="279"/>
      <c r="CD703" s="279"/>
      <c r="CE703" s="279"/>
      <c r="CF703" s="279"/>
      <c r="CG703" s="279"/>
      <c r="CH703" s="279"/>
      <c r="CI703" s="279"/>
      <c r="CJ703" s="279"/>
      <c r="CK703" s="279"/>
      <c r="CL703" s="279"/>
      <c r="CM703" s="279"/>
      <c r="CN703" s="382"/>
    </row>
    <row r="704" x14ac:dyDescent="0.3">
      <c r="B704" s="361"/>
      <c r="C704" s="279"/>
      <c r="D704" s="280"/>
      <c r="E704" s="287"/>
      <c r="F704" s="287"/>
      <c r="G704" s="287"/>
      <c r="H704" s="1292">
        <f t="shared" si="31"/>
        <v>37</v>
      </c>
      <c r="I704" s="1295" t="str">
        <f>IF('I. Stream &amp; Compound Data'!AC298&lt;&gt;"",'I. Stream &amp; Compound Data'!AC298,"")</f>
        <v/>
      </c>
      <c r="J704" s="1295" t="str">
        <f>IF('I. Stream &amp; Compound Data'!AD298&lt;&gt;"",'I. Stream &amp; Compound Data'!AD298,"")</f>
        <v/>
      </c>
      <c r="K704" s="1306" t="str">
        <f>IF(H704&gt;'I. Stream &amp; Compound Data'!$F$18,"",IF(I704="","N/A",ROUND(IF(I704&lt;=1,0,IF(AND(I704&gt;1,I704&lt;100),0.217*LN(I704)-0.001,1)),3)))</f>
        <v/>
      </c>
      <c r="L704" s="1242" t="str">
        <f>IF(H704&gt;'I. Stream &amp; Compound Data'!$F$18,"",IF(K704="N/A",IF(J704="","N/A",IF(J704&lt;=20,1,IF(AND(J704&gt;20,J704&lt;99.8),0.0002*J704^2-0.0313*J704+1.5553,0))),"N/A"))</f>
        <v/>
      </c>
      <c r="M704" s="1242" t="str">
        <f>IF(H704&gt;'I. Stream &amp; Compound Data'!$F$18,"",IF(I178="","N/A",IF(K704&lt;&gt;"N/A",K704,IF(L704&lt;&gt;"N/A",L704,"NO DATA AVAILABLE"))))</f>
        <v/>
      </c>
      <c r="N704" s="1242" t="str">
        <f>IF(H704&gt;'I. Stream &amp; Compound Data'!$F$18,"",IF(M704="N/A",0,IF(M704&gt;0,ROUND(10^(2*M704-2),3),0.01)))</f>
        <v/>
      </c>
      <c r="O704" s="1190" t="str">
        <f>'I. Stream &amp; Compound Data'!P298</f>
        <v/>
      </c>
      <c r="P704" s="1268" t="str">
        <f>IF(O704="","",IF('I. Stream &amp; Compound Data'!E68="H2O",0,O704*N704))</f>
        <v/>
      </c>
      <c r="Q704" s="279"/>
      <c r="R704" s="297"/>
      <c r="S704" s="298"/>
      <c r="T704" s="298"/>
      <c r="U704" s="299"/>
      <c r="V704" s="279"/>
      <c r="W704" s="279"/>
      <c r="X704" s="279"/>
      <c r="Y704" s="279"/>
      <c r="Z704" s="279"/>
      <c r="AA704" s="279"/>
      <c r="AB704" s="279"/>
      <c r="AC704" s="279"/>
      <c r="AD704" s="279"/>
      <c r="AE704" s="279"/>
      <c r="AF704" s="279"/>
      <c r="AG704" s="279"/>
      <c r="AH704" s="279"/>
      <c r="AI704" s="279"/>
      <c r="AJ704" s="279"/>
      <c r="AK704" s="279"/>
      <c r="AL704" s="279"/>
      <c r="AM704" s="279"/>
      <c r="AN704" s="279"/>
      <c r="AO704" s="279"/>
      <c r="AP704" s="279"/>
      <c r="AQ704" s="279"/>
      <c r="AR704" s="279"/>
      <c r="AS704" s="279"/>
      <c r="AT704" s="279"/>
      <c r="AU704" s="279"/>
      <c r="AV704" s="279"/>
      <c r="AW704" s="279"/>
      <c r="AX704" s="279"/>
      <c r="AY704" s="279"/>
      <c r="AZ704" s="279"/>
      <c r="BA704" s="279"/>
      <c r="BB704" s="279"/>
      <c r="BC704" s="279"/>
      <c r="BD704" s="279"/>
      <c r="BE704" s="279"/>
      <c r="BF704" s="279"/>
      <c r="BG704" s="279"/>
      <c r="BH704" s="279"/>
      <c r="BI704" s="279"/>
      <c r="BJ704" s="279"/>
      <c r="BK704" s="279"/>
      <c r="BL704" s="279"/>
      <c r="BM704" s="279"/>
      <c r="BN704" s="279"/>
      <c r="BO704" s="279"/>
      <c r="BP704" s="279"/>
      <c r="BQ704" s="279"/>
      <c r="BR704" s="279"/>
      <c r="BS704" s="279"/>
      <c r="BT704" s="279"/>
      <c r="BU704" s="279"/>
      <c r="BV704" s="279"/>
      <c r="BW704" s="279"/>
      <c r="BX704" s="279"/>
      <c r="BY704" s="279"/>
      <c r="BZ704" s="279"/>
      <c r="CA704" s="279"/>
      <c r="CB704" s="279"/>
      <c r="CC704" s="279"/>
      <c r="CD704" s="279"/>
      <c r="CE704" s="279"/>
      <c r="CF704" s="279"/>
      <c r="CG704" s="279"/>
      <c r="CH704" s="279"/>
      <c r="CI704" s="279"/>
      <c r="CJ704" s="279"/>
      <c r="CK704" s="279"/>
      <c r="CL704" s="279"/>
      <c r="CM704" s="279"/>
      <c r="CN704" s="382"/>
    </row>
    <row r="705" x14ac:dyDescent="0.3">
      <c r="B705" s="361"/>
      <c r="C705" s="279"/>
      <c r="D705" s="280"/>
      <c r="E705" s="287"/>
      <c r="F705" s="287"/>
      <c r="G705" s="287"/>
      <c r="H705" s="1292">
        <f t="shared" si="31"/>
        <v>38</v>
      </c>
      <c r="I705" s="1295" t="str">
        <f>IF('I. Stream &amp; Compound Data'!AC299&lt;&gt;"",'I. Stream &amp; Compound Data'!AC299,"")</f>
        <v/>
      </c>
      <c r="J705" s="1295" t="str">
        <f>IF('I. Stream &amp; Compound Data'!AD299&lt;&gt;"",'I. Stream &amp; Compound Data'!AD299,"")</f>
        <v/>
      </c>
      <c r="K705" s="1306" t="str">
        <f>IF(H705&gt;'I. Stream &amp; Compound Data'!$F$18,"",IF(I705="","N/A",ROUND(IF(I705&lt;=1,0,IF(AND(I705&gt;1,I705&lt;100),0.217*LN(I705)-0.001,1)),3)))</f>
        <v/>
      </c>
      <c r="L705" s="1242" t="str">
        <f>IF(H705&gt;'I. Stream &amp; Compound Data'!$F$18,"",IF(K705="N/A",IF(J705="","N/A",IF(J705&lt;=20,1,IF(AND(J705&gt;20,J705&lt;99.8),0.0002*J705^2-0.0313*J705+1.5553,0))),"N/A"))</f>
        <v/>
      </c>
      <c r="M705" s="1242" t="str">
        <f>IF(H705&gt;'I. Stream &amp; Compound Data'!$F$18,"",IF(I179="","N/A",IF(K705&lt;&gt;"N/A",K705,IF(L705&lt;&gt;"N/A",L705,"NO DATA AVAILABLE"))))</f>
        <v/>
      </c>
      <c r="N705" s="1242" t="str">
        <f>IF(H705&gt;'I. Stream &amp; Compound Data'!$F$18,"",IF(M705="N/A",0,IF(M705&gt;0,ROUND(10^(2*M705-2),3),0.01)))</f>
        <v/>
      </c>
      <c r="O705" s="1190" t="str">
        <f>'I. Stream &amp; Compound Data'!P299</f>
        <v/>
      </c>
      <c r="P705" s="1268" t="str">
        <f>IF(O705="","",IF('I. Stream &amp; Compound Data'!E69="H2O",0,O705*N705))</f>
        <v/>
      </c>
      <c r="Q705" s="279"/>
      <c r="R705" s="297"/>
      <c r="S705" s="298"/>
      <c r="T705" s="298"/>
      <c r="U705" s="299"/>
      <c r="V705" s="279"/>
      <c r="W705" s="279"/>
      <c r="X705" s="279"/>
      <c r="Y705" s="279"/>
      <c r="Z705" s="279"/>
      <c r="AA705" s="279"/>
      <c r="AB705" s="279"/>
      <c r="AC705" s="279"/>
      <c r="AD705" s="279"/>
      <c r="AE705" s="279"/>
      <c r="AF705" s="279"/>
      <c r="AG705" s="279"/>
      <c r="AH705" s="279"/>
      <c r="AI705" s="279"/>
      <c r="AJ705" s="279"/>
      <c r="AK705" s="279"/>
      <c r="AL705" s="279"/>
      <c r="AM705" s="279"/>
      <c r="AN705" s="279"/>
      <c r="AO705" s="279"/>
      <c r="AP705" s="279"/>
      <c r="AQ705" s="279"/>
      <c r="AR705" s="279"/>
      <c r="AS705" s="279"/>
      <c r="AT705" s="279"/>
      <c r="AU705" s="279"/>
      <c r="AV705" s="279"/>
      <c r="AW705" s="279"/>
      <c r="AX705" s="279"/>
      <c r="AY705" s="279"/>
      <c r="AZ705" s="279"/>
      <c r="BA705" s="279"/>
      <c r="BB705" s="279"/>
      <c r="BC705" s="279"/>
      <c r="BD705" s="279"/>
      <c r="BE705" s="279"/>
      <c r="BF705" s="279"/>
      <c r="BG705" s="279"/>
      <c r="BH705" s="279"/>
      <c r="BI705" s="279"/>
      <c r="BJ705" s="279"/>
      <c r="BK705" s="279"/>
      <c r="BL705" s="279"/>
      <c r="BM705" s="279"/>
      <c r="BN705" s="279"/>
      <c r="BO705" s="279"/>
      <c r="BP705" s="279"/>
      <c r="BQ705" s="279"/>
      <c r="BR705" s="279"/>
      <c r="BS705" s="279"/>
      <c r="BT705" s="279"/>
      <c r="BU705" s="279"/>
      <c r="BV705" s="279"/>
      <c r="BW705" s="279"/>
      <c r="BX705" s="279"/>
      <c r="BY705" s="279"/>
      <c r="BZ705" s="279"/>
      <c r="CA705" s="279"/>
      <c r="CB705" s="279"/>
      <c r="CC705" s="279"/>
      <c r="CD705" s="279"/>
      <c r="CE705" s="279"/>
      <c r="CF705" s="279"/>
      <c r="CG705" s="279"/>
      <c r="CH705" s="279"/>
      <c r="CI705" s="279"/>
      <c r="CJ705" s="279"/>
      <c r="CK705" s="279"/>
      <c r="CL705" s="279"/>
      <c r="CM705" s="279"/>
      <c r="CN705" s="382"/>
    </row>
    <row r="706" x14ac:dyDescent="0.3">
      <c r="B706" s="361"/>
      <c r="C706" s="279"/>
      <c r="D706" s="280"/>
      <c r="E706" s="287"/>
      <c r="F706" s="287"/>
      <c r="G706" s="287"/>
      <c r="H706" s="1292">
        <f t="shared" si="31"/>
        <v>39</v>
      </c>
      <c r="I706" s="1295" t="str">
        <f>IF('I. Stream &amp; Compound Data'!AC300&lt;&gt;"",'I. Stream &amp; Compound Data'!AC300,"")</f>
        <v/>
      </c>
      <c r="J706" s="1295" t="str">
        <f>IF('I. Stream &amp; Compound Data'!AD300&lt;&gt;"",'I. Stream &amp; Compound Data'!AD300,"")</f>
        <v/>
      </c>
      <c r="K706" s="1306" t="str">
        <f>IF(H706&gt;'I. Stream &amp; Compound Data'!$F$18,"",IF(I706="","N/A",ROUND(IF(I706&lt;=1,0,IF(AND(I706&gt;1,I706&lt;100),0.217*LN(I706)-0.001,1)),3)))</f>
        <v/>
      </c>
      <c r="L706" s="1242" t="str">
        <f>IF(H706&gt;'I. Stream &amp; Compound Data'!$F$18,"",IF(K706="N/A",IF(J706="","N/A",IF(J706&lt;=20,1,IF(AND(J706&gt;20,J706&lt;99.8),0.0002*J706^2-0.0313*J706+1.5553,0))),"N/A"))</f>
        <v/>
      </c>
      <c r="M706" s="1242" t="str">
        <f>IF(H706&gt;'I. Stream &amp; Compound Data'!$F$18,"",IF(I180="","N/A",IF(K706&lt;&gt;"N/A",K706,IF(L706&lt;&gt;"N/A",L706,"NO DATA AVAILABLE"))))</f>
        <v/>
      </c>
      <c r="N706" s="1242" t="str">
        <f>IF(H706&gt;'I. Stream &amp; Compound Data'!$F$18,"",IF(M706="N/A",0,IF(M706&gt;0,ROUND(10^(2*M706-2),3),0.01)))</f>
        <v/>
      </c>
      <c r="O706" s="1190" t="str">
        <f>'I. Stream &amp; Compound Data'!P300</f>
        <v/>
      </c>
      <c r="P706" s="1268" t="str">
        <f>IF(O706="","",IF('I. Stream &amp; Compound Data'!E70="H2O",0,O706*N706))</f>
        <v/>
      </c>
      <c r="Q706" s="279"/>
      <c r="R706" s="297"/>
      <c r="S706" s="298"/>
      <c r="T706" s="298"/>
      <c r="U706" s="299"/>
      <c r="V706" s="279"/>
      <c r="W706" s="279"/>
      <c r="X706" s="279"/>
      <c r="Y706" s="279"/>
      <c r="Z706" s="279"/>
      <c r="AA706" s="279"/>
      <c r="AB706" s="279"/>
      <c r="AC706" s="279"/>
      <c r="AD706" s="279"/>
      <c r="AE706" s="279"/>
      <c r="AF706" s="279"/>
      <c r="AG706" s="279"/>
      <c r="AH706" s="279"/>
      <c r="AI706" s="279"/>
      <c r="AJ706" s="279"/>
      <c r="AK706" s="279"/>
      <c r="AL706" s="279"/>
      <c r="AM706" s="279"/>
      <c r="AN706" s="279"/>
      <c r="AO706" s="279"/>
      <c r="AP706" s="279"/>
      <c r="AQ706" s="279"/>
      <c r="AR706" s="279"/>
      <c r="AS706" s="279"/>
      <c r="AT706" s="279"/>
      <c r="AU706" s="279"/>
      <c r="AV706" s="279"/>
      <c r="AW706" s="279"/>
      <c r="AX706" s="279"/>
      <c r="AY706" s="279"/>
      <c r="AZ706" s="279"/>
      <c r="BA706" s="279"/>
      <c r="BB706" s="279"/>
      <c r="BC706" s="279"/>
      <c r="BD706" s="279"/>
      <c r="BE706" s="279"/>
      <c r="BF706" s="279"/>
      <c r="BG706" s="279"/>
      <c r="BH706" s="279"/>
      <c r="BI706" s="279"/>
      <c r="BJ706" s="279"/>
      <c r="BK706" s="279"/>
      <c r="BL706" s="279"/>
      <c r="BM706" s="279"/>
      <c r="BN706" s="279"/>
      <c r="BO706" s="279"/>
      <c r="BP706" s="279"/>
      <c r="BQ706" s="279"/>
      <c r="BR706" s="279"/>
      <c r="BS706" s="279"/>
      <c r="BT706" s="279"/>
      <c r="BU706" s="279"/>
      <c r="BV706" s="279"/>
      <c r="BW706" s="279"/>
      <c r="BX706" s="279"/>
      <c r="BY706" s="279"/>
      <c r="BZ706" s="279"/>
      <c r="CA706" s="279"/>
      <c r="CB706" s="279"/>
      <c r="CC706" s="279"/>
      <c r="CD706" s="279"/>
      <c r="CE706" s="279"/>
      <c r="CF706" s="279"/>
      <c r="CG706" s="279"/>
      <c r="CH706" s="279"/>
      <c r="CI706" s="279"/>
      <c r="CJ706" s="279"/>
      <c r="CK706" s="279"/>
      <c r="CL706" s="279"/>
      <c r="CM706" s="279"/>
      <c r="CN706" s="382"/>
    </row>
    <row r="707" x14ac:dyDescent="0.3">
      <c r="B707" s="361"/>
      <c r="C707" s="279"/>
      <c r="D707" s="280"/>
      <c r="E707" s="287"/>
      <c r="F707" s="287"/>
      <c r="G707" s="287"/>
      <c r="H707" s="1292">
        <f t="shared" si="31"/>
        <v>40</v>
      </c>
      <c r="I707" s="1295" t="str">
        <f>IF('I. Stream &amp; Compound Data'!AC301&lt;&gt;"",'I. Stream &amp; Compound Data'!AC301,"")</f>
        <v/>
      </c>
      <c r="J707" s="1295" t="str">
        <f>IF('I. Stream &amp; Compound Data'!AD301&lt;&gt;"",'I. Stream &amp; Compound Data'!AD301,"")</f>
        <v/>
      </c>
      <c r="K707" s="1306" t="str">
        <f>IF(H707&gt;'I. Stream &amp; Compound Data'!$F$18,"",IF(I707="","N/A",ROUND(IF(I707&lt;=1,0,IF(AND(I707&gt;1,I707&lt;100),0.217*LN(I707)-0.001,1)),3)))</f>
        <v/>
      </c>
      <c r="L707" s="1242" t="str">
        <f>IF(H707&gt;'I. Stream &amp; Compound Data'!$F$18,"",IF(K707="N/A",IF(J707="","N/A",IF(J707&lt;=20,1,IF(AND(J707&gt;20,J707&lt;99.8),0.0002*J707^2-0.0313*J707+1.5553,0))),"N/A"))</f>
        <v/>
      </c>
      <c r="M707" s="1242" t="str">
        <f>IF(H707&gt;'I. Stream &amp; Compound Data'!$F$18,"",IF(I181="","N/A",IF(K707&lt;&gt;"N/A",K707,IF(L707&lt;&gt;"N/A",L707,"NO DATA AVAILABLE"))))</f>
        <v/>
      </c>
      <c r="N707" s="1242" t="str">
        <f>IF(H707&gt;'I. Stream &amp; Compound Data'!$F$18,"",IF(M707="N/A",0,IF(M707&gt;0,ROUND(10^(2*M707-2),3),0.01)))</f>
        <v/>
      </c>
      <c r="O707" s="1190" t="str">
        <f>'I. Stream &amp; Compound Data'!P301</f>
        <v/>
      </c>
      <c r="P707" s="1268" t="str">
        <f>IF(O707="","",IF('I. Stream &amp; Compound Data'!E71="H2O",0,O707*N707))</f>
        <v/>
      </c>
      <c r="Q707" s="279"/>
      <c r="R707" s="297"/>
      <c r="S707" s="298"/>
      <c r="T707" s="298"/>
      <c r="U707" s="299"/>
      <c r="V707" s="279"/>
      <c r="W707" s="279"/>
      <c r="X707" s="279"/>
      <c r="Y707" s="279"/>
      <c r="Z707" s="279"/>
      <c r="AA707" s="279"/>
      <c r="AB707" s="279"/>
      <c r="AC707" s="279"/>
      <c r="AD707" s="279"/>
      <c r="AE707" s="279"/>
      <c r="AF707" s="279"/>
      <c r="AG707" s="279"/>
      <c r="AH707" s="279"/>
      <c r="AI707" s="279"/>
      <c r="AJ707" s="279"/>
      <c r="AK707" s="279"/>
      <c r="AL707" s="279"/>
      <c r="AM707" s="279"/>
      <c r="AN707" s="279"/>
      <c r="AO707" s="279"/>
      <c r="AP707" s="279"/>
      <c r="AQ707" s="279"/>
      <c r="AR707" s="279"/>
      <c r="AS707" s="279"/>
      <c r="AT707" s="279"/>
      <c r="AU707" s="279"/>
      <c r="AV707" s="279"/>
      <c r="AW707" s="279"/>
      <c r="AX707" s="279"/>
      <c r="AY707" s="279"/>
      <c r="AZ707" s="279"/>
      <c r="BA707" s="279"/>
      <c r="BB707" s="279"/>
      <c r="BC707" s="279"/>
      <c r="BD707" s="279"/>
      <c r="BE707" s="279"/>
      <c r="BF707" s="279"/>
      <c r="BG707" s="279"/>
      <c r="BH707" s="279"/>
      <c r="BI707" s="279"/>
      <c r="BJ707" s="279"/>
      <c r="BK707" s="279"/>
      <c r="BL707" s="279"/>
      <c r="BM707" s="279"/>
      <c r="BN707" s="279"/>
      <c r="BO707" s="279"/>
      <c r="BP707" s="279"/>
      <c r="BQ707" s="279"/>
      <c r="BR707" s="279"/>
      <c r="BS707" s="279"/>
      <c r="BT707" s="279"/>
      <c r="BU707" s="279"/>
      <c r="BV707" s="279"/>
      <c r="BW707" s="279"/>
      <c r="BX707" s="279"/>
      <c r="BY707" s="279"/>
      <c r="BZ707" s="279"/>
      <c r="CA707" s="279"/>
      <c r="CB707" s="279"/>
      <c r="CC707" s="279"/>
      <c r="CD707" s="279"/>
      <c r="CE707" s="279"/>
      <c r="CF707" s="279"/>
      <c r="CG707" s="279"/>
      <c r="CH707" s="279"/>
      <c r="CI707" s="279"/>
      <c r="CJ707" s="279"/>
      <c r="CK707" s="279"/>
      <c r="CL707" s="279"/>
      <c r="CM707" s="279"/>
      <c r="CN707" s="382"/>
    </row>
    <row r="708" x14ac:dyDescent="0.3">
      <c r="B708" s="361"/>
      <c r="C708" s="279"/>
      <c r="D708" s="280"/>
      <c r="E708" s="287"/>
      <c r="F708" s="287"/>
      <c r="G708" s="287"/>
      <c r="H708" s="1292">
        <f t="shared" si="31"/>
        <v>41</v>
      </c>
      <c r="I708" s="1295" t="str">
        <f>IF('I. Stream &amp; Compound Data'!AC302&lt;&gt;"",'I. Stream &amp; Compound Data'!AC302,"")</f>
        <v/>
      </c>
      <c r="J708" s="1295" t="str">
        <f>IF('I. Stream &amp; Compound Data'!AD302&lt;&gt;"",'I. Stream &amp; Compound Data'!AD302,"")</f>
        <v/>
      </c>
      <c r="K708" s="1306" t="str">
        <f>IF(H708&gt;'I. Stream &amp; Compound Data'!$F$18,"",IF(I708="","N/A",ROUND(IF(I708&lt;=1,0,IF(AND(I708&gt;1,I708&lt;100),0.217*LN(I708)-0.001,1)),3)))</f>
        <v/>
      </c>
      <c r="L708" s="1242" t="str">
        <f>IF(H708&gt;'I. Stream &amp; Compound Data'!$F$18,"",IF(K708="N/A",IF(J708="","N/A",IF(J708&lt;=20,1,IF(AND(J708&gt;20,J708&lt;99.8),0.0002*J708^2-0.0313*J708+1.5553,0))),"N/A"))</f>
        <v/>
      </c>
      <c r="M708" s="1242" t="str">
        <f>IF(H708&gt;'I. Stream &amp; Compound Data'!$F$18,"",IF(I182="","N/A",IF(K708&lt;&gt;"N/A",K708,IF(L708&lt;&gt;"N/A",L708,"NO DATA AVAILABLE"))))</f>
        <v/>
      </c>
      <c r="N708" s="1242" t="str">
        <f>IF(H708&gt;'I. Stream &amp; Compound Data'!$F$18,"",IF(M708="N/A",0,IF(M708&gt;0,ROUND(10^(2*M708-2),3),0.01)))</f>
        <v/>
      </c>
      <c r="O708" s="1190" t="str">
        <f>'I. Stream &amp; Compound Data'!P302</f>
        <v/>
      </c>
      <c r="P708" s="1268" t="str">
        <f>IF(O708="","",IF('I. Stream &amp; Compound Data'!E72="H2O",0,O708*N708))</f>
        <v/>
      </c>
      <c r="Q708" s="279"/>
      <c r="R708" s="297"/>
      <c r="S708" s="298"/>
      <c r="T708" s="298"/>
      <c r="U708" s="299"/>
      <c r="V708" s="279"/>
      <c r="W708" s="279"/>
      <c r="X708" s="279"/>
      <c r="Y708" s="279"/>
      <c r="Z708" s="279"/>
      <c r="AA708" s="279"/>
      <c r="AB708" s="279"/>
      <c r="AC708" s="279"/>
      <c r="AD708" s="279"/>
      <c r="AE708" s="279"/>
      <c r="AF708" s="279"/>
      <c r="AG708" s="279"/>
      <c r="AH708" s="279"/>
      <c r="AI708" s="279"/>
      <c r="AJ708" s="279"/>
      <c r="AK708" s="279"/>
      <c r="AL708" s="279"/>
      <c r="AM708" s="279"/>
      <c r="AN708" s="279"/>
      <c r="AO708" s="279"/>
      <c r="AP708" s="279"/>
      <c r="AQ708" s="279"/>
      <c r="AR708" s="279"/>
      <c r="AS708" s="279"/>
      <c r="AT708" s="279"/>
      <c r="AU708" s="279"/>
      <c r="AV708" s="279"/>
      <c r="AW708" s="279"/>
      <c r="AX708" s="279"/>
      <c r="AY708" s="279"/>
      <c r="AZ708" s="279"/>
      <c r="BA708" s="279"/>
      <c r="BB708" s="279"/>
      <c r="BC708" s="279"/>
      <c r="BD708" s="279"/>
      <c r="BE708" s="279"/>
      <c r="BF708" s="279"/>
      <c r="BG708" s="279"/>
      <c r="BH708" s="279"/>
      <c r="BI708" s="279"/>
      <c r="BJ708" s="279"/>
      <c r="BK708" s="279"/>
      <c r="BL708" s="279"/>
      <c r="BM708" s="279"/>
      <c r="BN708" s="279"/>
      <c r="BO708" s="279"/>
      <c r="BP708" s="279"/>
      <c r="BQ708" s="279"/>
      <c r="BR708" s="279"/>
      <c r="BS708" s="279"/>
      <c r="BT708" s="279"/>
      <c r="BU708" s="279"/>
      <c r="BV708" s="279"/>
      <c r="BW708" s="279"/>
      <c r="BX708" s="279"/>
      <c r="BY708" s="279"/>
      <c r="BZ708" s="279"/>
      <c r="CA708" s="279"/>
      <c r="CB708" s="279"/>
      <c r="CC708" s="279"/>
      <c r="CD708" s="279"/>
      <c r="CE708" s="279"/>
      <c r="CF708" s="279"/>
      <c r="CG708" s="279"/>
      <c r="CH708" s="279"/>
      <c r="CI708" s="279"/>
      <c r="CJ708" s="279"/>
      <c r="CK708" s="279"/>
      <c r="CL708" s="279"/>
      <c r="CM708" s="279"/>
      <c r="CN708" s="382"/>
    </row>
    <row r="709" x14ac:dyDescent="0.3">
      <c r="B709" s="361"/>
      <c r="C709" s="279"/>
      <c r="D709" s="280"/>
      <c r="E709" s="287"/>
      <c r="F709" s="287"/>
      <c r="G709" s="287"/>
      <c r="H709" s="1292">
        <f t="shared" si="31"/>
        <v>42</v>
      </c>
      <c r="I709" s="1295" t="str">
        <f>IF('I. Stream &amp; Compound Data'!AC303&lt;&gt;"",'I. Stream &amp; Compound Data'!AC303,"")</f>
        <v/>
      </c>
      <c r="J709" s="1295" t="str">
        <f>IF('I. Stream &amp; Compound Data'!AD303&lt;&gt;"",'I. Stream &amp; Compound Data'!AD303,"")</f>
        <v/>
      </c>
      <c r="K709" s="1306" t="str">
        <f>IF(H709&gt;'I. Stream &amp; Compound Data'!$F$18,"",IF(I709="","N/A",ROUND(IF(I709&lt;=1,0,IF(AND(I709&gt;1,I709&lt;100),0.217*LN(I709)-0.001,1)),3)))</f>
        <v/>
      </c>
      <c r="L709" s="1242" t="str">
        <f>IF(H709&gt;'I. Stream &amp; Compound Data'!$F$18,"",IF(K709="N/A",IF(J709="","N/A",IF(J709&lt;=20,1,IF(AND(J709&gt;20,J709&lt;99.8),0.0002*J709^2-0.0313*J709+1.5553,0))),"N/A"))</f>
        <v/>
      </c>
      <c r="M709" s="1242" t="str">
        <f>IF(H709&gt;'I. Stream &amp; Compound Data'!$F$18,"",IF(I183="","N/A",IF(K709&lt;&gt;"N/A",K709,IF(L709&lt;&gt;"N/A",L709,"NO DATA AVAILABLE"))))</f>
        <v/>
      </c>
      <c r="N709" s="1242" t="str">
        <f>IF(H709&gt;'I. Stream &amp; Compound Data'!$F$18,"",IF(M709="N/A",0,IF(M709&gt;0,ROUND(10^(2*M709-2),3),0.01)))</f>
        <v/>
      </c>
      <c r="O709" s="1190" t="str">
        <f>'I. Stream &amp; Compound Data'!P303</f>
        <v/>
      </c>
      <c r="P709" s="1268" t="str">
        <f>IF(O709="","",IF('I. Stream &amp; Compound Data'!E73="H2O",0,O709*N709))</f>
        <v/>
      </c>
      <c r="Q709" s="279"/>
      <c r="R709" s="297"/>
      <c r="S709" s="298"/>
      <c r="T709" s="298"/>
      <c r="U709" s="299"/>
      <c r="V709" s="279"/>
      <c r="W709" s="279"/>
      <c r="X709" s="279"/>
      <c r="Y709" s="279"/>
      <c r="Z709" s="279"/>
      <c r="AA709" s="279"/>
      <c r="AB709" s="279"/>
      <c r="AC709" s="279"/>
      <c r="AD709" s="279"/>
      <c r="AE709" s="279"/>
      <c r="AF709" s="279"/>
      <c r="AG709" s="279"/>
      <c r="AH709" s="279"/>
      <c r="AI709" s="279"/>
      <c r="AJ709" s="279"/>
      <c r="AK709" s="279"/>
      <c r="AL709" s="279"/>
      <c r="AM709" s="279"/>
      <c r="AN709" s="279"/>
      <c r="AO709" s="279"/>
      <c r="AP709" s="279"/>
      <c r="AQ709" s="279"/>
      <c r="AR709" s="279"/>
      <c r="AS709" s="279"/>
      <c r="AT709" s="279"/>
      <c r="AU709" s="279"/>
      <c r="AV709" s="279"/>
      <c r="AW709" s="279"/>
      <c r="AX709" s="279"/>
      <c r="AY709" s="279"/>
      <c r="AZ709" s="279"/>
      <c r="BA709" s="279"/>
      <c r="BB709" s="279"/>
      <c r="BC709" s="279"/>
      <c r="BD709" s="279"/>
      <c r="BE709" s="279"/>
      <c r="BF709" s="279"/>
      <c r="BG709" s="279"/>
      <c r="BH709" s="279"/>
      <c r="BI709" s="279"/>
      <c r="BJ709" s="279"/>
      <c r="BK709" s="279"/>
      <c r="BL709" s="279"/>
      <c r="BM709" s="279"/>
      <c r="BN709" s="279"/>
      <c r="BO709" s="279"/>
      <c r="BP709" s="279"/>
      <c r="BQ709" s="279"/>
      <c r="BR709" s="279"/>
      <c r="BS709" s="279"/>
      <c r="BT709" s="279"/>
      <c r="BU709" s="279"/>
      <c r="BV709" s="279"/>
      <c r="BW709" s="279"/>
      <c r="BX709" s="279"/>
      <c r="BY709" s="279"/>
      <c r="BZ709" s="279"/>
      <c r="CA709" s="279"/>
      <c r="CB709" s="279"/>
      <c r="CC709" s="279"/>
      <c r="CD709" s="279"/>
      <c r="CE709" s="279"/>
      <c r="CF709" s="279"/>
      <c r="CG709" s="279"/>
      <c r="CH709" s="279"/>
      <c r="CI709" s="279"/>
      <c r="CJ709" s="279"/>
      <c r="CK709" s="279"/>
      <c r="CL709" s="279"/>
      <c r="CM709" s="279"/>
      <c r="CN709" s="382"/>
    </row>
    <row r="710" x14ac:dyDescent="0.3">
      <c r="B710" s="361"/>
      <c r="C710" s="279"/>
      <c r="D710" s="280"/>
      <c r="E710" s="287"/>
      <c r="F710" s="287"/>
      <c r="G710" s="287"/>
      <c r="H710" s="1292">
        <f t="shared" si="31"/>
        <v>43</v>
      </c>
      <c r="I710" s="1295" t="str">
        <f>IF('I. Stream &amp; Compound Data'!AC304&lt;&gt;"",'I. Stream &amp; Compound Data'!AC304,"")</f>
        <v/>
      </c>
      <c r="J710" s="1295" t="str">
        <f>IF('I. Stream &amp; Compound Data'!AD304&lt;&gt;"",'I. Stream &amp; Compound Data'!AD304,"")</f>
        <v/>
      </c>
      <c r="K710" s="1306" t="str">
        <f>IF(H710&gt;'I. Stream &amp; Compound Data'!$F$18,"",IF(I710="","N/A",ROUND(IF(I710&lt;=1,0,IF(AND(I710&gt;1,I710&lt;100),0.217*LN(I710)-0.001,1)),3)))</f>
        <v/>
      </c>
      <c r="L710" s="1242" t="str">
        <f>IF(H710&gt;'I. Stream &amp; Compound Data'!$F$18,"",IF(K710="N/A",IF(J710="","N/A",IF(J710&lt;=20,1,IF(AND(J710&gt;20,J710&lt;99.8),0.0002*J710^2-0.0313*J710+1.5553,0))),"N/A"))</f>
        <v/>
      </c>
      <c r="M710" s="1242" t="str">
        <f>IF(H710&gt;'I. Stream &amp; Compound Data'!$F$18,"",IF(I184="","N/A",IF(K710&lt;&gt;"N/A",K710,IF(L710&lt;&gt;"N/A",L710,"NO DATA AVAILABLE"))))</f>
        <v/>
      </c>
      <c r="N710" s="1242" t="str">
        <f>IF(H710&gt;'I. Stream &amp; Compound Data'!$F$18,"",IF(M710="N/A",0,IF(M710&gt;0,ROUND(10^(2*M710-2),3),0.01)))</f>
        <v/>
      </c>
      <c r="O710" s="1190" t="str">
        <f>'I. Stream &amp; Compound Data'!P304</f>
        <v/>
      </c>
      <c r="P710" s="1268" t="str">
        <f>IF(O710="","",IF('I. Stream &amp; Compound Data'!E74="H2O",0,O710*N710))</f>
        <v/>
      </c>
      <c r="Q710" s="279"/>
      <c r="R710" s="297"/>
      <c r="S710" s="298"/>
      <c r="T710" s="298"/>
      <c r="U710" s="299"/>
      <c r="V710" s="279"/>
      <c r="W710" s="279"/>
      <c r="X710" s="279"/>
      <c r="Y710" s="279"/>
      <c r="Z710" s="279"/>
      <c r="AA710" s="279"/>
      <c r="AB710" s="279"/>
      <c r="AC710" s="279"/>
      <c r="AD710" s="279"/>
      <c r="AE710" s="279"/>
      <c r="AF710" s="279"/>
      <c r="AG710" s="279"/>
      <c r="AH710" s="279"/>
      <c r="AI710" s="279"/>
      <c r="AJ710" s="279"/>
      <c r="AK710" s="279"/>
      <c r="AL710" s="279"/>
      <c r="AM710" s="279"/>
      <c r="AN710" s="279"/>
      <c r="AO710" s="279"/>
      <c r="AP710" s="279"/>
      <c r="AQ710" s="279"/>
      <c r="AR710" s="279"/>
      <c r="AS710" s="279"/>
      <c r="AT710" s="279"/>
      <c r="AU710" s="279"/>
      <c r="AV710" s="279"/>
      <c r="AW710" s="279"/>
      <c r="AX710" s="279"/>
      <c r="AY710" s="279"/>
      <c r="AZ710" s="279"/>
      <c r="BA710" s="279"/>
      <c r="BB710" s="279"/>
      <c r="BC710" s="279"/>
      <c r="BD710" s="279"/>
      <c r="BE710" s="279"/>
      <c r="BF710" s="279"/>
      <c r="BG710" s="279"/>
      <c r="BH710" s="279"/>
      <c r="BI710" s="279"/>
      <c r="BJ710" s="279"/>
      <c r="BK710" s="279"/>
      <c r="BL710" s="279"/>
      <c r="BM710" s="279"/>
      <c r="BN710" s="279"/>
      <c r="BO710" s="279"/>
      <c r="BP710" s="279"/>
      <c r="BQ710" s="279"/>
      <c r="BR710" s="279"/>
      <c r="BS710" s="279"/>
      <c r="BT710" s="279"/>
      <c r="BU710" s="279"/>
      <c r="BV710" s="279"/>
      <c r="BW710" s="279"/>
      <c r="BX710" s="279"/>
      <c r="BY710" s="279"/>
      <c r="BZ710" s="279"/>
      <c r="CA710" s="279"/>
      <c r="CB710" s="279"/>
      <c r="CC710" s="279"/>
      <c r="CD710" s="279"/>
      <c r="CE710" s="279"/>
      <c r="CF710" s="279"/>
      <c r="CG710" s="279"/>
      <c r="CH710" s="279"/>
      <c r="CI710" s="279"/>
      <c r="CJ710" s="279"/>
      <c r="CK710" s="279"/>
      <c r="CL710" s="279"/>
      <c r="CM710" s="279"/>
      <c r="CN710" s="382"/>
    </row>
    <row r="711" x14ac:dyDescent="0.3">
      <c r="B711" s="361"/>
      <c r="C711" s="279"/>
      <c r="D711" s="280"/>
      <c r="E711" s="287"/>
      <c r="F711" s="287"/>
      <c r="G711" s="287"/>
      <c r="H711" s="1292">
        <f t="shared" si="31"/>
        <v>44</v>
      </c>
      <c r="I711" s="1295" t="str">
        <f>IF('I. Stream &amp; Compound Data'!AC305&lt;&gt;"",'I. Stream &amp; Compound Data'!AC305,"")</f>
        <v/>
      </c>
      <c r="J711" s="1295" t="str">
        <f>IF('I. Stream &amp; Compound Data'!AD305&lt;&gt;"",'I. Stream &amp; Compound Data'!AD305,"")</f>
        <v/>
      </c>
      <c r="K711" s="1306" t="str">
        <f>IF(H711&gt;'I. Stream &amp; Compound Data'!$F$18,"",IF(I711="","N/A",ROUND(IF(I711&lt;=1,0,IF(AND(I711&gt;1,I711&lt;100),0.217*LN(I711)-0.001,1)),3)))</f>
        <v/>
      </c>
      <c r="L711" s="1242" t="str">
        <f>IF(H711&gt;'I. Stream &amp; Compound Data'!$F$18,"",IF(K711="N/A",IF(J711="","N/A",IF(J711&lt;=20,1,IF(AND(J711&gt;20,J711&lt;99.8),0.0002*J711^2-0.0313*J711+1.5553,0))),"N/A"))</f>
        <v/>
      </c>
      <c r="M711" s="1242" t="str">
        <f>IF(H711&gt;'I. Stream &amp; Compound Data'!$F$18,"",IF(I185="","N/A",IF(K711&lt;&gt;"N/A",K711,IF(L711&lt;&gt;"N/A",L711,"NO DATA AVAILABLE"))))</f>
        <v/>
      </c>
      <c r="N711" s="1242" t="str">
        <f>IF(H711&gt;'I. Stream &amp; Compound Data'!$F$18,"",IF(M711="N/A",0,IF(M711&gt;0,ROUND(10^(2*M711-2),3),0.01)))</f>
        <v/>
      </c>
      <c r="O711" s="1190" t="str">
        <f>'I. Stream &amp; Compound Data'!P305</f>
        <v/>
      </c>
      <c r="P711" s="1268" t="str">
        <f>IF(O711="","",IF('I. Stream &amp; Compound Data'!E75="H2O",0,O711*N711))</f>
        <v/>
      </c>
      <c r="Q711" s="279"/>
      <c r="R711" s="297"/>
      <c r="S711" s="298"/>
      <c r="T711" s="298"/>
      <c r="U711" s="299"/>
      <c r="V711" s="279"/>
      <c r="W711" s="279"/>
      <c r="X711" s="279"/>
      <c r="Y711" s="279"/>
      <c r="Z711" s="279"/>
      <c r="AA711" s="279"/>
      <c r="AB711" s="279"/>
      <c r="AC711" s="279"/>
      <c r="AD711" s="279"/>
      <c r="AE711" s="279"/>
      <c r="AF711" s="279"/>
      <c r="AG711" s="279"/>
      <c r="AH711" s="279"/>
      <c r="AI711" s="279"/>
      <c r="AJ711" s="279"/>
      <c r="AK711" s="279"/>
      <c r="AL711" s="279"/>
      <c r="AM711" s="279"/>
      <c r="AN711" s="279"/>
      <c r="AO711" s="279"/>
      <c r="AP711" s="279"/>
      <c r="AQ711" s="279"/>
      <c r="AR711" s="279"/>
      <c r="AS711" s="279"/>
      <c r="AT711" s="279"/>
      <c r="AU711" s="279"/>
      <c r="AV711" s="279"/>
      <c r="AW711" s="279"/>
      <c r="AX711" s="279"/>
      <c r="AY711" s="279"/>
      <c r="AZ711" s="279"/>
      <c r="BA711" s="279"/>
      <c r="BB711" s="279"/>
      <c r="BC711" s="279"/>
      <c r="BD711" s="279"/>
      <c r="BE711" s="279"/>
      <c r="BF711" s="279"/>
      <c r="BG711" s="279"/>
      <c r="BH711" s="279"/>
      <c r="BI711" s="279"/>
      <c r="BJ711" s="279"/>
      <c r="BK711" s="279"/>
      <c r="BL711" s="279"/>
      <c r="BM711" s="279"/>
      <c r="BN711" s="279"/>
      <c r="BO711" s="279"/>
      <c r="BP711" s="279"/>
      <c r="BQ711" s="279"/>
      <c r="BR711" s="279"/>
      <c r="BS711" s="279"/>
      <c r="BT711" s="279"/>
      <c r="BU711" s="279"/>
      <c r="BV711" s="279"/>
      <c r="BW711" s="279"/>
      <c r="BX711" s="279"/>
      <c r="BY711" s="279"/>
      <c r="BZ711" s="279"/>
      <c r="CA711" s="279"/>
      <c r="CB711" s="279"/>
      <c r="CC711" s="279"/>
      <c r="CD711" s="279"/>
      <c r="CE711" s="279"/>
      <c r="CF711" s="279"/>
      <c r="CG711" s="279"/>
      <c r="CH711" s="279"/>
      <c r="CI711" s="279"/>
      <c r="CJ711" s="279"/>
      <c r="CK711" s="279"/>
      <c r="CL711" s="279"/>
      <c r="CM711" s="279"/>
      <c r="CN711" s="382"/>
    </row>
    <row r="712" x14ac:dyDescent="0.3">
      <c r="B712" s="361"/>
      <c r="C712" s="279"/>
      <c r="D712" s="280"/>
      <c r="E712" s="287"/>
      <c r="F712" s="287"/>
      <c r="G712" s="287"/>
      <c r="H712" s="1292">
        <f t="shared" si="31"/>
        <v>45</v>
      </c>
      <c r="I712" s="1295" t="str">
        <f>IF('I. Stream &amp; Compound Data'!AC306&lt;&gt;"",'I. Stream &amp; Compound Data'!AC306,"")</f>
        <v/>
      </c>
      <c r="J712" s="1295" t="str">
        <f>IF('I. Stream &amp; Compound Data'!AD306&lt;&gt;"",'I. Stream &amp; Compound Data'!AD306,"")</f>
        <v/>
      </c>
      <c r="K712" s="1306" t="str">
        <f>IF(H712&gt;'I. Stream &amp; Compound Data'!$F$18,"",IF(I712="","N/A",ROUND(IF(I712&lt;=1,0,IF(AND(I712&gt;1,I712&lt;100),0.217*LN(I712)-0.001,1)),3)))</f>
        <v/>
      </c>
      <c r="L712" s="1242" t="str">
        <f>IF(H712&gt;'I. Stream &amp; Compound Data'!$F$18,"",IF(K712="N/A",IF(J712="","N/A",IF(J712&lt;=20,1,IF(AND(J712&gt;20,J712&lt;99.8),0.0002*J712^2-0.0313*J712+1.5553,0))),"N/A"))</f>
        <v/>
      </c>
      <c r="M712" s="1242" t="str">
        <f>IF(H712&gt;'I. Stream &amp; Compound Data'!$F$18,"",IF(I186="","N/A",IF(K712&lt;&gt;"N/A",K712,IF(L712&lt;&gt;"N/A",L712,"NO DATA AVAILABLE"))))</f>
        <v/>
      </c>
      <c r="N712" s="1242" t="str">
        <f>IF(H712&gt;'I. Stream &amp; Compound Data'!$F$18,"",IF(M712="N/A",0,IF(M712&gt;0,ROUND(10^(2*M712-2),3),0.01)))</f>
        <v/>
      </c>
      <c r="O712" s="1190" t="str">
        <f>'I. Stream &amp; Compound Data'!P306</f>
        <v/>
      </c>
      <c r="P712" s="1268" t="str">
        <f>IF(O712="","",IF('I. Stream &amp; Compound Data'!E76="H2O",0,O712*N712))</f>
        <v/>
      </c>
      <c r="Q712" s="279"/>
      <c r="R712" s="297"/>
      <c r="S712" s="298"/>
      <c r="T712" s="298"/>
      <c r="U712" s="299"/>
      <c r="V712" s="279"/>
      <c r="W712" s="279"/>
      <c r="X712" s="279"/>
      <c r="Y712" s="279"/>
      <c r="Z712" s="279"/>
      <c r="AA712" s="279"/>
      <c r="AB712" s="279"/>
      <c r="AC712" s="279"/>
      <c r="AD712" s="279"/>
      <c r="AE712" s="279"/>
      <c r="AF712" s="279"/>
      <c r="AG712" s="279"/>
      <c r="AH712" s="279"/>
      <c r="AI712" s="279"/>
      <c r="AJ712" s="279"/>
      <c r="AK712" s="279"/>
      <c r="AL712" s="279"/>
      <c r="AM712" s="279"/>
      <c r="AN712" s="279"/>
      <c r="AO712" s="279"/>
      <c r="AP712" s="279"/>
      <c r="AQ712" s="279"/>
      <c r="AR712" s="279"/>
      <c r="AS712" s="279"/>
      <c r="AT712" s="279"/>
      <c r="AU712" s="279"/>
      <c r="AV712" s="279"/>
      <c r="AW712" s="279"/>
      <c r="AX712" s="279"/>
      <c r="AY712" s="279"/>
      <c r="AZ712" s="279"/>
      <c r="BA712" s="279"/>
      <c r="BB712" s="279"/>
      <c r="BC712" s="279"/>
      <c r="BD712" s="279"/>
      <c r="BE712" s="279"/>
      <c r="BF712" s="279"/>
      <c r="BG712" s="279"/>
      <c r="BH712" s="279"/>
      <c r="BI712" s="279"/>
      <c r="BJ712" s="279"/>
      <c r="BK712" s="279"/>
      <c r="BL712" s="279"/>
      <c r="BM712" s="279"/>
      <c r="BN712" s="279"/>
      <c r="BO712" s="279"/>
      <c r="BP712" s="279"/>
      <c r="BQ712" s="279"/>
      <c r="BR712" s="279"/>
      <c r="BS712" s="279"/>
      <c r="BT712" s="279"/>
      <c r="BU712" s="279"/>
      <c r="BV712" s="279"/>
      <c r="BW712" s="279"/>
      <c r="BX712" s="279"/>
      <c r="BY712" s="279"/>
      <c r="BZ712" s="279"/>
      <c r="CA712" s="279"/>
      <c r="CB712" s="279"/>
      <c r="CC712" s="279"/>
      <c r="CD712" s="279"/>
      <c r="CE712" s="279"/>
      <c r="CF712" s="279"/>
      <c r="CG712" s="279"/>
      <c r="CH712" s="279"/>
      <c r="CI712" s="279"/>
      <c r="CJ712" s="279"/>
      <c r="CK712" s="279"/>
      <c r="CL712" s="279"/>
      <c r="CM712" s="279"/>
      <c r="CN712" s="382"/>
    </row>
    <row r="713" x14ac:dyDescent="0.3">
      <c r="B713" s="361"/>
      <c r="C713" s="279"/>
      <c r="D713" s="280"/>
      <c r="E713" s="287"/>
      <c r="F713" s="287"/>
      <c r="G713" s="287"/>
      <c r="H713" s="1292">
        <f t="shared" si="31"/>
        <v>46</v>
      </c>
      <c r="I713" s="1295" t="str">
        <f>IF('I. Stream &amp; Compound Data'!AC307&lt;&gt;"",'I. Stream &amp; Compound Data'!AC307,"")</f>
        <v/>
      </c>
      <c r="J713" s="1295" t="str">
        <f>IF('I. Stream &amp; Compound Data'!AD307&lt;&gt;"",'I. Stream &amp; Compound Data'!AD307,"")</f>
        <v/>
      </c>
      <c r="K713" s="1306" t="str">
        <f>IF(H713&gt;'I. Stream &amp; Compound Data'!$F$18,"",IF(I713="","N/A",ROUND(IF(I713&lt;=1,0,IF(AND(I713&gt;1,I713&lt;100),0.217*LN(I713)-0.001,1)),3)))</f>
        <v/>
      </c>
      <c r="L713" s="1242" t="str">
        <f>IF(H713&gt;'I. Stream &amp; Compound Data'!$F$18,"",IF(K713="N/A",IF(J713="","N/A",IF(J713&lt;=20,1,IF(AND(J713&gt;20,J713&lt;99.8),0.0002*J713^2-0.0313*J713+1.5553,0))),"N/A"))</f>
        <v/>
      </c>
      <c r="M713" s="1242" t="str">
        <f>IF(H713&gt;'I. Stream &amp; Compound Data'!$F$18,"",IF(I187="","N/A",IF(K713&lt;&gt;"N/A",K713,IF(L713&lt;&gt;"N/A",L713,"NO DATA AVAILABLE"))))</f>
        <v/>
      </c>
      <c r="N713" s="1242" t="str">
        <f>IF(H713&gt;'I. Stream &amp; Compound Data'!$F$18,"",IF(M713="N/A",0,IF(M713&gt;0,ROUND(10^(2*M713-2),3),0.01)))</f>
        <v/>
      </c>
      <c r="O713" s="1190" t="str">
        <f>'I. Stream &amp; Compound Data'!P307</f>
        <v/>
      </c>
      <c r="P713" s="1268" t="str">
        <f>IF(O713="","",IF('I. Stream &amp; Compound Data'!E77="H2O",0,O713*N713))</f>
        <v/>
      </c>
      <c r="Q713" s="279"/>
      <c r="R713" s="297"/>
      <c r="S713" s="298"/>
      <c r="T713" s="298"/>
      <c r="U713" s="299"/>
      <c r="V713" s="279"/>
      <c r="W713" s="279"/>
      <c r="X713" s="279"/>
      <c r="Y713" s="279"/>
      <c r="Z713" s="279"/>
      <c r="AA713" s="279"/>
      <c r="AB713" s="279"/>
      <c r="AC713" s="279"/>
      <c r="AD713" s="279"/>
      <c r="AE713" s="279"/>
      <c r="AF713" s="279"/>
      <c r="AG713" s="279"/>
      <c r="AH713" s="279"/>
      <c r="AI713" s="279"/>
      <c r="AJ713" s="279"/>
      <c r="AK713" s="279"/>
      <c r="AL713" s="279"/>
      <c r="AM713" s="279"/>
      <c r="AN713" s="279"/>
      <c r="AO713" s="279"/>
      <c r="AP713" s="279"/>
      <c r="AQ713" s="279"/>
      <c r="AR713" s="279"/>
      <c r="AS713" s="279"/>
      <c r="AT713" s="279"/>
      <c r="AU713" s="279"/>
      <c r="AV713" s="279"/>
      <c r="AW713" s="279"/>
      <c r="AX713" s="279"/>
      <c r="AY713" s="279"/>
      <c r="AZ713" s="279"/>
      <c r="BA713" s="279"/>
      <c r="BB713" s="279"/>
      <c r="BC713" s="279"/>
      <c r="BD713" s="279"/>
      <c r="BE713" s="279"/>
      <c r="BF713" s="279"/>
      <c r="BG713" s="279"/>
      <c r="BH713" s="279"/>
      <c r="BI713" s="279"/>
      <c r="BJ713" s="279"/>
      <c r="BK713" s="279"/>
      <c r="BL713" s="279"/>
      <c r="BM713" s="279"/>
      <c r="BN713" s="279"/>
      <c r="BO713" s="279"/>
      <c r="BP713" s="279"/>
      <c r="BQ713" s="279"/>
      <c r="BR713" s="279"/>
      <c r="BS713" s="279"/>
      <c r="BT713" s="279"/>
      <c r="BU713" s="279"/>
      <c r="BV713" s="279"/>
      <c r="BW713" s="279"/>
      <c r="BX713" s="279"/>
      <c r="BY713" s="279"/>
      <c r="BZ713" s="279"/>
      <c r="CA713" s="279"/>
      <c r="CB713" s="279"/>
      <c r="CC713" s="279"/>
      <c r="CD713" s="279"/>
      <c r="CE713" s="279"/>
      <c r="CF713" s="279"/>
      <c r="CG713" s="279"/>
      <c r="CH713" s="279"/>
      <c r="CI713" s="279"/>
      <c r="CJ713" s="279"/>
      <c r="CK713" s="279"/>
      <c r="CL713" s="279"/>
      <c r="CM713" s="279"/>
      <c r="CN713" s="382"/>
    </row>
    <row r="714" x14ac:dyDescent="0.3">
      <c r="B714" s="361"/>
      <c r="C714" s="279"/>
      <c r="D714" s="280"/>
      <c r="E714" s="287"/>
      <c r="F714" s="287"/>
      <c r="G714" s="287"/>
      <c r="H714" s="1292">
        <f t="shared" si="31"/>
        <v>47</v>
      </c>
      <c r="I714" s="1295" t="str">
        <f>IF('I. Stream &amp; Compound Data'!AC308&lt;&gt;"",'I. Stream &amp; Compound Data'!AC308,"")</f>
        <v/>
      </c>
      <c r="J714" s="1295" t="str">
        <f>IF('I. Stream &amp; Compound Data'!AD308&lt;&gt;"",'I. Stream &amp; Compound Data'!AD308,"")</f>
        <v/>
      </c>
      <c r="K714" s="1306" t="str">
        <f>IF(H714&gt;'I. Stream &amp; Compound Data'!$F$18,"",IF(I714="","N/A",ROUND(IF(I714&lt;=1,0,IF(AND(I714&gt;1,I714&lt;100),0.217*LN(I714)-0.001,1)),3)))</f>
        <v/>
      </c>
      <c r="L714" s="1242" t="str">
        <f>IF(H714&gt;'I. Stream &amp; Compound Data'!$F$18,"",IF(K714="N/A",IF(J714="","N/A",IF(J714&lt;=20,1,IF(AND(J714&gt;20,J714&lt;99.8),0.0002*J714^2-0.0313*J714+1.5553,0))),"N/A"))</f>
        <v/>
      </c>
      <c r="M714" s="1242" t="str">
        <f>IF(H714&gt;'I. Stream &amp; Compound Data'!$F$18,"",IF(I188="","N/A",IF(K714&lt;&gt;"N/A",K714,IF(L714&lt;&gt;"N/A",L714,"NO DATA AVAILABLE"))))</f>
        <v/>
      </c>
      <c r="N714" s="1242" t="str">
        <f>IF(H714&gt;'I. Stream &amp; Compound Data'!$F$18,"",IF(M714="N/A",0,IF(M714&gt;0,ROUND(10^(2*M714-2),3),0.01)))</f>
        <v/>
      </c>
      <c r="O714" s="1190" t="str">
        <f>'I. Stream &amp; Compound Data'!P308</f>
        <v/>
      </c>
      <c r="P714" s="1268" t="str">
        <f>IF(O714="","",IF('I. Stream &amp; Compound Data'!E78="H2O",0,O714*N714))</f>
        <v/>
      </c>
      <c r="Q714" s="279"/>
      <c r="R714" s="297"/>
      <c r="S714" s="298"/>
      <c r="T714" s="298"/>
      <c r="U714" s="299"/>
      <c r="V714" s="279"/>
      <c r="W714" s="279"/>
      <c r="X714" s="279"/>
      <c r="Y714" s="279"/>
      <c r="Z714" s="279"/>
      <c r="AA714" s="279"/>
      <c r="AB714" s="279"/>
      <c r="AC714" s="279"/>
      <c r="AD714" s="279"/>
      <c r="AE714" s="279"/>
      <c r="AF714" s="279"/>
      <c r="AG714" s="279"/>
      <c r="AH714" s="279"/>
      <c r="AI714" s="279"/>
      <c r="AJ714" s="279"/>
      <c r="AK714" s="279"/>
      <c r="AL714" s="279"/>
      <c r="AM714" s="279"/>
      <c r="AN714" s="279"/>
      <c r="AO714" s="279"/>
      <c r="AP714" s="279"/>
      <c r="AQ714" s="279"/>
      <c r="AR714" s="279"/>
      <c r="AS714" s="279"/>
      <c r="AT714" s="279"/>
      <c r="AU714" s="279"/>
      <c r="AV714" s="279"/>
      <c r="AW714" s="279"/>
      <c r="AX714" s="279"/>
      <c r="AY714" s="279"/>
      <c r="AZ714" s="279"/>
      <c r="BA714" s="279"/>
      <c r="BB714" s="279"/>
      <c r="BC714" s="279"/>
      <c r="BD714" s="279"/>
      <c r="BE714" s="279"/>
      <c r="BF714" s="279"/>
      <c r="BG714" s="279"/>
      <c r="BH714" s="279"/>
      <c r="BI714" s="279"/>
      <c r="BJ714" s="279"/>
      <c r="BK714" s="279"/>
      <c r="BL714" s="279"/>
      <c r="BM714" s="279"/>
      <c r="BN714" s="279"/>
      <c r="BO714" s="279"/>
      <c r="BP714" s="279"/>
      <c r="BQ714" s="279"/>
      <c r="BR714" s="279"/>
      <c r="BS714" s="279"/>
      <c r="BT714" s="279"/>
      <c r="BU714" s="279"/>
      <c r="BV714" s="279"/>
      <c r="BW714" s="279"/>
      <c r="BX714" s="279"/>
      <c r="BY714" s="279"/>
      <c r="BZ714" s="279"/>
      <c r="CA714" s="279"/>
      <c r="CB714" s="279"/>
      <c r="CC714" s="279"/>
      <c r="CD714" s="279"/>
      <c r="CE714" s="279"/>
      <c r="CF714" s="279"/>
      <c r="CG714" s="279"/>
      <c r="CH714" s="279"/>
      <c r="CI714" s="279"/>
      <c r="CJ714" s="279"/>
      <c r="CK714" s="279"/>
      <c r="CL714" s="279"/>
      <c r="CM714" s="279"/>
      <c r="CN714" s="382"/>
    </row>
    <row r="715" x14ac:dyDescent="0.3">
      <c r="B715" s="361"/>
      <c r="C715" s="279"/>
      <c r="D715" s="280"/>
      <c r="E715" s="287"/>
      <c r="F715" s="287"/>
      <c r="G715" s="287"/>
      <c r="H715" s="1292">
        <f t="shared" si="31"/>
        <v>48</v>
      </c>
      <c r="I715" s="1295" t="str">
        <f>IF('I. Stream &amp; Compound Data'!AC309&lt;&gt;"",'I. Stream &amp; Compound Data'!AC309,"")</f>
        <v/>
      </c>
      <c r="J715" s="1295" t="str">
        <f>IF('I. Stream &amp; Compound Data'!AD309&lt;&gt;"",'I. Stream &amp; Compound Data'!AD309,"")</f>
        <v/>
      </c>
      <c r="K715" s="1306" t="str">
        <f>IF(H715&gt;'I. Stream &amp; Compound Data'!$F$18,"",IF(I715="","N/A",ROUND(IF(I715&lt;=1,0,IF(AND(I715&gt;1,I715&lt;100),0.217*LN(I715)-0.001,1)),3)))</f>
        <v/>
      </c>
      <c r="L715" s="1242" t="str">
        <f>IF(H715&gt;'I. Stream &amp; Compound Data'!$F$18,"",IF(K715="N/A",IF(J715="","N/A",IF(J715&lt;=20,1,IF(AND(J715&gt;20,J715&lt;99.8),0.0002*J715^2-0.0313*J715+1.5553,0))),"N/A"))</f>
        <v/>
      </c>
      <c r="M715" s="1242" t="str">
        <f>IF(H715&gt;'I. Stream &amp; Compound Data'!$F$18,"",IF(I189="","N/A",IF(K715&lt;&gt;"N/A",K715,IF(L715&lt;&gt;"N/A",L715,"NO DATA AVAILABLE"))))</f>
        <v/>
      </c>
      <c r="N715" s="1242" t="str">
        <f>IF(H715&gt;'I. Stream &amp; Compound Data'!$F$18,"",IF(M715="N/A",0,IF(M715&gt;0,ROUND(10^(2*M715-2),3),0.01)))</f>
        <v/>
      </c>
      <c r="O715" s="1190" t="str">
        <f>'I. Stream &amp; Compound Data'!P309</f>
        <v/>
      </c>
      <c r="P715" s="1268" t="str">
        <f>IF(O715="","",IF('I. Stream &amp; Compound Data'!E79="H2O",0,O715*N715))</f>
        <v/>
      </c>
      <c r="Q715" s="279"/>
      <c r="R715" s="297"/>
      <c r="S715" s="298"/>
      <c r="T715" s="298"/>
      <c r="U715" s="299"/>
      <c r="V715" s="279"/>
      <c r="W715" s="279"/>
      <c r="X715" s="279"/>
      <c r="Y715" s="279"/>
      <c r="Z715" s="279"/>
      <c r="AA715" s="279"/>
      <c r="AB715" s="279"/>
      <c r="AC715" s="279"/>
      <c r="AD715" s="279"/>
      <c r="AE715" s="279"/>
      <c r="AF715" s="279"/>
      <c r="AG715" s="279"/>
      <c r="AH715" s="279"/>
      <c r="AI715" s="279"/>
      <c r="AJ715" s="279"/>
      <c r="AK715" s="279"/>
      <c r="AL715" s="279"/>
      <c r="AM715" s="279"/>
      <c r="AN715" s="279"/>
      <c r="AO715" s="279"/>
      <c r="AP715" s="279"/>
      <c r="AQ715" s="279"/>
      <c r="AR715" s="279"/>
      <c r="AS715" s="279"/>
      <c r="AT715" s="279"/>
      <c r="AU715" s="279"/>
      <c r="AV715" s="279"/>
      <c r="AW715" s="279"/>
      <c r="AX715" s="279"/>
      <c r="AY715" s="279"/>
      <c r="AZ715" s="279"/>
      <c r="BA715" s="279"/>
      <c r="BB715" s="279"/>
      <c r="BC715" s="279"/>
      <c r="BD715" s="279"/>
      <c r="BE715" s="279"/>
      <c r="BF715" s="279"/>
      <c r="BG715" s="279"/>
      <c r="BH715" s="279"/>
      <c r="BI715" s="279"/>
      <c r="BJ715" s="279"/>
      <c r="BK715" s="279"/>
      <c r="BL715" s="279"/>
      <c r="BM715" s="279"/>
      <c r="BN715" s="279"/>
      <c r="BO715" s="279"/>
      <c r="BP715" s="279"/>
      <c r="BQ715" s="279"/>
      <c r="BR715" s="279"/>
      <c r="BS715" s="279"/>
      <c r="BT715" s="279"/>
      <c r="BU715" s="279"/>
      <c r="BV715" s="279"/>
      <c r="BW715" s="279"/>
      <c r="BX715" s="279"/>
      <c r="BY715" s="279"/>
      <c r="BZ715" s="279"/>
      <c r="CA715" s="279"/>
      <c r="CB715" s="279"/>
      <c r="CC715" s="279"/>
      <c r="CD715" s="279"/>
      <c r="CE715" s="279"/>
      <c r="CF715" s="279"/>
      <c r="CG715" s="279"/>
      <c r="CH715" s="279"/>
      <c r="CI715" s="279"/>
      <c r="CJ715" s="279"/>
      <c r="CK715" s="279"/>
      <c r="CL715" s="279"/>
      <c r="CM715" s="279"/>
      <c r="CN715" s="382"/>
    </row>
    <row r="716" x14ac:dyDescent="0.3">
      <c r="B716" s="361"/>
      <c r="C716" s="279"/>
      <c r="D716" s="280"/>
      <c r="E716" s="287"/>
      <c r="F716" s="287"/>
      <c r="G716" s="287"/>
      <c r="H716" s="1292">
        <f t="shared" si="31"/>
        <v>49</v>
      </c>
      <c r="I716" s="1295" t="str">
        <f>IF('I. Stream &amp; Compound Data'!AC310&lt;&gt;"",'I. Stream &amp; Compound Data'!AC310,"")</f>
        <v/>
      </c>
      <c r="J716" s="1295" t="str">
        <f>IF('I. Stream &amp; Compound Data'!AD310&lt;&gt;"",'I. Stream &amp; Compound Data'!AD310,"")</f>
        <v/>
      </c>
      <c r="K716" s="1306" t="str">
        <f>IF(H716&gt;'I. Stream &amp; Compound Data'!$F$18,"",IF(I716="","N/A",ROUND(IF(I716&lt;=1,0,IF(AND(I716&gt;1,I716&lt;100),0.217*LN(I716)-0.001,1)),3)))</f>
        <v/>
      </c>
      <c r="L716" s="1242" t="str">
        <f>IF(H716&gt;'I. Stream &amp; Compound Data'!$F$18,"",IF(K716="N/A",IF(J716="","N/A",IF(J716&lt;=20,1,IF(AND(J716&gt;20,J716&lt;99.8),0.0002*J716^2-0.0313*J716+1.5553,0))),"N/A"))</f>
        <v/>
      </c>
      <c r="M716" s="1242" t="str">
        <f>IF(H716&gt;'I. Stream &amp; Compound Data'!$F$18,"",IF(I190="","N/A",IF(K716&lt;&gt;"N/A",K716,IF(L716&lt;&gt;"N/A",L716,"NO DATA AVAILABLE"))))</f>
        <v/>
      </c>
      <c r="N716" s="1242" t="str">
        <f>IF(H716&gt;'I. Stream &amp; Compound Data'!$F$18,"",IF(M716="N/A",0,IF(M716&gt;0,ROUND(10^(2*M716-2),3),0.01)))</f>
        <v/>
      </c>
      <c r="O716" s="1190" t="str">
        <f>'I. Stream &amp; Compound Data'!P310</f>
        <v/>
      </c>
      <c r="P716" s="1268" t="str">
        <f>IF(O716="","",IF('I. Stream &amp; Compound Data'!E80="H2O",0,O716*N716))</f>
        <v/>
      </c>
      <c r="Q716" s="279"/>
      <c r="R716" s="297"/>
      <c r="S716" s="298"/>
      <c r="T716" s="298"/>
      <c r="U716" s="299"/>
      <c r="V716" s="279"/>
      <c r="W716" s="279"/>
      <c r="X716" s="279"/>
      <c r="Y716" s="279"/>
      <c r="Z716" s="279"/>
      <c r="AA716" s="279"/>
      <c r="AB716" s="279"/>
      <c r="AC716" s="279"/>
      <c r="AD716" s="279"/>
      <c r="AE716" s="279"/>
      <c r="AF716" s="279"/>
      <c r="AG716" s="279"/>
      <c r="AH716" s="279"/>
      <c r="AI716" s="279"/>
      <c r="AJ716" s="279"/>
      <c r="AK716" s="279"/>
      <c r="AL716" s="279"/>
      <c r="AM716" s="279"/>
      <c r="AN716" s="279"/>
      <c r="AO716" s="279"/>
      <c r="AP716" s="279"/>
      <c r="AQ716" s="279"/>
      <c r="AR716" s="279"/>
      <c r="AS716" s="279"/>
      <c r="AT716" s="279"/>
      <c r="AU716" s="279"/>
      <c r="AV716" s="279"/>
      <c r="AW716" s="279"/>
      <c r="AX716" s="279"/>
      <c r="AY716" s="279"/>
      <c r="AZ716" s="279"/>
      <c r="BA716" s="279"/>
      <c r="BB716" s="279"/>
      <c r="BC716" s="279"/>
      <c r="BD716" s="279"/>
      <c r="BE716" s="279"/>
      <c r="BF716" s="279"/>
      <c r="BG716" s="279"/>
      <c r="BH716" s="279"/>
      <c r="BI716" s="279"/>
      <c r="BJ716" s="279"/>
      <c r="BK716" s="279"/>
      <c r="BL716" s="279"/>
      <c r="BM716" s="279"/>
      <c r="BN716" s="279"/>
      <c r="BO716" s="279"/>
      <c r="BP716" s="279"/>
      <c r="BQ716" s="279"/>
      <c r="BR716" s="279"/>
      <c r="BS716" s="279"/>
      <c r="BT716" s="279"/>
      <c r="BU716" s="279"/>
      <c r="BV716" s="279"/>
      <c r="BW716" s="279"/>
      <c r="BX716" s="279"/>
      <c r="BY716" s="279"/>
      <c r="BZ716" s="279"/>
      <c r="CA716" s="279"/>
      <c r="CB716" s="279"/>
      <c r="CC716" s="279"/>
      <c r="CD716" s="279"/>
      <c r="CE716" s="279"/>
      <c r="CF716" s="279"/>
      <c r="CG716" s="279"/>
      <c r="CH716" s="279"/>
      <c r="CI716" s="279"/>
      <c r="CJ716" s="279"/>
      <c r="CK716" s="279"/>
      <c r="CL716" s="279"/>
      <c r="CM716" s="279"/>
      <c r="CN716" s="382"/>
    </row>
    <row r="717" ht="16.2" thickBot="true" x14ac:dyDescent="0.35">
      <c r="B717" s="361"/>
      <c r="C717" s="279"/>
      <c r="D717" s="280"/>
      <c r="E717" s="287"/>
      <c r="F717" s="287"/>
      <c r="G717" s="287"/>
      <c r="H717" s="1298">
        <f t="shared" si="31"/>
        <v>50</v>
      </c>
      <c r="I717" s="1301" t="str">
        <f>IF('I. Stream &amp; Compound Data'!AC311&lt;&gt;"",'I. Stream &amp; Compound Data'!AC311,"")</f>
        <v/>
      </c>
      <c r="J717" s="1301" t="str">
        <f>IF('I. Stream &amp; Compound Data'!AD311&lt;&gt;"",'I. Stream &amp; Compound Data'!AD311,"")</f>
        <v/>
      </c>
      <c r="K717" s="1308" t="str">
        <f>IF(H717&gt;'I. Stream &amp; Compound Data'!$F$18,"",IF(I717="","N/A",ROUND(IF(I717&lt;=1,0,IF(AND(I717&gt;1,I717&lt;100),0.217*LN(I717)-0.001,1)),3)))</f>
        <v/>
      </c>
      <c r="L717" s="1210" t="str">
        <f>IF(H717&gt;'I. Stream &amp; Compound Data'!$F$18,"",IF(K717="N/A",IF(J717="","N/A",IF(J717&lt;=20,1,IF(AND(J717&gt;20,J717&lt;99.8),0.0002*J717^2-0.0313*J717+1.5553,0))),"N/A"))</f>
        <v/>
      </c>
      <c r="M717" s="1210" t="str">
        <f>IF(H717&gt;'I. Stream &amp; Compound Data'!$F$18,"",IF(I191="","N/A",IF(K717&lt;&gt;"N/A",K717,IF(L717&lt;&gt;"N/A",L717,"NO DATA AVAILABLE"))))</f>
        <v/>
      </c>
      <c r="N717" s="1210" t="str">
        <f>IF(H717&gt;'I. Stream &amp; Compound Data'!$F$18,"",IF(M717="N/A",0,IF(M717&gt;0,ROUND(10^(2*M717-2),3),0.01)))</f>
        <v/>
      </c>
      <c r="O717" s="1259" t="str">
        <f>'I. Stream &amp; Compound Data'!P311</f>
        <v/>
      </c>
      <c r="P717" s="1270" t="str">
        <f>IF(O717="","",IF('I. Stream &amp; Compound Data'!E81="H2O",0,O717*N717))</f>
        <v/>
      </c>
      <c r="Q717" s="279"/>
      <c r="R717" s="297"/>
      <c r="S717" s="298"/>
      <c r="T717" s="298"/>
      <c r="U717" s="299"/>
      <c r="V717" s="279"/>
      <c r="W717" s="279"/>
      <c r="X717" s="279"/>
      <c r="Y717" s="279"/>
      <c r="Z717" s="279"/>
      <c r="AA717" s="279"/>
      <c r="AB717" s="279"/>
      <c r="AC717" s="279"/>
      <c r="AD717" s="279"/>
      <c r="AE717" s="279"/>
      <c r="AF717" s="279"/>
      <c r="AG717" s="279"/>
      <c r="AH717" s="279"/>
      <c r="AI717" s="279"/>
      <c r="AJ717" s="279"/>
      <c r="AK717" s="279"/>
      <c r="AL717" s="279"/>
      <c r="AM717" s="279"/>
      <c r="AN717" s="279"/>
      <c r="AO717" s="279"/>
      <c r="AP717" s="279"/>
      <c r="AQ717" s="279"/>
      <c r="AR717" s="279"/>
      <c r="AS717" s="279"/>
      <c r="AT717" s="279"/>
      <c r="AU717" s="279"/>
      <c r="AV717" s="279"/>
      <c r="AW717" s="279"/>
      <c r="AX717" s="279"/>
      <c r="AY717" s="279"/>
      <c r="AZ717" s="279"/>
      <c r="BA717" s="279"/>
      <c r="BB717" s="279"/>
      <c r="BC717" s="279"/>
      <c r="BD717" s="279"/>
      <c r="BE717" s="279"/>
      <c r="BF717" s="279"/>
      <c r="BG717" s="279"/>
      <c r="BH717" s="279"/>
      <c r="BI717" s="279"/>
      <c r="BJ717" s="279"/>
      <c r="BK717" s="279"/>
      <c r="BL717" s="279"/>
      <c r="BM717" s="279"/>
      <c r="BN717" s="279"/>
      <c r="BO717" s="279"/>
      <c r="BP717" s="279"/>
      <c r="BQ717" s="279"/>
      <c r="BR717" s="279"/>
      <c r="BS717" s="279"/>
      <c r="BT717" s="279"/>
      <c r="BU717" s="279"/>
      <c r="BV717" s="279"/>
      <c r="BW717" s="279"/>
      <c r="BX717" s="279"/>
      <c r="BY717" s="279"/>
      <c r="BZ717" s="279"/>
      <c r="CA717" s="279"/>
      <c r="CB717" s="279"/>
      <c r="CC717" s="279"/>
      <c r="CD717" s="279"/>
      <c r="CE717" s="279"/>
      <c r="CF717" s="279"/>
      <c r="CG717" s="279"/>
      <c r="CH717" s="279"/>
      <c r="CI717" s="279"/>
      <c r="CJ717" s="279"/>
      <c r="CK717" s="279"/>
      <c r="CL717" s="279"/>
      <c r="CM717" s="279"/>
      <c r="CN717" s="382"/>
    </row>
    <row r="718" ht="16.2" thickBot="true" x14ac:dyDescent="0.35">
      <c r="B718" s="361"/>
      <c r="C718" s="279"/>
      <c r="D718" s="280"/>
      <c r="E718" s="287"/>
      <c r="F718" s="287"/>
      <c r="G718" s="287"/>
      <c r="H718" s="280"/>
      <c r="I718" s="304"/>
      <c r="J718" s="279"/>
      <c r="K718" s="280"/>
      <c r="L718" s="362"/>
      <c r="M718" s="287"/>
      <c r="N718" s="296"/>
      <c r="O718" s="287" t="s">
        <v>88</v>
      </c>
      <c r="P718" s="1305">
        <f>SUM(P668:P717)</f>
        <v>2980.7504537999998</v>
      </c>
      <c r="Q718" s="279"/>
      <c r="R718" s="297"/>
      <c r="S718" s="298"/>
      <c r="T718" s="298"/>
      <c r="U718" s="299"/>
      <c r="V718" s="279"/>
      <c r="W718" s="279"/>
      <c r="X718" s="279"/>
      <c r="Y718" s="279"/>
      <c r="Z718" s="279"/>
      <c r="AA718" s="279"/>
      <c r="AB718" s="279"/>
      <c r="AC718" s="279"/>
      <c r="AD718" s="279"/>
      <c r="AE718" s="279"/>
      <c r="AF718" s="279"/>
      <c r="AG718" s="279"/>
      <c r="AH718" s="279"/>
      <c r="AI718" s="279"/>
      <c r="AJ718" s="279"/>
      <c r="AK718" s="279"/>
      <c r="AL718" s="279"/>
      <c r="AM718" s="279"/>
      <c r="AN718" s="279"/>
      <c r="AO718" s="279"/>
      <c r="AP718" s="279"/>
      <c r="AQ718" s="279"/>
      <c r="AR718" s="279"/>
      <c r="AS718" s="279"/>
      <c r="AT718" s="279"/>
      <c r="AU718" s="279"/>
      <c r="AV718" s="279"/>
      <c r="AW718" s="279"/>
      <c r="AX718" s="279"/>
      <c r="AY718" s="279"/>
      <c r="AZ718" s="279"/>
      <c r="BA718" s="279"/>
      <c r="BB718" s="279"/>
      <c r="BC718" s="279"/>
      <c r="BD718" s="279"/>
      <c r="BE718" s="279"/>
      <c r="BF718" s="279"/>
      <c r="BG718" s="279"/>
      <c r="BH718" s="279"/>
      <c r="BI718" s="279"/>
      <c r="BJ718" s="279"/>
      <c r="BK718" s="279"/>
      <c r="BL718" s="279"/>
      <c r="BM718" s="279"/>
      <c r="BN718" s="279"/>
      <c r="BO718" s="279"/>
      <c r="BP718" s="279"/>
      <c r="BQ718" s="279"/>
      <c r="BR718" s="279"/>
      <c r="BS718" s="279"/>
      <c r="BT718" s="279"/>
      <c r="BU718" s="279"/>
      <c r="BV718" s="279"/>
      <c r="BW718" s="279"/>
      <c r="BX718" s="279"/>
      <c r="BY718" s="279"/>
      <c r="BZ718" s="279"/>
      <c r="CA718" s="279"/>
      <c r="CB718" s="279"/>
      <c r="CC718" s="279"/>
      <c r="CD718" s="279"/>
      <c r="CE718" s="279"/>
      <c r="CF718" s="279"/>
      <c r="CG718" s="279"/>
      <c r="CH718" s="279"/>
      <c r="CI718" s="279"/>
      <c r="CJ718" s="279"/>
      <c r="CK718" s="279"/>
      <c r="CL718" s="279"/>
      <c r="CM718" s="279"/>
      <c r="CN718" s="382"/>
    </row>
    <row r="719" x14ac:dyDescent="0.3">
      <c r="B719" s="361"/>
      <c r="C719" s="279"/>
      <c r="D719" s="280"/>
      <c r="E719" s="287"/>
      <c r="F719" s="287"/>
      <c r="G719" s="287"/>
      <c r="H719" s="280"/>
      <c r="I719" s="304"/>
      <c r="J719" s="279"/>
      <c r="K719" s="280"/>
      <c r="L719" s="362"/>
      <c r="M719" s="287"/>
      <c r="N719" s="296"/>
      <c r="O719" s="287"/>
      <c r="P719" s="287"/>
      <c r="Q719" s="279"/>
      <c r="R719" s="297"/>
      <c r="S719" s="298"/>
      <c r="T719" s="298"/>
      <c r="U719" s="299"/>
      <c r="V719" s="279"/>
      <c r="W719" s="279"/>
      <c r="X719" s="279"/>
      <c r="Y719" s="279"/>
      <c r="Z719" s="279"/>
      <c r="AA719" s="279"/>
      <c r="AB719" s="279"/>
      <c r="AC719" s="279"/>
      <c r="AD719" s="279"/>
      <c r="AE719" s="279"/>
      <c r="AF719" s="279"/>
      <c r="AG719" s="279"/>
      <c r="AH719" s="279"/>
      <c r="AI719" s="279"/>
      <c r="AJ719" s="279"/>
      <c r="AK719" s="279"/>
      <c r="AL719" s="279"/>
      <c r="AM719" s="279"/>
      <c r="AN719" s="279"/>
      <c r="AO719" s="279"/>
      <c r="AP719" s="279"/>
      <c r="AQ719" s="279"/>
      <c r="AR719" s="279"/>
      <c r="AS719" s="279"/>
      <c r="AT719" s="279"/>
      <c r="AU719" s="279"/>
      <c r="AV719" s="279"/>
      <c r="AW719" s="279"/>
      <c r="AX719" s="279"/>
      <c r="AY719" s="279"/>
      <c r="AZ719" s="279"/>
      <c r="BA719" s="279"/>
      <c r="BB719" s="279"/>
      <c r="BC719" s="279"/>
      <c r="BD719" s="279"/>
      <c r="BE719" s="279"/>
      <c r="BF719" s="279"/>
      <c r="BG719" s="279"/>
      <c r="BH719" s="279"/>
      <c r="BI719" s="279"/>
      <c r="BJ719" s="279"/>
      <c r="BK719" s="279"/>
      <c r="BL719" s="279"/>
      <c r="BM719" s="279"/>
      <c r="BN719" s="279"/>
      <c r="BO719" s="279"/>
      <c r="BP719" s="279"/>
      <c r="BQ719" s="279"/>
      <c r="BR719" s="279"/>
      <c r="BS719" s="279"/>
      <c r="BT719" s="279"/>
      <c r="BU719" s="279"/>
      <c r="BV719" s="279"/>
      <c r="BW719" s="279"/>
      <c r="BX719" s="279"/>
      <c r="BY719" s="279"/>
      <c r="BZ719" s="279"/>
      <c r="CA719" s="279"/>
      <c r="CB719" s="279"/>
      <c r="CC719" s="279"/>
      <c r="CD719" s="279"/>
      <c r="CE719" s="279"/>
      <c r="CF719" s="279"/>
      <c r="CG719" s="279"/>
      <c r="CH719" s="279"/>
      <c r="CI719" s="279"/>
      <c r="CJ719" s="279"/>
      <c r="CK719" s="279"/>
      <c r="CL719" s="279"/>
      <c r="CM719" s="279"/>
      <c r="CN719" s="382"/>
    </row>
    <row r="720" x14ac:dyDescent="0.3">
      <c r="B720" s="361"/>
      <c r="C720" s="279"/>
      <c r="D720" s="280"/>
      <c r="E720" s="287"/>
      <c r="F720" s="287"/>
      <c r="G720" s="287"/>
      <c r="H720" s="280"/>
      <c r="I720" s="304"/>
      <c r="J720" s="279"/>
      <c r="K720" s="280"/>
      <c r="L720" s="362"/>
      <c r="M720" s="287"/>
      <c r="N720" s="296"/>
      <c r="O720" s="287"/>
      <c r="P720" s="287"/>
      <c r="Q720" s="279"/>
      <c r="R720" s="297"/>
      <c r="S720" s="298"/>
      <c r="T720" s="298"/>
      <c r="U720" s="299"/>
      <c r="V720" s="279"/>
      <c r="W720" s="279"/>
      <c r="X720" s="279"/>
      <c r="Y720" s="279"/>
      <c r="Z720" s="279"/>
      <c r="AA720" s="279"/>
      <c r="AB720" s="279"/>
      <c r="AC720" s="279"/>
      <c r="AD720" s="279"/>
      <c r="AE720" s="279"/>
      <c r="AF720" s="279"/>
      <c r="AG720" s="279"/>
      <c r="AH720" s="279"/>
      <c r="AI720" s="279"/>
      <c r="AJ720" s="279"/>
      <c r="AK720" s="279"/>
      <c r="AL720" s="279"/>
      <c r="AM720" s="279"/>
      <c r="AN720" s="279"/>
      <c r="AO720" s="279"/>
      <c r="AP720" s="279"/>
      <c r="AQ720" s="279"/>
      <c r="AR720" s="279"/>
      <c r="AS720" s="279"/>
      <c r="AT720" s="279"/>
      <c r="AU720" s="279"/>
      <c r="AV720" s="279"/>
      <c r="AW720" s="279"/>
      <c r="AX720" s="279"/>
      <c r="AY720" s="279"/>
      <c r="AZ720" s="279"/>
      <c r="BA720" s="279"/>
      <c r="BB720" s="279"/>
      <c r="BC720" s="279"/>
      <c r="BD720" s="279"/>
      <c r="BE720" s="279"/>
      <c r="BF720" s="279"/>
      <c r="BG720" s="279"/>
      <c r="BH720" s="279"/>
      <c r="BI720" s="279"/>
      <c r="BJ720" s="279"/>
      <c r="BK720" s="279"/>
      <c r="BL720" s="279"/>
      <c r="BM720" s="279"/>
      <c r="BN720" s="279"/>
      <c r="BO720" s="279"/>
      <c r="BP720" s="279"/>
      <c r="BQ720" s="279"/>
      <c r="BR720" s="279"/>
      <c r="BS720" s="279"/>
      <c r="BT720" s="279"/>
      <c r="BU720" s="279"/>
      <c r="BV720" s="279"/>
      <c r="BW720" s="279"/>
      <c r="BX720" s="279"/>
      <c r="BY720" s="279"/>
      <c r="BZ720" s="279"/>
      <c r="CA720" s="279"/>
      <c r="CB720" s="279"/>
      <c r="CC720" s="279"/>
      <c r="CD720" s="279"/>
      <c r="CE720" s="279"/>
      <c r="CF720" s="279"/>
      <c r="CG720" s="279"/>
      <c r="CH720" s="279"/>
      <c r="CI720" s="279"/>
      <c r="CJ720" s="279"/>
      <c r="CK720" s="279"/>
      <c r="CL720" s="279"/>
      <c r="CM720" s="279"/>
      <c r="CN720" s="382"/>
    </row>
    <row r="721" x14ac:dyDescent="0.3">
      <c r="B721" s="361"/>
      <c r="C721" s="279"/>
      <c r="D721" s="280"/>
      <c r="E721" s="287"/>
      <c r="F721" s="287"/>
      <c r="G721" s="287"/>
      <c r="H721" s="280"/>
      <c r="I721" s="304"/>
      <c r="J721" s="279"/>
      <c r="K721" s="280"/>
      <c r="L721" s="362"/>
      <c r="M721" s="287"/>
      <c r="N721" s="296"/>
      <c r="O721" s="280"/>
      <c r="P721" s="280"/>
      <c r="Q721" s="279"/>
      <c r="R721" s="297"/>
      <c r="S721" s="298"/>
      <c r="T721" s="298"/>
      <c r="U721" s="299"/>
      <c r="V721" s="279"/>
      <c r="W721" s="279"/>
      <c r="X721" s="279"/>
      <c r="Y721" s="279"/>
      <c r="Z721" s="279"/>
      <c r="AA721" s="279"/>
      <c r="AB721" s="279"/>
      <c r="AC721" s="279"/>
      <c r="AD721" s="279"/>
      <c r="AE721" s="279"/>
      <c r="AF721" s="279"/>
      <c r="AG721" s="279"/>
      <c r="AH721" s="279"/>
      <c r="AI721" s="279"/>
      <c r="AJ721" s="279"/>
      <c r="AK721" s="279"/>
      <c r="AL721" s="279"/>
      <c r="AM721" s="279"/>
      <c r="AN721" s="279"/>
      <c r="AO721" s="279"/>
      <c r="AP721" s="279"/>
      <c r="AQ721" s="279"/>
      <c r="AR721" s="279"/>
      <c r="AS721" s="279"/>
      <c r="AT721" s="279"/>
      <c r="AU721" s="279"/>
      <c r="AV721" s="279"/>
      <c r="AW721" s="279"/>
      <c r="AX721" s="279"/>
      <c r="AY721" s="279"/>
      <c r="AZ721" s="279"/>
      <c r="BA721" s="279"/>
      <c r="BB721" s="279"/>
      <c r="BC721" s="279"/>
      <c r="BD721" s="279"/>
      <c r="BE721" s="279"/>
      <c r="BF721" s="279"/>
      <c r="BG721" s="279"/>
      <c r="BH721" s="279"/>
      <c r="BI721" s="279"/>
      <c r="BJ721" s="279"/>
      <c r="BK721" s="279"/>
      <c r="BL721" s="279"/>
      <c r="BM721" s="279"/>
      <c r="BN721" s="279"/>
      <c r="BO721" s="279"/>
      <c r="BP721" s="279"/>
      <c r="BQ721" s="279"/>
      <c r="BR721" s="279"/>
      <c r="BS721" s="279"/>
      <c r="BT721" s="279"/>
      <c r="BU721" s="279"/>
      <c r="BV721" s="279"/>
      <c r="BW721" s="279"/>
      <c r="BX721" s="279"/>
      <c r="BY721" s="279"/>
      <c r="BZ721" s="279"/>
      <c r="CA721" s="279"/>
      <c r="CB721" s="279"/>
      <c r="CC721" s="279"/>
      <c r="CD721" s="279"/>
      <c r="CE721" s="279"/>
      <c r="CF721" s="279"/>
      <c r="CG721" s="279"/>
      <c r="CH721" s="279"/>
      <c r="CI721" s="279"/>
      <c r="CJ721" s="279"/>
      <c r="CK721" s="279"/>
      <c r="CL721" s="279"/>
      <c r="CM721" s="279"/>
      <c r="CN721" s="382"/>
    </row>
    <row r="722" x14ac:dyDescent="0.3">
      <c r="B722" s="361"/>
      <c r="C722" s="279"/>
      <c r="D722" s="280"/>
      <c r="E722" s="287"/>
      <c r="F722" s="287"/>
      <c r="G722" s="287"/>
      <c r="H722" s="280"/>
      <c r="I722" s="304"/>
      <c r="J722" s="279"/>
      <c r="K722" s="280"/>
      <c r="L722" s="362"/>
      <c r="M722" s="287"/>
      <c r="N722" s="296"/>
      <c r="O722" s="280"/>
      <c r="P722" s="280"/>
      <c r="Q722" s="279"/>
      <c r="R722" s="297"/>
      <c r="S722" s="298"/>
      <c r="T722" s="298"/>
      <c r="U722" s="299"/>
      <c r="V722" s="279"/>
      <c r="W722" s="279"/>
      <c r="X722" s="279"/>
      <c r="Y722" s="279"/>
      <c r="Z722" s="279"/>
      <c r="AA722" s="279"/>
      <c r="AB722" s="279"/>
      <c r="AC722" s="279"/>
      <c r="AD722" s="279"/>
      <c r="AE722" s="279"/>
      <c r="AF722" s="279"/>
      <c r="AG722" s="279"/>
      <c r="AH722" s="279"/>
      <c r="AI722" s="279"/>
      <c r="AJ722" s="279"/>
      <c r="AK722" s="279"/>
      <c r="AL722" s="279"/>
      <c r="AM722" s="279"/>
      <c r="AN722" s="279"/>
      <c r="AO722" s="279"/>
      <c r="AP722" s="279"/>
      <c r="AQ722" s="279"/>
      <c r="AR722" s="279"/>
      <c r="AS722" s="279"/>
      <c r="AT722" s="279"/>
      <c r="AU722" s="279"/>
      <c r="AV722" s="279"/>
      <c r="AW722" s="279"/>
      <c r="AX722" s="279"/>
      <c r="AY722" s="279"/>
      <c r="AZ722" s="279"/>
      <c r="BA722" s="279"/>
      <c r="BB722" s="279"/>
      <c r="BC722" s="279"/>
      <c r="BD722" s="279"/>
      <c r="BE722" s="279"/>
      <c r="BF722" s="279"/>
      <c r="BG722" s="279"/>
      <c r="BH722" s="279"/>
      <c r="BI722" s="279"/>
      <c r="BJ722" s="279"/>
      <c r="BK722" s="279"/>
      <c r="BL722" s="279"/>
      <c r="BM722" s="279"/>
      <c r="BN722" s="279"/>
      <c r="BO722" s="279"/>
      <c r="BP722" s="279"/>
      <c r="BQ722" s="279"/>
      <c r="BR722" s="279"/>
      <c r="BS722" s="279"/>
      <c r="BT722" s="279"/>
      <c r="BU722" s="279"/>
      <c r="BV722" s="279"/>
      <c r="BW722" s="279"/>
      <c r="BX722" s="279"/>
      <c r="BY722" s="279"/>
      <c r="BZ722" s="279"/>
      <c r="CA722" s="279"/>
      <c r="CB722" s="279"/>
      <c r="CC722" s="279"/>
      <c r="CD722" s="279"/>
      <c r="CE722" s="279"/>
      <c r="CF722" s="279"/>
      <c r="CG722" s="279"/>
      <c r="CH722" s="279"/>
      <c r="CI722" s="279"/>
      <c r="CJ722" s="279"/>
      <c r="CK722" s="279"/>
      <c r="CL722" s="279"/>
      <c r="CM722" s="279"/>
      <c r="CN722" s="382"/>
    </row>
    <row r="723" ht="16.2" thickBot="true" x14ac:dyDescent="0.35">
      <c r="B723" s="361"/>
      <c r="C723" s="279"/>
      <c r="D723" s="280"/>
      <c r="E723" s="287"/>
      <c r="F723" s="287"/>
      <c r="G723" s="287"/>
      <c r="H723" s="280"/>
      <c r="I723" s="304"/>
      <c r="J723" s="279"/>
      <c r="K723" s="280"/>
      <c r="L723" s="362"/>
      <c r="M723" s="287"/>
      <c r="N723" s="296"/>
      <c r="O723" s="280"/>
      <c r="P723" s="280"/>
      <c r="Q723" s="279"/>
      <c r="R723" s="297"/>
      <c r="S723" s="298"/>
      <c r="T723" s="298"/>
      <c r="U723" s="299"/>
      <c r="V723" s="279"/>
      <c r="W723" s="279"/>
      <c r="X723" s="279"/>
      <c r="Y723" s="279"/>
      <c r="Z723" s="279"/>
      <c r="AA723" s="279"/>
      <c r="AB723" s="279"/>
      <c r="AC723" s="279"/>
      <c r="AD723" s="279"/>
      <c r="AE723" s="279"/>
      <c r="AF723" s="279"/>
      <c r="AG723" s="279"/>
      <c r="AH723" s="279"/>
      <c r="AI723" s="279"/>
      <c r="AJ723" s="279"/>
      <c r="AK723" s="279"/>
      <c r="AL723" s="279"/>
      <c r="AM723" s="279"/>
      <c r="AN723" s="279"/>
      <c r="AO723" s="279"/>
      <c r="AP723" s="279"/>
      <c r="AQ723" s="279"/>
      <c r="AR723" s="279"/>
      <c r="AS723" s="279"/>
      <c r="AT723" s="279"/>
      <c r="AU723" s="279"/>
      <c r="AV723" s="279"/>
      <c r="AW723" s="279"/>
      <c r="AX723" s="279"/>
      <c r="AY723" s="279"/>
      <c r="AZ723" s="279"/>
      <c r="BA723" s="279"/>
      <c r="BB723" s="279"/>
      <c r="BC723" s="279"/>
      <c r="BD723" s="279"/>
      <c r="BE723" s="279"/>
      <c r="BF723" s="279"/>
      <c r="BG723" s="279"/>
      <c r="BH723" s="279"/>
      <c r="BI723" s="279"/>
      <c r="BJ723" s="279"/>
      <c r="BK723" s="279"/>
      <c r="BL723" s="279"/>
      <c r="BM723" s="279"/>
      <c r="BN723" s="279"/>
      <c r="BO723" s="279"/>
      <c r="BP723" s="279"/>
      <c r="BQ723" s="279"/>
      <c r="BR723" s="279"/>
      <c r="BS723" s="279"/>
      <c r="BT723" s="279"/>
      <c r="BU723" s="279"/>
      <c r="BV723" s="279"/>
      <c r="BW723" s="279"/>
      <c r="BX723" s="279"/>
      <c r="BY723" s="279"/>
      <c r="BZ723" s="279"/>
      <c r="CA723" s="279"/>
      <c r="CB723" s="279"/>
      <c r="CC723" s="279"/>
      <c r="CD723" s="279"/>
      <c r="CE723" s="279"/>
      <c r="CF723" s="279"/>
      <c r="CG723" s="279"/>
      <c r="CH723" s="279"/>
      <c r="CI723" s="279"/>
      <c r="CJ723" s="279"/>
      <c r="CK723" s="279"/>
      <c r="CL723" s="279"/>
      <c r="CM723" s="279"/>
      <c r="CN723" s="382"/>
    </row>
    <row r="724" ht="27" customHeight="true" thickBot="true" x14ac:dyDescent="0.35">
      <c r="B724" s="361"/>
      <c r="C724" s="279"/>
      <c r="D724" s="280"/>
      <c r="E724" s="287"/>
      <c r="F724" s="287"/>
      <c r="G724" s="287"/>
      <c r="H724" s="1950" t="s">
        <v>393</v>
      </c>
      <c r="I724" s="1951"/>
      <c r="J724" s="1951"/>
      <c r="K724" s="1951"/>
      <c r="L724" s="1952"/>
      <c r="M724" s="287"/>
      <c r="N724" s="296"/>
      <c r="O724" s="280"/>
      <c r="P724" s="280"/>
      <c r="Q724" s="279"/>
      <c r="R724" s="297"/>
      <c r="S724" s="298"/>
      <c r="T724" s="298"/>
      <c r="U724" s="299"/>
      <c r="V724" s="279"/>
      <c r="W724" s="279"/>
      <c r="X724" s="279"/>
      <c r="Y724" s="279"/>
      <c r="Z724" s="279"/>
      <c r="AA724" s="279"/>
      <c r="AB724" s="279"/>
      <c r="AC724" s="279"/>
      <c r="AD724" s="279"/>
      <c r="AE724" s="279"/>
      <c r="AF724" s="279"/>
      <c r="AG724" s="279"/>
      <c r="AH724" s="279"/>
      <c r="AI724" s="279"/>
      <c r="AJ724" s="279"/>
      <c r="AK724" s="279"/>
      <c r="AL724" s="279"/>
      <c r="AM724" s="279"/>
      <c r="AN724" s="279"/>
      <c r="AO724" s="279"/>
      <c r="AP724" s="279"/>
      <c r="AQ724" s="279"/>
      <c r="AR724" s="279"/>
      <c r="AS724" s="279"/>
      <c r="AT724" s="279"/>
      <c r="AU724" s="279"/>
      <c r="AV724" s="279"/>
      <c r="AW724" s="279"/>
      <c r="AX724" s="279"/>
      <c r="AY724" s="279"/>
      <c r="AZ724" s="279"/>
      <c r="BA724" s="279"/>
      <c r="BB724" s="279"/>
      <c r="BC724" s="279"/>
      <c r="BD724" s="279"/>
      <c r="BE724" s="279"/>
      <c r="BF724" s="279"/>
      <c r="BG724" s="279"/>
      <c r="BH724" s="279"/>
      <c r="BI724" s="279"/>
      <c r="BJ724" s="279"/>
      <c r="BK724" s="279"/>
      <c r="BL724" s="279"/>
      <c r="BM724" s="279"/>
      <c r="BN724" s="279"/>
      <c r="BO724" s="279"/>
      <c r="BP724" s="279"/>
      <c r="BQ724" s="279"/>
      <c r="BR724" s="279"/>
      <c r="BS724" s="279"/>
      <c r="BT724" s="279"/>
      <c r="BU724" s="279"/>
      <c r="BV724" s="279"/>
      <c r="BW724" s="279"/>
      <c r="BX724" s="279"/>
      <c r="BY724" s="279"/>
      <c r="BZ724" s="279"/>
      <c r="CA724" s="279"/>
      <c r="CB724" s="279"/>
      <c r="CC724" s="279"/>
      <c r="CD724" s="279"/>
      <c r="CE724" s="279"/>
      <c r="CF724" s="279"/>
      <c r="CG724" s="279"/>
      <c r="CH724" s="279"/>
      <c r="CI724" s="279"/>
      <c r="CJ724" s="279"/>
      <c r="CK724" s="279"/>
      <c r="CL724" s="279"/>
      <c r="CM724" s="279"/>
      <c r="CN724" s="382"/>
    </row>
    <row r="725" ht="28.8" x14ac:dyDescent="0.25">
      <c r="B725" s="361"/>
      <c r="C725" s="279"/>
      <c r="D725" s="280"/>
      <c r="E725" s="287"/>
      <c r="F725" s="287"/>
      <c r="G725" s="287"/>
      <c r="H725" s="282" t="s">
        <v>1469</v>
      </c>
      <c r="I725" s="283" t="s">
        <v>245</v>
      </c>
      <c r="J725" s="1166" t="s">
        <v>205</v>
      </c>
      <c r="K725" s="1166" t="s">
        <v>241</v>
      </c>
      <c r="L725" s="1949" t="s">
        <v>254</v>
      </c>
      <c r="M725" s="1949"/>
      <c r="N725" s="1949"/>
      <c r="O725" s="288" t="s">
        <v>253</v>
      </c>
      <c r="P725" s="283" t="s">
        <v>396</v>
      </c>
      <c r="Q725" s="1166" t="s">
        <v>289</v>
      </c>
      <c r="R725" s="295" t="s">
        <v>395</v>
      </c>
      <c r="S725" s="298"/>
      <c r="T725" s="298"/>
      <c r="U725" s="299"/>
      <c r="V725" s="279"/>
      <c r="W725" s="279"/>
      <c r="X725" s="279"/>
      <c r="Y725" s="279"/>
      <c r="Z725" s="279"/>
      <c r="AA725" s="279"/>
      <c r="AB725" s="279"/>
      <c r="AC725" s="279"/>
      <c r="AD725" s="279"/>
      <c r="AE725" s="279"/>
      <c r="AF725" s="279"/>
      <c r="AG725" s="279"/>
      <c r="AH725" s="279"/>
      <c r="AI725" s="279"/>
      <c r="AJ725" s="279"/>
      <c r="AK725" s="279"/>
      <c r="AL725" s="279"/>
      <c r="AM725" s="279"/>
      <c r="AN725" s="279"/>
      <c r="AO725" s="279"/>
      <c r="AP725" s="279"/>
      <c r="AQ725" s="279"/>
      <c r="AR725" s="279"/>
      <c r="AS725" s="279"/>
      <c r="AT725" s="279"/>
      <c r="AU725" s="279"/>
      <c r="AV725" s="279"/>
      <c r="AW725" s="279"/>
      <c r="AX725" s="279"/>
      <c r="AY725" s="279"/>
      <c r="AZ725" s="279"/>
      <c r="BA725" s="279"/>
      <c r="BB725" s="279"/>
      <c r="BC725" s="279"/>
      <c r="BD725" s="279"/>
      <c r="BE725" s="279"/>
      <c r="BF725" s="279"/>
      <c r="BG725" s="279"/>
      <c r="BH725" s="279"/>
      <c r="BI725" s="279"/>
      <c r="BJ725" s="279"/>
      <c r="BK725" s="279"/>
      <c r="BL725" s="279"/>
      <c r="BM725" s="279"/>
      <c r="BN725" s="279"/>
      <c r="BO725" s="279"/>
      <c r="BP725" s="279"/>
      <c r="BQ725" s="279"/>
      <c r="BR725" s="279"/>
      <c r="BS725" s="279"/>
      <c r="BT725" s="279"/>
      <c r="BU725" s="279"/>
      <c r="BV725" s="279"/>
      <c r="BW725" s="279"/>
      <c r="BX725" s="279"/>
      <c r="BY725" s="279"/>
      <c r="BZ725" s="279"/>
      <c r="CA725" s="279"/>
      <c r="CB725" s="279"/>
      <c r="CC725" s="279"/>
      <c r="CD725" s="279"/>
      <c r="CE725" s="279"/>
      <c r="CF725" s="279"/>
      <c r="CG725" s="279"/>
      <c r="CH725" s="279"/>
      <c r="CI725" s="279"/>
      <c r="CJ725" s="279"/>
      <c r="CK725" s="279"/>
      <c r="CL725" s="279"/>
      <c r="CM725" s="279"/>
      <c r="CN725" s="382"/>
    </row>
    <row r="726" x14ac:dyDescent="0.25">
      <c r="B726" s="361"/>
      <c r="C726" s="279"/>
      <c r="D726" s="280"/>
      <c r="E726" s="287"/>
      <c r="F726" s="287"/>
      <c r="G726" s="287"/>
      <c r="H726" s="1292">
        <f t="shared" ref="H726:H775" si="32">H142</f>
        <v>1</v>
      </c>
      <c r="I726" s="1295">
        <f>IF('I. Stream &amp; Compound Data'!AG262&lt;&gt;"",'I. Stream &amp; Compound Data'!AG262,"")</f>
        <v>0.36099999999999999</v>
      </c>
      <c r="J726" s="1295" t="str">
        <f>IF('I. Stream &amp; Compound Data'!AR262&lt;&gt;"",'I. Stream &amp; Compound Data'!AR262,IF('I. Stream &amp; Compound Data'!AS262&lt;&gt;"",'I. Stream &amp; Compound Data'!AS262,""))</f>
        <v>26/27/28</v>
      </c>
      <c r="K726" s="1190" t="str">
        <f>IF('I. Stream &amp; Compound Data'!AX262&lt;&gt;"",'I. Stream &amp; Compound Data'!AX262,"")</f>
        <v>nwg</v>
      </c>
      <c r="L726" s="290">
        <f>IF(H726&gt;'I. Stream &amp; Compound Data'!$F$18,"",IF(I726="","N/A",ROUND(IF(I726&lt;=0.1,1,IF(AND(I726&gt;0.1,I726&lt;1000),-0.109*LN(I726)+0.75,0)),3)))</f>
        <v>0.86099999999999999</v>
      </c>
      <c r="M726" s="1168" t="str">
        <f>IF(H726&gt;'I. Stream &amp; Compound Data'!$F$18,"",IF(L726="N/A",IF(J726="","N/A",IF(J726=50,0.875,IF(J726=51,0.625,IF(J726=52,0.375,0)))),"N/A"))</f>
        <v>N/A</v>
      </c>
      <c r="N726" s="1287" t="str">
        <f>IF(H726&gt;'I. Stream &amp; Compound Data'!$F$18,"",IF(AND(L726="N/A",M726="N/A"),IF(K726="","N/A",IF(K726=3,0.875,IF(K726=2,0.5,IF(K726=1,0.125,0)))),"N/A"))</f>
        <v>N/A</v>
      </c>
      <c r="O726" s="1294">
        <f>IF(H726&gt;'I. Stream &amp; Compound Data'!$F$18,"",IF(I142="","N/A",IF(L726&lt;&gt;"N/A",L726,IF(M726&lt;&gt;"N/A",M726,IF(N726&lt;&gt;"N/A",N726,"NO DATA AVAILABLE")))))</f>
        <v>0.86099999999999999</v>
      </c>
      <c r="P726" s="1294">
        <f>IF(H726&gt;'I. Stream &amp; Compound Data'!$F$18,"",IF(O726="N/A",0,10^(4*O726+1)))</f>
        <v>27797.132677592923</v>
      </c>
      <c r="Q726" s="1294">
        <f>'I. Stream &amp; Compound Data'!P262</f>
        <v>2980.7504537999998</v>
      </c>
      <c r="R726" s="1297">
        <f>IF(Q726="","",IF('I. Stream &amp; Compound Data'!E32="H2O",0,P726*Q726))</f>
        <v>82856315.843073905</v>
      </c>
      <c r="S726" s="298"/>
      <c r="T726" s="298"/>
      <c r="U726" s="299"/>
      <c r="V726" s="279"/>
      <c r="W726" s="279"/>
      <c r="X726" s="279"/>
      <c r="Y726" s="279"/>
      <c r="Z726" s="279"/>
      <c r="AA726" s="279"/>
      <c r="AB726" s="279"/>
      <c r="AC726" s="279"/>
      <c r="AD726" s="279"/>
      <c r="AE726" s="279"/>
      <c r="AF726" s="279"/>
      <c r="AG726" s="279"/>
      <c r="AH726" s="279"/>
      <c r="AI726" s="279"/>
      <c r="AJ726" s="279"/>
      <c r="AK726" s="279"/>
      <c r="AL726" s="279"/>
      <c r="AM726" s="279"/>
      <c r="AN726" s="279"/>
      <c r="AO726" s="279"/>
      <c r="AP726" s="279"/>
      <c r="AQ726" s="279"/>
      <c r="AR726" s="279"/>
      <c r="AS726" s="279"/>
      <c r="AT726" s="279"/>
      <c r="AU726" s="279"/>
      <c r="AV726" s="279"/>
      <c r="AW726" s="279"/>
      <c r="AX726" s="279"/>
      <c r="AY726" s="279"/>
      <c r="AZ726" s="279"/>
      <c r="BA726" s="279"/>
      <c r="BB726" s="279"/>
      <c r="BC726" s="279"/>
      <c r="BD726" s="279"/>
      <c r="BE726" s="279"/>
      <c r="BF726" s="279"/>
      <c r="BG726" s="279"/>
      <c r="BH726" s="279"/>
      <c r="BI726" s="279"/>
      <c r="BJ726" s="279"/>
      <c r="BK726" s="279"/>
      <c r="BL726" s="279"/>
      <c r="BM726" s="279"/>
      <c r="BN726" s="279"/>
      <c r="BO726" s="279"/>
      <c r="BP726" s="279"/>
      <c r="BQ726" s="279"/>
      <c r="BR726" s="279"/>
      <c r="BS726" s="279"/>
      <c r="BT726" s="279"/>
      <c r="BU726" s="279"/>
      <c r="BV726" s="279"/>
      <c r="BW726" s="279"/>
      <c r="BX726" s="279"/>
      <c r="BY726" s="279"/>
      <c r="BZ726" s="279"/>
      <c r="CA726" s="279"/>
      <c r="CB726" s="279"/>
      <c r="CC726" s="279"/>
      <c r="CD726" s="279"/>
      <c r="CE726" s="279"/>
      <c r="CF726" s="279"/>
      <c r="CG726" s="279"/>
      <c r="CH726" s="279"/>
      <c r="CI726" s="279"/>
      <c r="CJ726" s="279"/>
      <c r="CK726" s="279"/>
      <c r="CL726" s="279"/>
      <c r="CM726" s="279"/>
      <c r="CN726" s="382"/>
    </row>
    <row r="727" x14ac:dyDescent="0.25">
      <c r="B727" s="361"/>
      <c r="C727" s="279"/>
      <c r="D727" s="280"/>
      <c r="E727" s="287"/>
      <c r="F727" s="287"/>
      <c r="G727" s="287"/>
      <c r="H727" s="1292">
        <f t="shared" si="32"/>
        <v>2</v>
      </c>
      <c r="I727" s="1295">
        <f>IF('I. Stream &amp; Compound Data'!AG263&lt;&gt;"",'I. Stream &amp; Compound Data'!AG263,"")</f>
        <v>10000</v>
      </c>
      <c r="J727" s="1295" t="str">
        <f>IF('I. Stream &amp; Compound Data'!AR263&lt;&gt;"",'I. Stream &amp; Compound Data'!AR263,IF('I. Stream &amp; Compound Data'!AS263&lt;&gt;"",'I. Stream &amp; Compound Data'!AS263,""))</f>
        <v/>
      </c>
      <c r="K727" s="1190" t="str">
        <f>IF('I. Stream &amp; Compound Data'!AX263&lt;&gt;"",'I. Stream &amp; Compound Data'!AX263,"")</f>
        <v>nwg</v>
      </c>
      <c r="L727" s="290">
        <f>IF(H727&gt;'I. Stream &amp; Compound Data'!$F$18,"",IF(I727="","N/A",ROUND(IF(I727&lt;=0.1,1,IF(AND(I727&gt;0.1,I727&lt;1000),-0.109*LN(I727)+0.75,0)),3)))</f>
        <v>0</v>
      </c>
      <c r="M727" s="1168" t="str">
        <f>IF(H727&gt;'I. Stream &amp; Compound Data'!$F$18,"",IF(L727="N/A",IF(J727="","N/A",IF(J727=50,0.875,IF(J727=51,0.625,IF(J727=52,0.375,0)))),"N/A"))</f>
        <v>N/A</v>
      </c>
      <c r="N727" s="1287" t="str">
        <f>IF(H727&gt;'I. Stream &amp; Compound Data'!$F$18,"",IF(AND(L727="N/A",M727="N/A"),IF(K727="","N/A",IF(K727=3,0.875,IF(K727=2,0.5,IF(K727=1,0.125,0)))),"N/A"))</f>
        <v>N/A</v>
      </c>
      <c r="O727" s="1294">
        <f>IF(H727&gt;'I. Stream &amp; Compound Data'!$F$18,"",IF(I143="","N/A",IF(L727&lt;&gt;"N/A",L727,IF(M727&lt;&gt;"N/A",M727,IF(N727&lt;&gt;"N/A",N727,"NO DATA AVAILABLE")))))</f>
        <v>0</v>
      </c>
      <c r="P727" s="1294">
        <f>IF(H727&gt;'I. Stream &amp; Compound Data'!$F$18,"",IF(O727="N/A",0,10^(4*O727+1)))</f>
        <v>10</v>
      </c>
      <c r="Q727" s="1294">
        <f>'I. Stream &amp; Compound Data'!P263</f>
        <v>0</v>
      </c>
      <c r="R727" s="1297">
        <f>IF(Q727="","",IF('I. Stream &amp; Compound Data'!E33="H2O",0,P727*Q727))</f>
        <v>0</v>
      </c>
      <c r="S727" s="298"/>
      <c r="T727" s="298"/>
      <c r="U727" s="299"/>
      <c r="V727" s="279"/>
      <c r="W727" s="279"/>
      <c r="X727" s="279"/>
      <c r="Y727" s="279"/>
      <c r="Z727" s="279"/>
      <c r="AA727" s="279"/>
      <c r="AB727" s="279"/>
      <c r="AC727" s="279"/>
      <c r="AD727" s="279"/>
      <c r="AE727" s="279"/>
      <c r="AF727" s="279"/>
      <c r="AG727" s="279"/>
      <c r="AH727" s="279"/>
      <c r="AI727" s="279"/>
      <c r="AJ727" s="279"/>
      <c r="AK727" s="279"/>
      <c r="AL727" s="279"/>
      <c r="AM727" s="279"/>
      <c r="AN727" s="279"/>
      <c r="AO727" s="279"/>
      <c r="AP727" s="279"/>
      <c r="AQ727" s="279"/>
      <c r="AR727" s="279"/>
      <c r="AS727" s="279"/>
      <c r="AT727" s="279"/>
      <c r="AU727" s="279"/>
      <c r="AV727" s="279"/>
      <c r="AW727" s="279"/>
      <c r="AX727" s="279"/>
      <c r="AY727" s="279"/>
      <c r="AZ727" s="279"/>
      <c r="BA727" s="279"/>
      <c r="BB727" s="279"/>
      <c r="BC727" s="279"/>
      <c r="BD727" s="279"/>
      <c r="BE727" s="279"/>
      <c r="BF727" s="279"/>
      <c r="BG727" s="279"/>
      <c r="BH727" s="279"/>
      <c r="BI727" s="279"/>
      <c r="BJ727" s="279"/>
      <c r="BK727" s="279"/>
      <c r="BL727" s="279"/>
      <c r="BM727" s="279"/>
      <c r="BN727" s="279"/>
      <c r="BO727" s="279"/>
      <c r="BP727" s="279"/>
      <c r="BQ727" s="279"/>
      <c r="BR727" s="279"/>
      <c r="BS727" s="279"/>
      <c r="BT727" s="279"/>
      <c r="BU727" s="279"/>
      <c r="BV727" s="279"/>
      <c r="BW727" s="279"/>
      <c r="BX727" s="279"/>
      <c r="BY727" s="279"/>
      <c r="BZ727" s="279"/>
      <c r="CA727" s="279"/>
      <c r="CB727" s="279"/>
      <c r="CC727" s="279"/>
      <c r="CD727" s="279"/>
      <c r="CE727" s="279"/>
      <c r="CF727" s="279"/>
      <c r="CG727" s="279"/>
      <c r="CH727" s="279"/>
      <c r="CI727" s="279"/>
      <c r="CJ727" s="279"/>
      <c r="CK727" s="279"/>
      <c r="CL727" s="279"/>
      <c r="CM727" s="279"/>
      <c r="CN727" s="382"/>
    </row>
    <row r="728" x14ac:dyDescent="0.25">
      <c r="B728" s="361"/>
      <c r="C728" s="279"/>
      <c r="D728" s="280"/>
      <c r="E728" s="287"/>
      <c r="F728" s="287"/>
      <c r="G728" s="287"/>
      <c r="H728" s="1292">
        <f t="shared" si="32"/>
        <v>3</v>
      </c>
      <c r="I728" s="1295">
        <f>IF('I. Stream &amp; Compound Data'!AG264&lt;&gt;"",'I. Stream &amp; Compound Data'!AG264,"")</f>
        <v>50.6</v>
      </c>
      <c r="J728" s="1295" t="str">
        <f>IF('I. Stream &amp; Compound Data'!AR264&lt;&gt;"",'I. Stream &amp; Compound Data'!AR264,IF('I. Stream &amp; Compound Data'!AS264&lt;&gt;"",'I. Stream &amp; Compound Data'!AS264,""))</f>
        <v>20/21/22</v>
      </c>
      <c r="K728" s="1190">
        <f>IF('I. Stream &amp; Compound Data'!AX264&lt;&gt;"",'I. Stream &amp; Compound Data'!AX264,"")</f>
        <v>1</v>
      </c>
      <c r="L728" s="290">
        <f>IF(H728&gt;'I. Stream &amp; Compound Data'!$F$18,"",IF(I728="","N/A",ROUND(IF(I728&lt;=0.1,1,IF(AND(I728&gt;0.1,I728&lt;1000),-0.109*LN(I728)+0.75,0)),3)))</f>
        <v>0.32200000000000001</v>
      </c>
      <c r="M728" s="1168" t="str">
        <f>IF(H728&gt;'I. Stream &amp; Compound Data'!$F$18,"",IF(L728="N/A",IF(J728="","N/A",IF(J728=50,0.875,IF(J728=51,0.625,IF(J728=52,0.375,0)))),"N/A"))</f>
        <v>N/A</v>
      </c>
      <c r="N728" s="1287" t="str">
        <f>IF(H728&gt;'I. Stream &amp; Compound Data'!$F$18,"",IF(AND(L728="N/A",M728="N/A"),IF(K728="","N/A",IF(K728=3,0.875,IF(K728=2,0.5,IF(K728=1,0.125,0)))),"N/A"))</f>
        <v>N/A</v>
      </c>
      <c r="O728" s="1294">
        <f>IF(H728&gt;'I. Stream &amp; Compound Data'!$F$18,"",IF(I144="","N/A",IF(L728&lt;&gt;"N/A",L728,IF(M728&lt;&gt;"N/A",M728,IF(N728&lt;&gt;"N/A",N728,"NO DATA AVAILABLE")))))</f>
        <v>0.32200000000000001</v>
      </c>
      <c r="P728" s="1294">
        <f>IF(H728&gt;'I. Stream &amp; Compound Data'!$F$18,"",IF(O728="N/A",0,10^(4*O728+1)))</f>
        <v>194.08858775927794</v>
      </c>
      <c r="Q728" s="1294">
        <f>'I. Stream &amp; Compound Data'!P264</f>
        <v>0</v>
      </c>
      <c r="R728" s="1297">
        <f>IF(Q728="","",IF('I. Stream &amp; Compound Data'!E34="H2O",0,P728*Q728))</f>
        <v>0</v>
      </c>
      <c r="S728" s="298"/>
      <c r="T728" s="298"/>
      <c r="U728" s="299"/>
      <c r="V728" s="279"/>
      <c r="W728" s="279"/>
      <c r="X728" s="279"/>
      <c r="Y728" s="279"/>
      <c r="Z728" s="279"/>
      <c r="AA728" s="279"/>
      <c r="AB728" s="279"/>
      <c r="AC728" s="279"/>
      <c r="AD728" s="279"/>
      <c r="AE728" s="279"/>
      <c r="AF728" s="279"/>
      <c r="AG728" s="279"/>
      <c r="AH728" s="279"/>
      <c r="AI728" s="279"/>
      <c r="AJ728" s="279"/>
      <c r="AK728" s="279"/>
      <c r="AL728" s="279"/>
      <c r="AM728" s="279"/>
      <c r="AN728" s="279"/>
      <c r="AO728" s="279"/>
      <c r="AP728" s="279"/>
      <c r="AQ728" s="279"/>
      <c r="AR728" s="279"/>
      <c r="AS728" s="279"/>
      <c r="AT728" s="279"/>
      <c r="AU728" s="279"/>
      <c r="AV728" s="279"/>
      <c r="AW728" s="279"/>
      <c r="AX728" s="279"/>
      <c r="AY728" s="279"/>
      <c r="AZ728" s="279"/>
      <c r="BA728" s="279"/>
      <c r="BB728" s="279"/>
      <c r="BC728" s="279"/>
      <c r="BD728" s="279"/>
      <c r="BE728" s="279"/>
      <c r="BF728" s="279"/>
      <c r="BG728" s="279"/>
      <c r="BH728" s="279"/>
      <c r="BI728" s="279"/>
      <c r="BJ728" s="279"/>
      <c r="BK728" s="279"/>
      <c r="BL728" s="279"/>
      <c r="BM728" s="279"/>
      <c r="BN728" s="279"/>
      <c r="BO728" s="279"/>
      <c r="BP728" s="279"/>
      <c r="BQ728" s="279"/>
      <c r="BR728" s="279"/>
      <c r="BS728" s="279"/>
      <c r="BT728" s="279"/>
      <c r="BU728" s="279"/>
      <c r="BV728" s="279"/>
      <c r="BW728" s="279"/>
      <c r="BX728" s="279"/>
      <c r="BY728" s="279"/>
      <c r="BZ728" s="279"/>
      <c r="CA728" s="279"/>
      <c r="CB728" s="279"/>
      <c r="CC728" s="279"/>
      <c r="CD728" s="279"/>
      <c r="CE728" s="279"/>
      <c r="CF728" s="279"/>
      <c r="CG728" s="279"/>
      <c r="CH728" s="279"/>
      <c r="CI728" s="279"/>
      <c r="CJ728" s="279"/>
      <c r="CK728" s="279"/>
      <c r="CL728" s="279"/>
      <c r="CM728" s="279"/>
      <c r="CN728" s="382"/>
    </row>
    <row r="729" x14ac:dyDescent="0.25">
      <c r="B729" s="361"/>
      <c r="C729" s="279"/>
      <c r="D729" s="280"/>
      <c r="E729" s="287"/>
      <c r="F729" s="287"/>
      <c r="G729" s="287"/>
      <c r="H729" s="1292">
        <f t="shared" si="32"/>
        <v>4</v>
      </c>
      <c r="I729" s="1295">
        <f>IF('I. Stream &amp; Compound Data'!AG265&lt;&gt;"",'I. Stream &amp; Compound Data'!AG265,"")</f>
        <v>3</v>
      </c>
      <c r="J729" s="1295">
        <f>IF('I. Stream &amp; Compound Data'!AR265&lt;&gt;"",'I. Stream &amp; Compound Data'!AR265,IF('I. Stream &amp; Compound Data'!AS265&lt;&gt;"",'I. Stream &amp; Compound Data'!AS265,""))</f>
        <v>36</v>
      </c>
      <c r="K729" s="1190" t="str">
        <f>IF('I. Stream &amp; Compound Data'!AX265&lt;&gt;"",'I. Stream &amp; Compound Data'!AX265,"")</f>
        <v>nwg</v>
      </c>
      <c r="L729" s="290">
        <f>IF(H729&gt;'I. Stream &amp; Compound Data'!$F$18,"",IF(I729="","N/A",ROUND(IF(I729&lt;=0.1,1,IF(AND(I729&gt;0.1,I729&lt;1000),-0.109*LN(I729)+0.75,0)),3)))</f>
        <v>0.63</v>
      </c>
      <c r="M729" s="1168" t="str">
        <f>IF(H729&gt;'I. Stream &amp; Compound Data'!$F$18,"",IF(L729="N/A",IF(J729="","N/A",IF(J729=50,0.875,IF(J729=51,0.625,IF(J729=52,0.375,0)))),"N/A"))</f>
        <v>N/A</v>
      </c>
      <c r="N729" s="1287" t="str">
        <f>IF(H729&gt;'I. Stream &amp; Compound Data'!$F$18,"",IF(AND(L729="N/A",M729="N/A"),IF(K729="","N/A",IF(K729=3,0.875,IF(K729=2,0.5,IF(K729=1,0.125,0)))),"N/A"))</f>
        <v>N/A</v>
      </c>
      <c r="O729" s="1294">
        <f>IF(H729&gt;'I. Stream &amp; Compound Data'!$F$18,"",IF(I145="","N/A",IF(L729&lt;&gt;"N/A",L729,IF(M729&lt;&gt;"N/A",M729,IF(N729&lt;&gt;"N/A",N729,"NO DATA AVAILABLE")))))</f>
        <v>0.63</v>
      </c>
      <c r="P729" s="1294">
        <f>IF(H729&gt;'I. Stream &amp; Compound Data'!$F$18,"",IF(O729="N/A",0,10^(4*O729+1)))</f>
        <v>3311.3112148259115</v>
      </c>
      <c r="Q729" s="1294">
        <f>'I. Stream &amp; Compound Data'!P265</f>
        <v>0</v>
      </c>
      <c r="R729" s="1297">
        <f>IF(Q729="","",IF('I. Stream &amp; Compound Data'!E35="H2O",0,P729*Q729))</f>
        <v>0</v>
      </c>
      <c r="S729" s="298"/>
      <c r="T729" s="298"/>
      <c r="U729" s="299"/>
      <c r="V729" s="279"/>
      <c r="W729" s="279"/>
      <c r="X729" s="279"/>
      <c r="Y729" s="279"/>
      <c r="Z729" s="279"/>
      <c r="AA729" s="279"/>
      <c r="AB729" s="279"/>
      <c r="AC729" s="279"/>
      <c r="AD729" s="279"/>
      <c r="AE729" s="279"/>
      <c r="AF729" s="279"/>
      <c r="AG729" s="279"/>
      <c r="AH729" s="279"/>
      <c r="AI729" s="279"/>
      <c r="AJ729" s="279"/>
      <c r="AK729" s="279"/>
      <c r="AL729" s="279"/>
      <c r="AM729" s="279"/>
      <c r="AN729" s="279"/>
      <c r="AO729" s="279"/>
      <c r="AP729" s="279"/>
      <c r="AQ729" s="279"/>
      <c r="AR729" s="279"/>
      <c r="AS729" s="279"/>
      <c r="AT729" s="279"/>
      <c r="AU729" s="279"/>
      <c r="AV729" s="279"/>
      <c r="AW729" s="279"/>
      <c r="AX729" s="279"/>
      <c r="AY729" s="279"/>
      <c r="AZ729" s="279"/>
      <c r="BA729" s="279"/>
      <c r="BB729" s="279"/>
      <c r="BC729" s="279"/>
      <c r="BD729" s="279"/>
      <c r="BE729" s="279"/>
      <c r="BF729" s="279"/>
      <c r="BG729" s="279"/>
      <c r="BH729" s="279"/>
      <c r="BI729" s="279"/>
      <c r="BJ729" s="279"/>
      <c r="BK729" s="279"/>
      <c r="BL729" s="279"/>
      <c r="BM729" s="279"/>
      <c r="BN729" s="279"/>
      <c r="BO729" s="279"/>
      <c r="BP729" s="279"/>
      <c r="BQ729" s="279"/>
      <c r="BR729" s="279"/>
      <c r="BS729" s="279"/>
      <c r="BT729" s="279"/>
      <c r="BU729" s="279"/>
      <c r="BV729" s="279"/>
      <c r="BW729" s="279"/>
      <c r="BX729" s="279"/>
      <c r="BY729" s="279"/>
      <c r="BZ729" s="279"/>
      <c r="CA729" s="279"/>
      <c r="CB729" s="279"/>
      <c r="CC729" s="279"/>
      <c r="CD729" s="279"/>
      <c r="CE729" s="279"/>
      <c r="CF729" s="279"/>
      <c r="CG729" s="279"/>
      <c r="CH729" s="279"/>
      <c r="CI729" s="279"/>
      <c r="CJ729" s="279"/>
      <c r="CK729" s="279"/>
      <c r="CL729" s="279"/>
      <c r="CM729" s="279"/>
      <c r="CN729" s="382"/>
    </row>
    <row r="730" x14ac:dyDescent="0.25">
      <c r="B730" s="361"/>
      <c r="C730" s="279"/>
      <c r="D730" s="280"/>
      <c r="E730" s="287"/>
      <c r="F730" s="287"/>
      <c r="G730" s="287"/>
      <c r="H730" s="1292">
        <f t="shared" si="32"/>
        <v>5</v>
      </c>
      <c r="I730" s="1295" t="str">
        <f>IF('I. Stream &amp; Compound Data'!AG266&lt;&gt;"",'I. Stream &amp; Compound Data'!AG266,"")</f>
        <v/>
      </c>
      <c r="J730" s="1295" t="str">
        <f>IF('I. Stream &amp; Compound Data'!AR266&lt;&gt;"",'I. Stream &amp; Compound Data'!AR266,IF('I. Stream &amp; Compound Data'!AS266&lt;&gt;"",'I. Stream &amp; Compound Data'!AS266,""))</f>
        <v/>
      </c>
      <c r="K730" s="1190" t="str">
        <f>IF('I. Stream &amp; Compound Data'!AX266&lt;&gt;"",'I. Stream &amp; Compound Data'!AX266,"")</f>
        <v/>
      </c>
      <c r="L730" s="290" t="str">
        <f>IF(H730&gt;'I. Stream &amp; Compound Data'!$F$18,"",IF(I730="","N/A",ROUND(IF(I730&lt;=0.1,1,IF(AND(I730&gt;0.1,I730&lt;1000),-0.109*LN(I730)+0.75,0)),3)))</f>
        <v/>
      </c>
      <c r="M730" s="1168" t="str">
        <f>IF(H730&gt;'I. Stream &amp; Compound Data'!$F$18,"",IF(L730="N/A",IF(J730="","N/A",IF(J730=50,0.875,IF(J730=51,0.625,IF(J730=52,0.375,0)))),"N/A"))</f>
        <v/>
      </c>
      <c r="N730" s="1287" t="str">
        <f>IF(H730&gt;'I. Stream &amp; Compound Data'!$F$18,"",IF(AND(L730="N/A",M730="N/A"),IF(K730="","N/A",IF(K730=3,0.875,IF(K730=2,0.5,IF(K730=1,0.125,0)))),"N/A"))</f>
        <v/>
      </c>
      <c r="O730" s="1294" t="str">
        <f>IF(H730&gt;'I. Stream &amp; Compound Data'!$F$18,"",IF(I146="","N/A",IF(L730&lt;&gt;"N/A",L730,IF(M730&lt;&gt;"N/A",M730,IF(N730&lt;&gt;"N/A",N730,"NO DATA AVAILABLE")))))</f>
        <v/>
      </c>
      <c r="P730" s="1294" t="str">
        <f>IF(H730&gt;'I. Stream &amp; Compound Data'!$F$18,"",IF(O730="N/A",0,10^(4*O730+1)))</f>
        <v/>
      </c>
      <c r="Q730" s="1294" t="str">
        <f>'I. Stream &amp; Compound Data'!P266</f>
        <v/>
      </c>
      <c r="R730" s="1297" t="str">
        <f>IF(Q730="","",IF('I. Stream &amp; Compound Data'!E36="H2O",0,P730*Q730))</f>
        <v/>
      </c>
      <c r="S730" s="298"/>
      <c r="T730" s="298"/>
      <c r="U730" s="299"/>
      <c r="V730" s="279"/>
      <c r="W730" s="279"/>
      <c r="X730" s="279"/>
      <c r="Y730" s="279"/>
      <c r="Z730" s="279"/>
      <c r="AA730" s="279"/>
      <c r="AB730" s="279"/>
      <c r="AC730" s="279"/>
      <c r="AD730" s="279"/>
      <c r="AE730" s="279"/>
      <c r="AF730" s="279"/>
      <c r="AG730" s="279"/>
      <c r="AH730" s="279"/>
      <c r="AI730" s="279"/>
      <c r="AJ730" s="279"/>
      <c r="AK730" s="279"/>
      <c r="AL730" s="279"/>
      <c r="AM730" s="279"/>
      <c r="AN730" s="279"/>
      <c r="AO730" s="279"/>
      <c r="AP730" s="279"/>
      <c r="AQ730" s="279"/>
      <c r="AR730" s="279"/>
      <c r="AS730" s="279"/>
      <c r="AT730" s="279"/>
      <c r="AU730" s="279"/>
      <c r="AV730" s="279"/>
      <c r="AW730" s="279"/>
      <c r="AX730" s="279"/>
      <c r="AY730" s="279"/>
      <c r="AZ730" s="279"/>
      <c r="BA730" s="279"/>
      <c r="BB730" s="279"/>
      <c r="BC730" s="279"/>
      <c r="BD730" s="279"/>
      <c r="BE730" s="279"/>
      <c r="BF730" s="279"/>
      <c r="BG730" s="279"/>
      <c r="BH730" s="279"/>
      <c r="BI730" s="279"/>
      <c r="BJ730" s="279"/>
      <c r="BK730" s="279"/>
      <c r="BL730" s="279"/>
      <c r="BM730" s="279"/>
      <c r="BN730" s="279"/>
      <c r="BO730" s="279"/>
      <c r="BP730" s="279"/>
      <c r="BQ730" s="279"/>
      <c r="BR730" s="279"/>
      <c r="BS730" s="279"/>
      <c r="BT730" s="279"/>
      <c r="BU730" s="279"/>
      <c r="BV730" s="279"/>
      <c r="BW730" s="279"/>
      <c r="BX730" s="279"/>
      <c r="BY730" s="279"/>
      <c r="BZ730" s="279"/>
      <c r="CA730" s="279"/>
      <c r="CB730" s="279"/>
      <c r="CC730" s="279"/>
      <c r="CD730" s="279"/>
      <c r="CE730" s="279"/>
      <c r="CF730" s="279"/>
      <c r="CG730" s="279"/>
      <c r="CH730" s="279"/>
      <c r="CI730" s="279"/>
      <c r="CJ730" s="279"/>
      <c r="CK730" s="279"/>
      <c r="CL730" s="279"/>
      <c r="CM730" s="279"/>
      <c r="CN730" s="382"/>
    </row>
    <row r="731" x14ac:dyDescent="0.25">
      <c r="B731" s="361"/>
      <c r="C731" s="279"/>
      <c r="D731" s="280"/>
      <c r="E731" s="287"/>
      <c r="F731" s="287"/>
      <c r="G731" s="287"/>
      <c r="H731" s="1292">
        <f t="shared" si="32"/>
        <v>6</v>
      </c>
      <c r="I731" s="1295" t="str">
        <f>IF('I. Stream &amp; Compound Data'!AG267&lt;&gt;"",'I. Stream &amp; Compound Data'!AG267,"")</f>
        <v/>
      </c>
      <c r="J731" s="1295" t="str">
        <f>IF('I. Stream &amp; Compound Data'!AR267&lt;&gt;"",'I. Stream &amp; Compound Data'!AR267,IF('I. Stream &amp; Compound Data'!AS267&lt;&gt;"",'I. Stream &amp; Compound Data'!AS267,""))</f>
        <v/>
      </c>
      <c r="K731" s="1190" t="str">
        <f>IF('I. Stream &amp; Compound Data'!AX267&lt;&gt;"",'I. Stream &amp; Compound Data'!AX267,"")</f>
        <v/>
      </c>
      <c r="L731" s="290" t="str">
        <f>IF(H731&gt;'I. Stream &amp; Compound Data'!$F$18,"",IF(I731="","N/A",ROUND(IF(I731&lt;=0.1,1,IF(AND(I731&gt;0.1,I731&lt;1000),-0.109*LN(I731)+0.75,0)),3)))</f>
        <v/>
      </c>
      <c r="M731" s="1168" t="str">
        <f>IF(H731&gt;'I. Stream &amp; Compound Data'!$F$18,"",IF(L731="N/A",IF(J731="","N/A",IF(J731=50,0.875,IF(J731=51,0.625,IF(J731=52,0.375,0)))),"N/A"))</f>
        <v/>
      </c>
      <c r="N731" s="1287" t="str">
        <f>IF(H731&gt;'I. Stream &amp; Compound Data'!$F$18,"",IF(AND(L731="N/A",M731="N/A"),IF(K731="","N/A",IF(K731=3,0.875,IF(K731=2,0.5,IF(K731=1,0.125,0)))),"N/A"))</f>
        <v/>
      </c>
      <c r="O731" s="1294" t="str">
        <f>IF(H731&gt;'I. Stream &amp; Compound Data'!$F$18,"",IF(I147="","N/A",IF(L731&lt;&gt;"N/A",L731,IF(M731&lt;&gt;"N/A",M731,IF(N731&lt;&gt;"N/A",N731,"NO DATA AVAILABLE")))))</f>
        <v/>
      </c>
      <c r="P731" s="1294" t="str">
        <f>IF(H731&gt;'I. Stream &amp; Compound Data'!$F$18,"",IF(O731="N/A",0,10^(4*O731+1)))</f>
        <v/>
      </c>
      <c r="Q731" s="1294" t="str">
        <f>'I. Stream &amp; Compound Data'!P267</f>
        <v/>
      </c>
      <c r="R731" s="1297" t="str">
        <f>IF(Q731="","",IF('I. Stream &amp; Compound Data'!E37="H2O",0,P731*Q731))</f>
        <v/>
      </c>
      <c r="S731" s="298"/>
      <c r="T731" s="298"/>
      <c r="U731" s="299"/>
      <c r="V731" s="279"/>
      <c r="W731" s="279"/>
      <c r="X731" s="279"/>
      <c r="Y731" s="279"/>
      <c r="Z731" s="279"/>
      <c r="AA731" s="279"/>
      <c r="AB731" s="279"/>
      <c r="AC731" s="279"/>
      <c r="AD731" s="279"/>
      <c r="AE731" s="279"/>
      <c r="AF731" s="279"/>
      <c r="AG731" s="279"/>
      <c r="AH731" s="279"/>
      <c r="AI731" s="279"/>
      <c r="AJ731" s="279"/>
      <c r="AK731" s="279"/>
      <c r="AL731" s="279"/>
      <c r="AM731" s="279"/>
      <c r="AN731" s="279"/>
      <c r="AO731" s="279"/>
      <c r="AP731" s="279"/>
      <c r="AQ731" s="279"/>
      <c r="AR731" s="279"/>
      <c r="AS731" s="279"/>
      <c r="AT731" s="279"/>
      <c r="AU731" s="279"/>
      <c r="AV731" s="279"/>
      <c r="AW731" s="279"/>
      <c r="AX731" s="279"/>
      <c r="AY731" s="279"/>
      <c r="AZ731" s="279"/>
      <c r="BA731" s="279"/>
      <c r="BB731" s="279"/>
      <c r="BC731" s="279"/>
      <c r="BD731" s="279"/>
      <c r="BE731" s="279"/>
      <c r="BF731" s="279"/>
      <c r="BG731" s="279"/>
      <c r="BH731" s="279"/>
      <c r="BI731" s="279"/>
      <c r="BJ731" s="279"/>
      <c r="BK731" s="279"/>
      <c r="BL731" s="279"/>
      <c r="BM731" s="279"/>
      <c r="BN731" s="279"/>
      <c r="BO731" s="279"/>
      <c r="BP731" s="279"/>
      <c r="BQ731" s="279"/>
      <c r="BR731" s="279"/>
      <c r="BS731" s="279"/>
      <c r="BT731" s="279"/>
      <c r="BU731" s="279"/>
      <c r="BV731" s="279"/>
      <c r="BW731" s="279"/>
      <c r="BX731" s="279"/>
      <c r="BY731" s="279"/>
      <c r="BZ731" s="279"/>
      <c r="CA731" s="279"/>
      <c r="CB731" s="279"/>
      <c r="CC731" s="279"/>
      <c r="CD731" s="279"/>
      <c r="CE731" s="279"/>
      <c r="CF731" s="279"/>
      <c r="CG731" s="279"/>
      <c r="CH731" s="279"/>
      <c r="CI731" s="279"/>
      <c r="CJ731" s="279"/>
      <c r="CK731" s="279"/>
      <c r="CL731" s="279"/>
      <c r="CM731" s="279"/>
      <c r="CN731" s="382"/>
    </row>
    <row r="732" x14ac:dyDescent="0.25">
      <c r="B732" s="361"/>
      <c r="C732" s="279"/>
      <c r="D732" s="280"/>
      <c r="E732" s="287"/>
      <c r="F732" s="287"/>
      <c r="G732" s="287"/>
      <c r="H732" s="1292">
        <f t="shared" si="32"/>
        <v>7</v>
      </c>
      <c r="I732" s="1295" t="str">
        <f>IF('I. Stream &amp; Compound Data'!AG268&lt;&gt;"",'I. Stream &amp; Compound Data'!AG268,"")</f>
        <v/>
      </c>
      <c r="J732" s="1295" t="str">
        <f>IF('I. Stream &amp; Compound Data'!AR268&lt;&gt;"",'I. Stream &amp; Compound Data'!AR268,IF('I. Stream &amp; Compound Data'!AS268&lt;&gt;"",'I. Stream &amp; Compound Data'!AS268,""))</f>
        <v/>
      </c>
      <c r="K732" s="1190" t="str">
        <f>IF('I. Stream &amp; Compound Data'!AX268&lt;&gt;"",'I. Stream &amp; Compound Data'!AX268,"")</f>
        <v/>
      </c>
      <c r="L732" s="290" t="str">
        <f>IF(H732&gt;'I. Stream &amp; Compound Data'!$F$18,"",IF(I732="","N/A",ROUND(IF(I732&lt;=0.1,1,IF(AND(I732&gt;0.1,I732&lt;1000),-0.109*LN(I732)+0.75,0)),3)))</f>
        <v/>
      </c>
      <c r="M732" s="1168" t="str">
        <f>IF(H732&gt;'I. Stream &amp; Compound Data'!$F$18,"",IF(L732="N/A",IF(J732="","N/A",IF(J732=50,0.875,IF(J732=51,0.625,IF(J732=52,0.375,0)))),"N/A"))</f>
        <v/>
      </c>
      <c r="N732" s="1287" t="str">
        <f>IF(H732&gt;'I. Stream &amp; Compound Data'!$F$18,"",IF(AND(L732="N/A",M732="N/A"),IF(K732="","N/A",IF(K732=3,0.875,IF(K732=2,0.5,IF(K732=1,0.125,0)))),"N/A"))</f>
        <v/>
      </c>
      <c r="O732" s="1294" t="str">
        <f>IF(H732&gt;'I. Stream &amp; Compound Data'!$F$18,"",IF(I148="","N/A",IF(L732&lt;&gt;"N/A",L732,IF(M732&lt;&gt;"N/A",M732,IF(N732&lt;&gt;"N/A",N732,"NO DATA AVAILABLE")))))</f>
        <v/>
      </c>
      <c r="P732" s="1294" t="str">
        <f>IF(H732&gt;'I. Stream &amp; Compound Data'!$F$18,"",IF(O732="N/A",0,10^(4*O732+1)))</f>
        <v/>
      </c>
      <c r="Q732" s="1294" t="str">
        <f>'I. Stream &amp; Compound Data'!P268</f>
        <v/>
      </c>
      <c r="R732" s="1297" t="str">
        <f>IF(Q732="","",IF('I. Stream &amp; Compound Data'!E38="H2O",0,P732*Q732))</f>
        <v/>
      </c>
      <c r="S732" s="298"/>
      <c r="T732" s="298"/>
      <c r="U732" s="299"/>
      <c r="V732" s="279"/>
      <c r="W732" s="279"/>
      <c r="X732" s="279"/>
      <c r="Y732" s="279"/>
      <c r="Z732" s="279"/>
      <c r="AA732" s="279"/>
      <c r="AB732" s="279"/>
      <c r="AC732" s="279"/>
      <c r="AD732" s="279"/>
      <c r="AE732" s="279"/>
      <c r="AF732" s="279"/>
      <c r="AG732" s="279"/>
      <c r="AH732" s="279"/>
      <c r="AI732" s="279"/>
      <c r="AJ732" s="279"/>
      <c r="AK732" s="279"/>
      <c r="AL732" s="279"/>
      <c r="AM732" s="279"/>
      <c r="AN732" s="279"/>
      <c r="AO732" s="279"/>
      <c r="AP732" s="279"/>
      <c r="AQ732" s="279"/>
      <c r="AR732" s="279"/>
      <c r="AS732" s="279"/>
      <c r="AT732" s="279"/>
      <c r="AU732" s="279"/>
      <c r="AV732" s="279"/>
      <c r="AW732" s="279"/>
      <c r="AX732" s="279"/>
      <c r="AY732" s="279"/>
      <c r="AZ732" s="279"/>
      <c r="BA732" s="279"/>
      <c r="BB732" s="279"/>
      <c r="BC732" s="279"/>
      <c r="BD732" s="279"/>
      <c r="BE732" s="279"/>
      <c r="BF732" s="279"/>
      <c r="BG732" s="279"/>
      <c r="BH732" s="279"/>
      <c r="BI732" s="279"/>
      <c r="BJ732" s="279"/>
      <c r="BK732" s="279"/>
      <c r="BL732" s="279"/>
      <c r="BM732" s="279"/>
      <c r="BN732" s="279"/>
      <c r="BO732" s="279"/>
      <c r="BP732" s="279"/>
      <c r="BQ732" s="279"/>
      <c r="BR732" s="279"/>
      <c r="BS732" s="279"/>
      <c r="BT732" s="279"/>
      <c r="BU732" s="279"/>
      <c r="BV732" s="279"/>
      <c r="BW732" s="279"/>
      <c r="BX732" s="279"/>
      <c r="BY732" s="279"/>
      <c r="BZ732" s="279"/>
      <c r="CA732" s="279"/>
      <c r="CB732" s="279"/>
      <c r="CC732" s="279"/>
      <c r="CD732" s="279"/>
      <c r="CE732" s="279"/>
      <c r="CF732" s="279"/>
      <c r="CG732" s="279"/>
      <c r="CH732" s="279"/>
      <c r="CI732" s="279"/>
      <c r="CJ732" s="279"/>
      <c r="CK732" s="279"/>
      <c r="CL732" s="279"/>
      <c r="CM732" s="279"/>
      <c r="CN732" s="382"/>
    </row>
    <row r="733" x14ac:dyDescent="0.25">
      <c r="B733" s="361"/>
      <c r="C733" s="279"/>
      <c r="D733" s="280"/>
      <c r="E733" s="287"/>
      <c r="F733" s="287"/>
      <c r="G733" s="287"/>
      <c r="H733" s="1292">
        <f t="shared" si="32"/>
        <v>8</v>
      </c>
      <c r="I733" s="1295" t="str">
        <f>IF('I. Stream &amp; Compound Data'!AG269&lt;&gt;"",'I. Stream &amp; Compound Data'!AG269,"")</f>
        <v/>
      </c>
      <c r="J733" s="1295" t="str">
        <f>IF('I. Stream &amp; Compound Data'!AR269&lt;&gt;"",'I. Stream &amp; Compound Data'!AR269,IF('I. Stream &amp; Compound Data'!AS269&lt;&gt;"",'I. Stream &amp; Compound Data'!AS269,""))</f>
        <v/>
      </c>
      <c r="K733" s="1190" t="str">
        <f>IF('I. Stream &amp; Compound Data'!AX269&lt;&gt;"",'I. Stream &amp; Compound Data'!AX269,"")</f>
        <v/>
      </c>
      <c r="L733" s="290" t="str">
        <f>IF(H733&gt;'I. Stream &amp; Compound Data'!$F$18,"",IF(I733="","N/A",ROUND(IF(I733&lt;=0.1,1,IF(AND(I733&gt;0.1,I733&lt;1000),-0.109*LN(I733)+0.75,0)),3)))</f>
        <v/>
      </c>
      <c r="M733" s="1168" t="str">
        <f>IF(H733&gt;'I. Stream &amp; Compound Data'!$F$18,"",IF(L733="N/A",IF(J733="","N/A",IF(J733=50,0.875,IF(J733=51,0.625,IF(J733=52,0.375,0)))),"N/A"))</f>
        <v/>
      </c>
      <c r="N733" s="1287" t="str">
        <f>IF(H733&gt;'I. Stream &amp; Compound Data'!$F$18,"",IF(AND(L733="N/A",M733="N/A"),IF(K733="","N/A",IF(K733=3,0.875,IF(K733=2,0.5,IF(K733=1,0.125,0)))),"N/A"))</f>
        <v/>
      </c>
      <c r="O733" s="1294" t="str">
        <f>IF(H733&gt;'I. Stream &amp; Compound Data'!$F$18,"",IF(I149="","N/A",IF(L733&lt;&gt;"N/A",L733,IF(M733&lt;&gt;"N/A",M733,IF(N733&lt;&gt;"N/A",N733,"NO DATA AVAILABLE")))))</f>
        <v/>
      </c>
      <c r="P733" s="1294" t="str">
        <f>IF(H733&gt;'I. Stream &amp; Compound Data'!$F$18,"",IF(O733="N/A",0,10^(4*O733+1)))</f>
        <v/>
      </c>
      <c r="Q733" s="1294" t="str">
        <f>'I. Stream &amp; Compound Data'!P269</f>
        <v/>
      </c>
      <c r="R733" s="1297" t="str">
        <f>IF(Q733="","",IF('I. Stream &amp; Compound Data'!E39="H2O",0,P733*Q733))</f>
        <v/>
      </c>
      <c r="S733" s="298"/>
      <c r="T733" s="298"/>
      <c r="U733" s="299"/>
      <c r="V733" s="279"/>
      <c r="W733" s="279"/>
      <c r="X733" s="279"/>
      <c r="Y733" s="279"/>
      <c r="Z733" s="279"/>
      <c r="AA733" s="279"/>
      <c r="AB733" s="279"/>
      <c r="AC733" s="279"/>
      <c r="AD733" s="279"/>
      <c r="AE733" s="279"/>
      <c r="AF733" s="279"/>
      <c r="AG733" s="279"/>
      <c r="AH733" s="279"/>
      <c r="AI733" s="279"/>
      <c r="AJ733" s="279"/>
      <c r="AK733" s="279"/>
      <c r="AL733" s="279"/>
      <c r="AM733" s="279"/>
      <c r="AN733" s="279"/>
      <c r="AO733" s="279"/>
      <c r="AP733" s="279"/>
      <c r="AQ733" s="279"/>
      <c r="AR733" s="279"/>
      <c r="AS733" s="279"/>
      <c r="AT733" s="279"/>
      <c r="AU733" s="279"/>
      <c r="AV733" s="279"/>
      <c r="AW733" s="279"/>
      <c r="AX733" s="279"/>
      <c r="AY733" s="279"/>
      <c r="AZ733" s="279"/>
      <c r="BA733" s="279"/>
      <c r="BB733" s="279"/>
      <c r="BC733" s="279"/>
      <c r="BD733" s="279"/>
      <c r="BE733" s="279"/>
      <c r="BF733" s="279"/>
      <c r="BG733" s="279"/>
      <c r="BH733" s="279"/>
      <c r="BI733" s="279"/>
      <c r="BJ733" s="279"/>
      <c r="BK733" s="279"/>
      <c r="BL733" s="279"/>
      <c r="BM733" s="279"/>
      <c r="BN733" s="279"/>
      <c r="BO733" s="279"/>
      <c r="BP733" s="279"/>
      <c r="BQ733" s="279"/>
      <c r="BR733" s="279"/>
      <c r="BS733" s="279"/>
      <c r="BT733" s="279"/>
      <c r="BU733" s="279"/>
      <c r="BV733" s="279"/>
      <c r="BW733" s="279"/>
      <c r="BX733" s="279"/>
      <c r="BY733" s="279"/>
      <c r="BZ733" s="279"/>
      <c r="CA733" s="279"/>
      <c r="CB733" s="279"/>
      <c r="CC733" s="279"/>
      <c r="CD733" s="279"/>
      <c r="CE733" s="279"/>
      <c r="CF733" s="279"/>
      <c r="CG733" s="279"/>
      <c r="CH733" s="279"/>
      <c r="CI733" s="279"/>
      <c r="CJ733" s="279"/>
      <c r="CK733" s="279"/>
      <c r="CL733" s="279"/>
      <c r="CM733" s="279"/>
      <c r="CN733" s="382"/>
    </row>
    <row r="734" x14ac:dyDescent="0.25">
      <c r="B734" s="361"/>
      <c r="C734" s="279"/>
      <c r="D734" s="280"/>
      <c r="E734" s="287"/>
      <c r="F734" s="287"/>
      <c r="G734" s="287"/>
      <c r="H734" s="1292">
        <f t="shared" si="32"/>
        <v>9</v>
      </c>
      <c r="I734" s="1295" t="str">
        <f>IF('I. Stream &amp; Compound Data'!AG270&lt;&gt;"",'I. Stream &amp; Compound Data'!AG270,"")</f>
        <v/>
      </c>
      <c r="J734" s="1295" t="str">
        <f>IF('I. Stream &amp; Compound Data'!AR270&lt;&gt;"",'I. Stream &amp; Compound Data'!AR270,IF('I. Stream &amp; Compound Data'!AS270&lt;&gt;"",'I. Stream &amp; Compound Data'!AS270,""))</f>
        <v/>
      </c>
      <c r="K734" s="1190" t="str">
        <f>IF('I. Stream &amp; Compound Data'!AX270&lt;&gt;"",'I. Stream &amp; Compound Data'!AX270,"")</f>
        <v/>
      </c>
      <c r="L734" s="290" t="str">
        <f>IF(H734&gt;'I. Stream &amp; Compound Data'!$F$18,"",IF(I734="","N/A",ROUND(IF(I734&lt;=0.1,1,IF(AND(I734&gt;0.1,I734&lt;1000),-0.109*LN(I734)+0.75,0)),3)))</f>
        <v/>
      </c>
      <c r="M734" s="1168" t="str">
        <f>IF(H734&gt;'I. Stream &amp; Compound Data'!$F$18,"",IF(L734="N/A",IF(J734="","N/A",IF(J734=50,0.875,IF(J734=51,0.625,IF(J734=52,0.375,0)))),"N/A"))</f>
        <v/>
      </c>
      <c r="N734" s="1287" t="str">
        <f>IF(H734&gt;'I. Stream &amp; Compound Data'!$F$18,"",IF(AND(L734="N/A",M734="N/A"),IF(K734="","N/A",IF(K734=3,0.875,IF(K734=2,0.5,IF(K734=1,0.125,0)))),"N/A"))</f>
        <v/>
      </c>
      <c r="O734" s="1294" t="str">
        <f>IF(H734&gt;'I. Stream &amp; Compound Data'!$F$18,"",IF(I150="","N/A",IF(L734&lt;&gt;"N/A",L734,IF(M734&lt;&gt;"N/A",M734,IF(N734&lt;&gt;"N/A",N734,"NO DATA AVAILABLE")))))</f>
        <v/>
      </c>
      <c r="P734" s="1294" t="str">
        <f>IF(H734&gt;'I. Stream &amp; Compound Data'!$F$18,"",IF(O734="N/A",0,10^(4*O734+1)))</f>
        <v/>
      </c>
      <c r="Q734" s="1294" t="str">
        <f>'I. Stream &amp; Compound Data'!P270</f>
        <v/>
      </c>
      <c r="R734" s="1297" t="str">
        <f>IF(Q734="","",IF('I. Stream &amp; Compound Data'!E40="H2O",0,P734*Q734))</f>
        <v/>
      </c>
      <c r="S734" s="298"/>
      <c r="T734" s="298"/>
      <c r="U734" s="299"/>
      <c r="V734" s="279"/>
      <c r="W734" s="279"/>
      <c r="X734" s="279"/>
      <c r="Y734" s="279"/>
      <c r="Z734" s="279"/>
      <c r="AA734" s="279"/>
      <c r="AB734" s="279"/>
      <c r="AC734" s="279"/>
      <c r="AD734" s="279"/>
      <c r="AE734" s="279"/>
      <c r="AF734" s="279"/>
      <c r="AG734" s="279"/>
      <c r="AH734" s="279"/>
      <c r="AI734" s="279"/>
      <c r="AJ734" s="279"/>
      <c r="AK734" s="279"/>
      <c r="AL734" s="279"/>
      <c r="AM734" s="279"/>
      <c r="AN734" s="279"/>
      <c r="AO734" s="279"/>
      <c r="AP734" s="279"/>
      <c r="AQ734" s="279"/>
      <c r="AR734" s="279"/>
      <c r="AS734" s="279"/>
      <c r="AT734" s="279"/>
      <c r="AU734" s="279"/>
      <c r="AV734" s="279"/>
      <c r="AW734" s="279"/>
      <c r="AX734" s="279"/>
      <c r="AY734" s="279"/>
      <c r="AZ734" s="279"/>
      <c r="BA734" s="279"/>
      <c r="BB734" s="279"/>
      <c r="BC734" s="279"/>
      <c r="BD734" s="279"/>
      <c r="BE734" s="279"/>
      <c r="BF734" s="279"/>
      <c r="BG734" s="279"/>
      <c r="BH734" s="279"/>
      <c r="BI734" s="279"/>
      <c r="BJ734" s="279"/>
      <c r="BK734" s="279"/>
      <c r="BL734" s="279"/>
      <c r="BM734" s="279"/>
      <c r="BN734" s="279"/>
      <c r="BO734" s="279"/>
      <c r="BP734" s="279"/>
      <c r="BQ734" s="279"/>
      <c r="BR734" s="279"/>
      <c r="BS734" s="279"/>
      <c r="BT734" s="279"/>
      <c r="BU734" s="279"/>
      <c r="BV734" s="279"/>
      <c r="BW734" s="279"/>
      <c r="BX734" s="279"/>
      <c r="BY734" s="279"/>
      <c r="BZ734" s="279"/>
      <c r="CA734" s="279"/>
      <c r="CB734" s="279"/>
      <c r="CC734" s="279"/>
      <c r="CD734" s="279"/>
      <c r="CE734" s="279"/>
      <c r="CF734" s="279"/>
      <c r="CG734" s="279"/>
      <c r="CH734" s="279"/>
      <c r="CI734" s="279"/>
      <c r="CJ734" s="279"/>
      <c r="CK734" s="279"/>
      <c r="CL734" s="279"/>
      <c r="CM734" s="279"/>
      <c r="CN734" s="382"/>
    </row>
    <row r="735" x14ac:dyDescent="0.25">
      <c r="B735" s="361"/>
      <c r="C735" s="279"/>
      <c r="D735" s="280"/>
      <c r="E735" s="287"/>
      <c r="F735" s="287"/>
      <c r="G735" s="287"/>
      <c r="H735" s="1292">
        <f t="shared" si="32"/>
        <v>10</v>
      </c>
      <c r="I735" s="1295" t="str">
        <f>IF('I. Stream &amp; Compound Data'!AG271&lt;&gt;"",'I. Stream &amp; Compound Data'!AG271,"")</f>
        <v/>
      </c>
      <c r="J735" s="1295" t="str">
        <f>IF('I. Stream &amp; Compound Data'!AR271&lt;&gt;"",'I. Stream &amp; Compound Data'!AR271,IF('I. Stream &amp; Compound Data'!AS271&lt;&gt;"",'I. Stream &amp; Compound Data'!AS271,""))</f>
        <v/>
      </c>
      <c r="K735" s="1190" t="str">
        <f>IF('I. Stream &amp; Compound Data'!AX271&lt;&gt;"",'I. Stream &amp; Compound Data'!AX271,"")</f>
        <v/>
      </c>
      <c r="L735" s="290" t="str">
        <f>IF(H735&gt;'I. Stream &amp; Compound Data'!$F$18,"",IF(I735="","N/A",ROUND(IF(I735&lt;=0.1,1,IF(AND(I735&gt;0.1,I735&lt;1000),-0.109*LN(I735)+0.75,0)),3)))</f>
        <v/>
      </c>
      <c r="M735" s="1168" t="str">
        <f>IF(H735&gt;'I. Stream &amp; Compound Data'!$F$18,"",IF(L735="N/A",IF(J735="","N/A",IF(J735=50,0.875,IF(J735=51,0.625,IF(J735=52,0.375,0)))),"N/A"))</f>
        <v/>
      </c>
      <c r="N735" s="1287" t="str">
        <f>IF(H735&gt;'I. Stream &amp; Compound Data'!$F$18,"",IF(AND(L735="N/A",M735="N/A"),IF(K735="","N/A",IF(K735=3,0.875,IF(K735=2,0.5,IF(K735=1,0.125,0)))),"N/A"))</f>
        <v/>
      </c>
      <c r="O735" s="1294" t="str">
        <f>IF(H735&gt;'I. Stream &amp; Compound Data'!$F$18,"",IF(I151="","N/A",IF(L735&lt;&gt;"N/A",L735,IF(M735&lt;&gt;"N/A",M735,IF(N735&lt;&gt;"N/A",N735,"NO DATA AVAILABLE")))))</f>
        <v/>
      </c>
      <c r="P735" s="1294" t="str">
        <f>IF(H735&gt;'I. Stream &amp; Compound Data'!$F$18,"",IF(O735="N/A",0,10^(4*O735+1)))</f>
        <v/>
      </c>
      <c r="Q735" s="1294" t="str">
        <f>'I. Stream &amp; Compound Data'!P271</f>
        <v/>
      </c>
      <c r="R735" s="1297" t="str">
        <f>IF(Q735="","",IF('I. Stream &amp; Compound Data'!E41="H2O",0,P735*Q735))</f>
        <v/>
      </c>
      <c r="S735" s="298"/>
      <c r="T735" s="298"/>
      <c r="U735" s="299"/>
      <c r="V735" s="279"/>
      <c r="W735" s="279"/>
      <c r="X735" s="279"/>
      <c r="Y735" s="279"/>
      <c r="Z735" s="279"/>
      <c r="AA735" s="279"/>
      <c r="AB735" s="279"/>
      <c r="AC735" s="279"/>
      <c r="AD735" s="279"/>
      <c r="AE735" s="279"/>
      <c r="AF735" s="279"/>
      <c r="AG735" s="279"/>
      <c r="AH735" s="279"/>
      <c r="AI735" s="279"/>
      <c r="AJ735" s="279"/>
      <c r="AK735" s="279"/>
      <c r="AL735" s="279"/>
      <c r="AM735" s="279"/>
      <c r="AN735" s="279"/>
      <c r="AO735" s="279"/>
      <c r="AP735" s="279"/>
      <c r="AQ735" s="279"/>
      <c r="AR735" s="279"/>
      <c r="AS735" s="279"/>
      <c r="AT735" s="279"/>
      <c r="AU735" s="279"/>
      <c r="AV735" s="279"/>
      <c r="AW735" s="279"/>
      <c r="AX735" s="279"/>
      <c r="AY735" s="279"/>
      <c r="AZ735" s="279"/>
      <c r="BA735" s="279"/>
      <c r="BB735" s="279"/>
      <c r="BC735" s="279"/>
      <c r="BD735" s="279"/>
      <c r="BE735" s="279"/>
      <c r="BF735" s="279"/>
      <c r="BG735" s="279"/>
      <c r="BH735" s="279"/>
      <c r="BI735" s="279"/>
      <c r="BJ735" s="279"/>
      <c r="BK735" s="279"/>
      <c r="BL735" s="279"/>
      <c r="BM735" s="279"/>
      <c r="BN735" s="279"/>
      <c r="BO735" s="279"/>
      <c r="BP735" s="279"/>
      <c r="BQ735" s="279"/>
      <c r="BR735" s="279"/>
      <c r="BS735" s="279"/>
      <c r="BT735" s="279"/>
      <c r="BU735" s="279"/>
      <c r="BV735" s="279"/>
      <c r="BW735" s="279"/>
      <c r="BX735" s="279"/>
      <c r="BY735" s="279"/>
      <c r="BZ735" s="279"/>
      <c r="CA735" s="279"/>
      <c r="CB735" s="279"/>
      <c r="CC735" s="279"/>
      <c r="CD735" s="279"/>
      <c r="CE735" s="279"/>
      <c r="CF735" s="279"/>
      <c r="CG735" s="279"/>
      <c r="CH735" s="279"/>
      <c r="CI735" s="279"/>
      <c r="CJ735" s="279"/>
      <c r="CK735" s="279"/>
      <c r="CL735" s="279"/>
      <c r="CM735" s="279"/>
      <c r="CN735" s="382"/>
    </row>
    <row r="736" x14ac:dyDescent="0.25">
      <c r="B736" s="361"/>
      <c r="C736" s="279"/>
      <c r="D736" s="280"/>
      <c r="E736" s="287"/>
      <c r="F736" s="287"/>
      <c r="G736" s="287"/>
      <c r="H736" s="1292">
        <f t="shared" si="32"/>
        <v>11</v>
      </c>
      <c r="I736" s="1295" t="str">
        <f>IF('I. Stream &amp; Compound Data'!AG272&lt;&gt;"",'I. Stream &amp; Compound Data'!AG272,"")</f>
        <v/>
      </c>
      <c r="J736" s="1295" t="str">
        <f>IF('I. Stream &amp; Compound Data'!AR272&lt;&gt;"",'I. Stream &amp; Compound Data'!AR272,IF('I. Stream &amp; Compound Data'!AS272&lt;&gt;"",'I. Stream &amp; Compound Data'!AS272,""))</f>
        <v/>
      </c>
      <c r="K736" s="1190" t="str">
        <f>IF('I. Stream &amp; Compound Data'!AX272&lt;&gt;"",'I. Stream &amp; Compound Data'!AX272,"")</f>
        <v/>
      </c>
      <c r="L736" s="290" t="str">
        <f>IF(H736&gt;'I. Stream &amp; Compound Data'!$F$18,"",IF(I736="","N/A",ROUND(IF(I736&lt;=0.1,1,IF(AND(I736&gt;0.1,I736&lt;1000),-0.109*LN(I736)+0.75,0)),3)))</f>
        <v/>
      </c>
      <c r="M736" s="1168" t="str">
        <f>IF(H736&gt;'I. Stream &amp; Compound Data'!$F$18,"",IF(L736="N/A",IF(J736="","N/A",IF(J736=50,0.875,IF(J736=51,0.625,IF(J736=52,0.375,0)))),"N/A"))</f>
        <v/>
      </c>
      <c r="N736" s="1287" t="str">
        <f>IF(H736&gt;'I. Stream &amp; Compound Data'!$F$18,"",IF(AND(L736="N/A",M736="N/A"),IF(K736="","N/A",IF(K736=3,0.875,IF(K736=2,0.5,IF(K736=1,0.125,0)))),"N/A"))</f>
        <v/>
      </c>
      <c r="O736" s="1294" t="str">
        <f>IF(H736&gt;'I. Stream &amp; Compound Data'!$F$18,"",IF(I152="","N/A",IF(L736&lt;&gt;"N/A",L736,IF(M736&lt;&gt;"N/A",M736,IF(N736&lt;&gt;"N/A",N736,"NO DATA AVAILABLE")))))</f>
        <v/>
      </c>
      <c r="P736" s="1294" t="str">
        <f>IF(H736&gt;'I. Stream &amp; Compound Data'!$F$18,"",IF(O736="N/A",0,10^(4*O736+1)))</f>
        <v/>
      </c>
      <c r="Q736" s="1294" t="str">
        <f>'I. Stream &amp; Compound Data'!P272</f>
        <v/>
      </c>
      <c r="R736" s="1297" t="str">
        <f>IF(Q736="","",IF('I. Stream &amp; Compound Data'!E42="H2O",0,P736*Q736))</f>
        <v/>
      </c>
      <c r="S736" s="298"/>
      <c r="T736" s="298"/>
      <c r="U736" s="299"/>
      <c r="V736" s="279"/>
      <c r="W736" s="279"/>
      <c r="X736" s="279"/>
      <c r="Y736" s="279"/>
      <c r="Z736" s="279"/>
      <c r="AA736" s="279"/>
      <c r="AB736" s="279"/>
      <c r="AC736" s="279"/>
      <c r="AD736" s="279"/>
      <c r="AE736" s="279"/>
      <c r="AF736" s="279"/>
      <c r="AG736" s="279"/>
      <c r="AH736" s="279"/>
      <c r="AI736" s="279"/>
      <c r="AJ736" s="279"/>
      <c r="AK736" s="279"/>
      <c r="AL736" s="279"/>
      <c r="AM736" s="279"/>
      <c r="AN736" s="279"/>
      <c r="AO736" s="279"/>
      <c r="AP736" s="279"/>
      <c r="AQ736" s="279"/>
      <c r="AR736" s="279"/>
      <c r="AS736" s="279"/>
      <c r="AT736" s="279"/>
      <c r="AU736" s="279"/>
      <c r="AV736" s="279"/>
      <c r="AW736" s="279"/>
      <c r="AX736" s="279"/>
      <c r="AY736" s="279"/>
      <c r="AZ736" s="279"/>
      <c r="BA736" s="279"/>
      <c r="BB736" s="279"/>
      <c r="BC736" s="279"/>
      <c r="BD736" s="279"/>
      <c r="BE736" s="279"/>
      <c r="BF736" s="279"/>
      <c r="BG736" s="279"/>
      <c r="BH736" s="279"/>
      <c r="BI736" s="279"/>
      <c r="BJ736" s="279"/>
      <c r="BK736" s="279"/>
      <c r="BL736" s="279"/>
      <c r="BM736" s="279"/>
      <c r="BN736" s="279"/>
      <c r="BO736" s="279"/>
      <c r="BP736" s="279"/>
      <c r="BQ736" s="279"/>
      <c r="BR736" s="279"/>
      <c r="BS736" s="279"/>
      <c r="BT736" s="279"/>
      <c r="BU736" s="279"/>
      <c r="BV736" s="279"/>
      <c r="BW736" s="279"/>
      <c r="BX736" s="279"/>
      <c r="BY736" s="279"/>
      <c r="BZ736" s="279"/>
      <c r="CA736" s="279"/>
      <c r="CB736" s="279"/>
      <c r="CC736" s="279"/>
      <c r="CD736" s="279"/>
      <c r="CE736" s="279"/>
      <c r="CF736" s="279"/>
      <c r="CG736" s="279"/>
      <c r="CH736" s="279"/>
      <c r="CI736" s="279"/>
      <c r="CJ736" s="279"/>
      <c r="CK736" s="279"/>
      <c r="CL736" s="279"/>
      <c r="CM736" s="279"/>
      <c r="CN736" s="382"/>
    </row>
    <row r="737" x14ac:dyDescent="0.25">
      <c r="B737" s="361"/>
      <c r="C737" s="279"/>
      <c r="D737" s="280"/>
      <c r="E737" s="287"/>
      <c r="F737" s="287"/>
      <c r="G737" s="287"/>
      <c r="H737" s="1292">
        <f t="shared" si="32"/>
        <v>12</v>
      </c>
      <c r="I737" s="1295" t="str">
        <f>IF('I. Stream &amp; Compound Data'!AG273&lt;&gt;"",'I. Stream &amp; Compound Data'!AG273,"")</f>
        <v/>
      </c>
      <c r="J737" s="1295" t="str">
        <f>IF('I. Stream &amp; Compound Data'!AR273&lt;&gt;"",'I. Stream &amp; Compound Data'!AR273,IF('I. Stream &amp; Compound Data'!AS273&lt;&gt;"",'I. Stream &amp; Compound Data'!AS273,""))</f>
        <v/>
      </c>
      <c r="K737" s="1190" t="str">
        <f>IF('I. Stream &amp; Compound Data'!AX273&lt;&gt;"",'I. Stream &amp; Compound Data'!AX273,"")</f>
        <v/>
      </c>
      <c r="L737" s="290" t="str">
        <f>IF(H737&gt;'I. Stream &amp; Compound Data'!$F$18,"",IF(I737="","N/A",ROUND(IF(I737&lt;=0.1,1,IF(AND(I737&gt;0.1,I737&lt;1000),-0.109*LN(I737)+0.75,0)),3)))</f>
        <v/>
      </c>
      <c r="M737" s="1168" t="str">
        <f>IF(H737&gt;'I. Stream &amp; Compound Data'!$F$18,"",IF(L737="N/A",IF(J737="","N/A",IF(J737=50,0.875,IF(J737=51,0.625,IF(J737=52,0.375,0)))),"N/A"))</f>
        <v/>
      </c>
      <c r="N737" s="1287" t="str">
        <f>IF(H737&gt;'I. Stream &amp; Compound Data'!$F$18,"",IF(AND(L737="N/A",M737="N/A"),IF(K737="","N/A",IF(K737=3,0.875,IF(K737=2,0.5,IF(K737=1,0.125,0)))),"N/A"))</f>
        <v/>
      </c>
      <c r="O737" s="1294" t="str">
        <f>IF(H737&gt;'I. Stream &amp; Compound Data'!$F$18,"",IF(I153="","N/A",IF(L737&lt;&gt;"N/A",L737,IF(M737&lt;&gt;"N/A",M737,IF(N737&lt;&gt;"N/A",N737,"NO DATA AVAILABLE")))))</f>
        <v/>
      </c>
      <c r="P737" s="1294" t="str">
        <f>IF(H737&gt;'I. Stream &amp; Compound Data'!$F$18,"",IF(O737="N/A",0,10^(4*O737+1)))</f>
        <v/>
      </c>
      <c r="Q737" s="1294" t="str">
        <f>'I. Stream &amp; Compound Data'!P273</f>
        <v/>
      </c>
      <c r="R737" s="1297" t="str">
        <f>IF(Q737="","",IF('I. Stream &amp; Compound Data'!E43="H2O",0,P737*Q737))</f>
        <v/>
      </c>
      <c r="S737" s="298"/>
      <c r="T737" s="298"/>
      <c r="U737" s="299"/>
      <c r="V737" s="279"/>
      <c r="W737" s="279"/>
      <c r="X737" s="279"/>
      <c r="Y737" s="279"/>
      <c r="Z737" s="279"/>
      <c r="AA737" s="279"/>
      <c r="AB737" s="279"/>
      <c r="AC737" s="279"/>
      <c r="AD737" s="279"/>
      <c r="AE737" s="279"/>
      <c r="AF737" s="279"/>
      <c r="AG737" s="279"/>
      <c r="AH737" s="279"/>
      <c r="AI737" s="279"/>
      <c r="AJ737" s="279"/>
      <c r="AK737" s="279"/>
      <c r="AL737" s="279"/>
      <c r="AM737" s="279"/>
      <c r="AN737" s="279"/>
      <c r="AO737" s="279"/>
      <c r="AP737" s="279"/>
      <c r="AQ737" s="279"/>
      <c r="AR737" s="279"/>
      <c r="AS737" s="279"/>
      <c r="AT737" s="279"/>
      <c r="AU737" s="279"/>
      <c r="AV737" s="279"/>
      <c r="AW737" s="279"/>
      <c r="AX737" s="279"/>
      <c r="AY737" s="279"/>
      <c r="AZ737" s="279"/>
      <c r="BA737" s="279"/>
      <c r="BB737" s="279"/>
      <c r="BC737" s="279"/>
      <c r="BD737" s="279"/>
      <c r="BE737" s="279"/>
      <c r="BF737" s="279"/>
      <c r="BG737" s="279"/>
      <c r="BH737" s="279"/>
      <c r="BI737" s="279"/>
      <c r="BJ737" s="279"/>
      <c r="BK737" s="279"/>
      <c r="BL737" s="279"/>
      <c r="BM737" s="279"/>
      <c r="BN737" s="279"/>
      <c r="BO737" s="279"/>
      <c r="BP737" s="279"/>
      <c r="BQ737" s="279"/>
      <c r="BR737" s="279"/>
      <c r="BS737" s="279"/>
      <c r="BT737" s="279"/>
      <c r="BU737" s="279"/>
      <c r="BV737" s="279"/>
      <c r="BW737" s="279"/>
      <c r="BX737" s="279"/>
      <c r="BY737" s="279"/>
      <c r="BZ737" s="279"/>
      <c r="CA737" s="279"/>
      <c r="CB737" s="279"/>
      <c r="CC737" s="279"/>
      <c r="CD737" s="279"/>
      <c r="CE737" s="279"/>
      <c r="CF737" s="279"/>
      <c r="CG737" s="279"/>
      <c r="CH737" s="279"/>
      <c r="CI737" s="279"/>
      <c r="CJ737" s="279"/>
      <c r="CK737" s="279"/>
      <c r="CL737" s="279"/>
      <c r="CM737" s="279"/>
      <c r="CN737" s="382"/>
    </row>
    <row r="738" x14ac:dyDescent="0.25">
      <c r="B738" s="361"/>
      <c r="C738" s="279"/>
      <c r="D738" s="280"/>
      <c r="E738" s="287"/>
      <c r="F738" s="287"/>
      <c r="G738" s="287"/>
      <c r="H738" s="1292">
        <f t="shared" si="32"/>
        <v>13</v>
      </c>
      <c r="I738" s="1295" t="str">
        <f>IF('I. Stream &amp; Compound Data'!AG274&lt;&gt;"",'I. Stream &amp; Compound Data'!AG274,"")</f>
        <v/>
      </c>
      <c r="J738" s="1295" t="str">
        <f>IF('I. Stream &amp; Compound Data'!AR274&lt;&gt;"",'I. Stream &amp; Compound Data'!AR274,IF('I. Stream &amp; Compound Data'!AS274&lt;&gt;"",'I. Stream &amp; Compound Data'!AS274,""))</f>
        <v/>
      </c>
      <c r="K738" s="1190" t="str">
        <f>IF('I. Stream &amp; Compound Data'!AX274&lt;&gt;"",'I. Stream &amp; Compound Data'!AX274,"")</f>
        <v/>
      </c>
      <c r="L738" s="290" t="str">
        <f>IF(H738&gt;'I. Stream &amp; Compound Data'!$F$18,"",IF(I738="","N/A",ROUND(IF(I738&lt;=0.1,1,IF(AND(I738&gt;0.1,I738&lt;1000),-0.109*LN(I738)+0.75,0)),3)))</f>
        <v/>
      </c>
      <c r="M738" s="1168" t="str">
        <f>IF(H738&gt;'I. Stream &amp; Compound Data'!$F$18,"",IF(L738="N/A",IF(J738="","N/A",IF(J738=50,0.875,IF(J738=51,0.625,IF(J738=52,0.375,0)))),"N/A"))</f>
        <v/>
      </c>
      <c r="N738" s="1287" t="str">
        <f>IF(H738&gt;'I. Stream &amp; Compound Data'!$F$18,"",IF(AND(L738="N/A",M738="N/A"),IF(K738="","N/A",IF(K738=3,0.875,IF(K738=2,0.5,IF(K738=1,0.125,0)))),"N/A"))</f>
        <v/>
      </c>
      <c r="O738" s="1294" t="str">
        <f>IF(H738&gt;'I. Stream &amp; Compound Data'!$F$18,"",IF(I154="","N/A",IF(L738&lt;&gt;"N/A",L738,IF(M738&lt;&gt;"N/A",M738,IF(N738&lt;&gt;"N/A",N738,"NO DATA AVAILABLE")))))</f>
        <v/>
      </c>
      <c r="P738" s="1294" t="str">
        <f>IF(H738&gt;'I. Stream &amp; Compound Data'!$F$18,"",IF(O738="N/A",0,10^(4*O738+1)))</f>
        <v/>
      </c>
      <c r="Q738" s="1294" t="str">
        <f>'I. Stream &amp; Compound Data'!P274</f>
        <v/>
      </c>
      <c r="R738" s="1297" t="str">
        <f>IF(Q738="","",IF('I. Stream &amp; Compound Data'!E44="H2O",0,P738*Q738))</f>
        <v/>
      </c>
      <c r="S738" s="298"/>
      <c r="T738" s="298"/>
      <c r="U738" s="299"/>
      <c r="V738" s="279"/>
      <c r="W738" s="279"/>
      <c r="X738" s="279"/>
      <c r="Y738" s="279"/>
      <c r="Z738" s="279"/>
      <c r="AA738" s="279"/>
      <c r="AB738" s="279"/>
      <c r="AC738" s="279"/>
      <c r="AD738" s="279"/>
      <c r="AE738" s="279"/>
      <c r="AF738" s="279"/>
      <c r="AG738" s="279"/>
      <c r="AH738" s="279"/>
      <c r="AI738" s="279"/>
      <c r="AJ738" s="279"/>
      <c r="AK738" s="279"/>
      <c r="AL738" s="279"/>
      <c r="AM738" s="279"/>
      <c r="AN738" s="279"/>
      <c r="AO738" s="279"/>
      <c r="AP738" s="279"/>
      <c r="AQ738" s="279"/>
      <c r="AR738" s="279"/>
      <c r="AS738" s="279"/>
      <c r="AT738" s="279"/>
      <c r="AU738" s="279"/>
      <c r="AV738" s="279"/>
      <c r="AW738" s="279"/>
      <c r="AX738" s="279"/>
      <c r="AY738" s="279"/>
      <c r="AZ738" s="279"/>
      <c r="BA738" s="279"/>
      <c r="BB738" s="279"/>
      <c r="BC738" s="279"/>
      <c r="BD738" s="279"/>
      <c r="BE738" s="279"/>
      <c r="BF738" s="279"/>
      <c r="BG738" s="279"/>
      <c r="BH738" s="279"/>
      <c r="BI738" s="279"/>
      <c r="BJ738" s="279"/>
      <c r="BK738" s="279"/>
      <c r="BL738" s="279"/>
      <c r="BM738" s="279"/>
      <c r="BN738" s="279"/>
      <c r="BO738" s="279"/>
      <c r="BP738" s="279"/>
      <c r="BQ738" s="279"/>
      <c r="BR738" s="279"/>
      <c r="BS738" s="279"/>
      <c r="BT738" s="279"/>
      <c r="BU738" s="279"/>
      <c r="BV738" s="279"/>
      <c r="BW738" s="279"/>
      <c r="BX738" s="279"/>
      <c r="BY738" s="279"/>
      <c r="BZ738" s="279"/>
      <c r="CA738" s="279"/>
      <c r="CB738" s="279"/>
      <c r="CC738" s="279"/>
      <c r="CD738" s="279"/>
      <c r="CE738" s="279"/>
      <c r="CF738" s="279"/>
      <c r="CG738" s="279"/>
      <c r="CH738" s="279"/>
      <c r="CI738" s="279"/>
      <c r="CJ738" s="279"/>
      <c r="CK738" s="279"/>
      <c r="CL738" s="279"/>
      <c r="CM738" s="279"/>
      <c r="CN738" s="382"/>
    </row>
    <row r="739" x14ac:dyDescent="0.25">
      <c r="B739" s="361"/>
      <c r="C739" s="279"/>
      <c r="D739" s="280"/>
      <c r="E739" s="287"/>
      <c r="F739" s="287"/>
      <c r="G739" s="287"/>
      <c r="H739" s="1292">
        <f t="shared" si="32"/>
        <v>14</v>
      </c>
      <c r="I739" s="1295" t="str">
        <f>IF('I. Stream &amp; Compound Data'!AG275&lt;&gt;"",'I. Stream &amp; Compound Data'!AG275,"")</f>
        <v/>
      </c>
      <c r="J739" s="1295" t="str">
        <f>IF('I. Stream &amp; Compound Data'!AR275&lt;&gt;"",'I. Stream &amp; Compound Data'!AR275,IF('I. Stream &amp; Compound Data'!AS275&lt;&gt;"",'I. Stream &amp; Compound Data'!AS275,""))</f>
        <v/>
      </c>
      <c r="K739" s="1190" t="str">
        <f>IF('I. Stream &amp; Compound Data'!AX275&lt;&gt;"",'I. Stream &amp; Compound Data'!AX275,"")</f>
        <v/>
      </c>
      <c r="L739" s="290" t="str">
        <f>IF(H739&gt;'I. Stream &amp; Compound Data'!$F$18,"",IF(I739="","N/A",ROUND(IF(I739&lt;=0.1,1,IF(AND(I739&gt;0.1,I739&lt;1000),-0.109*LN(I739)+0.75,0)),3)))</f>
        <v/>
      </c>
      <c r="M739" s="1168" t="str">
        <f>IF(H739&gt;'I. Stream &amp; Compound Data'!$F$18,"",IF(L739="N/A",IF(J739="","N/A",IF(J739=50,0.875,IF(J739=51,0.625,IF(J739=52,0.375,0)))),"N/A"))</f>
        <v/>
      </c>
      <c r="N739" s="1287" t="str">
        <f>IF(H739&gt;'I. Stream &amp; Compound Data'!$F$18,"",IF(AND(L739="N/A",M739="N/A"),IF(K739="","N/A",IF(K739=3,0.875,IF(K739=2,0.5,IF(K739=1,0.125,0)))),"N/A"))</f>
        <v/>
      </c>
      <c r="O739" s="1294" t="str">
        <f>IF(H739&gt;'I. Stream &amp; Compound Data'!$F$18,"",IF(I155="","N/A",IF(L739&lt;&gt;"N/A",L739,IF(M739&lt;&gt;"N/A",M739,IF(N739&lt;&gt;"N/A",N739,"NO DATA AVAILABLE")))))</f>
        <v/>
      </c>
      <c r="P739" s="1294" t="str">
        <f>IF(H739&gt;'I. Stream &amp; Compound Data'!$F$18,"",IF(O739="N/A",0,10^(4*O739+1)))</f>
        <v/>
      </c>
      <c r="Q739" s="1294" t="str">
        <f>'I. Stream &amp; Compound Data'!P275</f>
        <v/>
      </c>
      <c r="R739" s="1297" t="str">
        <f>IF(Q739="","",IF('I. Stream &amp; Compound Data'!E45="H2O",0,P739*Q739))</f>
        <v/>
      </c>
      <c r="S739" s="298"/>
      <c r="T739" s="298"/>
      <c r="U739" s="299"/>
      <c r="V739" s="279"/>
      <c r="W739" s="279"/>
      <c r="X739" s="279"/>
      <c r="Y739" s="279"/>
      <c r="Z739" s="279"/>
      <c r="AA739" s="279"/>
      <c r="AB739" s="279"/>
      <c r="AC739" s="279"/>
      <c r="AD739" s="279"/>
      <c r="AE739" s="279"/>
      <c r="AF739" s="279"/>
      <c r="AG739" s="279"/>
      <c r="AH739" s="279"/>
      <c r="AI739" s="279"/>
      <c r="AJ739" s="279"/>
      <c r="AK739" s="279"/>
      <c r="AL739" s="279"/>
      <c r="AM739" s="279"/>
      <c r="AN739" s="279"/>
      <c r="AO739" s="279"/>
      <c r="AP739" s="279"/>
      <c r="AQ739" s="279"/>
      <c r="AR739" s="279"/>
      <c r="AS739" s="279"/>
      <c r="AT739" s="279"/>
      <c r="AU739" s="279"/>
      <c r="AV739" s="279"/>
      <c r="AW739" s="279"/>
      <c r="AX739" s="279"/>
      <c r="AY739" s="279"/>
      <c r="AZ739" s="279"/>
      <c r="BA739" s="279"/>
      <c r="BB739" s="279"/>
      <c r="BC739" s="279"/>
      <c r="BD739" s="279"/>
      <c r="BE739" s="279"/>
      <c r="BF739" s="279"/>
      <c r="BG739" s="279"/>
      <c r="BH739" s="279"/>
      <c r="BI739" s="279"/>
      <c r="BJ739" s="279"/>
      <c r="BK739" s="279"/>
      <c r="BL739" s="279"/>
      <c r="BM739" s="279"/>
      <c r="BN739" s="279"/>
      <c r="BO739" s="279"/>
      <c r="BP739" s="279"/>
      <c r="BQ739" s="279"/>
      <c r="BR739" s="279"/>
      <c r="BS739" s="279"/>
      <c r="BT739" s="279"/>
      <c r="BU739" s="279"/>
      <c r="BV739" s="279"/>
      <c r="BW739" s="279"/>
      <c r="BX739" s="279"/>
      <c r="BY739" s="279"/>
      <c r="BZ739" s="279"/>
      <c r="CA739" s="279"/>
      <c r="CB739" s="279"/>
      <c r="CC739" s="279"/>
      <c r="CD739" s="279"/>
      <c r="CE739" s="279"/>
      <c r="CF739" s="279"/>
      <c r="CG739" s="279"/>
      <c r="CH739" s="279"/>
      <c r="CI739" s="279"/>
      <c r="CJ739" s="279"/>
      <c r="CK739" s="279"/>
      <c r="CL739" s="279"/>
      <c r="CM739" s="279"/>
      <c r="CN739" s="382"/>
    </row>
    <row r="740" x14ac:dyDescent="0.25">
      <c r="B740" s="361"/>
      <c r="C740" s="279"/>
      <c r="D740" s="280"/>
      <c r="E740" s="287"/>
      <c r="F740" s="287"/>
      <c r="G740" s="287"/>
      <c r="H740" s="1292">
        <f t="shared" si="32"/>
        <v>15</v>
      </c>
      <c r="I740" s="1295" t="str">
        <f>IF('I. Stream &amp; Compound Data'!AG276&lt;&gt;"",'I. Stream &amp; Compound Data'!AG276,"")</f>
        <v/>
      </c>
      <c r="J740" s="1295" t="str">
        <f>IF('I. Stream &amp; Compound Data'!AR276&lt;&gt;"",'I. Stream &amp; Compound Data'!AR276,IF('I. Stream &amp; Compound Data'!AS276&lt;&gt;"",'I. Stream &amp; Compound Data'!AS276,""))</f>
        <v/>
      </c>
      <c r="K740" s="1190" t="str">
        <f>IF('I. Stream &amp; Compound Data'!AX276&lt;&gt;"",'I. Stream &amp; Compound Data'!AX276,"")</f>
        <v/>
      </c>
      <c r="L740" s="290" t="str">
        <f>IF(H740&gt;'I. Stream &amp; Compound Data'!$F$18,"",IF(I740="","N/A",ROUND(IF(I740&lt;=0.1,1,IF(AND(I740&gt;0.1,I740&lt;1000),-0.109*LN(I740)+0.75,0)),3)))</f>
        <v/>
      </c>
      <c r="M740" s="1168" t="str">
        <f>IF(H740&gt;'I. Stream &amp; Compound Data'!$F$18,"",IF(L740="N/A",IF(J740="","N/A",IF(J740=50,0.875,IF(J740=51,0.625,IF(J740=52,0.375,0)))),"N/A"))</f>
        <v/>
      </c>
      <c r="N740" s="1287" t="str">
        <f>IF(H740&gt;'I. Stream &amp; Compound Data'!$F$18,"",IF(AND(L740="N/A",M740="N/A"),IF(K740="","N/A",IF(K740=3,0.875,IF(K740=2,0.5,IF(K740=1,0.125,0)))),"N/A"))</f>
        <v/>
      </c>
      <c r="O740" s="1294" t="str">
        <f>IF(H740&gt;'I. Stream &amp; Compound Data'!$F$18,"",IF(I156="","N/A",IF(L740&lt;&gt;"N/A",L740,IF(M740&lt;&gt;"N/A",M740,IF(N740&lt;&gt;"N/A",N740,"NO DATA AVAILABLE")))))</f>
        <v/>
      </c>
      <c r="P740" s="1294" t="str">
        <f>IF(H740&gt;'I. Stream &amp; Compound Data'!$F$18,"",IF(O740="N/A",0,10^(4*O740+1)))</f>
        <v/>
      </c>
      <c r="Q740" s="1294" t="str">
        <f>'I. Stream &amp; Compound Data'!P276</f>
        <v/>
      </c>
      <c r="R740" s="1297" t="str">
        <f>IF(Q740="","",IF('I. Stream &amp; Compound Data'!E46="H2O",0,P740*Q740))</f>
        <v/>
      </c>
      <c r="S740" s="298"/>
      <c r="T740" s="298"/>
      <c r="U740" s="299"/>
      <c r="V740" s="279"/>
      <c r="W740" s="279"/>
      <c r="X740" s="279"/>
      <c r="Y740" s="279"/>
      <c r="Z740" s="279"/>
      <c r="AA740" s="279"/>
      <c r="AB740" s="279"/>
      <c r="AC740" s="279"/>
      <c r="AD740" s="279"/>
      <c r="AE740" s="279"/>
      <c r="AF740" s="279"/>
      <c r="AG740" s="279"/>
      <c r="AH740" s="279"/>
      <c r="AI740" s="279"/>
      <c r="AJ740" s="279"/>
      <c r="AK740" s="279"/>
      <c r="AL740" s="279"/>
      <c r="AM740" s="279"/>
      <c r="AN740" s="279"/>
      <c r="AO740" s="279"/>
      <c r="AP740" s="279"/>
      <c r="AQ740" s="279"/>
      <c r="AR740" s="279"/>
      <c r="AS740" s="279"/>
      <c r="AT740" s="279"/>
      <c r="AU740" s="279"/>
      <c r="AV740" s="279"/>
      <c r="AW740" s="279"/>
      <c r="AX740" s="279"/>
      <c r="AY740" s="279"/>
      <c r="AZ740" s="279"/>
      <c r="BA740" s="279"/>
      <c r="BB740" s="279"/>
      <c r="BC740" s="279"/>
      <c r="BD740" s="279"/>
      <c r="BE740" s="279"/>
      <c r="BF740" s="279"/>
      <c r="BG740" s="279"/>
      <c r="BH740" s="279"/>
      <c r="BI740" s="279"/>
      <c r="BJ740" s="279"/>
      <c r="BK740" s="279"/>
      <c r="BL740" s="279"/>
      <c r="BM740" s="279"/>
      <c r="BN740" s="279"/>
      <c r="BO740" s="279"/>
      <c r="BP740" s="279"/>
      <c r="BQ740" s="279"/>
      <c r="BR740" s="279"/>
      <c r="BS740" s="279"/>
      <c r="BT740" s="279"/>
      <c r="BU740" s="279"/>
      <c r="BV740" s="279"/>
      <c r="BW740" s="279"/>
      <c r="BX740" s="279"/>
      <c r="BY740" s="279"/>
      <c r="BZ740" s="279"/>
      <c r="CA740" s="279"/>
      <c r="CB740" s="279"/>
      <c r="CC740" s="279"/>
      <c r="CD740" s="279"/>
      <c r="CE740" s="279"/>
      <c r="CF740" s="279"/>
      <c r="CG740" s="279"/>
      <c r="CH740" s="279"/>
      <c r="CI740" s="279"/>
      <c r="CJ740" s="279"/>
      <c r="CK740" s="279"/>
      <c r="CL740" s="279"/>
      <c r="CM740" s="279"/>
      <c r="CN740" s="382"/>
    </row>
    <row r="741" x14ac:dyDescent="0.25">
      <c r="B741" s="361"/>
      <c r="C741" s="279"/>
      <c r="D741" s="280"/>
      <c r="E741" s="287"/>
      <c r="F741" s="370"/>
      <c r="G741" s="287"/>
      <c r="H741" s="1292">
        <f t="shared" si="32"/>
        <v>16</v>
      </c>
      <c r="I741" s="1295" t="str">
        <f>IF('I. Stream &amp; Compound Data'!AG277&lt;&gt;"",'I. Stream &amp; Compound Data'!AG277,"")</f>
        <v/>
      </c>
      <c r="J741" s="1295" t="str">
        <f>IF('I. Stream &amp; Compound Data'!AR277&lt;&gt;"",'I. Stream &amp; Compound Data'!AR277,IF('I. Stream &amp; Compound Data'!AS277&lt;&gt;"",'I. Stream &amp; Compound Data'!AS277,""))</f>
        <v/>
      </c>
      <c r="K741" s="1190" t="str">
        <f>IF('I. Stream &amp; Compound Data'!AX277&lt;&gt;"",'I. Stream &amp; Compound Data'!AX277,"")</f>
        <v/>
      </c>
      <c r="L741" s="290" t="str">
        <f>IF(H741&gt;'I. Stream &amp; Compound Data'!$F$18,"",IF(I741="","N/A",ROUND(IF(I741&lt;=0.1,1,IF(AND(I741&gt;0.1,I741&lt;1000),-0.109*LN(I741)+0.75,0)),3)))</f>
        <v/>
      </c>
      <c r="M741" s="1168" t="str">
        <f>IF(H741&gt;'I. Stream &amp; Compound Data'!$F$18,"",IF(L741="N/A",IF(J741="","N/A",IF(J741=50,0.875,IF(J741=51,0.625,IF(J741=52,0.375,0)))),"N/A"))</f>
        <v/>
      </c>
      <c r="N741" s="1287" t="str">
        <f>IF(H741&gt;'I. Stream &amp; Compound Data'!$F$18,"",IF(AND(L741="N/A",M741="N/A"),IF(K741="","N/A",IF(K741=3,0.875,IF(K741=2,0.5,IF(K741=1,0.125,0)))),"N/A"))</f>
        <v/>
      </c>
      <c r="O741" s="1294" t="str">
        <f>IF(H741&gt;'I. Stream &amp; Compound Data'!$F$18,"",IF(I157="","N/A",IF(L741&lt;&gt;"N/A",L741,IF(M741&lt;&gt;"N/A",M741,IF(N741&lt;&gt;"N/A",N741,"NO DATA AVAILABLE")))))</f>
        <v/>
      </c>
      <c r="P741" s="1294" t="str">
        <f>IF(H741&gt;'I. Stream &amp; Compound Data'!$F$18,"",IF(O741="N/A",0,10^(4*O741+1)))</f>
        <v/>
      </c>
      <c r="Q741" s="1294" t="str">
        <f>'I. Stream &amp; Compound Data'!P277</f>
        <v/>
      </c>
      <c r="R741" s="1297" t="str">
        <f>IF(Q741="","",IF('I. Stream &amp; Compound Data'!E47="H2O",0,P741*Q741))</f>
        <v/>
      </c>
      <c r="S741" s="298"/>
      <c r="T741" s="298"/>
      <c r="U741" s="299"/>
      <c r="V741" s="279"/>
      <c r="W741" s="279"/>
      <c r="X741" s="279"/>
      <c r="Y741" s="279"/>
      <c r="Z741" s="279"/>
      <c r="AA741" s="279"/>
      <c r="AB741" s="279"/>
      <c r="AC741" s="279"/>
      <c r="AD741" s="279"/>
      <c r="AE741" s="279"/>
      <c r="AF741" s="279"/>
      <c r="AG741" s="279"/>
      <c r="AH741" s="279"/>
      <c r="AI741" s="279"/>
      <c r="AJ741" s="279"/>
      <c r="AK741" s="279"/>
      <c r="AL741" s="279"/>
      <c r="AM741" s="279"/>
      <c r="AN741" s="279"/>
      <c r="AO741" s="279"/>
      <c r="AP741" s="279"/>
      <c r="AQ741" s="279"/>
      <c r="AR741" s="279"/>
      <c r="AS741" s="279"/>
      <c r="AT741" s="279"/>
      <c r="AU741" s="279"/>
      <c r="AV741" s="279"/>
      <c r="AW741" s="279"/>
      <c r="AX741" s="279"/>
      <c r="AY741" s="279"/>
      <c r="AZ741" s="279"/>
      <c r="BA741" s="279"/>
      <c r="BB741" s="279"/>
      <c r="BC741" s="279"/>
      <c r="BD741" s="279"/>
      <c r="BE741" s="279"/>
      <c r="BF741" s="279"/>
      <c r="BG741" s="279"/>
      <c r="BH741" s="279"/>
      <c r="BI741" s="279"/>
      <c r="BJ741" s="279"/>
      <c r="BK741" s="279"/>
      <c r="BL741" s="279"/>
      <c r="BM741" s="279"/>
      <c r="BN741" s="279"/>
      <c r="BO741" s="279"/>
      <c r="BP741" s="279"/>
      <c r="BQ741" s="279"/>
      <c r="BR741" s="279"/>
      <c r="BS741" s="279"/>
      <c r="BT741" s="279"/>
      <c r="BU741" s="279"/>
      <c r="BV741" s="279"/>
      <c r="BW741" s="279"/>
      <c r="BX741" s="279"/>
      <c r="BY741" s="279"/>
      <c r="BZ741" s="279"/>
      <c r="CA741" s="279"/>
      <c r="CB741" s="279"/>
      <c r="CC741" s="279"/>
      <c r="CD741" s="279"/>
      <c r="CE741" s="279"/>
      <c r="CF741" s="279"/>
      <c r="CG741" s="279"/>
      <c r="CH741" s="279"/>
      <c r="CI741" s="279"/>
      <c r="CJ741" s="279"/>
      <c r="CK741" s="279"/>
      <c r="CL741" s="279"/>
      <c r="CM741" s="279"/>
      <c r="CN741" s="382"/>
    </row>
    <row r="742" x14ac:dyDescent="0.25">
      <c r="B742" s="361"/>
      <c r="C742" s="279"/>
      <c r="D742" s="280"/>
      <c r="E742" s="287"/>
      <c r="F742" s="287"/>
      <c r="G742" s="287"/>
      <c r="H742" s="1292">
        <f t="shared" si="32"/>
        <v>17</v>
      </c>
      <c r="I742" s="1295" t="str">
        <f>IF('I. Stream &amp; Compound Data'!AG278&lt;&gt;"",'I. Stream &amp; Compound Data'!AG278,"")</f>
        <v/>
      </c>
      <c r="J742" s="1295" t="str">
        <f>IF('I. Stream &amp; Compound Data'!AR278&lt;&gt;"",'I. Stream &amp; Compound Data'!AR278,IF('I. Stream &amp; Compound Data'!AS278&lt;&gt;"",'I. Stream &amp; Compound Data'!AS278,""))</f>
        <v/>
      </c>
      <c r="K742" s="1190" t="str">
        <f>IF('I. Stream &amp; Compound Data'!AX278&lt;&gt;"",'I. Stream &amp; Compound Data'!AX278,"")</f>
        <v/>
      </c>
      <c r="L742" s="290" t="str">
        <f>IF(H742&gt;'I. Stream &amp; Compound Data'!$F$18,"",IF(I742="","N/A",ROUND(IF(I742&lt;=0.1,1,IF(AND(I742&gt;0.1,I742&lt;1000),-0.109*LN(I742)+0.75,0)),3)))</f>
        <v/>
      </c>
      <c r="M742" s="1168" t="str">
        <f>IF(H742&gt;'I. Stream &amp; Compound Data'!$F$18,"",IF(L742="N/A",IF(J742="","N/A",IF(J742=50,0.875,IF(J742=51,0.625,IF(J742=52,0.375,0)))),"N/A"))</f>
        <v/>
      </c>
      <c r="N742" s="1287" t="str">
        <f>IF(H742&gt;'I. Stream &amp; Compound Data'!$F$18,"",IF(AND(L742="N/A",M742="N/A"),IF(K742="","N/A",IF(K742=3,0.875,IF(K742=2,0.5,IF(K742=1,0.125,0)))),"N/A"))</f>
        <v/>
      </c>
      <c r="O742" s="1294" t="str">
        <f>IF(H742&gt;'I. Stream &amp; Compound Data'!$F$18,"",IF(I158="","N/A",IF(L742&lt;&gt;"N/A",L742,IF(M742&lt;&gt;"N/A",M742,IF(N742&lt;&gt;"N/A",N742,"NO DATA AVAILABLE")))))</f>
        <v/>
      </c>
      <c r="P742" s="1294" t="str">
        <f>IF(H742&gt;'I. Stream &amp; Compound Data'!$F$18,"",IF(O742="N/A",0,10^(4*O742+1)))</f>
        <v/>
      </c>
      <c r="Q742" s="1294" t="str">
        <f>'I. Stream &amp; Compound Data'!P278</f>
        <v/>
      </c>
      <c r="R742" s="1297" t="str">
        <f>IF(Q742="","",IF('I. Stream &amp; Compound Data'!E48="H2O",0,P742*Q742))</f>
        <v/>
      </c>
      <c r="S742" s="298"/>
      <c r="T742" s="298"/>
      <c r="U742" s="299"/>
      <c r="V742" s="279"/>
      <c r="W742" s="279"/>
      <c r="X742" s="279"/>
      <c r="Y742" s="279"/>
      <c r="Z742" s="279"/>
      <c r="AA742" s="279"/>
      <c r="AB742" s="279"/>
      <c r="AC742" s="279"/>
      <c r="AD742" s="279"/>
      <c r="AE742" s="279"/>
      <c r="AF742" s="279"/>
      <c r="AG742" s="279"/>
      <c r="AH742" s="279"/>
      <c r="AI742" s="279"/>
      <c r="AJ742" s="279"/>
      <c r="AK742" s="279"/>
      <c r="AL742" s="279"/>
      <c r="AM742" s="279"/>
      <c r="AN742" s="279"/>
      <c r="AO742" s="279"/>
      <c r="AP742" s="279"/>
      <c r="AQ742" s="279"/>
      <c r="AR742" s="279"/>
      <c r="AS742" s="279"/>
      <c r="AT742" s="279"/>
      <c r="AU742" s="279"/>
      <c r="AV742" s="279"/>
      <c r="AW742" s="279"/>
      <c r="AX742" s="279"/>
      <c r="AY742" s="279"/>
      <c r="AZ742" s="279"/>
      <c r="BA742" s="279"/>
      <c r="BB742" s="279"/>
      <c r="BC742" s="279"/>
      <c r="BD742" s="279"/>
      <c r="BE742" s="279"/>
      <c r="BF742" s="279"/>
      <c r="BG742" s="279"/>
      <c r="BH742" s="279"/>
      <c r="BI742" s="279"/>
      <c r="BJ742" s="279"/>
      <c r="BK742" s="279"/>
      <c r="BL742" s="279"/>
      <c r="BM742" s="279"/>
      <c r="BN742" s="279"/>
      <c r="BO742" s="279"/>
      <c r="BP742" s="279"/>
      <c r="BQ742" s="279"/>
      <c r="BR742" s="279"/>
      <c r="BS742" s="279"/>
      <c r="BT742" s="279"/>
      <c r="BU742" s="279"/>
      <c r="BV742" s="279"/>
      <c r="BW742" s="279"/>
      <c r="BX742" s="279"/>
      <c r="BY742" s="279"/>
      <c r="BZ742" s="279"/>
      <c r="CA742" s="279"/>
      <c r="CB742" s="279"/>
      <c r="CC742" s="279"/>
      <c r="CD742" s="279"/>
      <c r="CE742" s="279"/>
      <c r="CF742" s="279"/>
      <c r="CG742" s="279"/>
      <c r="CH742" s="279"/>
      <c r="CI742" s="279"/>
      <c r="CJ742" s="279"/>
      <c r="CK742" s="279"/>
      <c r="CL742" s="279"/>
      <c r="CM742" s="279"/>
      <c r="CN742" s="382"/>
    </row>
    <row r="743" x14ac:dyDescent="0.25">
      <c r="B743" s="361"/>
      <c r="C743" s="279"/>
      <c r="D743" s="280"/>
      <c r="E743" s="287"/>
      <c r="F743" s="287"/>
      <c r="G743" s="287"/>
      <c r="H743" s="1292">
        <f t="shared" si="32"/>
        <v>18</v>
      </c>
      <c r="I743" s="1295" t="str">
        <f>IF('I. Stream &amp; Compound Data'!AG279&lt;&gt;"",'I. Stream &amp; Compound Data'!AG279,"")</f>
        <v/>
      </c>
      <c r="J743" s="1295" t="str">
        <f>IF('I. Stream &amp; Compound Data'!AR279&lt;&gt;"",'I. Stream &amp; Compound Data'!AR279,IF('I. Stream &amp; Compound Data'!AS279&lt;&gt;"",'I. Stream &amp; Compound Data'!AS279,""))</f>
        <v/>
      </c>
      <c r="K743" s="1190" t="str">
        <f>IF('I. Stream &amp; Compound Data'!AX279&lt;&gt;"",'I. Stream &amp; Compound Data'!AX279,"")</f>
        <v/>
      </c>
      <c r="L743" s="290" t="str">
        <f>IF(H743&gt;'I. Stream &amp; Compound Data'!$F$18,"",IF(I743="","N/A",ROUND(IF(I743&lt;=0.1,1,IF(AND(I743&gt;0.1,I743&lt;1000),-0.109*LN(I743)+0.75,0)),3)))</f>
        <v/>
      </c>
      <c r="M743" s="1168" t="str">
        <f>IF(H743&gt;'I. Stream &amp; Compound Data'!$F$18,"",IF(L743="N/A",IF(J743="","N/A",IF(J743=50,0.875,IF(J743=51,0.625,IF(J743=52,0.375,0)))),"N/A"))</f>
        <v/>
      </c>
      <c r="N743" s="1287" t="str">
        <f>IF(H743&gt;'I. Stream &amp; Compound Data'!$F$18,"",IF(AND(L743="N/A",M743="N/A"),IF(K743="","N/A",IF(K743=3,0.875,IF(K743=2,0.5,IF(K743=1,0.125,0)))),"N/A"))</f>
        <v/>
      </c>
      <c r="O743" s="1294" t="str">
        <f>IF(H743&gt;'I. Stream &amp; Compound Data'!$F$18,"",IF(I159="","N/A",IF(L743&lt;&gt;"N/A",L743,IF(M743&lt;&gt;"N/A",M743,IF(N743&lt;&gt;"N/A",N743,"NO DATA AVAILABLE")))))</f>
        <v/>
      </c>
      <c r="P743" s="1294" t="str">
        <f>IF(H743&gt;'I. Stream &amp; Compound Data'!$F$18,"",IF(O743="N/A",0,10^(4*O743+1)))</f>
        <v/>
      </c>
      <c r="Q743" s="1294" t="str">
        <f>'I. Stream &amp; Compound Data'!P279</f>
        <v/>
      </c>
      <c r="R743" s="1297" t="str">
        <f>IF(Q743="","",IF('I. Stream &amp; Compound Data'!E49="H2O",0,P743*Q743))</f>
        <v/>
      </c>
      <c r="S743" s="298"/>
      <c r="T743" s="298"/>
      <c r="U743" s="299"/>
      <c r="V743" s="279"/>
      <c r="W743" s="279"/>
      <c r="X743" s="279"/>
      <c r="Y743" s="279"/>
      <c r="Z743" s="279"/>
      <c r="AA743" s="279"/>
      <c r="AB743" s="279"/>
      <c r="AC743" s="279"/>
      <c r="AD743" s="279"/>
      <c r="AE743" s="279"/>
      <c r="AF743" s="279"/>
      <c r="AG743" s="279"/>
      <c r="AH743" s="279"/>
      <c r="AI743" s="279"/>
      <c r="AJ743" s="279"/>
      <c r="AK743" s="279"/>
      <c r="AL743" s="279"/>
      <c r="AM743" s="279"/>
      <c r="AN743" s="279"/>
      <c r="AO743" s="279"/>
      <c r="AP743" s="279"/>
      <c r="AQ743" s="279"/>
      <c r="AR743" s="279"/>
      <c r="AS743" s="279"/>
      <c r="AT743" s="279"/>
      <c r="AU743" s="279"/>
      <c r="AV743" s="279"/>
      <c r="AW743" s="279"/>
      <c r="AX743" s="279"/>
      <c r="AY743" s="279"/>
      <c r="AZ743" s="279"/>
      <c r="BA743" s="279"/>
      <c r="BB743" s="279"/>
      <c r="BC743" s="279"/>
      <c r="BD743" s="279"/>
      <c r="BE743" s="279"/>
      <c r="BF743" s="279"/>
      <c r="BG743" s="279"/>
      <c r="BH743" s="279"/>
      <c r="BI743" s="279"/>
      <c r="BJ743" s="279"/>
      <c r="BK743" s="279"/>
      <c r="BL743" s="279"/>
      <c r="BM743" s="279"/>
      <c r="BN743" s="279"/>
      <c r="BO743" s="279"/>
      <c r="BP743" s="279"/>
      <c r="BQ743" s="279"/>
      <c r="BR743" s="279"/>
      <c r="BS743" s="279"/>
      <c r="BT743" s="279"/>
      <c r="BU743" s="279"/>
      <c r="BV743" s="279"/>
      <c r="BW743" s="279"/>
      <c r="BX743" s="279"/>
      <c r="BY743" s="279"/>
      <c r="BZ743" s="279"/>
      <c r="CA743" s="279"/>
      <c r="CB743" s="279"/>
      <c r="CC743" s="279"/>
      <c r="CD743" s="279"/>
      <c r="CE743" s="279"/>
      <c r="CF743" s="279"/>
      <c r="CG743" s="279"/>
      <c r="CH743" s="279"/>
      <c r="CI743" s="279"/>
      <c r="CJ743" s="279"/>
      <c r="CK743" s="279"/>
      <c r="CL743" s="279"/>
      <c r="CM743" s="279"/>
      <c r="CN743" s="382"/>
    </row>
    <row r="744" x14ac:dyDescent="0.25">
      <c r="B744" s="361"/>
      <c r="C744" s="279"/>
      <c r="D744" s="280"/>
      <c r="E744" s="287"/>
      <c r="F744" s="287"/>
      <c r="G744" s="287"/>
      <c r="H744" s="1292">
        <f t="shared" si="32"/>
        <v>19</v>
      </c>
      <c r="I744" s="1295" t="str">
        <f>IF('I. Stream &amp; Compound Data'!AG280&lt;&gt;"",'I. Stream &amp; Compound Data'!AG280,"")</f>
        <v/>
      </c>
      <c r="J744" s="1295" t="str">
        <f>IF('I. Stream &amp; Compound Data'!AR280&lt;&gt;"",'I. Stream &amp; Compound Data'!AR280,IF('I. Stream &amp; Compound Data'!AS280&lt;&gt;"",'I. Stream &amp; Compound Data'!AS280,""))</f>
        <v/>
      </c>
      <c r="K744" s="1190" t="str">
        <f>IF('I. Stream &amp; Compound Data'!AX280&lt;&gt;"",'I. Stream &amp; Compound Data'!AX280,"")</f>
        <v/>
      </c>
      <c r="L744" s="290" t="str">
        <f>IF(H744&gt;'I. Stream &amp; Compound Data'!$F$18,"",IF(I744="","N/A",ROUND(IF(I744&lt;=0.1,1,IF(AND(I744&gt;0.1,I744&lt;1000),-0.109*LN(I744)+0.75,0)),3)))</f>
        <v/>
      </c>
      <c r="M744" s="1168" t="str">
        <f>IF(H744&gt;'I. Stream &amp; Compound Data'!$F$18,"",IF(L744="N/A",IF(J744="","N/A",IF(J744=50,0.875,IF(J744=51,0.625,IF(J744=52,0.375,0)))),"N/A"))</f>
        <v/>
      </c>
      <c r="N744" s="1287" t="str">
        <f>IF(H744&gt;'I. Stream &amp; Compound Data'!$F$18,"",IF(AND(L744="N/A",M744="N/A"),IF(K744="","N/A",IF(K744=3,0.875,IF(K744=2,0.5,IF(K744=1,0.125,0)))),"N/A"))</f>
        <v/>
      </c>
      <c r="O744" s="1294" t="str">
        <f>IF(H744&gt;'I. Stream &amp; Compound Data'!$F$18,"",IF(I160="","N/A",IF(L744&lt;&gt;"N/A",L744,IF(M744&lt;&gt;"N/A",M744,IF(N744&lt;&gt;"N/A",N744,"NO DATA AVAILABLE")))))</f>
        <v/>
      </c>
      <c r="P744" s="1294" t="str">
        <f>IF(H744&gt;'I. Stream &amp; Compound Data'!$F$18,"",IF(O744="N/A",0,10^(4*O744+1)))</f>
        <v/>
      </c>
      <c r="Q744" s="1294" t="str">
        <f>'I. Stream &amp; Compound Data'!P280</f>
        <v/>
      </c>
      <c r="R744" s="1297" t="str">
        <f>IF(Q744="","",IF('I. Stream &amp; Compound Data'!E50="H2O",0,P744*Q744))</f>
        <v/>
      </c>
      <c r="S744" s="298"/>
      <c r="T744" s="298"/>
      <c r="U744" s="299"/>
      <c r="V744" s="279"/>
      <c r="W744" s="279"/>
      <c r="X744" s="279"/>
      <c r="Y744" s="279"/>
      <c r="Z744" s="279"/>
      <c r="AA744" s="279"/>
      <c r="AB744" s="279"/>
      <c r="AC744" s="279"/>
      <c r="AD744" s="279"/>
      <c r="AE744" s="279"/>
      <c r="AF744" s="279"/>
      <c r="AG744" s="279"/>
      <c r="AH744" s="279"/>
      <c r="AI744" s="279"/>
      <c r="AJ744" s="279"/>
      <c r="AK744" s="279"/>
      <c r="AL744" s="279"/>
      <c r="AM744" s="279"/>
      <c r="AN744" s="279"/>
      <c r="AO744" s="279"/>
      <c r="AP744" s="279"/>
      <c r="AQ744" s="279"/>
      <c r="AR744" s="279"/>
      <c r="AS744" s="279"/>
      <c r="AT744" s="279"/>
      <c r="AU744" s="279"/>
      <c r="AV744" s="279"/>
      <c r="AW744" s="279"/>
      <c r="AX744" s="279"/>
      <c r="AY744" s="279"/>
      <c r="AZ744" s="279"/>
      <c r="BA744" s="279"/>
      <c r="BB744" s="279"/>
      <c r="BC744" s="279"/>
      <c r="BD744" s="279"/>
      <c r="BE744" s="279"/>
      <c r="BF744" s="279"/>
      <c r="BG744" s="279"/>
      <c r="BH744" s="279"/>
      <c r="BI744" s="279"/>
      <c r="BJ744" s="279"/>
      <c r="BK744" s="279"/>
      <c r="BL744" s="279"/>
      <c r="BM744" s="279"/>
      <c r="BN744" s="279"/>
      <c r="BO744" s="279"/>
      <c r="BP744" s="279"/>
      <c r="BQ744" s="279"/>
      <c r="BR744" s="279"/>
      <c r="BS744" s="279"/>
      <c r="BT744" s="279"/>
      <c r="BU744" s="279"/>
      <c r="BV744" s="279"/>
      <c r="BW744" s="279"/>
      <c r="BX744" s="279"/>
      <c r="BY744" s="279"/>
      <c r="BZ744" s="279"/>
      <c r="CA744" s="279"/>
      <c r="CB744" s="279"/>
      <c r="CC744" s="279"/>
      <c r="CD744" s="279"/>
      <c r="CE744" s="279"/>
      <c r="CF744" s="279"/>
      <c r="CG744" s="279"/>
      <c r="CH744" s="279"/>
      <c r="CI744" s="279"/>
      <c r="CJ744" s="279"/>
      <c r="CK744" s="279"/>
      <c r="CL744" s="279"/>
      <c r="CM744" s="279"/>
      <c r="CN744" s="382"/>
    </row>
    <row r="745" x14ac:dyDescent="0.25">
      <c r="B745" s="361"/>
      <c r="C745" s="279"/>
      <c r="D745" s="280"/>
      <c r="E745" s="287"/>
      <c r="F745" s="287"/>
      <c r="G745" s="287"/>
      <c r="H745" s="1292">
        <f t="shared" si="32"/>
        <v>20</v>
      </c>
      <c r="I745" s="1295" t="str">
        <f>IF('I. Stream &amp; Compound Data'!AG281&lt;&gt;"",'I. Stream &amp; Compound Data'!AG281,"")</f>
        <v/>
      </c>
      <c r="J745" s="1295" t="str">
        <f>IF('I. Stream &amp; Compound Data'!AR281&lt;&gt;"",'I. Stream &amp; Compound Data'!AR281,IF('I. Stream &amp; Compound Data'!AS281&lt;&gt;"",'I. Stream &amp; Compound Data'!AS281,""))</f>
        <v/>
      </c>
      <c r="K745" s="1190" t="str">
        <f>IF('I. Stream &amp; Compound Data'!AX281&lt;&gt;"",'I. Stream &amp; Compound Data'!AX281,"")</f>
        <v/>
      </c>
      <c r="L745" s="290" t="str">
        <f>IF(H745&gt;'I. Stream &amp; Compound Data'!$F$18,"",IF(I745="","N/A",ROUND(IF(I745&lt;=0.1,1,IF(AND(I745&gt;0.1,I745&lt;1000),-0.109*LN(I745)+0.75,0)),3)))</f>
        <v/>
      </c>
      <c r="M745" s="1168" t="str">
        <f>IF(H745&gt;'I. Stream &amp; Compound Data'!$F$18,"",IF(L745="N/A",IF(J745="","N/A",IF(J745=50,0.875,IF(J745=51,0.625,IF(J745=52,0.375,0)))),"N/A"))</f>
        <v/>
      </c>
      <c r="N745" s="1287" t="str">
        <f>IF(H745&gt;'I. Stream &amp; Compound Data'!$F$18,"",IF(AND(L745="N/A",M745="N/A"),IF(K745="","N/A",IF(K745=3,0.875,IF(K745=2,0.5,IF(K745=1,0.125,0)))),"N/A"))</f>
        <v/>
      </c>
      <c r="O745" s="1294" t="str">
        <f>IF(H745&gt;'I. Stream &amp; Compound Data'!$F$18,"",IF(I161="","N/A",IF(L745&lt;&gt;"N/A",L745,IF(M745&lt;&gt;"N/A",M745,IF(N745&lt;&gt;"N/A",N745,"NO DATA AVAILABLE")))))</f>
        <v/>
      </c>
      <c r="P745" s="1294" t="str">
        <f>IF(H745&gt;'I. Stream &amp; Compound Data'!$F$18,"",IF(O745="N/A",0,10^(4*O745+1)))</f>
        <v/>
      </c>
      <c r="Q745" s="1294" t="str">
        <f>'I. Stream &amp; Compound Data'!P281</f>
        <v/>
      </c>
      <c r="R745" s="1297" t="str">
        <f>IF(Q745="","",IF('I. Stream &amp; Compound Data'!E51="H2O",0,P745*Q745))</f>
        <v/>
      </c>
      <c r="S745" s="298"/>
      <c r="T745" s="298"/>
      <c r="U745" s="299"/>
      <c r="V745" s="279"/>
      <c r="W745" s="279"/>
      <c r="X745" s="279"/>
      <c r="Y745" s="279"/>
      <c r="Z745" s="279"/>
      <c r="AA745" s="279"/>
      <c r="AB745" s="279"/>
      <c r="AC745" s="279"/>
      <c r="AD745" s="279"/>
      <c r="AE745" s="279"/>
      <c r="AF745" s="279"/>
      <c r="AG745" s="279"/>
      <c r="AH745" s="279"/>
      <c r="AI745" s="279"/>
      <c r="AJ745" s="279"/>
      <c r="AK745" s="279"/>
      <c r="AL745" s="279"/>
      <c r="AM745" s="279"/>
      <c r="AN745" s="279"/>
      <c r="AO745" s="279"/>
      <c r="AP745" s="279"/>
      <c r="AQ745" s="279"/>
      <c r="AR745" s="279"/>
      <c r="AS745" s="279"/>
      <c r="AT745" s="279"/>
      <c r="AU745" s="279"/>
      <c r="AV745" s="279"/>
      <c r="AW745" s="279"/>
      <c r="AX745" s="279"/>
      <c r="AY745" s="279"/>
      <c r="AZ745" s="279"/>
      <c r="BA745" s="279"/>
      <c r="BB745" s="279"/>
      <c r="BC745" s="279"/>
      <c r="BD745" s="279"/>
      <c r="BE745" s="279"/>
      <c r="BF745" s="279"/>
      <c r="BG745" s="279"/>
      <c r="BH745" s="279"/>
      <c r="BI745" s="279"/>
      <c r="BJ745" s="279"/>
      <c r="BK745" s="279"/>
      <c r="BL745" s="279"/>
      <c r="BM745" s="279"/>
      <c r="BN745" s="279"/>
      <c r="BO745" s="279"/>
      <c r="BP745" s="279"/>
      <c r="BQ745" s="279"/>
      <c r="BR745" s="279"/>
      <c r="BS745" s="279"/>
      <c r="BT745" s="279"/>
      <c r="BU745" s="279"/>
      <c r="BV745" s="279"/>
      <c r="BW745" s="279"/>
      <c r="BX745" s="279"/>
      <c r="BY745" s="279"/>
      <c r="BZ745" s="279"/>
      <c r="CA745" s="279"/>
      <c r="CB745" s="279"/>
      <c r="CC745" s="279"/>
      <c r="CD745" s="279"/>
      <c r="CE745" s="279"/>
      <c r="CF745" s="279"/>
      <c r="CG745" s="279"/>
      <c r="CH745" s="279"/>
      <c r="CI745" s="279"/>
      <c r="CJ745" s="279"/>
      <c r="CK745" s="279"/>
      <c r="CL745" s="279"/>
      <c r="CM745" s="279"/>
      <c r="CN745" s="382"/>
    </row>
    <row r="746" ht="21.75" customHeight="true" x14ac:dyDescent="0.25">
      <c r="B746" s="361"/>
      <c r="C746" s="279"/>
      <c r="D746" s="280"/>
      <c r="E746" s="287"/>
      <c r="F746" s="287"/>
      <c r="G746" s="287"/>
      <c r="H746" s="1292">
        <f t="shared" si="32"/>
        <v>21</v>
      </c>
      <c r="I746" s="1295" t="str">
        <f>IF('I. Stream &amp; Compound Data'!AG282&lt;&gt;"",'I. Stream &amp; Compound Data'!AG282,"")</f>
        <v/>
      </c>
      <c r="J746" s="1295" t="str">
        <f>IF('I. Stream &amp; Compound Data'!AR282&lt;&gt;"",'I. Stream &amp; Compound Data'!AR282,IF('I. Stream &amp; Compound Data'!AS282&lt;&gt;"",'I. Stream &amp; Compound Data'!AS282,""))</f>
        <v/>
      </c>
      <c r="K746" s="1190" t="str">
        <f>IF('I. Stream &amp; Compound Data'!AX282&lt;&gt;"",'I. Stream &amp; Compound Data'!AX282,"")</f>
        <v/>
      </c>
      <c r="L746" s="290" t="str">
        <f>IF(H746&gt;'I. Stream &amp; Compound Data'!$F$18,"",IF(I746="","N/A",ROUND(IF(I746&lt;=0.1,1,IF(AND(I746&gt;0.1,I746&lt;1000),-0.109*LN(I746)+0.75,0)),3)))</f>
        <v/>
      </c>
      <c r="M746" s="1168" t="str">
        <f>IF(H746&gt;'I. Stream &amp; Compound Data'!$F$18,"",IF(L746="N/A",IF(J746="","N/A",IF(J746=50,0.875,IF(J746=51,0.625,IF(J746=52,0.375,0)))),"N/A"))</f>
        <v/>
      </c>
      <c r="N746" s="1287" t="str">
        <f>IF(H746&gt;'I. Stream &amp; Compound Data'!$F$18,"",IF(AND(L746="N/A",M746="N/A"),IF(K746="","N/A",IF(K746=3,0.875,IF(K746=2,0.5,IF(K746=1,0.125,0)))),"N/A"))</f>
        <v/>
      </c>
      <c r="O746" s="1294" t="str">
        <f>IF(H746&gt;'I. Stream &amp; Compound Data'!$F$18,"",IF(I162="","N/A",IF(L746&lt;&gt;"N/A",L746,IF(M746&lt;&gt;"N/A",M746,IF(N746&lt;&gt;"N/A",N746,"NO DATA AVAILABLE")))))</f>
        <v/>
      </c>
      <c r="P746" s="1294" t="str">
        <f>IF(H746&gt;'I. Stream &amp; Compound Data'!$F$18,"",IF(O746="N/A",0,10^(4*O746+1)))</f>
        <v/>
      </c>
      <c r="Q746" s="1294" t="str">
        <f>'I. Stream &amp; Compound Data'!P282</f>
        <v/>
      </c>
      <c r="R746" s="1297" t="str">
        <f>IF(Q746="","",IF('I. Stream &amp; Compound Data'!E52="H2O",0,P746*Q746))</f>
        <v/>
      </c>
      <c r="S746" s="298"/>
      <c r="T746" s="298"/>
      <c r="U746" s="299"/>
      <c r="V746" s="279"/>
      <c r="W746" s="279"/>
      <c r="X746" s="279"/>
      <c r="Y746" s="279"/>
      <c r="Z746" s="279"/>
      <c r="AA746" s="279"/>
      <c r="AB746" s="279"/>
      <c r="AC746" s="279"/>
      <c r="AD746" s="279"/>
      <c r="AE746" s="279"/>
      <c r="AF746" s="279"/>
      <c r="AG746" s="279"/>
      <c r="AH746" s="279"/>
      <c r="AI746" s="279"/>
      <c r="AJ746" s="279"/>
      <c r="AK746" s="279"/>
      <c r="AL746" s="279"/>
      <c r="AM746" s="279"/>
      <c r="AN746" s="279"/>
      <c r="AO746" s="279"/>
      <c r="AP746" s="279"/>
      <c r="AQ746" s="279"/>
      <c r="AR746" s="279"/>
      <c r="AS746" s="279"/>
      <c r="AT746" s="279"/>
      <c r="AU746" s="279"/>
      <c r="AV746" s="279"/>
      <c r="AW746" s="279"/>
      <c r="AX746" s="279"/>
      <c r="AY746" s="279"/>
      <c r="AZ746" s="279"/>
      <c r="BA746" s="279"/>
      <c r="BB746" s="279"/>
      <c r="BC746" s="279"/>
      <c r="BD746" s="279"/>
      <c r="BE746" s="279"/>
      <c r="BF746" s="279"/>
      <c r="BG746" s="279"/>
      <c r="BH746" s="279"/>
      <c r="BI746" s="279"/>
      <c r="BJ746" s="279"/>
      <c r="BK746" s="279"/>
      <c r="BL746" s="279"/>
      <c r="BM746" s="279"/>
      <c r="BN746" s="279"/>
      <c r="BO746" s="279"/>
      <c r="BP746" s="279"/>
      <c r="BQ746" s="279"/>
      <c r="BR746" s="279"/>
      <c r="BS746" s="279"/>
      <c r="BT746" s="279"/>
      <c r="BU746" s="279"/>
      <c r="BV746" s="279"/>
      <c r="BW746" s="279"/>
      <c r="BX746" s="279"/>
      <c r="BY746" s="279"/>
      <c r="BZ746" s="279"/>
      <c r="CA746" s="279"/>
      <c r="CB746" s="279"/>
      <c r="CC746" s="279"/>
      <c r="CD746" s="279"/>
      <c r="CE746" s="279"/>
      <c r="CF746" s="279"/>
      <c r="CG746" s="279"/>
      <c r="CH746" s="279"/>
      <c r="CI746" s="279"/>
      <c r="CJ746" s="279"/>
      <c r="CK746" s="279"/>
      <c r="CL746" s="279"/>
      <c r="CM746" s="279"/>
      <c r="CN746" s="382"/>
    </row>
    <row r="747" ht="21.75" customHeight="true" x14ac:dyDescent="0.25">
      <c r="B747" s="361"/>
      <c r="C747" s="279"/>
      <c r="D747" s="280"/>
      <c r="E747" s="287"/>
      <c r="F747" s="287"/>
      <c r="G747" s="287"/>
      <c r="H747" s="1292">
        <f t="shared" si="32"/>
        <v>22</v>
      </c>
      <c r="I747" s="1295" t="str">
        <f>IF('I. Stream &amp; Compound Data'!AG283&lt;&gt;"",'I. Stream &amp; Compound Data'!AG283,"")</f>
        <v/>
      </c>
      <c r="J747" s="1295" t="str">
        <f>IF('I. Stream &amp; Compound Data'!AR283&lt;&gt;"",'I. Stream &amp; Compound Data'!AR283,IF('I. Stream &amp; Compound Data'!AS283&lt;&gt;"",'I. Stream &amp; Compound Data'!AS283,""))</f>
        <v/>
      </c>
      <c r="K747" s="1190" t="str">
        <f>IF('I. Stream &amp; Compound Data'!AX283&lt;&gt;"",'I. Stream &amp; Compound Data'!AX283,"")</f>
        <v/>
      </c>
      <c r="L747" s="290" t="str">
        <f>IF(H747&gt;'I. Stream &amp; Compound Data'!$F$18,"",IF(I747="","N/A",ROUND(IF(I747&lt;=0.1,1,IF(AND(I747&gt;0.1,I747&lt;1000),-0.109*LN(I747)+0.75,0)),3)))</f>
        <v/>
      </c>
      <c r="M747" s="1168" t="str">
        <f>IF(H747&gt;'I. Stream &amp; Compound Data'!$F$18,"",IF(L747="N/A",IF(J747="","N/A",IF(J747=50,0.875,IF(J747=51,0.625,IF(J747=52,0.375,0)))),"N/A"))</f>
        <v/>
      </c>
      <c r="N747" s="1287" t="str">
        <f>IF(H747&gt;'I. Stream &amp; Compound Data'!$F$18,"",IF(AND(L747="N/A",M747="N/A"),IF(K747="","N/A",IF(K747=3,0.875,IF(K747=2,0.5,IF(K747=1,0.125,0)))),"N/A"))</f>
        <v/>
      </c>
      <c r="O747" s="1294" t="str">
        <f>IF(H747&gt;'I. Stream &amp; Compound Data'!$F$18,"",IF(I163="","N/A",IF(L747&lt;&gt;"N/A",L747,IF(M747&lt;&gt;"N/A",M747,IF(N747&lt;&gt;"N/A",N747,"NO DATA AVAILABLE")))))</f>
        <v/>
      </c>
      <c r="P747" s="1294" t="str">
        <f>IF(H747&gt;'I. Stream &amp; Compound Data'!$F$18,"",IF(O747="N/A",0,10^(4*O747+1)))</f>
        <v/>
      </c>
      <c r="Q747" s="1294" t="str">
        <f>'I. Stream &amp; Compound Data'!P283</f>
        <v/>
      </c>
      <c r="R747" s="1297" t="str">
        <f>IF(Q747="","",IF('I. Stream &amp; Compound Data'!E53="H2O",0,P747*Q747))</f>
        <v/>
      </c>
      <c r="S747" s="298"/>
      <c r="T747" s="298"/>
      <c r="U747" s="299"/>
      <c r="V747" s="279"/>
      <c r="W747" s="279"/>
      <c r="X747" s="279"/>
      <c r="Y747" s="279"/>
      <c r="Z747" s="279"/>
      <c r="AA747" s="279"/>
      <c r="AB747" s="279"/>
      <c r="AC747" s="279"/>
      <c r="AD747" s="279"/>
      <c r="AE747" s="279"/>
      <c r="AF747" s="279"/>
      <c r="AG747" s="279"/>
      <c r="AH747" s="279"/>
      <c r="AI747" s="279"/>
      <c r="AJ747" s="279"/>
      <c r="AK747" s="279"/>
      <c r="AL747" s="279"/>
      <c r="AM747" s="279"/>
      <c r="AN747" s="279"/>
      <c r="AO747" s="279"/>
      <c r="AP747" s="279"/>
      <c r="AQ747" s="279"/>
      <c r="AR747" s="279"/>
      <c r="AS747" s="279"/>
      <c r="AT747" s="279"/>
      <c r="AU747" s="279"/>
      <c r="AV747" s="279"/>
      <c r="AW747" s="279"/>
      <c r="AX747" s="279"/>
      <c r="AY747" s="279"/>
      <c r="AZ747" s="279"/>
      <c r="BA747" s="279"/>
      <c r="BB747" s="279"/>
      <c r="BC747" s="279"/>
      <c r="BD747" s="279"/>
      <c r="BE747" s="279"/>
      <c r="BF747" s="279"/>
      <c r="BG747" s="279"/>
      <c r="BH747" s="279"/>
      <c r="BI747" s="279"/>
      <c r="BJ747" s="279"/>
      <c r="BK747" s="279"/>
      <c r="BL747" s="279"/>
      <c r="BM747" s="279"/>
      <c r="BN747" s="279"/>
      <c r="BO747" s="279"/>
      <c r="BP747" s="279"/>
      <c r="BQ747" s="279"/>
      <c r="BR747" s="279"/>
      <c r="BS747" s="279"/>
      <c r="BT747" s="279"/>
      <c r="BU747" s="279"/>
      <c r="BV747" s="279"/>
      <c r="BW747" s="279"/>
      <c r="BX747" s="279"/>
      <c r="BY747" s="279"/>
      <c r="BZ747" s="279"/>
      <c r="CA747" s="279"/>
      <c r="CB747" s="279"/>
      <c r="CC747" s="279"/>
      <c r="CD747" s="279"/>
      <c r="CE747" s="279"/>
      <c r="CF747" s="279"/>
      <c r="CG747" s="279"/>
      <c r="CH747" s="279"/>
      <c r="CI747" s="279"/>
      <c r="CJ747" s="279"/>
      <c r="CK747" s="279"/>
      <c r="CL747" s="279"/>
      <c r="CM747" s="279"/>
      <c r="CN747" s="382"/>
    </row>
    <row r="748" ht="21.75" customHeight="true" x14ac:dyDescent="0.25">
      <c r="B748" s="361"/>
      <c r="C748" s="279"/>
      <c r="D748" s="280"/>
      <c r="E748" s="287"/>
      <c r="F748" s="287"/>
      <c r="G748" s="287"/>
      <c r="H748" s="1292">
        <f t="shared" si="32"/>
        <v>23</v>
      </c>
      <c r="I748" s="1295" t="str">
        <f>IF('I. Stream &amp; Compound Data'!AG284&lt;&gt;"",'I. Stream &amp; Compound Data'!AG284,"")</f>
        <v/>
      </c>
      <c r="J748" s="1295" t="str">
        <f>IF('I. Stream &amp; Compound Data'!AR284&lt;&gt;"",'I. Stream &amp; Compound Data'!AR284,IF('I. Stream &amp; Compound Data'!AS284&lt;&gt;"",'I. Stream &amp; Compound Data'!AS284,""))</f>
        <v/>
      </c>
      <c r="K748" s="1190" t="str">
        <f>IF('I. Stream &amp; Compound Data'!AX284&lt;&gt;"",'I. Stream &amp; Compound Data'!AX284,"")</f>
        <v/>
      </c>
      <c r="L748" s="290" t="str">
        <f>IF(H748&gt;'I. Stream &amp; Compound Data'!$F$18,"",IF(I748="","N/A",ROUND(IF(I748&lt;=0.1,1,IF(AND(I748&gt;0.1,I748&lt;1000),-0.109*LN(I748)+0.75,0)),3)))</f>
        <v/>
      </c>
      <c r="M748" s="1168" t="str">
        <f>IF(H748&gt;'I. Stream &amp; Compound Data'!$F$18,"",IF(L748="N/A",IF(J748="","N/A",IF(J748=50,0.875,IF(J748=51,0.625,IF(J748=52,0.375,0)))),"N/A"))</f>
        <v/>
      </c>
      <c r="N748" s="1287" t="str">
        <f>IF(H748&gt;'I. Stream &amp; Compound Data'!$F$18,"",IF(AND(L748="N/A",M748="N/A"),IF(K748="","N/A",IF(K748=3,0.875,IF(K748=2,0.5,IF(K748=1,0.125,0)))),"N/A"))</f>
        <v/>
      </c>
      <c r="O748" s="1294" t="str">
        <f>IF(H748&gt;'I. Stream &amp; Compound Data'!$F$18,"",IF(I164="","N/A",IF(L748&lt;&gt;"N/A",L748,IF(M748&lt;&gt;"N/A",M748,IF(N748&lt;&gt;"N/A",N748,"NO DATA AVAILABLE")))))</f>
        <v/>
      </c>
      <c r="P748" s="1294" t="str">
        <f>IF(H748&gt;'I. Stream &amp; Compound Data'!$F$18,"",IF(O748="N/A",0,10^(4*O748+1)))</f>
        <v/>
      </c>
      <c r="Q748" s="1294" t="str">
        <f>'I. Stream &amp; Compound Data'!P284</f>
        <v/>
      </c>
      <c r="R748" s="1297" t="str">
        <f>IF(Q748="","",IF('I. Stream &amp; Compound Data'!E54="H2O",0,P748*Q748))</f>
        <v/>
      </c>
      <c r="S748" s="298"/>
      <c r="T748" s="298"/>
      <c r="U748" s="299"/>
      <c r="V748" s="279"/>
      <c r="W748" s="279"/>
      <c r="X748" s="279"/>
      <c r="Y748" s="279"/>
      <c r="Z748" s="279"/>
      <c r="AA748" s="279"/>
      <c r="AB748" s="279"/>
      <c r="AC748" s="279"/>
      <c r="AD748" s="279"/>
      <c r="AE748" s="279"/>
      <c r="AF748" s="279"/>
      <c r="AG748" s="279"/>
      <c r="AH748" s="279"/>
      <c r="AI748" s="279"/>
      <c r="AJ748" s="279"/>
      <c r="AK748" s="279"/>
      <c r="AL748" s="279"/>
      <c r="AM748" s="279"/>
      <c r="AN748" s="279"/>
      <c r="AO748" s="279"/>
      <c r="AP748" s="279"/>
      <c r="AQ748" s="279"/>
      <c r="AR748" s="279"/>
      <c r="AS748" s="279"/>
      <c r="AT748" s="279"/>
      <c r="AU748" s="279"/>
      <c r="AV748" s="279"/>
      <c r="AW748" s="279"/>
      <c r="AX748" s="279"/>
      <c r="AY748" s="279"/>
      <c r="AZ748" s="279"/>
      <c r="BA748" s="279"/>
      <c r="BB748" s="279"/>
      <c r="BC748" s="279"/>
      <c r="BD748" s="279"/>
      <c r="BE748" s="279"/>
      <c r="BF748" s="279"/>
      <c r="BG748" s="279"/>
      <c r="BH748" s="279"/>
      <c r="BI748" s="279"/>
      <c r="BJ748" s="279"/>
      <c r="BK748" s="279"/>
      <c r="BL748" s="279"/>
      <c r="BM748" s="279"/>
      <c r="BN748" s="279"/>
      <c r="BO748" s="279"/>
      <c r="BP748" s="279"/>
      <c r="BQ748" s="279"/>
      <c r="BR748" s="279"/>
      <c r="BS748" s="279"/>
      <c r="BT748" s="279"/>
      <c r="BU748" s="279"/>
      <c r="BV748" s="279"/>
      <c r="BW748" s="279"/>
      <c r="BX748" s="279"/>
      <c r="BY748" s="279"/>
      <c r="BZ748" s="279"/>
      <c r="CA748" s="279"/>
      <c r="CB748" s="279"/>
      <c r="CC748" s="279"/>
      <c r="CD748" s="279"/>
      <c r="CE748" s="279"/>
      <c r="CF748" s="279"/>
      <c r="CG748" s="279"/>
      <c r="CH748" s="279"/>
      <c r="CI748" s="279"/>
      <c r="CJ748" s="279"/>
      <c r="CK748" s="279"/>
      <c r="CL748" s="279"/>
      <c r="CM748" s="279"/>
      <c r="CN748" s="382"/>
    </row>
    <row r="749" ht="21.75" customHeight="true" x14ac:dyDescent="0.25">
      <c r="B749" s="361"/>
      <c r="C749" s="279"/>
      <c r="D749" s="280"/>
      <c r="E749" s="287"/>
      <c r="F749" s="287"/>
      <c r="G749" s="287"/>
      <c r="H749" s="1292">
        <f t="shared" si="32"/>
        <v>24</v>
      </c>
      <c r="I749" s="1295" t="str">
        <f>IF('I. Stream &amp; Compound Data'!AG285&lt;&gt;"",'I. Stream &amp; Compound Data'!AG285,"")</f>
        <v/>
      </c>
      <c r="J749" s="1295" t="str">
        <f>IF('I. Stream &amp; Compound Data'!AR285&lt;&gt;"",'I. Stream &amp; Compound Data'!AR285,IF('I. Stream &amp; Compound Data'!AS285&lt;&gt;"",'I. Stream &amp; Compound Data'!AS285,""))</f>
        <v/>
      </c>
      <c r="K749" s="1190" t="str">
        <f>IF('I. Stream &amp; Compound Data'!AX285&lt;&gt;"",'I. Stream &amp; Compound Data'!AX285,"")</f>
        <v/>
      </c>
      <c r="L749" s="290" t="str">
        <f>IF(H749&gt;'I. Stream &amp; Compound Data'!$F$18,"",IF(I749="","N/A",ROUND(IF(I749&lt;=0.1,1,IF(AND(I749&gt;0.1,I749&lt;1000),-0.109*LN(I749)+0.75,0)),3)))</f>
        <v/>
      </c>
      <c r="M749" s="1168" t="str">
        <f>IF(H749&gt;'I. Stream &amp; Compound Data'!$F$18,"",IF(L749="N/A",IF(J749="","N/A",IF(J749=50,0.875,IF(J749=51,0.625,IF(J749=52,0.375,0)))),"N/A"))</f>
        <v/>
      </c>
      <c r="N749" s="1287" t="str">
        <f>IF(H749&gt;'I. Stream &amp; Compound Data'!$F$18,"",IF(AND(L749="N/A",M749="N/A"),IF(K749="","N/A",IF(K749=3,0.875,IF(K749=2,0.5,IF(K749=1,0.125,0)))),"N/A"))</f>
        <v/>
      </c>
      <c r="O749" s="1294" t="str">
        <f>IF(H749&gt;'I. Stream &amp; Compound Data'!$F$18,"",IF(I165="","N/A",IF(L749&lt;&gt;"N/A",L749,IF(M749&lt;&gt;"N/A",M749,IF(N749&lt;&gt;"N/A",N749,"NO DATA AVAILABLE")))))</f>
        <v/>
      </c>
      <c r="P749" s="1294" t="str">
        <f>IF(H749&gt;'I. Stream &amp; Compound Data'!$F$18,"",IF(O749="N/A",0,10^(4*O749+1)))</f>
        <v/>
      </c>
      <c r="Q749" s="1294" t="str">
        <f>'I. Stream &amp; Compound Data'!P285</f>
        <v/>
      </c>
      <c r="R749" s="1297" t="str">
        <f>IF(Q749="","",IF('I. Stream &amp; Compound Data'!E55="H2O",0,P749*Q749))</f>
        <v/>
      </c>
      <c r="S749" s="298"/>
      <c r="T749" s="298"/>
      <c r="U749" s="299"/>
      <c r="V749" s="279"/>
      <c r="W749" s="279"/>
      <c r="X749" s="279"/>
      <c r="Y749" s="279"/>
      <c r="Z749" s="279"/>
      <c r="AA749" s="279"/>
      <c r="AB749" s="279"/>
      <c r="AC749" s="279"/>
      <c r="AD749" s="279"/>
      <c r="AE749" s="279"/>
      <c r="AF749" s="279"/>
      <c r="AG749" s="279"/>
      <c r="AH749" s="279"/>
      <c r="AI749" s="279"/>
      <c r="AJ749" s="279"/>
      <c r="AK749" s="279"/>
      <c r="AL749" s="279"/>
      <c r="AM749" s="279"/>
      <c r="AN749" s="279"/>
      <c r="AO749" s="279"/>
      <c r="AP749" s="279"/>
      <c r="AQ749" s="279"/>
      <c r="AR749" s="279"/>
      <c r="AS749" s="279"/>
      <c r="AT749" s="279"/>
      <c r="AU749" s="279"/>
      <c r="AV749" s="279"/>
      <c r="AW749" s="279"/>
      <c r="AX749" s="279"/>
      <c r="AY749" s="279"/>
      <c r="AZ749" s="279"/>
      <c r="BA749" s="279"/>
      <c r="BB749" s="279"/>
      <c r="BC749" s="279"/>
      <c r="BD749" s="279"/>
      <c r="BE749" s="279"/>
      <c r="BF749" s="279"/>
      <c r="BG749" s="279"/>
      <c r="BH749" s="279"/>
      <c r="BI749" s="279"/>
      <c r="BJ749" s="279"/>
      <c r="BK749" s="279"/>
      <c r="BL749" s="279"/>
      <c r="BM749" s="279"/>
      <c r="BN749" s="279"/>
      <c r="BO749" s="279"/>
      <c r="BP749" s="279"/>
      <c r="BQ749" s="279"/>
      <c r="BR749" s="279"/>
      <c r="BS749" s="279"/>
      <c r="BT749" s="279"/>
      <c r="BU749" s="279"/>
      <c r="BV749" s="279"/>
      <c r="BW749" s="279"/>
      <c r="BX749" s="279"/>
      <c r="BY749" s="279"/>
      <c r="BZ749" s="279"/>
      <c r="CA749" s="279"/>
      <c r="CB749" s="279"/>
      <c r="CC749" s="279"/>
      <c r="CD749" s="279"/>
      <c r="CE749" s="279"/>
      <c r="CF749" s="279"/>
      <c r="CG749" s="279"/>
      <c r="CH749" s="279"/>
      <c r="CI749" s="279"/>
      <c r="CJ749" s="279"/>
      <c r="CK749" s="279"/>
      <c r="CL749" s="279"/>
      <c r="CM749" s="279"/>
      <c r="CN749" s="382"/>
    </row>
    <row r="750" ht="21.75" customHeight="true" x14ac:dyDescent="0.25">
      <c r="B750" s="361"/>
      <c r="C750" s="279"/>
      <c r="D750" s="280"/>
      <c r="E750" s="287"/>
      <c r="F750" s="287"/>
      <c r="G750" s="287"/>
      <c r="H750" s="1292">
        <f t="shared" si="32"/>
        <v>25</v>
      </c>
      <c r="I750" s="1295" t="str">
        <f>IF('I. Stream &amp; Compound Data'!AG286&lt;&gt;"",'I. Stream &amp; Compound Data'!AG286,"")</f>
        <v/>
      </c>
      <c r="J750" s="1295" t="str">
        <f>IF('I. Stream &amp; Compound Data'!AR286&lt;&gt;"",'I. Stream &amp; Compound Data'!AR286,IF('I. Stream &amp; Compound Data'!AS286&lt;&gt;"",'I. Stream &amp; Compound Data'!AS286,""))</f>
        <v/>
      </c>
      <c r="K750" s="1190" t="str">
        <f>IF('I. Stream &amp; Compound Data'!AX286&lt;&gt;"",'I. Stream &amp; Compound Data'!AX286,"")</f>
        <v/>
      </c>
      <c r="L750" s="290" t="str">
        <f>IF(H750&gt;'I. Stream &amp; Compound Data'!$F$18,"",IF(I750="","N/A",ROUND(IF(I750&lt;=0.1,1,IF(AND(I750&gt;0.1,I750&lt;1000),-0.109*LN(I750)+0.75,0)),3)))</f>
        <v/>
      </c>
      <c r="M750" s="1168" t="str">
        <f>IF(H750&gt;'I. Stream &amp; Compound Data'!$F$18,"",IF(L750="N/A",IF(J750="","N/A",IF(J750=50,0.875,IF(J750=51,0.625,IF(J750=52,0.375,0)))),"N/A"))</f>
        <v/>
      </c>
      <c r="N750" s="1287" t="str">
        <f>IF(H750&gt;'I. Stream &amp; Compound Data'!$F$18,"",IF(AND(L750="N/A",M750="N/A"),IF(K750="","N/A",IF(K750=3,0.875,IF(K750=2,0.5,IF(K750=1,0.125,0)))),"N/A"))</f>
        <v/>
      </c>
      <c r="O750" s="1294" t="str">
        <f>IF(H750&gt;'I. Stream &amp; Compound Data'!$F$18,"",IF(I166="","N/A",IF(L750&lt;&gt;"N/A",L750,IF(M750&lt;&gt;"N/A",M750,IF(N750&lt;&gt;"N/A",N750,"NO DATA AVAILABLE")))))</f>
        <v/>
      </c>
      <c r="P750" s="1294" t="str">
        <f>IF(H750&gt;'I. Stream &amp; Compound Data'!$F$18,"",IF(O750="N/A",0,10^(4*O750+1)))</f>
        <v/>
      </c>
      <c r="Q750" s="1294" t="str">
        <f>'I. Stream &amp; Compound Data'!P286</f>
        <v/>
      </c>
      <c r="R750" s="1297" t="str">
        <f>IF(Q750="","",IF('I. Stream &amp; Compound Data'!E56="H2O",0,P750*Q750))</f>
        <v/>
      </c>
      <c r="S750" s="298"/>
      <c r="T750" s="298"/>
      <c r="U750" s="299"/>
      <c r="V750" s="279"/>
      <c r="W750" s="279"/>
      <c r="X750" s="279"/>
      <c r="Y750" s="279"/>
      <c r="Z750" s="279"/>
      <c r="AA750" s="279"/>
      <c r="AB750" s="279"/>
      <c r="AC750" s="279"/>
      <c r="AD750" s="279"/>
      <c r="AE750" s="279"/>
      <c r="AF750" s="279"/>
      <c r="AG750" s="279"/>
      <c r="AH750" s="279"/>
      <c r="AI750" s="279"/>
      <c r="AJ750" s="279"/>
      <c r="AK750" s="279"/>
      <c r="AL750" s="279"/>
      <c r="AM750" s="279"/>
      <c r="AN750" s="279"/>
      <c r="AO750" s="279"/>
      <c r="AP750" s="279"/>
      <c r="AQ750" s="279"/>
      <c r="AR750" s="279"/>
      <c r="AS750" s="279"/>
      <c r="AT750" s="279"/>
      <c r="AU750" s="279"/>
      <c r="AV750" s="279"/>
      <c r="AW750" s="279"/>
      <c r="AX750" s="279"/>
      <c r="AY750" s="279"/>
      <c r="AZ750" s="279"/>
      <c r="BA750" s="279"/>
      <c r="BB750" s="279"/>
      <c r="BC750" s="279"/>
      <c r="BD750" s="279"/>
      <c r="BE750" s="279"/>
      <c r="BF750" s="279"/>
      <c r="BG750" s="279"/>
      <c r="BH750" s="279"/>
      <c r="BI750" s="279"/>
      <c r="BJ750" s="279"/>
      <c r="BK750" s="279"/>
      <c r="BL750" s="279"/>
      <c r="BM750" s="279"/>
      <c r="BN750" s="279"/>
      <c r="BO750" s="279"/>
      <c r="BP750" s="279"/>
      <c r="BQ750" s="279"/>
      <c r="BR750" s="279"/>
      <c r="BS750" s="279"/>
      <c r="BT750" s="279"/>
      <c r="BU750" s="279"/>
      <c r="BV750" s="279"/>
      <c r="BW750" s="279"/>
      <c r="BX750" s="279"/>
      <c r="BY750" s="279"/>
      <c r="BZ750" s="279"/>
      <c r="CA750" s="279"/>
      <c r="CB750" s="279"/>
      <c r="CC750" s="279"/>
      <c r="CD750" s="279"/>
      <c r="CE750" s="279"/>
      <c r="CF750" s="279"/>
      <c r="CG750" s="279"/>
      <c r="CH750" s="279"/>
      <c r="CI750" s="279"/>
      <c r="CJ750" s="279"/>
      <c r="CK750" s="279"/>
      <c r="CL750" s="279"/>
      <c r="CM750" s="279"/>
      <c r="CN750" s="382"/>
    </row>
    <row r="751" ht="21.75" customHeight="true" x14ac:dyDescent="0.25">
      <c r="B751" s="361"/>
      <c r="C751" s="279"/>
      <c r="D751" s="280"/>
      <c r="E751" s="287"/>
      <c r="F751" s="287"/>
      <c r="G751" s="287"/>
      <c r="H751" s="1292">
        <f t="shared" si="32"/>
        <v>26</v>
      </c>
      <c r="I751" s="1295" t="str">
        <f>IF('I. Stream &amp; Compound Data'!AG287&lt;&gt;"",'I. Stream &amp; Compound Data'!AG287,"")</f>
        <v/>
      </c>
      <c r="J751" s="1295" t="str">
        <f>IF('I. Stream &amp; Compound Data'!AR287&lt;&gt;"",'I. Stream &amp; Compound Data'!AR287,IF('I. Stream &amp; Compound Data'!AS287&lt;&gt;"",'I. Stream &amp; Compound Data'!AS287,""))</f>
        <v/>
      </c>
      <c r="K751" s="1190" t="str">
        <f>IF('I. Stream &amp; Compound Data'!AX287&lt;&gt;"",'I. Stream &amp; Compound Data'!AX287,"")</f>
        <v/>
      </c>
      <c r="L751" s="290" t="str">
        <f>IF(H751&gt;'I. Stream &amp; Compound Data'!$F$18,"",IF(I751="","N/A",ROUND(IF(I751&lt;=0.1,1,IF(AND(I751&gt;0.1,I751&lt;1000),-0.109*LN(I751)+0.75,0)),3)))</f>
        <v/>
      </c>
      <c r="M751" s="1168" t="str">
        <f>IF(H751&gt;'I. Stream &amp; Compound Data'!$F$18,"",IF(L751="N/A",IF(J751="","N/A",IF(J751=50,0.875,IF(J751=51,0.625,IF(J751=52,0.375,0)))),"N/A"))</f>
        <v/>
      </c>
      <c r="N751" s="1287" t="str">
        <f>IF(H751&gt;'I. Stream &amp; Compound Data'!$F$18,"",IF(AND(L751="N/A",M751="N/A"),IF(K751="","N/A",IF(K751=3,0.875,IF(K751=2,0.5,IF(K751=1,0.125,0)))),"N/A"))</f>
        <v/>
      </c>
      <c r="O751" s="1294" t="str">
        <f>IF(H751&gt;'I. Stream &amp; Compound Data'!$F$18,"",IF(I167="","N/A",IF(L751&lt;&gt;"N/A",L751,IF(M751&lt;&gt;"N/A",M751,IF(N751&lt;&gt;"N/A",N751,"NO DATA AVAILABLE")))))</f>
        <v/>
      </c>
      <c r="P751" s="1294" t="str">
        <f>IF(H751&gt;'I. Stream &amp; Compound Data'!$F$18,"",IF(O751="N/A",0,10^(4*O751+1)))</f>
        <v/>
      </c>
      <c r="Q751" s="1294" t="str">
        <f>'I. Stream &amp; Compound Data'!P287</f>
        <v/>
      </c>
      <c r="R751" s="1297" t="str">
        <f>IF(Q751="","",IF('I. Stream &amp; Compound Data'!E57="H2O",0,P751*Q751))</f>
        <v/>
      </c>
      <c r="S751" s="298"/>
      <c r="T751" s="298"/>
      <c r="U751" s="299"/>
      <c r="V751" s="279"/>
      <c r="W751" s="279"/>
      <c r="X751" s="279"/>
      <c r="Y751" s="279"/>
      <c r="Z751" s="279"/>
      <c r="AA751" s="279"/>
      <c r="AB751" s="279"/>
      <c r="AC751" s="279"/>
      <c r="AD751" s="279"/>
      <c r="AE751" s="279"/>
      <c r="AF751" s="279"/>
      <c r="AG751" s="279"/>
      <c r="AH751" s="279"/>
      <c r="AI751" s="279"/>
      <c r="AJ751" s="279"/>
      <c r="AK751" s="279"/>
      <c r="AL751" s="279"/>
      <c r="AM751" s="279"/>
      <c r="AN751" s="279"/>
      <c r="AO751" s="279"/>
      <c r="AP751" s="279"/>
      <c r="AQ751" s="279"/>
      <c r="AR751" s="279"/>
      <c r="AS751" s="279"/>
      <c r="AT751" s="279"/>
      <c r="AU751" s="279"/>
      <c r="AV751" s="279"/>
      <c r="AW751" s="279"/>
      <c r="AX751" s="279"/>
      <c r="AY751" s="279"/>
      <c r="AZ751" s="279"/>
      <c r="BA751" s="279"/>
      <c r="BB751" s="279"/>
      <c r="BC751" s="279"/>
      <c r="BD751" s="279"/>
      <c r="BE751" s="279"/>
      <c r="BF751" s="279"/>
      <c r="BG751" s="279"/>
      <c r="BH751" s="279"/>
      <c r="BI751" s="279"/>
      <c r="BJ751" s="279"/>
      <c r="BK751" s="279"/>
      <c r="BL751" s="279"/>
      <c r="BM751" s="279"/>
      <c r="BN751" s="279"/>
      <c r="BO751" s="279"/>
      <c r="BP751" s="279"/>
      <c r="BQ751" s="279"/>
      <c r="BR751" s="279"/>
      <c r="BS751" s="279"/>
      <c r="BT751" s="279"/>
      <c r="BU751" s="279"/>
      <c r="BV751" s="279"/>
      <c r="BW751" s="279"/>
      <c r="BX751" s="279"/>
      <c r="BY751" s="279"/>
      <c r="BZ751" s="279"/>
      <c r="CA751" s="279"/>
      <c r="CB751" s="279"/>
      <c r="CC751" s="279"/>
      <c r="CD751" s="279"/>
      <c r="CE751" s="279"/>
      <c r="CF751" s="279"/>
      <c r="CG751" s="279"/>
      <c r="CH751" s="279"/>
      <c r="CI751" s="279"/>
      <c r="CJ751" s="279"/>
      <c r="CK751" s="279"/>
      <c r="CL751" s="279"/>
      <c r="CM751" s="279"/>
      <c r="CN751" s="382"/>
    </row>
    <row r="752" ht="21.75" customHeight="true" x14ac:dyDescent="0.25">
      <c r="B752" s="361"/>
      <c r="C752" s="279"/>
      <c r="D752" s="280"/>
      <c r="E752" s="287"/>
      <c r="F752" s="287"/>
      <c r="G752" s="287"/>
      <c r="H752" s="1292">
        <f t="shared" si="32"/>
        <v>27</v>
      </c>
      <c r="I752" s="1295" t="str">
        <f>IF('I. Stream &amp; Compound Data'!AG288&lt;&gt;"",'I. Stream &amp; Compound Data'!AG288,"")</f>
        <v/>
      </c>
      <c r="J752" s="1295" t="str">
        <f>IF('I. Stream &amp; Compound Data'!AR288&lt;&gt;"",'I. Stream &amp; Compound Data'!AR288,IF('I. Stream &amp; Compound Data'!AS288&lt;&gt;"",'I. Stream &amp; Compound Data'!AS288,""))</f>
        <v/>
      </c>
      <c r="K752" s="1190" t="str">
        <f>IF('I. Stream &amp; Compound Data'!AX288&lt;&gt;"",'I. Stream &amp; Compound Data'!AX288,"")</f>
        <v/>
      </c>
      <c r="L752" s="290" t="str">
        <f>IF(H752&gt;'I. Stream &amp; Compound Data'!$F$18,"",IF(I752="","N/A",ROUND(IF(I752&lt;=0.1,1,IF(AND(I752&gt;0.1,I752&lt;1000),-0.109*LN(I752)+0.75,0)),3)))</f>
        <v/>
      </c>
      <c r="M752" s="1168" t="str">
        <f>IF(H752&gt;'I. Stream &amp; Compound Data'!$F$18,"",IF(L752="N/A",IF(J752="","N/A",IF(J752=50,0.875,IF(J752=51,0.625,IF(J752=52,0.375,0)))),"N/A"))</f>
        <v/>
      </c>
      <c r="N752" s="1287" t="str">
        <f>IF(H752&gt;'I. Stream &amp; Compound Data'!$F$18,"",IF(AND(L752="N/A",M752="N/A"),IF(K752="","N/A",IF(K752=3,0.875,IF(K752=2,0.5,IF(K752=1,0.125,0)))),"N/A"))</f>
        <v/>
      </c>
      <c r="O752" s="1294" t="str">
        <f>IF(H752&gt;'I. Stream &amp; Compound Data'!$F$18,"",IF(I168="","N/A",IF(L752&lt;&gt;"N/A",L752,IF(M752&lt;&gt;"N/A",M752,IF(N752&lt;&gt;"N/A",N752,"NO DATA AVAILABLE")))))</f>
        <v/>
      </c>
      <c r="P752" s="1294" t="str">
        <f>IF(H752&gt;'I. Stream &amp; Compound Data'!$F$18,"",IF(O752="N/A",0,10^(4*O752+1)))</f>
        <v/>
      </c>
      <c r="Q752" s="1294" t="str">
        <f>'I. Stream &amp; Compound Data'!P288</f>
        <v/>
      </c>
      <c r="R752" s="1297" t="str">
        <f>IF(Q752="","",IF('I. Stream &amp; Compound Data'!E58="H2O",0,P752*Q752))</f>
        <v/>
      </c>
      <c r="S752" s="298"/>
      <c r="T752" s="298"/>
      <c r="U752" s="299"/>
      <c r="V752" s="279"/>
      <c r="W752" s="279"/>
      <c r="X752" s="279"/>
      <c r="Y752" s="279"/>
      <c r="Z752" s="279"/>
      <c r="AA752" s="279"/>
      <c r="AB752" s="279"/>
      <c r="AC752" s="279"/>
      <c r="AD752" s="279"/>
      <c r="AE752" s="279"/>
      <c r="AF752" s="279"/>
      <c r="AG752" s="279"/>
      <c r="AH752" s="279"/>
      <c r="AI752" s="279"/>
      <c r="AJ752" s="279"/>
      <c r="AK752" s="279"/>
      <c r="AL752" s="279"/>
      <c r="AM752" s="279"/>
      <c r="AN752" s="279"/>
      <c r="AO752" s="279"/>
      <c r="AP752" s="279"/>
      <c r="AQ752" s="279"/>
      <c r="AR752" s="279"/>
      <c r="AS752" s="279"/>
      <c r="AT752" s="279"/>
      <c r="AU752" s="279"/>
      <c r="AV752" s="279"/>
      <c r="AW752" s="279"/>
      <c r="AX752" s="279"/>
      <c r="AY752" s="279"/>
      <c r="AZ752" s="279"/>
      <c r="BA752" s="279"/>
      <c r="BB752" s="279"/>
      <c r="BC752" s="279"/>
      <c r="BD752" s="279"/>
      <c r="BE752" s="279"/>
      <c r="BF752" s="279"/>
      <c r="BG752" s="279"/>
      <c r="BH752" s="279"/>
      <c r="BI752" s="279"/>
      <c r="BJ752" s="279"/>
      <c r="BK752" s="279"/>
      <c r="BL752" s="279"/>
      <c r="BM752" s="279"/>
      <c r="BN752" s="279"/>
      <c r="BO752" s="279"/>
      <c r="BP752" s="279"/>
      <c r="BQ752" s="279"/>
      <c r="BR752" s="279"/>
      <c r="BS752" s="279"/>
      <c r="BT752" s="279"/>
      <c r="BU752" s="279"/>
      <c r="BV752" s="279"/>
      <c r="BW752" s="279"/>
      <c r="BX752" s="279"/>
      <c r="BY752" s="279"/>
      <c r="BZ752" s="279"/>
      <c r="CA752" s="279"/>
      <c r="CB752" s="279"/>
      <c r="CC752" s="279"/>
      <c r="CD752" s="279"/>
      <c r="CE752" s="279"/>
      <c r="CF752" s="279"/>
      <c r="CG752" s="279"/>
      <c r="CH752" s="279"/>
      <c r="CI752" s="279"/>
      <c r="CJ752" s="279"/>
      <c r="CK752" s="279"/>
      <c r="CL752" s="279"/>
      <c r="CM752" s="279"/>
      <c r="CN752" s="382"/>
    </row>
    <row r="753" ht="21.75" customHeight="true" x14ac:dyDescent="0.25">
      <c r="B753" s="361"/>
      <c r="C753" s="279"/>
      <c r="D753" s="280"/>
      <c r="E753" s="287"/>
      <c r="F753" s="287"/>
      <c r="G753" s="287"/>
      <c r="H753" s="1292">
        <f t="shared" si="32"/>
        <v>28</v>
      </c>
      <c r="I753" s="1295" t="str">
        <f>IF('I. Stream &amp; Compound Data'!AG289&lt;&gt;"",'I. Stream &amp; Compound Data'!AG289,"")</f>
        <v/>
      </c>
      <c r="J753" s="1295" t="str">
        <f>IF('I. Stream &amp; Compound Data'!AR289&lt;&gt;"",'I. Stream &amp; Compound Data'!AR289,IF('I. Stream &amp; Compound Data'!AS289&lt;&gt;"",'I. Stream &amp; Compound Data'!AS289,""))</f>
        <v/>
      </c>
      <c r="K753" s="1190" t="str">
        <f>IF('I. Stream &amp; Compound Data'!AX289&lt;&gt;"",'I. Stream &amp; Compound Data'!AX289,"")</f>
        <v/>
      </c>
      <c r="L753" s="290" t="str">
        <f>IF(H753&gt;'I. Stream &amp; Compound Data'!$F$18,"",IF(I753="","N/A",ROUND(IF(I753&lt;=0.1,1,IF(AND(I753&gt;0.1,I753&lt;1000),-0.109*LN(I753)+0.75,0)),3)))</f>
        <v/>
      </c>
      <c r="M753" s="1168" t="str">
        <f>IF(H753&gt;'I. Stream &amp; Compound Data'!$F$18,"",IF(L753="N/A",IF(J753="","N/A",IF(J753=50,0.875,IF(J753=51,0.625,IF(J753=52,0.375,0)))),"N/A"))</f>
        <v/>
      </c>
      <c r="N753" s="1287" t="str">
        <f>IF(H753&gt;'I. Stream &amp; Compound Data'!$F$18,"",IF(AND(L753="N/A",M753="N/A"),IF(K753="","N/A",IF(K753=3,0.875,IF(K753=2,0.5,IF(K753=1,0.125,0)))),"N/A"))</f>
        <v/>
      </c>
      <c r="O753" s="1294" t="str">
        <f>IF(H753&gt;'I. Stream &amp; Compound Data'!$F$18,"",IF(I169="","N/A",IF(L753&lt;&gt;"N/A",L753,IF(M753&lt;&gt;"N/A",M753,IF(N753&lt;&gt;"N/A",N753,"NO DATA AVAILABLE")))))</f>
        <v/>
      </c>
      <c r="P753" s="1294" t="str">
        <f>IF(H753&gt;'I. Stream &amp; Compound Data'!$F$18,"",IF(O753="N/A",0,10^(4*O753+1)))</f>
        <v/>
      </c>
      <c r="Q753" s="1294" t="str">
        <f>'I. Stream &amp; Compound Data'!P289</f>
        <v/>
      </c>
      <c r="R753" s="1297" t="str">
        <f>IF(Q753="","",IF('I. Stream &amp; Compound Data'!E59="H2O",0,P753*Q753))</f>
        <v/>
      </c>
      <c r="S753" s="298"/>
      <c r="T753" s="298"/>
      <c r="U753" s="299"/>
      <c r="V753" s="279"/>
      <c r="W753" s="279"/>
      <c r="X753" s="279"/>
      <c r="Y753" s="279"/>
      <c r="Z753" s="279"/>
      <c r="AA753" s="279"/>
      <c r="AB753" s="279"/>
      <c r="AC753" s="279"/>
      <c r="AD753" s="279"/>
      <c r="AE753" s="279"/>
      <c r="AF753" s="279"/>
      <c r="AG753" s="279"/>
      <c r="AH753" s="279"/>
      <c r="AI753" s="279"/>
      <c r="AJ753" s="279"/>
      <c r="AK753" s="279"/>
      <c r="AL753" s="279"/>
      <c r="AM753" s="279"/>
      <c r="AN753" s="279"/>
      <c r="AO753" s="279"/>
      <c r="AP753" s="279"/>
      <c r="AQ753" s="279"/>
      <c r="AR753" s="279"/>
      <c r="AS753" s="279"/>
      <c r="AT753" s="279"/>
      <c r="AU753" s="279"/>
      <c r="AV753" s="279"/>
      <c r="AW753" s="279"/>
      <c r="AX753" s="279"/>
      <c r="AY753" s="279"/>
      <c r="AZ753" s="279"/>
      <c r="BA753" s="279"/>
      <c r="BB753" s="279"/>
      <c r="BC753" s="279"/>
      <c r="BD753" s="279"/>
      <c r="BE753" s="279"/>
      <c r="BF753" s="279"/>
      <c r="BG753" s="279"/>
      <c r="BH753" s="279"/>
      <c r="BI753" s="279"/>
      <c r="BJ753" s="279"/>
      <c r="BK753" s="279"/>
      <c r="BL753" s="279"/>
      <c r="BM753" s="279"/>
      <c r="BN753" s="279"/>
      <c r="BO753" s="279"/>
      <c r="BP753" s="279"/>
      <c r="BQ753" s="279"/>
      <c r="BR753" s="279"/>
      <c r="BS753" s="279"/>
      <c r="BT753" s="279"/>
      <c r="BU753" s="279"/>
      <c r="BV753" s="279"/>
      <c r="BW753" s="279"/>
      <c r="BX753" s="279"/>
      <c r="BY753" s="279"/>
      <c r="BZ753" s="279"/>
      <c r="CA753" s="279"/>
      <c r="CB753" s="279"/>
      <c r="CC753" s="279"/>
      <c r="CD753" s="279"/>
      <c r="CE753" s="279"/>
      <c r="CF753" s="279"/>
      <c r="CG753" s="279"/>
      <c r="CH753" s="279"/>
      <c r="CI753" s="279"/>
      <c r="CJ753" s="279"/>
      <c r="CK753" s="279"/>
      <c r="CL753" s="279"/>
      <c r="CM753" s="279"/>
      <c r="CN753" s="382"/>
    </row>
    <row r="754" ht="21.75" customHeight="true" x14ac:dyDescent="0.25">
      <c r="B754" s="361"/>
      <c r="C754" s="279"/>
      <c r="D754" s="280"/>
      <c r="E754" s="287"/>
      <c r="F754" s="287"/>
      <c r="G754" s="287"/>
      <c r="H754" s="1292">
        <f t="shared" si="32"/>
        <v>29</v>
      </c>
      <c r="I754" s="1295" t="str">
        <f>IF('I. Stream &amp; Compound Data'!AG290&lt;&gt;"",'I. Stream &amp; Compound Data'!AG290,"")</f>
        <v/>
      </c>
      <c r="J754" s="1295" t="str">
        <f>IF('I. Stream &amp; Compound Data'!AR290&lt;&gt;"",'I. Stream &amp; Compound Data'!AR290,IF('I. Stream &amp; Compound Data'!AS290&lt;&gt;"",'I. Stream &amp; Compound Data'!AS290,""))</f>
        <v/>
      </c>
      <c r="K754" s="1190" t="str">
        <f>IF('I. Stream &amp; Compound Data'!AX290&lt;&gt;"",'I. Stream &amp; Compound Data'!AX290,"")</f>
        <v/>
      </c>
      <c r="L754" s="290" t="str">
        <f>IF(H754&gt;'I. Stream &amp; Compound Data'!$F$18,"",IF(I754="","N/A",ROUND(IF(I754&lt;=0.1,1,IF(AND(I754&gt;0.1,I754&lt;1000),-0.109*LN(I754)+0.75,0)),3)))</f>
        <v/>
      </c>
      <c r="M754" s="1168" t="str">
        <f>IF(H754&gt;'I. Stream &amp; Compound Data'!$F$18,"",IF(L754="N/A",IF(J754="","N/A",IF(J754=50,0.875,IF(J754=51,0.625,IF(J754=52,0.375,0)))),"N/A"))</f>
        <v/>
      </c>
      <c r="N754" s="1287" t="str">
        <f>IF(H754&gt;'I. Stream &amp; Compound Data'!$F$18,"",IF(AND(L754="N/A",M754="N/A"),IF(K754="","N/A",IF(K754=3,0.875,IF(K754=2,0.5,IF(K754=1,0.125,0)))),"N/A"))</f>
        <v/>
      </c>
      <c r="O754" s="1294" t="str">
        <f>IF(H754&gt;'I. Stream &amp; Compound Data'!$F$18,"",IF(I170="","N/A",IF(L754&lt;&gt;"N/A",L754,IF(M754&lt;&gt;"N/A",M754,IF(N754&lt;&gt;"N/A",N754,"NO DATA AVAILABLE")))))</f>
        <v/>
      </c>
      <c r="P754" s="1294" t="str">
        <f>IF(H754&gt;'I. Stream &amp; Compound Data'!$F$18,"",IF(O754="N/A",0,10^(4*O754+1)))</f>
        <v/>
      </c>
      <c r="Q754" s="1294" t="str">
        <f>'I. Stream &amp; Compound Data'!P290</f>
        <v/>
      </c>
      <c r="R754" s="1297" t="str">
        <f>IF(Q754="","",IF('I. Stream &amp; Compound Data'!E60="H2O",0,P754*Q754))</f>
        <v/>
      </c>
      <c r="S754" s="298"/>
      <c r="T754" s="298"/>
      <c r="U754" s="299"/>
      <c r="V754" s="279"/>
      <c r="W754" s="279"/>
      <c r="X754" s="279"/>
      <c r="Y754" s="279"/>
      <c r="Z754" s="279"/>
      <c r="AA754" s="279"/>
      <c r="AB754" s="279"/>
      <c r="AC754" s="279"/>
      <c r="AD754" s="279"/>
      <c r="AE754" s="279"/>
      <c r="AF754" s="279"/>
      <c r="AG754" s="279"/>
      <c r="AH754" s="279"/>
      <c r="AI754" s="279"/>
      <c r="AJ754" s="279"/>
      <c r="AK754" s="279"/>
      <c r="AL754" s="279"/>
      <c r="AM754" s="279"/>
      <c r="AN754" s="279"/>
      <c r="AO754" s="279"/>
      <c r="AP754" s="279"/>
      <c r="AQ754" s="279"/>
      <c r="AR754" s="279"/>
      <c r="AS754" s="279"/>
      <c r="AT754" s="279"/>
      <c r="AU754" s="279"/>
      <c r="AV754" s="279"/>
      <c r="AW754" s="279"/>
      <c r="AX754" s="279"/>
      <c r="AY754" s="279"/>
      <c r="AZ754" s="279"/>
      <c r="BA754" s="279"/>
      <c r="BB754" s="279"/>
      <c r="BC754" s="279"/>
      <c r="BD754" s="279"/>
      <c r="BE754" s="279"/>
      <c r="BF754" s="279"/>
      <c r="BG754" s="279"/>
      <c r="BH754" s="279"/>
      <c r="BI754" s="279"/>
      <c r="BJ754" s="279"/>
      <c r="BK754" s="279"/>
      <c r="BL754" s="279"/>
      <c r="BM754" s="279"/>
      <c r="BN754" s="279"/>
      <c r="BO754" s="279"/>
      <c r="BP754" s="279"/>
      <c r="BQ754" s="279"/>
      <c r="BR754" s="279"/>
      <c r="BS754" s="279"/>
      <c r="BT754" s="279"/>
      <c r="BU754" s="279"/>
      <c r="BV754" s="279"/>
      <c r="BW754" s="279"/>
      <c r="BX754" s="279"/>
      <c r="BY754" s="279"/>
      <c r="BZ754" s="279"/>
      <c r="CA754" s="279"/>
      <c r="CB754" s="279"/>
      <c r="CC754" s="279"/>
      <c r="CD754" s="279"/>
      <c r="CE754" s="279"/>
      <c r="CF754" s="279"/>
      <c r="CG754" s="279"/>
      <c r="CH754" s="279"/>
      <c r="CI754" s="279"/>
      <c r="CJ754" s="279"/>
      <c r="CK754" s="279"/>
      <c r="CL754" s="279"/>
      <c r="CM754" s="279"/>
      <c r="CN754" s="382"/>
    </row>
    <row r="755" ht="21.75" customHeight="true" x14ac:dyDescent="0.25">
      <c r="B755" s="361"/>
      <c r="C755" s="279"/>
      <c r="D755" s="280"/>
      <c r="E755" s="287"/>
      <c r="F755" s="287"/>
      <c r="G755" s="287"/>
      <c r="H755" s="1292">
        <f t="shared" si="32"/>
        <v>30</v>
      </c>
      <c r="I755" s="1295" t="str">
        <f>IF('I. Stream &amp; Compound Data'!AG291&lt;&gt;"",'I. Stream &amp; Compound Data'!AG291,"")</f>
        <v/>
      </c>
      <c r="J755" s="1295" t="str">
        <f>IF('I. Stream &amp; Compound Data'!AR291&lt;&gt;"",'I. Stream &amp; Compound Data'!AR291,IF('I. Stream &amp; Compound Data'!AS291&lt;&gt;"",'I. Stream &amp; Compound Data'!AS291,""))</f>
        <v/>
      </c>
      <c r="K755" s="1190" t="str">
        <f>IF('I. Stream &amp; Compound Data'!AX291&lt;&gt;"",'I. Stream &amp; Compound Data'!AX291,"")</f>
        <v/>
      </c>
      <c r="L755" s="290" t="str">
        <f>IF(H755&gt;'I. Stream &amp; Compound Data'!$F$18,"",IF(I755="","N/A",ROUND(IF(I755&lt;=0.1,1,IF(AND(I755&gt;0.1,I755&lt;1000),-0.109*LN(I755)+0.75,0)),3)))</f>
        <v/>
      </c>
      <c r="M755" s="1168" t="str">
        <f>IF(H755&gt;'I. Stream &amp; Compound Data'!$F$18,"",IF(L755="N/A",IF(J755="","N/A",IF(J755=50,0.875,IF(J755=51,0.625,IF(J755=52,0.375,0)))),"N/A"))</f>
        <v/>
      </c>
      <c r="N755" s="1287" t="str">
        <f>IF(H755&gt;'I. Stream &amp; Compound Data'!$F$18,"",IF(AND(L755="N/A",M755="N/A"),IF(K755="","N/A",IF(K755=3,0.875,IF(K755=2,0.5,IF(K755=1,0.125,0)))),"N/A"))</f>
        <v/>
      </c>
      <c r="O755" s="1294" t="str">
        <f>IF(H755&gt;'I. Stream &amp; Compound Data'!$F$18,"",IF(I171="","N/A",IF(L755&lt;&gt;"N/A",L755,IF(M755&lt;&gt;"N/A",M755,IF(N755&lt;&gt;"N/A",N755,"NO DATA AVAILABLE")))))</f>
        <v/>
      </c>
      <c r="P755" s="1294" t="str">
        <f>IF(H755&gt;'I. Stream &amp; Compound Data'!$F$18,"",IF(O755="N/A",0,10^(4*O755+1)))</f>
        <v/>
      </c>
      <c r="Q755" s="1294" t="str">
        <f>'I. Stream &amp; Compound Data'!P291</f>
        <v/>
      </c>
      <c r="R755" s="1297" t="str">
        <f>IF(Q755="","",IF('I. Stream &amp; Compound Data'!E61="H2O",0,P755*Q755))</f>
        <v/>
      </c>
      <c r="S755" s="298"/>
      <c r="T755" s="298"/>
      <c r="U755" s="299"/>
      <c r="V755" s="279"/>
      <c r="W755" s="279"/>
      <c r="X755" s="279"/>
      <c r="Y755" s="279"/>
      <c r="Z755" s="279"/>
      <c r="AA755" s="279"/>
      <c r="AB755" s="279"/>
      <c r="AC755" s="279"/>
      <c r="AD755" s="279"/>
      <c r="AE755" s="279"/>
      <c r="AF755" s="279"/>
      <c r="AG755" s="279"/>
      <c r="AH755" s="279"/>
      <c r="AI755" s="279"/>
      <c r="AJ755" s="279"/>
      <c r="AK755" s="279"/>
      <c r="AL755" s="279"/>
      <c r="AM755" s="279"/>
      <c r="AN755" s="279"/>
      <c r="AO755" s="279"/>
      <c r="AP755" s="279"/>
      <c r="AQ755" s="279"/>
      <c r="AR755" s="279"/>
      <c r="AS755" s="279"/>
      <c r="AT755" s="279"/>
      <c r="AU755" s="279"/>
      <c r="AV755" s="279"/>
      <c r="AW755" s="279"/>
      <c r="AX755" s="279"/>
      <c r="AY755" s="279"/>
      <c r="AZ755" s="279"/>
      <c r="BA755" s="279"/>
      <c r="BB755" s="279"/>
      <c r="BC755" s="279"/>
      <c r="BD755" s="279"/>
      <c r="BE755" s="279"/>
      <c r="BF755" s="279"/>
      <c r="BG755" s="279"/>
      <c r="BH755" s="279"/>
      <c r="BI755" s="279"/>
      <c r="BJ755" s="279"/>
      <c r="BK755" s="279"/>
      <c r="BL755" s="279"/>
      <c r="BM755" s="279"/>
      <c r="BN755" s="279"/>
      <c r="BO755" s="279"/>
      <c r="BP755" s="279"/>
      <c r="BQ755" s="279"/>
      <c r="BR755" s="279"/>
      <c r="BS755" s="279"/>
      <c r="BT755" s="279"/>
      <c r="BU755" s="279"/>
      <c r="BV755" s="279"/>
      <c r="BW755" s="279"/>
      <c r="BX755" s="279"/>
      <c r="BY755" s="279"/>
      <c r="BZ755" s="279"/>
      <c r="CA755" s="279"/>
      <c r="CB755" s="279"/>
      <c r="CC755" s="279"/>
      <c r="CD755" s="279"/>
      <c r="CE755" s="279"/>
      <c r="CF755" s="279"/>
      <c r="CG755" s="279"/>
      <c r="CH755" s="279"/>
      <c r="CI755" s="279"/>
      <c r="CJ755" s="279"/>
      <c r="CK755" s="279"/>
      <c r="CL755" s="279"/>
      <c r="CM755" s="279"/>
      <c r="CN755" s="382"/>
    </row>
    <row r="756" ht="21.75" customHeight="true" x14ac:dyDescent="0.25">
      <c r="B756" s="361"/>
      <c r="C756" s="279"/>
      <c r="D756" s="280"/>
      <c r="E756" s="287"/>
      <c r="F756" s="287"/>
      <c r="G756" s="287"/>
      <c r="H756" s="1292">
        <f t="shared" si="32"/>
        <v>31</v>
      </c>
      <c r="I756" s="1295" t="str">
        <f>IF('I. Stream &amp; Compound Data'!AG292&lt;&gt;"",'I. Stream &amp; Compound Data'!AG292,"")</f>
        <v/>
      </c>
      <c r="J756" s="1295" t="str">
        <f>IF('I. Stream &amp; Compound Data'!AR292&lt;&gt;"",'I. Stream &amp; Compound Data'!AR292,IF('I. Stream &amp; Compound Data'!AS292&lt;&gt;"",'I. Stream &amp; Compound Data'!AS292,""))</f>
        <v/>
      </c>
      <c r="K756" s="1190" t="str">
        <f>IF('I. Stream &amp; Compound Data'!AX292&lt;&gt;"",'I. Stream &amp; Compound Data'!AX292,"")</f>
        <v/>
      </c>
      <c r="L756" s="290" t="str">
        <f>IF(H756&gt;'I. Stream &amp; Compound Data'!$F$18,"",IF(I756="","N/A",ROUND(IF(I756&lt;=0.1,1,IF(AND(I756&gt;0.1,I756&lt;1000),-0.109*LN(I756)+0.75,0)),3)))</f>
        <v/>
      </c>
      <c r="M756" s="1168" t="str">
        <f>IF(H756&gt;'I. Stream &amp; Compound Data'!$F$18,"",IF(L756="N/A",IF(J756="","N/A",IF(J756=50,0.875,IF(J756=51,0.625,IF(J756=52,0.375,0)))),"N/A"))</f>
        <v/>
      </c>
      <c r="N756" s="1287" t="str">
        <f>IF(H756&gt;'I. Stream &amp; Compound Data'!$F$18,"",IF(AND(L756="N/A",M756="N/A"),IF(K756="","N/A",IF(K756=3,0.875,IF(K756=2,0.5,IF(K756=1,0.125,0)))),"N/A"))</f>
        <v/>
      </c>
      <c r="O756" s="1294" t="str">
        <f>IF(H756&gt;'I. Stream &amp; Compound Data'!$F$18,"",IF(I172="","N/A",IF(L756&lt;&gt;"N/A",L756,IF(M756&lt;&gt;"N/A",M756,IF(N756&lt;&gt;"N/A",N756,"NO DATA AVAILABLE")))))</f>
        <v/>
      </c>
      <c r="P756" s="1294" t="str">
        <f>IF(H756&gt;'I. Stream &amp; Compound Data'!$F$18,"",IF(O756="N/A",0,10^(4*O756+1)))</f>
        <v/>
      </c>
      <c r="Q756" s="1294" t="str">
        <f>'I. Stream &amp; Compound Data'!P292</f>
        <v/>
      </c>
      <c r="R756" s="1297" t="str">
        <f>IF(Q756="","",IF('I. Stream &amp; Compound Data'!E62="H2O",0,P756*Q756))</f>
        <v/>
      </c>
      <c r="S756" s="298"/>
      <c r="T756" s="298"/>
      <c r="U756" s="299"/>
      <c r="V756" s="279"/>
      <c r="W756" s="279"/>
      <c r="X756" s="279"/>
      <c r="Y756" s="279"/>
      <c r="Z756" s="279"/>
      <c r="AA756" s="279"/>
      <c r="AB756" s="279"/>
      <c r="AC756" s="279"/>
      <c r="AD756" s="279"/>
      <c r="AE756" s="279"/>
      <c r="AF756" s="279"/>
      <c r="AG756" s="279"/>
      <c r="AH756" s="279"/>
      <c r="AI756" s="279"/>
      <c r="AJ756" s="279"/>
      <c r="AK756" s="279"/>
      <c r="AL756" s="279"/>
      <c r="AM756" s="279"/>
      <c r="AN756" s="279"/>
      <c r="AO756" s="279"/>
      <c r="AP756" s="279"/>
      <c r="AQ756" s="279"/>
      <c r="AR756" s="279"/>
      <c r="AS756" s="279"/>
      <c r="AT756" s="279"/>
      <c r="AU756" s="279"/>
      <c r="AV756" s="279"/>
      <c r="AW756" s="279"/>
      <c r="AX756" s="279"/>
      <c r="AY756" s="279"/>
      <c r="AZ756" s="279"/>
      <c r="BA756" s="279"/>
      <c r="BB756" s="279"/>
      <c r="BC756" s="279"/>
      <c r="BD756" s="279"/>
      <c r="BE756" s="279"/>
      <c r="BF756" s="279"/>
      <c r="BG756" s="279"/>
      <c r="BH756" s="279"/>
      <c r="BI756" s="279"/>
      <c r="BJ756" s="279"/>
      <c r="BK756" s="279"/>
      <c r="BL756" s="279"/>
      <c r="BM756" s="279"/>
      <c r="BN756" s="279"/>
      <c r="BO756" s="279"/>
      <c r="BP756" s="279"/>
      <c r="BQ756" s="279"/>
      <c r="BR756" s="279"/>
      <c r="BS756" s="279"/>
      <c r="BT756" s="279"/>
      <c r="BU756" s="279"/>
      <c r="BV756" s="279"/>
      <c r="BW756" s="279"/>
      <c r="BX756" s="279"/>
      <c r="BY756" s="279"/>
      <c r="BZ756" s="279"/>
      <c r="CA756" s="279"/>
      <c r="CB756" s="279"/>
      <c r="CC756" s="279"/>
      <c r="CD756" s="279"/>
      <c r="CE756" s="279"/>
      <c r="CF756" s="279"/>
      <c r="CG756" s="279"/>
      <c r="CH756" s="279"/>
      <c r="CI756" s="279"/>
      <c r="CJ756" s="279"/>
      <c r="CK756" s="279"/>
      <c r="CL756" s="279"/>
      <c r="CM756" s="279"/>
      <c r="CN756" s="382"/>
    </row>
    <row r="757" ht="21.75" customHeight="true" x14ac:dyDescent="0.25">
      <c r="B757" s="361"/>
      <c r="C757" s="279"/>
      <c r="D757" s="280"/>
      <c r="E757" s="287"/>
      <c r="F757" s="287"/>
      <c r="G757" s="287"/>
      <c r="H757" s="1292">
        <f t="shared" si="32"/>
        <v>32</v>
      </c>
      <c r="I757" s="1295" t="str">
        <f>IF('I. Stream &amp; Compound Data'!AG293&lt;&gt;"",'I. Stream &amp; Compound Data'!AG293,"")</f>
        <v/>
      </c>
      <c r="J757" s="1295" t="str">
        <f>IF('I. Stream &amp; Compound Data'!AR293&lt;&gt;"",'I. Stream &amp; Compound Data'!AR293,IF('I. Stream &amp; Compound Data'!AS293&lt;&gt;"",'I. Stream &amp; Compound Data'!AS293,""))</f>
        <v/>
      </c>
      <c r="K757" s="1190" t="str">
        <f>IF('I. Stream &amp; Compound Data'!AX293&lt;&gt;"",'I. Stream &amp; Compound Data'!AX293,"")</f>
        <v/>
      </c>
      <c r="L757" s="290" t="str">
        <f>IF(H757&gt;'I. Stream &amp; Compound Data'!$F$18,"",IF(I757="","N/A",ROUND(IF(I757&lt;=0.1,1,IF(AND(I757&gt;0.1,I757&lt;1000),-0.109*LN(I757)+0.75,0)),3)))</f>
        <v/>
      </c>
      <c r="M757" s="1168" t="str">
        <f>IF(H757&gt;'I. Stream &amp; Compound Data'!$F$18,"",IF(L757="N/A",IF(J757="","N/A",IF(J757=50,0.875,IF(J757=51,0.625,IF(J757=52,0.375,0)))),"N/A"))</f>
        <v/>
      </c>
      <c r="N757" s="1287" t="str">
        <f>IF(H757&gt;'I. Stream &amp; Compound Data'!$F$18,"",IF(AND(L757="N/A",M757="N/A"),IF(K757="","N/A",IF(K757=3,0.875,IF(K757=2,0.5,IF(K757=1,0.125,0)))),"N/A"))</f>
        <v/>
      </c>
      <c r="O757" s="1294" t="str">
        <f>IF(H757&gt;'I. Stream &amp; Compound Data'!$F$18,"",IF(I173="","N/A",IF(L757&lt;&gt;"N/A",L757,IF(M757&lt;&gt;"N/A",M757,IF(N757&lt;&gt;"N/A",N757,"NO DATA AVAILABLE")))))</f>
        <v/>
      </c>
      <c r="P757" s="1294" t="str">
        <f>IF(H757&gt;'I. Stream &amp; Compound Data'!$F$18,"",IF(O757="N/A",0,10^(4*O757+1)))</f>
        <v/>
      </c>
      <c r="Q757" s="1294" t="str">
        <f>'I. Stream &amp; Compound Data'!P293</f>
        <v/>
      </c>
      <c r="R757" s="1297" t="str">
        <f>IF(Q757="","",IF('I. Stream &amp; Compound Data'!E63="H2O",0,P757*Q757))</f>
        <v/>
      </c>
      <c r="S757" s="298"/>
      <c r="T757" s="298"/>
      <c r="U757" s="299"/>
      <c r="V757" s="279"/>
      <c r="W757" s="279"/>
      <c r="X757" s="279"/>
      <c r="Y757" s="279"/>
      <c r="Z757" s="279"/>
      <c r="AA757" s="279"/>
      <c r="AB757" s="279"/>
      <c r="AC757" s="279"/>
      <c r="AD757" s="279"/>
      <c r="AE757" s="279"/>
      <c r="AF757" s="279"/>
      <c r="AG757" s="279"/>
      <c r="AH757" s="279"/>
      <c r="AI757" s="279"/>
      <c r="AJ757" s="279"/>
      <c r="AK757" s="279"/>
      <c r="AL757" s="279"/>
      <c r="AM757" s="279"/>
      <c r="AN757" s="279"/>
      <c r="AO757" s="279"/>
      <c r="AP757" s="279"/>
      <c r="AQ757" s="279"/>
      <c r="AR757" s="279"/>
      <c r="AS757" s="279"/>
      <c r="AT757" s="279"/>
      <c r="AU757" s="279"/>
      <c r="AV757" s="279"/>
      <c r="AW757" s="279"/>
      <c r="AX757" s="279"/>
      <c r="AY757" s="279"/>
      <c r="AZ757" s="279"/>
      <c r="BA757" s="279"/>
      <c r="BB757" s="279"/>
      <c r="BC757" s="279"/>
      <c r="BD757" s="279"/>
      <c r="BE757" s="279"/>
      <c r="BF757" s="279"/>
      <c r="BG757" s="279"/>
      <c r="BH757" s="279"/>
      <c r="BI757" s="279"/>
      <c r="BJ757" s="279"/>
      <c r="BK757" s="279"/>
      <c r="BL757" s="279"/>
      <c r="BM757" s="279"/>
      <c r="BN757" s="279"/>
      <c r="BO757" s="279"/>
      <c r="BP757" s="279"/>
      <c r="BQ757" s="279"/>
      <c r="BR757" s="279"/>
      <c r="BS757" s="279"/>
      <c r="BT757" s="279"/>
      <c r="BU757" s="279"/>
      <c r="BV757" s="279"/>
      <c r="BW757" s="279"/>
      <c r="BX757" s="279"/>
      <c r="BY757" s="279"/>
      <c r="BZ757" s="279"/>
      <c r="CA757" s="279"/>
      <c r="CB757" s="279"/>
      <c r="CC757" s="279"/>
      <c r="CD757" s="279"/>
      <c r="CE757" s="279"/>
      <c r="CF757" s="279"/>
      <c r="CG757" s="279"/>
      <c r="CH757" s="279"/>
      <c r="CI757" s="279"/>
      <c r="CJ757" s="279"/>
      <c r="CK757" s="279"/>
      <c r="CL757" s="279"/>
      <c r="CM757" s="279"/>
      <c r="CN757" s="382"/>
    </row>
    <row r="758" ht="21.75" customHeight="true" x14ac:dyDescent="0.25">
      <c r="B758" s="361"/>
      <c r="C758" s="279"/>
      <c r="D758" s="280"/>
      <c r="E758" s="287"/>
      <c r="F758" s="287"/>
      <c r="G758" s="287"/>
      <c r="H758" s="1292">
        <f t="shared" si="32"/>
        <v>33</v>
      </c>
      <c r="I758" s="1295" t="str">
        <f>IF('I. Stream &amp; Compound Data'!AG294&lt;&gt;"",'I. Stream &amp; Compound Data'!AG294,"")</f>
        <v/>
      </c>
      <c r="J758" s="1295" t="str">
        <f>IF('I. Stream &amp; Compound Data'!AR294&lt;&gt;"",'I. Stream &amp; Compound Data'!AR294,IF('I. Stream &amp; Compound Data'!AS294&lt;&gt;"",'I. Stream &amp; Compound Data'!AS294,""))</f>
        <v/>
      </c>
      <c r="K758" s="1190" t="str">
        <f>IF('I. Stream &amp; Compound Data'!AX294&lt;&gt;"",'I. Stream &amp; Compound Data'!AX294,"")</f>
        <v/>
      </c>
      <c r="L758" s="290" t="str">
        <f>IF(H758&gt;'I. Stream &amp; Compound Data'!$F$18,"",IF(I758="","N/A",ROUND(IF(I758&lt;=0.1,1,IF(AND(I758&gt;0.1,I758&lt;1000),-0.109*LN(I758)+0.75,0)),3)))</f>
        <v/>
      </c>
      <c r="M758" s="1168" t="str">
        <f>IF(H758&gt;'I. Stream &amp; Compound Data'!$F$18,"",IF(L758="N/A",IF(J758="","N/A",IF(J758=50,0.875,IF(J758=51,0.625,IF(J758=52,0.375,0)))),"N/A"))</f>
        <v/>
      </c>
      <c r="N758" s="1287" t="str">
        <f>IF(H758&gt;'I. Stream &amp; Compound Data'!$F$18,"",IF(AND(L758="N/A",M758="N/A"),IF(K758="","N/A",IF(K758=3,0.875,IF(K758=2,0.5,IF(K758=1,0.125,0)))),"N/A"))</f>
        <v/>
      </c>
      <c r="O758" s="1294" t="str">
        <f>IF(H758&gt;'I. Stream &amp; Compound Data'!$F$18,"",IF(I174="","N/A",IF(L758&lt;&gt;"N/A",L758,IF(M758&lt;&gt;"N/A",M758,IF(N758&lt;&gt;"N/A",N758,"NO DATA AVAILABLE")))))</f>
        <v/>
      </c>
      <c r="P758" s="1294" t="str">
        <f>IF(H758&gt;'I. Stream &amp; Compound Data'!$F$18,"",IF(O758="N/A",0,10^(4*O758+1)))</f>
        <v/>
      </c>
      <c r="Q758" s="1294" t="str">
        <f>'I. Stream &amp; Compound Data'!P294</f>
        <v/>
      </c>
      <c r="R758" s="1297" t="str">
        <f>IF(Q758="","",IF('I. Stream &amp; Compound Data'!E64="H2O",0,P758*Q758))</f>
        <v/>
      </c>
      <c r="S758" s="298"/>
      <c r="T758" s="298"/>
      <c r="U758" s="299"/>
      <c r="V758" s="279"/>
      <c r="W758" s="279"/>
      <c r="X758" s="279"/>
      <c r="Y758" s="279"/>
      <c r="Z758" s="279"/>
      <c r="AA758" s="279"/>
      <c r="AB758" s="279"/>
      <c r="AC758" s="279"/>
      <c r="AD758" s="279"/>
      <c r="AE758" s="279"/>
      <c r="AF758" s="279"/>
      <c r="AG758" s="279"/>
      <c r="AH758" s="279"/>
      <c r="AI758" s="279"/>
      <c r="AJ758" s="279"/>
      <c r="AK758" s="279"/>
      <c r="AL758" s="279"/>
      <c r="AM758" s="279"/>
      <c r="AN758" s="279"/>
      <c r="AO758" s="279"/>
      <c r="AP758" s="279"/>
      <c r="AQ758" s="279"/>
      <c r="AR758" s="279"/>
      <c r="AS758" s="279"/>
      <c r="AT758" s="279"/>
      <c r="AU758" s="279"/>
      <c r="AV758" s="279"/>
      <c r="AW758" s="279"/>
      <c r="AX758" s="279"/>
      <c r="AY758" s="279"/>
      <c r="AZ758" s="279"/>
      <c r="BA758" s="279"/>
      <c r="BB758" s="279"/>
      <c r="BC758" s="279"/>
      <c r="BD758" s="279"/>
      <c r="BE758" s="279"/>
      <c r="BF758" s="279"/>
      <c r="BG758" s="279"/>
      <c r="BH758" s="279"/>
      <c r="BI758" s="279"/>
      <c r="BJ758" s="279"/>
      <c r="BK758" s="279"/>
      <c r="BL758" s="279"/>
      <c r="BM758" s="279"/>
      <c r="BN758" s="279"/>
      <c r="BO758" s="279"/>
      <c r="BP758" s="279"/>
      <c r="BQ758" s="279"/>
      <c r="BR758" s="279"/>
      <c r="BS758" s="279"/>
      <c r="BT758" s="279"/>
      <c r="BU758" s="279"/>
      <c r="BV758" s="279"/>
      <c r="BW758" s="279"/>
      <c r="BX758" s="279"/>
      <c r="BY758" s="279"/>
      <c r="BZ758" s="279"/>
      <c r="CA758" s="279"/>
      <c r="CB758" s="279"/>
      <c r="CC758" s="279"/>
      <c r="CD758" s="279"/>
      <c r="CE758" s="279"/>
      <c r="CF758" s="279"/>
      <c r="CG758" s="279"/>
      <c r="CH758" s="279"/>
      <c r="CI758" s="279"/>
      <c r="CJ758" s="279"/>
      <c r="CK758" s="279"/>
      <c r="CL758" s="279"/>
      <c r="CM758" s="279"/>
      <c r="CN758" s="382"/>
    </row>
    <row r="759" ht="21.75" customHeight="true" x14ac:dyDescent="0.25">
      <c r="B759" s="361"/>
      <c r="C759" s="279"/>
      <c r="D759" s="280"/>
      <c r="E759" s="287"/>
      <c r="F759" s="287"/>
      <c r="G759" s="287"/>
      <c r="H759" s="1292">
        <f t="shared" si="32"/>
        <v>34</v>
      </c>
      <c r="I759" s="1295" t="str">
        <f>IF('I. Stream &amp; Compound Data'!AG295&lt;&gt;"",'I. Stream &amp; Compound Data'!AG295,"")</f>
        <v/>
      </c>
      <c r="J759" s="1295" t="str">
        <f>IF('I. Stream &amp; Compound Data'!AR295&lt;&gt;"",'I. Stream &amp; Compound Data'!AR295,IF('I. Stream &amp; Compound Data'!AS295&lt;&gt;"",'I. Stream &amp; Compound Data'!AS295,""))</f>
        <v/>
      </c>
      <c r="K759" s="1190" t="str">
        <f>IF('I. Stream &amp; Compound Data'!AX295&lt;&gt;"",'I. Stream &amp; Compound Data'!AX295,"")</f>
        <v/>
      </c>
      <c r="L759" s="290" t="str">
        <f>IF(H759&gt;'I. Stream &amp; Compound Data'!$F$18,"",IF(I759="","N/A",ROUND(IF(I759&lt;=0.1,1,IF(AND(I759&gt;0.1,I759&lt;1000),-0.109*LN(I759)+0.75,0)),3)))</f>
        <v/>
      </c>
      <c r="M759" s="1168" t="str">
        <f>IF(H759&gt;'I. Stream &amp; Compound Data'!$F$18,"",IF(L759="N/A",IF(J759="","N/A",IF(J759=50,0.875,IF(J759=51,0.625,IF(J759=52,0.375,0)))),"N/A"))</f>
        <v/>
      </c>
      <c r="N759" s="1287" t="str">
        <f>IF(H759&gt;'I. Stream &amp; Compound Data'!$F$18,"",IF(AND(L759="N/A",M759="N/A"),IF(K759="","N/A",IF(K759=3,0.875,IF(K759=2,0.5,IF(K759=1,0.125,0)))),"N/A"))</f>
        <v/>
      </c>
      <c r="O759" s="1294" t="str">
        <f>IF(H759&gt;'I. Stream &amp; Compound Data'!$F$18,"",IF(I175="","N/A",IF(L759&lt;&gt;"N/A",L759,IF(M759&lt;&gt;"N/A",M759,IF(N759&lt;&gt;"N/A",N759,"NO DATA AVAILABLE")))))</f>
        <v/>
      </c>
      <c r="P759" s="1294" t="str">
        <f>IF(H759&gt;'I. Stream &amp; Compound Data'!$F$18,"",IF(O759="N/A",0,10^(4*O759+1)))</f>
        <v/>
      </c>
      <c r="Q759" s="1294" t="str">
        <f>'I. Stream &amp; Compound Data'!P295</f>
        <v/>
      </c>
      <c r="R759" s="1297" t="str">
        <f>IF(Q759="","",IF('I. Stream &amp; Compound Data'!E65="H2O",0,P759*Q759))</f>
        <v/>
      </c>
      <c r="S759" s="298"/>
      <c r="T759" s="298"/>
      <c r="U759" s="299"/>
      <c r="V759" s="279"/>
      <c r="W759" s="279"/>
      <c r="X759" s="279"/>
      <c r="Y759" s="279"/>
      <c r="Z759" s="279"/>
      <c r="AA759" s="279"/>
      <c r="AB759" s="279"/>
      <c r="AC759" s="279"/>
      <c r="AD759" s="279"/>
      <c r="AE759" s="279"/>
      <c r="AF759" s="279"/>
      <c r="AG759" s="279"/>
      <c r="AH759" s="279"/>
      <c r="AI759" s="279"/>
      <c r="AJ759" s="279"/>
      <c r="AK759" s="279"/>
      <c r="AL759" s="279"/>
      <c r="AM759" s="279"/>
      <c r="AN759" s="279"/>
      <c r="AO759" s="279"/>
      <c r="AP759" s="279"/>
      <c r="AQ759" s="279"/>
      <c r="AR759" s="279"/>
      <c r="AS759" s="279"/>
      <c r="AT759" s="279"/>
      <c r="AU759" s="279"/>
      <c r="AV759" s="279"/>
      <c r="AW759" s="279"/>
      <c r="AX759" s="279"/>
      <c r="AY759" s="279"/>
      <c r="AZ759" s="279"/>
      <c r="BA759" s="279"/>
      <c r="BB759" s="279"/>
      <c r="BC759" s="279"/>
      <c r="BD759" s="279"/>
      <c r="BE759" s="279"/>
      <c r="BF759" s="279"/>
      <c r="BG759" s="279"/>
      <c r="BH759" s="279"/>
      <c r="BI759" s="279"/>
      <c r="BJ759" s="279"/>
      <c r="BK759" s="279"/>
      <c r="BL759" s="279"/>
      <c r="BM759" s="279"/>
      <c r="BN759" s="279"/>
      <c r="BO759" s="279"/>
      <c r="BP759" s="279"/>
      <c r="BQ759" s="279"/>
      <c r="BR759" s="279"/>
      <c r="BS759" s="279"/>
      <c r="BT759" s="279"/>
      <c r="BU759" s="279"/>
      <c r="BV759" s="279"/>
      <c r="BW759" s="279"/>
      <c r="BX759" s="279"/>
      <c r="BY759" s="279"/>
      <c r="BZ759" s="279"/>
      <c r="CA759" s="279"/>
      <c r="CB759" s="279"/>
      <c r="CC759" s="279"/>
      <c r="CD759" s="279"/>
      <c r="CE759" s="279"/>
      <c r="CF759" s="279"/>
      <c r="CG759" s="279"/>
      <c r="CH759" s="279"/>
      <c r="CI759" s="279"/>
      <c r="CJ759" s="279"/>
      <c r="CK759" s="279"/>
      <c r="CL759" s="279"/>
      <c r="CM759" s="279"/>
      <c r="CN759" s="382"/>
    </row>
    <row r="760" ht="21.75" customHeight="true" x14ac:dyDescent="0.25">
      <c r="B760" s="361"/>
      <c r="C760" s="279"/>
      <c r="D760" s="280"/>
      <c r="E760" s="287"/>
      <c r="F760" s="287"/>
      <c r="G760" s="287"/>
      <c r="H760" s="1292">
        <f t="shared" si="32"/>
        <v>35</v>
      </c>
      <c r="I760" s="1295" t="str">
        <f>IF('I. Stream &amp; Compound Data'!AG296&lt;&gt;"",'I. Stream &amp; Compound Data'!AG296,"")</f>
        <v/>
      </c>
      <c r="J760" s="1295" t="str">
        <f>IF('I. Stream &amp; Compound Data'!AR296&lt;&gt;"",'I. Stream &amp; Compound Data'!AR296,IF('I. Stream &amp; Compound Data'!AS296&lt;&gt;"",'I. Stream &amp; Compound Data'!AS296,""))</f>
        <v/>
      </c>
      <c r="K760" s="1190" t="str">
        <f>IF('I. Stream &amp; Compound Data'!AX296&lt;&gt;"",'I. Stream &amp; Compound Data'!AX296,"")</f>
        <v/>
      </c>
      <c r="L760" s="290" t="str">
        <f>IF(H760&gt;'I. Stream &amp; Compound Data'!$F$18,"",IF(I760="","N/A",ROUND(IF(I760&lt;=0.1,1,IF(AND(I760&gt;0.1,I760&lt;1000),-0.109*LN(I760)+0.75,0)),3)))</f>
        <v/>
      </c>
      <c r="M760" s="1168" t="str">
        <f>IF(H760&gt;'I. Stream &amp; Compound Data'!$F$18,"",IF(L760="N/A",IF(J760="","N/A",IF(J760=50,0.875,IF(J760=51,0.625,IF(J760=52,0.375,0)))),"N/A"))</f>
        <v/>
      </c>
      <c r="N760" s="1287" t="str">
        <f>IF(H760&gt;'I. Stream &amp; Compound Data'!$F$18,"",IF(AND(L760="N/A",M760="N/A"),IF(K760="","N/A",IF(K760=3,0.875,IF(K760=2,0.5,IF(K760=1,0.125,0)))),"N/A"))</f>
        <v/>
      </c>
      <c r="O760" s="1294" t="str">
        <f>IF(H760&gt;'I. Stream &amp; Compound Data'!$F$18,"",IF(I176="","N/A",IF(L760&lt;&gt;"N/A",L760,IF(M760&lt;&gt;"N/A",M760,IF(N760&lt;&gt;"N/A",N760,"NO DATA AVAILABLE")))))</f>
        <v/>
      </c>
      <c r="P760" s="1294" t="str">
        <f>IF(H760&gt;'I. Stream &amp; Compound Data'!$F$18,"",IF(O760="N/A",0,10^(4*O760+1)))</f>
        <v/>
      </c>
      <c r="Q760" s="1294" t="str">
        <f>'I. Stream &amp; Compound Data'!P296</f>
        <v/>
      </c>
      <c r="R760" s="1297" t="str">
        <f>IF(Q760="","",IF('I. Stream &amp; Compound Data'!E66="H2O",0,P760*Q760))</f>
        <v/>
      </c>
      <c r="S760" s="298"/>
      <c r="T760" s="298"/>
      <c r="U760" s="299"/>
      <c r="V760" s="279"/>
      <c r="W760" s="279"/>
      <c r="X760" s="279"/>
      <c r="Y760" s="279"/>
      <c r="Z760" s="279"/>
      <c r="AA760" s="279"/>
      <c r="AB760" s="279"/>
      <c r="AC760" s="279"/>
      <c r="AD760" s="279"/>
      <c r="AE760" s="279"/>
      <c r="AF760" s="279"/>
      <c r="AG760" s="279"/>
      <c r="AH760" s="279"/>
      <c r="AI760" s="279"/>
      <c r="AJ760" s="279"/>
      <c r="AK760" s="279"/>
      <c r="AL760" s="279"/>
      <c r="AM760" s="279"/>
      <c r="AN760" s="279"/>
      <c r="AO760" s="279"/>
      <c r="AP760" s="279"/>
      <c r="AQ760" s="279"/>
      <c r="AR760" s="279"/>
      <c r="AS760" s="279"/>
      <c r="AT760" s="279"/>
      <c r="AU760" s="279"/>
      <c r="AV760" s="279"/>
      <c r="AW760" s="279"/>
      <c r="AX760" s="279"/>
      <c r="AY760" s="279"/>
      <c r="AZ760" s="279"/>
      <c r="BA760" s="279"/>
      <c r="BB760" s="279"/>
      <c r="BC760" s="279"/>
      <c r="BD760" s="279"/>
      <c r="BE760" s="279"/>
      <c r="BF760" s="279"/>
      <c r="BG760" s="279"/>
      <c r="BH760" s="279"/>
      <c r="BI760" s="279"/>
      <c r="BJ760" s="279"/>
      <c r="BK760" s="279"/>
      <c r="BL760" s="279"/>
      <c r="BM760" s="279"/>
      <c r="BN760" s="279"/>
      <c r="BO760" s="279"/>
      <c r="BP760" s="279"/>
      <c r="BQ760" s="279"/>
      <c r="BR760" s="279"/>
      <c r="BS760" s="279"/>
      <c r="BT760" s="279"/>
      <c r="BU760" s="279"/>
      <c r="BV760" s="279"/>
      <c r="BW760" s="279"/>
      <c r="BX760" s="279"/>
      <c r="BY760" s="279"/>
      <c r="BZ760" s="279"/>
      <c r="CA760" s="279"/>
      <c r="CB760" s="279"/>
      <c r="CC760" s="279"/>
      <c r="CD760" s="279"/>
      <c r="CE760" s="279"/>
      <c r="CF760" s="279"/>
      <c r="CG760" s="279"/>
      <c r="CH760" s="279"/>
      <c r="CI760" s="279"/>
      <c r="CJ760" s="279"/>
      <c r="CK760" s="279"/>
      <c r="CL760" s="279"/>
      <c r="CM760" s="279"/>
      <c r="CN760" s="382"/>
    </row>
    <row r="761" ht="21.75" customHeight="true" x14ac:dyDescent="0.25">
      <c r="B761" s="361"/>
      <c r="C761" s="279"/>
      <c r="D761" s="280"/>
      <c r="E761" s="287"/>
      <c r="F761" s="287"/>
      <c r="G761" s="287"/>
      <c r="H761" s="1292">
        <f t="shared" si="32"/>
        <v>36</v>
      </c>
      <c r="I761" s="1295" t="str">
        <f>IF('I. Stream &amp; Compound Data'!AG297&lt;&gt;"",'I. Stream &amp; Compound Data'!AG297,"")</f>
        <v/>
      </c>
      <c r="J761" s="1295" t="str">
        <f>IF('I. Stream &amp; Compound Data'!AR297&lt;&gt;"",'I. Stream &amp; Compound Data'!AR297,IF('I. Stream &amp; Compound Data'!AS297&lt;&gt;"",'I. Stream &amp; Compound Data'!AS297,""))</f>
        <v/>
      </c>
      <c r="K761" s="1190" t="str">
        <f>IF('I. Stream &amp; Compound Data'!AX297&lt;&gt;"",'I. Stream &amp; Compound Data'!AX297,"")</f>
        <v/>
      </c>
      <c r="L761" s="290" t="str">
        <f>IF(H761&gt;'I. Stream &amp; Compound Data'!$F$18,"",IF(I761="","N/A",ROUND(IF(I761&lt;=0.1,1,IF(AND(I761&gt;0.1,I761&lt;1000),-0.109*LN(I761)+0.75,0)),3)))</f>
        <v/>
      </c>
      <c r="M761" s="1168" t="str">
        <f>IF(H761&gt;'I. Stream &amp; Compound Data'!$F$18,"",IF(L761="N/A",IF(J761="","N/A",IF(J761=50,0.875,IF(J761=51,0.625,IF(J761=52,0.375,0)))),"N/A"))</f>
        <v/>
      </c>
      <c r="N761" s="1287" t="str">
        <f>IF(H761&gt;'I. Stream &amp; Compound Data'!$F$18,"",IF(AND(L761="N/A",M761="N/A"),IF(K761="","N/A",IF(K761=3,0.875,IF(K761=2,0.5,IF(K761=1,0.125,0)))),"N/A"))</f>
        <v/>
      </c>
      <c r="O761" s="1294" t="str">
        <f>IF(H761&gt;'I. Stream &amp; Compound Data'!$F$18,"",IF(I177="","N/A",IF(L761&lt;&gt;"N/A",L761,IF(M761&lt;&gt;"N/A",M761,IF(N761&lt;&gt;"N/A",N761,"NO DATA AVAILABLE")))))</f>
        <v/>
      </c>
      <c r="P761" s="1294" t="str">
        <f>IF(H761&gt;'I. Stream &amp; Compound Data'!$F$18,"",IF(O761="N/A",0,10^(4*O761+1)))</f>
        <v/>
      </c>
      <c r="Q761" s="1294" t="str">
        <f>'I. Stream &amp; Compound Data'!P297</f>
        <v/>
      </c>
      <c r="R761" s="1297" t="str">
        <f>IF(Q761="","",IF('I. Stream &amp; Compound Data'!E67="H2O",0,P761*Q761))</f>
        <v/>
      </c>
      <c r="S761" s="298"/>
      <c r="T761" s="298"/>
      <c r="U761" s="299"/>
      <c r="V761" s="279"/>
      <c r="W761" s="279"/>
      <c r="X761" s="279"/>
      <c r="Y761" s="279"/>
      <c r="Z761" s="279"/>
      <c r="AA761" s="279"/>
      <c r="AB761" s="279"/>
      <c r="AC761" s="279"/>
      <c r="AD761" s="279"/>
      <c r="AE761" s="279"/>
      <c r="AF761" s="279"/>
      <c r="AG761" s="279"/>
      <c r="AH761" s="279"/>
      <c r="AI761" s="279"/>
      <c r="AJ761" s="279"/>
      <c r="AK761" s="279"/>
      <c r="AL761" s="279"/>
      <c r="AM761" s="279"/>
      <c r="AN761" s="279"/>
      <c r="AO761" s="279"/>
      <c r="AP761" s="279"/>
      <c r="AQ761" s="279"/>
      <c r="AR761" s="279"/>
      <c r="AS761" s="279"/>
      <c r="AT761" s="279"/>
      <c r="AU761" s="279"/>
      <c r="AV761" s="279"/>
      <c r="AW761" s="279"/>
      <c r="AX761" s="279"/>
      <c r="AY761" s="279"/>
      <c r="AZ761" s="279"/>
      <c r="BA761" s="279"/>
      <c r="BB761" s="279"/>
      <c r="BC761" s="279"/>
      <c r="BD761" s="279"/>
      <c r="BE761" s="279"/>
      <c r="BF761" s="279"/>
      <c r="BG761" s="279"/>
      <c r="BH761" s="279"/>
      <c r="BI761" s="279"/>
      <c r="BJ761" s="279"/>
      <c r="BK761" s="279"/>
      <c r="BL761" s="279"/>
      <c r="BM761" s="279"/>
      <c r="BN761" s="279"/>
      <c r="BO761" s="279"/>
      <c r="BP761" s="279"/>
      <c r="BQ761" s="279"/>
      <c r="BR761" s="279"/>
      <c r="BS761" s="279"/>
      <c r="BT761" s="279"/>
      <c r="BU761" s="279"/>
      <c r="BV761" s="279"/>
      <c r="BW761" s="279"/>
      <c r="BX761" s="279"/>
      <c r="BY761" s="279"/>
      <c r="BZ761" s="279"/>
      <c r="CA761" s="279"/>
      <c r="CB761" s="279"/>
      <c r="CC761" s="279"/>
      <c r="CD761" s="279"/>
      <c r="CE761" s="279"/>
      <c r="CF761" s="279"/>
      <c r="CG761" s="279"/>
      <c r="CH761" s="279"/>
      <c r="CI761" s="279"/>
      <c r="CJ761" s="279"/>
      <c r="CK761" s="279"/>
      <c r="CL761" s="279"/>
      <c r="CM761" s="279"/>
      <c r="CN761" s="382"/>
    </row>
    <row r="762" ht="21.75" customHeight="true" x14ac:dyDescent="0.25">
      <c r="B762" s="361"/>
      <c r="C762" s="279"/>
      <c r="D762" s="280"/>
      <c r="E762" s="287"/>
      <c r="F762" s="287"/>
      <c r="G762" s="287"/>
      <c r="H762" s="1292">
        <f t="shared" si="32"/>
        <v>37</v>
      </c>
      <c r="I762" s="1295" t="str">
        <f>IF('I. Stream &amp; Compound Data'!AG298&lt;&gt;"",'I. Stream &amp; Compound Data'!AG298,"")</f>
        <v/>
      </c>
      <c r="J762" s="1295" t="str">
        <f>IF('I. Stream &amp; Compound Data'!AR298&lt;&gt;"",'I. Stream &amp; Compound Data'!AR298,IF('I. Stream &amp; Compound Data'!AS298&lt;&gt;"",'I. Stream &amp; Compound Data'!AS298,""))</f>
        <v/>
      </c>
      <c r="K762" s="1190" t="str">
        <f>IF('I. Stream &amp; Compound Data'!AX298&lt;&gt;"",'I. Stream &amp; Compound Data'!AX298,"")</f>
        <v/>
      </c>
      <c r="L762" s="290" t="str">
        <f>IF(H762&gt;'I. Stream &amp; Compound Data'!$F$18,"",IF(I762="","N/A",ROUND(IF(I762&lt;=0.1,1,IF(AND(I762&gt;0.1,I762&lt;1000),-0.109*LN(I762)+0.75,0)),3)))</f>
        <v/>
      </c>
      <c r="M762" s="1168" t="str">
        <f>IF(H762&gt;'I. Stream &amp; Compound Data'!$F$18,"",IF(L762="N/A",IF(J762="","N/A",IF(J762=50,0.875,IF(J762=51,0.625,IF(J762=52,0.375,0)))),"N/A"))</f>
        <v/>
      </c>
      <c r="N762" s="1287" t="str">
        <f>IF(H762&gt;'I. Stream &amp; Compound Data'!$F$18,"",IF(AND(L762="N/A",M762="N/A"),IF(K762="","N/A",IF(K762=3,0.875,IF(K762=2,0.5,IF(K762=1,0.125,0)))),"N/A"))</f>
        <v/>
      </c>
      <c r="O762" s="1294" t="str">
        <f>IF(H762&gt;'I. Stream &amp; Compound Data'!$F$18,"",IF(I178="","N/A",IF(L762&lt;&gt;"N/A",L762,IF(M762&lt;&gt;"N/A",M762,IF(N762&lt;&gt;"N/A",N762,"NO DATA AVAILABLE")))))</f>
        <v/>
      </c>
      <c r="P762" s="1294" t="str">
        <f>IF(H762&gt;'I. Stream &amp; Compound Data'!$F$18,"",IF(O762="N/A",0,10^(4*O762+1)))</f>
        <v/>
      </c>
      <c r="Q762" s="1294" t="str">
        <f>'I. Stream &amp; Compound Data'!P298</f>
        <v/>
      </c>
      <c r="R762" s="1297" t="str">
        <f>IF(Q762="","",IF('I. Stream &amp; Compound Data'!E68="H2O",0,P762*Q762))</f>
        <v/>
      </c>
      <c r="S762" s="298"/>
      <c r="T762" s="298"/>
      <c r="U762" s="299"/>
      <c r="V762" s="279"/>
      <c r="W762" s="279"/>
      <c r="X762" s="279"/>
      <c r="Y762" s="279"/>
      <c r="Z762" s="279"/>
      <c r="AA762" s="279"/>
      <c r="AB762" s="279"/>
      <c r="AC762" s="279"/>
      <c r="AD762" s="279"/>
      <c r="AE762" s="279"/>
      <c r="AF762" s="279"/>
      <c r="AG762" s="279"/>
      <c r="AH762" s="279"/>
      <c r="AI762" s="279"/>
      <c r="AJ762" s="279"/>
      <c r="AK762" s="279"/>
      <c r="AL762" s="279"/>
      <c r="AM762" s="279"/>
      <c r="AN762" s="279"/>
      <c r="AO762" s="279"/>
      <c r="AP762" s="279"/>
      <c r="AQ762" s="279"/>
      <c r="AR762" s="279"/>
      <c r="AS762" s="279"/>
      <c r="AT762" s="279"/>
      <c r="AU762" s="279"/>
      <c r="AV762" s="279"/>
      <c r="AW762" s="279"/>
      <c r="AX762" s="279"/>
      <c r="AY762" s="279"/>
      <c r="AZ762" s="279"/>
      <c r="BA762" s="279"/>
      <c r="BB762" s="279"/>
      <c r="BC762" s="279"/>
      <c r="BD762" s="279"/>
      <c r="BE762" s="279"/>
      <c r="BF762" s="279"/>
      <c r="BG762" s="279"/>
      <c r="BH762" s="279"/>
      <c r="BI762" s="279"/>
      <c r="BJ762" s="279"/>
      <c r="BK762" s="279"/>
      <c r="BL762" s="279"/>
      <c r="BM762" s="279"/>
      <c r="BN762" s="279"/>
      <c r="BO762" s="279"/>
      <c r="BP762" s="279"/>
      <c r="BQ762" s="279"/>
      <c r="BR762" s="279"/>
      <c r="BS762" s="279"/>
      <c r="BT762" s="279"/>
      <c r="BU762" s="279"/>
      <c r="BV762" s="279"/>
      <c r="BW762" s="279"/>
      <c r="BX762" s="279"/>
      <c r="BY762" s="279"/>
      <c r="BZ762" s="279"/>
      <c r="CA762" s="279"/>
      <c r="CB762" s="279"/>
      <c r="CC762" s="279"/>
      <c r="CD762" s="279"/>
      <c r="CE762" s="279"/>
      <c r="CF762" s="279"/>
      <c r="CG762" s="279"/>
      <c r="CH762" s="279"/>
      <c r="CI762" s="279"/>
      <c r="CJ762" s="279"/>
      <c r="CK762" s="279"/>
      <c r="CL762" s="279"/>
      <c r="CM762" s="279"/>
      <c r="CN762" s="382"/>
    </row>
    <row r="763" ht="21.75" customHeight="true" x14ac:dyDescent="0.25">
      <c r="B763" s="361"/>
      <c r="C763" s="279"/>
      <c r="D763" s="280"/>
      <c r="E763" s="287"/>
      <c r="F763" s="287"/>
      <c r="G763" s="287"/>
      <c r="H763" s="1292">
        <f t="shared" si="32"/>
        <v>38</v>
      </c>
      <c r="I763" s="1295" t="str">
        <f>IF('I. Stream &amp; Compound Data'!AG299&lt;&gt;"",'I. Stream &amp; Compound Data'!AG299,"")</f>
        <v/>
      </c>
      <c r="J763" s="1295" t="str">
        <f>IF('I. Stream &amp; Compound Data'!AR299&lt;&gt;"",'I. Stream &amp; Compound Data'!AR299,IF('I. Stream &amp; Compound Data'!AS299&lt;&gt;"",'I. Stream &amp; Compound Data'!AS299,""))</f>
        <v/>
      </c>
      <c r="K763" s="1190" t="str">
        <f>IF('I. Stream &amp; Compound Data'!AX299&lt;&gt;"",'I. Stream &amp; Compound Data'!AX299,"")</f>
        <v/>
      </c>
      <c r="L763" s="290" t="str">
        <f>IF(H763&gt;'I. Stream &amp; Compound Data'!$F$18,"",IF(I763="","N/A",ROUND(IF(I763&lt;=0.1,1,IF(AND(I763&gt;0.1,I763&lt;1000),-0.109*LN(I763)+0.75,0)),3)))</f>
        <v/>
      </c>
      <c r="M763" s="1168" t="str">
        <f>IF(H763&gt;'I. Stream &amp; Compound Data'!$F$18,"",IF(L763="N/A",IF(J763="","N/A",IF(J763=50,0.875,IF(J763=51,0.625,IF(J763=52,0.375,0)))),"N/A"))</f>
        <v/>
      </c>
      <c r="N763" s="1287" t="str">
        <f>IF(H763&gt;'I. Stream &amp; Compound Data'!$F$18,"",IF(AND(L763="N/A",M763="N/A"),IF(K763="","N/A",IF(K763=3,0.875,IF(K763=2,0.5,IF(K763=1,0.125,0)))),"N/A"))</f>
        <v/>
      </c>
      <c r="O763" s="1294" t="str">
        <f>IF(H763&gt;'I. Stream &amp; Compound Data'!$F$18,"",IF(I179="","N/A",IF(L763&lt;&gt;"N/A",L763,IF(M763&lt;&gt;"N/A",M763,IF(N763&lt;&gt;"N/A",N763,"NO DATA AVAILABLE")))))</f>
        <v/>
      </c>
      <c r="P763" s="1294" t="str">
        <f>IF(H763&gt;'I. Stream &amp; Compound Data'!$F$18,"",IF(O763="N/A",0,10^(4*O763+1)))</f>
        <v/>
      </c>
      <c r="Q763" s="1294" t="str">
        <f>'I. Stream &amp; Compound Data'!P299</f>
        <v/>
      </c>
      <c r="R763" s="1297" t="str">
        <f>IF(Q763="","",IF('I. Stream &amp; Compound Data'!E69="H2O",0,P763*Q763))</f>
        <v/>
      </c>
      <c r="S763" s="298"/>
      <c r="T763" s="298"/>
      <c r="U763" s="299"/>
      <c r="V763" s="279"/>
      <c r="W763" s="279"/>
      <c r="X763" s="279"/>
      <c r="Y763" s="279"/>
      <c r="Z763" s="279"/>
      <c r="AA763" s="279"/>
      <c r="AB763" s="279"/>
      <c r="AC763" s="279"/>
      <c r="AD763" s="279"/>
      <c r="AE763" s="279"/>
      <c r="AF763" s="279"/>
      <c r="AG763" s="279"/>
      <c r="AH763" s="279"/>
      <c r="AI763" s="279"/>
      <c r="AJ763" s="279"/>
      <c r="AK763" s="279"/>
      <c r="AL763" s="279"/>
      <c r="AM763" s="279"/>
      <c r="AN763" s="279"/>
      <c r="AO763" s="279"/>
      <c r="AP763" s="279"/>
      <c r="AQ763" s="279"/>
      <c r="AR763" s="279"/>
      <c r="AS763" s="279"/>
      <c r="AT763" s="279"/>
      <c r="AU763" s="279"/>
      <c r="AV763" s="279"/>
      <c r="AW763" s="279"/>
      <c r="AX763" s="279"/>
      <c r="AY763" s="279"/>
      <c r="AZ763" s="279"/>
      <c r="BA763" s="279"/>
      <c r="BB763" s="279"/>
      <c r="BC763" s="279"/>
      <c r="BD763" s="279"/>
      <c r="BE763" s="279"/>
      <c r="BF763" s="279"/>
      <c r="BG763" s="279"/>
      <c r="BH763" s="279"/>
      <c r="BI763" s="279"/>
      <c r="BJ763" s="279"/>
      <c r="BK763" s="279"/>
      <c r="BL763" s="279"/>
      <c r="BM763" s="279"/>
      <c r="BN763" s="279"/>
      <c r="BO763" s="279"/>
      <c r="BP763" s="279"/>
      <c r="BQ763" s="279"/>
      <c r="BR763" s="279"/>
      <c r="BS763" s="279"/>
      <c r="BT763" s="279"/>
      <c r="BU763" s="279"/>
      <c r="BV763" s="279"/>
      <c r="BW763" s="279"/>
      <c r="BX763" s="279"/>
      <c r="BY763" s="279"/>
      <c r="BZ763" s="279"/>
      <c r="CA763" s="279"/>
      <c r="CB763" s="279"/>
      <c r="CC763" s="279"/>
      <c r="CD763" s="279"/>
      <c r="CE763" s="279"/>
      <c r="CF763" s="279"/>
      <c r="CG763" s="279"/>
      <c r="CH763" s="279"/>
      <c r="CI763" s="279"/>
      <c r="CJ763" s="279"/>
      <c r="CK763" s="279"/>
      <c r="CL763" s="279"/>
      <c r="CM763" s="279"/>
      <c r="CN763" s="382"/>
    </row>
    <row r="764" ht="21.75" customHeight="true" x14ac:dyDescent="0.25">
      <c r="B764" s="361"/>
      <c r="C764" s="279"/>
      <c r="D764" s="280"/>
      <c r="E764" s="287"/>
      <c r="F764" s="287"/>
      <c r="G764" s="287"/>
      <c r="H764" s="1292">
        <f t="shared" si="32"/>
        <v>39</v>
      </c>
      <c r="I764" s="1295" t="str">
        <f>IF('I. Stream &amp; Compound Data'!AG300&lt;&gt;"",'I. Stream &amp; Compound Data'!AG300,"")</f>
        <v/>
      </c>
      <c r="J764" s="1295" t="str">
        <f>IF('I. Stream &amp; Compound Data'!AR300&lt;&gt;"",'I. Stream &amp; Compound Data'!AR300,IF('I. Stream &amp; Compound Data'!AS300&lt;&gt;"",'I. Stream &amp; Compound Data'!AS300,""))</f>
        <v/>
      </c>
      <c r="K764" s="1190" t="str">
        <f>IF('I. Stream &amp; Compound Data'!AX300&lt;&gt;"",'I. Stream &amp; Compound Data'!AX300,"")</f>
        <v/>
      </c>
      <c r="L764" s="290" t="str">
        <f>IF(H764&gt;'I. Stream &amp; Compound Data'!$F$18,"",IF(I764="","N/A",ROUND(IF(I764&lt;=0.1,1,IF(AND(I764&gt;0.1,I764&lt;1000),-0.109*LN(I764)+0.75,0)),3)))</f>
        <v/>
      </c>
      <c r="M764" s="1168" t="str">
        <f>IF(H764&gt;'I. Stream &amp; Compound Data'!$F$18,"",IF(L764="N/A",IF(J764="","N/A",IF(J764=50,0.875,IF(J764=51,0.625,IF(J764=52,0.375,0)))),"N/A"))</f>
        <v/>
      </c>
      <c r="N764" s="1287" t="str">
        <f>IF(H764&gt;'I. Stream &amp; Compound Data'!$F$18,"",IF(AND(L764="N/A",M764="N/A"),IF(K764="","N/A",IF(K764=3,0.875,IF(K764=2,0.5,IF(K764=1,0.125,0)))),"N/A"))</f>
        <v/>
      </c>
      <c r="O764" s="1294" t="str">
        <f>IF(H764&gt;'I. Stream &amp; Compound Data'!$F$18,"",IF(I180="","N/A",IF(L764&lt;&gt;"N/A",L764,IF(M764&lt;&gt;"N/A",M764,IF(N764&lt;&gt;"N/A",N764,"NO DATA AVAILABLE")))))</f>
        <v/>
      </c>
      <c r="P764" s="1294" t="str">
        <f>IF(H764&gt;'I. Stream &amp; Compound Data'!$F$18,"",IF(O764="N/A",0,10^(4*O764+1)))</f>
        <v/>
      </c>
      <c r="Q764" s="1294" t="str">
        <f>'I. Stream &amp; Compound Data'!P300</f>
        <v/>
      </c>
      <c r="R764" s="1297" t="str">
        <f>IF(Q764="","",IF('I. Stream &amp; Compound Data'!E70="H2O",0,P764*Q764))</f>
        <v/>
      </c>
      <c r="S764" s="298"/>
      <c r="T764" s="298"/>
      <c r="U764" s="299"/>
      <c r="V764" s="279"/>
      <c r="W764" s="279"/>
      <c r="X764" s="279"/>
      <c r="Y764" s="279"/>
      <c r="Z764" s="279"/>
      <c r="AA764" s="279"/>
      <c r="AB764" s="279"/>
      <c r="AC764" s="279"/>
      <c r="AD764" s="279"/>
      <c r="AE764" s="279"/>
      <c r="AF764" s="279"/>
      <c r="AG764" s="279"/>
      <c r="AH764" s="279"/>
      <c r="AI764" s="279"/>
      <c r="AJ764" s="279"/>
      <c r="AK764" s="279"/>
      <c r="AL764" s="279"/>
      <c r="AM764" s="279"/>
      <c r="AN764" s="279"/>
      <c r="AO764" s="279"/>
      <c r="AP764" s="279"/>
      <c r="AQ764" s="279"/>
      <c r="AR764" s="279"/>
      <c r="AS764" s="279"/>
      <c r="AT764" s="279"/>
      <c r="AU764" s="279"/>
      <c r="AV764" s="279"/>
      <c r="AW764" s="279"/>
      <c r="AX764" s="279"/>
      <c r="AY764" s="279"/>
      <c r="AZ764" s="279"/>
      <c r="BA764" s="279"/>
      <c r="BB764" s="279"/>
      <c r="BC764" s="279"/>
      <c r="BD764" s="279"/>
      <c r="BE764" s="279"/>
      <c r="BF764" s="279"/>
      <c r="BG764" s="279"/>
      <c r="BH764" s="279"/>
      <c r="BI764" s="279"/>
      <c r="BJ764" s="279"/>
      <c r="BK764" s="279"/>
      <c r="BL764" s="279"/>
      <c r="BM764" s="279"/>
      <c r="BN764" s="279"/>
      <c r="BO764" s="279"/>
      <c r="BP764" s="279"/>
      <c r="BQ764" s="279"/>
      <c r="BR764" s="279"/>
      <c r="BS764" s="279"/>
      <c r="BT764" s="279"/>
      <c r="BU764" s="279"/>
      <c r="BV764" s="279"/>
      <c r="BW764" s="279"/>
      <c r="BX764" s="279"/>
      <c r="BY764" s="279"/>
      <c r="BZ764" s="279"/>
      <c r="CA764" s="279"/>
      <c r="CB764" s="279"/>
      <c r="CC764" s="279"/>
      <c r="CD764" s="279"/>
      <c r="CE764" s="279"/>
      <c r="CF764" s="279"/>
      <c r="CG764" s="279"/>
      <c r="CH764" s="279"/>
      <c r="CI764" s="279"/>
      <c r="CJ764" s="279"/>
      <c r="CK764" s="279"/>
      <c r="CL764" s="279"/>
      <c r="CM764" s="279"/>
      <c r="CN764" s="382"/>
    </row>
    <row r="765" ht="21.75" customHeight="true" x14ac:dyDescent="0.25">
      <c r="B765" s="361"/>
      <c r="C765" s="279"/>
      <c r="D765" s="280"/>
      <c r="E765" s="287"/>
      <c r="F765" s="287"/>
      <c r="G765" s="287"/>
      <c r="H765" s="1292">
        <f t="shared" si="32"/>
        <v>40</v>
      </c>
      <c r="I765" s="1295" t="str">
        <f>IF('I. Stream &amp; Compound Data'!AG301&lt;&gt;"",'I. Stream &amp; Compound Data'!AG301,"")</f>
        <v/>
      </c>
      <c r="J765" s="1295" t="str">
        <f>IF('I. Stream &amp; Compound Data'!AR301&lt;&gt;"",'I. Stream &amp; Compound Data'!AR301,IF('I. Stream &amp; Compound Data'!AS301&lt;&gt;"",'I. Stream &amp; Compound Data'!AS301,""))</f>
        <v/>
      </c>
      <c r="K765" s="1190" t="str">
        <f>IF('I. Stream &amp; Compound Data'!AX301&lt;&gt;"",'I. Stream &amp; Compound Data'!AX301,"")</f>
        <v/>
      </c>
      <c r="L765" s="290" t="str">
        <f>IF(H765&gt;'I. Stream &amp; Compound Data'!$F$18,"",IF(I765="","N/A",ROUND(IF(I765&lt;=0.1,1,IF(AND(I765&gt;0.1,I765&lt;1000),-0.109*LN(I765)+0.75,0)),3)))</f>
        <v/>
      </c>
      <c r="M765" s="1168" t="str">
        <f>IF(H765&gt;'I. Stream &amp; Compound Data'!$F$18,"",IF(L765="N/A",IF(J765="","N/A",IF(J765=50,0.875,IF(J765=51,0.625,IF(J765=52,0.375,0)))),"N/A"))</f>
        <v/>
      </c>
      <c r="N765" s="1287" t="str">
        <f>IF(H765&gt;'I. Stream &amp; Compound Data'!$F$18,"",IF(AND(L765="N/A",M765="N/A"),IF(K765="","N/A",IF(K765=3,0.875,IF(K765=2,0.5,IF(K765=1,0.125,0)))),"N/A"))</f>
        <v/>
      </c>
      <c r="O765" s="1294" t="str">
        <f>IF(H765&gt;'I. Stream &amp; Compound Data'!$F$18,"",IF(I181="","N/A",IF(L765&lt;&gt;"N/A",L765,IF(M765&lt;&gt;"N/A",M765,IF(N765&lt;&gt;"N/A",N765,"NO DATA AVAILABLE")))))</f>
        <v/>
      </c>
      <c r="P765" s="1294" t="str">
        <f>IF(H765&gt;'I. Stream &amp; Compound Data'!$F$18,"",IF(O765="N/A",0,10^(4*O765+1)))</f>
        <v/>
      </c>
      <c r="Q765" s="1294" t="str">
        <f>'I. Stream &amp; Compound Data'!P301</f>
        <v/>
      </c>
      <c r="R765" s="1297" t="str">
        <f>IF(Q765="","",IF('I. Stream &amp; Compound Data'!E71="H2O",0,P765*Q765))</f>
        <v/>
      </c>
      <c r="S765" s="298"/>
      <c r="T765" s="298"/>
      <c r="U765" s="299"/>
      <c r="V765" s="279"/>
      <c r="W765" s="279"/>
      <c r="X765" s="279"/>
      <c r="Y765" s="279"/>
      <c r="Z765" s="279"/>
      <c r="AA765" s="279"/>
      <c r="AB765" s="279"/>
      <c r="AC765" s="279"/>
      <c r="AD765" s="279"/>
      <c r="AE765" s="279"/>
      <c r="AF765" s="279"/>
      <c r="AG765" s="279"/>
      <c r="AH765" s="279"/>
      <c r="AI765" s="279"/>
      <c r="AJ765" s="279"/>
      <c r="AK765" s="279"/>
      <c r="AL765" s="279"/>
      <c r="AM765" s="279"/>
      <c r="AN765" s="279"/>
      <c r="AO765" s="279"/>
      <c r="AP765" s="279"/>
      <c r="AQ765" s="279"/>
      <c r="AR765" s="279"/>
      <c r="AS765" s="279"/>
      <c r="AT765" s="279"/>
      <c r="AU765" s="279"/>
      <c r="AV765" s="279"/>
      <c r="AW765" s="279"/>
      <c r="AX765" s="279"/>
      <c r="AY765" s="279"/>
      <c r="AZ765" s="279"/>
      <c r="BA765" s="279"/>
      <c r="BB765" s="279"/>
      <c r="BC765" s="279"/>
      <c r="BD765" s="279"/>
      <c r="BE765" s="279"/>
      <c r="BF765" s="279"/>
      <c r="BG765" s="279"/>
      <c r="BH765" s="279"/>
      <c r="BI765" s="279"/>
      <c r="BJ765" s="279"/>
      <c r="BK765" s="279"/>
      <c r="BL765" s="279"/>
      <c r="BM765" s="279"/>
      <c r="BN765" s="279"/>
      <c r="BO765" s="279"/>
      <c r="BP765" s="279"/>
      <c r="BQ765" s="279"/>
      <c r="BR765" s="279"/>
      <c r="BS765" s="279"/>
      <c r="BT765" s="279"/>
      <c r="BU765" s="279"/>
      <c r="BV765" s="279"/>
      <c r="BW765" s="279"/>
      <c r="BX765" s="279"/>
      <c r="BY765" s="279"/>
      <c r="BZ765" s="279"/>
      <c r="CA765" s="279"/>
      <c r="CB765" s="279"/>
      <c r="CC765" s="279"/>
      <c r="CD765" s="279"/>
      <c r="CE765" s="279"/>
      <c r="CF765" s="279"/>
      <c r="CG765" s="279"/>
      <c r="CH765" s="279"/>
      <c r="CI765" s="279"/>
      <c r="CJ765" s="279"/>
      <c r="CK765" s="279"/>
      <c r="CL765" s="279"/>
      <c r="CM765" s="279"/>
      <c r="CN765" s="382"/>
    </row>
    <row r="766" ht="21.75" customHeight="true" x14ac:dyDescent="0.25">
      <c r="B766" s="361"/>
      <c r="C766" s="279"/>
      <c r="D766" s="280"/>
      <c r="E766" s="287"/>
      <c r="F766" s="287"/>
      <c r="G766" s="287"/>
      <c r="H766" s="1292">
        <f t="shared" si="32"/>
        <v>41</v>
      </c>
      <c r="I766" s="1295" t="str">
        <f>IF('I. Stream &amp; Compound Data'!AG302&lt;&gt;"",'I. Stream &amp; Compound Data'!AG302,"")</f>
        <v/>
      </c>
      <c r="J766" s="1295" t="str">
        <f>IF('I. Stream &amp; Compound Data'!AR302&lt;&gt;"",'I. Stream &amp; Compound Data'!AR302,IF('I. Stream &amp; Compound Data'!AS302&lt;&gt;"",'I. Stream &amp; Compound Data'!AS302,""))</f>
        <v/>
      </c>
      <c r="K766" s="1190" t="str">
        <f>IF('I. Stream &amp; Compound Data'!AX302&lt;&gt;"",'I. Stream &amp; Compound Data'!AX302,"")</f>
        <v/>
      </c>
      <c r="L766" s="290" t="str">
        <f>IF(H766&gt;'I. Stream &amp; Compound Data'!$F$18,"",IF(I766="","N/A",ROUND(IF(I766&lt;=0.1,1,IF(AND(I766&gt;0.1,I766&lt;1000),-0.109*LN(I766)+0.75,0)),3)))</f>
        <v/>
      </c>
      <c r="M766" s="1168" t="str">
        <f>IF(H766&gt;'I. Stream &amp; Compound Data'!$F$18,"",IF(L766="N/A",IF(J766="","N/A",IF(J766=50,0.875,IF(J766=51,0.625,IF(J766=52,0.375,0)))),"N/A"))</f>
        <v/>
      </c>
      <c r="N766" s="1287" t="str">
        <f>IF(H766&gt;'I. Stream &amp; Compound Data'!$F$18,"",IF(AND(L766="N/A",M766="N/A"),IF(K766="","N/A",IF(K766=3,0.875,IF(K766=2,0.5,IF(K766=1,0.125,0)))),"N/A"))</f>
        <v/>
      </c>
      <c r="O766" s="1294" t="str">
        <f>IF(H766&gt;'I. Stream &amp; Compound Data'!$F$18,"",IF(I182="","N/A",IF(L766&lt;&gt;"N/A",L766,IF(M766&lt;&gt;"N/A",M766,IF(N766&lt;&gt;"N/A",N766,"NO DATA AVAILABLE")))))</f>
        <v/>
      </c>
      <c r="P766" s="1294" t="str">
        <f>IF(H766&gt;'I. Stream &amp; Compound Data'!$F$18,"",IF(O766="N/A",0,10^(4*O766+1)))</f>
        <v/>
      </c>
      <c r="Q766" s="1294" t="str">
        <f>'I. Stream &amp; Compound Data'!P302</f>
        <v/>
      </c>
      <c r="R766" s="1297" t="str">
        <f>IF(Q766="","",IF('I. Stream &amp; Compound Data'!E72="H2O",0,P766*Q766))</f>
        <v/>
      </c>
      <c r="S766" s="298"/>
      <c r="T766" s="298"/>
      <c r="U766" s="299"/>
      <c r="V766" s="279"/>
      <c r="W766" s="279"/>
      <c r="X766" s="279"/>
      <c r="Y766" s="279"/>
      <c r="Z766" s="279"/>
      <c r="AA766" s="279"/>
      <c r="AB766" s="279"/>
      <c r="AC766" s="279"/>
      <c r="AD766" s="279"/>
      <c r="AE766" s="279"/>
      <c r="AF766" s="279"/>
      <c r="AG766" s="279"/>
      <c r="AH766" s="279"/>
      <c r="AI766" s="279"/>
      <c r="AJ766" s="279"/>
      <c r="AK766" s="279"/>
      <c r="AL766" s="279"/>
      <c r="AM766" s="279"/>
      <c r="AN766" s="279"/>
      <c r="AO766" s="279"/>
      <c r="AP766" s="279"/>
      <c r="AQ766" s="279"/>
      <c r="AR766" s="279"/>
      <c r="AS766" s="279"/>
      <c r="AT766" s="279"/>
      <c r="AU766" s="279"/>
      <c r="AV766" s="279"/>
      <c r="AW766" s="279"/>
      <c r="AX766" s="279"/>
      <c r="AY766" s="279"/>
      <c r="AZ766" s="279"/>
      <c r="BA766" s="279"/>
      <c r="BB766" s="279"/>
      <c r="BC766" s="279"/>
      <c r="BD766" s="279"/>
      <c r="BE766" s="279"/>
      <c r="BF766" s="279"/>
      <c r="BG766" s="279"/>
      <c r="BH766" s="279"/>
      <c r="BI766" s="279"/>
      <c r="BJ766" s="279"/>
      <c r="BK766" s="279"/>
      <c r="BL766" s="279"/>
      <c r="BM766" s="279"/>
      <c r="BN766" s="279"/>
      <c r="BO766" s="279"/>
      <c r="BP766" s="279"/>
      <c r="BQ766" s="279"/>
      <c r="BR766" s="279"/>
      <c r="BS766" s="279"/>
      <c r="BT766" s="279"/>
      <c r="BU766" s="279"/>
      <c r="BV766" s="279"/>
      <c r="BW766" s="279"/>
      <c r="BX766" s="279"/>
      <c r="BY766" s="279"/>
      <c r="BZ766" s="279"/>
      <c r="CA766" s="279"/>
      <c r="CB766" s="279"/>
      <c r="CC766" s="279"/>
      <c r="CD766" s="279"/>
      <c r="CE766" s="279"/>
      <c r="CF766" s="279"/>
      <c r="CG766" s="279"/>
      <c r="CH766" s="279"/>
      <c r="CI766" s="279"/>
      <c r="CJ766" s="279"/>
      <c r="CK766" s="279"/>
      <c r="CL766" s="279"/>
      <c r="CM766" s="279"/>
      <c r="CN766" s="382"/>
    </row>
    <row r="767" ht="21.75" customHeight="true" x14ac:dyDescent="0.25">
      <c r="B767" s="361"/>
      <c r="C767" s="279"/>
      <c r="D767" s="280"/>
      <c r="E767" s="287"/>
      <c r="F767" s="287"/>
      <c r="G767" s="287"/>
      <c r="H767" s="1292">
        <f t="shared" si="32"/>
        <v>42</v>
      </c>
      <c r="I767" s="1295" t="str">
        <f>IF('I. Stream &amp; Compound Data'!AG303&lt;&gt;"",'I. Stream &amp; Compound Data'!AG303,"")</f>
        <v/>
      </c>
      <c r="J767" s="1295" t="str">
        <f>IF('I. Stream &amp; Compound Data'!AR303&lt;&gt;"",'I. Stream &amp; Compound Data'!AR303,IF('I. Stream &amp; Compound Data'!AS303&lt;&gt;"",'I. Stream &amp; Compound Data'!AS303,""))</f>
        <v/>
      </c>
      <c r="K767" s="1190" t="str">
        <f>IF('I. Stream &amp; Compound Data'!AX303&lt;&gt;"",'I. Stream &amp; Compound Data'!AX303,"")</f>
        <v/>
      </c>
      <c r="L767" s="290" t="str">
        <f>IF(H767&gt;'I. Stream &amp; Compound Data'!$F$18,"",IF(I767="","N/A",ROUND(IF(I767&lt;=0.1,1,IF(AND(I767&gt;0.1,I767&lt;1000),-0.109*LN(I767)+0.75,0)),3)))</f>
        <v/>
      </c>
      <c r="M767" s="1168" t="str">
        <f>IF(H767&gt;'I. Stream &amp; Compound Data'!$F$18,"",IF(L767="N/A",IF(J767="","N/A",IF(J767=50,0.875,IF(J767=51,0.625,IF(J767=52,0.375,0)))),"N/A"))</f>
        <v/>
      </c>
      <c r="N767" s="1287" t="str">
        <f>IF(H767&gt;'I. Stream &amp; Compound Data'!$F$18,"",IF(AND(L767="N/A",M767="N/A"),IF(K767="","N/A",IF(K767=3,0.875,IF(K767=2,0.5,IF(K767=1,0.125,0)))),"N/A"))</f>
        <v/>
      </c>
      <c r="O767" s="1294" t="str">
        <f>IF(H767&gt;'I. Stream &amp; Compound Data'!$F$18,"",IF(I183="","N/A",IF(L767&lt;&gt;"N/A",L767,IF(M767&lt;&gt;"N/A",M767,IF(N767&lt;&gt;"N/A",N767,"NO DATA AVAILABLE")))))</f>
        <v/>
      </c>
      <c r="P767" s="1294" t="str">
        <f>IF(H767&gt;'I. Stream &amp; Compound Data'!$F$18,"",IF(O767="N/A",0,10^(4*O767+1)))</f>
        <v/>
      </c>
      <c r="Q767" s="1294" t="str">
        <f>'I. Stream &amp; Compound Data'!P303</f>
        <v/>
      </c>
      <c r="R767" s="1297" t="str">
        <f>IF(Q767="","",IF('I. Stream &amp; Compound Data'!E73="H2O",0,P767*Q767))</f>
        <v/>
      </c>
      <c r="S767" s="298"/>
      <c r="T767" s="298"/>
      <c r="U767" s="299"/>
      <c r="V767" s="279"/>
      <c r="W767" s="279"/>
      <c r="X767" s="279"/>
      <c r="Y767" s="279"/>
      <c r="Z767" s="279"/>
      <c r="AA767" s="279"/>
      <c r="AB767" s="279"/>
      <c r="AC767" s="279"/>
      <c r="AD767" s="279"/>
      <c r="AE767" s="279"/>
      <c r="AF767" s="279"/>
      <c r="AG767" s="279"/>
      <c r="AH767" s="279"/>
      <c r="AI767" s="279"/>
      <c r="AJ767" s="279"/>
      <c r="AK767" s="279"/>
      <c r="AL767" s="279"/>
      <c r="AM767" s="279"/>
      <c r="AN767" s="279"/>
      <c r="AO767" s="279"/>
      <c r="AP767" s="279"/>
      <c r="AQ767" s="279"/>
      <c r="AR767" s="279"/>
      <c r="AS767" s="279"/>
      <c r="AT767" s="279"/>
      <c r="AU767" s="279"/>
      <c r="AV767" s="279"/>
      <c r="AW767" s="279"/>
      <c r="AX767" s="279"/>
      <c r="AY767" s="279"/>
      <c r="AZ767" s="279"/>
      <c r="BA767" s="279"/>
      <c r="BB767" s="279"/>
      <c r="BC767" s="279"/>
      <c r="BD767" s="279"/>
      <c r="BE767" s="279"/>
      <c r="BF767" s="279"/>
      <c r="BG767" s="279"/>
      <c r="BH767" s="279"/>
      <c r="BI767" s="279"/>
      <c r="BJ767" s="279"/>
      <c r="BK767" s="279"/>
      <c r="BL767" s="279"/>
      <c r="BM767" s="279"/>
      <c r="BN767" s="279"/>
      <c r="BO767" s="279"/>
      <c r="BP767" s="279"/>
      <c r="BQ767" s="279"/>
      <c r="BR767" s="279"/>
      <c r="BS767" s="279"/>
      <c r="BT767" s="279"/>
      <c r="BU767" s="279"/>
      <c r="BV767" s="279"/>
      <c r="BW767" s="279"/>
      <c r="BX767" s="279"/>
      <c r="BY767" s="279"/>
      <c r="BZ767" s="279"/>
      <c r="CA767" s="279"/>
      <c r="CB767" s="279"/>
      <c r="CC767" s="279"/>
      <c r="CD767" s="279"/>
      <c r="CE767" s="279"/>
      <c r="CF767" s="279"/>
      <c r="CG767" s="279"/>
      <c r="CH767" s="279"/>
      <c r="CI767" s="279"/>
      <c r="CJ767" s="279"/>
      <c r="CK767" s="279"/>
      <c r="CL767" s="279"/>
      <c r="CM767" s="279"/>
      <c r="CN767" s="382"/>
    </row>
    <row r="768" ht="21.75" customHeight="true" x14ac:dyDescent="0.25">
      <c r="B768" s="361"/>
      <c r="C768" s="279"/>
      <c r="D768" s="280"/>
      <c r="E768" s="287"/>
      <c r="F768" s="287"/>
      <c r="G768" s="287"/>
      <c r="H768" s="1292">
        <f t="shared" si="32"/>
        <v>43</v>
      </c>
      <c r="I768" s="1295" t="str">
        <f>IF('I. Stream &amp; Compound Data'!AG304&lt;&gt;"",'I. Stream &amp; Compound Data'!AG304,"")</f>
        <v/>
      </c>
      <c r="J768" s="1295" t="str">
        <f>IF('I. Stream &amp; Compound Data'!AR304&lt;&gt;"",'I. Stream &amp; Compound Data'!AR304,IF('I. Stream &amp; Compound Data'!AS304&lt;&gt;"",'I. Stream &amp; Compound Data'!AS304,""))</f>
        <v/>
      </c>
      <c r="K768" s="1190" t="str">
        <f>IF('I. Stream &amp; Compound Data'!AX304&lt;&gt;"",'I. Stream &amp; Compound Data'!AX304,"")</f>
        <v/>
      </c>
      <c r="L768" s="290" t="str">
        <f>IF(H768&gt;'I. Stream &amp; Compound Data'!$F$18,"",IF(I768="","N/A",ROUND(IF(I768&lt;=0.1,1,IF(AND(I768&gt;0.1,I768&lt;1000),-0.109*LN(I768)+0.75,0)),3)))</f>
        <v/>
      </c>
      <c r="M768" s="1168" t="str">
        <f>IF(H768&gt;'I. Stream &amp; Compound Data'!$F$18,"",IF(L768="N/A",IF(J768="","N/A",IF(J768=50,0.875,IF(J768=51,0.625,IF(J768=52,0.375,0)))),"N/A"))</f>
        <v/>
      </c>
      <c r="N768" s="1287" t="str">
        <f>IF(H768&gt;'I. Stream &amp; Compound Data'!$F$18,"",IF(AND(L768="N/A",M768="N/A"),IF(K768="","N/A",IF(K768=3,0.875,IF(K768=2,0.5,IF(K768=1,0.125,0)))),"N/A"))</f>
        <v/>
      </c>
      <c r="O768" s="1294" t="str">
        <f>IF(H768&gt;'I. Stream &amp; Compound Data'!$F$18,"",IF(I184="","N/A",IF(L768&lt;&gt;"N/A",L768,IF(M768&lt;&gt;"N/A",M768,IF(N768&lt;&gt;"N/A",N768,"NO DATA AVAILABLE")))))</f>
        <v/>
      </c>
      <c r="P768" s="1294" t="str">
        <f>IF(H768&gt;'I. Stream &amp; Compound Data'!$F$18,"",IF(O768="N/A",0,10^(4*O768+1)))</f>
        <v/>
      </c>
      <c r="Q768" s="1294" t="str">
        <f>'I. Stream &amp; Compound Data'!P304</f>
        <v/>
      </c>
      <c r="R768" s="1297" t="str">
        <f>IF(Q768="","",IF('I. Stream &amp; Compound Data'!E74="H2O",0,P768*Q768))</f>
        <v/>
      </c>
      <c r="S768" s="298"/>
      <c r="T768" s="298"/>
      <c r="U768" s="299"/>
      <c r="V768" s="279"/>
      <c r="W768" s="279"/>
      <c r="X768" s="279"/>
      <c r="Y768" s="279"/>
      <c r="Z768" s="279"/>
      <c r="AA768" s="279"/>
      <c r="AB768" s="279"/>
      <c r="AC768" s="279"/>
      <c r="AD768" s="279"/>
      <c r="AE768" s="279"/>
      <c r="AF768" s="279"/>
      <c r="AG768" s="279"/>
      <c r="AH768" s="279"/>
      <c r="AI768" s="279"/>
      <c r="AJ768" s="279"/>
      <c r="AK768" s="279"/>
      <c r="AL768" s="279"/>
      <c r="AM768" s="279"/>
      <c r="AN768" s="279"/>
      <c r="AO768" s="279"/>
      <c r="AP768" s="279"/>
      <c r="AQ768" s="279"/>
      <c r="AR768" s="279"/>
      <c r="AS768" s="279"/>
      <c r="AT768" s="279"/>
      <c r="AU768" s="279"/>
      <c r="AV768" s="279"/>
      <c r="AW768" s="279"/>
      <c r="AX768" s="279"/>
      <c r="AY768" s="279"/>
      <c r="AZ768" s="279"/>
      <c r="BA768" s="279"/>
      <c r="BB768" s="279"/>
      <c r="BC768" s="279"/>
      <c r="BD768" s="279"/>
      <c r="BE768" s="279"/>
      <c r="BF768" s="279"/>
      <c r="BG768" s="279"/>
      <c r="BH768" s="279"/>
      <c r="BI768" s="279"/>
      <c r="BJ768" s="279"/>
      <c r="BK768" s="279"/>
      <c r="BL768" s="279"/>
      <c r="BM768" s="279"/>
      <c r="BN768" s="279"/>
      <c r="BO768" s="279"/>
      <c r="BP768" s="279"/>
      <c r="BQ768" s="279"/>
      <c r="BR768" s="279"/>
      <c r="BS768" s="279"/>
      <c r="BT768" s="279"/>
      <c r="BU768" s="279"/>
      <c r="BV768" s="279"/>
      <c r="BW768" s="279"/>
      <c r="BX768" s="279"/>
      <c r="BY768" s="279"/>
      <c r="BZ768" s="279"/>
      <c r="CA768" s="279"/>
      <c r="CB768" s="279"/>
      <c r="CC768" s="279"/>
      <c r="CD768" s="279"/>
      <c r="CE768" s="279"/>
      <c r="CF768" s="279"/>
      <c r="CG768" s="279"/>
      <c r="CH768" s="279"/>
      <c r="CI768" s="279"/>
      <c r="CJ768" s="279"/>
      <c r="CK768" s="279"/>
      <c r="CL768" s="279"/>
      <c r="CM768" s="279"/>
      <c r="CN768" s="382"/>
    </row>
    <row r="769" ht="21.75" customHeight="true" x14ac:dyDescent="0.25">
      <c r="B769" s="361"/>
      <c r="C769" s="279"/>
      <c r="D769" s="280"/>
      <c r="E769" s="287"/>
      <c r="F769" s="287"/>
      <c r="G769" s="287"/>
      <c r="H769" s="1292">
        <f t="shared" si="32"/>
        <v>44</v>
      </c>
      <c r="I769" s="1295" t="str">
        <f>IF('I. Stream &amp; Compound Data'!AG305&lt;&gt;"",'I. Stream &amp; Compound Data'!AG305,"")</f>
        <v/>
      </c>
      <c r="J769" s="1295" t="str">
        <f>IF('I. Stream &amp; Compound Data'!AR305&lt;&gt;"",'I. Stream &amp; Compound Data'!AR305,IF('I. Stream &amp; Compound Data'!AS305&lt;&gt;"",'I. Stream &amp; Compound Data'!AS305,""))</f>
        <v/>
      </c>
      <c r="K769" s="1190" t="str">
        <f>IF('I. Stream &amp; Compound Data'!AX305&lt;&gt;"",'I. Stream &amp; Compound Data'!AX305,"")</f>
        <v/>
      </c>
      <c r="L769" s="290" t="str">
        <f>IF(H769&gt;'I. Stream &amp; Compound Data'!$F$18,"",IF(I769="","N/A",ROUND(IF(I769&lt;=0.1,1,IF(AND(I769&gt;0.1,I769&lt;1000),-0.109*LN(I769)+0.75,0)),3)))</f>
        <v/>
      </c>
      <c r="M769" s="1168" t="str">
        <f>IF(H769&gt;'I. Stream &amp; Compound Data'!$F$18,"",IF(L769="N/A",IF(J769="","N/A",IF(J769=50,0.875,IF(J769=51,0.625,IF(J769=52,0.375,0)))),"N/A"))</f>
        <v/>
      </c>
      <c r="N769" s="1287" t="str">
        <f>IF(H769&gt;'I. Stream &amp; Compound Data'!$F$18,"",IF(AND(L769="N/A",M769="N/A"),IF(K769="","N/A",IF(K769=3,0.875,IF(K769=2,0.5,IF(K769=1,0.125,0)))),"N/A"))</f>
        <v/>
      </c>
      <c r="O769" s="1294" t="str">
        <f>IF(H769&gt;'I. Stream &amp; Compound Data'!$F$18,"",IF(I185="","N/A",IF(L769&lt;&gt;"N/A",L769,IF(M769&lt;&gt;"N/A",M769,IF(N769&lt;&gt;"N/A",N769,"NO DATA AVAILABLE")))))</f>
        <v/>
      </c>
      <c r="P769" s="1294" t="str">
        <f>IF(H769&gt;'I. Stream &amp; Compound Data'!$F$18,"",IF(O769="N/A",0,10^(4*O769+1)))</f>
        <v/>
      </c>
      <c r="Q769" s="1294" t="str">
        <f>'I. Stream &amp; Compound Data'!P305</f>
        <v/>
      </c>
      <c r="R769" s="1297" t="str">
        <f>IF(Q769="","",IF('I. Stream &amp; Compound Data'!E75="H2O",0,P769*Q769))</f>
        <v/>
      </c>
      <c r="S769" s="298"/>
      <c r="T769" s="298"/>
      <c r="U769" s="299"/>
      <c r="V769" s="279"/>
      <c r="W769" s="279"/>
      <c r="X769" s="279"/>
      <c r="Y769" s="279"/>
      <c r="Z769" s="279"/>
      <c r="AA769" s="279"/>
      <c r="AB769" s="279"/>
      <c r="AC769" s="279"/>
      <c r="AD769" s="279"/>
      <c r="AE769" s="279"/>
      <c r="AF769" s="279"/>
      <c r="AG769" s="279"/>
      <c r="AH769" s="279"/>
      <c r="AI769" s="279"/>
      <c r="AJ769" s="279"/>
      <c r="AK769" s="279"/>
      <c r="AL769" s="279"/>
      <c r="AM769" s="279"/>
      <c r="AN769" s="279"/>
      <c r="AO769" s="279"/>
      <c r="AP769" s="279"/>
      <c r="AQ769" s="279"/>
      <c r="AR769" s="279"/>
      <c r="AS769" s="279"/>
      <c r="AT769" s="279"/>
      <c r="AU769" s="279"/>
      <c r="AV769" s="279"/>
      <c r="AW769" s="279"/>
      <c r="AX769" s="279"/>
      <c r="AY769" s="279"/>
      <c r="AZ769" s="279"/>
      <c r="BA769" s="279"/>
      <c r="BB769" s="279"/>
      <c r="BC769" s="279"/>
      <c r="BD769" s="279"/>
      <c r="BE769" s="279"/>
      <c r="BF769" s="279"/>
      <c r="BG769" s="279"/>
      <c r="BH769" s="279"/>
      <c r="BI769" s="279"/>
      <c r="BJ769" s="279"/>
      <c r="BK769" s="279"/>
      <c r="BL769" s="279"/>
      <c r="BM769" s="279"/>
      <c r="BN769" s="279"/>
      <c r="BO769" s="279"/>
      <c r="BP769" s="279"/>
      <c r="BQ769" s="279"/>
      <c r="BR769" s="279"/>
      <c r="BS769" s="279"/>
      <c r="BT769" s="279"/>
      <c r="BU769" s="279"/>
      <c r="BV769" s="279"/>
      <c r="BW769" s="279"/>
      <c r="BX769" s="279"/>
      <c r="BY769" s="279"/>
      <c r="BZ769" s="279"/>
      <c r="CA769" s="279"/>
      <c r="CB769" s="279"/>
      <c r="CC769" s="279"/>
      <c r="CD769" s="279"/>
      <c r="CE769" s="279"/>
      <c r="CF769" s="279"/>
      <c r="CG769" s="279"/>
      <c r="CH769" s="279"/>
      <c r="CI769" s="279"/>
      <c r="CJ769" s="279"/>
      <c r="CK769" s="279"/>
      <c r="CL769" s="279"/>
      <c r="CM769" s="279"/>
      <c r="CN769" s="382"/>
    </row>
    <row r="770" ht="21.75" customHeight="true" x14ac:dyDescent="0.25">
      <c r="B770" s="361"/>
      <c r="C770" s="279"/>
      <c r="D770" s="280"/>
      <c r="E770" s="287"/>
      <c r="F770" s="287"/>
      <c r="G770" s="287"/>
      <c r="H770" s="1292">
        <f t="shared" si="32"/>
        <v>45</v>
      </c>
      <c r="I770" s="1295" t="str">
        <f>IF('I. Stream &amp; Compound Data'!AG306&lt;&gt;"",'I. Stream &amp; Compound Data'!AG306,"")</f>
        <v/>
      </c>
      <c r="J770" s="1295" t="str">
        <f>IF('I. Stream &amp; Compound Data'!AR306&lt;&gt;"",'I. Stream &amp; Compound Data'!AR306,IF('I. Stream &amp; Compound Data'!AS306&lt;&gt;"",'I. Stream &amp; Compound Data'!AS306,""))</f>
        <v/>
      </c>
      <c r="K770" s="1190" t="str">
        <f>IF('I. Stream &amp; Compound Data'!AX306&lt;&gt;"",'I. Stream &amp; Compound Data'!AX306,"")</f>
        <v/>
      </c>
      <c r="L770" s="290" t="str">
        <f>IF(H770&gt;'I. Stream &amp; Compound Data'!$F$18,"",IF(I770="","N/A",ROUND(IF(I770&lt;=0.1,1,IF(AND(I770&gt;0.1,I770&lt;1000),-0.109*LN(I770)+0.75,0)),3)))</f>
        <v/>
      </c>
      <c r="M770" s="1168" t="str">
        <f>IF(H770&gt;'I. Stream &amp; Compound Data'!$F$18,"",IF(L770="N/A",IF(J770="","N/A",IF(J770=50,0.875,IF(J770=51,0.625,IF(J770=52,0.375,0)))),"N/A"))</f>
        <v/>
      </c>
      <c r="N770" s="1287" t="str">
        <f>IF(H770&gt;'I. Stream &amp; Compound Data'!$F$18,"",IF(AND(L770="N/A",M770="N/A"),IF(K770="","N/A",IF(K770=3,0.875,IF(K770=2,0.5,IF(K770=1,0.125,0)))),"N/A"))</f>
        <v/>
      </c>
      <c r="O770" s="1294" t="str">
        <f>IF(H770&gt;'I. Stream &amp; Compound Data'!$F$18,"",IF(I186="","N/A",IF(L770&lt;&gt;"N/A",L770,IF(M770&lt;&gt;"N/A",M770,IF(N770&lt;&gt;"N/A",N770,"NO DATA AVAILABLE")))))</f>
        <v/>
      </c>
      <c r="P770" s="1294" t="str">
        <f>IF(H770&gt;'I. Stream &amp; Compound Data'!$F$18,"",IF(O770="N/A",0,10^(4*O770+1)))</f>
        <v/>
      </c>
      <c r="Q770" s="1294" t="str">
        <f>'I. Stream &amp; Compound Data'!P306</f>
        <v/>
      </c>
      <c r="R770" s="1297" t="str">
        <f>IF(Q770="","",IF('I. Stream &amp; Compound Data'!E76="H2O",0,P770*Q770))</f>
        <v/>
      </c>
      <c r="S770" s="298"/>
      <c r="T770" s="298"/>
      <c r="U770" s="299"/>
      <c r="V770" s="279"/>
      <c r="W770" s="279"/>
      <c r="X770" s="279"/>
      <c r="Y770" s="279"/>
      <c r="Z770" s="279"/>
      <c r="AA770" s="279"/>
      <c r="AB770" s="279"/>
      <c r="AC770" s="279"/>
      <c r="AD770" s="279"/>
      <c r="AE770" s="279"/>
      <c r="AF770" s="279"/>
      <c r="AG770" s="279"/>
      <c r="AH770" s="279"/>
      <c r="AI770" s="279"/>
      <c r="AJ770" s="279"/>
      <c r="AK770" s="279"/>
      <c r="AL770" s="279"/>
      <c r="AM770" s="279"/>
      <c r="AN770" s="279"/>
      <c r="AO770" s="279"/>
      <c r="AP770" s="279"/>
      <c r="AQ770" s="279"/>
      <c r="AR770" s="279"/>
      <c r="AS770" s="279"/>
      <c r="AT770" s="279"/>
      <c r="AU770" s="279"/>
      <c r="AV770" s="279"/>
      <c r="AW770" s="279"/>
      <c r="AX770" s="279"/>
      <c r="AY770" s="279"/>
      <c r="AZ770" s="279"/>
      <c r="BA770" s="279"/>
      <c r="BB770" s="279"/>
      <c r="BC770" s="279"/>
      <c r="BD770" s="279"/>
      <c r="BE770" s="279"/>
      <c r="BF770" s="279"/>
      <c r="BG770" s="279"/>
      <c r="BH770" s="279"/>
      <c r="BI770" s="279"/>
      <c r="BJ770" s="279"/>
      <c r="BK770" s="279"/>
      <c r="BL770" s="279"/>
      <c r="BM770" s="279"/>
      <c r="BN770" s="279"/>
      <c r="BO770" s="279"/>
      <c r="BP770" s="279"/>
      <c r="BQ770" s="279"/>
      <c r="BR770" s="279"/>
      <c r="BS770" s="279"/>
      <c r="BT770" s="279"/>
      <c r="BU770" s="279"/>
      <c r="BV770" s="279"/>
      <c r="BW770" s="279"/>
      <c r="BX770" s="279"/>
      <c r="BY770" s="279"/>
      <c r="BZ770" s="279"/>
      <c r="CA770" s="279"/>
      <c r="CB770" s="279"/>
      <c r="CC770" s="279"/>
      <c r="CD770" s="279"/>
      <c r="CE770" s="279"/>
      <c r="CF770" s="279"/>
      <c r="CG770" s="279"/>
      <c r="CH770" s="279"/>
      <c r="CI770" s="279"/>
      <c r="CJ770" s="279"/>
      <c r="CK770" s="279"/>
      <c r="CL770" s="279"/>
      <c r="CM770" s="279"/>
      <c r="CN770" s="382"/>
    </row>
    <row r="771" ht="21.75" customHeight="true" x14ac:dyDescent="0.25">
      <c r="B771" s="361"/>
      <c r="C771" s="279"/>
      <c r="D771" s="280"/>
      <c r="E771" s="287"/>
      <c r="F771" s="287"/>
      <c r="G771" s="287"/>
      <c r="H771" s="1292">
        <f t="shared" si="32"/>
        <v>46</v>
      </c>
      <c r="I771" s="1295" t="str">
        <f>IF('I. Stream &amp; Compound Data'!AG307&lt;&gt;"",'I. Stream &amp; Compound Data'!AG307,"")</f>
        <v/>
      </c>
      <c r="J771" s="1295" t="str">
        <f>IF('I. Stream &amp; Compound Data'!AR307&lt;&gt;"",'I. Stream &amp; Compound Data'!AR307,IF('I. Stream &amp; Compound Data'!AS307&lt;&gt;"",'I. Stream &amp; Compound Data'!AS307,""))</f>
        <v/>
      </c>
      <c r="K771" s="1190" t="str">
        <f>IF('I. Stream &amp; Compound Data'!AX307&lt;&gt;"",'I. Stream &amp; Compound Data'!AX307,"")</f>
        <v/>
      </c>
      <c r="L771" s="290" t="str">
        <f>IF(H771&gt;'I. Stream &amp; Compound Data'!$F$18,"",IF(I771="","N/A",ROUND(IF(I771&lt;=0.1,1,IF(AND(I771&gt;0.1,I771&lt;1000),-0.109*LN(I771)+0.75,0)),3)))</f>
        <v/>
      </c>
      <c r="M771" s="1168" t="str">
        <f>IF(H771&gt;'I. Stream &amp; Compound Data'!$F$18,"",IF(L771="N/A",IF(J771="","N/A",IF(J771=50,0.875,IF(J771=51,0.625,IF(J771=52,0.375,0)))),"N/A"))</f>
        <v/>
      </c>
      <c r="N771" s="1287" t="str">
        <f>IF(H771&gt;'I. Stream &amp; Compound Data'!$F$18,"",IF(AND(L771="N/A",M771="N/A"),IF(K771="","N/A",IF(K771=3,0.875,IF(K771=2,0.5,IF(K771=1,0.125,0)))),"N/A"))</f>
        <v/>
      </c>
      <c r="O771" s="1294" t="str">
        <f>IF(H771&gt;'I. Stream &amp; Compound Data'!$F$18,"",IF(I187="","N/A",IF(L771&lt;&gt;"N/A",L771,IF(M771&lt;&gt;"N/A",M771,IF(N771&lt;&gt;"N/A",N771,"NO DATA AVAILABLE")))))</f>
        <v/>
      </c>
      <c r="P771" s="1294" t="str">
        <f>IF(H771&gt;'I. Stream &amp; Compound Data'!$F$18,"",IF(O771="N/A",0,10^(4*O771+1)))</f>
        <v/>
      </c>
      <c r="Q771" s="1294" t="str">
        <f>'I. Stream &amp; Compound Data'!P307</f>
        <v/>
      </c>
      <c r="R771" s="1297" t="str">
        <f>IF(Q771="","",IF('I. Stream &amp; Compound Data'!E77="H2O",0,P771*Q771))</f>
        <v/>
      </c>
      <c r="S771" s="298"/>
      <c r="T771" s="298"/>
      <c r="U771" s="299"/>
      <c r="V771" s="279"/>
      <c r="W771" s="279"/>
      <c r="X771" s="279"/>
      <c r="Y771" s="279"/>
      <c r="Z771" s="279"/>
      <c r="AA771" s="279"/>
      <c r="AB771" s="279"/>
      <c r="AC771" s="279"/>
      <c r="AD771" s="279"/>
      <c r="AE771" s="279"/>
      <c r="AF771" s="279"/>
      <c r="AG771" s="279"/>
      <c r="AH771" s="279"/>
      <c r="AI771" s="279"/>
      <c r="AJ771" s="279"/>
      <c r="AK771" s="279"/>
      <c r="AL771" s="279"/>
      <c r="AM771" s="279"/>
      <c r="AN771" s="279"/>
      <c r="AO771" s="279"/>
      <c r="AP771" s="279"/>
      <c r="AQ771" s="279"/>
      <c r="AR771" s="279"/>
      <c r="AS771" s="279"/>
      <c r="AT771" s="279"/>
      <c r="AU771" s="279"/>
      <c r="AV771" s="279"/>
      <c r="AW771" s="279"/>
      <c r="AX771" s="279"/>
      <c r="AY771" s="279"/>
      <c r="AZ771" s="279"/>
      <c r="BA771" s="279"/>
      <c r="BB771" s="279"/>
      <c r="BC771" s="279"/>
      <c r="BD771" s="279"/>
      <c r="BE771" s="279"/>
      <c r="BF771" s="279"/>
      <c r="BG771" s="279"/>
      <c r="BH771" s="279"/>
      <c r="BI771" s="279"/>
      <c r="BJ771" s="279"/>
      <c r="BK771" s="279"/>
      <c r="BL771" s="279"/>
      <c r="BM771" s="279"/>
      <c r="BN771" s="279"/>
      <c r="BO771" s="279"/>
      <c r="BP771" s="279"/>
      <c r="BQ771" s="279"/>
      <c r="BR771" s="279"/>
      <c r="BS771" s="279"/>
      <c r="BT771" s="279"/>
      <c r="BU771" s="279"/>
      <c r="BV771" s="279"/>
      <c r="BW771" s="279"/>
      <c r="BX771" s="279"/>
      <c r="BY771" s="279"/>
      <c r="BZ771" s="279"/>
      <c r="CA771" s="279"/>
      <c r="CB771" s="279"/>
      <c r="CC771" s="279"/>
      <c r="CD771" s="279"/>
      <c r="CE771" s="279"/>
      <c r="CF771" s="279"/>
      <c r="CG771" s="279"/>
      <c r="CH771" s="279"/>
      <c r="CI771" s="279"/>
      <c r="CJ771" s="279"/>
      <c r="CK771" s="279"/>
      <c r="CL771" s="279"/>
      <c r="CM771" s="279"/>
      <c r="CN771" s="382"/>
    </row>
    <row r="772" ht="21.75" customHeight="true" x14ac:dyDescent="0.25">
      <c r="B772" s="361"/>
      <c r="C772" s="279"/>
      <c r="D772" s="280"/>
      <c r="E772" s="287"/>
      <c r="F772" s="287"/>
      <c r="G772" s="287"/>
      <c r="H772" s="1292">
        <f t="shared" si="32"/>
        <v>47</v>
      </c>
      <c r="I772" s="1295" t="str">
        <f>IF('I. Stream &amp; Compound Data'!AG308&lt;&gt;"",'I. Stream &amp; Compound Data'!AG308,"")</f>
        <v/>
      </c>
      <c r="J772" s="1295" t="str">
        <f>IF('I. Stream &amp; Compound Data'!AR308&lt;&gt;"",'I. Stream &amp; Compound Data'!AR308,IF('I. Stream &amp; Compound Data'!AS308&lt;&gt;"",'I. Stream &amp; Compound Data'!AS308,""))</f>
        <v/>
      </c>
      <c r="K772" s="1190" t="str">
        <f>IF('I. Stream &amp; Compound Data'!AX308&lt;&gt;"",'I. Stream &amp; Compound Data'!AX308,"")</f>
        <v/>
      </c>
      <c r="L772" s="290" t="str">
        <f>IF(H772&gt;'I. Stream &amp; Compound Data'!$F$18,"",IF(I772="","N/A",ROUND(IF(I772&lt;=0.1,1,IF(AND(I772&gt;0.1,I772&lt;1000),-0.109*LN(I772)+0.75,0)),3)))</f>
        <v/>
      </c>
      <c r="M772" s="1168" t="str">
        <f>IF(H772&gt;'I. Stream &amp; Compound Data'!$F$18,"",IF(L772="N/A",IF(J772="","N/A",IF(J772=50,0.875,IF(J772=51,0.625,IF(J772=52,0.375,0)))),"N/A"))</f>
        <v/>
      </c>
      <c r="N772" s="1287" t="str">
        <f>IF(H772&gt;'I. Stream &amp; Compound Data'!$F$18,"",IF(AND(L772="N/A",M772="N/A"),IF(K772="","N/A",IF(K772=3,0.875,IF(K772=2,0.5,IF(K772=1,0.125,0)))),"N/A"))</f>
        <v/>
      </c>
      <c r="O772" s="1294" t="str">
        <f>IF(H772&gt;'I. Stream &amp; Compound Data'!$F$18,"",IF(I188="","N/A",IF(L772&lt;&gt;"N/A",L772,IF(M772&lt;&gt;"N/A",M772,IF(N772&lt;&gt;"N/A",N772,"NO DATA AVAILABLE")))))</f>
        <v/>
      </c>
      <c r="P772" s="1294" t="str">
        <f>IF(H772&gt;'I. Stream &amp; Compound Data'!$F$18,"",IF(O772="N/A",0,10^(4*O772+1)))</f>
        <v/>
      </c>
      <c r="Q772" s="1294" t="str">
        <f>'I. Stream &amp; Compound Data'!P308</f>
        <v/>
      </c>
      <c r="R772" s="1297" t="str">
        <f>IF(Q772="","",IF('I. Stream &amp; Compound Data'!E78="H2O",0,P772*Q772))</f>
        <v/>
      </c>
      <c r="S772" s="298"/>
      <c r="T772" s="298"/>
      <c r="U772" s="299"/>
      <c r="V772" s="279"/>
      <c r="W772" s="279"/>
      <c r="X772" s="279"/>
      <c r="Y772" s="279"/>
      <c r="Z772" s="279"/>
      <c r="AA772" s="279"/>
      <c r="AB772" s="279"/>
      <c r="AC772" s="279"/>
      <c r="AD772" s="279"/>
      <c r="AE772" s="279"/>
      <c r="AF772" s="279"/>
      <c r="AG772" s="279"/>
      <c r="AH772" s="279"/>
      <c r="AI772" s="279"/>
      <c r="AJ772" s="279"/>
      <c r="AK772" s="279"/>
      <c r="AL772" s="279"/>
      <c r="AM772" s="279"/>
      <c r="AN772" s="279"/>
      <c r="AO772" s="279"/>
      <c r="AP772" s="279"/>
      <c r="AQ772" s="279"/>
      <c r="AR772" s="279"/>
      <c r="AS772" s="279"/>
      <c r="AT772" s="279"/>
      <c r="AU772" s="279"/>
      <c r="AV772" s="279"/>
      <c r="AW772" s="279"/>
      <c r="AX772" s="279"/>
      <c r="AY772" s="279"/>
      <c r="AZ772" s="279"/>
      <c r="BA772" s="279"/>
      <c r="BB772" s="279"/>
      <c r="BC772" s="279"/>
      <c r="BD772" s="279"/>
      <c r="BE772" s="279"/>
      <c r="BF772" s="279"/>
      <c r="BG772" s="279"/>
      <c r="BH772" s="279"/>
      <c r="BI772" s="279"/>
      <c r="BJ772" s="279"/>
      <c r="BK772" s="279"/>
      <c r="BL772" s="279"/>
      <c r="BM772" s="279"/>
      <c r="BN772" s="279"/>
      <c r="BO772" s="279"/>
      <c r="BP772" s="279"/>
      <c r="BQ772" s="279"/>
      <c r="BR772" s="279"/>
      <c r="BS772" s="279"/>
      <c r="BT772" s="279"/>
      <c r="BU772" s="279"/>
      <c r="BV772" s="279"/>
      <c r="BW772" s="279"/>
      <c r="BX772" s="279"/>
      <c r="BY772" s="279"/>
      <c r="BZ772" s="279"/>
      <c r="CA772" s="279"/>
      <c r="CB772" s="279"/>
      <c r="CC772" s="279"/>
      <c r="CD772" s="279"/>
      <c r="CE772" s="279"/>
      <c r="CF772" s="279"/>
      <c r="CG772" s="279"/>
      <c r="CH772" s="279"/>
      <c r="CI772" s="279"/>
      <c r="CJ772" s="279"/>
      <c r="CK772" s="279"/>
      <c r="CL772" s="279"/>
      <c r="CM772" s="279"/>
      <c r="CN772" s="382"/>
    </row>
    <row r="773" ht="21.75" customHeight="true" x14ac:dyDescent="0.25">
      <c r="B773" s="361"/>
      <c r="C773" s="279"/>
      <c r="D773" s="280"/>
      <c r="E773" s="287"/>
      <c r="F773" s="287"/>
      <c r="G773" s="287"/>
      <c r="H773" s="1292">
        <f t="shared" si="32"/>
        <v>48</v>
      </c>
      <c r="I773" s="1295" t="str">
        <f>IF('I. Stream &amp; Compound Data'!AG309&lt;&gt;"",'I. Stream &amp; Compound Data'!AG309,"")</f>
        <v/>
      </c>
      <c r="J773" s="1295" t="str">
        <f>IF('I. Stream &amp; Compound Data'!AR309&lt;&gt;"",'I. Stream &amp; Compound Data'!AR309,IF('I. Stream &amp; Compound Data'!AS309&lt;&gt;"",'I. Stream &amp; Compound Data'!AS309,""))</f>
        <v/>
      </c>
      <c r="K773" s="1190" t="str">
        <f>IF('I. Stream &amp; Compound Data'!AX309&lt;&gt;"",'I. Stream &amp; Compound Data'!AX309,"")</f>
        <v/>
      </c>
      <c r="L773" s="290" t="str">
        <f>IF(H773&gt;'I. Stream &amp; Compound Data'!$F$18,"",IF(I773="","N/A",ROUND(IF(I773&lt;=0.1,1,IF(AND(I773&gt;0.1,I773&lt;1000),-0.109*LN(I773)+0.75,0)),3)))</f>
        <v/>
      </c>
      <c r="M773" s="1168" t="str">
        <f>IF(H773&gt;'I. Stream &amp; Compound Data'!$F$18,"",IF(L773="N/A",IF(J773="","N/A",IF(J773=50,0.875,IF(J773=51,0.625,IF(J773=52,0.375,0)))),"N/A"))</f>
        <v/>
      </c>
      <c r="N773" s="1287" t="str">
        <f>IF(H773&gt;'I. Stream &amp; Compound Data'!$F$18,"",IF(AND(L773="N/A",M773="N/A"),IF(K773="","N/A",IF(K773=3,0.875,IF(K773=2,0.5,IF(K773=1,0.125,0)))),"N/A"))</f>
        <v/>
      </c>
      <c r="O773" s="1294" t="str">
        <f>IF(H773&gt;'I. Stream &amp; Compound Data'!$F$18,"",IF(I189="","N/A",IF(L773&lt;&gt;"N/A",L773,IF(M773&lt;&gt;"N/A",M773,IF(N773&lt;&gt;"N/A",N773,"NO DATA AVAILABLE")))))</f>
        <v/>
      </c>
      <c r="P773" s="1294" t="str">
        <f>IF(H773&gt;'I. Stream &amp; Compound Data'!$F$18,"",IF(O773="N/A",0,10^(4*O773+1)))</f>
        <v/>
      </c>
      <c r="Q773" s="1294" t="str">
        <f>'I. Stream &amp; Compound Data'!P309</f>
        <v/>
      </c>
      <c r="R773" s="1297" t="str">
        <f>IF(Q773="","",IF('I. Stream &amp; Compound Data'!E79="H2O",0,P773*Q773))</f>
        <v/>
      </c>
      <c r="S773" s="298"/>
      <c r="T773" s="298"/>
      <c r="U773" s="299"/>
      <c r="V773" s="279"/>
      <c r="W773" s="279"/>
      <c r="X773" s="279"/>
      <c r="Y773" s="279"/>
      <c r="Z773" s="279"/>
      <c r="AA773" s="279"/>
      <c r="AB773" s="279"/>
      <c r="AC773" s="279"/>
      <c r="AD773" s="279"/>
      <c r="AE773" s="279"/>
      <c r="AF773" s="279"/>
      <c r="AG773" s="279"/>
      <c r="AH773" s="279"/>
      <c r="AI773" s="279"/>
      <c r="AJ773" s="279"/>
      <c r="AK773" s="279"/>
      <c r="AL773" s="279"/>
      <c r="AM773" s="279"/>
      <c r="AN773" s="279"/>
      <c r="AO773" s="279"/>
      <c r="AP773" s="279"/>
      <c r="AQ773" s="279"/>
      <c r="AR773" s="279"/>
      <c r="AS773" s="279"/>
      <c r="AT773" s="279"/>
      <c r="AU773" s="279"/>
      <c r="AV773" s="279"/>
      <c r="AW773" s="279"/>
      <c r="AX773" s="279"/>
      <c r="AY773" s="279"/>
      <c r="AZ773" s="279"/>
      <c r="BA773" s="279"/>
      <c r="BB773" s="279"/>
      <c r="BC773" s="279"/>
      <c r="BD773" s="279"/>
      <c r="BE773" s="279"/>
      <c r="BF773" s="279"/>
      <c r="BG773" s="279"/>
      <c r="BH773" s="279"/>
      <c r="BI773" s="279"/>
      <c r="BJ773" s="279"/>
      <c r="BK773" s="279"/>
      <c r="BL773" s="279"/>
      <c r="BM773" s="279"/>
      <c r="BN773" s="279"/>
      <c r="BO773" s="279"/>
      <c r="BP773" s="279"/>
      <c r="BQ773" s="279"/>
      <c r="BR773" s="279"/>
      <c r="BS773" s="279"/>
      <c r="BT773" s="279"/>
      <c r="BU773" s="279"/>
      <c r="BV773" s="279"/>
      <c r="BW773" s="279"/>
      <c r="BX773" s="279"/>
      <c r="BY773" s="279"/>
      <c r="BZ773" s="279"/>
      <c r="CA773" s="279"/>
      <c r="CB773" s="279"/>
      <c r="CC773" s="279"/>
      <c r="CD773" s="279"/>
      <c r="CE773" s="279"/>
      <c r="CF773" s="279"/>
      <c r="CG773" s="279"/>
      <c r="CH773" s="279"/>
      <c r="CI773" s="279"/>
      <c r="CJ773" s="279"/>
      <c r="CK773" s="279"/>
      <c r="CL773" s="279"/>
      <c r="CM773" s="279"/>
      <c r="CN773" s="382"/>
    </row>
    <row r="774" ht="21.75" customHeight="true" x14ac:dyDescent="0.25">
      <c r="B774" s="361"/>
      <c r="C774" s="279"/>
      <c r="D774" s="280"/>
      <c r="E774" s="287"/>
      <c r="F774" s="287"/>
      <c r="G774" s="287"/>
      <c r="H774" s="1292">
        <f t="shared" si="32"/>
        <v>49</v>
      </c>
      <c r="I774" s="1295" t="str">
        <f>IF('I. Stream &amp; Compound Data'!AG310&lt;&gt;"",'I. Stream &amp; Compound Data'!AG310,"")</f>
        <v/>
      </c>
      <c r="J774" s="1295" t="str">
        <f>IF('I. Stream &amp; Compound Data'!AR310&lt;&gt;"",'I. Stream &amp; Compound Data'!AR310,IF('I. Stream &amp; Compound Data'!AS310&lt;&gt;"",'I. Stream &amp; Compound Data'!AS310,""))</f>
        <v/>
      </c>
      <c r="K774" s="1190" t="str">
        <f>IF('I. Stream &amp; Compound Data'!AX310&lt;&gt;"",'I. Stream &amp; Compound Data'!AX310,"")</f>
        <v/>
      </c>
      <c r="L774" s="290" t="str">
        <f>IF(H774&gt;'I. Stream &amp; Compound Data'!$F$18,"",IF(I774="","N/A",ROUND(IF(I774&lt;=0.1,1,IF(AND(I774&gt;0.1,I774&lt;1000),-0.109*LN(I774)+0.75,0)),3)))</f>
        <v/>
      </c>
      <c r="M774" s="1168" t="str">
        <f>IF(H774&gt;'I. Stream &amp; Compound Data'!$F$18,"",IF(L774="N/A",IF(J774="","N/A",IF(J774=50,0.875,IF(J774=51,0.625,IF(J774=52,0.375,0)))),"N/A"))</f>
        <v/>
      </c>
      <c r="N774" s="1287" t="str">
        <f>IF(H774&gt;'I. Stream &amp; Compound Data'!$F$18,"",IF(AND(L774="N/A",M774="N/A"),IF(K774="","N/A",IF(K774=3,0.875,IF(K774=2,0.5,IF(K774=1,0.125,0)))),"N/A"))</f>
        <v/>
      </c>
      <c r="O774" s="1294" t="str">
        <f>IF(H774&gt;'I. Stream &amp; Compound Data'!$F$18,"",IF(I190="","N/A",IF(L774&lt;&gt;"N/A",L774,IF(M774&lt;&gt;"N/A",M774,IF(N774&lt;&gt;"N/A",N774,"NO DATA AVAILABLE")))))</f>
        <v/>
      </c>
      <c r="P774" s="1294" t="str">
        <f>IF(H774&gt;'I. Stream &amp; Compound Data'!$F$18,"",IF(O774="N/A",0,10^(4*O774+1)))</f>
        <v/>
      </c>
      <c r="Q774" s="1294" t="str">
        <f>'I. Stream &amp; Compound Data'!P310</f>
        <v/>
      </c>
      <c r="R774" s="1297" t="str">
        <f>IF(Q774="","",IF('I. Stream &amp; Compound Data'!E80="H2O",0,P774*Q774))</f>
        <v/>
      </c>
      <c r="S774" s="298"/>
      <c r="T774" s="298"/>
      <c r="U774" s="299"/>
      <c r="V774" s="279"/>
      <c r="W774" s="279"/>
      <c r="X774" s="279"/>
      <c r="Y774" s="279"/>
      <c r="Z774" s="279"/>
      <c r="AA774" s="279"/>
      <c r="AB774" s="279"/>
      <c r="AC774" s="279"/>
      <c r="AD774" s="279"/>
      <c r="AE774" s="279"/>
      <c r="AF774" s="279"/>
      <c r="AG774" s="279"/>
      <c r="AH774" s="279"/>
      <c r="AI774" s="279"/>
      <c r="AJ774" s="279"/>
      <c r="AK774" s="279"/>
      <c r="AL774" s="279"/>
      <c r="AM774" s="279"/>
      <c r="AN774" s="279"/>
      <c r="AO774" s="279"/>
      <c r="AP774" s="279"/>
      <c r="AQ774" s="279"/>
      <c r="AR774" s="279"/>
      <c r="AS774" s="279"/>
      <c r="AT774" s="279"/>
      <c r="AU774" s="279"/>
      <c r="AV774" s="279"/>
      <c r="AW774" s="279"/>
      <c r="AX774" s="279"/>
      <c r="AY774" s="279"/>
      <c r="AZ774" s="279"/>
      <c r="BA774" s="279"/>
      <c r="BB774" s="279"/>
      <c r="BC774" s="279"/>
      <c r="BD774" s="279"/>
      <c r="BE774" s="279"/>
      <c r="BF774" s="279"/>
      <c r="BG774" s="279"/>
      <c r="BH774" s="279"/>
      <c r="BI774" s="279"/>
      <c r="BJ774" s="279"/>
      <c r="BK774" s="279"/>
      <c r="BL774" s="279"/>
      <c r="BM774" s="279"/>
      <c r="BN774" s="279"/>
      <c r="BO774" s="279"/>
      <c r="BP774" s="279"/>
      <c r="BQ774" s="279"/>
      <c r="BR774" s="279"/>
      <c r="BS774" s="279"/>
      <c r="BT774" s="279"/>
      <c r="BU774" s="279"/>
      <c r="BV774" s="279"/>
      <c r="BW774" s="279"/>
      <c r="BX774" s="279"/>
      <c r="BY774" s="279"/>
      <c r="BZ774" s="279"/>
      <c r="CA774" s="279"/>
      <c r="CB774" s="279"/>
      <c r="CC774" s="279"/>
      <c r="CD774" s="279"/>
      <c r="CE774" s="279"/>
      <c r="CF774" s="279"/>
      <c r="CG774" s="279"/>
      <c r="CH774" s="279"/>
      <c r="CI774" s="279"/>
      <c r="CJ774" s="279"/>
      <c r="CK774" s="279"/>
      <c r="CL774" s="279"/>
      <c r="CM774" s="279"/>
      <c r="CN774" s="382"/>
    </row>
    <row r="775" ht="21.75" customHeight="true" thickBot="true" x14ac:dyDescent="0.3">
      <c r="B775" s="361"/>
      <c r="C775" s="279"/>
      <c r="D775" s="280"/>
      <c r="E775" s="287"/>
      <c r="F775" s="287"/>
      <c r="G775" s="287"/>
      <c r="H775" s="1298">
        <f t="shared" si="32"/>
        <v>50</v>
      </c>
      <c r="I775" s="1301" t="str">
        <f>IF('I. Stream &amp; Compound Data'!AG311&lt;&gt;"",'I. Stream &amp; Compound Data'!AG311,"")</f>
        <v/>
      </c>
      <c r="J775" s="1301" t="str">
        <f>IF('I. Stream &amp; Compound Data'!AR311&lt;&gt;"",'I. Stream &amp; Compound Data'!AR311,IF('I. Stream &amp; Compound Data'!AS311&lt;&gt;"",'I. Stream &amp; Compound Data'!AS311,""))</f>
        <v/>
      </c>
      <c r="K775" s="1259" t="str">
        <f>IF('I. Stream &amp; Compound Data'!AX311&lt;&gt;"",'I. Stream &amp; Compound Data'!AX311,"")</f>
        <v/>
      </c>
      <c r="L775" s="1302" t="str">
        <f>IF(H775&gt;'I. Stream &amp; Compound Data'!$F$18,"",IF(I775="","N/A",ROUND(IF(I775&lt;=0.1,1,IF(AND(I775&gt;0.1,I775&lt;1000),-0.109*LN(I775)+0.75,0)),3)))</f>
        <v/>
      </c>
      <c r="M775" s="1225" t="str">
        <f>IF(H775&gt;'I. Stream &amp; Compound Data'!$F$18,"",IF(L775="N/A",IF(J775="","N/A",IF(J775=50,0.875,IF(J775=51,0.625,IF(J775=52,0.375,0)))),"N/A"))</f>
        <v/>
      </c>
      <c r="N775" s="1290" t="str">
        <f>IF(H775&gt;'I. Stream &amp; Compound Data'!$F$18,"",IF(AND(L775="N/A",M775="N/A"),IF(K775="","N/A",IF(K775=3,0.875,IF(K775=2,0.5,IF(K775=1,0.125,0)))),"N/A"))</f>
        <v/>
      </c>
      <c r="O775" s="1300" t="str">
        <f>IF(H775&gt;'I. Stream &amp; Compound Data'!$F$18,"",IF(I191="","N/A",IF(L775&lt;&gt;"N/A",L775,IF(M775&lt;&gt;"N/A",M775,IF(N775&lt;&gt;"N/A",N775,"NO DATA AVAILABLE")))))</f>
        <v/>
      </c>
      <c r="P775" s="1300" t="str">
        <f>IF(H775&gt;'I. Stream &amp; Compound Data'!$F$18,"",IF(O775="N/A",0,10^(4*O775+1)))</f>
        <v/>
      </c>
      <c r="Q775" s="1300" t="str">
        <f>'I. Stream &amp; Compound Data'!P311</f>
        <v/>
      </c>
      <c r="R775" s="1304" t="str">
        <f>IF(Q775="","",IF('I. Stream &amp; Compound Data'!E81="H2O",0,P775*Q775))</f>
        <v/>
      </c>
      <c r="S775" s="298"/>
      <c r="T775" s="298"/>
      <c r="U775" s="299"/>
      <c r="V775" s="279"/>
      <c r="W775" s="279"/>
      <c r="X775" s="279"/>
      <c r="Y775" s="279"/>
      <c r="Z775" s="279"/>
      <c r="AA775" s="279"/>
      <c r="AB775" s="279"/>
      <c r="AC775" s="279"/>
      <c r="AD775" s="279"/>
      <c r="AE775" s="279"/>
      <c r="AF775" s="279"/>
      <c r="AG775" s="279"/>
      <c r="AH775" s="279"/>
      <c r="AI775" s="279"/>
      <c r="AJ775" s="279"/>
      <c r="AK775" s="279"/>
      <c r="AL775" s="279"/>
      <c r="AM775" s="279"/>
      <c r="AN775" s="279"/>
      <c r="AO775" s="279"/>
      <c r="AP775" s="279"/>
      <c r="AQ775" s="279"/>
      <c r="AR775" s="279"/>
      <c r="AS775" s="279"/>
      <c r="AT775" s="279"/>
      <c r="AU775" s="279"/>
      <c r="AV775" s="279"/>
      <c r="AW775" s="279"/>
      <c r="AX775" s="279"/>
      <c r="AY775" s="279"/>
      <c r="AZ775" s="279"/>
      <c r="BA775" s="279"/>
      <c r="BB775" s="279"/>
      <c r="BC775" s="279"/>
      <c r="BD775" s="279"/>
      <c r="BE775" s="279"/>
      <c r="BF775" s="279"/>
      <c r="BG775" s="279"/>
      <c r="BH775" s="279"/>
      <c r="BI775" s="279"/>
      <c r="BJ775" s="279"/>
      <c r="BK775" s="279"/>
      <c r="BL775" s="279"/>
      <c r="BM775" s="279"/>
      <c r="BN775" s="279"/>
      <c r="BO775" s="279"/>
      <c r="BP775" s="279"/>
      <c r="BQ775" s="279"/>
      <c r="BR775" s="279"/>
      <c r="BS775" s="279"/>
      <c r="BT775" s="279"/>
      <c r="BU775" s="279"/>
      <c r="BV775" s="279"/>
      <c r="BW775" s="279"/>
      <c r="BX775" s="279"/>
      <c r="BY775" s="279"/>
      <c r="BZ775" s="279"/>
      <c r="CA775" s="279"/>
      <c r="CB775" s="279"/>
      <c r="CC775" s="279"/>
      <c r="CD775" s="279"/>
      <c r="CE775" s="279"/>
      <c r="CF775" s="279"/>
      <c r="CG775" s="279"/>
      <c r="CH775" s="279"/>
      <c r="CI775" s="279"/>
      <c r="CJ775" s="279"/>
      <c r="CK775" s="279"/>
      <c r="CL775" s="279"/>
      <c r="CM775" s="279"/>
      <c r="CN775" s="382"/>
    </row>
    <row r="776" ht="21.75" customHeight="true" thickBot="true" x14ac:dyDescent="0.3">
      <c r="B776" s="361"/>
      <c r="C776" s="279"/>
      <c r="D776" s="280"/>
      <c r="E776" s="287"/>
      <c r="F776" s="287"/>
      <c r="G776" s="287"/>
      <c r="H776" s="280"/>
      <c r="I776" s="304"/>
      <c r="J776" s="279"/>
      <c r="K776" s="280"/>
      <c r="L776" s="362"/>
      <c r="M776" s="287"/>
      <c r="N776" s="296"/>
      <c r="O776" s="280"/>
      <c r="P776" s="280"/>
      <c r="Q776" s="287" t="s">
        <v>88</v>
      </c>
      <c r="R776" s="1305">
        <f>SUM(R726:R775)</f>
        <v>82856315.843073905</v>
      </c>
      <c r="S776" s="298"/>
      <c r="T776" s="298"/>
      <c r="U776" s="299"/>
      <c r="V776" s="279"/>
      <c r="W776" s="279"/>
      <c r="X776" s="279"/>
      <c r="Y776" s="279"/>
      <c r="Z776" s="279"/>
      <c r="AA776" s="279"/>
      <c r="AB776" s="279"/>
      <c r="AC776" s="279"/>
      <c r="AD776" s="279"/>
      <c r="AE776" s="279"/>
      <c r="AF776" s="279"/>
      <c r="AG776" s="279"/>
      <c r="AH776" s="279"/>
      <c r="AI776" s="279"/>
      <c r="AJ776" s="279"/>
      <c r="AK776" s="279"/>
      <c r="AL776" s="279"/>
      <c r="AM776" s="279"/>
      <c r="AN776" s="279"/>
      <c r="AO776" s="279"/>
      <c r="AP776" s="279"/>
      <c r="AQ776" s="279"/>
      <c r="AR776" s="279"/>
      <c r="AS776" s="279"/>
      <c r="AT776" s="279"/>
      <c r="AU776" s="279"/>
      <c r="AV776" s="279"/>
      <c r="AW776" s="279"/>
      <c r="AX776" s="279"/>
      <c r="AY776" s="279"/>
      <c r="AZ776" s="279"/>
      <c r="BA776" s="279"/>
      <c r="BB776" s="279"/>
      <c r="BC776" s="279"/>
      <c r="BD776" s="279"/>
      <c r="BE776" s="279"/>
      <c r="BF776" s="279"/>
      <c r="BG776" s="279"/>
      <c r="BH776" s="279"/>
      <c r="BI776" s="279"/>
      <c r="BJ776" s="279"/>
      <c r="BK776" s="279"/>
      <c r="BL776" s="279"/>
      <c r="BM776" s="279"/>
      <c r="BN776" s="279"/>
      <c r="BO776" s="279"/>
      <c r="BP776" s="279"/>
      <c r="BQ776" s="279"/>
      <c r="BR776" s="279"/>
      <c r="BS776" s="279"/>
      <c r="BT776" s="279"/>
      <c r="BU776" s="279"/>
      <c r="BV776" s="279"/>
      <c r="BW776" s="279"/>
      <c r="BX776" s="279"/>
      <c r="BY776" s="279"/>
      <c r="BZ776" s="279"/>
      <c r="CA776" s="279"/>
      <c r="CB776" s="279"/>
      <c r="CC776" s="279"/>
      <c r="CD776" s="279"/>
      <c r="CE776" s="279"/>
      <c r="CF776" s="279"/>
      <c r="CG776" s="279"/>
      <c r="CH776" s="279"/>
      <c r="CI776" s="279"/>
      <c r="CJ776" s="279"/>
      <c r="CK776" s="279"/>
      <c r="CL776" s="279"/>
      <c r="CM776" s="279"/>
      <c r="CN776" s="382"/>
    </row>
    <row r="777" ht="21.75" customHeight="true" x14ac:dyDescent="0.25">
      <c r="B777" s="361"/>
      <c r="C777" s="279"/>
      <c r="D777" s="280"/>
      <c r="E777" s="287"/>
      <c r="F777" s="287"/>
      <c r="G777" s="287"/>
      <c r="H777" s="280"/>
      <c r="I777" s="304"/>
      <c r="J777" s="279"/>
      <c r="K777" s="280"/>
      <c r="L777" s="362"/>
      <c r="M777" s="287"/>
      <c r="N777" s="296"/>
      <c r="O777" s="280"/>
      <c r="P777" s="280"/>
      <c r="Q777" s="287"/>
      <c r="R777" s="287"/>
      <c r="S777" s="298"/>
      <c r="T777" s="298"/>
      <c r="U777" s="299"/>
      <c r="V777" s="279"/>
      <c r="W777" s="279"/>
      <c r="X777" s="279"/>
      <c r="Y777" s="279"/>
      <c r="Z777" s="279"/>
      <c r="AA777" s="279"/>
      <c r="AB777" s="279"/>
      <c r="AC777" s="279"/>
      <c r="AD777" s="279"/>
      <c r="AE777" s="279"/>
      <c r="AF777" s="279"/>
      <c r="AG777" s="279"/>
      <c r="AH777" s="279"/>
      <c r="AI777" s="279"/>
      <c r="AJ777" s="279"/>
      <c r="AK777" s="279"/>
      <c r="AL777" s="279"/>
      <c r="AM777" s="279"/>
      <c r="AN777" s="279"/>
      <c r="AO777" s="279"/>
      <c r="AP777" s="279"/>
      <c r="AQ777" s="279"/>
      <c r="AR777" s="279"/>
      <c r="AS777" s="279"/>
      <c r="AT777" s="279"/>
      <c r="AU777" s="279"/>
      <c r="AV777" s="279"/>
      <c r="AW777" s="279"/>
      <c r="AX777" s="279"/>
      <c r="AY777" s="279"/>
      <c r="AZ777" s="279"/>
      <c r="BA777" s="279"/>
      <c r="BB777" s="279"/>
      <c r="BC777" s="279"/>
      <c r="BD777" s="279"/>
      <c r="BE777" s="279"/>
      <c r="BF777" s="279"/>
      <c r="BG777" s="279"/>
      <c r="BH777" s="279"/>
      <c r="BI777" s="279"/>
      <c r="BJ777" s="279"/>
      <c r="BK777" s="279"/>
      <c r="BL777" s="279"/>
      <c r="BM777" s="279"/>
      <c r="BN777" s="279"/>
      <c r="BO777" s="279"/>
      <c r="BP777" s="279"/>
      <c r="BQ777" s="279"/>
      <c r="BR777" s="279"/>
      <c r="BS777" s="279"/>
      <c r="BT777" s="279"/>
      <c r="BU777" s="279"/>
      <c r="BV777" s="279"/>
      <c r="BW777" s="279"/>
      <c r="BX777" s="279"/>
      <c r="BY777" s="279"/>
      <c r="BZ777" s="279"/>
      <c r="CA777" s="279"/>
      <c r="CB777" s="279"/>
      <c r="CC777" s="279"/>
      <c r="CD777" s="279"/>
      <c r="CE777" s="279"/>
      <c r="CF777" s="279"/>
      <c r="CG777" s="279"/>
      <c r="CH777" s="279"/>
      <c r="CI777" s="279"/>
      <c r="CJ777" s="279"/>
      <c r="CK777" s="279"/>
      <c r="CL777" s="279"/>
      <c r="CM777" s="279"/>
      <c r="CN777" s="382"/>
    </row>
    <row r="778" ht="21.75" customHeight="true" x14ac:dyDescent="0.25">
      <c r="B778" s="361"/>
      <c r="C778" s="279"/>
      <c r="D778" s="280"/>
      <c r="E778" s="287"/>
      <c r="F778" s="287"/>
      <c r="G778" s="287"/>
      <c r="H778" s="280"/>
      <c r="I778" s="304"/>
      <c r="J778" s="279"/>
      <c r="K778" s="280"/>
      <c r="L778" s="362"/>
      <c r="M778" s="287"/>
      <c r="N778" s="296"/>
      <c r="O778" s="280"/>
      <c r="P778" s="280"/>
      <c r="Q778" s="287"/>
      <c r="R778" s="287"/>
      <c r="S778" s="298"/>
      <c r="T778" s="298"/>
      <c r="U778" s="299"/>
      <c r="V778" s="279"/>
      <c r="W778" s="279"/>
      <c r="X778" s="279"/>
      <c r="Y778" s="279"/>
      <c r="Z778" s="279"/>
      <c r="AA778" s="279"/>
      <c r="AB778" s="279"/>
      <c r="AC778" s="279"/>
      <c r="AD778" s="279"/>
      <c r="AE778" s="279"/>
      <c r="AF778" s="279"/>
      <c r="AG778" s="279"/>
      <c r="AH778" s="279"/>
      <c r="AI778" s="279"/>
      <c r="AJ778" s="279"/>
      <c r="AK778" s="279"/>
      <c r="AL778" s="279"/>
      <c r="AM778" s="279"/>
      <c r="AN778" s="279"/>
      <c r="AO778" s="279"/>
      <c r="AP778" s="279"/>
      <c r="AQ778" s="279"/>
      <c r="AR778" s="279"/>
      <c r="AS778" s="279"/>
      <c r="AT778" s="279"/>
      <c r="AU778" s="279"/>
      <c r="AV778" s="279"/>
      <c r="AW778" s="279"/>
      <c r="AX778" s="279"/>
      <c r="AY778" s="279"/>
      <c r="AZ778" s="279"/>
      <c r="BA778" s="279"/>
      <c r="BB778" s="279"/>
      <c r="BC778" s="279"/>
      <c r="BD778" s="279"/>
      <c r="BE778" s="279"/>
      <c r="BF778" s="279"/>
      <c r="BG778" s="279"/>
      <c r="BH778" s="279"/>
      <c r="BI778" s="279"/>
      <c r="BJ778" s="279"/>
      <c r="BK778" s="279"/>
      <c r="BL778" s="279"/>
      <c r="BM778" s="279"/>
      <c r="BN778" s="279"/>
      <c r="BO778" s="279"/>
      <c r="BP778" s="279"/>
      <c r="BQ778" s="279"/>
      <c r="BR778" s="279"/>
      <c r="BS778" s="279"/>
      <c r="BT778" s="279"/>
      <c r="BU778" s="279"/>
      <c r="BV778" s="279"/>
      <c r="BW778" s="279"/>
      <c r="BX778" s="279"/>
      <c r="BY778" s="279"/>
      <c r="BZ778" s="279"/>
      <c r="CA778" s="279"/>
      <c r="CB778" s="279"/>
      <c r="CC778" s="279"/>
      <c r="CD778" s="279"/>
      <c r="CE778" s="279"/>
      <c r="CF778" s="279"/>
      <c r="CG778" s="279"/>
      <c r="CH778" s="279"/>
      <c r="CI778" s="279"/>
      <c r="CJ778" s="279"/>
      <c r="CK778" s="279"/>
      <c r="CL778" s="279"/>
      <c r="CM778" s="279"/>
      <c r="CN778" s="382"/>
    </row>
    <row r="779" x14ac:dyDescent="0.3">
      <c r="B779" s="361"/>
      <c r="C779" s="279"/>
      <c r="D779" s="280"/>
      <c r="E779" s="287"/>
      <c r="F779" s="287"/>
      <c r="G779" s="287"/>
      <c r="H779" s="280"/>
      <c r="I779" s="304"/>
      <c r="J779" s="279"/>
      <c r="K779" s="280"/>
      <c r="L779" s="362"/>
      <c r="M779" s="287"/>
      <c r="N779" s="296"/>
      <c r="O779" s="280"/>
      <c r="P779" s="280"/>
      <c r="Q779" s="279"/>
      <c r="R779" s="297"/>
      <c r="S779" s="298"/>
      <c r="T779" s="298"/>
      <c r="U779" s="299"/>
      <c r="V779" s="279"/>
      <c r="W779" s="279"/>
      <c r="X779" s="279"/>
      <c r="Y779" s="279"/>
      <c r="Z779" s="279"/>
      <c r="AA779" s="279"/>
      <c r="AB779" s="279"/>
      <c r="AC779" s="279"/>
      <c r="AD779" s="279"/>
      <c r="AE779" s="279"/>
      <c r="AF779" s="279"/>
      <c r="AG779" s="279"/>
      <c r="AH779" s="279"/>
      <c r="AI779" s="279"/>
      <c r="AJ779" s="279"/>
      <c r="AK779" s="279"/>
      <c r="AL779" s="279"/>
      <c r="AM779" s="279"/>
      <c r="AN779" s="279"/>
      <c r="AO779" s="279"/>
      <c r="AP779" s="279"/>
      <c r="AQ779" s="279"/>
      <c r="AR779" s="279"/>
      <c r="AS779" s="279"/>
      <c r="AT779" s="279"/>
      <c r="AU779" s="279"/>
      <c r="AV779" s="279"/>
      <c r="AW779" s="279"/>
      <c r="AX779" s="279"/>
      <c r="AY779" s="279"/>
      <c r="AZ779" s="279"/>
      <c r="BA779" s="279"/>
      <c r="BB779" s="279"/>
      <c r="BC779" s="279"/>
      <c r="BD779" s="279"/>
      <c r="BE779" s="279"/>
      <c r="BF779" s="279"/>
      <c r="BG779" s="279"/>
      <c r="BH779" s="279"/>
      <c r="BI779" s="279"/>
      <c r="BJ779" s="279"/>
      <c r="BK779" s="279"/>
      <c r="BL779" s="279"/>
      <c r="BM779" s="279"/>
      <c r="BN779" s="279"/>
      <c r="BO779" s="279"/>
      <c r="BP779" s="279"/>
      <c r="BQ779" s="279"/>
      <c r="BR779" s="279"/>
      <c r="BS779" s="279"/>
      <c r="BT779" s="279"/>
      <c r="BU779" s="279"/>
      <c r="BV779" s="279"/>
      <c r="BW779" s="279"/>
      <c r="BX779" s="279"/>
      <c r="BY779" s="279"/>
      <c r="BZ779" s="279"/>
      <c r="CA779" s="279"/>
      <c r="CB779" s="279"/>
      <c r="CC779" s="279"/>
      <c r="CD779" s="279"/>
      <c r="CE779" s="279"/>
      <c r="CF779" s="279"/>
      <c r="CG779" s="279"/>
      <c r="CH779" s="279"/>
      <c r="CI779" s="279"/>
      <c r="CJ779" s="279"/>
      <c r="CK779" s="279"/>
      <c r="CL779" s="279"/>
      <c r="CM779" s="279"/>
      <c r="CN779" s="382"/>
    </row>
    <row r="780" x14ac:dyDescent="0.3">
      <c r="B780" s="361"/>
      <c r="C780" s="279"/>
      <c r="D780" s="280"/>
      <c r="E780" s="287"/>
      <c r="F780" s="287"/>
      <c r="G780" s="287"/>
      <c r="H780" s="280"/>
      <c r="I780" s="304"/>
      <c r="J780" s="279"/>
      <c r="K780" s="280"/>
      <c r="L780" s="362"/>
      <c r="M780" s="287"/>
      <c r="N780" s="296"/>
      <c r="O780" s="280"/>
      <c r="P780" s="280"/>
      <c r="Q780" s="279"/>
      <c r="R780" s="297"/>
      <c r="S780" s="298"/>
      <c r="T780" s="298"/>
      <c r="U780" s="299"/>
      <c r="V780" s="279"/>
      <c r="W780" s="279"/>
      <c r="X780" s="279"/>
      <c r="Y780" s="279"/>
      <c r="Z780" s="279"/>
      <c r="AA780" s="279"/>
      <c r="AB780" s="279"/>
      <c r="AC780" s="279"/>
      <c r="AD780" s="279"/>
      <c r="AE780" s="279"/>
      <c r="AF780" s="279"/>
      <c r="AG780" s="279"/>
      <c r="AH780" s="279"/>
      <c r="AI780" s="279"/>
      <c r="AJ780" s="279"/>
      <c r="AK780" s="279"/>
      <c r="AL780" s="279"/>
      <c r="AM780" s="279"/>
      <c r="AN780" s="279"/>
      <c r="AO780" s="279"/>
      <c r="AP780" s="279"/>
      <c r="AQ780" s="279"/>
      <c r="AR780" s="279"/>
      <c r="AS780" s="279"/>
      <c r="AT780" s="279"/>
      <c r="AU780" s="279"/>
      <c r="AV780" s="279"/>
      <c r="AW780" s="279"/>
      <c r="AX780" s="279"/>
      <c r="AY780" s="279"/>
      <c r="AZ780" s="279"/>
      <c r="BA780" s="279"/>
      <c r="BB780" s="279"/>
      <c r="BC780" s="279"/>
      <c r="BD780" s="279"/>
      <c r="BE780" s="279"/>
      <c r="BF780" s="279"/>
      <c r="BG780" s="279"/>
      <c r="BH780" s="279"/>
      <c r="BI780" s="279"/>
      <c r="BJ780" s="279"/>
      <c r="BK780" s="279"/>
      <c r="BL780" s="279"/>
      <c r="BM780" s="279"/>
      <c r="BN780" s="279"/>
      <c r="BO780" s="279"/>
      <c r="BP780" s="279"/>
      <c r="BQ780" s="279"/>
      <c r="BR780" s="279"/>
      <c r="BS780" s="279"/>
      <c r="BT780" s="279"/>
      <c r="BU780" s="279"/>
      <c r="BV780" s="279"/>
      <c r="BW780" s="279"/>
      <c r="BX780" s="279"/>
      <c r="BY780" s="279"/>
      <c r="BZ780" s="279"/>
      <c r="CA780" s="279"/>
      <c r="CB780" s="279"/>
      <c r="CC780" s="279"/>
      <c r="CD780" s="279"/>
      <c r="CE780" s="279"/>
      <c r="CF780" s="279"/>
      <c r="CG780" s="279"/>
      <c r="CH780" s="279"/>
      <c r="CI780" s="279"/>
      <c r="CJ780" s="279"/>
      <c r="CK780" s="279"/>
      <c r="CL780" s="279"/>
      <c r="CM780" s="279"/>
      <c r="CN780" s="382"/>
    </row>
    <row r="781" ht="16.2" thickBot="true" x14ac:dyDescent="0.35">
      <c r="B781" s="361"/>
      <c r="C781" s="279"/>
      <c r="D781" s="280"/>
      <c r="E781" s="287"/>
      <c r="F781" s="287"/>
      <c r="G781" s="287"/>
      <c r="H781" s="280"/>
      <c r="I781" s="304"/>
      <c r="J781" s="279"/>
      <c r="K781" s="280"/>
      <c r="L781" s="362"/>
      <c r="M781" s="287"/>
      <c r="N781" s="296"/>
      <c r="O781" s="280"/>
      <c r="P781" s="280"/>
      <c r="Q781" s="279"/>
      <c r="R781" s="297"/>
      <c r="S781" s="298"/>
      <c r="T781" s="298"/>
      <c r="U781" s="299"/>
      <c r="V781" s="279"/>
      <c r="W781" s="279"/>
      <c r="X781" s="279"/>
      <c r="Y781" s="279"/>
      <c r="Z781" s="279"/>
      <c r="AA781" s="279"/>
      <c r="AB781" s="279"/>
      <c r="AC781" s="279"/>
      <c r="AD781" s="279"/>
      <c r="AE781" s="279"/>
      <c r="AF781" s="279"/>
      <c r="AG781" s="279"/>
      <c r="AH781" s="279"/>
      <c r="AI781" s="279"/>
      <c r="AJ781" s="279"/>
      <c r="AK781" s="279"/>
      <c r="AL781" s="279"/>
      <c r="AM781" s="279"/>
      <c r="AN781" s="279"/>
      <c r="AO781" s="279"/>
      <c r="AP781" s="279"/>
      <c r="AQ781" s="279"/>
      <c r="AR781" s="279"/>
      <c r="AS781" s="279"/>
      <c r="AT781" s="279"/>
      <c r="AU781" s="279"/>
      <c r="AV781" s="279"/>
      <c r="AW781" s="279"/>
      <c r="AX781" s="279"/>
      <c r="AY781" s="279"/>
      <c r="AZ781" s="279"/>
      <c r="BA781" s="279"/>
      <c r="BB781" s="279"/>
      <c r="BC781" s="279"/>
      <c r="BD781" s="279"/>
      <c r="BE781" s="279"/>
      <c r="BF781" s="279"/>
      <c r="BG781" s="279"/>
      <c r="BH781" s="279"/>
      <c r="BI781" s="279"/>
      <c r="BJ781" s="279"/>
      <c r="BK781" s="279"/>
      <c r="BL781" s="279"/>
      <c r="BM781" s="279"/>
      <c r="BN781" s="279"/>
      <c r="BO781" s="279"/>
      <c r="BP781" s="279"/>
      <c r="BQ781" s="279"/>
      <c r="BR781" s="279"/>
      <c r="BS781" s="279"/>
      <c r="BT781" s="279"/>
      <c r="BU781" s="279"/>
      <c r="BV781" s="279"/>
      <c r="BW781" s="279"/>
      <c r="BX781" s="279"/>
      <c r="BY781" s="279"/>
      <c r="BZ781" s="279"/>
      <c r="CA781" s="279"/>
      <c r="CB781" s="279"/>
      <c r="CC781" s="279"/>
      <c r="CD781" s="279"/>
      <c r="CE781" s="279"/>
      <c r="CF781" s="279"/>
      <c r="CG781" s="279"/>
      <c r="CH781" s="279"/>
      <c r="CI781" s="279"/>
      <c r="CJ781" s="279"/>
      <c r="CK781" s="279"/>
      <c r="CL781" s="279"/>
      <c r="CM781" s="279"/>
      <c r="CN781" s="382"/>
    </row>
    <row r="782" ht="27" customHeight="true" thickBot="true" x14ac:dyDescent="0.3">
      <c r="B782" s="361"/>
      <c r="C782" s="279"/>
      <c r="D782" s="280"/>
      <c r="E782" s="287"/>
      <c r="F782" s="287"/>
      <c r="G782" s="287"/>
      <c r="H782" s="1950" t="s">
        <v>398</v>
      </c>
      <c r="I782" s="1951"/>
      <c r="J782" s="1951"/>
      <c r="K782" s="1951"/>
      <c r="L782" s="1952"/>
      <c r="M782" s="287"/>
      <c r="N782" s="296"/>
      <c r="O782" s="280"/>
      <c r="P782" s="280"/>
      <c r="Q782" s="279"/>
      <c r="R782" s="307"/>
      <c r="S782" s="298"/>
      <c r="T782" s="298"/>
      <c r="U782" s="299"/>
      <c r="V782" s="279"/>
      <c r="W782" s="279"/>
      <c r="X782" s="279"/>
      <c r="Y782" s="279"/>
      <c r="Z782" s="279"/>
      <c r="AA782" s="279"/>
      <c r="AB782" s="279"/>
      <c r="AC782" s="279"/>
      <c r="AD782" s="279"/>
      <c r="AE782" s="279"/>
      <c r="AF782" s="279"/>
      <c r="AG782" s="279"/>
      <c r="AH782" s="279"/>
      <c r="AI782" s="279"/>
      <c r="AJ782" s="279"/>
      <c r="AK782" s="279"/>
      <c r="AL782" s="279"/>
      <c r="AM782" s="279"/>
      <c r="AN782" s="279"/>
      <c r="AO782" s="279"/>
      <c r="AP782" s="279"/>
      <c r="AQ782" s="279"/>
      <c r="AR782" s="279"/>
      <c r="AS782" s="279"/>
      <c r="AT782" s="279"/>
      <c r="AU782" s="279"/>
      <c r="AV782" s="279"/>
      <c r="AW782" s="279"/>
      <c r="AX782" s="279"/>
      <c r="AY782" s="279"/>
      <c r="AZ782" s="279"/>
      <c r="BA782" s="279"/>
      <c r="BB782" s="279"/>
      <c r="BC782" s="279"/>
      <c r="BD782" s="279"/>
      <c r="BE782" s="279"/>
      <c r="BF782" s="279"/>
      <c r="BG782" s="279"/>
      <c r="BH782" s="279"/>
      <c r="BI782" s="279"/>
      <c r="BJ782" s="279"/>
      <c r="BK782" s="279"/>
      <c r="BL782" s="279"/>
      <c r="BM782" s="279"/>
      <c r="BN782" s="279"/>
      <c r="BO782" s="279"/>
      <c r="BP782" s="279"/>
      <c r="BQ782" s="279"/>
      <c r="BR782" s="279"/>
      <c r="BS782" s="279"/>
      <c r="BT782" s="279"/>
      <c r="BU782" s="279"/>
      <c r="BV782" s="279"/>
      <c r="BW782" s="279"/>
      <c r="BX782" s="279"/>
      <c r="BY782" s="279"/>
      <c r="BZ782" s="279"/>
      <c r="CA782" s="279"/>
      <c r="CB782" s="279"/>
      <c r="CC782" s="279"/>
      <c r="CD782" s="279"/>
      <c r="CE782" s="279"/>
      <c r="CF782" s="279"/>
      <c r="CG782" s="279"/>
      <c r="CH782" s="279"/>
      <c r="CI782" s="279"/>
      <c r="CJ782" s="279"/>
      <c r="CK782" s="279"/>
      <c r="CL782" s="279"/>
      <c r="CM782" s="279"/>
      <c r="CN782" s="382"/>
    </row>
    <row r="783" ht="30.6" x14ac:dyDescent="0.3">
      <c r="B783" s="361"/>
      <c r="C783" s="279"/>
      <c r="D783" s="280"/>
      <c r="E783" s="287"/>
      <c r="F783" s="287"/>
      <c r="G783" s="287"/>
      <c r="H783" s="282" t="s">
        <v>1469</v>
      </c>
      <c r="I783" s="1186" t="s">
        <v>252</v>
      </c>
      <c r="J783" s="1186" t="s">
        <v>400</v>
      </c>
      <c r="K783" s="308" t="s">
        <v>399</v>
      </c>
      <c r="L783" s="1949" t="s">
        <v>254</v>
      </c>
      <c r="M783" s="1949"/>
      <c r="N783" s="288" t="s">
        <v>253</v>
      </c>
      <c r="O783" s="283" t="s">
        <v>401</v>
      </c>
      <c r="P783" s="1166" t="s">
        <v>2321</v>
      </c>
      <c r="Q783" s="295" t="s">
        <v>402</v>
      </c>
      <c r="R783" s="297"/>
      <c r="S783" s="298"/>
      <c r="T783" s="298"/>
      <c r="U783" s="299"/>
      <c r="V783" s="279"/>
      <c r="W783" s="279"/>
      <c r="X783" s="279"/>
      <c r="Y783" s="279"/>
      <c r="Z783" s="279"/>
      <c r="AA783" s="279"/>
      <c r="AB783" s="279"/>
      <c r="AC783" s="279"/>
      <c r="AD783" s="279"/>
      <c r="AE783" s="279"/>
      <c r="AF783" s="279"/>
      <c r="AG783" s="279"/>
      <c r="AH783" s="279"/>
      <c r="AI783" s="279"/>
      <c r="AJ783" s="279"/>
      <c r="AK783" s="279"/>
      <c r="AL783" s="279"/>
      <c r="AM783" s="279"/>
      <c r="AN783" s="279"/>
      <c r="AO783" s="279"/>
      <c r="AP783" s="279"/>
      <c r="AQ783" s="279"/>
      <c r="AR783" s="279"/>
      <c r="AS783" s="279"/>
      <c r="AT783" s="279"/>
      <c r="AU783" s="279"/>
      <c r="AV783" s="279"/>
      <c r="AW783" s="279"/>
      <c r="AX783" s="279"/>
      <c r="AY783" s="279"/>
      <c r="AZ783" s="279"/>
      <c r="BA783" s="279"/>
      <c r="BB783" s="279"/>
      <c r="BC783" s="279"/>
      <c r="BD783" s="279"/>
      <c r="BE783" s="279"/>
      <c r="BF783" s="279"/>
      <c r="BG783" s="279"/>
      <c r="BH783" s="279"/>
      <c r="BI783" s="279"/>
      <c r="BJ783" s="279"/>
      <c r="BK783" s="279"/>
      <c r="BL783" s="279"/>
      <c r="BM783" s="279"/>
      <c r="BN783" s="279"/>
      <c r="BO783" s="279"/>
      <c r="BP783" s="279"/>
      <c r="BQ783" s="279"/>
      <c r="BR783" s="279"/>
      <c r="BS783" s="279"/>
      <c r="BT783" s="279"/>
      <c r="BU783" s="279"/>
      <c r="BV783" s="279"/>
      <c r="BW783" s="279"/>
      <c r="BX783" s="279"/>
      <c r="BY783" s="279"/>
      <c r="BZ783" s="279"/>
      <c r="CA783" s="279"/>
      <c r="CB783" s="279"/>
      <c r="CC783" s="279"/>
      <c r="CD783" s="279"/>
      <c r="CE783" s="279"/>
      <c r="CF783" s="279"/>
      <c r="CG783" s="279"/>
      <c r="CH783" s="279"/>
      <c r="CI783" s="279"/>
      <c r="CJ783" s="279"/>
      <c r="CK783" s="279"/>
      <c r="CL783" s="279"/>
      <c r="CM783" s="279"/>
      <c r="CN783" s="382"/>
    </row>
    <row r="784" x14ac:dyDescent="0.3">
      <c r="B784" s="361"/>
      <c r="C784" s="279"/>
      <c r="D784" s="280"/>
      <c r="E784" s="287"/>
      <c r="F784" s="287"/>
      <c r="G784" s="287"/>
      <c r="H784" s="1292">
        <f t="shared" ref="H784:H833" si="33">H142</f>
        <v>1</v>
      </c>
      <c r="I784" s="1319" t="str">
        <f>'I. Stream &amp; Compound Data'!G262</f>
        <v>Carbon Dioxide</v>
      </c>
      <c r="J784" s="1295">
        <f>IF('I. Stream &amp; Compound Data'!W262&lt;&gt;"",'I. Stream &amp; Compound Data'!W262,"")</f>
        <v>0</v>
      </c>
      <c r="K784" s="1295">
        <f>IF('I. Stream &amp; Compound Data'!X262&lt;&gt;"",'I. Stream &amp; Compound Data'!X262,"")</f>
        <v>0</v>
      </c>
      <c r="L784" s="1306">
        <f>IF(H784&gt;'I. Stream &amp; Compound Data'!$F$18,"",IF(J784="","N/A",IF(J784=0,0,1)))</f>
        <v>0</v>
      </c>
      <c r="M784" s="1168" t="str">
        <f>IF(H784&gt;'I. Stream &amp; Compound Data'!$F$18,"",IF(L784="N/A",IF(K784="","N/A",IF(K784=0,1,0)),"N/A"))</f>
        <v>N/A</v>
      </c>
      <c r="N784" s="1242">
        <f>IF(H784&gt;'I. Stream &amp; Compound Data'!$F$18,"",IF(I142="","N/A",IF(L784&lt;&gt;"N/A",L784,IF(M784&lt;&gt;"N/A",M784,"NO DATA AVAILABLE"))))</f>
        <v>0</v>
      </c>
      <c r="O784" s="1242">
        <f>IF(H784&gt;'I. Stream &amp; Compound Data'!$F$18,"",N784)</f>
        <v>0</v>
      </c>
      <c r="P784" s="1190">
        <f>'I. Stream &amp; Compound Data'!P262</f>
        <v>2980.7504537999998</v>
      </c>
      <c r="Q784" s="1268">
        <f t="shared" ref="Q784:Q815" si="34">IF(P784="","",O784*P784)</f>
        <v>0</v>
      </c>
      <c r="R784" s="297"/>
      <c r="S784" s="298"/>
      <c r="T784" s="298"/>
      <c r="U784" s="299"/>
      <c r="V784" s="279"/>
      <c r="W784" s="279"/>
      <c r="X784" s="279"/>
      <c r="Y784" s="279"/>
      <c r="Z784" s="279"/>
      <c r="AA784" s="279"/>
      <c r="AB784" s="279"/>
      <c r="AC784" s="279"/>
      <c r="AD784" s="279"/>
      <c r="AE784" s="279"/>
      <c r="AF784" s="279"/>
      <c r="AG784" s="279"/>
      <c r="AH784" s="279"/>
      <c r="AI784" s="279"/>
      <c r="AJ784" s="279"/>
      <c r="AK784" s="279"/>
      <c r="AL784" s="279"/>
      <c r="AM784" s="279"/>
      <c r="AN784" s="279"/>
      <c r="AO784" s="279"/>
      <c r="AP784" s="279"/>
      <c r="AQ784" s="279"/>
      <c r="AR784" s="279"/>
      <c r="AS784" s="279"/>
      <c r="AT784" s="279"/>
      <c r="AU784" s="279"/>
      <c r="AV784" s="279"/>
      <c r="AW784" s="279"/>
      <c r="AX784" s="279"/>
      <c r="AY784" s="279"/>
      <c r="AZ784" s="279"/>
      <c r="BA784" s="279"/>
      <c r="BB784" s="279"/>
      <c r="BC784" s="279"/>
      <c r="BD784" s="279"/>
      <c r="BE784" s="279"/>
      <c r="BF784" s="279"/>
      <c r="BG784" s="279"/>
      <c r="BH784" s="279"/>
      <c r="BI784" s="279"/>
      <c r="BJ784" s="279"/>
      <c r="BK784" s="279"/>
      <c r="BL784" s="279"/>
      <c r="BM784" s="279"/>
      <c r="BN784" s="279"/>
      <c r="BO784" s="279"/>
      <c r="BP784" s="279"/>
      <c r="BQ784" s="279"/>
      <c r="BR784" s="279"/>
      <c r="BS784" s="279"/>
      <c r="BT784" s="279"/>
      <c r="BU784" s="279"/>
      <c r="BV784" s="279"/>
      <c r="BW784" s="279"/>
      <c r="BX784" s="279"/>
      <c r="BY784" s="279"/>
      <c r="BZ784" s="279"/>
      <c r="CA784" s="279"/>
      <c r="CB784" s="279"/>
      <c r="CC784" s="279"/>
      <c r="CD784" s="279"/>
      <c r="CE784" s="279"/>
      <c r="CF784" s="279"/>
      <c r="CG784" s="279"/>
      <c r="CH784" s="279"/>
      <c r="CI784" s="279"/>
      <c r="CJ784" s="279"/>
      <c r="CK784" s="279"/>
      <c r="CL784" s="279"/>
      <c r="CM784" s="279"/>
      <c r="CN784" s="382"/>
    </row>
    <row r="785" x14ac:dyDescent="0.3">
      <c r="B785" s="361"/>
      <c r="C785" s="279"/>
      <c r="D785" s="280"/>
      <c r="E785" s="287"/>
      <c r="F785" s="287"/>
      <c r="G785" s="287"/>
      <c r="H785" s="1292">
        <f t="shared" si="33"/>
        <v>2</v>
      </c>
      <c r="I785" s="1320" t="str">
        <f>IF('I. Stream &amp; Compound Data'!G263&lt;&gt;"",'I. Stream &amp; Compound Data'!G263,"")</f>
        <v>Water</v>
      </c>
      <c r="J785" s="1295">
        <f>IF('I. Stream &amp; Compound Data'!W263&lt;&gt;"",'I. Stream &amp; Compound Data'!W263,"")</f>
        <v>0</v>
      </c>
      <c r="K785" s="1295">
        <f>IF('I. Stream &amp; Compound Data'!X263&lt;&gt;"",'I. Stream &amp; Compound Data'!X263,"")</f>
        <v>1</v>
      </c>
      <c r="L785" s="1306">
        <f>IF(H785&gt;'I. Stream &amp; Compound Data'!$F$18,"",IF(J785="","N/A",IF(J785=0,0,1)))</f>
        <v>0</v>
      </c>
      <c r="M785" s="1168" t="str">
        <f>IF(H785&gt;'I. Stream &amp; Compound Data'!$F$18,"",IF(L785="N/A",IF(K785="","N/A",IF(K785=0,1,0)),"N/A"))</f>
        <v>N/A</v>
      </c>
      <c r="N785" s="1242">
        <f>IF(H785&gt;'I. Stream &amp; Compound Data'!$F$18,"",IF(I143="","N/A",IF(L785&lt;&gt;"N/A",L785,IF(M785&lt;&gt;"N/A",M785,"NO DATA AVAILABLE"))))</f>
        <v>0</v>
      </c>
      <c r="O785" s="1242">
        <f>IF(H785&gt;'I. Stream &amp; Compound Data'!$F$18,"",N785)</f>
        <v>0</v>
      </c>
      <c r="P785" s="1190">
        <f>'I. Stream &amp; Compound Data'!P263</f>
        <v>0</v>
      </c>
      <c r="Q785" s="1268">
        <f t="shared" si="34"/>
        <v>0</v>
      </c>
      <c r="R785" s="297"/>
      <c r="S785" s="298"/>
      <c r="T785" s="298"/>
      <c r="U785" s="299"/>
      <c r="V785" s="279"/>
      <c r="W785" s="279"/>
      <c r="X785" s="279"/>
      <c r="Y785" s="279"/>
      <c r="Z785" s="279"/>
      <c r="AA785" s="279"/>
      <c r="AB785" s="279"/>
      <c r="AC785" s="279"/>
      <c r="AD785" s="279"/>
      <c r="AE785" s="279"/>
      <c r="AF785" s="279"/>
      <c r="AG785" s="279"/>
      <c r="AH785" s="279"/>
      <c r="AI785" s="279"/>
      <c r="AJ785" s="279"/>
      <c r="AK785" s="279"/>
      <c r="AL785" s="279"/>
      <c r="AM785" s="279"/>
      <c r="AN785" s="279"/>
      <c r="AO785" s="279"/>
      <c r="AP785" s="279"/>
      <c r="AQ785" s="279"/>
      <c r="AR785" s="279"/>
      <c r="AS785" s="279"/>
      <c r="AT785" s="279"/>
      <c r="AU785" s="279"/>
      <c r="AV785" s="279"/>
      <c r="AW785" s="279"/>
      <c r="AX785" s="279"/>
      <c r="AY785" s="279"/>
      <c r="AZ785" s="279"/>
      <c r="BA785" s="279"/>
      <c r="BB785" s="279"/>
      <c r="BC785" s="279"/>
      <c r="BD785" s="279"/>
      <c r="BE785" s="279"/>
      <c r="BF785" s="279"/>
      <c r="BG785" s="279"/>
      <c r="BH785" s="279"/>
      <c r="BI785" s="279"/>
      <c r="BJ785" s="279"/>
      <c r="BK785" s="279"/>
      <c r="BL785" s="279"/>
      <c r="BM785" s="279"/>
      <c r="BN785" s="279"/>
      <c r="BO785" s="279"/>
      <c r="BP785" s="279"/>
      <c r="BQ785" s="279"/>
      <c r="BR785" s="279"/>
      <c r="BS785" s="279"/>
      <c r="BT785" s="279"/>
      <c r="BU785" s="279"/>
      <c r="BV785" s="279"/>
      <c r="BW785" s="279"/>
      <c r="BX785" s="279"/>
      <c r="BY785" s="279"/>
      <c r="BZ785" s="279"/>
      <c r="CA785" s="279"/>
      <c r="CB785" s="279"/>
      <c r="CC785" s="279"/>
      <c r="CD785" s="279"/>
      <c r="CE785" s="279"/>
      <c r="CF785" s="279"/>
      <c r="CG785" s="279"/>
      <c r="CH785" s="279"/>
      <c r="CI785" s="279"/>
      <c r="CJ785" s="279"/>
      <c r="CK785" s="279"/>
      <c r="CL785" s="279"/>
      <c r="CM785" s="279"/>
      <c r="CN785" s="382"/>
    </row>
    <row r="786" x14ac:dyDescent="0.3">
      <c r="B786" s="361"/>
      <c r="C786" s="279"/>
      <c r="D786" s="280"/>
      <c r="E786" s="287"/>
      <c r="F786" s="287"/>
      <c r="G786" s="287"/>
      <c r="H786" s="1292">
        <f t="shared" si="33"/>
        <v>3</v>
      </c>
      <c r="I786" s="1320" t="str">
        <f>IF('I. Stream &amp; Compound Data'!G264&lt;&gt;"",'I. Stream &amp; Compound Data'!G264,"")</f>
        <v>Calcium Oxide</v>
      </c>
      <c r="J786" s="1295">
        <f>IF('I. Stream &amp; Compound Data'!W264&lt;&gt;"",'I. Stream &amp; Compound Data'!W264,"")</f>
        <v>1</v>
      </c>
      <c r="K786" s="1295">
        <f>IF('I. Stream &amp; Compound Data'!X264&lt;&gt;"",'I. Stream &amp; Compound Data'!X264,"")</f>
        <v>0</v>
      </c>
      <c r="L786" s="1306">
        <f>IF(H786&gt;'I. Stream &amp; Compound Data'!$F$18,"",IF(J786="","N/A",IF(J786=0,0,1)))</f>
        <v>1</v>
      </c>
      <c r="M786" s="1168" t="str">
        <f>IF(H786&gt;'I. Stream &amp; Compound Data'!$F$18,"",IF(L786="N/A",IF(K786="","N/A",IF(K786=0,1,0)),"N/A"))</f>
        <v>N/A</v>
      </c>
      <c r="N786" s="1242">
        <f>IF(H786&gt;'I. Stream &amp; Compound Data'!$F$18,"",IF(I144="","N/A",IF(L786&lt;&gt;"N/A",L786,IF(M786&lt;&gt;"N/A",M786,"NO DATA AVAILABLE"))))</f>
        <v>1</v>
      </c>
      <c r="O786" s="1242">
        <f>IF(H786&gt;'I. Stream &amp; Compound Data'!$F$18,"",N786)</f>
        <v>1</v>
      </c>
      <c r="P786" s="1190">
        <f>'I. Stream &amp; Compound Data'!P264</f>
        <v>0</v>
      </c>
      <c r="Q786" s="1268">
        <f t="shared" si="34"/>
        <v>0</v>
      </c>
      <c r="R786" s="297"/>
      <c r="S786" s="298"/>
      <c r="T786" s="298"/>
      <c r="U786" s="299"/>
      <c r="V786" s="279"/>
      <c r="W786" s="279"/>
      <c r="X786" s="279"/>
      <c r="Y786" s="279"/>
      <c r="Z786" s="279"/>
      <c r="AA786" s="279"/>
      <c r="AB786" s="279"/>
      <c r="AC786" s="279"/>
      <c r="AD786" s="279"/>
      <c r="AE786" s="279"/>
      <c r="AF786" s="279"/>
      <c r="AG786" s="279"/>
      <c r="AH786" s="279"/>
      <c r="AI786" s="279"/>
      <c r="AJ786" s="279"/>
      <c r="AK786" s="279"/>
      <c r="AL786" s="279"/>
      <c r="AM786" s="279"/>
      <c r="AN786" s="279"/>
      <c r="AO786" s="279"/>
      <c r="AP786" s="279"/>
      <c r="AQ786" s="279"/>
      <c r="AR786" s="279"/>
      <c r="AS786" s="279"/>
      <c r="AT786" s="279"/>
      <c r="AU786" s="279"/>
      <c r="AV786" s="279"/>
      <c r="AW786" s="279"/>
      <c r="AX786" s="279"/>
      <c r="AY786" s="279"/>
      <c r="AZ786" s="279"/>
      <c r="BA786" s="279"/>
      <c r="BB786" s="279"/>
      <c r="BC786" s="279"/>
      <c r="BD786" s="279"/>
      <c r="BE786" s="279"/>
      <c r="BF786" s="279"/>
      <c r="BG786" s="279"/>
      <c r="BH786" s="279"/>
      <c r="BI786" s="279"/>
      <c r="BJ786" s="279"/>
      <c r="BK786" s="279"/>
      <c r="BL786" s="279"/>
      <c r="BM786" s="279"/>
      <c r="BN786" s="279"/>
      <c r="BO786" s="279"/>
      <c r="BP786" s="279"/>
      <c r="BQ786" s="279"/>
      <c r="BR786" s="279"/>
      <c r="BS786" s="279"/>
      <c r="BT786" s="279"/>
      <c r="BU786" s="279"/>
      <c r="BV786" s="279"/>
      <c r="BW786" s="279"/>
      <c r="BX786" s="279"/>
      <c r="BY786" s="279"/>
      <c r="BZ786" s="279"/>
      <c r="CA786" s="279"/>
      <c r="CB786" s="279"/>
      <c r="CC786" s="279"/>
      <c r="CD786" s="279"/>
      <c r="CE786" s="279"/>
      <c r="CF786" s="279"/>
      <c r="CG786" s="279"/>
      <c r="CH786" s="279"/>
      <c r="CI786" s="279"/>
      <c r="CJ786" s="279"/>
      <c r="CK786" s="279"/>
      <c r="CL786" s="279"/>
      <c r="CM786" s="279"/>
      <c r="CN786" s="382"/>
    </row>
    <row r="787" x14ac:dyDescent="0.3">
      <c r="B787" s="361"/>
      <c r="C787" s="279"/>
      <c r="D787" s="280"/>
      <c r="E787" s="287"/>
      <c r="F787" s="287"/>
      <c r="G787" s="287"/>
      <c r="H787" s="1292">
        <f t="shared" si="33"/>
        <v>4</v>
      </c>
      <c r="I787" s="1320" t="str">
        <f>IF('I. Stream &amp; Compound Data'!G265&lt;&gt;"",'I. Stream &amp; Compound Data'!G265,"")</f>
        <v>Calcium Carbonate</v>
      </c>
      <c r="J787" s="1295">
        <f>IF('I. Stream &amp; Compound Data'!W265&lt;&gt;"",'I. Stream &amp; Compound Data'!W265,"")</f>
        <v>0</v>
      </c>
      <c r="K787" s="1295">
        <f>IF('I. Stream &amp; Compound Data'!X265&lt;&gt;"",'I. Stream &amp; Compound Data'!X265,"")</f>
        <v>0</v>
      </c>
      <c r="L787" s="1306">
        <f>IF(H787&gt;'I. Stream &amp; Compound Data'!$F$18,"",IF(J787="","N/A",IF(J787=0,0,1)))</f>
        <v>0</v>
      </c>
      <c r="M787" s="1168" t="str">
        <f>IF(H787&gt;'I. Stream &amp; Compound Data'!$F$18,"",IF(L787="N/A",IF(K787="","N/A",IF(K787=0,1,0)),"N/A"))</f>
        <v>N/A</v>
      </c>
      <c r="N787" s="1242">
        <f>IF(H787&gt;'I. Stream &amp; Compound Data'!$F$18,"",IF(I145="","N/A",IF(L787&lt;&gt;"N/A",L787,IF(M787&lt;&gt;"N/A",M787,"NO DATA AVAILABLE"))))</f>
        <v>0</v>
      </c>
      <c r="O787" s="1242">
        <f>IF(H787&gt;'I. Stream &amp; Compound Data'!$F$18,"",N787)</f>
        <v>0</v>
      </c>
      <c r="P787" s="1190">
        <f>'I. Stream &amp; Compound Data'!P265</f>
        <v>0</v>
      </c>
      <c r="Q787" s="1268">
        <f t="shared" si="34"/>
        <v>0</v>
      </c>
      <c r="R787" s="297"/>
      <c r="S787" s="298"/>
      <c r="T787" s="298"/>
      <c r="U787" s="299"/>
      <c r="V787" s="279"/>
      <c r="W787" s="279"/>
      <c r="X787" s="279"/>
      <c r="Y787" s="279"/>
      <c r="Z787" s="279"/>
      <c r="AA787" s="279"/>
      <c r="AB787" s="279"/>
      <c r="AC787" s="279"/>
      <c r="AD787" s="279"/>
      <c r="AE787" s="279"/>
      <c r="AF787" s="279"/>
      <c r="AG787" s="279"/>
      <c r="AH787" s="279"/>
      <c r="AI787" s="279"/>
      <c r="AJ787" s="279"/>
      <c r="AK787" s="279"/>
      <c r="AL787" s="279"/>
      <c r="AM787" s="279"/>
      <c r="AN787" s="279"/>
      <c r="AO787" s="279"/>
      <c r="AP787" s="279"/>
      <c r="AQ787" s="279"/>
      <c r="AR787" s="279"/>
      <c r="AS787" s="279"/>
      <c r="AT787" s="279"/>
      <c r="AU787" s="279"/>
      <c r="AV787" s="279"/>
      <c r="AW787" s="279"/>
      <c r="AX787" s="279"/>
      <c r="AY787" s="279"/>
      <c r="AZ787" s="279"/>
      <c r="BA787" s="279"/>
      <c r="BB787" s="279"/>
      <c r="BC787" s="279"/>
      <c r="BD787" s="279"/>
      <c r="BE787" s="279"/>
      <c r="BF787" s="279"/>
      <c r="BG787" s="279"/>
      <c r="BH787" s="279"/>
      <c r="BI787" s="279"/>
      <c r="BJ787" s="279"/>
      <c r="BK787" s="279"/>
      <c r="BL787" s="279"/>
      <c r="BM787" s="279"/>
      <c r="BN787" s="279"/>
      <c r="BO787" s="279"/>
      <c r="BP787" s="279"/>
      <c r="BQ787" s="279"/>
      <c r="BR787" s="279"/>
      <c r="BS787" s="279"/>
      <c r="BT787" s="279"/>
      <c r="BU787" s="279"/>
      <c r="BV787" s="279"/>
      <c r="BW787" s="279"/>
      <c r="BX787" s="279"/>
      <c r="BY787" s="279"/>
      <c r="BZ787" s="279"/>
      <c r="CA787" s="279"/>
      <c r="CB787" s="279"/>
      <c r="CC787" s="279"/>
      <c r="CD787" s="279"/>
      <c r="CE787" s="279"/>
      <c r="CF787" s="279"/>
      <c r="CG787" s="279"/>
      <c r="CH787" s="279"/>
      <c r="CI787" s="279"/>
      <c r="CJ787" s="279"/>
      <c r="CK787" s="279"/>
      <c r="CL787" s="279"/>
      <c r="CM787" s="279"/>
      <c r="CN787" s="382"/>
    </row>
    <row r="788" x14ac:dyDescent="0.3">
      <c r="B788" s="361"/>
      <c r="C788" s="279"/>
      <c r="D788" s="280"/>
      <c r="E788" s="287"/>
      <c r="F788" s="287"/>
      <c r="G788" s="287"/>
      <c r="H788" s="1292">
        <f t="shared" si="33"/>
        <v>5</v>
      </c>
      <c r="I788" s="1320" t="str">
        <f>IF('I. Stream &amp; Compound Data'!G266&lt;&gt;"",'I. Stream &amp; Compound Data'!G266,"")</f>
        <v/>
      </c>
      <c r="J788" s="1295" t="str">
        <f>IF('I. Stream &amp; Compound Data'!W266&lt;&gt;"",'I. Stream &amp; Compound Data'!W266,"")</f>
        <v/>
      </c>
      <c r="K788" s="1295" t="str">
        <f>IF('I. Stream &amp; Compound Data'!X266&lt;&gt;"",'I. Stream &amp; Compound Data'!X266,"")</f>
        <v/>
      </c>
      <c r="L788" s="1306" t="str">
        <f>IF(H788&gt;'I. Stream &amp; Compound Data'!$F$18,"",IF(J788="","N/A",IF(J788=0,0,1)))</f>
        <v/>
      </c>
      <c r="M788" s="1168" t="str">
        <f>IF(H788&gt;'I. Stream &amp; Compound Data'!$F$18,"",IF(L788="N/A",IF(K788="","N/A",IF(K788=0,1,0)),"N/A"))</f>
        <v/>
      </c>
      <c r="N788" s="1242" t="str">
        <f>IF(H788&gt;'I. Stream &amp; Compound Data'!$F$18,"",IF(I146="","N/A",IF(L788&lt;&gt;"N/A",L788,IF(M788&lt;&gt;"N/A",M788,"NO DATA AVAILABLE"))))</f>
        <v/>
      </c>
      <c r="O788" s="1242" t="str">
        <f>IF(H788&gt;'I. Stream &amp; Compound Data'!$F$18,"",N788)</f>
        <v/>
      </c>
      <c r="P788" s="1190" t="str">
        <f>'I. Stream &amp; Compound Data'!P266</f>
        <v/>
      </c>
      <c r="Q788" s="1268" t="str">
        <f t="shared" si="34"/>
        <v/>
      </c>
      <c r="R788" s="297"/>
      <c r="S788" s="298"/>
      <c r="T788" s="298"/>
      <c r="U788" s="299"/>
      <c r="V788" s="279"/>
      <c r="W788" s="279"/>
      <c r="X788" s="279"/>
      <c r="Y788" s="279"/>
      <c r="Z788" s="279"/>
      <c r="AA788" s="279"/>
      <c r="AB788" s="279"/>
      <c r="AC788" s="279"/>
      <c r="AD788" s="279"/>
      <c r="AE788" s="279"/>
      <c r="AF788" s="279"/>
      <c r="AG788" s="279"/>
      <c r="AH788" s="279"/>
      <c r="AI788" s="279"/>
      <c r="AJ788" s="279"/>
      <c r="AK788" s="279"/>
      <c r="AL788" s="279"/>
      <c r="AM788" s="279"/>
      <c r="AN788" s="279"/>
      <c r="AO788" s="279"/>
      <c r="AP788" s="279"/>
      <c r="AQ788" s="279"/>
      <c r="AR788" s="279"/>
      <c r="AS788" s="279"/>
      <c r="AT788" s="279"/>
      <c r="AU788" s="279"/>
      <c r="AV788" s="279"/>
      <c r="AW788" s="279"/>
      <c r="AX788" s="279"/>
      <c r="AY788" s="279"/>
      <c r="AZ788" s="279"/>
      <c r="BA788" s="279"/>
      <c r="BB788" s="279"/>
      <c r="BC788" s="279"/>
      <c r="BD788" s="279"/>
      <c r="BE788" s="279"/>
      <c r="BF788" s="279"/>
      <c r="BG788" s="279"/>
      <c r="BH788" s="279"/>
      <c r="BI788" s="279"/>
      <c r="BJ788" s="279"/>
      <c r="BK788" s="279"/>
      <c r="BL788" s="279"/>
      <c r="BM788" s="279"/>
      <c r="BN788" s="279"/>
      <c r="BO788" s="279"/>
      <c r="BP788" s="279"/>
      <c r="BQ788" s="279"/>
      <c r="BR788" s="279"/>
      <c r="BS788" s="279"/>
      <c r="BT788" s="279"/>
      <c r="BU788" s="279"/>
      <c r="BV788" s="279"/>
      <c r="BW788" s="279"/>
      <c r="BX788" s="279"/>
      <c r="BY788" s="279"/>
      <c r="BZ788" s="279"/>
      <c r="CA788" s="279"/>
      <c r="CB788" s="279"/>
      <c r="CC788" s="279"/>
      <c r="CD788" s="279"/>
      <c r="CE788" s="279"/>
      <c r="CF788" s="279"/>
      <c r="CG788" s="279"/>
      <c r="CH788" s="279"/>
      <c r="CI788" s="279"/>
      <c r="CJ788" s="279"/>
      <c r="CK788" s="279"/>
      <c r="CL788" s="279"/>
      <c r="CM788" s="279"/>
      <c r="CN788" s="382"/>
    </row>
    <row r="789" x14ac:dyDescent="0.3">
      <c r="B789" s="361"/>
      <c r="C789" s="279"/>
      <c r="D789" s="280"/>
      <c r="E789" s="287"/>
      <c r="F789" s="287"/>
      <c r="G789" s="287"/>
      <c r="H789" s="1292">
        <f t="shared" si="33"/>
        <v>6</v>
      </c>
      <c r="I789" s="1320" t="str">
        <f>IF('I. Stream &amp; Compound Data'!G267&lt;&gt;"",'I. Stream &amp; Compound Data'!G267,"")</f>
        <v/>
      </c>
      <c r="J789" s="1295" t="str">
        <f>IF('I. Stream &amp; Compound Data'!W267&lt;&gt;"",'I. Stream &amp; Compound Data'!W267,"")</f>
        <v/>
      </c>
      <c r="K789" s="1295" t="str">
        <f>IF('I. Stream &amp; Compound Data'!X267&lt;&gt;"",'I. Stream &amp; Compound Data'!X267,"")</f>
        <v/>
      </c>
      <c r="L789" s="1306" t="str">
        <f>IF(H789&gt;'I. Stream &amp; Compound Data'!$F$18,"",IF(J789="","N/A",IF(J789=0,0,1)))</f>
        <v/>
      </c>
      <c r="M789" s="1168" t="str">
        <f>IF(H789&gt;'I. Stream &amp; Compound Data'!$F$18,"",IF(L789="N/A",IF(K789="","N/A",IF(K789=0,1,0)),"N/A"))</f>
        <v/>
      </c>
      <c r="N789" s="1242" t="str">
        <f>IF(H789&gt;'I. Stream &amp; Compound Data'!$F$18,"",IF(I147="","N/A",IF(L789&lt;&gt;"N/A",L789,IF(M789&lt;&gt;"N/A",M789,"NO DATA AVAILABLE"))))</f>
        <v/>
      </c>
      <c r="O789" s="1242" t="str">
        <f>IF(H789&gt;'I. Stream &amp; Compound Data'!$F$18,"",N789)</f>
        <v/>
      </c>
      <c r="P789" s="1190" t="str">
        <f>'I. Stream &amp; Compound Data'!P267</f>
        <v/>
      </c>
      <c r="Q789" s="1268" t="str">
        <f t="shared" si="34"/>
        <v/>
      </c>
      <c r="R789" s="297"/>
      <c r="S789" s="298"/>
      <c r="T789" s="298"/>
      <c r="U789" s="299"/>
      <c r="V789" s="279"/>
      <c r="W789" s="279"/>
      <c r="X789" s="279"/>
      <c r="Y789" s="279"/>
      <c r="Z789" s="279"/>
      <c r="AA789" s="279"/>
      <c r="AB789" s="279"/>
      <c r="AC789" s="279"/>
      <c r="AD789" s="279"/>
      <c r="AE789" s="279"/>
      <c r="AF789" s="279"/>
      <c r="AG789" s="279"/>
      <c r="AH789" s="279"/>
      <c r="AI789" s="279"/>
      <c r="AJ789" s="279"/>
      <c r="AK789" s="279"/>
      <c r="AL789" s="279"/>
      <c r="AM789" s="279"/>
      <c r="AN789" s="279"/>
      <c r="AO789" s="279"/>
      <c r="AP789" s="279"/>
      <c r="AQ789" s="279"/>
      <c r="AR789" s="279"/>
      <c r="AS789" s="279"/>
      <c r="AT789" s="279"/>
      <c r="AU789" s="279"/>
      <c r="AV789" s="279"/>
      <c r="AW789" s="279"/>
      <c r="AX789" s="279"/>
      <c r="AY789" s="279"/>
      <c r="AZ789" s="279"/>
      <c r="BA789" s="279"/>
      <c r="BB789" s="279"/>
      <c r="BC789" s="279"/>
      <c r="BD789" s="279"/>
      <c r="BE789" s="279"/>
      <c r="BF789" s="279"/>
      <c r="BG789" s="279"/>
      <c r="BH789" s="279"/>
      <c r="BI789" s="279"/>
      <c r="BJ789" s="279"/>
      <c r="BK789" s="279"/>
      <c r="BL789" s="279"/>
      <c r="BM789" s="279"/>
      <c r="BN789" s="279"/>
      <c r="BO789" s="279"/>
      <c r="BP789" s="279"/>
      <c r="BQ789" s="279"/>
      <c r="BR789" s="279"/>
      <c r="BS789" s="279"/>
      <c r="BT789" s="279"/>
      <c r="BU789" s="279"/>
      <c r="BV789" s="279"/>
      <c r="BW789" s="279"/>
      <c r="BX789" s="279"/>
      <c r="BY789" s="279"/>
      <c r="BZ789" s="279"/>
      <c r="CA789" s="279"/>
      <c r="CB789" s="279"/>
      <c r="CC789" s="279"/>
      <c r="CD789" s="279"/>
      <c r="CE789" s="279"/>
      <c r="CF789" s="279"/>
      <c r="CG789" s="279"/>
      <c r="CH789" s="279"/>
      <c r="CI789" s="279"/>
      <c r="CJ789" s="279"/>
      <c r="CK789" s="279"/>
      <c r="CL789" s="279"/>
      <c r="CM789" s="279"/>
      <c r="CN789" s="382"/>
    </row>
    <row r="790" x14ac:dyDescent="0.3">
      <c r="B790" s="361"/>
      <c r="C790" s="279"/>
      <c r="D790" s="280"/>
      <c r="E790" s="287"/>
      <c r="F790" s="287"/>
      <c r="G790" s="287"/>
      <c r="H790" s="1292">
        <f t="shared" si="33"/>
        <v>7</v>
      </c>
      <c r="I790" s="1320" t="str">
        <f>IF('I. Stream &amp; Compound Data'!G268&lt;&gt;"",'I. Stream &amp; Compound Data'!G268,"")</f>
        <v/>
      </c>
      <c r="J790" s="1295" t="str">
        <f>IF('I. Stream &amp; Compound Data'!W268&lt;&gt;"",'I. Stream &amp; Compound Data'!W268,"")</f>
        <v/>
      </c>
      <c r="K790" s="1295" t="str">
        <f>IF('I. Stream &amp; Compound Data'!X268&lt;&gt;"",'I. Stream &amp; Compound Data'!X268,"")</f>
        <v/>
      </c>
      <c r="L790" s="1306" t="str">
        <f>IF(H790&gt;'I. Stream &amp; Compound Data'!$F$18,"",IF(J790="","N/A",IF(J790=0,0,1)))</f>
        <v/>
      </c>
      <c r="M790" s="1168" t="str">
        <f>IF(H790&gt;'I. Stream &amp; Compound Data'!$F$18,"",IF(L790="N/A",IF(K790="","N/A",IF(K790=0,1,0)),"N/A"))</f>
        <v/>
      </c>
      <c r="N790" s="1242" t="str">
        <f>IF(H790&gt;'I. Stream &amp; Compound Data'!$F$18,"",IF(I148="","N/A",IF(L790&lt;&gt;"N/A",L790,IF(M790&lt;&gt;"N/A",M790,"NO DATA AVAILABLE"))))</f>
        <v/>
      </c>
      <c r="O790" s="1242" t="str">
        <f>IF(H790&gt;'I. Stream &amp; Compound Data'!$F$18,"",N790)</f>
        <v/>
      </c>
      <c r="P790" s="1190" t="str">
        <f>'I. Stream &amp; Compound Data'!P268</f>
        <v/>
      </c>
      <c r="Q790" s="1268" t="str">
        <f t="shared" si="34"/>
        <v/>
      </c>
      <c r="R790" s="297"/>
      <c r="S790" s="298"/>
      <c r="T790" s="298"/>
      <c r="U790" s="299"/>
      <c r="V790" s="279"/>
      <c r="W790" s="279"/>
      <c r="X790" s="279"/>
      <c r="Y790" s="279"/>
      <c r="Z790" s="279"/>
      <c r="AA790" s="279"/>
      <c r="AB790" s="279"/>
      <c r="AC790" s="279"/>
      <c r="AD790" s="279"/>
      <c r="AE790" s="279"/>
      <c r="AF790" s="279"/>
      <c r="AG790" s="279"/>
      <c r="AH790" s="279"/>
      <c r="AI790" s="279"/>
      <c r="AJ790" s="279"/>
      <c r="AK790" s="279"/>
      <c r="AL790" s="279"/>
      <c r="AM790" s="279"/>
      <c r="AN790" s="279"/>
      <c r="AO790" s="279"/>
      <c r="AP790" s="279"/>
      <c r="AQ790" s="279"/>
      <c r="AR790" s="279"/>
      <c r="AS790" s="279"/>
      <c r="AT790" s="279"/>
      <c r="AU790" s="279"/>
      <c r="AV790" s="279"/>
      <c r="AW790" s="279"/>
      <c r="AX790" s="279"/>
      <c r="AY790" s="279"/>
      <c r="AZ790" s="279"/>
      <c r="BA790" s="279"/>
      <c r="BB790" s="279"/>
      <c r="BC790" s="279"/>
      <c r="BD790" s="279"/>
      <c r="BE790" s="279"/>
      <c r="BF790" s="279"/>
      <c r="BG790" s="279"/>
      <c r="BH790" s="279"/>
      <c r="BI790" s="279"/>
      <c r="BJ790" s="279"/>
      <c r="BK790" s="279"/>
      <c r="BL790" s="279"/>
      <c r="BM790" s="279"/>
      <c r="BN790" s="279"/>
      <c r="BO790" s="279"/>
      <c r="BP790" s="279"/>
      <c r="BQ790" s="279"/>
      <c r="BR790" s="279"/>
      <c r="BS790" s="279"/>
      <c r="BT790" s="279"/>
      <c r="BU790" s="279"/>
      <c r="BV790" s="279"/>
      <c r="BW790" s="279"/>
      <c r="BX790" s="279"/>
      <c r="BY790" s="279"/>
      <c r="BZ790" s="279"/>
      <c r="CA790" s="279"/>
      <c r="CB790" s="279"/>
      <c r="CC790" s="279"/>
      <c r="CD790" s="279"/>
      <c r="CE790" s="279"/>
      <c r="CF790" s="279"/>
      <c r="CG790" s="279"/>
      <c r="CH790" s="279"/>
      <c r="CI790" s="279"/>
      <c r="CJ790" s="279"/>
      <c r="CK790" s="279"/>
      <c r="CL790" s="279"/>
      <c r="CM790" s="279"/>
      <c r="CN790" s="382"/>
    </row>
    <row r="791" x14ac:dyDescent="0.3">
      <c r="B791" s="361"/>
      <c r="C791" s="279"/>
      <c r="D791" s="280"/>
      <c r="E791" s="287"/>
      <c r="F791" s="287"/>
      <c r="G791" s="287"/>
      <c r="H791" s="1292">
        <f t="shared" si="33"/>
        <v>8</v>
      </c>
      <c r="I791" s="1320" t="str">
        <f>IF('I. Stream &amp; Compound Data'!G269&lt;&gt;"",'I. Stream &amp; Compound Data'!G269,"")</f>
        <v/>
      </c>
      <c r="J791" s="1295" t="str">
        <f>IF('I. Stream &amp; Compound Data'!W269&lt;&gt;"",'I. Stream &amp; Compound Data'!W269,"")</f>
        <v/>
      </c>
      <c r="K791" s="1295" t="str">
        <f>IF('I. Stream &amp; Compound Data'!X269&lt;&gt;"",'I. Stream &amp; Compound Data'!X269,"")</f>
        <v/>
      </c>
      <c r="L791" s="1306" t="str">
        <f>IF(H791&gt;'I. Stream &amp; Compound Data'!$F$18,"",IF(J791="","N/A",IF(J791=0,0,1)))</f>
        <v/>
      </c>
      <c r="M791" s="1168" t="str">
        <f>IF(H791&gt;'I. Stream &amp; Compound Data'!$F$18,"",IF(L791="N/A",IF(K791="","N/A",IF(K791=0,1,0)),"N/A"))</f>
        <v/>
      </c>
      <c r="N791" s="1242" t="str">
        <f>IF(H791&gt;'I. Stream &amp; Compound Data'!$F$18,"",IF(I149="","N/A",IF(L791&lt;&gt;"N/A",L791,IF(M791&lt;&gt;"N/A",M791,"NO DATA AVAILABLE"))))</f>
        <v/>
      </c>
      <c r="O791" s="1242" t="str">
        <f>IF(H791&gt;'I. Stream &amp; Compound Data'!$F$18,"",N791)</f>
        <v/>
      </c>
      <c r="P791" s="1190" t="str">
        <f>'I. Stream &amp; Compound Data'!P269</f>
        <v/>
      </c>
      <c r="Q791" s="1268" t="str">
        <f t="shared" si="34"/>
        <v/>
      </c>
      <c r="R791" s="297"/>
      <c r="S791" s="298"/>
      <c r="T791" s="298"/>
      <c r="U791" s="299"/>
      <c r="V791" s="279"/>
      <c r="W791" s="279"/>
      <c r="X791" s="279"/>
      <c r="Y791" s="279"/>
      <c r="Z791" s="279"/>
      <c r="AA791" s="279"/>
      <c r="AB791" s="279"/>
      <c r="AC791" s="279"/>
      <c r="AD791" s="279"/>
      <c r="AE791" s="279"/>
      <c r="AF791" s="279"/>
      <c r="AG791" s="279"/>
      <c r="AH791" s="279"/>
      <c r="AI791" s="279"/>
      <c r="AJ791" s="279"/>
      <c r="AK791" s="279"/>
      <c r="AL791" s="279"/>
      <c r="AM791" s="279"/>
      <c r="AN791" s="279"/>
      <c r="AO791" s="279"/>
      <c r="AP791" s="279"/>
      <c r="AQ791" s="279"/>
      <c r="AR791" s="279"/>
      <c r="AS791" s="279"/>
      <c r="AT791" s="279"/>
      <c r="AU791" s="279"/>
      <c r="AV791" s="279"/>
      <c r="AW791" s="279"/>
      <c r="AX791" s="279"/>
      <c r="AY791" s="279"/>
      <c r="AZ791" s="279"/>
      <c r="BA791" s="279"/>
      <c r="BB791" s="279"/>
      <c r="BC791" s="279"/>
      <c r="BD791" s="279"/>
      <c r="BE791" s="279"/>
      <c r="BF791" s="279"/>
      <c r="BG791" s="279"/>
      <c r="BH791" s="279"/>
      <c r="BI791" s="279"/>
      <c r="BJ791" s="279"/>
      <c r="BK791" s="279"/>
      <c r="BL791" s="279"/>
      <c r="BM791" s="279"/>
      <c r="BN791" s="279"/>
      <c r="BO791" s="279"/>
      <c r="BP791" s="279"/>
      <c r="BQ791" s="279"/>
      <c r="BR791" s="279"/>
      <c r="BS791" s="279"/>
      <c r="BT791" s="279"/>
      <c r="BU791" s="279"/>
      <c r="BV791" s="279"/>
      <c r="BW791" s="279"/>
      <c r="BX791" s="279"/>
      <c r="BY791" s="279"/>
      <c r="BZ791" s="279"/>
      <c r="CA791" s="279"/>
      <c r="CB791" s="279"/>
      <c r="CC791" s="279"/>
      <c r="CD791" s="279"/>
      <c r="CE791" s="279"/>
      <c r="CF791" s="279"/>
      <c r="CG791" s="279"/>
      <c r="CH791" s="279"/>
      <c r="CI791" s="279"/>
      <c r="CJ791" s="279"/>
      <c r="CK791" s="279"/>
      <c r="CL791" s="279"/>
      <c r="CM791" s="279"/>
      <c r="CN791" s="382"/>
    </row>
    <row r="792" x14ac:dyDescent="0.3">
      <c r="B792" s="361"/>
      <c r="C792" s="279"/>
      <c r="D792" s="280"/>
      <c r="E792" s="287"/>
      <c r="F792" s="287"/>
      <c r="G792" s="287"/>
      <c r="H792" s="1292">
        <f t="shared" si="33"/>
        <v>9</v>
      </c>
      <c r="I792" s="1320" t="str">
        <f>IF('I. Stream &amp; Compound Data'!G270&lt;&gt;"",'I. Stream &amp; Compound Data'!G270,"")</f>
        <v/>
      </c>
      <c r="J792" s="1295" t="str">
        <f>IF('I. Stream &amp; Compound Data'!W270&lt;&gt;"",'I. Stream &amp; Compound Data'!W270,"")</f>
        <v/>
      </c>
      <c r="K792" s="1295" t="str">
        <f>IF('I. Stream &amp; Compound Data'!X270&lt;&gt;"",'I. Stream &amp; Compound Data'!X270,"")</f>
        <v/>
      </c>
      <c r="L792" s="1306" t="str">
        <f>IF(H792&gt;'I. Stream &amp; Compound Data'!$F$18,"",IF(J792="","N/A",IF(J792=0,0,1)))</f>
        <v/>
      </c>
      <c r="M792" s="1168" t="str">
        <f>IF(H792&gt;'I. Stream &amp; Compound Data'!$F$18,"",IF(L792="N/A",IF(K792="","N/A",IF(K792=0,1,0)),"N/A"))</f>
        <v/>
      </c>
      <c r="N792" s="1242" t="str">
        <f>IF(H792&gt;'I. Stream &amp; Compound Data'!$F$18,"",IF(I150="","N/A",IF(L792&lt;&gt;"N/A",L792,IF(M792&lt;&gt;"N/A",M792,"NO DATA AVAILABLE"))))</f>
        <v/>
      </c>
      <c r="O792" s="1242" t="str">
        <f>IF(H792&gt;'I. Stream &amp; Compound Data'!$F$18,"",N792)</f>
        <v/>
      </c>
      <c r="P792" s="1190" t="str">
        <f>'I. Stream &amp; Compound Data'!P270</f>
        <v/>
      </c>
      <c r="Q792" s="1268" t="str">
        <f t="shared" si="34"/>
        <v/>
      </c>
      <c r="R792" s="297"/>
      <c r="S792" s="298"/>
      <c r="T792" s="298"/>
      <c r="U792" s="299"/>
      <c r="V792" s="279"/>
      <c r="W792" s="279"/>
      <c r="X792" s="279"/>
      <c r="Y792" s="279"/>
      <c r="Z792" s="279"/>
      <c r="AA792" s="279"/>
      <c r="AB792" s="279"/>
      <c r="AC792" s="279"/>
      <c r="AD792" s="279"/>
      <c r="AE792" s="279"/>
      <c r="AF792" s="279"/>
      <c r="AG792" s="279"/>
      <c r="AH792" s="279"/>
      <c r="AI792" s="279"/>
      <c r="AJ792" s="279"/>
      <c r="AK792" s="279"/>
      <c r="AL792" s="279"/>
      <c r="AM792" s="279"/>
      <c r="AN792" s="279"/>
      <c r="AO792" s="279"/>
      <c r="AP792" s="279"/>
      <c r="AQ792" s="279"/>
      <c r="AR792" s="279"/>
      <c r="AS792" s="279"/>
      <c r="AT792" s="279"/>
      <c r="AU792" s="279"/>
      <c r="AV792" s="279"/>
      <c r="AW792" s="279"/>
      <c r="AX792" s="279"/>
      <c r="AY792" s="279"/>
      <c r="AZ792" s="279"/>
      <c r="BA792" s="279"/>
      <c r="BB792" s="279"/>
      <c r="BC792" s="279"/>
      <c r="BD792" s="279"/>
      <c r="BE792" s="279"/>
      <c r="BF792" s="279"/>
      <c r="BG792" s="279"/>
      <c r="BH792" s="279"/>
      <c r="BI792" s="279"/>
      <c r="BJ792" s="279"/>
      <c r="BK792" s="279"/>
      <c r="BL792" s="279"/>
      <c r="BM792" s="279"/>
      <c r="BN792" s="279"/>
      <c r="BO792" s="279"/>
      <c r="BP792" s="279"/>
      <c r="BQ792" s="279"/>
      <c r="BR792" s="279"/>
      <c r="BS792" s="279"/>
      <c r="BT792" s="279"/>
      <c r="BU792" s="279"/>
      <c r="BV792" s="279"/>
      <c r="BW792" s="279"/>
      <c r="BX792" s="279"/>
      <c r="BY792" s="279"/>
      <c r="BZ792" s="279"/>
      <c r="CA792" s="279"/>
      <c r="CB792" s="279"/>
      <c r="CC792" s="279"/>
      <c r="CD792" s="279"/>
      <c r="CE792" s="279"/>
      <c r="CF792" s="279"/>
      <c r="CG792" s="279"/>
      <c r="CH792" s="279"/>
      <c r="CI792" s="279"/>
      <c r="CJ792" s="279"/>
      <c r="CK792" s="279"/>
      <c r="CL792" s="279"/>
      <c r="CM792" s="279"/>
      <c r="CN792" s="382"/>
    </row>
    <row r="793" x14ac:dyDescent="0.3">
      <c r="B793" s="361"/>
      <c r="C793" s="279"/>
      <c r="D793" s="280"/>
      <c r="E793" s="287"/>
      <c r="F793" s="287"/>
      <c r="G793" s="287"/>
      <c r="H793" s="1292">
        <f t="shared" si="33"/>
        <v>10</v>
      </c>
      <c r="I793" s="1320" t="str">
        <f>IF('I. Stream &amp; Compound Data'!G271&lt;&gt;"",'I. Stream &amp; Compound Data'!G271,"")</f>
        <v/>
      </c>
      <c r="J793" s="1295" t="str">
        <f>IF('I. Stream &amp; Compound Data'!W271&lt;&gt;"",'I. Stream &amp; Compound Data'!W271,"")</f>
        <v/>
      </c>
      <c r="K793" s="1295" t="str">
        <f>IF('I. Stream &amp; Compound Data'!X271&lt;&gt;"",'I. Stream &amp; Compound Data'!X271,"")</f>
        <v/>
      </c>
      <c r="L793" s="1306" t="str">
        <f>IF(H793&gt;'I. Stream &amp; Compound Data'!$F$18,"",IF(J793="","N/A",IF(J793=0,0,1)))</f>
        <v/>
      </c>
      <c r="M793" s="1168" t="str">
        <f>IF(H793&gt;'I. Stream &amp; Compound Data'!$F$18,"",IF(L793="N/A",IF(K793="","N/A",IF(K793=0,1,0)),"N/A"))</f>
        <v/>
      </c>
      <c r="N793" s="1242" t="str">
        <f>IF(H793&gt;'I. Stream &amp; Compound Data'!$F$18,"",IF(I151="","N/A",IF(L793&lt;&gt;"N/A",L793,IF(M793&lt;&gt;"N/A",M793,"NO DATA AVAILABLE"))))</f>
        <v/>
      </c>
      <c r="O793" s="1242" t="str">
        <f>IF(H793&gt;'I. Stream &amp; Compound Data'!$F$18,"",N793)</f>
        <v/>
      </c>
      <c r="P793" s="1190" t="str">
        <f>'I. Stream &amp; Compound Data'!P271</f>
        <v/>
      </c>
      <c r="Q793" s="1268" t="str">
        <f t="shared" si="34"/>
        <v/>
      </c>
      <c r="R793" s="297"/>
      <c r="S793" s="298"/>
      <c r="T793" s="298"/>
      <c r="U793" s="299"/>
      <c r="V793" s="279"/>
      <c r="W793" s="279"/>
      <c r="X793" s="279"/>
      <c r="Y793" s="279"/>
      <c r="Z793" s="279"/>
      <c r="AA793" s="279"/>
      <c r="AB793" s="279"/>
      <c r="AC793" s="279"/>
      <c r="AD793" s="279"/>
      <c r="AE793" s="279"/>
      <c r="AF793" s="279"/>
      <c r="AG793" s="279"/>
      <c r="AH793" s="279"/>
      <c r="AI793" s="279"/>
      <c r="AJ793" s="279"/>
      <c r="AK793" s="279"/>
      <c r="AL793" s="279"/>
      <c r="AM793" s="279"/>
      <c r="AN793" s="279"/>
      <c r="AO793" s="279"/>
      <c r="AP793" s="279"/>
      <c r="AQ793" s="279"/>
      <c r="AR793" s="279"/>
      <c r="AS793" s="279"/>
      <c r="AT793" s="279"/>
      <c r="AU793" s="279"/>
      <c r="AV793" s="279"/>
      <c r="AW793" s="279"/>
      <c r="AX793" s="279"/>
      <c r="AY793" s="279"/>
      <c r="AZ793" s="279"/>
      <c r="BA793" s="279"/>
      <c r="BB793" s="279"/>
      <c r="BC793" s="279"/>
      <c r="BD793" s="279"/>
      <c r="BE793" s="279"/>
      <c r="BF793" s="279"/>
      <c r="BG793" s="279"/>
      <c r="BH793" s="279"/>
      <c r="BI793" s="279"/>
      <c r="BJ793" s="279"/>
      <c r="BK793" s="279"/>
      <c r="BL793" s="279"/>
      <c r="BM793" s="279"/>
      <c r="BN793" s="279"/>
      <c r="BO793" s="279"/>
      <c r="BP793" s="279"/>
      <c r="BQ793" s="279"/>
      <c r="BR793" s="279"/>
      <c r="BS793" s="279"/>
      <c r="BT793" s="279"/>
      <c r="BU793" s="279"/>
      <c r="BV793" s="279"/>
      <c r="BW793" s="279"/>
      <c r="BX793" s="279"/>
      <c r="BY793" s="279"/>
      <c r="BZ793" s="279"/>
      <c r="CA793" s="279"/>
      <c r="CB793" s="279"/>
      <c r="CC793" s="279"/>
      <c r="CD793" s="279"/>
      <c r="CE793" s="279"/>
      <c r="CF793" s="279"/>
      <c r="CG793" s="279"/>
      <c r="CH793" s="279"/>
      <c r="CI793" s="279"/>
      <c r="CJ793" s="279"/>
      <c r="CK793" s="279"/>
      <c r="CL793" s="279"/>
      <c r="CM793" s="279"/>
      <c r="CN793" s="382"/>
    </row>
    <row r="794" x14ac:dyDescent="0.3">
      <c r="B794" s="361"/>
      <c r="C794" s="279"/>
      <c r="D794" s="280"/>
      <c r="E794" s="287"/>
      <c r="F794" s="287"/>
      <c r="G794" s="287"/>
      <c r="H794" s="1292">
        <f t="shared" si="33"/>
        <v>11</v>
      </c>
      <c r="I794" s="1320" t="str">
        <f>IF('I. Stream &amp; Compound Data'!G272&lt;&gt;"",'I. Stream &amp; Compound Data'!G272,"")</f>
        <v/>
      </c>
      <c r="J794" s="1295" t="str">
        <f>IF('I. Stream &amp; Compound Data'!W272&lt;&gt;"",'I. Stream &amp; Compound Data'!W272,"")</f>
        <v/>
      </c>
      <c r="K794" s="1295" t="str">
        <f>IF('I. Stream &amp; Compound Data'!X272&lt;&gt;"",'I. Stream &amp; Compound Data'!X272,"")</f>
        <v/>
      </c>
      <c r="L794" s="1306" t="str">
        <f>IF(H794&gt;'I. Stream &amp; Compound Data'!$F$18,"",IF(J794="","N/A",IF(J794=0,0,1)))</f>
        <v/>
      </c>
      <c r="M794" s="1168" t="str">
        <f>IF(H794&gt;'I. Stream &amp; Compound Data'!$F$18,"",IF(L794="N/A",IF(K794="","N/A",IF(K794=0,1,0)),"N/A"))</f>
        <v/>
      </c>
      <c r="N794" s="1242" t="str">
        <f>IF(H794&gt;'I. Stream &amp; Compound Data'!$F$18,"",IF(I152="","N/A",IF(L794&lt;&gt;"N/A",L794,IF(M794&lt;&gt;"N/A",M794,"NO DATA AVAILABLE"))))</f>
        <v/>
      </c>
      <c r="O794" s="1242" t="str">
        <f>IF(H794&gt;'I. Stream &amp; Compound Data'!$F$18,"",N794)</f>
        <v/>
      </c>
      <c r="P794" s="1190" t="str">
        <f>'I. Stream &amp; Compound Data'!P272</f>
        <v/>
      </c>
      <c r="Q794" s="1268" t="str">
        <f t="shared" si="34"/>
        <v/>
      </c>
      <c r="R794" s="297"/>
      <c r="S794" s="298"/>
      <c r="T794" s="298"/>
      <c r="U794" s="299"/>
      <c r="V794" s="279"/>
      <c r="W794" s="279"/>
      <c r="X794" s="279"/>
      <c r="Y794" s="279"/>
      <c r="Z794" s="279"/>
      <c r="AA794" s="279"/>
      <c r="AB794" s="279"/>
      <c r="AC794" s="279"/>
      <c r="AD794" s="279"/>
      <c r="AE794" s="279"/>
      <c r="AF794" s="279"/>
      <c r="AG794" s="279"/>
      <c r="AH794" s="279"/>
      <c r="AI794" s="279"/>
      <c r="AJ794" s="279"/>
      <c r="AK794" s="279"/>
      <c r="AL794" s="279"/>
      <c r="AM794" s="279"/>
      <c r="AN794" s="279"/>
      <c r="AO794" s="279"/>
      <c r="AP794" s="279"/>
      <c r="AQ794" s="279"/>
      <c r="AR794" s="279"/>
      <c r="AS794" s="279"/>
      <c r="AT794" s="279"/>
      <c r="AU794" s="279"/>
      <c r="AV794" s="279"/>
      <c r="AW794" s="279"/>
      <c r="AX794" s="279"/>
      <c r="AY794" s="279"/>
      <c r="AZ794" s="279"/>
      <c r="BA794" s="279"/>
      <c r="BB794" s="279"/>
      <c r="BC794" s="279"/>
      <c r="BD794" s="279"/>
      <c r="BE794" s="279"/>
      <c r="BF794" s="279"/>
      <c r="BG794" s="279"/>
      <c r="BH794" s="279"/>
      <c r="BI794" s="279"/>
      <c r="BJ794" s="279"/>
      <c r="BK794" s="279"/>
      <c r="BL794" s="279"/>
      <c r="BM794" s="279"/>
      <c r="BN794" s="279"/>
      <c r="BO794" s="279"/>
      <c r="BP794" s="279"/>
      <c r="BQ794" s="279"/>
      <c r="BR794" s="279"/>
      <c r="BS794" s="279"/>
      <c r="BT794" s="279"/>
      <c r="BU794" s="279"/>
      <c r="BV794" s="279"/>
      <c r="BW794" s="279"/>
      <c r="BX794" s="279"/>
      <c r="BY794" s="279"/>
      <c r="BZ794" s="279"/>
      <c r="CA794" s="279"/>
      <c r="CB794" s="279"/>
      <c r="CC794" s="279"/>
      <c r="CD794" s="279"/>
      <c r="CE794" s="279"/>
      <c r="CF794" s="279"/>
      <c r="CG794" s="279"/>
      <c r="CH794" s="279"/>
      <c r="CI794" s="279"/>
      <c r="CJ794" s="279"/>
      <c r="CK794" s="279"/>
      <c r="CL794" s="279"/>
      <c r="CM794" s="279"/>
      <c r="CN794" s="382"/>
    </row>
    <row r="795" x14ac:dyDescent="0.3">
      <c r="B795" s="361"/>
      <c r="C795" s="279"/>
      <c r="D795" s="280"/>
      <c r="E795" s="287"/>
      <c r="F795" s="287"/>
      <c r="G795" s="287"/>
      <c r="H795" s="1292">
        <f t="shared" si="33"/>
        <v>12</v>
      </c>
      <c r="I795" s="1320" t="str">
        <f>IF('I. Stream &amp; Compound Data'!G273&lt;&gt;"",'I. Stream &amp; Compound Data'!G273,"")</f>
        <v/>
      </c>
      <c r="J795" s="1295" t="str">
        <f>IF('I. Stream &amp; Compound Data'!W273&lt;&gt;"",'I. Stream &amp; Compound Data'!W273,"")</f>
        <v/>
      </c>
      <c r="K795" s="1295" t="str">
        <f>IF('I. Stream &amp; Compound Data'!X273&lt;&gt;"",'I. Stream &amp; Compound Data'!X273,"")</f>
        <v/>
      </c>
      <c r="L795" s="1306" t="str">
        <f>IF(H795&gt;'I. Stream &amp; Compound Data'!$F$18,"",IF(J795="","N/A",IF(J795=0,0,1)))</f>
        <v/>
      </c>
      <c r="M795" s="1168" t="str">
        <f>IF(H795&gt;'I. Stream &amp; Compound Data'!$F$18,"",IF(L795="N/A",IF(K795="","N/A",IF(K795=0,1,0)),"N/A"))</f>
        <v/>
      </c>
      <c r="N795" s="1242" t="str">
        <f>IF(H795&gt;'I. Stream &amp; Compound Data'!$F$18,"",IF(I153="","N/A",IF(L795&lt;&gt;"N/A",L795,IF(M795&lt;&gt;"N/A",M795,"NO DATA AVAILABLE"))))</f>
        <v/>
      </c>
      <c r="O795" s="1242" t="str">
        <f>IF(H795&gt;'I. Stream &amp; Compound Data'!$F$18,"",N795)</f>
        <v/>
      </c>
      <c r="P795" s="1190" t="str">
        <f>'I. Stream &amp; Compound Data'!P273</f>
        <v/>
      </c>
      <c r="Q795" s="1268" t="str">
        <f t="shared" si="34"/>
        <v/>
      </c>
      <c r="R795" s="297"/>
      <c r="S795" s="298"/>
      <c r="T795" s="298"/>
      <c r="U795" s="299"/>
      <c r="V795" s="279"/>
      <c r="W795" s="279"/>
      <c r="X795" s="279"/>
      <c r="Y795" s="279"/>
      <c r="Z795" s="279"/>
      <c r="AA795" s="279"/>
      <c r="AB795" s="279"/>
      <c r="AC795" s="279"/>
      <c r="AD795" s="279"/>
      <c r="AE795" s="279"/>
      <c r="AF795" s="279"/>
      <c r="AG795" s="279"/>
      <c r="AH795" s="279"/>
      <c r="AI795" s="279"/>
      <c r="AJ795" s="279"/>
      <c r="AK795" s="279"/>
      <c r="AL795" s="279"/>
      <c r="AM795" s="279"/>
      <c r="AN795" s="279"/>
      <c r="AO795" s="279"/>
      <c r="AP795" s="279"/>
      <c r="AQ795" s="279"/>
      <c r="AR795" s="279"/>
      <c r="AS795" s="279"/>
      <c r="AT795" s="279"/>
      <c r="AU795" s="279"/>
      <c r="AV795" s="279"/>
      <c r="AW795" s="279"/>
      <c r="AX795" s="279"/>
      <c r="AY795" s="279"/>
      <c r="AZ795" s="279"/>
      <c r="BA795" s="279"/>
      <c r="BB795" s="279"/>
      <c r="BC795" s="279"/>
      <c r="BD795" s="279"/>
      <c r="BE795" s="279"/>
      <c r="BF795" s="279"/>
      <c r="BG795" s="279"/>
      <c r="BH795" s="279"/>
      <c r="BI795" s="279"/>
      <c r="BJ795" s="279"/>
      <c r="BK795" s="279"/>
      <c r="BL795" s="279"/>
      <c r="BM795" s="279"/>
      <c r="BN795" s="279"/>
      <c r="BO795" s="279"/>
      <c r="BP795" s="279"/>
      <c r="BQ795" s="279"/>
      <c r="BR795" s="279"/>
      <c r="BS795" s="279"/>
      <c r="BT795" s="279"/>
      <c r="BU795" s="279"/>
      <c r="BV795" s="279"/>
      <c r="BW795" s="279"/>
      <c r="BX795" s="279"/>
      <c r="BY795" s="279"/>
      <c r="BZ795" s="279"/>
      <c r="CA795" s="279"/>
      <c r="CB795" s="279"/>
      <c r="CC795" s="279"/>
      <c r="CD795" s="279"/>
      <c r="CE795" s="279"/>
      <c r="CF795" s="279"/>
      <c r="CG795" s="279"/>
      <c r="CH795" s="279"/>
      <c r="CI795" s="279"/>
      <c r="CJ795" s="279"/>
      <c r="CK795" s="279"/>
      <c r="CL795" s="279"/>
      <c r="CM795" s="279"/>
      <c r="CN795" s="382"/>
    </row>
    <row r="796" x14ac:dyDescent="0.3">
      <c r="B796" s="361"/>
      <c r="C796" s="279"/>
      <c r="D796" s="280"/>
      <c r="E796" s="287"/>
      <c r="F796" s="287"/>
      <c r="G796" s="287"/>
      <c r="H796" s="1292">
        <f t="shared" si="33"/>
        <v>13</v>
      </c>
      <c r="I796" s="1320" t="str">
        <f>IF('I. Stream &amp; Compound Data'!G274&lt;&gt;"",'I. Stream &amp; Compound Data'!G274,"")</f>
        <v/>
      </c>
      <c r="J796" s="1295" t="str">
        <f>IF('I. Stream &amp; Compound Data'!W274&lt;&gt;"",'I. Stream &amp; Compound Data'!W274,"")</f>
        <v/>
      </c>
      <c r="K796" s="1295" t="str">
        <f>IF('I. Stream &amp; Compound Data'!X274&lt;&gt;"",'I. Stream &amp; Compound Data'!X274,"")</f>
        <v/>
      </c>
      <c r="L796" s="1306" t="str">
        <f>IF(H796&gt;'I. Stream &amp; Compound Data'!$F$18,"",IF(J796="","N/A",IF(J796=0,0,1)))</f>
        <v/>
      </c>
      <c r="M796" s="1168" t="str">
        <f>IF(H796&gt;'I. Stream &amp; Compound Data'!$F$18,"",IF(L796="N/A",IF(K796="","N/A",IF(K796=0,1,0)),"N/A"))</f>
        <v/>
      </c>
      <c r="N796" s="1242" t="str">
        <f>IF(H796&gt;'I. Stream &amp; Compound Data'!$F$18,"",IF(I154="","N/A",IF(L796&lt;&gt;"N/A",L796,IF(M796&lt;&gt;"N/A",M796,"NO DATA AVAILABLE"))))</f>
        <v/>
      </c>
      <c r="O796" s="1242" t="str">
        <f>IF(H796&gt;'I. Stream &amp; Compound Data'!$F$18,"",N796)</f>
        <v/>
      </c>
      <c r="P796" s="1190" t="str">
        <f>'I. Stream &amp; Compound Data'!P274</f>
        <v/>
      </c>
      <c r="Q796" s="1268" t="str">
        <f t="shared" si="34"/>
        <v/>
      </c>
      <c r="R796" s="297"/>
      <c r="S796" s="298"/>
      <c r="T796" s="298"/>
      <c r="U796" s="299"/>
      <c r="V796" s="279"/>
      <c r="W796" s="279"/>
      <c r="X796" s="279"/>
      <c r="Y796" s="279"/>
      <c r="Z796" s="279"/>
      <c r="AA796" s="279"/>
      <c r="AB796" s="279"/>
      <c r="AC796" s="279"/>
      <c r="AD796" s="279"/>
      <c r="AE796" s="279"/>
      <c r="AF796" s="279"/>
      <c r="AG796" s="279"/>
      <c r="AH796" s="279"/>
      <c r="AI796" s="279"/>
      <c r="AJ796" s="279"/>
      <c r="AK796" s="279"/>
      <c r="AL796" s="279"/>
      <c r="AM796" s="279"/>
      <c r="AN796" s="279"/>
      <c r="AO796" s="279"/>
      <c r="AP796" s="279"/>
      <c r="AQ796" s="279"/>
      <c r="AR796" s="279"/>
      <c r="AS796" s="279"/>
      <c r="AT796" s="279"/>
      <c r="AU796" s="279"/>
      <c r="AV796" s="279"/>
      <c r="AW796" s="279"/>
      <c r="AX796" s="279"/>
      <c r="AY796" s="279"/>
      <c r="AZ796" s="279"/>
      <c r="BA796" s="279"/>
      <c r="BB796" s="279"/>
      <c r="BC796" s="279"/>
      <c r="BD796" s="279"/>
      <c r="BE796" s="279"/>
      <c r="BF796" s="279"/>
      <c r="BG796" s="279"/>
      <c r="BH796" s="279"/>
      <c r="BI796" s="279"/>
      <c r="BJ796" s="279"/>
      <c r="BK796" s="279"/>
      <c r="BL796" s="279"/>
      <c r="BM796" s="279"/>
      <c r="BN796" s="279"/>
      <c r="BO796" s="279"/>
      <c r="BP796" s="279"/>
      <c r="BQ796" s="279"/>
      <c r="BR796" s="279"/>
      <c r="BS796" s="279"/>
      <c r="BT796" s="279"/>
      <c r="BU796" s="279"/>
      <c r="BV796" s="279"/>
      <c r="BW796" s="279"/>
      <c r="BX796" s="279"/>
      <c r="BY796" s="279"/>
      <c r="BZ796" s="279"/>
      <c r="CA796" s="279"/>
      <c r="CB796" s="279"/>
      <c r="CC796" s="279"/>
      <c r="CD796" s="279"/>
      <c r="CE796" s="279"/>
      <c r="CF796" s="279"/>
      <c r="CG796" s="279"/>
      <c r="CH796" s="279"/>
      <c r="CI796" s="279"/>
      <c r="CJ796" s="279"/>
      <c r="CK796" s="279"/>
      <c r="CL796" s="279"/>
      <c r="CM796" s="279"/>
      <c r="CN796" s="382"/>
    </row>
    <row r="797" x14ac:dyDescent="0.3">
      <c r="B797" s="361"/>
      <c r="C797" s="279"/>
      <c r="D797" s="280"/>
      <c r="E797" s="287"/>
      <c r="F797" s="287"/>
      <c r="G797" s="287"/>
      <c r="H797" s="1292">
        <f t="shared" si="33"/>
        <v>14</v>
      </c>
      <c r="I797" s="1320" t="str">
        <f>IF('I. Stream &amp; Compound Data'!G275&lt;&gt;"",'I. Stream &amp; Compound Data'!G275,"")</f>
        <v/>
      </c>
      <c r="J797" s="1295" t="str">
        <f>IF('I. Stream &amp; Compound Data'!W275&lt;&gt;"",'I. Stream &amp; Compound Data'!W275,"")</f>
        <v/>
      </c>
      <c r="K797" s="1295" t="str">
        <f>IF('I. Stream &amp; Compound Data'!X275&lt;&gt;"",'I. Stream &amp; Compound Data'!X275,"")</f>
        <v/>
      </c>
      <c r="L797" s="1306" t="str">
        <f>IF(H797&gt;'I. Stream &amp; Compound Data'!$F$18,"",IF(J797="","N/A",IF(J797=0,0,1)))</f>
        <v/>
      </c>
      <c r="M797" s="1168" t="str">
        <f>IF(H797&gt;'I. Stream &amp; Compound Data'!$F$18,"",IF(L797="N/A",IF(K797="","N/A",IF(K797=0,1,0)),"N/A"))</f>
        <v/>
      </c>
      <c r="N797" s="1242" t="str">
        <f>IF(H797&gt;'I. Stream &amp; Compound Data'!$F$18,"",IF(I155="","N/A",IF(L797&lt;&gt;"N/A",L797,IF(M797&lt;&gt;"N/A",M797,"NO DATA AVAILABLE"))))</f>
        <v/>
      </c>
      <c r="O797" s="1242" t="str">
        <f>IF(H797&gt;'I. Stream &amp; Compound Data'!$F$18,"",N797)</f>
        <v/>
      </c>
      <c r="P797" s="1190" t="str">
        <f>'I. Stream &amp; Compound Data'!P275</f>
        <v/>
      </c>
      <c r="Q797" s="1268" t="str">
        <f t="shared" si="34"/>
        <v/>
      </c>
      <c r="R797" s="297"/>
      <c r="S797" s="298"/>
      <c r="T797" s="298"/>
      <c r="U797" s="299"/>
      <c r="V797" s="279"/>
      <c r="W797" s="279"/>
      <c r="X797" s="279"/>
      <c r="Y797" s="279"/>
      <c r="Z797" s="279"/>
      <c r="AA797" s="279"/>
      <c r="AB797" s="279"/>
      <c r="AC797" s="279"/>
      <c r="AD797" s="279"/>
      <c r="AE797" s="279"/>
      <c r="AF797" s="279"/>
      <c r="AG797" s="279"/>
      <c r="AH797" s="279"/>
      <c r="AI797" s="279"/>
      <c r="AJ797" s="279"/>
      <c r="AK797" s="279"/>
      <c r="AL797" s="279"/>
      <c r="AM797" s="279"/>
      <c r="AN797" s="279"/>
      <c r="AO797" s="279"/>
      <c r="AP797" s="279"/>
      <c r="AQ797" s="279"/>
      <c r="AR797" s="279"/>
      <c r="AS797" s="279"/>
      <c r="AT797" s="279"/>
      <c r="AU797" s="279"/>
      <c r="AV797" s="279"/>
      <c r="AW797" s="279"/>
      <c r="AX797" s="279"/>
      <c r="AY797" s="279"/>
      <c r="AZ797" s="279"/>
      <c r="BA797" s="279"/>
      <c r="BB797" s="279"/>
      <c r="BC797" s="279"/>
      <c r="BD797" s="279"/>
      <c r="BE797" s="279"/>
      <c r="BF797" s="279"/>
      <c r="BG797" s="279"/>
      <c r="BH797" s="279"/>
      <c r="BI797" s="279"/>
      <c r="BJ797" s="279"/>
      <c r="BK797" s="279"/>
      <c r="BL797" s="279"/>
      <c r="BM797" s="279"/>
      <c r="BN797" s="279"/>
      <c r="BO797" s="279"/>
      <c r="BP797" s="279"/>
      <c r="BQ797" s="279"/>
      <c r="BR797" s="279"/>
      <c r="BS797" s="279"/>
      <c r="BT797" s="279"/>
      <c r="BU797" s="279"/>
      <c r="BV797" s="279"/>
      <c r="BW797" s="279"/>
      <c r="BX797" s="279"/>
      <c r="BY797" s="279"/>
      <c r="BZ797" s="279"/>
      <c r="CA797" s="279"/>
      <c r="CB797" s="279"/>
      <c r="CC797" s="279"/>
      <c r="CD797" s="279"/>
      <c r="CE797" s="279"/>
      <c r="CF797" s="279"/>
      <c r="CG797" s="279"/>
      <c r="CH797" s="279"/>
      <c r="CI797" s="279"/>
      <c r="CJ797" s="279"/>
      <c r="CK797" s="279"/>
      <c r="CL797" s="279"/>
      <c r="CM797" s="279"/>
      <c r="CN797" s="382"/>
    </row>
    <row r="798" x14ac:dyDescent="0.3">
      <c r="B798" s="361"/>
      <c r="C798" s="279"/>
      <c r="D798" s="280"/>
      <c r="E798" s="287"/>
      <c r="F798" s="287"/>
      <c r="G798" s="287"/>
      <c r="H798" s="1292">
        <f t="shared" si="33"/>
        <v>15</v>
      </c>
      <c r="I798" s="1320" t="str">
        <f>IF('I. Stream &amp; Compound Data'!G276&lt;&gt;"",'I. Stream &amp; Compound Data'!G276,"")</f>
        <v/>
      </c>
      <c r="J798" s="1295" t="str">
        <f>IF('I. Stream &amp; Compound Data'!W276&lt;&gt;"",'I. Stream &amp; Compound Data'!W276,"")</f>
        <v/>
      </c>
      <c r="K798" s="1295" t="str">
        <f>IF('I. Stream &amp; Compound Data'!X276&lt;&gt;"",'I. Stream &amp; Compound Data'!X276,"")</f>
        <v/>
      </c>
      <c r="L798" s="1306" t="str">
        <f>IF(H798&gt;'I. Stream &amp; Compound Data'!$F$18,"",IF(J798="","N/A",IF(J798=0,0,1)))</f>
        <v/>
      </c>
      <c r="M798" s="1168" t="str">
        <f>IF(H798&gt;'I. Stream &amp; Compound Data'!$F$18,"",IF(L798="N/A",IF(K798="","N/A",IF(K798=0,1,0)),"N/A"))</f>
        <v/>
      </c>
      <c r="N798" s="1242" t="str">
        <f>IF(H798&gt;'I. Stream &amp; Compound Data'!$F$18,"",IF(I156="","N/A",IF(L798&lt;&gt;"N/A",L798,IF(M798&lt;&gt;"N/A",M798,"NO DATA AVAILABLE"))))</f>
        <v/>
      </c>
      <c r="O798" s="1242" t="str">
        <f>IF(H798&gt;'I. Stream &amp; Compound Data'!$F$18,"",N798)</f>
        <v/>
      </c>
      <c r="P798" s="1190" t="str">
        <f>'I. Stream &amp; Compound Data'!P276</f>
        <v/>
      </c>
      <c r="Q798" s="1268" t="str">
        <f t="shared" si="34"/>
        <v/>
      </c>
      <c r="R798" s="297"/>
      <c r="S798" s="298"/>
      <c r="T798" s="298"/>
      <c r="U798" s="299"/>
      <c r="V798" s="279"/>
      <c r="W798" s="279"/>
      <c r="X798" s="279"/>
      <c r="Y798" s="279"/>
      <c r="Z798" s="279"/>
      <c r="AA798" s="279"/>
      <c r="AB798" s="279"/>
      <c r="AC798" s="279"/>
      <c r="AD798" s="279"/>
      <c r="AE798" s="279"/>
      <c r="AF798" s="279"/>
      <c r="AG798" s="279"/>
      <c r="AH798" s="279"/>
      <c r="AI798" s="279"/>
      <c r="AJ798" s="279"/>
      <c r="AK798" s="279"/>
      <c r="AL798" s="279"/>
      <c r="AM798" s="279"/>
      <c r="AN798" s="279"/>
      <c r="AO798" s="279"/>
      <c r="AP798" s="279"/>
      <c r="AQ798" s="279"/>
      <c r="AR798" s="279"/>
      <c r="AS798" s="279"/>
      <c r="AT798" s="279"/>
      <c r="AU798" s="279"/>
      <c r="AV798" s="279"/>
      <c r="AW798" s="279"/>
      <c r="AX798" s="279"/>
      <c r="AY798" s="279"/>
      <c r="AZ798" s="279"/>
      <c r="BA798" s="279"/>
      <c r="BB798" s="279"/>
      <c r="BC798" s="279"/>
      <c r="BD798" s="279"/>
      <c r="BE798" s="279"/>
      <c r="BF798" s="279"/>
      <c r="BG798" s="279"/>
      <c r="BH798" s="279"/>
      <c r="BI798" s="279"/>
      <c r="BJ798" s="279"/>
      <c r="BK798" s="279"/>
      <c r="BL798" s="279"/>
      <c r="BM798" s="279"/>
      <c r="BN798" s="279"/>
      <c r="BO798" s="279"/>
      <c r="BP798" s="279"/>
      <c r="BQ798" s="279"/>
      <c r="BR798" s="279"/>
      <c r="BS798" s="279"/>
      <c r="BT798" s="279"/>
      <c r="BU798" s="279"/>
      <c r="BV798" s="279"/>
      <c r="BW798" s="279"/>
      <c r="BX798" s="279"/>
      <c r="BY798" s="279"/>
      <c r="BZ798" s="279"/>
      <c r="CA798" s="279"/>
      <c r="CB798" s="279"/>
      <c r="CC798" s="279"/>
      <c r="CD798" s="279"/>
      <c r="CE798" s="279"/>
      <c r="CF798" s="279"/>
      <c r="CG798" s="279"/>
      <c r="CH798" s="279"/>
      <c r="CI798" s="279"/>
      <c r="CJ798" s="279"/>
      <c r="CK798" s="279"/>
      <c r="CL798" s="279"/>
      <c r="CM798" s="279"/>
      <c r="CN798" s="382"/>
    </row>
    <row r="799" x14ac:dyDescent="0.3">
      <c r="B799" s="361"/>
      <c r="C799" s="279"/>
      <c r="D799" s="280"/>
      <c r="E799" s="287"/>
      <c r="F799" s="287"/>
      <c r="G799" s="287"/>
      <c r="H799" s="1292">
        <f t="shared" si="33"/>
        <v>16</v>
      </c>
      <c r="I799" s="1320" t="str">
        <f>IF('I. Stream &amp; Compound Data'!G277&lt;&gt;"",'I. Stream &amp; Compound Data'!G277,"")</f>
        <v/>
      </c>
      <c r="J799" s="1295" t="str">
        <f>IF('I. Stream &amp; Compound Data'!W277&lt;&gt;"",'I. Stream &amp; Compound Data'!W277,"")</f>
        <v/>
      </c>
      <c r="K799" s="1295" t="str">
        <f>IF('I. Stream &amp; Compound Data'!X277&lt;&gt;"",'I. Stream &amp; Compound Data'!X277,"")</f>
        <v/>
      </c>
      <c r="L799" s="1306" t="str">
        <f>IF(H799&gt;'I. Stream &amp; Compound Data'!$F$18,"",IF(J799="","N/A",IF(J799=0,0,1)))</f>
        <v/>
      </c>
      <c r="M799" s="1168" t="str">
        <f>IF(H799&gt;'I. Stream &amp; Compound Data'!$F$18,"",IF(L799="N/A",IF(K799="","N/A",IF(K799=0,1,0)),"N/A"))</f>
        <v/>
      </c>
      <c r="N799" s="1242" t="str">
        <f>IF(H799&gt;'I. Stream &amp; Compound Data'!$F$18,"",IF(I157="","N/A",IF(L799&lt;&gt;"N/A",L799,IF(M799&lt;&gt;"N/A",M799,"NO DATA AVAILABLE"))))</f>
        <v/>
      </c>
      <c r="O799" s="1242" t="str">
        <f>IF(H799&gt;'I. Stream &amp; Compound Data'!$F$18,"",N799)</f>
        <v/>
      </c>
      <c r="P799" s="1190" t="str">
        <f>'I. Stream &amp; Compound Data'!P277</f>
        <v/>
      </c>
      <c r="Q799" s="1268" t="str">
        <f t="shared" si="34"/>
        <v/>
      </c>
      <c r="R799" s="297"/>
      <c r="S799" s="298"/>
      <c r="T799" s="298"/>
      <c r="U799" s="299"/>
      <c r="V799" s="279"/>
      <c r="W799" s="279"/>
      <c r="X799" s="279"/>
      <c r="Y799" s="279"/>
      <c r="Z799" s="279"/>
      <c r="AA799" s="279"/>
      <c r="AB799" s="279"/>
      <c r="AC799" s="279"/>
      <c r="AD799" s="279"/>
      <c r="AE799" s="279"/>
      <c r="AF799" s="279"/>
      <c r="AG799" s="279"/>
      <c r="AH799" s="279"/>
      <c r="AI799" s="279"/>
      <c r="AJ799" s="279"/>
      <c r="AK799" s="279"/>
      <c r="AL799" s="279"/>
      <c r="AM799" s="279"/>
      <c r="AN799" s="279"/>
      <c r="AO799" s="279"/>
      <c r="AP799" s="279"/>
      <c r="AQ799" s="279"/>
      <c r="AR799" s="279"/>
      <c r="AS799" s="279"/>
      <c r="AT799" s="279"/>
      <c r="AU799" s="279"/>
      <c r="AV799" s="279"/>
      <c r="AW799" s="279"/>
      <c r="AX799" s="279"/>
      <c r="AY799" s="279"/>
      <c r="AZ799" s="279"/>
      <c r="BA799" s="279"/>
      <c r="BB799" s="279"/>
      <c r="BC799" s="279"/>
      <c r="BD799" s="279"/>
      <c r="BE799" s="279"/>
      <c r="BF799" s="279"/>
      <c r="BG799" s="279"/>
      <c r="BH799" s="279"/>
      <c r="BI799" s="279"/>
      <c r="BJ799" s="279"/>
      <c r="BK799" s="279"/>
      <c r="BL799" s="279"/>
      <c r="BM799" s="279"/>
      <c r="BN799" s="279"/>
      <c r="BO799" s="279"/>
      <c r="BP799" s="279"/>
      <c r="BQ799" s="279"/>
      <c r="BR799" s="279"/>
      <c r="BS799" s="279"/>
      <c r="BT799" s="279"/>
      <c r="BU799" s="279"/>
      <c r="BV799" s="279"/>
      <c r="BW799" s="279"/>
      <c r="BX799" s="279"/>
      <c r="BY799" s="279"/>
      <c r="BZ799" s="279"/>
      <c r="CA799" s="279"/>
      <c r="CB799" s="279"/>
      <c r="CC799" s="279"/>
      <c r="CD799" s="279"/>
      <c r="CE799" s="279"/>
      <c r="CF799" s="279"/>
      <c r="CG799" s="279"/>
      <c r="CH799" s="279"/>
      <c r="CI799" s="279"/>
      <c r="CJ799" s="279"/>
      <c r="CK799" s="279"/>
      <c r="CL799" s="279"/>
      <c r="CM799" s="279"/>
      <c r="CN799" s="382"/>
    </row>
    <row r="800" x14ac:dyDescent="0.3">
      <c r="B800" s="361"/>
      <c r="C800" s="279"/>
      <c r="D800" s="280"/>
      <c r="E800" s="287"/>
      <c r="F800" s="287"/>
      <c r="G800" s="287"/>
      <c r="H800" s="1292">
        <f t="shared" si="33"/>
        <v>17</v>
      </c>
      <c r="I800" s="1320" t="str">
        <f>IF('I. Stream &amp; Compound Data'!G278&lt;&gt;"",'I. Stream &amp; Compound Data'!G278,"")</f>
        <v/>
      </c>
      <c r="J800" s="1295" t="str">
        <f>IF('I. Stream &amp; Compound Data'!W278&lt;&gt;"",'I. Stream &amp; Compound Data'!W278,"")</f>
        <v/>
      </c>
      <c r="K800" s="1295" t="str">
        <f>IF('I. Stream &amp; Compound Data'!X278&lt;&gt;"",'I. Stream &amp; Compound Data'!X278,"")</f>
        <v/>
      </c>
      <c r="L800" s="1306" t="str">
        <f>IF(H800&gt;'I. Stream &amp; Compound Data'!$F$18,"",IF(J800="","N/A",IF(J800=0,0,1)))</f>
        <v/>
      </c>
      <c r="M800" s="1168" t="str">
        <f>IF(H800&gt;'I. Stream &amp; Compound Data'!$F$18,"",IF(L800="N/A",IF(K800="","N/A",IF(K800=0,1,0)),"N/A"))</f>
        <v/>
      </c>
      <c r="N800" s="1242" t="str">
        <f>IF(H800&gt;'I. Stream &amp; Compound Data'!$F$18,"",IF(I158="","N/A",IF(L800&lt;&gt;"N/A",L800,IF(M800&lt;&gt;"N/A",M800,"NO DATA AVAILABLE"))))</f>
        <v/>
      </c>
      <c r="O800" s="1242" t="str">
        <f>IF(H800&gt;'I. Stream &amp; Compound Data'!$F$18,"",N800)</f>
        <v/>
      </c>
      <c r="P800" s="1190" t="str">
        <f>'I. Stream &amp; Compound Data'!P278</f>
        <v/>
      </c>
      <c r="Q800" s="1268" t="str">
        <f t="shared" si="34"/>
        <v/>
      </c>
      <c r="R800" s="297"/>
      <c r="S800" s="298"/>
      <c r="T800" s="298"/>
      <c r="U800" s="299"/>
      <c r="V800" s="279"/>
      <c r="W800" s="279"/>
      <c r="X800" s="279"/>
      <c r="Y800" s="279"/>
      <c r="Z800" s="279"/>
      <c r="AA800" s="279"/>
      <c r="AB800" s="279"/>
      <c r="AC800" s="279"/>
      <c r="AD800" s="279"/>
      <c r="AE800" s="279"/>
      <c r="AF800" s="279"/>
      <c r="AG800" s="279"/>
      <c r="AH800" s="279"/>
      <c r="AI800" s="279"/>
      <c r="AJ800" s="279"/>
      <c r="AK800" s="279"/>
      <c r="AL800" s="279"/>
      <c r="AM800" s="279"/>
      <c r="AN800" s="279"/>
      <c r="AO800" s="279"/>
      <c r="AP800" s="279"/>
      <c r="AQ800" s="279"/>
      <c r="AR800" s="279"/>
      <c r="AS800" s="279"/>
      <c r="AT800" s="279"/>
      <c r="AU800" s="279"/>
      <c r="AV800" s="279"/>
      <c r="AW800" s="279"/>
      <c r="AX800" s="279"/>
      <c r="AY800" s="279"/>
      <c r="AZ800" s="279"/>
      <c r="BA800" s="279"/>
      <c r="BB800" s="279"/>
      <c r="BC800" s="279"/>
      <c r="BD800" s="279"/>
      <c r="BE800" s="279"/>
      <c r="BF800" s="279"/>
      <c r="BG800" s="279"/>
      <c r="BH800" s="279"/>
      <c r="BI800" s="279"/>
      <c r="BJ800" s="279"/>
      <c r="BK800" s="279"/>
      <c r="BL800" s="279"/>
      <c r="BM800" s="279"/>
      <c r="BN800" s="279"/>
      <c r="BO800" s="279"/>
      <c r="BP800" s="279"/>
      <c r="BQ800" s="279"/>
      <c r="BR800" s="279"/>
      <c r="BS800" s="279"/>
      <c r="BT800" s="279"/>
      <c r="BU800" s="279"/>
      <c r="BV800" s="279"/>
      <c r="BW800" s="279"/>
      <c r="BX800" s="279"/>
      <c r="BY800" s="279"/>
      <c r="BZ800" s="279"/>
      <c r="CA800" s="279"/>
      <c r="CB800" s="279"/>
      <c r="CC800" s="279"/>
      <c r="CD800" s="279"/>
      <c r="CE800" s="279"/>
      <c r="CF800" s="279"/>
      <c r="CG800" s="279"/>
      <c r="CH800" s="279"/>
      <c r="CI800" s="279"/>
      <c r="CJ800" s="279"/>
      <c r="CK800" s="279"/>
      <c r="CL800" s="279"/>
      <c r="CM800" s="279"/>
      <c r="CN800" s="382"/>
    </row>
    <row r="801" x14ac:dyDescent="0.3">
      <c r="B801" s="361"/>
      <c r="C801" s="279"/>
      <c r="D801" s="280"/>
      <c r="E801" s="287"/>
      <c r="F801" s="287"/>
      <c r="G801" s="287"/>
      <c r="H801" s="1292">
        <f t="shared" si="33"/>
        <v>18</v>
      </c>
      <c r="I801" s="1320" t="str">
        <f>IF('I. Stream &amp; Compound Data'!G279&lt;&gt;"",'I. Stream &amp; Compound Data'!G279,"")</f>
        <v/>
      </c>
      <c r="J801" s="1295" t="str">
        <f>IF('I. Stream &amp; Compound Data'!W279&lt;&gt;"",'I. Stream &amp; Compound Data'!W279,"")</f>
        <v/>
      </c>
      <c r="K801" s="1295" t="str">
        <f>IF('I. Stream &amp; Compound Data'!X279&lt;&gt;"",'I. Stream &amp; Compound Data'!X279,"")</f>
        <v/>
      </c>
      <c r="L801" s="1306" t="str">
        <f>IF(H801&gt;'I. Stream &amp; Compound Data'!$F$18,"",IF(J801="","N/A",IF(J801=0,0,1)))</f>
        <v/>
      </c>
      <c r="M801" s="1168" t="str">
        <f>IF(H801&gt;'I. Stream &amp; Compound Data'!$F$18,"",IF(L801="N/A",IF(K801="","N/A",IF(K801=0,1,0)),"N/A"))</f>
        <v/>
      </c>
      <c r="N801" s="1242" t="str">
        <f>IF(H801&gt;'I. Stream &amp; Compound Data'!$F$18,"",IF(I159="","N/A",IF(L801&lt;&gt;"N/A",L801,IF(M801&lt;&gt;"N/A",M801,"NO DATA AVAILABLE"))))</f>
        <v/>
      </c>
      <c r="O801" s="1242" t="str">
        <f>IF(H801&gt;'I. Stream &amp; Compound Data'!$F$18,"",N801)</f>
        <v/>
      </c>
      <c r="P801" s="1190" t="str">
        <f>'I. Stream &amp; Compound Data'!P279</f>
        <v/>
      </c>
      <c r="Q801" s="1268" t="str">
        <f t="shared" si="34"/>
        <v/>
      </c>
      <c r="R801" s="297"/>
      <c r="S801" s="298"/>
      <c r="T801" s="298"/>
      <c r="U801" s="299"/>
      <c r="V801" s="279"/>
      <c r="W801" s="279"/>
      <c r="X801" s="279"/>
      <c r="Y801" s="279"/>
      <c r="Z801" s="279"/>
      <c r="AA801" s="279"/>
      <c r="AB801" s="279"/>
      <c r="AC801" s="279"/>
      <c r="AD801" s="279"/>
      <c r="AE801" s="279"/>
      <c r="AF801" s="279"/>
      <c r="AG801" s="279"/>
      <c r="AH801" s="279"/>
      <c r="AI801" s="279"/>
      <c r="AJ801" s="279"/>
      <c r="AK801" s="279"/>
      <c r="AL801" s="279"/>
      <c r="AM801" s="279"/>
      <c r="AN801" s="279"/>
      <c r="AO801" s="279"/>
      <c r="AP801" s="279"/>
      <c r="AQ801" s="279"/>
      <c r="AR801" s="279"/>
      <c r="AS801" s="279"/>
      <c r="AT801" s="279"/>
      <c r="AU801" s="279"/>
      <c r="AV801" s="279"/>
      <c r="AW801" s="279"/>
      <c r="AX801" s="279"/>
      <c r="AY801" s="279"/>
      <c r="AZ801" s="279"/>
      <c r="BA801" s="279"/>
      <c r="BB801" s="279"/>
      <c r="BC801" s="279"/>
      <c r="BD801" s="279"/>
      <c r="BE801" s="279"/>
      <c r="BF801" s="279"/>
      <c r="BG801" s="279"/>
      <c r="BH801" s="279"/>
      <c r="BI801" s="279"/>
      <c r="BJ801" s="279"/>
      <c r="BK801" s="279"/>
      <c r="BL801" s="279"/>
      <c r="BM801" s="279"/>
      <c r="BN801" s="279"/>
      <c r="BO801" s="279"/>
      <c r="BP801" s="279"/>
      <c r="BQ801" s="279"/>
      <c r="BR801" s="279"/>
      <c r="BS801" s="279"/>
      <c r="BT801" s="279"/>
      <c r="BU801" s="279"/>
      <c r="BV801" s="279"/>
      <c r="BW801" s="279"/>
      <c r="BX801" s="279"/>
      <c r="BY801" s="279"/>
      <c r="BZ801" s="279"/>
      <c r="CA801" s="279"/>
      <c r="CB801" s="279"/>
      <c r="CC801" s="279"/>
      <c r="CD801" s="279"/>
      <c r="CE801" s="279"/>
      <c r="CF801" s="279"/>
      <c r="CG801" s="279"/>
      <c r="CH801" s="279"/>
      <c r="CI801" s="279"/>
      <c r="CJ801" s="279"/>
      <c r="CK801" s="279"/>
      <c r="CL801" s="279"/>
      <c r="CM801" s="279"/>
      <c r="CN801" s="382"/>
    </row>
    <row r="802" x14ac:dyDescent="0.3">
      <c r="B802" s="361"/>
      <c r="C802" s="279"/>
      <c r="D802" s="280"/>
      <c r="E802" s="287"/>
      <c r="F802" s="287"/>
      <c r="G802" s="287"/>
      <c r="H802" s="1292">
        <f t="shared" si="33"/>
        <v>19</v>
      </c>
      <c r="I802" s="1320" t="str">
        <f>IF('I. Stream &amp; Compound Data'!G280&lt;&gt;"",'I. Stream &amp; Compound Data'!G280,"")</f>
        <v/>
      </c>
      <c r="J802" s="1295" t="str">
        <f>IF('I. Stream &amp; Compound Data'!W280&lt;&gt;"",'I. Stream &amp; Compound Data'!W280,"")</f>
        <v/>
      </c>
      <c r="K802" s="1295" t="str">
        <f>IF('I. Stream &amp; Compound Data'!X280&lt;&gt;"",'I. Stream &amp; Compound Data'!X280,"")</f>
        <v/>
      </c>
      <c r="L802" s="1306" t="str">
        <f>IF(H802&gt;'I. Stream &amp; Compound Data'!$F$18,"",IF(J802="","N/A",IF(J802=0,0,1)))</f>
        <v/>
      </c>
      <c r="M802" s="1168" t="str">
        <f>IF(H802&gt;'I. Stream &amp; Compound Data'!$F$18,"",IF(L802="N/A",IF(K802="","N/A",IF(K802=0,1,0)),"N/A"))</f>
        <v/>
      </c>
      <c r="N802" s="1242" t="str">
        <f>IF(H802&gt;'I. Stream &amp; Compound Data'!$F$18,"",IF(I160="","N/A",IF(L802&lt;&gt;"N/A",L802,IF(M802&lt;&gt;"N/A",M802,"NO DATA AVAILABLE"))))</f>
        <v/>
      </c>
      <c r="O802" s="1242" t="str">
        <f>IF(H802&gt;'I. Stream &amp; Compound Data'!$F$18,"",N802)</f>
        <v/>
      </c>
      <c r="P802" s="1190" t="str">
        <f>'I. Stream &amp; Compound Data'!P280</f>
        <v/>
      </c>
      <c r="Q802" s="1268" t="str">
        <f t="shared" si="34"/>
        <v/>
      </c>
      <c r="R802" s="297"/>
      <c r="S802" s="298"/>
      <c r="T802" s="298"/>
      <c r="U802" s="299"/>
      <c r="V802" s="279"/>
      <c r="W802" s="279"/>
      <c r="X802" s="279"/>
      <c r="Y802" s="279"/>
      <c r="Z802" s="279"/>
      <c r="AA802" s="279"/>
      <c r="AB802" s="279"/>
      <c r="AC802" s="279"/>
      <c r="AD802" s="279"/>
      <c r="AE802" s="279"/>
      <c r="AF802" s="279"/>
      <c r="AG802" s="279"/>
      <c r="AH802" s="279"/>
      <c r="AI802" s="279"/>
      <c r="AJ802" s="279"/>
      <c r="AK802" s="279"/>
      <c r="AL802" s="279"/>
      <c r="AM802" s="279"/>
      <c r="AN802" s="279"/>
      <c r="AO802" s="279"/>
      <c r="AP802" s="279"/>
      <c r="AQ802" s="279"/>
      <c r="AR802" s="279"/>
      <c r="AS802" s="279"/>
      <c r="AT802" s="279"/>
      <c r="AU802" s="279"/>
      <c r="AV802" s="279"/>
      <c r="AW802" s="279"/>
      <c r="AX802" s="279"/>
      <c r="AY802" s="279"/>
      <c r="AZ802" s="279"/>
      <c r="BA802" s="279"/>
      <c r="BB802" s="279"/>
      <c r="BC802" s="279"/>
      <c r="BD802" s="279"/>
      <c r="BE802" s="279"/>
      <c r="BF802" s="279"/>
      <c r="BG802" s="279"/>
      <c r="BH802" s="279"/>
      <c r="BI802" s="279"/>
      <c r="BJ802" s="279"/>
      <c r="BK802" s="279"/>
      <c r="BL802" s="279"/>
      <c r="BM802" s="279"/>
      <c r="BN802" s="279"/>
      <c r="BO802" s="279"/>
      <c r="BP802" s="279"/>
      <c r="BQ802" s="279"/>
      <c r="BR802" s="279"/>
      <c r="BS802" s="279"/>
      <c r="BT802" s="279"/>
      <c r="BU802" s="279"/>
      <c r="BV802" s="279"/>
      <c r="BW802" s="279"/>
      <c r="BX802" s="279"/>
      <c r="BY802" s="279"/>
      <c r="BZ802" s="279"/>
      <c r="CA802" s="279"/>
      <c r="CB802" s="279"/>
      <c r="CC802" s="279"/>
      <c r="CD802" s="279"/>
      <c r="CE802" s="279"/>
      <c r="CF802" s="279"/>
      <c r="CG802" s="279"/>
      <c r="CH802" s="279"/>
      <c r="CI802" s="279"/>
      <c r="CJ802" s="279"/>
      <c r="CK802" s="279"/>
      <c r="CL802" s="279"/>
      <c r="CM802" s="279"/>
      <c r="CN802" s="382"/>
    </row>
    <row r="803" x14ac:dyDescent="0.3">
      <c r="B803" s="361"/>
      <c r="C803" s="279"/>
      <c r="D803" s="280"/>
      <c r="E803" s="287"/>
      <c r="F803" s="287"/>
      <c r="G803" s="287"/>
      <c r="H803" s="1292">
        <f t="shared" si="33"/>
        <v>20</v>
      </c>
      <c r="I803" s="1320" t="str">
        <f>IF('I. Stream &amp; Compound Data'!G281&lt;&gt;"",'I. Stream &amp; Compound Data'!G281,"")</f>
        <v/>
      </c>
      <c r="J803" s="1295" t="str">
        <f>IF('I. Stream &amp; Compound Data'!W281&lt;&gt;"",'I. Stream &amp; Compound Data'!W281,"")</f>
        <v/>
      </c>
      <c r="K803" s="1295" t="str">
        <f>IF('I. Stream &amp; Compound Data'!X281&lt;&gt;"",'I. Stream &amp; Compound Data'!X281,"")</f>
        <v/>
      </c>
      <c r="L803" s="1306" t="str">
        <f>IF(H803&gt;'I. Stream &amp; Compound Data'!$F$18,"",IF(J803="","N/A",IF(J803=0,0,1)))</f>
        <v/>
      </c>
      <c r="M803" s="1168" t="str">
        <f>IF(H803&gt;'I. Stream &amp; Compound Data'!$F$18,"",IF(L803="N/A",IF(K803="","N/A",IF(K803=0,1,0)),"N/A"))</f>
        <v/>
      </c>
      <c r="N803" s="1242" t="str">
        <f>IF(H803&gt;'I. Stream &amp; Compound Data'!$F$18,"",IF(I161="","N/A",IF(L803&lt;&gt;"N/A",L803,IF(M803&lt;&gt;"N/A",M803,"NO DATA AVAILABLE"))))</f>
        <v/>
      </c>
      <c r="O803" s="1242" t="str">
        <f>IF(H803&gt;'I. Stream &amp; Compound Data'!$F$18,"",N803)</f>
        <v/>
      </c>
      <c r="P803" s="1190" t="str">
        <f>'I. Stream &amp; Compound Data'!P281</f>
        <v/>
      </c>
      <c r="Q803" s="1268" t="str">
        <f t="shared" si="34"/>
        <v/>
      </c>
      <c r="R803" s="297"/>
      <c r="S803" s="298"/>
      <c r="T803" s="298"/>
      <c r="U803" s="299"/>
      <c r="V803" s="279"/>
      <c r="W803" s="279"/>
      <c r="X803" s="279"/>
      <c r="Y803" s="279"/>
      <c r="Z803" s="279"/>
      <c r="AA803" s="279"/>
      <c r="AB803" s="279"/>
      <c r="AC803" s="279"/>
      <c r="AD803" s="279"/>
      <c r="AE803" s="279"/>
      <c r="AF803" s="279"/>
      <c r="AG803" s="279"/>
      <c r="AH803" s="279"/>
      <c r="AI803" s="279"/>
      <c r="AJ803" s="279"/>
      <c r="AK803" s="279"/>
      <c r="AL803" s="279"/>
      <c r="AM803" s="279"/>
      <c r="AN803" s="279"/>
      <c r="AO803" s="279"/>
      <c r="AP803" s="279"/>
      <c r="AQ803" s="279"/>
      <c r="AR803" s="279"/>
      <c r="AS803" s="279"/>
      <c r="AT803" s="279"/>
      <c r="AU803" s="279"/>
      <c r="AV803" s="279"/>
      <c r="AW803" s="279"/>
      <c r="AX803" s="279"/>
      <c r="AY803" s="279"/>
      <c r="AZ803" s="279"/>
      <c r="BA803" s="279"/>
      <c r="BB803" s="279"/>
      <c r="BC803" s="279"/>
      <c r="BD803" s="279"/>
      <c r="BE803" s="279"/>
      <c r="BF803" s="279"/>
      <c r="BG803" s="279"/>
      <c r="BH803" s="279"/>
      <c r="BI803" s="279"/>
      <c r="BJ803" s="279"/>
      <c r="BK803" s="279"/>
      <c r="BL803" s="279"/>
      <c r="BM803" s="279"/>
      <c r="BN803" s="279"/>
      <c r="BO803" s="279"/>
      <c r="BP803" s="279"/>
      <c r="BQ803" s="279"/>
      <c r="BR803" s="279"/>
      <c r="BS803" s="279"/>
      <c r="BT803" s="279"/>
      <c r="BU803" s="279"/>
      <c r="BV803" s="279"/>
      <c r="BW803" s="279"/>
      <c r="BX803" s="279"/>
      <c r="BY803" s="279"/>
      <c r="BZ803" s="279"/>
      <c r="CA803" s="279"/>
      <c r="CB803" s="279"/>
      <c r="CC803" s="279"/>
      <c r="CD803" s="279"/>
      <c r="CE803" s="279"/>
      <c r="CF803" s="279"/>
      <c r="CG803" s="279"/>
      <c r="CH803" s="279"/>
      <c r="CI803" s="279"/>
      <c r="CJ803" s="279"/>
      <c r="CK803" s="279"/>
      <c r="CL803" s="279"/>
      <c r="CM803" s="279"/>
      <c r="CN803" s="382"/>
    </row>
    <row r="804" x14ac:dyDescent="0.3">
      <c r="B804" s="361"/>
      <c r="C804" s="279"/>
      <c r="D804" s="280"/>
      <c r="E804" s="287"/>
      <c r="F804" s="287"/>
      <c r="G804" s="287"/>
      <c r="H804" s="1292">
        <f t="shared" si="33"/>
        <v>21</v>
      </c>
      <c r="I804" s="1320" t="str">
        <f>IF('I. Stream &amp; Compound Data'!G282&lt;&gt;"",'I. Stream &amp; Compound Data'!G282,"")</f>
        <v/>
      </c>
      <c r="J804" s="1295" t="str">
        <f>IF('I. Stream &amp; Compound Data'!W282&lt;&gt;"",'I. Stream &amp; Compound Data'!W282,"")</f>
        <v/>
      </c>
      <c r="K804" s="1295" t="str">
        <f>IF('I. Stream &amp; Compound Data'!X282&lt;&gt;"",'I. Stream &amp; Compound Data'!X282,"")</f>
        <v/>
      </c>
      <c r="L804" s="1306" t="str">
        <f>IF(H804&gt;'I. Stream &amp; Compound Data'!$F$18,"",IF(J804="","N/A",IF(J804=0,0,1)))</f>
        <v/>
      </c>
      <c r="M804" s="1168" t="str">
        <f>IF(H804&gt;'I. Stream &amp; Compound Data'!$F$18,"",IF(L804="N/A",IF(K804="","N/A",IF(K804=0,1,0)),"N/A"))</f>
        <v/>
      </c>
      <c r="N804" s="1242" t="str">
        <f>IF(H804&gt;'I. Stream &amp; Compound Data'!$F$18,"",IF(I162="","N/A",IF(L804&lt;&gt;"N/A",L804,IF(M804&lt;&gt;"N/A",M804,"NO DATA AVAILABLE"))))</f>
        <v/>
      </c>
      <c r="O804" s="1242" t="str">
        <f>IF(H804&gt;'I. Stream &amp; Compound Data'!$F$18,"",N804)</f>
        <v/>
      </c>
      <c r="P804" s="1190" t="str">
        <f>'I. Stream &amp; Compound Data'!P282</f>
        <v/>
      </c>
      <c r="Q804" s="1268" t="str">
        <f t="shared" si="34"/>
        <v/>
      </c>
      <c r="R804" s="297"/>
      <c r="S804" s="298"/>
      <c r="T804" s="298"/>
      <c r="U804" s="299"/>
      <c r="V804" s="279"/>
      <c r="W804" s="279"/>
      <c r="X804" s="279"/>
      <c r="Y804" s="279"/>
      <c r="Z804" s="279"/>
      <c r="AA804" s="279"/>
      <c r="AB804" s="279"/>
      <c r="AC804" s="279"/>
      <c r="AD804" s="279"/>
      <c r="AE804" s="279"/>
      <c r="AF804" s="279"/>
      <c r="AG804" s="279"/>
      <c r="AH804" s="279"/>
      <c r="AI804" s="279"/>
      <c r="AJ804" s="279"/>
      <c r="AK804" s="279"/>
      <c r="AL804" s="279"/>
      <c r="AM804" s="279"/>
      <c r="AN804" s="279"/>
      <c r="AO804" s="279"/>
      <c r="AP804" s="279"/>
      <c r="AQ804" s="279"/>
      <c r="AR804" s="279"/>
      <c r="AS804" s="279"/>
      <c r="AT804" s="279"/>
      <c r="AU804" s="279"/>
      <c r="AV804" s="279"/>
      <c r="AW804" s="279"/>
      <c r="AX804" s="279"/>
      <c r="AY804" s="279"/>
      <c r="AZ804" s="279"/>
      <c r="BA804" s="279"/>
      <c r="BB804" s="279"/>
      <c r="BC804" s="279"/>
      <c r="BD804" s="279"/>
      <c r="BE804" s="279"/>
      <c r="BF804" s="279"/>
      <c r="BG804" s="279"/>
      <c r="BH804" s="279"/>
      <c r="BI804" s="279"/>
      <c r="BJ804" s="279"/>
      <c r="BK804" s="279"/>
      <c r="BL804" s="279"/>
      <c r="BM804" s="279"/>
      <c r="BN804" s="279"/>
      <c r="BO804" s="279"/>
      <c r="BP804" s="279"/>
      <c r="BQ804" s="279"/>
      <c r="BR804" s="279"/>
      <c r="BS804" s="279"/>
      <c r="BT804" s="279"/>
      <c r="BU804" s="279"/>
      <c r="BV804" s="279"/>
      <c r="BW804" s="279"/>
      <c r="BX804" s="279"/>
      <c r="BY804" s="279"/>
      <c r="BZ804" s="279"/>
      <c r="CA804" s="279"/>
      <c r="CB804" s="279"/>
      <c r="CC804" s="279"/>
      <c r="CD804" s="279"/>
      <c r="CE804" s="279"/>
      <c r="CF804" s="279"/>
      <c r="CG804" s="279"/>
      <c r="CH804" s="279"/>
      <c r="CI804" s="279"/>
      <c r="CJ804" s="279"/>
      <c r="CK804" s="279"/>
      <c r="CL804" s="279"/>
      <c r="CM804" s="279"/>
      <c r="CN804" s="382"/>
    </row>
    <row r="805" x14ac:dyDescent="0.3">
      <c r="B805" s="361"/>
      <c r="C805" s="279"/>
      <c r="D805" s="280"/>
      <c r="E805" s="287"/>
      <c r="F805" s="287"/>
      <c r="G805" s="287"/>
      <c r="H805" s="1292">
        <f t="shared" si="33"/>
        <v>22</v>
      </c>
      <c r="I805" s="1320" t="str">
        <f>IF('I. Stream &amp; Compound Data'!G283&lt;&gt;"",'I. Stream &amp; Compound Data'!G283,"")</f>
        <v/>
      </c>
      <c r="J805" s="1295" t="str">
        <f>IF('I. Stream &amp; Compound Data'!W283&lt;&gt;"",'I. Stream &amp; Compound Data'!W283,"")</f>
        <v/>
      </c>
      <c r="K805" s="1295" t="str">
        <f>IF('I. Stream &amp; Compound Data'!X283&lt;&gt;"",'I. Stream &amp; Compound Data'!X283,"")</f>
        <v/>
      </c>
      <c r="L805" s="1306" t="str">
        <f>IF(H805&gt;'I. Stream &amp; Compound Data'!$F$18,"",IF(J805="","N/A",IF(J805=0,0,1)))</f>
        <v/>
      </c>
      <c r="M805" s="1168" t="str">
        <f>IF(H805&gt;'I. Stream &amp; Compound Data'!$F$18,"",IF(L805="N/A",IF(K805="","N/A",IF(K805=0,1,0)),"N/A"))</f>
        <v/>
      </c>
      <c r="N805" s="1242" t="str">
        <f>IF(H805&gt;'I. Stream &amp; Compound Data'!$F$18,"",IF(I163="","N/A",IF(L805&lt;&gt;"N/A",L805,IF(M805&lt;&gt;"N/A",M805,"NO DATA AVAILABLE"))))</f>
        <v/>
      </c>
      <c r="O805" s="1242" t="str">
        <f>IF(H805&gt;'I. Stream &amp; Compound Data'!$F$18,"",N805)</f>
        <v/>
      </c>
      <c r="P805" s="1190" t="str">
        <f>'I. Stream &amp; Compound Data'!P283</f>
        <v/>
      </c>
      <c r="Q805" s="1268" t="str">
        <f t="shared" si="34"/>
        <v/>
      </c>
      <c r="R805" s="297"/>
      <c r="S805" s="298"/>
      <c r="T805" s="298"/>
      <c r="U805" s="299"/>
      <c r="V805" s="279"/>
      <c r="W805" s="279"/>
      <c r="X805" s="279"/>
      <c r="Y805" s="279"/>
      <c r="Z805" s="279"/>
      <c r="AA805" s="279"/>
      <c r="AB805" s="279"/>
      <c r="AC805" s="279"/>
      <c r="AD805" s="279"/>
      <c r="AE805" s="279"/>
      <c r="AF805" s="279"/>
      <c r="AG805" s="279"/>
      <c r="AH805" s="279"/>
      <c r="AI805" s="279"/>
      <c r="AJ805" s="279"/>
      <c r="AK805" s="279"/>
      <c r="AL805" s="279"/>
      <c r="AM805" s="279"/>
      <c r="AN805" s="279"/>
      <c r="AO805" s="279"/>
      <c r="AP805" s="279"/>
      <c r="AQ805" s="279"/>
      <c r="AR805" s="279"/>
      <c r="AS805" s="279"/>
      <c r="AT805" s="279"/>
      <c r="AU805" s="279"/>
      <c r="AV805" s="279"/>
      <c r="AW805" s="279"/>
      <c r="AX805" s="279"/>
      <c r="AY805" s="279"/>
      <c r="AZ805" s="279"/>
      <c r="BA805" s="279"/>
      <c r="BB805" s="279"/>
      <c r="BC805" s="279"/>
      <c r="BD805" s="279"/>
      <c r="BE805" s="279"/>
      <c r="BF805" s="279"/>
      <c r="BG805" s="279"/>
      <c r="BH805" s="279"/>
      <c r="BI805" s="279"/>
      <c r="BJ805" s="279"/>
      <c r="BK805" s="279"/>
      <c r="BL805" s="279"/>
      <c r="BM805" s="279"/>
      <c r="BN805" s="279"/>
      <c r="BO805" s="279"/>
      <c r="BP805" s="279"/>
      <c r="BQ805" s="279"/>
      <c r="BR805" s="279"/>
      <c r="BS805" s="279"/>
      <c r="BT805" s="279"/>
      <c r="BU805" s="279"/>
      <c r="BV805" s="279"/>
      <c r="BW805" s="279"/>
      <c r="BX805" s="279"/>
      <c r="BY805" s="279"/>
      <c r="BZ805" s="279"/>
      <c r="CA805" s="279"/>
      <c r="CB805" s="279"/>
      <c r="CC805" s="279"/>
      <c r="CD805" s="279"/>
      <c r="CE805" s="279"/>
      <c r="CF805" s="279"/>
      <c r="CG805" s="279"/>
      <c r="CH805" s="279"/>
      <c r="CI805" s="279"/>
      <c r="CJ805" s="279"/>
      <c r="CK805" s="279"/>
      <c r="CL805" s="279"/>
      <c r="CM805" s="279"/>
      <c r="CN805" s="382"/>
    </row>
    <row r="806" x14ac:dyDescent="0.3">
      <c r="B806" s="361"/>
      <c r="C806" s="279"/>
      <c r="D806" s="280"/>
      <c r="E806" s="287"/>
      <c r="F806" s="287"/>
      <c r="G806" s="287"/>
      <c r="H806" s="1292">
        <f t="shared" si="33"/>
        <v>23</v>
      </c>
      <c r="I806" s="1320" t="str">
        <f>IF('I. Stream &amp; Compound Data'!G284&lt;&gt;"",'I. Stream &amp; Compound Data'!G284,"")</f>
        <v/>
      </c>
      <c r="J806" s="1295" t="str">
        <f>IF('I. Stream &amp; Compound Data'!W284&lt;&gt;"",'I. Stream &amp; Compound Data'!W284,"")</f>
        <v/>
      </c>
      <c r="K806" s="1295" t="str">
        <f>IF('I. Stream &amp; Compound Data'!X284&lt;&gt;"",'I. Stream &amp; Compound Data'!X284,"")</f>
        <v/>
      </c>
      <c r="L806" s="1306" t="str">
        <f>IF(H806&gt;'I. Stream &amp; Compound Data'!$F$18,"",IF(J806="","N/A",IF(J806=0,0,1)))</f>
        <v/>
      </c>
      <c r="M806" s="1168" t="str">
        <f>IF(H806&gt;'I. Stream &amp; Compound Data'!$F$18,"",IF(L806="N/A",IF(K806="","N/A",IF(K806=0,1,0)),"N/A"))</f>
        <v/>
      </c>
      <c r="N806" s="1242" t="str">
        <f>IF(H806&gt;'I. Stream &amp; Compound Data'!$F$18,"",IF(I164="","N/A",IF(L806&lt;&gt;"N/A",L806,IF(M806&lt;&gt;"N/A",M806,"NO DATA AVAILABLE"))))</f>
        <v/>
      </c>
      <c r="O806" s="1242" t="str">
        <f>IF(H806&gt;'I. Stream &amp; Compound Data'!$F$18,"",N806)</f>
        <v/>
      </c>
      <c r="P806" s="1190" t="str">
        <f>'I. Stream &amp; Compound Data'!P284</f>
        <v/>
      </c>
      <c r="Q806" s="1268" t="str">
        <f t="shared" si="34"/>
        <v/>
      </c>
      <c r="R806" s="297"/>
      <c r="S806" s="298"/>
      <c r="T806" s="298"/>
      <c r="U806" s="299"/>
      <c r="V806" s="279"/>
      <c r="W806" s="279"/>
      <c r="X806" s="279"/>
      <c r="Y806" s="279"/>
      <c r="Z806" s="279"/>
      <c r="AA806" s="279"/>
      <c r="AB806" s="279"/>
      <c r="AC806" s="279"/>
      <c r="AD806" s="279"/>
      <c r="AE806" s="279"/>
      <c r="AF806" s="279"/>
      <c r="AG806" s="279"/>
      <c r="AH806" s="279"/>
      <c r="AI806" s="279"/>
      <c r="AJ806" s="279"/>
      <c r="AK806" s="279"/>
      <c r="AL806" s="279"/>
      <c r="AM806" s="279"/>
      <c r="AN806" s="279"/>
      <c r="AO806" s="279"/>
      <c r="AP806" s="279"/>
      <c r="AQ806" s="279"/>
      <c r="AR806" s="279"/>
      <c r="AS806" s="279"/>
      <c r="AT806" s="279"/>
      <c r="AU806" s="279"/>
      <c r="AV806" s="279"/>
      <c r="AW806" s="279"/>
      <c r="AX806" s="279"/>
      <c r="AY806" s="279"/>
      <c r="AZ806" s="279"/>
      <c r="BA806" s="279"/>
      <c r="BB806" s="279"/>
      <c r="BC806" s="279"/>
      <c r="BD806" s="279"/>
      <c r="BE806" s="279"/>
      <c r="BF806" s="279"/>
      <c r="BG806" s="279"/>
      <c r="BH806" s="279"/>
      <c r="BI806" s="279"/>
      <c r="BJ806" s="279"/>
      <c r="BK806" s="279"/>
      <c r="BL806" s="279"/>
      <c r="BM806" s="279"/>
      <c r="BN806" s="279"/>
      <c r="BO806" s="279"/>
      <c r="BP806" s="279"/>
      <c r="BQ806" s="279"/>
      <c r="BR806" s="279"/>
      <c r="BS806" s="279"/>
      <c r="BT806" s="279"/>
      <c r="BU806" s="279"/>
      <c r="BV806" s="279"/>
      <c r="BW806" s="279"/>
      <c r="BX806" s="279"/>
      <c r="BY806" s="279"/>
      <c r="BZ806" s="279"/>
      <c r="CA806" s="279"/>
      <c r="CB806" s="279"/>
      <c r="CC806" s="279"/>
      <c r="CD806" s="279"/>
      <c r="CE806" s="279"/>
      <c r="CF806" s="279"/>
      <c r="CG806" s="279"/>
      <c r="CH806" s="279"/>
      <c r="CI806" s="279"/>
      <c r="CJ806" s="279"/>
      <c r="CK806" s="279"/>
      <c r="CL806" s="279"/>
      <c r="CM806" s="279"/>
      <c r="CN806" s="382"/>
    </row>
    <row r="807" x14ac:dyDescent="0.3">
      <c r="B807" s="361"/>
      <c r="C807" s="279"/>
      <c r="D807" s="280"/>
      <c r="E807" s="287"/>
      <c r="F807" s="287"/>
      <c r="G807" s="287"/>
      <c r="H807" s="1292">
        <f t="shared" si="33"/>
        <v>24</v>
      </c>
      <c r="I807" s="1320" t="str">
        <f>IF('I. Stream &amp; Compound Data'!G285&lt;&gt;"",'I. Stream &amp; Compound Data'!G285,"")</f>
        <v/>
      </c>
      <c r="J807" s="1295" t="str">
        <f>IF('I. Stream &amp; Compound Data'!W285&lt;&gt;"",'I. Stream &amp; Compound Data'!W285,"")</f>
        <v/>
      </c>
      <c r="K807" s="1295" t="str">
        <f>IF('I. Stream &amp; Compound Data'!X285&lt;&gt;"",'I. Stream &amp; Compound Data'!X285,"")</f>
        <v/>
      </c>
      <c r="L807" s="1306" t="str">
        <f>IF(H807&gt;'I. Stream &amp; Compound Data'!$F$18,"",IF(J807="","N/A",IF(J807=0,0,1)))</f>
        <v/>
      </c>
      <c r="M807" s="1168" t="str">
        <f>IF(H807&gt;'I. Stream &amp; Compound Data'!$F$18,"",IF(L807="N/A",IF(K807="","N/A",IF(K807=0,1,0)),"N/A"))</f>
        <v/>
      </c>
      <c r="N807" s="1242" t="str">
        <f>IF(H807&gt;'I. Stream &amp; Compound Data'!$F$18,"",IF(I165="","N/A",IF(L807&lt;&gt;"N/A",L807,IF(M807&lt;&gt;"N/A",M807,"NO DATA AVAILABLE"))))</f>
        <v/>
      </c>
      <c r="O807" s="1242" t="str">
        <f>IF(H807&gt;'I. Stream &amp; Compound Data'!$F$18,"",N807)</f>
        <v/>
      </c>
      <c r="P807" s="1190" t="str">
        <f>'I. Stream &amp; Compound Data'!P285</f>
        <v/>
      </c>
      <c r="Q807" s="1268" t="str">
        <f t="shared" si="34"/>
        <v/>
      </c>
      <c r="R807" s="297"/>
      <c r="S807" s="298"/>
      <c r="T807" s="298"/>
      <c r="U807" s="299"/>
      <c r="V807" s="279"/>
      <c r="W807" s="279"/>
      <c r="X807" s="279"/>
      <c r="Y807" s="279"/>
      <c r="Z807" s="279"/>
      <c r="AA807" s="279"/>
      <c r="AB807" s="279"/>
      <c r="AC807" s="279"/>
      <c r="AD807" s="279"/>
      <c r="AE807" s="279"/>
      <c r="AF807" s="279"/>
      <c r="AG807" s="279"/>
      <c r="AH807" s="279"/>
      <c r="AI807" s="279"/>
      <c r="AJ807" s="279"/>
      <c r="AK807" s="279"/>
      <c r="AL807" s="279"/>
      <c r="AM807" s="279"/>
      <c r="AN807" s="279"/>
      <c r="AO807" s="279"/>
      <c r="AP807" s="279"/>
      <c r="AQ807" s="279"/>
      <c r="AR807" s="279"/>
      <c r="AS807" s="279"/>
      <c r="AT807" s="279"/>
      <c r="AU807" s="279"/>
      <c r="AV807" s="279"/>
      <c r="AW807" s="279"/>
      <c r="AX807" s="279"/>
      <c r="AY807" s="279"/>
      <c r="AZ807" s="279"/>
      <c r="BA807" s="279"/>
      <c r="BB807" s="279"/>
      <c r="BC807" s="279"/>
      <c r="BD807" s="279"/>
      <c r="BE807" s="279"/>
      <c r="BF807" s="279"/>
      <c r="BG807" s="279"/>
      <c r="BH807" s="279"/>
      <c r="BI807" s="279"/>
      <c r="BJ807" s="279"/>
      <c r="BK807" s="279"/>
      <c r="BL807" s="279"/>
      <c r="BM807" s="279"/>
      <c r="BN807" s="279"/>
      <c r="BO807" s="279"/>
      <c r="BP807" s="279"/>
      <c r="BQ807" s="279"/>
      <c r="BR807" s="279"/>
      <c r="BS807" s="279"/>
      <c r="BT807" s="279"/>
      <c r="BU807" s="279"/>
      <c r="BV807" s="279"/>
      <c r="BW807" s="279"/>
      <c r="BX807" s="279"/>
      <c r="BY807" s="279"/>
      <c r="BZ807" s="279"/>
      <c r="CA807" s="279"/>
      <c r="CB807" s="279"/>
      <c r="CC807" s="279"/>
      <c r="CD807" s="279"/>
      <c r="CE807" s="279"/>
      <c r="CF807" s="279"/>
      <c r="CG807" s="279"/>
      <c r="CH807" s="279"/>
      <c r="CI807" s="279"/>
      <c r="CJ807" s="279"/>
      <c r="CK807" s="279"/>
      <c r="CL807" s="279"/>
      <c r="CM807" s="279"/>
      <c r="CN807" s="382"/>
    </row>
    <row r="808" x14ac:dyDescent="0.3">
      <c r="B808" s="361"/>
      <c r="C808" s="279"/>
      <c r="D808" s="280"/>
      <c r="E808" s="287"/>
      <c r="F808" s="287"/>
      <c r="G808" s="287"/>
      <c r="H808" s="1292">
        <f t="shared" si="33"/>
        <v>25</v>
      </c>
      <c r="I808" s="1320" t="str">
        <f>IF('I. Stream &amp; Compound Data'!G286&lt;&gt;"",'I. Stream &amp; Compound Data'!G286,"")</f>
        <v/>
      </c>
      <c r="J808" s="1295" t="str">
        <f>IF('I. Stream &amp; Compound Data'!W286&lt;&gt;"",'I. Stream &amp; Compound Data'!W286,"")</f>
        <v/>
      </c>
      <c r="K808" s="1295" t="str">
        <f>IF('I. Stream &amp; Compound Data'!X286&lt;&gt;"",'I. Stream &amp; Compound Data'!X286,"")</f>
        <v/>
      </c>
      <c r="L808" s="1306" t="str">
        <f>IF(H808&gt;'I. Stream &amp; Compound Data'!$F$18,"",IF(J808="","N/A",IF(J808=0,0,1)))</f>
        <v/>
      </c>
      <c r="M808" s="1168" t="str">
        <f>IF(H808&gt;'I. Stream &amp; Compound Data'!$F$18,"",IF(L808="N/A",IF(K808="","N/A",IF(K808=0,1,0)),"N/A"))</f>
        <v/>
      </c>
      <c r="N808" s="1242" t="str">
        <f>IF(H808&gt;'I. Stream &amp; Compound Data'!$F$18,"",IF(I166="","N/A",IF(L808&lt;&gt;"N/A",L808,IF(M808&lt;&gt;"N/A",M808,"NO DATA AVAILABLE"))))</f>
        <v/>
      </c>
      <c r="O808" s="1242" t="str">
        <f>IF(H808&gt;'I. Stream &amp; Compound Data'!$F$18,"",N808)</f>
        <v/>
      </c>
      <c r="P808" s="1190" t="str">
        <f>'I. Stream &amp; Compound Data'!P286</f>
        <v/>
      </c>
      <c r="Q808" s="1268" t="str">
        <f t="shared" si="34"/>
        <v/>
      </c>
      <c r="R808" s="297"/>
      <c r="S808" s="298"/>
      <c r="T808" s="298"/>
      <c r="U808" s="299"/>
      <c r="V808" s="279"/>
      <c r="W808" s="279"/>
      <c r="X808" s="279"/>
      <c r="Y808" s="279"/>
      <c r="Z808" s="279"/>
      <c r="AA808" s="279"/>
      <c r="AB808" s="279"/>
      <c r="AC808" s="279"/>
      <c r="AD808" s="279"/>
      <c r="AE808" s="279"/>
      <c r="AF808" s="279"/>
      <c r="AG808" s="279"/>
      <c r="AH808" s="279"/>
      <c r="AI808" s="279"/>
      <c r="AJ808" s="279"/>
      <c r="AK808" s="279"/>
      <c r="AL808" s="279"/>
      <c r="AM808" s="279"/>
      <c r="AN808" s="279"/>
      <c r="AO808" s="279"/>
      <c r="AP808" s="279"/>
      <c r="AQ808" s="279"/>
      <c r="AR808" s="279"/>
      <c r="AS808" s="279"/>
      <c r="AT808" s="279"/>
      <c r="AU808" s="279"/>
      <c r="AV808" s="279"/>
      <c r="AW808" s="279"/>
      <c r="AX808" s="279"/>
      <c r="AY808" s="279"/>
      <c r="AZ808" s="279"/>
      <c r="BA808" s="279"/>
      <c r="BB808" s="279"/>
      <c r="BC808" s="279"/>
      <c r="BD808" s="279"/>
      <c r="BE808" s="279"/>
      <c r="BF808" s="279"/>
      <c r="BG808" s="279"/>
      <c r="BH808" s="279"/>
      <c r="BI808" s="279"/>
      <c r="BJ808" s="279"/>
      <c r="BK808" s="279"/>
      <c r="BL808" s="279"/>
      <c r="BM808" s="279"/>
      <c r="BN808" s="279"/>
      <c r="BO808" s="279"/>
      <c r="BP808" s="279"/>
      <c r="BQ808" s="279"/>
      <c r="BR808" s="279"/>
      <c r="BS808" s="279"/>
      <c r="BT808" s="279"/>
      <c r="BU808" s="279"/>
      <c r="BV808" s="279"/>
      <c r="BW808" s="279"/>
      <c r="BX808" s="279"/>
      <c r="BY808" s="279"/>
      <c r="BZ808" s="279"/>
      <c r="CA808" s="279"/>
      <c r="CB808" s="279"/>
      <c r="CC808" s="279"/>
      <c r="CD808" s="279"/>
      <c r="CE808" s="279"/>
      <c r="CF808" s="279"/>
      <c r="CG808" s="279"/>
      <c r="CH808" s="279"/>
      <c r="CI808" s="279"/>
      <c r="CJ808" s="279"/>
      <c r="CK808" s="279"/>
      <c r="CL808" s="279"/>
      <c r="CM808" s="279"/>
      <c r="CN808" s="382"/>
    </row>
    <row r="809" x14ac:dyDescent="0.3">
      <c r="B809" s="361"/>
      <c r="C809" s="279"/>
      <c r="D809" s="280"/>
      <c r="E809" s="287"/>
      <c r="F809" s="287"/>
      <c r="G809" s="287"/>
      <c r="H809" s="1292">
        <f t="shared" si="33"/>
        <v>26</v>
      </c>
      <c r="I809" s="1320" t="str">
        <f>IF('I. Stream &amp; Compound Data'!G287&lt;&gt;"",'I. Stream &amp; Compound Data'!G287,"")</f>
        <v/>
      </c>
      <c r="J809" s="1295" t="str">
        <f>IF('I. Stream &amp; Compound Data'!W287&lt;&gt;"",'I. Stream &amp; Compound Data'!W287,"")</f>
        <v/>
      </c>
      <c r="K809" s="1295" t="str">
        <f>IF('I. Stream &amp; Compound Data'!X287&lt;&gt;"",'I. Stream &amp; Compound Data'!X287,"")</f>
        <v/>
      </c>
      <c r="L809" s="1306" t="str">
        <f>IF(H809&gt;'I. Stream &amp; Compound Data'!$F$18,"",IF(J809="","N/A",IF(J809=0,0,1)))</f>
        <v/>
      </c>
      <c r="M809" s="1168" t="str">
        <f>IF(H809&gt;'I. Stream &amp; Compound Data'!$F$18,"",IF(L809="N/A",IF(K809="","N/A",IF(K809=0,1,0)),"N/A"))</f>
        <v/>
      </c>
      <c r="N809" s="1242" t="str">
        <f>IF(H809&gt;'I. Stream &amp; Compound Data'!$F$18,"",IF(I167="","N/A",IF(L809&lt;&gt;"N/A",L809,IF(M809&lt;&gt;"N/A",M809,"NO DATA AVAILABLE"))))</f>
        <v/>
      </c>
      <c r="O809" s="1242" t="str">
        <f>IF(H809&gt;'I. Stream &amp; Compound Data'!$F$18,"",N809)</f>
        <v/>
      </c>
      <c r="P809" s="1190" t="str">
        <f>'I. Stream &amp; Compound Data'!P287</f>
        <v/>
      </c>
      <c r="Q809" s="1268" t="str">
        <f t="shared" si="34"/>
        <v/>
      </c>
      <c r="R809" s="297"/>
      <c r="S809" s="298"/>
      <c r="T809" s="298"/>
      <c r="U809" s="299"/>
      <c r="V809" s="279"/>
      <c r="W809" s="279"/>
      <c r="X809" s="279"/>
      <c r="Y809" s="279"/>
      <c r="Z809" s="279"/>
      <c r="AA809" s="279"/>
      <c r="AB809" s="279"/>
      <c r="AC809" s="279"/>
      <c r="AD809" s="279"/>
      <c r="AE809" s="279"/>
      <c r="AF809" s="279"/>
      <c r="AG809" s="279"/>
      <c r="AH809" s="279"/>
      <c r="AI809" s="279"/>
      <c r="AJ809" s="279"/>
      <c r="AK809" s="279"/>
      <c r="AL809" s="279"/>
      <c r="AM809" s="279"/>
      <c r="AN809" s="279"/>
      <c r="AO809" s="279"/>
      <c r="AP809" s="279"/>
      <c r="AQ809" s="279"/>
      <c r="AR809" s="279"/>
      <c r="AS809" s="279"/>
      <c r="AT809" s="279"/>
      <c r="AU809" s="279"/>
      <c r="AV809" s="279"/>
      <c r="AW809" s="279"/>
      <c r="AX809" s="279"/>
      <c r="AY809" s="279"/>
      <c r="AZ809" s="279"/>
      <c r="BA809" s="279"/>
      <c r="BB809" s="279"/>
      <c r="BC809" s="279"/>
      <c r="BD809" s="279"/>
      <c r="BE809" s="279"/>
      <c r="BF809" s="279"/>
      <c r="BG809" s="279"/>
      <c r="BH809" s="279"/>
      <c r="BI809" s="279"/>
      <c r="BJ809" s="279"/>
      <c r="BK809" s="279"/>
      <c r="BL809" s="279"/>
      <c r="BM809" s="279"/>
      <c r="BN809" s="279"/>
      <c r="BO809" s="279"/>
      <c r="BP809" s="279"/>
      <c r="BQ809" s="279"/>
      <c r="BR809" s="279"/>
      <c r="BS809" s="279"/>
      <c r="BT809" s="279"/>
      <c r="BU809" s="279"/>
      <c r="BV809" s="279"/>
      <c r="BW809" s="279"/>
      <c r="BX809" s="279"/>
      <c r="BY809" s="279"/>
      <c r="BZ809" s="279"/>
      <c r="CA809" s="279"/>
      <c r="CB809" s="279"/>
      <c r="CC809" s="279"/>
      <c r="CD809" s="279"/>
      <c r="CE809" s="279"/>
      <c r="CF809" s="279"/>
      <c r="CG809" s="279"/>
      <c r="CH809" s="279"/>
      <c r="CI809" s="279"/>
      <c r="CJ809" s="279"/>
      <c r="CK809" s="279"/>
      <c r="CL809" s="279"/>
      <c r="CM809" s="279"/>
      <c r="CN809" s="382"/>
    </row>
    <row r="810" x14ac:dyDescent="0.3">
      <c r="B810" s="361"/>
      <c r="C810" s="279"/>
      <c r="D810" s="280"/>
      <c r="E810" s="287"/>
      <c r="F810" s="287"/>
      <c r="G810" s="287"/>
      <c r="H810" s="1292">
        <f t="shared" si="33"/>
        <v>27</v>
      </c>
      <c r="I810" s="1320" t="str">
        <f>IF('I. Stream &amp; Compound Data'!G288&lt;&gt;"",'I. Stream &amp; Compound Data'!G288,"")</f>
        <v/>
      </c>
      <c r="J810" s="1295" t="str">
        <f>IF('I. Stream &amp; Compound Data'!W288&lt;&gt;"",'I. Stream &amp; Compound Data'!W288,"")</f>
        <v/>
      </c>
      <c r="K810" s="1295" t="str">
        <f>IF('I. Stream &amp; Compound Data'!X288&lt;&gt;"",'I. Stream &amp; Compound Data'!X288,"")</f>
        <v/>
      </c>
      <c r="L810" s="1306" t="str">
        <f>IF(H810&gt;'I. Stream &amp; Compound Data'!$F$18,"",IF(J810="","N/A",IF(J810=0,0,1)))</f>
        <v/>
      </c>
      <c r="M810" s="1168" t="str">
        <f>IF(H810&gt;'I. Stream &amp; Compound Data'!$F$18,"",IF(L810="N/A",IF(K810="","N/A",IF(K810=0,1,0)),"N/A"))</f>
        <v/>
      </c>
      <c r="N810" s="1242" t="str">
        <f>IF(H810&gt;'I. Stream &amp; Compound Data'!$F$18,"",IF(I168="","N/A",IF(L810&lt;&gt;"N/A",L810,IF(M810&lt;&gt;"N/A",M810,"NO DATA AVAILABLE"))))</f>
        <v/>
      </c>
      <c r="O810" s="1242" t="str">
        <f>IF(H810&gt;'I. Stream &amp; Compound Data'!$F$18,"",N810)</f>
        <v/>
      </c>
      <c r="P810" s="1190" t="str">
        <f>'I. Stream &amp; Compound Data'!P288</f>
        <v/>
      </c>
      <c r="Q810" s="1268" t="str">
        <f t="shared" si="34"/>
        <v/>
      </c>
      <c r="R810" s="297"/>
      <c r="S810" s="298"/>
      <c r="T810" s="298"/>
      <c r="U810" s="299"/>
      <c r="V810" s="279"/>
      <c r="W810" s="279"/>
      <c r="X810" s="279"/>
      <c r="Y810" s="279"/>
      <c r="Z810" s="279"/>
      <c r="AA810" s="279"/>
      <c r="AB810" s="279"/>
      <c r="AC810" s="279"/>
      <c r="AD810" s="279"/>
      <c r="AE810" s="279"/>
      <c r="AF810" s="279"/>
      <c r="AG810" s="279"/>
      <c r="AH810" s="279"/>
      <c r="AI810" s="279"/>
      <c r="AJ810" s="279"/>
      <c r="AK810" s="279"/>
      <c r="AL810" s="279"/>
      <c r="AM810" s="279"/>
      <c r="AN810" s="279"/>
      <c r="AO810" s="279"/>
      <c r="AP810" s="279"/>
      <c r="AQ810" s="279"/>
      <c r="AR810" s="279"/>
      <c r="AS810" s="279"/>
      <c r="AT810" s="279"/>
      <c r="AU810" s="279"/>
      <c r="AV810" s="279"/>
      <c r="AW810" s="279"/>
      <c r="AX810" s="279"/>
      <c r="AY810" s="279"/>
      <c r="AZ810" s="279"/>
      <c r="BA810" s="279"/>
      <c r="BB810" s="279"/>
      <c r="BC810" s="279"/>
      <c r="BD810" s="279"/>
      <c r="BE810" s="279"/>
      <c r="BF810" s="279"/>
      <c r="BG810" s="279"/>
      <c r="BH810" s="279"/>
      <c r="BI810" s="279"/>
      <c r="BJ810" s="279"/>
      <c r="BK810" s="279"/>
      <c r="BL810" s="279"/>
      <c r="BM810" s="279"/>
      <c r="BN810" s="279"/>
      <c r="BO810" s="279"/>
      <c r="BP810" s="279"/>
      <c r="BQ810" s="279"/>
      <c r="BR810" s="279"/>
      <c r="BS810" s="279"/>
      <c r="BT810" s="279"/>
      <c r="BU810" s="279"/>
      <c r="BV810" s="279"/>
      <c r="BW810" s="279"/>
      <c r="BX810" s="279"/>
      <c r="BY810" s="279"/>
      <c r="BZ810" s="279"/>
      <c r="CA810" s="279"/>
      <c r="CB810" s="279"/>
      <c r="CC810" s="279"/>
      <c r="CD810" s="279"/>
      <c r="CE810" s="279"/>
      <c r="CF810" s="279"/>
      <c r="CG810" s="279"/>
      <c r="CH810" s="279"/>
      <c r="CI810" s="279"/>
      <c r="CJ810" s="279"/>
      <c r="CK810" s="279"/>
      <c r="CL810" s="279"/>
      <c r="CM810" s="279"/>
      <c r="CN810" s="382"/>
    </row>
    <row r="811" x14ac:dyDescent="0.3">
      <c r="B811" s="361"/>
      <c r="C811" s="279"/>
      <c r="D811" s="280"/>
      <c r="E811" s="287"/>
      <c r="F811" s="287"/>
      <c r="G811" s="287"/>
      <c r="H811" s="1292">
        <f t="shared" si="33"/>
        <v>28</v>
      </c>
      <c r="I811" s="1320" t="str">
        <f>IF('I. Stream &amp; Compound Data'!G289&lt;&gt;"",'I. Stream &amp; Compound Data'!G289,"")</f>
        <v/>
      </c>
      <c r="J811" s="1295" t="str">
        <f>IF('I. Stream &amp; Compound Data'!W289&lt;&gt;"",'I. Stream &amp; Compound Data'!W289,"")</f>
        <v/>
      </c>
      <c r="K811" s="1295" t="str">
        <f>IF('I. Stream &amp; Compound Data'!X289&lt;&gt;"",'I. Stream &amp; Compound Data'!X289,"")</f>
        <v/>
      </c>
      <c r="L811" s="1306" t="str">
        <f>IF(H811&gt;'I. Stream &amp; Compound Data'!$F$18,"",IF(J811="","N/A",IF(J811=0,0,1)))</f>
        <v/>
      </c>
      <c r="M811" s="1168" t="str">
        <f>IF(H811&gt;'I. Stream &amp; Compound Data'!$F$18,"",IF(L811="N/A",IF(K811="","N/A",IF(K811=0,1,0)),"N/A"))</f>
        <v/>
      </c>
      <c r="N811" s="1242" t="str">
        <f>IF(H811&gt;'I. Stream &amp; Compound Data'!$F$18,"",IF(I169="","N/A",IF(L811&lt;&gt;"N/A",L811,IF(M811&lt;&gt;"N/A",M811,"NO DATA AVAILABLE"))))</f>
        <v/>
      </c>
      <c r="O811" s="1242" t="str">
        <f>IF(H811&gt;'I. Stream &amp; Compound Data'!$F$18,"",N811)</f>
        <v/>
      </c>
      <c r="P811" s="1190" t="str">
        <f>'I. Stream &amp; Compound Data'!P289</f>
        <v/>
      </c>
      <c r="Q811" s="1268" t="str">
        <f t="shared" si="34"/>
        <v/>
      </c>
      <c r="R811" s="297"/>
      <c r="S811" s="298"/>
      <c r="T811" s="298"/>
      <c r="U811" s="299"/>
      <c r="V811" s="279"/>
      <c r="W811" s="279"/>
      <c r="X811" s="279"/>
      <c r="Y811" s="279"/>
      <c r="Z811" s="279"/>
      <c r="AA811" s="279"/>
      <c r="AB811" s="279"/>
      <c r="AC811" s="279"/>
      <c r="AD811" s="279"/>
      <c r="AE811" s="279"/>
      <c r="AF811" s="279"/>
      <c r="AG811" s="279"/>
      <c r="AH811" s="279"/>
      <c r="AI811" s="279"/>
      <c r="AJ811" s="279"/>
      <c r="AK811" s="279"/>
      <c r="AL811" s="279"/>
      <c r="AM811" s="279"/>
      <c r="AN811" s="279"/>
      <c r="AO811" s="279"/>
      <c r="AP811" s="279"/>
      <c r="AQ811" s="279"/>
      <c r="AR811" s="279"/>
      <c r="AS811" s="279"/>
      <c r="AT811" s="279"/>
      <c r="AU811" s="279"/>
      <c r="AV811" s="279"/>
      <c r="AW811" s="279"/>
      <c r="AX811" s="279"/>
      <c r="AY811" s="279"/>
      <c r="AZ811" s="279"/>
      <c r="BA811" s="279"/>
      <c r="BB811" s="279"/>
      <c r="BC811" s="279"/>
      <c r="BD811" s="279"/>
      <c r="BE811" s="279"/>
      <c r="BF811" s="279"/>
      <c r="BG811" s="279"/>
      <c r="BH811" s="279"/>
      <c r="BI811" s="279"/>
      <c r="BJ811" s="279"/>
      <c r="BK811" s="279"/>
      <c r="BL811" s="279"/>
      <c r="BM811" s="279"/>
      <c r="BN811" s="279"/>
      <c r="BO811" s="279"/>
      <c r="BP811" s="279"/>
      <c r="BQ811" s="279"/>
      <c r="BR811" s="279"/>
      <c r="BS811" s="279"/>
      <c r="BT811" s="279"/>
      <c r="BU811" s="279"/>
      <c r="BV811" s="279"/>
      <c r="BW811" s="279"/>
      <c r="BX811" s="279"/>
      <c r="BY811" s="279"/>
      <c r="BZ811" s="279"/>
      <c r="CA811" s="279"/>
      <c r="CB811" s="279"/>
      <c r="CC811" s="279"/>
      <c r="CD811" s="279"/>
      <c r="CE811" s="279"/>
      <c r="CF811" s="279"/>
      <c r="CG811" s="279"/>
      <c r="CH811" s="279"/>
      <c r="CI811" s="279"/>
      <c r="CJ811" s="279"/>
      <c r="CK811" s="279"/>
      <c r="CL811" s="279"/>
      <c r="CM811" s="279"/>
      <c r="CN811" s="382"/>
    </row>
    <row r="812" x14ac:dyDescent="0.3">
      <c r="B812" s="361"/>
      <c r="C812" s="279"/>
      <c r="D812" s="280"/>
      <c r="E812" s="287"/>
      <c r="F812" s="287"/>
      <c r="G812" s="287"/>
      <c r="H812" s="1292">
        <f t="shared" si="33"/>
        <v>29</v>
      </c>
      <c r="I812" s="1320" t="str">
        <f>IF('I. Stream &amp; Compound Data'!G290&lt;&gt;"",'I. Stream &amp; Compound Data'!G290,"")</f>
        <v/>
      </c>
      <c r="J812" s="1295" t="str">
        <f>IF('I. Stream &amp; Compound Data'!W290&lt;&gt;"",'I. Stream &amp; Compound Data'!W290,"")</f>
        <v/>
      </c>
      <c r="K812" s="1295" t="str">
        <f>IF('I. Stream &amp; Compound Data'!X290&lt;&gt;"",'I. Stream &amp; Compound Data'!X290,"")</f>
        <v/>
      </c>
      <c r="L812" s="1306" t="str">
        <f>IF(H812&gt;'I. Stream &amp; Compound Data'!$F$18,"",IF(J812="","N/A",IF(J812=0,0,1)))</f>
        <v/>
      </c>
      <c r="M812" s="1168" t="str">
        <f>IF(H812&gt;'I. Stream &amp; Compound Data'!$F$18,"",IF(L812="N/A",IF(K812="","N/A",IF(K812=0,1,0)),"N/A"))</f>
        <v/>
      </c>
      <c r="N812" s="1242" t="str">
        <f>IF(H812&gt;'I. Stream &amp; Compound Data'!$F$18,"",IF(I170="","N/A",IF(L812&lt;&gt;"N/A",L812,IF(M812&lt;&gt;"N/A",M812,"NO DATA AVAILABLE"))))</f>
        <v/>
      </c>
      <c r="O812" s="1242" t="str">
        <f>IF(H812&gt;'I. Stream &amp; Compound Data'!$F$18,"",N812)</f>
        <v/>
      </c>
      <c r="P812" s="1190" t="str">
        <f>'I. Stream &amp; Compound Data'!P290</f>
        <v/>
      </c>
      <c r="Q812" s="1268" t="str">
        <f t="shared" si="34"/>
        <v/>
      </c>
      <c r="R812" s="297"/>
      <c r="S812" s="298"/>
      <c r="T812" s="298"/>
      <c r="U812" s="299"/>
      <c r="V812" s="279"/>
      <c r="W812" s="279"/>
      <c r="X812" s="279"/>
      <c r="Y812" s="279"/>
      <c r="Z812" s="279"/>
      <c r="AA812" s="279"/>
      <c r="AB812" s="279"/>
      <c r="AC812" s="279"/>
      <c r="AD812" s="279"/>
      <c r="AE812" s="279"/>
      <c r="AF812" s="279"/>
      <c r="AG812" s="279"/>
      <c r="AH812" s="279"/>
      <c r="AI812" s="279"/>
      <c r="AJ812" s="279"/>
      <c r="AK812" s="279"/>
      <c r="AL812" s="279"/>
      <c r="AM812" s="279"/>
      <c r="AN812" s="279"/>
      <c r="AO812" s="279"/>
      <c r="AP812" s="279"/>
      <c r="AQ812" s="279"/>
      <c r="AR812" s="279"/>
      <c r="AS812" s="279"/>
      <c r="AT812" s="279"/>
      <c r="AU812" s="279"/>
      <c r="AV812" s="279"/>
      <c r="AW812" s="279"/>
      <c r="AX812" s="279"/>
      <c r="AY812" s="279"/>
      <c r="AZ812" s="279"/>
      <c r="BA812" s="279"/>
      <c r="BB812" s="279"/>
      <c r="BC812" s="279"/>
      <c r="BD812" s="279"/>
      <c r="BE812" s="279"/>
      <c r="BF812" s="279"/>
      <c r="BG812" s="279"/>
      <c r="BH812" s="279"/>
      <c r="BI812" s="279"/>
      <c r="BJ812" s="279"/>
      <c r="BK812" s="279"/>
      <c r="BL812" s="279"/>
      <c r="BM812" s="279"/>
      <c r="BN812" s="279"/>
      <c r="BO812" s="279"/>
      <c r="BP812" s="279"/>
      <c r="BQ812" s="279"/>
      <c r="BR812" s="279"/>
      <c r="BS812" s="279"/>
      <c r="BT812" s="279"/>
      <c r="BU812" s="279"/>
      <c r="BV812" s="279"/>
      <c r="BW812" s="279"/>
      <c r="BX812" s="279"/>
      <c r="BY812" s="279"/>
      <c r="BZ812" s="279"/>
      <c r="CA812" s="279"/>
      <c r="CB812" s="279"/>
      <c r="CC812" s="279"/>
      <c r="CD812" s="279"/>
      <c r="CE812" s="279"/>
      <c r="CF812" s="279"/>
      <c r="CG812" s="279"/>
      <c r="CH812" s="279"/>
      <c r="CI812" s="279"/>
      <c r="CJ812" s="279"/>
      <c r="CK812" s="279"/>
      <c r="CL812" s="279"/>
      <c r="CM812" s="279"/>
      <c r="CN812" s="382"/>
    </row>
    <row r="813" x14ac:dyDescent="0.3">
      <c r="B813" s="361"/>
      <c r="C813" s="279"/>
      <c r="D813" s="280"/>
      <c r="E813" s="287"/>
      <c r="F813" s="287"/>
      <c r="G813" s="287"/>
      <c r="H813" s="1292">
        <f t="shared" si="33"/>
        <v>30</v>
      </c>
      <c r="I813" s="1320" t="str">
        <f>IF('I. Stream &amp; Compound Data'!G291&lt;&gt;"",'I. Stream &amp; Compound Data'!G291,"")</f>
        <v/>
      </c>
      <c r="J813" s="1295" t="str">
        <f>IF('I. Stream &amp; Compound Data'!W291&lt;&gt;"",'I. Stream &amp; Compound Data'!W291,"")</f>
        <v/>
      </c>
      <c r="K813" s="1295" t="str">
        <f>IF('I. Stream &amp; Compound Data'!X291&lt;&gt;"",'I. Stream &amp; Compound Data'!X291,"")</f>
        <v/>
      </c>
      <c r="L813" s="1306" t="str">
        <f>IF(H813&gt;'I. Stream &amp; Compound Data'!$F$18,"",IF(J813="","N/A",IF(J813=0,0,1)))</f>
        <v/>
      </c>
      <c r="M813" s="1168" t="str">
        <f>IF(H813&gt;'I. Stream &amp; Compound Data'!$F$18,"",IF(L813="N/A",IF(K813="","N/A",IF(K813=0,1,0)),"N/A"))</f>
        <v/>
      </c>
      <c r="N813" s="1242" t="str">
        <f>IF(H813&gt;'I. Stream &amp; Compound Data'!$F$18,"",IF(I171="","N/A",IF(L813&lt;&gt;"N/A",L813,IF(M813&lt;&gt;"N/A",M813,"NO DATA AVAILABLE"))))</f>
        <v/>
      </c>
      <c r="O813" s="1242" t="str">
        <f>IF(H813&gt;'I. Stream &amp; Compound Data'!$F$18,"",N813)</f>
        <v/>
      </c>
      <c r="P813" s="1190" t="str">
        <f>'I. Stream &amp; Compound Data'!P291</f>
        <v/>
      </c>
      <c r="Q813" s="1268" t="str">
        <f t="shared" si="34"/>
        <v/>
      </c>
      <c r="R813" s="297"/>
      <c r="S813" s="298"/>
      <c r="T813" s="298"/>
      <c r="U813" s="299"/>
      <c r="V813" s="279"/>
      <c r="W813" s="279"/>
      <c r="X813" s="279"/>
      <c r="Y813" s="279"/>
      <c r="Z813" s="279"/>
      <c r="AA813" s="279"/>
      <c r="AB813" s="279"/>
      <c r="AC813" s="279"/>
      <c r="AD813" s="279"/>
      <c r="AE813" s="279"/>
      <c r="AF813" s="279"/>
      <c r="AG813" s="279"/>
      <c r="AH813" s="279"/>
      <c r="AI813" s="279"/>
      <c r="AJ813" s="279"/>
      <c r="AK813" s="279"/>
      <c r="AL813" s="279"/>
      <c r="AM813" s="279"/>
      <c r="AN813" s="279"/>
      <c r="AO813" s="279"/>
      <c r="AP813" s="279"/>
      <c r="AQ813" s="279"/>
      <c r="AR813" s="279"/>
      <c r="AS813" s="279"/>
      <c r="AT813" s="279"/>
      <c r="AU813" s="279"/>
      <c r="AV813" s="279"/>
      <c r="AW813" s="279"/>
      <c r="AX813" s="279"/>
      <c r="AY813" s="279"/>
      <c r="AZ813" s="279"/>
      <c r="BA813" s="279"/>
      <c r="BB813" s="279"/>
      <c r="BC813" s="279"/>
      <c r="BD813" s="279"/>
      <c r="BE813" s="279"/>
      <c r="BF813" s="279"/>
      <c r="BG813" s="279"/>
      <c r="BH813" s="279"/>
      <c r="BI813" s="279"/>
      <c r="BJ813" s="279"/>
      <c r="BK813" s="279"/>
      <c r="BL813" s="279"/>
      <c r="BM813" s="279"/>
      <c r="BN813" s="279"/>
      <c r="BO813" s="279"/>
      <c r="BP813" s="279"/>
      <c r="BQ813" s="279"/>
      <c r="BR813" s="279"/>
      <c r="BS813" s="279"/>
      <c r="BT813" s="279"/>
      <c r="BU813" s="279"/>
      <c r="BV813" s="279"/>
      <c r="BW813" s="279"/>
      <c r="BX813" s="279"/>
      <c r="BY813" s="279"/>
      <c r="BZ813" s="279"/>
      <c r="CA813" s="279"/>
      <c r="CB813" s="279"/>
      <c r="CC813" s="279"/>
      <c r="CD813" s="279"/>
      <c r="CE813" s="279"/>
      <c r="CF813" s="279"/>
      <c r="CG813" s="279"/>
      <c r="CH813" s="279"/>
      <c r="CI813" s="279"/>
      <c r="CJ813" s="279"/>
      <c r="CK813" s="279"/>
      <c r="CL813" s="279"/>
      <c r="CM813" s="279"/>
      <c r="CN813" s="382"/>
    </row>
    <row r="814" x14ac:dyDescent="0.3">
      <c r="B814" s="361"/>
      <c r="C814" s="279"/>
      <c r="D814" s="280"/>
      <c r="E814" s="287"/>
      <c r="F814" s="287"/>
      <c r="G814" s="287"/>
      <c r="H814" s="1292">
        <f t="shared" si="33"/>
        <v>31</v>
      </c>
      <c r="I814" s="1320" t="str">
        <f>IF('I. Stream &amp; Compound Data'!G292&lt;&gt;"",'I. Stream &amp; Compound Data'!G292,"")</f>
        <v/>
      </c>
      <c r="J814" s="1295" t="str">
        <f>IF('I. Stream &amp; Compound Data'!W292&lt;&gt;"",'I. Stream &amp; Compound Data'!W292,"")</f>
        <v/>
      </c>
      <c r="K814" s="1295" t="str">
        <f>IF('I. Stream &amp; Compound Data'!X292&lt;&gt;"",'I. Stream &amp; Compound Data'!X292,"")</f>
        <v/>
      </c>
      <c r="L814" s="1306" t="str">
        <f>IF(H814&gt;'I. Stream &amp; Compound Data'!$F$18,"",IF(J814="","N/A",IF(J814=0,0,1)))</f>
        <v/>
      </c>
      <c r="M814" s="1168" t="str">
        <f>IF(H814&gt;'I. Stream &amp; Compound Data'!$F$18,"",IF(L814="N/A",IF(K814="","N/A",IF(K814=0,1,0)),"N/A"))</f>
        <v/>
      </c>
      <c r="N814" s="1242" t="str">
        <f>IF(H814&gt;'I. Stream &amp; Compound Data'!$F$18,"",IF(I172="","N/A",IF(L814&lt;&gt;"N/A",L814,IF(M814&lt;&gt;"N/A",M814,"NO DATA AVAILABLE"))))</f>
        <v/>
      </c>
      <c r="O814" s="1242" t="str">
        <f>IF(H814&gt;'I. Stream &amp; Compound Data'!$F$18,"",N814)</f>
        <v/>
      </c>
      <c r="P814" s="1190" t="str">
        <f>'I. Stream &amp; Compound Data'!P292</f>
        <v/>
      </c>
      <c r="Q814" s="1268" t="str">
        <f t="shared" si="34"/>
        <v/>
      </c>
      <c r="R814" s="297"/>
      <c r="S814" s="298"/>
      <c r="T814" s="298"/>
      <c r="U814" s="299"/>
      <c r="V814" s="279"/>
      <c r="W814" s="279"/>
      <c r="X814" s="279"/>
      <c r="Y814" s="279"/>
      <c r="Z814" s="279"/>
      <c r="AA814" s="279"/>
      <c r="AB814" s="279"/>
      <c r="AC814" s="279"/>
      <c r="AD814" s="279"/>
      <c r="AE814" s="279"/>
      <c r="AF814" s="279"/>
      <c r="AG814" s="279"/>
      <c r="AH814" s="279"/>
      <c r="AI814" s="279"/>
      <c r="AJ814" s="279"/>
      <c r="AK814" s="279"/>
      <c r="AL814" s="279"/>
      <c r="AM814" s="279"/>
      <c r="AN814" s="279"/>
      <c r="AO814" s="279"/>
      <c r="AP814" s="279"/>
      <c r="AQ814" s="279"/>
      <c r="AR814" s="279"/>
      <c r="AS814" s="279"/>
      <c r="AT814" s="279"/>
      <c r="AU814" s="279"/>
      <c r="AV814" s="279"/>
      <c r="AW814" s="279"/>
      <c r="AX814" s="279"/>
      <c r="AY814" s="279"/>
      <c r="AZ814" s="279"/>
      <c r="BA814" s="279"/>
      <c r="BB814" s="279"/>
      <c r="BC814" s="279"/>
      <c r="BD814" s="279"/>
      <c r="BE814" s="279"/>
      <c r="BF814" s="279"/>
      <c r="BG814" s="279"/>
      <c r="BH814" s="279"/>
      <c r="BI814" s="279"/>
      <c r="BJ814" s="279"/>
      <c r="BK814" s="279"/>
      <c r="BL814" s="279"/>
      <c r="BM814" s="279"/>
      <c r="BN814" s="279"/>
      <c r="BO814" s="279"/>
      <c r="BP814" s="279"/>
      <c r="BQ814" s="279"/>
      <c r="BR814" s="279"/>
      <c r="BS814" s="279"/>
      <c r="BT814" s="279"/>
      <c r="BU814" s="279"/>
      <c r="BV814" s="279"/>
      <c r="BW814" s="279"/>
      <c r="BX814" s="279"/>
      <c r="BY814" s="279"/>
      <c r="BZ814" s="279"/>
      <c r="CA814" s="279"/>
      <c r="CB814" s="279"/>
      <c r="CC814" s="279"/>
      <c r="CD814" s="279"/>
      <c r="CE814" s="279"/>
      <c r="CF814" s="279"/>
      <c r="CG814" s="279"/>
      <c r="CH814" s="279"/>
      <c r="CI814" s="279"/>
      <c r="CJ814" s="279"/>
      <c r="CK814" s="279"/>
      <c r="CL814" s="279"/>
      <c r="CM814" s="279"/>
      <c r="CN814" s="382"/>
    </row>
    <row r="815" x14ac:dyDescent="0.3">
      <c r="B815" s="361"/>
      <c r="C815" s="279"/>
      <c r="D815" s="280"/>
      <c r="E815" s="287"/>
      <c r="F815" s="287"/>
      <c r="G815" s="287"/>
      <c r="H815" s="1292">
        <f t="shared" si="33"/>
        <v>32</v>
      </c>
      <c r="I815" s="1320" t="str">
        <f>IF('I. Stream &amp; Compound Data'!G293&lt;&gt;"",'I. Stream &amp; Compound Data'!G293,"")</f>
        <v/>
      </c>
      <c r="J815" s="1295" t="str">
        <f>IF('I. Stream &amp; Compound Data'!W293&lt;&gt;"",'I. Stream &amp; Compound Data'!W293,"")</f>
        <v/>
      </c>
      <c r="K815" s="1295" t="str">
        <f>IF('I. Stream &amp; Compound Data'!X293&lt;&gt;"",'I. Stream &amp; Compound Data'!X293,"")</f>
        <v/>
      </c>
      <c r="L815" s="1306" t="str">
        <f>IF(H815&gt;'I. Stream &amp; Compound Data'!$F$18,"",IF(J815="","N/A",IF(J815=0,0,1)))</f>
        <v/>
      </c>
      <c r="M815" s="1168" t="str">
        <f>IF(H815&gt;'I. Stream &amp; Compound Data'!$F$18,"",IF(L815="N/A",IF(K815="","N/A",IF(K815=0,1,0)),"N/A"))</f>
        <v/>
      </c>
      <c r="N815" s="1242" t="str">
        <f>IF(H815&gt;'I. Stream &amp; Compound Data'!$F$18,"",IF(I173="","N/A",IF(L815&lt;&gt;"N/A",L815,IF(M815&lt;&gt;"N/A",M815,"NO DATA AVAILABLE"))))</f>
        <v/>
      </c>
      <c r="O815" s="1242" t="str">
        <f>IF(H815&gt;'I. Stream &amp; Compound Data'!$F$18,"",N815)</f>
        <v/>
      </c>
      <c r="P815" s="1190" t="str">
        <f>'I. Stream &amp; Compound Data'!P293</f>
        <v/>
      </c>
      <c r="Q815" s="1268" t="str">
        <f t="shared" si="34"/>
        <v/>
      </c>
      <c r="R815" s="297"/>
      <c r="S815" s="298"/>
      <c r="T815" s="298"/>
      <c r="U815" s="299"/>
      <c r="V815" s="279"/>
      <c r="W815" s="279"/>
      <c r="X815" s="279"/>
      <c r="Y815" s="279"/>
      <c r="Z815" s="279"/>
      <c r="AA815" s="279"/>
      <c r="AB815" s="279"/>
      <c r="AC815" s="279"/>
      <c r="AD815" s="279"/>
      <c r="AE815" s="279"/>
      <c r="AF815" s="279"/>
      <c r="AG815" s="279"/>
      <c r="AH815" s="279"/>
      <c r="AI815" s="279"/>
      <c r="AJ815" s="279"/>
      <c r="AK815" s="279"/>
      <c r="AL815" s="279"/>
      <c r="AM815" s="279"/>
      <c r="AN815" s="279"/>
      <c r="AO815" s="279"/>
      <c r="AP815" s="279"/>
      <c r="AQ815" s="279"/>
      <c r="AR815" s="279"/>
      <c r="AS815" s="279"/>
      <c r="AT815" s="279"/>
      <c r="AU815" s="279"/>
      <c r="AV815" s="279"/>
      <c r="AW815" s="279"/>
      <c r="AX815" s="279"/>
      <c r="AY815" s="279"/>
      <c r="AZ815" s="279"/>
      <c r="BA815" s="279"/>
      <c r="BB815" s="279"/>
      <c r="BC815" s="279"/>
      <c r="BD815" s="279"/>
      <c r="BE815" s="279"/>
      <c r="BF815" s="279"/>
      <c r="BG815" s="279"/>
      <c r="BH815" s="279"/>
      <c r="BI815" s="279"/>
      <c r="BJ815" s="279"/>
      <c r="BK815" s="279"/>
      <c r="BL815" s="279"/>
      <c r="BM815" s="279"/>
      <c r="BN815" s="279"/>
      <c r="BO815" s="279"/>
      <c r="BP815" s="279"/>
      <c r="BQ815" s="279"/>
      <c r="BR815" s="279"/>
      <c r="BS815" s="279"/>
      <c r="BT815" s="279"/>
      <c r="BU815" s="279"/>
      <c r="BV815" s="279"/>
      <c r="BW815" s="279"/>
      <c r="BX815" s="279"/>
      <c r="BY815" s="279"/>
      <c r="BZ815" s="279"/>
      <c r="CA815" s="279"/>
      <c r="CB815" s="279"/>
      <c r="CC815" s="279"/>
      <c r="CD815" s="279"/>
      <c r="CE815" s="279"/>
      <c r="CF815" s="279"/>
      <c r="CG815" s="279"/>
      <c r="CH815" s="279"/>
      <c r="CI815" s="279"/>
      <c r="CJ815" s="279"/>
      <c r="CK815" s="279"/>
      <c r="CL815" s="279"/>
      <c r="CM815" s="279"/>
      <c r="CN815" s="382"/>
    </row>
    <row r="816" x14ac:dyDescent="0.3">
      <c r="B816" s="361"/>
      <c r="C816" s="279"/>
      <c r="D816" s="280"/>
      <c r="E816" s="287"/>
      <c r="F816" s="287"/>
      <c r="G816" s="287"/>
      <c r="H816" s="1292">
        <f t="shared" si="33"/>
        <v>33</v>
      </c>
      <c r="I816" s="1320" t="str">
        <f>IF('I. Stream &amp; Compound Data'!G294&lt;&gt;"",'I. Stream &amp; Compound Data'!G294,"")</f>
        <v/>
      </c>
      <c r="J816" s="1295" t="str">
        <f>IF('I. Stream &amp; Compound Data'!W294&lt;&gt;"",'I. Stream &amp; Compound Data'!W294,"")</f>
        <v/>
      </c>
      <c r="K816" s="1295" t="str">
        <f>IF('I. Stream &amp; Compound Data'!X294&lt;&gt;"",'I. Stream &amp; Compound Data'!X294,"")</f>
        <v/>
      </c>
      <c r="L816" s="1306" t="str">
        <f>IF(H816&gt;'I. Stream &amp; Compound Data'!$F$18,"",IF(J816="","N/A",IF(J816=0,0,1)))</f>
        <v/>
      </c>
      <c r="M816" s="1168" t="str">
        <f>IF(H816&gt;'I. Stream &amp; Compound Data'!$F$18,"",IF(L816="N/A",IF(K816="","N/A",IF(K816=0,1,0)),"N/A"))</f>
        <v/>
      </c>
      <c r="N816" s="1242" t="str">
        <f>IF(H816&gt;'I. Stream &amp; Compound Data'!$F$18,"",IF(I174="","N/A",IF(L816&lt;&gt;"N/A",L816,IF(M816&lt;&gt;"N/A",M816,"NO DATA AVAILABLE"))))</f>
        <v/>
      </c>
      <c r="O816" s="1242" t="str">
        <f>IF(H816&gt;'I. Stream &amp; Compound Data'!$F$18,"",N816)</f>
        <v/>
      </c>
      <c r="P816" s="1190" t="str">
        <f>'I. Stream &amp; Compound Data'!P294</f>
        <v/>
      </c>
      <c r="Q816" s="1268" t="str">
        <f t="shared" ref="Q816:Q833" si="35">IF(P816="","",O816*P816)</f>
        <v/>
      </c>
      <c r="R816" s="297"/>
      <c r="S816" s="298"/>
      <c r="T816" s="298"/>
      <c r="U816" s="299"/>
      <c r="V816" s="279"/>
      <c r="W816" s="279"/>
      <c r="X816" s="279"/>
      <c r="Y816" s="279"/>
      <c r="Z816" s="279"/>
      <c r="AA816" s="279"/>
      <c r="AB816" s="279"/>
      <c r="AC816" s="279"/>
      <c r="AD816" s="279"/>
      <c r="AE816" s="279"/>
      <c r="AF816" s="279"/>
      <c r="AG816" s="279"/>
      <c r="AH816" s="279"/>
      <c r="AI816" s="279"/>
      <c r="AJ816" s="279"/>
      <c r="AK816" s="279"/>
      <c r="AL816" s="279"/>
      <c r="AM816" s="279"/>
      <c r="AN816" s="279"/>
      <c r="AO816" s="279"/>
      <c r="AP816" s="279"/>
      <c r="AQ816" s="279"/>
      <c r="AR816" s="279"/>
      <c r="AS816" s="279"/>
      <c r="AT816" s="279"/>
      <c r="AU816" s="279"/>
      <c r="AV816" s="279"/>
      <c r="AW816" s="279"/>
      <c r="AX816" s="279"/>
      <c r="AY816" s="279"/>
      <c r="AZ816" s="279"/>
      <c r="BA816" s="279"/>
      <c r="BB816" s="279"/>
      <c r="BC816" s="279"/>
      <c r="BD816" s="279"/>
      <c r="BE816" s="279"/>
      <c r="BF816" s="279"/>
      <c r="BG816" s="279"/>
      <c r="BH816" s="279"/>
      <c r="BI816" s="279"/>
      <c r="BJ816" s="279"/>
      <c r="BK816" s="279"/>
      <c r="BL816" s="279"/>
      <c r="BM816" s="279"/>
      <c r="BN816" s="279"/>
      <c r="BO816" s="279"/>
      <c r="BP816" s="279"/>
      <c r="BQ816" s="279"/>
      <c r="BR816" s="279"/>
      <c r="BS816" s="279"/>
      <c r="BT816" s="279"/>
      <c r="BU816" s="279"/>
      <c r="BV816" s="279"/>
      <c r="BW816" s="279"/>
      <c r="BX816" s="279"/>
      <c r="BY816" s="279"/>
      <c r="BZ816" s="279"/>
      <c r="CA816" s="279"/>
      <c r="CB816" s="279"/>
      <c r="CC816" s="279"/>
      <c r="CD816" s="279"/>
      <c r="CE816" s="279"/>
      <c r="CF816" s="279"/>
      <c r="CG816" s="279"/>
      <c r="CH816" s="279"/>
      <c r="CI816" s="279"/>
      <c r="CJ816" s="279"/>
      <c r="CK816" s="279"/>
      <c r="CL816" s="279"/>
      <c r="CM816" s="279"/>
      <c r="CN816" s="382"/>
    </row>
    <row r="817" x14ac:dyDescent="0.3">
      <c r="B817" s="361"/>
      <c r="C817" s="279"/>
      <c r="D817" s="280"/>
      <c r="E817" s="287"/>
      <c r="F817" s="287"/>
      <c r="G817" s="287"/>
      <c r="H817" s="1292">
        <f t="shared" si="33"/>
        <v>34</v>
      </c>
      <c r="I817" s="1320" t="str">
        <f>IF('I. Stream &amp; Compound Data'!G295&lt;&gt;"",'I. Stream &amp; Compound Data'!G295,"")</f>
        <v/>
      </c>
      <c r="J817" s="1295" t="str">
        <f>IF('I. Stream &amp; Compound Data'!W295&lt;&gt;"",'I. Stream &amp; Compound Data'!W295,"")</f>
        <v/>
      </c>
      <c r="K817" s="1295" t="str">
        <f>IF('I. Stream &amp; Compound Data'!X295&lt;&gt;"",'I. Stream &amp; Compound Data'!X295,"")</f>
        <v/>
      </c>
      <c r="L817" s="1306" t="str">
        <f>IF(H817&gt;'I. Stream &amp; Compound Data'!$F$18,"",IF(J817="","N/A",IF(J817=0,0,1)))</f>
        <v/>
      </c>
      <c r="M817" s="1168" t="str">
        <f>IF(H817&gt;'I. Stream &amp; Compound Data'!$F$18,"",IF(L817="N/A",IF(K817="","N/A",IF(K817=0,1,0)),"N/A"))</f>
        <v/>
      </c>
      <c r="N817" s="1242" t="str">
        <f>IF(H817&gt;'I. Stream &amp; Compound Data'!$F$18,"",IF(I175="","N/A",IF(L817&lt;&gt;"N/A",L817,IF(M817&lt;&gt;"N/A",M817,"NO DATA AVAILABLE"))))</f>
        <v/>
      </c>
      <c r="O817" s="1242" t="str">
        <f>IF(H817&gt;'I. Stream &amp; Compound Data'!$F$18,"",N817)</f>
        <v/>
      </c>
      <c r="P817" s="1190" t="str">
        <f>'I. Stream &amp; Compound Data'!P295</f>
        <v/>
      </c>
      <c r="Q817" s="1268" t="str">
        <f t="shared" si="35"/>
        <v/>
      </c>
      <c r="R817" s="297"/>
      <c r="S817" s="298"/>
      <c r="T817" s="298"/>
      <c r="U817" s="299"/>
      <c r="V817" s="279"/>
      <c r="W817" s="279"/>
      <c r="X817" s="279"/>
      <c r="Y817" s="279"/>
      <c r="Z817" s="279"/>
      <c r="AA817" s="279"/>
      <c r="AB817" s="279"/>
      <c r="AC817" s="279"/>
      <c r="AD817" s="279"/>
      <c r="AE817" s="279"/>
      <c r="AF817" s="279"/>
      <c r="AG817" s="279"/>
      <c r="AH817" s="279"/>
      <c r="AI817" s="279"/>
      <c r="AJ817" s="279"/>
      <c r="AK817" s="279"/>
      <c r="AL817" s="279"/>
      <c r="AM817" s="279"/>
      <c r="AN817" s="279"/>
      <c r="AO817" s="279"/>
      <c r="AP817" s="279"/>
      <c r="AQ817" s="279"/>
      <c r="AR817" s="279"/>
      <c r="AS817" s="279"/>
      <c r="AT817" s="279"/>
      <c r="AU817" s="279"/>
      <c r="AV817" s="279"/>
      <c r="AW817" s="279"/>
      <c r="AX817" s="279"/>
      <c r="AY817" s="279"/>
      <c r="AZ817" s="279"/>
      <c r="BA817" s="279"/>
      <c r="BB817" s="279"/>
      <c r="BC817" s="279"/>
      <c r="BD817" s="279"/>
      <c r="BE817" s="279"/>
      <c r="BF817" s="279"/>
      <c r="BG817" s="279"/>
      <c r="BH817" s="279"/>
      <c r="BI817" s="279"/>
      <c r="BJ817" s="279"/>
      <c r="BK817" s="279"/>
      <c r="BL817" s="279"/>
      <c r="BM817" s="279"/>
      <c r="BN817" s="279"/>
      <c r="BO817" s="279"/>
      <c r="BP817" s="279"/>
      <c r="BQ817" s="279"/>
      <c r="BR817" s="279"/>
      <c r="BS817" s="279"/>
      <c r="BT817" s="279"/>
      <c r="BU817" s="279"/>
      <c r="BV817" s="279"/>
      <c r="BW817" s="279"/>
      <c r="BX817" s="279"/>
      <c r="BY817" s="279"/>
      <c r="BZ817" s="279"/>
      <c r="CA817" s="279"/>
      <c r="CB817" s="279"/>
      <c r="CC817" s="279"/>
      <c r="CD817" s="279"/>
      <c r="CE817" s="279"/>
      <c r="CF817" s="279"/>
      <c r="CG817" s="279"/>
      <c r="CH817" s="279"/>
      <c r="CI817" s="279"/>
      <c r="CJ817" s="279"/>
      <c r="CK817" s="279"/>
      <c r="CL817" s="279"/>
      <c r="CM817" s="279"/>
      <c r="CN817" s="382"/>
    </row>
    <row r="818" x14ac:dyDescent="0.3">
      <c r="B818" s="361"/>
      <c r="C818" s="279"/>
      <c r="D818" s="280"/>
      <c r="E818" s="287"/>
      <c r="F818" s="287"/>
      <c r="G818" s="287"/>
      <c r="H818" s="1292">
        <f t="shared" si="33"/>
        <v>35</v>
      </c>
      <c r="I818" s="1320" t="str">
        <f>IF('I. Stream &amp; Compound Data'!G296&lt;&gt;"",'I. Stream &amp; Compound Data'!G296,"")</f>
        <v/>
      </c>
      <c r="J818" s="1295" t="str">
        <f>IF('I. Stream &amp; Compound Data'!W296&lt;&gt;"",'I. Stream &amp; Compound Data'!W296,"")</f>
        <v/>
      </c>
      <c r="K818" s="1295" t="str">
        <f>IF('I. Stream &amp; Compound Data'!X296&lt;&gt;"",'I. Stream &amp; Compound Data'!X296,"")</f>
        <v/>
      </c>
      <c r="L818" s="1306" t="str">
        <f>IF(H818&gt;'I. Stream &amp; Compound Data'!$F$18,"",IF(J818="","N/A",IF(J818=0,0,1)))</f>
        <v/>
      </c>
      <c r="M818" s="1168" t="str">
        <f>IF(H818&gt;'I. Stream &amp; Compound Data'!$F$18,"",IF(L818="N/A",IF(K818="","N/A",IF(K818=0,1,0)),"N/A"))</f>
        <v/>
      </c>
      <c r="N818" s="1242" t="str">
        <f>IF(H818&gt;'I. Stream &amp; Compound Data'!$F$18,"",IF(I176="","N/A",IF(L818&lt;&gt;"N/A",L818,IF(M818&lt;&gt;"N/A",M818,"NO DATA AVAILABLE"))))</f>
        <v/>
      </c>
      <c r="O818" s="1242" t="str">
        <f>IF(H818&gt;'I. Stream &amp; Compound Data'!$F$18,"",N818)</f>
        <v/>
      </c>
      <c r="P818" s="1190" t="str">
        <f>'I. Stream &amp; Compound Data'!P296</f>
        <v/>
      </c>
      <c r="Q818" s="1268" t="str">
        <f t="shared" si="35"/>
        <v/>
      </c>
      <c r="R818" s="297"/>
      <c r="S818" s="298"/>
      <c r="T818" s="298"/>
      <c r="U818" s="299"/>
      <c r="V818" s="279"/>
      <c r="W818" s="279"/>
      <c r="X818" s="279"/>
      <c r="Y818" s="279"/>
      <c r="Z818" s="279"/>
      <c r="AA818" s="279"/>
      <c r="AB818" s="279"/>
      <c r="AC818" s="279"/>
      <c r="AD818" s="279"/>
      <c r="AE818" s="279"/>
      <c r="AF818" s="279"/>
      <c r="AG818" s="279"/>
      <c r="AH818" s="279"/>
      <c r="AI818" s="279"/>
      <c r="AJ818" s="279"/>
      <c r="AK818" s="279"/>
      <c r="AL818" s="279"/>
      <c r="AM818" s="279"/>
      <c r="AN818" s="279"/>
      <c r="AO818" s="279"/>
      <c r="AP818" s="279"/>
      <c r="AQ818" s="279"/>
      <c r="AR818" s="279"/>
      <c r="AS818" s="279"/>
      <c r="AT818" s="279"/>
      <c r="AU818" s="279"/>
      <c r="AV818" s="279"/>
      <c r="AW818" s="279"/>
      <c r="AX818" s="279"/>
      <c r="AY818" s="279"/>
      <c r="AZ818" s="279"/>
      <c r="BA818" s="279"/>
      <c r="BB818" s="279"/>
      <c r="BC818" s="279"/>
      <c r="BD818" s="279"/>
      <c r="BE818" s="279"/>
      <c r="BF818" s="279"/>
      <c r="BG818" s="279"/>
      <c r="BH818" s="279"/>
      <c r="BI818" s="279"/>
      <c r="BJ818" s="279"/>
      <c r="BK818" s="279"/>
      <c r="BL818" s="279"/>
      <c r="BM818" s="279"/>
      <c r="BN818" s="279"/>
      <c r="BO818" s="279"/>
      <c r="BP818" s="279"/>
      <c r="BQ818" s="279"/>
      <c r="BR818" s="279"/>
      <c r="BS818" s="279"/>
      <c r="BT818" s="279"/>
      <c r="BU818" s="279"/>
      <c r="BV818" s="279"/>
      <c r="BW818" s="279"/>
      <c r="BX818" s="279"/>
      <c r="BY818" s="279"/>
      <c r="BZ818" s="279"/>
      <c r="CA818" s="279"/>
      <c r="CB818" s="279"/>
      <c r="CC818" s="279"/>
      <c r="CD818" s="279"/>
      <c r="CE818" s="279"/>
      <c r="CF818" s="279"/>
      <c r="CG818" s="279"/>
      <c r="CH818" s="279"/>
      <c r="CI818" s="279"/>
      <c r="CJ818" s="279"/>
      <c r="CK818" s="279"/>
      <c r="CL818" s="279"/>
      <c r="CM818" s="279"/>
      <c r="CN818" s="382"/>
    </row>
    <row r="819" x14ac:dyDescent="0.3">
      <c r="B819" s="361"/>
      <c r="C819" s="279"/>
      <c r="D819" s="280"/>
      <c r="E819" s="287"/>
      <c r="F819" s="287"/>
      <c r="G819" s="287"/>
      <c r="H819" s="1292">
        <f t="shared" si="33"/>
        <v>36</v>
      </c>
      <c r="I819" s="1320" t="str">
        <f>IF('I. Stream &amp; Compound Data'!G297&lt;&gt;"",'I. Stream &amp; Compound Data'!G297,"")</f>
        <v/>
      </c>
      <c r="J819" s="1295" t="str">
        <f>IF('I. Stream &amp; Compound Data'!W297&lt;&gt;"",'I. Stream &amp; Compound Data'!W297,"")</f>
        <v/>
      </c>
      <c r="K819" s="1295" t="str">
        <f>IF('I. Stream &amp; Compound Data'!X297&lt;&gt;"",'I. Stream &amp; Compound Data'!X297,"")</f>
        <v/>
      </c>
      <c r="L819" s="1306" t="str">
        <f>IF(H819&gt;'I. Stream &amp; Compound Data'!$F$18,"",IF(J819="","N/A",IF(J819=0,0,1)))</f>
        <v/>
      </c>
      <c r="M819" s="1168" t="str">
        <f>IF(H819&gt;'I. Stream &amp; Compound Data'!$F$18,"",IF(L819="N/A",IF(K819="","N/A",IF(K819=0,1,0)),"N/A"))</f>
        <v/>
      </c>
      <c r="N819" s="1242" t="str">
        <f>IF(H819&gt;'I. Stream &amp; Compound Data'!$F$18,"",IF(I177="","N/A",IF(L819&lt;&gt;"N/A",L819,IF(M819&lt;&gt;"N/A",M819,"NO DATA AVAILABLE"))))</f>
        <v/>
      </c>
      <c r="O819" s="1242" t="str">
        <f>IF(H819&gt;'I. Stream &amp; Compound Data'!$F$18,"",N819)</f>
        <v/>
      </c>
      <c r="P819" s="1190" t="str">
        <f>'I. Stream &amp; Compound Data'!P297</f>
        <v/>
      </c>
      <c r="Q819" s="1268" t="str">
        <f t="shared" si="35"/>
        <v/>
      </c>
      <c r="R819" s="297"/>
      <c r="S819" s="298"/>
      <c r="T819" s="298"/>
      <c r="U819" s="299"/>
      <c r="V819" s="279"/>
      <c r="W819" s="279"/>
      <c r="X819" s="279"/>
      <c r="Y819" s="279"/>
      <c r="Z819" s="279"/>
      <c r="AA819" s="279"/>
      <c r="AB819" s="279"/>
      <c r="AC819" s="279"/>
      <c r="AD819" s="279"/>
      <c r="AE819" s="279"/>
      <c r="AF819" s="279"/>
      <c r="AG819" s="279"/>
      <c r="AH819" s="279"/>
      <c r="AI819" s="279"/>
      <c r="AJ819" s="279"/>
      <c r="AK819" s="279"/>
      <c r="AL819" s="279"/>
      <c r="AM819" s="279"/>
      <c r="AN819" s="279"/>
      <c r="AO819" s="279"/>
      <c r="AP819" s="279"/>
      <c r="AQ819" s="279"/>
      <c r="AR819" s="279"/>
      <c r="AS819" s="279"/>
      <c r="AT819" s="279"/>
      <c r="AU819" s="279"/>
      <c r="AV819" s="279"/>
      <c r="AW819" s="279"/>
      <c r="AX819" s="279"/>
      <c r="AY819" s="279"/>
      <c r="AZ819" s="279"/>
      <c r="BA819" s="279"/>
      <c r="BB819" s="279"/>
      <c r="BC819" s="279"/>
      <c r="BD819" s="279"/>
      <c r="BE819" s="279"/>
      <c r="BF819" s="279"/>
      <c r="BG819" s="279"/>
      <c r="BH819" s="279"/>
      <c r="BI819" s="279"/>
      <c r="BJ819" s="279"/>
      <c r="BK819" s="279"/>
      <c r="BL819" s="279"/>
      <c r="BM819" s="279"/>
      <c r="BN819" s="279"/>
      <c r="BO819" s="279"/>
      <c r="BP819" s="279"/>
      <c r="BQ819" s="279"/>
      <c r="BR819" s="279"/>
      <c r="BS819" s="279"/>
      <c r="BT819" s="279"/>
      <c r="BU819" s="279"/>
      <c r="BV819" s="279"/>
      <c r="BW819" s="279"/>
      <c r="BX819" s="279"/>
      <c r="BY819" s="279"/>
      <c r="BZ819" s="279"/>
      <c r="CA819" s="279"/>
      <c r="CB819" s="279"/>
      <c r="CC819" s="279"/>
      <c r="CD819" s="279"/>
      <c r="CE819" s="279"/>
      <c r="CF819" s="279"/>
      <c r="CG819" s="279"/>
      <c r="CH819" s="279"/>
      <c r="CI819" s="279"/>
      <c r="CJ819" s="279"/>
      <c r="CK819" s="279"/>
      <c r="CL819" s="279"/>
      <c r="CM819" s="279"/>
      <c r="CN819" s="382"/>
    </row>
    <row r="820" x14ac:dyDescent="0.3">
      <c r="B820" s="361"/>
      <c r="C820" s="279"/>
      <c r="D820" s="280"/>
      <c r="E820" s="287"/>
      <c r="F820" s="287"/>
      <c r="G820" s="287"/>
      <c r="H820" s="1292">
        <f t="shared" si="33"/>
        <v>37</v>
      </c>
      <c r="I820" s="1320" t="str">
        <f>IF('I. Stream &amp; Compound Data'!G298&lt;&gt;"",'I. Stream &amp; Compound Data'!G298,"")</f>
        <v/>
      </c>
      <c r="J820" s="1295" t="str">
        <f>IF('I. Stream &amp; Compound Data'!W298&lt;&gt;"",'I. Stream &amp; Compound Data'!W298,"")</f>
        <v/>
      </c>
      <c r="K820" s="1295" t="str">
        <f>IF('I. Stream &amp; Compound Data'!X298&lt;&gt;"",'I. Stream &amp; Compound Data'!X298,"")</f>
        <v/>
      </c>
      <c r="L820" s="1306" t="str">
        <f>IF(H820&gt;'I. Stream &amp; Compound Data'!$F$18,"",IF(J820="","N/A",IF(J820=0,0,1)))</f>
        <v/>
      </c>
      <c r="M820" s="1168" t="str">
        <f>IF(H820&gt;'I. Stream &amp; Compound Data'!$F$18,"",IF(L820="N/A",IF(K820="","N/A",IF(K820=0,1,0)),"N/A"))</f>
        <v/>
      </c>
      <c r="N820" s="1242" t="str">
        <f>IF(H820&gt;'I. Stream &amp; Compound Data'!$F$18,"",IF(I178="","N/A",IF(L820&lt;&gt;"N/A",L820,IF(M820&lt;&gt;"N/A",M820,"NO DATA AVAILABLE"))))</f>
        <v/>
      </c>
      <c r="O820" s="1242" t="str">
        <f>IF(H820&gt;'I. Stream &amp; Compound Data'!$F$18,"",N820)</f>
        <v/>
      </c>
      <c r="P820" s="1190" t="str">
        <f>'I. Stream &amp; Compound Data'!P298</f>
        <v/>
      </c>
      <c r="Q820" s="1268" t="str">
        <f t="shared" si="35"/>
        <v/>
      </c>
      <c r="R820" s="297"/>
      <c r="S820" s="298"/>
      <c r="T820" s="298"/>
      <c r="U820" s="299"/>
      <c r="V820" s="279"/>
      <c r="W820" s="279"/>
      <c r="X820" s="279"/>
      <c r="Y820" s="279"/>
      <c r="Z820" s="279"/>
      <c r="AA820" s="279"/>
      <c r="AB820" s="279"/>
      <c r="AC820" s="279"/>
      <c r="AD820" s="279"/>
      <c r="AE820" s="279"/>
      <c r="AF820" s="279"/>
      <c r="AG820" s="279"/>
      <c r="AH820" s="279"/>
      <c r="AI820" s="279"/>
      <c r="AJ820" s="279"/>
      <c r="AK820" s="279"/>
      <c r="AL820" s="279"/>
      <c r="AM820" s="279"/>
      <c r="AN820" s="279"/>
      <c r="AO820" s="279"/>
      <c r="AP820" s="279"/>
      <c r="AQ820" s="279"/>
      <c r="AR820" s="279"/>
      <c r="AS820" s="279"/>
      <c r="AT820" s="279"/>
      <c r="AU820" s="279"/>
      <c r="AV820" s="279"/>
      <c r="AW820" s="279"/>
      <c r="AX820" s="279"/>
      <c r="AY820" s="279"/>
      <c r="AZ820" s="279"/>
      <c r="BA820" s="279"/>
      <c r="BB820" s="279"/>
      <c r="BC820" s="279"/>
      <c r="BD820" s="279"/>
      <c r="BE820" s="279"/>
      <c r="BF820" s="279"/>
      <c r="BG820" s="279"/>
      <c r="BH820" s="279"/>
      <c r="BI820" s="279"/>
      <c r="BJ820" s="279"/>
      <c r="BK820" s="279"/>
      <c r="BL820" s="279"/>
      <c r="BM820" s="279"/>
      <c r="BN820" s="279"/>
      <c r="BO820" s="279"/>
      <c r="BP820" s="279"/>
      <c r="BQ820" s="279"/>
      <c r="BR820" s="279"/>
      <c r="BS820" s="279"/>
      <c r="BT820" s="279"/>
      <c r="BU820" s="279"/>
      <c r="BV820" s="279"/>
      <c r="BW820" s="279"/>
      <c r="BX820" s="279"/>
      <c r="BY820" s="279"/>
      <c r="BZ820" s="279"/>
      <c r="CA820" s="279"/>
      <c r="CB820" s="279"/>
      <c r="CC820" s="279"/>
      <c r="CD820" s="279"/>
      <c r="CE820" s="279"/>
      <c r="CF820" s="279"/>
      <c r="CG820" s="279"/>
      <c r="CH820" s="279"/>
      <c r="CI820" s="279"/>
      <c r="CJ820" s="279"/>
      <c r="CK820" s="279"/>
      <c r="CL820" s="279"/>
      <c r="CM820" s="279"/>
      <c r="CN820" s="382"/>
    </row>
    <row r="821" x14ac:dyDescent="0.3">
      <c r="B821" s="361"/>
      <c r="C821" s="279"/>
      <c r="D821" s="280"/>
      <c r="E821" s="287"/>
      <c r="F821" s="287"/>
      <c r="G821" s="287"/>
      <c r="H821" s="1292">
        <f t="shared" si="33"/>
        <v>38</v>
      </c>
      <c r="I821" s="1320" t="str">
        <f>IF('I. Stream &amp; Compound Data'!G299&lt;&gt;"",'I. Stream &amp; Compound Data'!G299,"")</f>
        <v/>
      </c>
      <c r="J821" s="1295" t="str">
        <f>IF('I. Stream &amp; Compound Data'!W299&lt;&gt;"",'I. Stream &amp; Compound Data'!W299,"")</f>
        <v/>
      </c>
      <c r="K821" s="1295" t="str">
        <f>IF('I. Stream &amp; Compound Data'!X299&lt;&gt;"",'I. Stream &amp; Compound Data'!X299,"")</f>
        <v/>
      </c>
      <c r="L821" s="1306" t="str">
        <f>IF(H821&gt;'I. Stream &amp; Compound Data'!$F$18,"",IF(J821="","N/A",IF(J821=0,0,1)))</f>
        <v/>
      </c>
      <c r="M821" s="1168" t="str">
        <f>IF(H821&gt;'I. Stream &amp; Compound Data'!$F$18,"",IF(L821="N/A",IF(K821="","N/A",IF(K821=0,1,0)),"N/A"))</f>
        <v/>
      </c>
      <c r="N821" s="1242" t="str">
        <f>IF(H821&gt;'I. Stream &amp; Compound Data'!$F$18,"",IF(I179="","N/A",IF(L821&lt;&gt;"N/A",L821,IF(M821&lt;&gt;"N/A",M821,"NO DATA AVAILABLE"))))</f>
        <v/>
      </c>
      <c r="O821" s="1242" t="str">
        <f>IF(H821&gt;'I. Stream &amp; Compound Data'!$F$18,"",N821)</f>
        <v/>
      </c>
      <c r="P821" s="1190" t="str">
        <f>'I. Stream &amp; Compound Data'!P299</f>
        <v/>
      </c>
      <c r="Q821" s="1268" t="str">
        <f t="shared" si="35"/>
        <v/>
      </c>
      <c r="R821" s="297"/>
      <c r="S821" s="298"/>
      <c r="T821" s="298"/>
      <c r="U821" s="299"/>
      <c r="V821" s="279"/>
      <c r="W821" s="279"/>
      <c r="X821" s="279"/>
      <c r="Y821" s="279"/>
      <c r="Z821" s="279"/>
      <c r="AA821" s="279"/>
      <c r="AB821" s="279"/>
      <c r="AC821" s="279"/>
      <c r="AD821" s="279"/>
      <c r="AE821" s="279"/>
      <c r="AF821" s="279"/>
      <c r="AG821" s="279"/>
      <c r="AH821" s="279"/>
      <c r="AI821" s="279"/>
      <c r="AJ821" s="279"/>
      <c r="AK821" s="279"/>
      <c r="AL821" s="279"/>
      <c r="AM821" s="279"/>
      <c r="AN821" s="279"/>
      <c r="AO821" s="279"/>
      <c r="AP821" s="279"/>
      <c r="AQ821" s="279"/>
      <c r="AR821" s="279"/>
      <c r="AS821" s="279"/>
      <c r="AT821" s="279"/>
      <c r="AU821" s="279"/>
      <c r="AV821" s="279"/>
      <c r="AW821" s="279"/>
      <c r="AX821" s="279"/>
      <c r="AY821" s="279"/>
      <c r="AZ821" s="279"/>
      <c r="BA821" s="279"/>
      <c r="BB821" s="279"/>
      <c r="BC821" s="279"/>
      <c r="BD821" s="279"/>
      <c r="BE821" s="279"/>
      <c r="BF821" s="279"/>
      <c r="BG821" s="279"/>
      <c r="BH821" s="279"/>
      <c r="BI821" s="279"/>
      <c r="BJ821" s="279"/>
      <c r="BK821" s="279"/>
      <c r="BL821" s="279"/>
      <c r="BM821" s="279"/>
      <c r="BN821" s="279"/>
      <c r="BO821" s="279"/>
      <c r="BP821" s="279"/>
      <c r="BQ821" s="279"/>
      <c r="BR821" s="279"/>
      <c r="BS821" s="279"/>
      <c r="BT821" s="279"/>
      <c r="BU821" s="279"/>
      <c r="BV821" s="279"/>
      <c r="BW821" s="279"/>
      <c r="BX821" s="279"/>
      <c r="BY821" s="279"/>
      <c r="BZ821" s="279"/>
      <c r="CA821" s="279"/>
      <c r="CB821" s="279"/>
      <c r="CC821" s="279"/>
      <c r="CD821" s="279"/>
      <c r="CE821" s="279"/>
      <c r="CF821" s="279"/>
      <c r="CG821" s="279"/>
      <c r="CH821" s="279"/>
      <c r="CI821" s="279"/>
      <c r="CJ821" s="279"/>
      <c r="CK821" s="279"/>
      <c r="CL821" s="279"/>
      <c r="CM821" s="279"/>
      <c r="CN821" s="382"/>
    </row>
    <row r="822" x14ac:dyDescent="0.3">
      <c r="B822" s="361"/>
      <c r="C822" s="279"/>
      <c r="D822" s="280"/>
      <c r="E822" s="287"/>
      <c r="F822" s="287"/>
      <c r="G822" s="287"/>
      <c r="H822" s="1292">
        <f t="shared" si="33"/>
        <v>39</v>
      </c>
      <c r="I822" s="1320" t="str">
        <f>IF('I. Stream &amp; Compound Data'!G300&lt;&gt;"",'I. Stream &amp; Compound Data'!G300,"")</f>
        <v/>
      </c>
      <c r="J822" s="1295" t="str">
        <f>IF('I. Stream &amp; Compound Data'!W300&lt;&gt;"",'I. Stream &amp; Compound Data'!W300,"")</f>
        <v/>
      </c>
      <c r="K822" s="1295" t="str">
        <f>IF('I. Stream &amp; Compound Data'!X300&lt;&gt;"",'I. Stream &amp; Compound Data'!X300,"")</f>
        <v/>
      </c>
      <c r="L822" s="1306" t="str">
        <f>IF(H822&gt;'I. Stream &amp; Compound Data'!$F$18,"",IF(J822="","N/A",IF(J822=0,0,1)))</f>
        <v/>
      </c>
      <c r="M822" s="1168" t="str">
        <f>IF(H822&gt;'I. Stream &amp; Compound Data'!$F$18,"",IF(L822="N/A",IF(K822="","N/A",IF(K822=0,1,0)),"N/A"))</f>
        <v/>
      </c>
      <c r="N822" s="1242" t="str">
        <f>IF(H822&gt;'I. Stream &amp; Compound Data'!$F$18,"",IF(I180="","N/A",IF(L822&lt;&gt;"N/A",L822,IF(M822&lt;&gt;"N/A",M822,"NO DATA AVAILABLE"))))</f>
        <v/>
      </c>
      <c r="O822" s="1242" t="str">
        <f>IF(H822&gt;'I. Stream &amp; Compound Data'!$F$18,"",N822)</f>
        <v/>
      </c>
      <c r="P822" s="1190" t="str">
        <f>'I. Stream &amp; Compound Data'!P300</f>
        <v/>
      </c>
      <c r="Q822" s="1268" t="str">
        <f t="shared" si="35"/>
        <v/>
      </c>
      <c r="R822" s="297"/>
      <c r="S822" s="298"/>
      <c r="T822" s="298"/>
      <c r="U822" s="299"/>
      <c r="V822" s="279"/>
      <c r="W822" s="279"/>
      <c r="X822" s="279"/>
      <c r="Y822" s="279"/>
      <c r="Z822" s="279"/>
      <c r="AA822" s="279"/>
      <c r="AB822" s="279"/>
      <c r="AC822" s="279"/>
      <c r="AD822" s="279"/>
      <c r="AE822" s="279"/>
      <c r="AF822" s="279"/>
      <c r="AG822" s="279"/>
      <c r="AH822" s="279"/>
      <c r="AI822" s="279"/>
      <c r="AJ822" s="279"/>
      <c r="AK822" s="279"/>
      <c r="AL822" s="279"/>
      <c r="AM822" s="279"/>
      <c r="AN822" s="279"/>
      <c r="AO822" s="279"/>
      <c r="AP822" s="279"/>
      <c r="AQ822" s="279"/>
      <c r="AR822" s="279"/>
      <c r="AS822" s="279"/>
      <c r="AT822" s="279"/>
      <c r="AU822" s="279"/>
      <c r="AV822" s="279"/>
      <c r="AW822" s="279"/>
      <c r="AX822" s="279"/>
      <c r="AY822" s="279"/>
      <c r="AZ822" s="279"/>
      <c r="BA822" s="279"/>
      <c r="BB822" s="279"/>
      <c r="BC822" s="279"/>
      <c r="BD822" s="279"/>
      <c r="BE822" s="279"/>
      <c r="BF822" s="279"/>
      <c r="BG822" s="279"/>
      <c r="BH822" s="279"/>
      <c r="BI822" s="279"/>
      <c r="BJ822" s="279"/>
      <c r="BK822" s="279"/>
      <c r="BL822" s="279"/>
      <c r="BM822" s="279"/>
      <c r="BN822" s="279"/>
      <c r="BO822" s="279"/>
      <c r="BP822" s="279"/>
      <c r="BQ822" s="279"/>
      <c r="BR822" s="279"/>
      <c r="BS822" s="279"/>
      <c r="BT822" s="279"/>
      <c r="BU822" s="279"/>
      <c r="BV822" s="279"/>
      <c r="BW822" s="279"/>
      <c r="BX822" s="279"/>
      <c r="BY822" s="279"/>
      <c r="BZ822" s="279"/>
      <c r="CA822" s="279"/>
      <c r="CB822" s="279"/>
      <c r="CC822" s="279"/>
      <c r="CD822" s="279"/>
      <c r="CE822" s="279"/>
      <c r="CF822" s="279"/>
      <c r="CG822" s="279"/>
      <c r="CH822" s="279"/>
      <c r="CI822" s="279"/>
      <c r="CJ822" s="279"/>
      <c r="CK822" s="279"/>
      <c r="CL822" s="279"/>
      <c r="CM822" s="279"/>
      <c r="CN822" s="382"/>
    </row>
    <row r="823" x14ac:dyDescent="0.3">
      <c r="B823" s="361"/>
      <c r="C823" s="279"/>
      <c r="D823" s="280"/>
      <c r="E823" s="287"/>
      <c r="F823" s="287"/>
      <c r="G823" s="287"/>
      <c r="H823" s="1292">
        <f t="shared" si="33"/>
        <v>40</v>
      </c>
      <c r="I823" s="1320" t="str">
        <f>IF('I. Stream &amp; Compound Data'!G301&lt;&gt;"",'I. Stream &amp; Compound Data'!G301,"")</f>
        <v/>
      </c>
      <c r="J823" s="1295" t="str">
        <f>IF('I. Stream &amp; Compound Data'!W301&lt;&gt;"",'I. Stream &amp; Compound Data'!W301,"")</f>
        <v/>
      </c>
      <c r="K823" s="1295" t="str">
        <f>IF('I. Stream &amp; Compound Data'!X301&lt;&gt;"",'I. Stream &amp; Compound Data'!X301,"")</f>
        <v/>
      </c>
      <c r="L823" s="1306" t="str">
        <f>IF(H823&gt;'I. Stream &amp; Compound Data'!$F$18,"",IF(J823="","N/A",IF(J823=0,0,1)))</f>
        <v/>
      </c>
      <c r="M823" s="1168" t="str">
        <f>IF(H823&gt;'I. Stream &amp; Compound Data'!$F$18,"",IF(L823="N/A",IF(K823="","N/A",IF(K823=0,1,0)),"N/A"))</f>
        <v/>
      </c>
      <c r="N823" s="1242" t="str">
        <f>IF(H823&gt;'I. Stream &amp; Compound Data'!$F$18,"",IF(I181="","N/A",IF(L823&lt;&gt;"N/A",L823,IF(M823&lt;&gt;"N/A",M823,"NO DATA AVAILABLE"))))</f>
        <v/>
      </c>
      <c r="O823" s="1242" t="str">
        <f>IF(H823&gt;'I. Stream &amp; Compound Data'!$F$18,"",N823)</f>
        <v/>
      </c>
      <c r="P823" s="1190" t="str">
        <f>'I. Stream &amp; Compound Data'!P301</f>
        <v/>
      </c>
      <c r="Q823" s="1268" t="str">
        <f t="shared" si="35"/>
        <v/>
      </c>
      <c r="R823" s="297"/>
      <c r="S823" s="298"/>
      <c r="T823" s="298"/>
      <c r="U823" s="299"/>
      <c r="V823" s="279"/>
      <c r="W823" s="279"/>
      <c r="X823" s="279"/>
      <c r="Y823" s="279"/>
      <c r="Z823" s="279"/>
      <c r="AA823" s="279"/>
      <c r="AB823" s="279"/>
      <c r="AC823" s="279"/>
      <c r="AD823" s="279"/>
      <c r="AE823" s="279"/>
      <c r="AF823" s="279"/>
      <c r="AG823" s="279"/>
      <c r="AH823" s="279"/>
      <c r="AI823" s="279"/>
      <c r="AJ823" s="279"/>
      <c r="AK823" s="279"/>
      <c r="AL823" s="279"/>
      <c r="AM823" s="279"/>
      <c r="AN823" s="279"/>
      <c r="AO823" s="279"/>
      <c r="AP823" s="279"/>
      <c r="AQ823" s="279"/>
      <c r="AR823" s="279"/>
      <c r="AS823" s="279"/>
      <c r="AT823" s="279"/>
      <c r="AU823" s="279"/>
      <c r="AV823" s="279"/>
      <c r="AW823" s="279"/>
      <c r="AX823" s="279"/>
      <c r="AY823" s="279"/>
      <c r="AZ823" s="279"/>
      <c r="BA823" s="279"/>
      <c r="BB823" s="279"/>
      <c r="BC823" s="279"/>
      <c r="BD823" s="279"/>
      <c r="BE823" s="279"/>
      <c r="BF823" s="279"/>
      <c r="BG823" s="279"/>
      <c r="BH823" s="279"/>
      <c r="BI823" s="279"/>
      <c r="BJ823" s="279"/>
      <c r="BK823" s="279"/>
      <c r="BL823" s="279"/>
      <c r="BM823" s="279"/>
      <c r="BN823" s="279"/>
      <c r="BO823" s="279"/>
      <c r="BP823" s="279"/>
      <c r="BQ823" s="279"/>
      <c r="BR823" s="279"/>
      <c r="BS823" s="279"/>
      <c r="BT823" s="279"/>
      <c r="BU823" s="279"/>
      <c r="BV823" s="279"/>
      <c r="BW823" s="279"/>
      <c r="BX823" s="279"/>
      <c r="BY823" s="279"/>
      <c r="BZ823" s="279"/>
      <c r="CA823" s="279"/>
      <c r="CB823" s="279"/>
      <c r="CC823" s="279"/>
      <c r="CD823" s="279"/>
      <c r="CE823" s="279"/>
      <c r="CF823" s="279"/>
      <c r="CG823" s="279"/>
      <c r="CH823" s="279"/>
      <c r="CI823" s="279"/>
      <c r="CJ823" s="279"/>
      <c r="CK823" s="279"/>
      <c r="CL823" s="279"/>
      <c r="CM823" s="279"/>
      <c r="CN823" s="382"/>
    </row>
    <row r="824" x14ac:dyDescent="0.3">
      <c r="B824" s="361"/>
      <c r="C824" s="279"/>
      <c r="D824" s="280"/>
      <c r="E824" s="287"/>
      <c r="F824" s="287"/>
      <c r="G824" s="287"/>
      <c r="H824" s="1292">
        <f t="shared" si="33"/>
        <v>41</v>
      </c>
      <c r="I824" s="1320" t="str">
        <f>IF('I. Stream &amp; Compound Data'!G302&lt;&gt;"",'I. Stream &amp; Compound Data'!G302,"")</f>
        <v/>
      </c>
      <c r="J824" s="1295" t="str">
        <f>IF('I. Stream &amp; Compound Data'!W302&lt;&gt;"",'I. Stream &amp; Compound Data'!W302,"")</f>
        <v/>
      </c>
      <c r="K824" s="1295" t="str">
        <f>IF('I. Stream &amp; Compound Data'!X302&lt;&gt;"",'I. Stream &amp; Compound Data'!X302,"")</f>
        <v/>
      </c>
      <c r="L824" s="1306" t="str">
        <f>IF(H824&gt;'I. Stream &amp; Compound Data'!$F$18,"",IF(J824="","N/A",IF(J824=0,0,1)))</f>
        <v/>
      </c>
      <c r="M824" s="1168" t="str">
        <f>IF(H824&gt;'I. Stream &amp; Compound Data'!$F$18,"",IF(L824="N/A",IF(K824="","N/A",IF(K824=0,1,0)),"N/A"))</f>
        <v/>
      </c>
      <c r="N824" s="1242" t="str">
        <f>IF(H824&gt;'I. Stream &amp; Compound Data'!$F$18,"",IF(I182="","N/A",IF(L824&lt;&gt;"N/A",L824,IF(M824&lt;&gt;"N/A",M824,"NO DATA AVAILABLE"))))</f>
        <v/>
      </c>
      <c r="O824" s="1242" t="str">
        <f>IF(H824&gt;'I. Stream &amp; Compound Data'!$F$18,"",N824)</f>
        <v/>
      </c>
      <c r="P824" s="1190" t="str">
        <f>'I. Stream &amp; Compound Data'!P302</f>
        <v/>
      </c>
      <c r="Q824" s="1268" t="str">
        <f t="shared" si="35"/>
        <v/>
      </c>
      <c r="R824" s="297"/>
      <c r="S824" s="298"/>
      <c r="T824" s="298"/>
      <c r="U824" s="299"/>
      <c r="V824" s="279"/>
      <c r="W824" s="279"/>
      <c r="X824" s="279"/>
      <c r="Y824" s="279"/>
      <c r="Z824" s="279"/>
      <c r="AA824" s="279"/>
      <c r="AB824" s="279"/>
      <c r="AC824" s="279"/>
      <c r="AD824" s="279"/>
      <c r="AE824" s="279"/>
      <c r="AF824" s="279"/>
      <c r="AG824" s="279"/>
      <c r="AH824" s="279"/>
      <c r="AI824" s="279"/>
      <c r="AJ824" s="279"/>
      <c r="AK824" s="279"/>
      <c r="AL824" s="279"/>
      <c r="AM824" s="279"/>
      <c r="AN824" s="279"/>
      <c r="AO824" s="279"/>
      <c r="AP824" s="279"/>
      <c r="AQ824" s="279"/>
      <c r="AR824" s="279"/>
      <c r="AS824" s="279"/>
      <c r="AT824" s="279"/>
      <c r="AU824" s="279"/>
      <c r="AV824" s="279"/>
      <c r="AW824" s="279"/>
      <c r="AX824" s="279"/>
      <c r="AY824" s="279"/>
      <c r="AZ824" s="279"/>
      <c r="BA824" s="279"/>
      <c r="BB824" s="279"/>
      <c r="BC824" s="279"/>
      <c r="BD824" s="279"/>
      <c r="BE824" s="279"/>
      <c r="BF824" s="279"/>
      <c r="BG824" s="279"/>
      <c r="BH824" s="279"/>
      <c r="BI824" s="279"/>
      <c r="BJ824" s="279"/>
      <c r="BK824" s="279"/>
      <c r="BL824" s="279"/>
      <c r="BM824" s="279"/>
      <c r="BN824" s="279"/>
      <c r="BO824" s="279"/>
      <c r="BP824" s="279"/>
      <c r="BQ824" s="279"/>
      <c r="BR824" s="279"/>
      <c r="BS824" s="279"/>
      <c r="BT824" s="279"/>
      <c r="BU824" s="279"/>
      <c r="BV824" s="279"/>
      <c r="BW824" s="279"/>
      <c r="BX824" s="279"/>
      <c r="BY824" s="279"/>
      <c r="BZ824" s="279"/>
      <c r="CA824" s="279"/>
      <c r="CB824" s="279"/>
      <c r="CC824" s="279"/>
      <c r="CD824" s="279"/>
      <c r="CE824" s="279"/>
      <c r="CF824" s="279"/>
      <c r="CG824" s="279"/>
      <c r="CH824" s="279"/>
      <c r="CI824" s="279"/>
      <c r="CJ824" s="279"/>
      <c r="CK824" s="279"/>
      <c r="CL824" s="279"/>
      <c r="CM824" s="279"/>
      <c r="CN824" s="382"/>
    </row>
    <row r="825" x14ac:dyDescent="0.3">
      <c r="B825" s="361"/>
      <c r="C825" s="279"/>
      <c r="D825" s="280"/>
      <c r="E825" s="287"/>
      <c r="F825" s="287"/>
      <c r="G825" s="287"/>
      <c r="H825" s="1292">
        <f t="shared" si="33"/>
        <v>42</v>
      </c>
      <c r="I825" s="1320" t="str">
        <f>IF('I. Stream &amp; Compound Data'!G303&lt;&gt;"",'I. Stream &amp; Compound Data'!G303,"")</f>
        <v/>
      </c>
      <c r="J825" s="1295" t="str">
        <f>IF('I. Stream &amp; Compound Data'!W303&lt;&gt;"",'I. Stream &amp; Compound Data'!W303,"")</f>
        <v/>
      </c>
      <c r="K825" s="1295" t="str">
        <f>IF('I. Stream &amp; Compound Data'!X303&lt;&gt;"",'I. Stream &amp; Compound Data'!X303,"")</f>
        <v/>
      </c>
      <c r="L825" s="1306" t="str">
        <f>IF(H825&gt;'I. Stream &amp; Compound Data'!$F$18,"",IF(J825="","N/A",IF(J825=0,0,1)))</f>
        <v/>
      </c>
      <c r="M825" s="1168" t="str">
        <f>IF(H825&gt;'I. Stream &amp; Compound Data'!$F$18,"",IF(L825="N/A",IF(K825="","N/A",IF(K825=0,1,0)),"N/A"))</f>
        <v/>
      </c>
      <c r="N825" s="1242" t="str">
        <f>IF(H825&gt;'I. Stream &amp; Compound Data'!$F$18,"",IF(I183="","N/A",IF(L825&lt;&gt;"N/A",L825,IF(M825&lt;&gt;"N/A",M825,"NO DATA AVAILABLE"))))</f>
        <v/>
      </c>
      <c r="O825" s="1242" t="str">
        <f>IF(H825&gt;'I. Stream &amp; Compound Data'!$F$18,"",N825)</f>
        <v/>
      </c>
      <c r="P825" s="1190" t="str">
        <f>'I. Stream &amp; Compound Data'!P303</f>
        <v/>
      </c>
      <c r="Q825" s="1268" t="str">
        <f t="shared" si="35"/>
        <v/>
      </c>
      <c r="R825" s="297"/>
      <c r="S825" s="298"/>
      <c r="T825" s="298"/>
      <c r="U825" s="299"/>
      <c r="V825" s="279"/>
      <c r="W825" s="279"/>
      <c r="X825" s="279"/>
      <c r="Y825" s="279"/>
      <c r="Z825" s="279"/>
      <c r="AA825" s="279"/>
      <c r="AB825" s="279"/>
      <c r="AC825" s="279"/>
      <c r="AD825" s="279"/>
      <c r="AE825" s="279"/>
      <c r="AF825" s="279"/>
      <c r="AG825" s="279"/>
      <c r="AH825" s="279"/>
      <c r="AI825" s="279"/>
      <c r="AJ825" s="279"/>
      <c r="AK825" s="279"/>
      <c r="AL825" s="279"/>
      <c r="AM825" s="279"/>
      <c r="AN825" s="279"/>
      <c r="AO825" s="279"/>
      <c r="AP825" s="279"/>
      <c r="AQ825" s="279"/>
      <c r="AR825" s="279"/>
      <c r="AS825" s="279"/>
      <c r="AT825" s="279"/>
      <c r="AU825" s="279"/>
      <c r="AV825" s="279"/>
      <c r="AW825" s="279"/>
      <c r="AX825" s="279"/>
      <c r="AY825" s="279"/>
      <c r="AZ825" s="279"/>
      <c r="BA825" s="279"/>
      <c r="BB825" s="279"/>
      <c r="BC825" s="279"/>
      <c r="BD825" s="279"/>
      <c r="BE825" s="279"/>
      <c r="BF825" s="279"/>
      <c r="BG825" s="279"/>
      <c r="BH825" s="279"/>
      <c r="BI825" s="279"/>
      <c r="BJ825" s="279"/>
      <c r="BK825" s="279"/>
      <c r="BL825" s="279"/>
      <c r="BM825" s="279"/>
      <c r="BN825" s="279"/>
      <c r="BO825" s="279"/>
      <c r="BP825" s="279"/>
      <c r="BQ825" s="279"/>
      <c r="BR825" s="279"/>
      <c r="BS825" s="279"/>
      <c r="BT825" s="279"/>
      <c r="BU825" s="279"/>
      <c r="BV825" s="279"/>
      <c r="BW825" s="279"/>
      <c r="BX825" s="279"/>
      <c r="BY825" s="279"/>
      <c r="BZ825" s="279"/>
      <c r="CA825" s="279"/>
      <c r="CB825" s="279"/>
      <c r="CC825" s="279"/>
      <c r="CD825" s="279"/>
      <c r="CE825" s="279"/>
      <c r="CF825" s="279"/>
      <c r="CG825" s="279"/>
      <c r="CH825" s="279"/>
      <c r="CI825" s="279"/>
      <c r="CJ825" s="279"/>
      <c r="CK825" s="279"/>
      <c r="CL825" s="279"/>
      <c r="CM825" s="279"/>
      <c r="CN825" s="382"/>
    </row>
    <row r="826" x14ac:dyDescent="0.3">
      <c r="B826" s="361"/>
      <c r="C826" s="279"/>
      <c r="D826" s="280"/>
      <c r="E826" s="287"/>
      <c r="F826" s="287"/>
      <c r="G826" s="287"/>
      <c r="H826" s="1292">
        <f t="shared" si="33"/>
        <v>43</v>
      </c>
      <c r="I826" s="1320" t="str">
        <f>IF('I. Stream &amp; Compound Data'!G304&lt;&gt;"",'I. Stream &amp; Compound Data'!G304,"")</f>
        <v/>
      </c>
      <c r="J826" s="1295" t="str">
        <f>IF('I. Stream &amp; Compound Data'!W304&lt;&gt;"",'I. Stream &amp; Compound Data'!W304,"")</f>
        <v/>
      </c>
      <c r="K826" s="1295" t="str">
        <f>IF('I. Stream &amp; Compound Data'!X304&lt;&gt;"",'I. Stream &amp; Compound Data'!X304,"")</f>
        <v/>
      </c>
      <c r="L826" s="1306" t="str">
        <f>IF(H826&gt;'I. Stream &amp; Compound Data'!$F$18,"",IF(J826="","N/A",IF(J826=0,0,1)))</f>
        <v/>
      </c>
      <c r="M826" s="1168" t="str">
        <f>IF(H826&gt;'I. Stream &amp; Compound Data'!$F$18,"",IF(L826="N/A",IF(K826="","N/A",IF(K826=0,1,0)),"N/A"))</f>
        <v/>
      </c>
      <c r="N826" s="1242" t="str">
        <f>IF(H826&gt;'I. Stream &amp; Compound Data'!$F$18,"",IF(I184="","N/A",IF(L826&lt;&gt;"N/A",L826,IF(M826&lt;&gt;"N/A",M826,"NO DATA AVAILABLE"))))</f>
        <v/>
      </c>
      <c r="O826" s="1242" t="str">
        <f>IF(H826&gt;'I. Stream &amp; Compound Data'!$F$18,"",N826)</f>
        <v/>
      </c>
      <c r="P826" s="1190" t="str">
        <f>'I. Stream &amp; Compound Data'!P304</f>
        <v/>
      </c>
      <c r="Q826" s="1268" t="str">
        <f t="shared" si="35"/>
        <v/>
      </c>
      <c r="R826" s="297"/>
      <c r="S826" s="298"/>
      <c r="T826" s="298"/>
      <c r="U826" s="299"/>
      <c r="V826" s="279"/>
      <c r="W826" s="279"/>
      <c r="X826" s="279"/>
      <c r="Y826" s="279"/>
      <c r="Z826" s="279"/>
      <c r="AA826" s="279"/>
      <c r="AB826" s="279"/>
      <c r="AC826" s="279"/>
      <c r="AD826" s="279"/>
      <c r="AE826" s="279"/>
      <c r="AF826" s="279"/>
      <c r="AG826" s="279"/>
      <c r="AH826" s="279"/>
      <c r="AI826" s="279"/>
      <c r="AJ826" s="279"/>
      <c r="AK826" s="279"/>
      <c r="AL826" s="279"/>
      <c r="AM826" s="279"/>
      <c r="AN826" s="279"/>
      <c r="AO826" s="279"/>
      <c r="AP826" s="279"/>
      <c r="AQ826" s="279"/>
      <c r="AR826" s="279"/>
      <c r="AS826" s="279"/>
      <c r="AT826" s="279"/>
      <c r="AU826" s="279"/>
      <c r="AV826" s="279"/>
      <c r="AW826" s="279"/>
      <c r="AX826" s="279"/>
      <c r="AY826" s="279"/>
      <c r="AZ826" s="279"/>
      <c r="BA826" s="279"/>
      <c r="BB826" s="279"/>
      <c r="BC826" s="279"/>
      <c r="BD826" s="279"/>
      <c r="BE826" s="279"/>
      <c r="BF826" s="279"/>
      <c r="BG826" s="279"/>
      <c r="BH826" s="279"/>
      <c r="BI826" s="279"/>
      <c r="BJ826" s="279"/>
      <c r="BK826" s="279"/>
      <c r="BL826" s="279"/>
      <c r="BM826" s="279"/>
      <c r="BN826" s="279"/>
      <c r="BO826" s="279"/>
      <c r="BP826" s="279"/>
      <c r="BQ826" s="279"/>
      <c r="BR826" s="279"/>
      <c r="BS826" s="279"/>
      <c r="BT826" s="279"/>
      <c r="BU826" s="279"/>
      <c r="BV826" s="279"/>
      <c r="BW826" s="279"/>
      <c r="BX826" s="279"/>
      <c r="BY826" s="279"/>
      <c r="BZ826" s="279"/>
      <c r="CA826" s="279"/>
      <c r="CB826" s="279"/>
      <c r="CC826" s="279"/>
      <c r="CD826" s="279"/>
      <c r="CE826" s="279"/>
      <c r="CF826" s="279"/>
      <c r="CG826" s="279"/>
      <c r="CH826" s="279"/>
      <c r="CI826" s="279"/>
      <c r="CJ826" s="279"/>
      <c r="CK826" s="279"/>
      <c r="CL826" s="279"/>
      <c r="CM826" s="279"/>
      <c r="CN826" s="382"/>
    </row>
    <row r="827" x14ac:dyDescent="0.3">
      <c r="B827" s="361"/>
      <c r="C827" s="279"/>
      <c r="D827" s="280"/>
      <c r="E827" s="287"/>
      <c r="F827" s="287"/>
      <c r="G827" s="287"/>
      <c r="H827" s="1292">
        <f t="shared" si="33"/>
        <v>44</v>
      </c>
      <c r="I827" s="1320" t="str">
        <f>IF('I. Stream &amp; Compound Data'!G305&lt;&gt;"",'I. Stream &amp; Compound Data'!G305,"")</f>
        <v/>
      </c>
      <c r="J827" s="1295" t="str">
        <f>IF('I. Stream &amp; Compound Data'!W305&lt;&gt;"",'I. Stream &amp; Compound Data'!W305,"")</f>
        <v/>
      </c>
      <c r="K827" s="1295" t="str">
        <f>IF('I. Stream &amp; Compound Data'!X305&lt;&gt;"",'I. Stream &amp; Compound Data'!X305,"")</f>
        <v/>
      </c>
      <c r="L827" s="1306" t="str">
        <f>IF(H827&gt;'I. Stream &amp; Compound Data'!$F$18,"",IF(J827="","N/A",IF(J827=0,0,1)))</f>
        <v/>
      </c>
      <c r="M827" s="1168" t="str">
        <f>IF(H827&gt;'I. Stream &amp; Compound Data'!$F$18,"",IF(L827="N/A",IF(K827="","N/A",IF(K827=0,1,0)),"N/A"))</f>
        <v/>
      </c>
      <c r="N827" s="1242" t="str">
        <f>IF(H827&gt;'I. Stream &amp; Compound Data'!$F$18,"",IF(I185="","N/A",IF(L827&lt;&gt;"N/A",L827,IF(M827&lt;&gt;"N/A",M827,"NO DATA AVAILABLE"))))</f>
        <v/>
      </c>
      <c r="O827" s="1242" t="str">
        <f>IF(H827&gt;'I. Stream &amp; Compound Data'!$F$18,"",N827)</f>
        <v/>
      </c>
      <c r="P827" s="1190" t="str">
        <f>'I. Stream &amp; Compound Data'!P305</f>
        <v/>
      </c>
      <c r="Q827" s="1268" t="str">
        <f t="shared" si="35"/>
        <v/>
      </c>
      <c r="R827" s="297"/>
      <c r="S827" s="298"/>
      <c r="T827" s="298"/>
      <c r="U827" s="299"/>
      <c r="V827" s="279"/>
      <c r="W827" s="279"/>
      <c r="X827" s="279"/>
      <c r="Y827" s="279"/>
      <c r="Z827" s="279"/>
      <c r="AA827" s="279"/>
      <c r="AB827" s="279"/>
      <c r="AC827" s="279"/>
      <c r="AD827" s="279"/>
      <c r="AE827" s="279"/>
      <c r="AF827" s="279"/>
      <c r="AG827" s="279"/>
      <c r="AH827" s="279"/>
      <c r="AI827" s="279"/>
      <c r="AJ827" s="279"/>
      <c r="AK827" s="279"/>
      <c r="AL827" s="279"/>
      <c r="AM827" s="279"/>
      <c r="AN827" s="279"/>
      <c r="AO827" s="279"/>
      <c r="AP827" s="279"/>
      <c r="AQ827" s="279"/>
      <c r="AR827" s="279"/>
      <c r="AS827" s="279"/>
      <c r="AT827" s="279"/>
      <c r="AU827" s="279"/>
      <c r="AV827" s="279"/>
      <c r="AW827" s="279"/>
      <c r="AX827" s="279"/>
      <c r="AY827" s="279"/>
      <c r="AZ827" s="279"/>
      <c r="BA827" s="279"/>
      <c r="BB827" s="279"/>
      <c r="BC827" s="279"/>
      <c r="BD827" s="279"/>
      <c r="BE827" s="279"/>
      <c r="BF827" s="279"/>
      <c r="BG827" s="279"/>
      <c r="BH827" s="279"/>
      <c r="BI827" s="279"/>
      <c r="BJ827" s="279"/>
      <c r="BK827" s="279"/>
      <c r="BL827" s="279"/>
      <c r="BM827" s="279"/>
      <c r="BN827" s="279"/>
      <c r="BO827" s="279"/>
      <c r="BP827" s="279"/>
      <c r="BQ827" s="279"/>
      <c r="BR827" s="279"/>
      <c r="BS827" s="279"/>
      <c r="BT827" s="279"/>
      <c r="BU827" s="279"/>
      <c r="BV827" s="279"/>
      <c r="BW827" s="279"/>
      <c r="BX827" s="279"/>
      <c r="BY827" s="279"/>
      <c r="BZ827" s="279"/>
      <c r="CA827" s="279"/>
      <c r="CB827" s="279"/>
      <c r="CC827" s="279"/>
      <c r="CD827" s="279"/>
      <c r="CE827" s="279"/>
      <c r="CF827" s="279"/>
      <c r="CG827" s="279"/>
      <c r="CH827" s="279"/>
      <c r="CI827" s="279"/>
      <c r="CJ827" s="279"/>
      <c r="CK827" s="279"/>
      <c r="CL827" s="279"/>
      <c r="CM827" s="279"/>
      <c r="CN827" s="382"/>
    </row>
    <row r="828" x14ac:dyDescent="0.3">
      <c r="B828" s="361"/>
      <c r="C828" s="279"/>
      <c r="D828" s="280"/>
      <c r="E828" s="287"/>
      <c r="F828" s="287"/>
      <c r="G828" s="287"/>
      <c r="H828" s="1292">
        <f t="shared" si="33"/>
        <v>45</v>
      </c>
      <c r="I828" s="1320" t="str">
        <f>IF('I. Stream &amp; Compound Data'!G306&lt;&gt;"",'I. Stream &amp; Compound Data'!G306,"")</f>
        <v/>
      </c>
      <c r="J828" s="1295" t="str">
        <f>IF('I. Stream &amp; Compound Data'!W306&lt;&gt;"",'I. Stream &amp; Compound Data'!W306,"")</f>
        <v/>
      </c>
      <c r="K828" s="1295" t="str">
        <f>IF('I. Stream &amp; Compound Data'!X306&lt;&gt;"",'I. Stream &amp; Compound Data'!X306,"")</f>
        <v/>
      </c>
      <c r="L828" s="1306" t="str">
        <f>IF(H828&gt;'I. Stream &amp; Compound Data'!$F$18,"",IF(J828="","N/A",IF(J828=0,0,1)))</f>
        <v/>
      </c>
      <c r="M828" s="1168" t="str">
        <f>IF(H828&gt;'I. Stream &amp; Compound Data'!$F$18,"",IF(L828="N/A",IF(K828="","N/A",IF(K828=0,1,0)),"N/A"))</f>
        <v/>
      </c>
      <c r="N828" s="1242" t="str">
        <f>IF(H828&gt;'I. Stream &amp; Compound Data'!$F$18,"",IF(I186="","N/A",IF(L828&lt;&gt;"N/A",L828,IF(M828&lt;&gt;"N/A",M828,"NO DATA AVAILABLE"))))</f>
        <v/>
      </c>
      <c r="O828" s="1242" t="str">
        <f>IF(H828&gt;'I. Stream &amp; Compound Data'!$F$18,"",N828)</f>
        <v/>
      </c>
      <c r="P828" s="1190" t="str">
        <f>'I. Stream &amp; Compound Data'!P306</f>
        <v/>
      </c>
      <c r="Q828" s="1268" t="str">
        <f t="shared" si="35"/>
        <v/>
      </c>
      <c r="R828" s="297"/>
      <c r="S828" s="298"/>
      <c r="T828" s="298"/>
      <c r="U828" s="299"/>
      <c r="V828" s="279"/>
      <c r="W828" s="279"/>
      <c r="X828" s="279"/>
      <c r="Y828" s="279"/>
      <c r="Z828" s="279"/>
      <c r="AA828" s="279"/>
      <c r="AB828" s="279"/>
      <c r="AC828" s="279"/>
      <c r="AD828" s="279"/>
      <c r="AE828" s="279"/>
      <c r="AF828" s="279"/>
      <c r="AG828" s="279"/>
      <c r="AH828" s="279"/>
      <c r="AI828" s="279"/>
      <c r="AJ828" s="279"/>
      <c r="AK828" s="279"/>
      <c r="AL828" s="279"/>
      <c r="AM828" s="279"/>
      <c r="AN828" s="279"/>
      <c r="AO828" s="279"/>
      <c r="AP828" s="279"/>
      <c r="AQ828" s="279"/>
      <c r="AR828" s="279"/>
      <c r="AS828" s="279"/>
      <c r="AT828" s="279"/>
      <c r="AU828" s="279"/>
      <c r="AV828" s="279"/>
      <c r="AW828" s="279"/>
      <c r="AX828" s="279"/>
      <c r="AY828" s="279"/>
      <c r="AZ828" s="279"/>
      <c r="BA828" s="279"/>
      <c r="BB828" s="279"/>
      <c r="BC828" s="279"/>
      <c r="BD828" s="279"/>
      <c r="BE828" s="279"/>
      <c r="BF828" s="279"/>
      <c r="BG828" s="279"/>
      <c r="BH828" s="279"/>
      <c r="BI828" s="279"/>
      <c r="BJ828" s="279"/>
      <c r="BK828" s="279"/>
      <c r="BL828" s="279"/>
      <c r="BM828" s="279"/>
      <c r="BN828" s="279"/>
      <c r="BO828" s="279"/>
      <c r="BP828" s="279"/>
      <c r="BQ828" s="279"/>
      <c r="BR828" s="279"/>
      <c r="BS828" s="279"/>
      <c r="BT828" s="279"/>
      <c r="BU828" s="279"/>
      <c r="BV828" s="279"/>
      <c r="BW828" s="279"/>
      <c r="BX828" s="279"/>
      <c r="BY828" s="279"/>
      <c r="BZ828" s="279"/>
      <c r="CA828" s="279"/>
      <c r="CB828" s="279"/>
      <c r="CC828" s="279"/>
      <c r="CD828" s="279"/>
      <c r="CE828" s="279"/>
      <c r="CF828" s="279"/>
      <c r="CG828" s="279"/>
      <c r="CH828" s="279"/>
      <c r="CI828" s="279"/>
      <c r="CJ828" s="279"/>
      <c r="CK828" s="279"/>
      <c r="CL828" s="279"/>
      <c r="CM828" s="279"/>
      <c r="CN828" s="382"/>
    </row>
    <row r="829" x14ac:dyDescent="0.3">
      <c r="B829" s="361"/>
      <c r="C829" s="279"/>
      <c r="D829" s="280"/>
      <c r="E829" s="287"/>
      <c r="F829" s="287"/>
      <c r="G829" s="287"/>
      <c r="H829" s="1292">
        <f t="shared" si="33"/>
        <v>46</v>
      </c>
      <c r="I829" s="1320" t="str">
        <f>IF('I. Stream &amp; Compound Data'!G307&lt;&gt;"",'I. Stream &amp; Compound Data'!G307,"")</f>
        <v/>
      </c>
      <c r="J829" s="1295" t="str">
        <f>IF('I. Stream &amp; Compound Data'!W307&lt;&gt;"",'I. Stream &amp; Compound Data'!W307,"")</f>
        <v/>
      </c>
      <c r="K829" s="1295" t="str">
        <f>IF('I. Stream &amp; Compound Data'!X307&lt;&gt;"",'I. Stream &amp; Compound Data'!X307,"")</f>
        <v/>
      </c>
      <c r="L829" s="1306" t="str">
        <f>IF(H829&gt;'I. Stream &amp; Compound Data'!$F$18,"",IF(J829="","N/A",IF(J829=0,0,1)))</f>
        <v/>
      </c>
      <c r="M829" s="1168" t="str">
        <f>IF(H829&gt;'I. Stream &amp; Compound Data'!$F$18,"",IF(L829="N/A",IF(K829="","N/A",IF(K829=0,1,0)),"N/A"))</f>
        <v/>
      </c>
      <c r="N829" s="1242" t="str">
        <f>IF(H829&gt;'I. Stream &amp; Compound Data'!$F$18,"",IF(I187="","N/A",IF(L829&lt;&gt;"N/A",L829,IF(M829&lt;&gt;"N/A",M829,"NO DATA AVAILABLE"))))</f>
        <v/>
      </c>
      <c r="O829" s="1242" t="str">
        <f>IF(H829&gt;'I. Stream &amp; Compound Data'!$F$18,"",N829)</f>
        <v/>
      </c>
      <c r="P829" s="1190" t="str">
        <f>'I. Stream &amp; Compound Data'!P307</f>
        <v/>
      </c>
      <c r="Q829" s="1268" t="str">
        <f t="shared" si="35"/>
        <v/>
      </c>
      <c r="R829" s="297"/>
      <c r="S829" s="298"/>
      <c r="T829" s="298"/>
      <c r="U829" s="299"/>
      <c r="V829" s="279"/>
      <c r="W829" s="279"/>
      <c r="X829" s="279"/>
      <c r="Y829" s="279"/>
      <c r="Z829" s="279"/>
      <c r="AA829" s="279"/>
      <c r="AB829" s="279"/>
      <c r="AC829" s="279"/>
      <c r="AD829" s="279"/>
      <c r="AE829" s="279"/>
      <c r="AF829" s="279"/>
      <c r="AG829" s="279"/>
      <c r="AH829" s="279"/>
      <c r="AI829" s="279"/>
      <c r="AJ829" s="279"/>
      <c r="AK829" s="279"/>
      <c r="AL829" s="279"/>
      <c r="AM829" s="279"/>
      <c r="AN829" s="279"/>
      <c r="AO829" s="279"/>
      <c r="AP829" s="279"/>
      <c r="AQ829" s="279"/>
      <c r="AR829" s="279"/>
      <c r="AS829" s="279"/>
      <c r="AT829" s="279"/>
      <c r="AU829" s="279"/>
      <c r="AV829" s="279"/>
      <c r="AW829" s="279"/>
      <c r="AX829" s="279"/>
      <c r="AY829" s="279"/>
      <c r="AZ829" s="279"/>
      <c r="BA829" s="279"/>
      <c r="BB829" s="279"/>
      <c r="BC829" s="279"/>
      <c r="BD829" s="279"/>
      <c r="BE829" s="279"/>
      <c r="BF829" s="279"/>
      <c r="BG829" s="279"/>
      <c r="BH829" s="279"/>
      <c r="BI829" s="279"/>
      <c r="BJ829" s="279"/>
      <c r="BK829" s="279"/>
      <c r="BL829" s="279"/>
      <c r="BM829" s="279"/>
      <c r="BN829" s="279"/>
      <c r="BO829" s="279"/>
      <c r="BP829" s="279"/>
      <c r="BQ829" s="279"/>
      <c r="BR829" s="279"/>
      <c r="BS829" s="279"/>
      <c r="BT829" s="279"/>
      <c r="BU829" s="279"/>
      <c r="BV829" s="279"/>
      <c r="BW829" s="279"/>
      <c r="BX829" s="279"/>
      <c r="BY829" s="279"/>
      <c r="BZ829" s="279"/>
      <c r="CA829" s="279"/>
      <c r="CB829" s="279"/>
      <c r="CC829" s="279"/>
      <c r="CD829" s="279"/>
      <c r="CE829" s="279"/>
      <c r="CF829" s="279"/>
      <c r="CG829" s="279"/>
      <c r="CH829" s="279"/>
      <c r="CI829" s="279"/>
      <c r="CJ829" s="279"/>
      <c r="CK829" s="279"/>
      <c r="CL829" s="279"/>
      <c r="CM829" s="279"/>
      <c r="CN829" s="382"/>
    </row>
    <row r="830" x14ac:dyDescent="0.3">
      <c r="B830" s="361"/>
      <c r="C830" s="279"/>
      <c r="D830" s="280"/>
      <c r="E830" s="287"/>
      <c r="F830" s="287"/>
      <c r="G830" s="287"/>
      <c r="H830" s="1292">
        <f t="shared" si="33"/>
        <v>47</v>
      </c>
      <c r="I830" s="1320" t="str">
        <f>IF('I. Stream &amp; Compound Data'!G308&lt;&gt;"",'I. Stream &amp; Compound Data'!G308,"")</f>
        <v/>
      </c>
      <c r="J830" s="1295" t="str">
        <f>IF('I. Stream &amp; Compound Data'!W308&lt;&gt;"",'I. Stream &amp; Compound Data'!W308,"")</f>
        <v/>
      </c>
      <c r="K830" s="1295" t="str">
        <f>IF('I. Stream &amp; Compound Data'!X308&lt;&gt;"",'I. Stream &amp; Compound Data'!X308,"")</f>
        <v/>
      </c>
      <c r="L830" s="1306" t="str">
        <f>IF(H830&gt;'I. Stream &amp; Compound Data'!$F$18,"",IF(J830="","N/A",IF(J830=0,0,1)))</f>
        <v/>
      </c>
      <c r="M830" s="1168" t="str">
        <f>IF(H830&gt;'I. Stream &amp; Compound Data'!$F$18,"",IF(L830="N/A",IF(K830="","N/A",IF(K830=0,1,0)),"N/A"))</f>
        <v/>
      </c>
      <c r="N830" s="1242" t="str">
        <f>IF(H830&gt;'I. Stream &amp; Compound Data'!$F$18,"",IF(I188="","N/A",IF(L830&lt;&gt;"N/A",L830,IF(M830&lt;&gt;"N/A",M830,"NO DATA AVAILABLE"))))</f>
        <v/>
      </c>
      <c r="O830" s="1242" t="str">
        <f>IF(H830&gt;'I. Stream &amp; Compound Data'!$F$18,"",N830)</f>
        <v/>
      </c>
      <c r="P830" s="1190" t="str">
        <f>'I. Stream &amp; Compound Data'!P308</f>
        <v/>
      </c>
      <c r="Q830" s="1268" t="str">
        <f t="shared" si="35"/>
        <v/>
      </c>
      <c r="R830" s="297"/>
      <c r="S830" s="298"/>
      <c r="T830" s="298"/>
      <c r="U830" s="299"/>
      <c r="V830" s="279"/>
      <c r="W830" s="279"/>
      <c r="X830" s="279"/>
      <c r="Y830" s="279"/>
      <c r="Z830" s="279"/>
      <c r="AA830" s="279"/>
      <c r="AB830" s="279"/>
      <c r="AC830" s="279"/>
      <c r="AD830" s="279"/>
      <c r="AE830" s="279"/>
      <c r="AF830" s="279"/>
      <c r="AG830" s="279"/>
      <c r="AH830" s="279"/>
      <c r="AI830" s="279"/>
      <c r="AJ830" s="279"/>
      <c r="AK830" s="279"/>
      <c r="AL830" s="279"/>
      <c r="AM830" s="279"/>
      <c r="AN830" s="279"/>
      <c r="AO830" s="279"/>
      <c r="AP830" s="279"/>
      <c r="AQ830" s="279"/>
      <c r="AR830" s="279"/>
      <c r="AS830" s="279"/>
      <c r="AT830" s="279"/>
      <c r="AU830" s="279"/>
      <c r="AV830" s="279"/>
      <c r="AW830" s="279"/>
      <c r="AX830" s="279"/>
      <c r="AY830" s="279"/>
      <c r="AZ830" s="279"/>
      <c r="BA830" s="279"/>
      <c r="BB830" s="279"/>
      <c r="BC830" s="279"/>
      <c r="BD830" s="279"/>
      <c r="BE830" s="279"/>
      <c r="BF830" s="279"/>
      <c r="BG830" s="279"/>
      <c r="BH830" s="279"/>
      <c r="BI830" s="279"/>
      <c r="BJ830" s="279"/>
      <c r="BK830" s="279"/>
      <c r="BL830" s="279"/>
      <c r="BM830" s="279"/>
      <c r="BN830" s="279"/>
      <c r="BO830" s="279"/>
      <c r="BP830" s="279"/>
      <c r="BQ830" s="279"/>
      <c r="BR830" s="279"/>
      <c r="BS830" s="279"/>
      <c r="BT830" s="279"/>
      <c r="BU830" s="279"/>
      <c r="BV830" s="279"/>
      <c r="BW830" s="279"/>
      <c r="BX830" s="279"/>
      <c r="BY830" s="279"/>
      <c r="BZ830" s="279"/>
      <c r="CA830" s="279"/>
      <c r="CB830" s="279"/>
      <c r="CC830" s="279"/>
      <c r="CD830" s="279"/>
      <c r="CE830" s="279"/>
      <c r="CF830" s="279"/>
      <c r="CG830" s="279"/>
      <c r="CH830" s="279"/>
      <c r="CI830" s="279"/>
      <c r="CJ830" s="279"/>
      <c r="CK830" s="279"/>
      <c r="CL830" s="279"/>
      <c r="CM830" s="279"/>
      <c r="CN830" s="382"/>
    </row>
    <row r="831" x14ac:dyDescent="0.3">
      <c r="B831" s="361"/>
      <c r="C831" s="279"/>
      <c r="D831" s="280"/>
      <c r="E831" s="287"/>
      <c r="F831" s="287"/>
      <c r="G831" s="287"/>
      <c r="H831" s="1292">
        <f t="shared" si="33"/>
        <v>48</v>
      </c>
      <c r="I831" s="1320" t="str">
        <f>IF('I. Stream &amp; Compound Data'!G309&lt;&gt;"",'I. Stream &amp; Compound Data'!G309,"")</f>
        <v/>
      </c>
      <c r="J831" s="1295" t="str">
        <f>IF('I. Stream &amp; Compound Data'!W309&lt;&gt;"",'I. Stream &amp; Compound Data'!W309,"")</f>
        <v/>
      </c>
      <c r="K831" s="1295" t="str">
        <f>IF('I. Stream &amp; Compound Data'!X309&lt;&gt;"",'I. Stream &amp; Compound Data'!X309,"")</f>
        <v/>
      </c>
      <c r="L831" s="1306" t="str">
        <f>IF(H831&gt;'I. Stream &amp; Compound Data'!$F$18,"",IF(J831="","N/A",IF(J831=0,0,1)))</f>
        <v/>
      </c>
      <c r="M831" s="1168" t="str">
        <f>IF(H831&gt;'I. Stream &amp; Compound Data'!$F$18,"",IF(L831="N/A",IF(K831="","N/A",IF(K831=0,1,0)),"N/A"))</f>
        <v/>
      </c>
      <c r="N831" s="1242" t="str">
        <f>IF(H831&gt;'I. Stream &amp; Compound Data'!$F$18,"",IF(I189="","N/A",IF(L831&lt;&gt;"N/A",L831,IF(M831&lt;&gt;"N/A",M831,"NO DATA AVAILABLE"))))</f>
        <v/>
      </c>
      <c r="O831" s="1242" t="str">
        <f>IF(H831&gt;'I. Stream &amp; Compound Data'!$F$18,"",N831)</f>
        <v/>
      </c>
      <c r="P831" s="1190" t="str">
        <f>'I. Stream &amp; Compound Data'!P309</f>
        <v/>
      </c>
      <c r="Q831" s="1268" t="str">
        <f t="shared" si="35"/>
        <v/>
      </c>
      <c r="R831" s="297"/>
      <c r="S831" s="298"/>
      <c r="T831" s="298"/>
      <c r="U831" s="299"/>
      <c r="V831" s="279"/>
      <c r="W831" s="279"/>
      <c r="X831" s="279"/>
      <c r="Y831" s="279"/>
      <c r="Z831" s="279"/>
      <c r="AA831" s="279"/>
      <c r="AB831" s="279"/>
      <c r="AC831" s="279"/>
      <c r="AD831" s="279"/>
      <c r="AE831" s="279"/>
      <c r="AF831" s="279"/>
      <c r="AG831" s="279"/>
      <c r="AH831" s="279"/>
      <c r="AI831" s="279"/>
      <c r="AJ831" s="279"/>
      <c r="AK831" s="279"/>
      <c r="AL831" s="279"/>
      <c r="AM831" s="279"/>
      <c r="AN831" s="279"/>
      <c r="AO831" s="279"/>
      <c r="AP831" s="279"/>
      <c r="AQ831" s="279"/>
      <c r="AR831" s="279"/>
      <c r="AS831" s="279"/>
      <c r="AT831" s="279"/>
      <c r="AU831" s="279"/>
      <c r="AV831" s="279"/>
      <c r="AW831" s="279"/>
      <c r="AX831" s="279"/>
      <c r="AY831" s="279"/>
      <c r="AZ831" s="279"/>
      <c r="BA831" s="279"/>
      <c r="BB831" s="279"/>
      <c r="BC831" s="279"/>
      <c r="BD831" s="279"/>
      <c r="BE831" s="279"/>
      <c r="BF831" s="279"/>
      <c r="BG831" s="279"/>
      <c r="BH831" s="279"/>
      <c r="BI831" s="279"/>
      <c r="BJ831" s="279"/>
      <c r="BK831" s="279"/>
      <c r="BL831" s="279"/>
      <c r="BM831" s="279"/>
      <c r="BN831" s="279"/>
      <c r="BO831" s="279"/>
      <c r="BP831" s="279"/>
      <c r="BQ831" s="279"/>
      <c r="BR831" s="279"/>
      <c r="BS831" s="279"/>
      <c r="BT831" s="279"/>
      <c r="BU831" s="279"/>
      <c r="BV831" s="279"/>
      <c r="BW831" s="279"/>
      <c r="BX831" s="279"/>
      <c r="BY831" s="279"/>
      <c r="BZ831" s="279"/>
      <c r="CA831" s="279"/>
      <c r="CB831" s="279"/>
      <c r="CC831" s="279"/>
      <c r="CD831" s="279"/>
      <c r="CE831" s="279"/>
      <c r="CF831" s="279"/>
      <c r="CG831" s="279"/>
      <c r="CH831" s="279"/>
      <c r="CI831" s="279"/>
      <c r="CJ831" s="279"/>
      <c r="CK831" s="279"/>
      <c r="CL831" s="279"/>
      <c r="CM831" s="279"/>
      <c r="CN831" s="382"/>
    </row>
    <row r="832" x14ac:dyDescent="0.3">
      <c r="B832" s="361"/>
      <c r="C832" s="279"/>
      <c r="D832" s="280"/>
      <c r="E832" s="287"/>
      <c r="F832" s="287"/>
      <c r="G832" s="287"/>
      <c r="H832" s="1292">
        <f t="shared" si="33"/>
        <v>49</v>
      </c>
      <c r="I832" s="1320" t="str">
        <f>IF('I. Stream &amp; Compound Data'!G310&lt;&gt;"",'I. Stream &amp; Compound Data'!G310,"")</f>
        <v/>
      </c>
      <c r="J832" s="1295" t="str">
        <f>IF('I. Stream &amp; Compound Data'!W310&lt;&gt;"",'I. Stream &amp; Compound Data'!W310,"")</f>
        <v/>
      </c>
      <c r="K832" s="1295" t="str">
        <f>IF('I. Stream &amp; Compound Data'!X310&lt;&gt;"",'I. Stream &amp; Compound Data'!X310,"")</f>
        <v/>
      </c>
      <c r="L832" s="1306" t="str">
        <f>IF(H832&gt;'I. Stream &amp; Compound Data'!$F$18,"",IF(J832="","N/A",IF(J832=0,0,1)))</f>
        <v/>
      </c>
      <c r="M832" s="1168" t="str">
        <f>IF(H832&gt;'I. Stream &amp; Compound Data'!$F$18,"",IF(L832="N/A",IF(K832="","N/A",IF(K832=0,1,0)),"N/A"))</f>
        <v/>
      </c>
      <c r="N832" s="1242" t="str">
        <f>IF(H832&gt;'I. Stream &amp; Compound Data'!$F$18,"",IF(I190="","N/A",IF(L832&lt;&gt;"N/A",L832,IF(M832&lt;&gt;"N/A",M832,"NO DATA AVAILABLE"))))</f>
        <v/>
      </c>
      <c r="O832" s="1242" t="str">
        <f>IF(H832&gt;'I. Stream &amp; Compound Data'!$F$18,"",N832)</f>
        <v/>
      </c>
      <c r="P832" s="1190" t="str">
        <f>'I. Stream &amp; Compound Data'!P310</f>
        <v/>
      </c>
      <c r="Q832" s="1268" t="str">
        <f t="shared" si="35"/>
        <v/>
      </c>
      <c r="R832" s="297"/>
      <c r="S832" s="298"/>
      <c r="T832" s="298"/>
      <c r="U832" s="299"/>
      <c r="V832" s="279"/>
      <c r="W832" s="279"/>
      <c r="X832" s="279"/>
      <c r="Y832" s="279"/>
      <c r="Z832" s="279"/>
      <c r="AA832" s="279"/>
      <c r="AB832" s="279"/>
      <c r="AC832" s="279"/>
      <c r="AD832" s="279"/>
      <c r="AE832" s="279"/>
      <c r="AF832" s="279"/>
      <c r="AG832" s="279"/>
      <c r="AH832" s="279"/>
      <c r="AI832" s="279"/>
      <c r="AJ832" s="279"/>
      <c r="AK832" s="279"/>
      <c r="AL832" s="279"/>
      <c r="AM832" s="279"/>
      <c r="AN832" s="279"/>
      <c r="AO832" s="279"/>
      <c r="AP832" s="279"/>
      <c r="AQ832" s="279"/>
      <c r="AR832" s="279"/>
      <c r="AS832" s="279"/>
      <c r="AT832" s="279"/>
      <c r="AU832" s="279"/>
      <c r="AV832" s="279"/>
      <c r="AW832" s="279"/>
      <c r="AX832" s="279"/>
      <c r="AY832" s="279"/>
      <c r="AZ832" s="279"/>
      <c r="BA832" s="279"/>
      <c r="BB832" s="279"/>
      <c r="BC832" s="279"/>
      <c r="BD832" s="279"/>
      <c r="BE832" s="279"/>
      <c r="BF832" s="279"/>
      <c r="BG832" s="279"/>
      <c r="BH832" s="279"/>
      <c r="BI832" s="279"/>
      <c r="BJ832" s="279"/>
      <c r="BK832" s="279"/>
      <c r="BL832" s="279"/>
      <c r="BM832" s="279"/>
      <c r="BN832" s="279"/>
      <c r="BO832" s="279"/>
      <c r="BP832" s="279"/>
      <c r="BQ832" s="279"/>
      <c r="BR832" s="279"/>
      <c r="BS832" s="279"/>
      <c r="BT832" s="279"/>
      <c r="BU832" s="279"/>
      <c r="BV832" s="279"/>
      <c r="BW832" s="279"/>
      <c r="BX832" s="279"/>
      <c r="BY832" s="279"/>
      <c r="BZ832" s="279"/>
      <c r="CA832" s="279"/>
      <c r="CB832" s="279"/>
      <c r="CC832" s="279"/>
      <c r="CD832" s="279"/>
      <c r="CE832" s="279"/>
      <c r="CF832" s="279"/>
      <c r="CG832" s="279"/>
      <c r="CH832" s="279"/>
      <c r="CI832" s="279"/>
      <c r="CJ832" s="279"/>
      <c r="CK832" s="279"/>
      <c r="CL832" s="279"/>
      <c r="CM832" s="279"/>
      <c r="CN832" s="382"/>
    </row>
    <row r="833" ht="16.2" thickBot="true" x14ac:dyDescent="0.35">
      <c r="B833" s="361"/>
      <c r="C833" s="279"/>
      <c r="D833" s="280"/>
      <c r="E833" s="287"/>
      <c r="F833" s="287"/>
      <c r="G833" s="287"/>
      <c r="H833" s="1298">
        <f t="shared" si="33"/>
        <v>50</v>
      </c>
      <c r="I833" s="1321" t="str">
        <f>IF('I. Stream &amp; Compound Data'!G311&lt;&gt;"",'I. Stream &amp; Compound Data'!G311,"")</f>
        <v/>
      </c>
      <c r="J833" s="1301" t="str">
        <f>IF('I. Stream &amp; Compound Data'!W311&lt;&gt;"",'I. Stream &amp; Compound Data'!W311,"")</f>
        <v/>
      </c>
      <c r="K833" s="1301" t="str">
        <f>IF('I. Stream &amp; Compound Data'!X311&lt;&gt;"",'I. Stream &amp; Compound Data'!X311,"")</f>
        <v/>
      </c>
      <c r="L833" s="1308" t="str">
        <f>IF(H833&gt;'I. Stream &amp; Compound Data'!$F$18,"",IF(J833="","N/A",IF(J833=0,0,1)))</f>
        <v/>
      </c>
      <c r="M833" s="1225" t="str">
        <f>IF(H833&gt;'I. Stream &amp; Compound Data'!$F$18,"",IF(L833="N/A",IF(K833="","N/A",IF(K833=0,1,0)),"N/A"))</f>
        <v/>
      </c>
      <c r="N833" s="1210" t="str">
        <f>IF(H833&gt;'I. Stream &amp; Compound Data'!$F$18,"",IF(I191="","N/A",IF(L833&lt;&gt;"N/A",L833,IF(M833&lt;&gt;"N/A",M833,"NO DATA AVAILABLE"))))</f>
        <v/>
      </c>
      <c r="O833" s="1210" t="str">
        <f>IF(H833&gt;'I. Stream &amp; Compound Data'!$F$18,"",N833)</f>
        <v/>
      </c>
      <c r="P833" s="1259" t="str">
        <f>'I. Stream &amp; Compound Data'!P311</f>
        <v/>
      </c>
      <c r="Q833" s="1270" t="str">
        <f t="shared" si="35"/>
        <v/>
      </c>
      <c r="R833" s="297"/>
      <c r="S833" s="298"/>
      <c r="T833" s="298"/>
      <c r="U833" s="299"/>
      <c r="V833" s="279"/>
      <c r="W833" s="279"/>
      <c r="X833" s="279"/>
      <c r="Y833" s="279"/>
      <c r="Z833" s="279"/>
      <c r="AA833" s="279"/>
      <c r="AB833" s="279"/>
      <c r="AC833" s="279"/>
      <c r="AD833" s="279"/>
      <c r="AE833" s="279"/>
      <c r="AF833" s="279"/>
      <c r="AG833" s="279"/>
      <c r="AH833" s="279"/>
      <c r="AI833" s="279"/>
      <c r="AJ833" s="279"/>
      <c r="AK833" s="279"/>
      <c r="AL833" s="279"/>
      <c r="AM833" s="279"/>
      <c r="AN833" s="279"/>
      <c r="AO833" s="279"/>
      <c r="AP833" s="279"/>
      <c r="AQ833" s="279"/>
      <c r="AR833" s="279"/>
      <c r="AS833" s="279"/>
      <c r="AT833" s="279"/>
      <c r="AU833" s="279"/>
      <c r="AV833" s="279"/>
      <c r="AW833" s="279"/>
      <c r="AX833" s="279"/>
      <c r="AY833" s="279"/>
      <c r="AZ833" s="279"/>
      <c r="BA833" s="279"/>
      <c r="BB833" s="279"/>
      <c r="BC833" s="279"/>
      <c r="BD833" s="279"/>
      <c r="BE833" s="279"/>
      <c r="BF833" s="279"/>
      <c r="BG833" s="279"/>
      <c r="BH833" s="279"/>
      <c r="BI833" s="279"/>
      <c r="BJ833" s="279"/>
      <c r="BK833" s="279"/>
      <c r="BL833" s="279"/>
      <c r="BM833" s="279"/>
      <c r="BN833" s="279"/>
      <c r="BO833" s="279"/>
      <c r="BP833" s="279"/>
      <c r="BQ833" s="279"/>
      <c r="BR833" s="279"/>
      <c r="BS833" s="279"/>
      <c r="BT833" s="279"/>
      <c r="BU833" s="279"/>
      <c r="BV833" s="279"/>
      <c r="BW833" s="279"/>
      <c r="BX833" s="279"/>
      <c r="BY833" s="279"/>
      <c r="BZ833" s="279"/>
      <c r="CA833" s="279"/>
      <c r="CB833" s="279"/>
      <c r="CC833" s="279"/>
      <c r="CD833" s="279"/>
      <c r="CE833" s="279"/>
      <c r="CF833" s="279"/>
      <c r="CG833" s="279"/>
      <c r="CH833" s="279"/>
      <c r="CI833" s="279"/>
      <c r="CJ833" s="279"/>
      <c r="CK833" s="279"/>
      <c r="CL833" s="279"/>
      <c r="CM833" s="279"/>
      <c r="CN833" s="382"/>
    </row>
    <row r="834" ht="16.2" thickBot="true" x14ac:dyDescent="0.35">
      <c r="B834" s="361"/>
      <c r="C834" s="279"/>
      <c r="D834" s="280"/>
      <c r="E834" s="287"/>
      <c r="F834" s="287"/>
      <c r="G834" s="287"/>
      <c r="H834" s="280"/>
      <c r="I834" s="304"/>
      <c r="J834" s="279"/>
      <c r="K834" s="280"/>
      <c r="L834" s="362"/>
      <c r="M834" s="287"/>
      <c r="N834" s="296"/>
      <c r="O834" s="280"/>
      <c r="P834" s="287" t="s">
        <v>88</v>
      </c>
      <c r="Q834" s="1305">
        <f>SUM(Q784:Q833)</f>
        <v>0</v>
      </c>
      <c r="R834" s="297"/>
      <c r="S834" s="298"/>
      <c r="T834" s="298"/>
      <c r="U834" s="299"/>
      <c r="V834" s="279"/>
      <c r="W834" s="279"/>
      <c r="X834" s="279"/>
      <c r="Y834" s="279"/>
      <c r="Z834" s="279"/>
      <c r="AA834" s="279"/>
      <c r="AB834" s="279"/>
      <c r="AC834" s="279"/>
      <c r="AD834" s="279"/>
      <c r="AE834" s="279"/>
      <c r="AF834" s="279"/>
      <c r="AG834" s="279"/>
      <c r="AH834" s="279"/>
      <c r="AI834" s="279"/>
      <c r="AJ834" s="279"/>
      <c r="AK834" s="279"/>
      <c r="AL834" s="279"/>
      <c r="AM834" s="279"/>
      <c r="AN834" s="279"/>
      <c r="AO834" s="279"/>
      <c r="AP834" s="279"/>
      <c r="AQ834" s="279"/>
      <c r="AR834" s="279"/>
      <c r="AS834" s="279"/>
      <c r="AT834" s="279"/>
      <c r="AU834" s="279"/>
      <c r="AV834" s="279"/>
      <c r="AW834" s="279"/>
      <c r="AX834" s="279"/>
      <c r="AY834" s="279"/>
      <c r="AZ834" s="279"/>
      <c r="BA834" s="279"/>
      <c r="BB834" s="279"/>
      <c r="BC834" s="279"/>
      <c r="BD834" s="279"/>
      <c r="BE834" s="279"/>
      <c r="BF834" s="279"/>
      <c r="BG834" s="279"/>
      <c r="BH834" s="279"/>
      <c r="BI834" s="279"/>
      <c r="BJ834" s="279"/>
      <c r="BK834" s="279"/>
      <c r="BL834" s="279"/>
      <c r="BM834" s="279"/>
      <c r="BN834" s="279"/>
      <c r="BO834" s="279"/>
      <c r="BP834" s="279"/>
      <c r="BQ834" s="279"/>
      <c r="BR834" s="279"/>
      <c r="BS834" s="279"/>
      <c r="BT834" s="279"/>
      <c r="BU834" s="279"/>
      <c r="BV834" s="279"/>
      <c r="BW834" s="279"/>
      <c r="BX834" s="279"/>
      <c r="BY834" s="279"/>
      <c r="BZ834" s="279"/>
      <c r="CA834" s="279"/>
      <c r="CB834" s="279"/>
      <c r="CC834" s="279"/>
      <c r="CD834" s="279"/>
      <c r="CE834" s="279"/>
      <c r="CF834" s="279"/>
      <c r="CG834" s="279"/>
      <c r="CH834" s="279"/>
      <c r="CI834" s="279"/>
      <c r="CJ834" s="279"/>
      <c r="CK834" s="279"/>
      <c r="CL834" s="279"/>
      <c r="CM834" s="279"/>
      <c r="CN834" s="382"/>
    </row>
    <row r="835" x14ac:dyDescent="0.25">
      <c r="B835" s="361"/>
      <c r="C835" s="279"/>
      <c r="D835" s="280"/>
      <c r="E835" s="287"/>
      <c r="F835" s="287"/>
      <c r="G835" s="287"/>
      <c r="H835" s="280"/>
      <c r="I835" s="304"/>
      <c r="J835" s="279"/>
      <c r="K835" s="280"/>
      <c r="L835" s="362"/>
      <c r="M835" s="287"/>
      <c r="N835" s="296"/>
      <c r="O835" s="280"/>
      <c r="P835" s="280"/>
      <c r="Q835" s="287"/>
      <c r="R835" s="287"/>
      <c r="S835" s="298"/>
      <c r="T835" s="298"/>
      <c r="U835" s="299"/>
      <c r="V835" s="279"/>
      <c r="W835" s="279"/>
      <c r="X835" s="279"/>
      <c r="Y835" s="279"/>
      <c r="Z835" s="279"/>
      <c r="AA835" s="279"/>
      <c r="AB835" s="279"/>
      <c r="AC835" s="279"/>
      <c r="AD835" s="279"/>
      <c r="AE835" s="279"/>
      <c r="AF835" s="279"/>
      <c r="AG835" s="279"/>
      <c r="AH835" s="279"/>
      <c r="AI835" s="279"/>
      <c r="AJ835" s="279"/>
      <c r="AK835" s="279"/>
      <c r="AL835" s="279"/>
      <c r="AM835" s="279"/>
      <c r="AN835" s="279"/>
      <c r="AO835" s="279"/>
      <c r="AP835" s="279"/>
      <c r="AQ835" s="279"/>
      <c r="AR835" s="279"/>
      <c r="AS835" s="279"/>
      <c r="AT835" s="279"/>
      <c r="AU835" s="279"/>
      <c r="AV835" s="279"/>
      <c r="AW835" s="279"/>
      <c r="AX835" s="279"/>
      <c r="AY835" s="279"/>
      <c r="AZ835" s="279"/>
      <c r="BA835" s="279"/>
      <c r="BB835" s="279"/>
      <c r="BC835" s="279"/>
      <c r="BD835" s="279"/>
      <c r="BE835" s="279"/>
      <c r="BF835" s="279"/>
      <c r="BG835" s="279"/>
      <c r="BH835" s="279"/>
      <c r="BI835" s="279"/>
      <c r="BJ835" s="279"/>
      <c r="BK835" s="279"/>
      <c r="BL835" s="279"/>
      <c r="BM835" s="279"/>
      <c r="BN835" s="279"/>
      <c r="BO835" s="279"/>
      <c r="BP835" s="279"/>
      <c r="BQ835" s="279"/>
      <c r="BR835" s="279"/>
      <c r="BS835" s="279"/>
      <c r="BT835" s="279"/>
      <c r="BU835" s="279"/>
      <c r="BV835" s="279"/>
      <c r="BW835" s="279"/>
      <c r="BX835" s="279"/>
      <c r="BY835" s="279"/>
      <c r="BZ835" s="279"/>
      <c r="CA835" s="279"/>
      <c r="CB835" s="279"/>
      <c r="CC835" s="279"/>
      <c r="CD835" s="279"/>
      <c r="CE835" s="279"/>
      <c r="CF835" s="279"/>
      <c r="CG835" s="279"/>
      <c r="CH835" s="279"/>
      <c r="CI835" s="279"/>
      <c r="CJ835" s="279"/>
      <c r="CK835" s="279"/>
      <c r="CL835" s="279"/>
      <c r="CM835" s="279"/>
      <c r="CN835" s="382"/>
    </row>
    <row r="836" x14ac:dyDescent="0.25">
      <c r="B836" s="361"/>
      <c r="C836" s="279"/>
      <c r="D836" s="280"/>
      <c r="E836" s="287"/>
      <c r="F836" s="287"/>
      <c r="G836" s="287"/>
      <c r="H836" s="280"/>
      <c r="I836" s="304"/>
      <c r="J836" s="279"/>
      <c r="K836" s="280"/>
      <c r="L836" s="362"/>
      <c r="M836" s="287"/>
      <c r="N836" s="296"/>
      <c r="O836" s="280"/>
      <c r="P836" s="280"/>
      <c r="Q836" s="287"/>
      <c r="R836" s="287"/>
      <c r="S836" s="298"/>
      <c r="T836" s="298"/>
      <c r="U836" s="299"/>
      <c r="V836" s="279"/>
      <c r="W836" s="279"/>
      <c r="X836" s="279"/>
      <c r="Y836" s="279"/>
      <c r="Z836" s="279"/>
      <c r="AA836" s="279"/>
      <c r="AB836" s="279"/>
      <c r="AC836" s="279"/>
      <c r="AD836" s="279"/>
      <c r="AE836" s="279"/>
      <c r="AF836" s="279"/>
      <c r="AG836" s="279"/>
      <c r="AH836" s="279"/>
      <c r="AI836" s="279"/>
      <c r="AJ836" s="279"/>
      <c r="AK836" s="279"/>
      <c r="AL836" s="279"/>
      <c r="AM836" s="279"/>
      <c r="AN836" s="279"/>
      <c r="AO836" s="279"/>
      <c r="AP836" s="279"/>
      <c r="AQ836" s="279"/>
      <c r="AR836" s="279"/>
      <c r="AS836" s="279"/>
      <c r="AT836" s="279"/>
      <c r="AU836" s="279"/>
      <c r="AV836" s="279"/>
      <c r="AW836" s="279"/>
      <c r="AX836" s="279"/>
      <c r="AY836" s="279"/>
      <c r="AZ836" s="279"/>
      <c r="BA836" s="279"/>
      <c r="BB836" s="279"/>
      <c r="BC836" s="279"/>
      <c r="BD836" s="279"/>
      <c r="BE836" s="279"/>
      <c r="BF836" s="279"/>
      <c r="BG836" s="279"/>
      <c r="BH836" s="279"/>
      <c r="BI836" s="279"/>
      <c r="BJ836" s="279"/>
      <c r="BK836" s="279"/>
      <c r="BL836" s="279"/>
      <c r="BM836" s="279"/>
      <c r="BN836" s="279"/>
      <c r="BO836" s="279"/>
      <c r="BP836" s="279"/>
      <c r="BQ836" s="279"/>
      <c r="BR836" s="279"/>
      <c r="BS836" s="279"/>
      <c r="BT836" s="279"/>
      <c r="BU836" s="279"/>
      <c r="BV836" s="279"/>
      <c r="BW836" s="279"/>
      <c r="BX836" s="279"/>
      <c r="BY836" s="279"/>
      <c r="BZ836" s="279"/>
      <c r="CA836" s="279"/>
      <c r="CB836" s="279"/>
      <c r="CC836" s="279"/>
      <c r="CD836" s="279"/>
      <c r="CE836" s="279"/>
      <c r="CF836" s="279"/>
      <c r="CG836" s="279"/>
      <c r="CH836" s="279"/>
      <c r="CI836" s="279"/>
      <c r="CJ836" s="279"/>
      <c r="CK836" s="279"/>
      <c r="CL836" s="279"/>
      <c r="CM836" s="279"/>
      <c r="CN836" s="382"/>
    </row>
    <row r="837" x14ac:dyDescent="0.3">
      <c r="B837" s="361"/>
      <c r="C837" s="279"/>
      <c r="D837" s="280"/>
      <c r="E837" s="287"/>
      <c r="F837" s="287"/>
      <c r="G837" s="287"/>
      <c r="H837" s="280"/>
      <c r="I837" s="304"/>
      <c r="J837" s="279"/>
      <c r="K837" s="280"/>
      <c r="L837" s="362"/>
      <c r="M837" s="287"/>
      <c r="N837" s="296"/>
      <c r="O837" s="280"/>
      <c r="P837" s="280"/>
      <c r="Q837" s="279"/>
      <c r="R837" s="297"/>
      <c r="S837" s="298"/>
      <c r="T837" s="298"/>
      <c r="U837" s="299"/>
      <c r="V837" s="279"/>
      <c r="W837" s="279"/>
      <c r="X837" s="279"/>
      <c r="Y837" s="279"/>
      <c r="Z837" s="279"/>
      <c r="AA837" s="279"/>
      <c r="AB837" s="279"/>
      <c r="AC837" s="279"/>
      <c r="AD837" s="279"/>
      <c r="AE837" s="279"/>
      <c r="AF837" s="279"/>
      <c r="AG837" s="279"/>
      <c r="AH837" s="279"/>
      <c r="AI837" s="279"/>
      <c r="AJ837" s="279"/>
      <c r="AK837" s="279"/>
      <c r="AL837" s="279"/>
      <c r="AM837" s="279"/>
      <c r="AN837" s="279"/>
      <c r="AO837" s="279"/>
      <c r="AP837" s="279"/>
      <c r="AQ837" s="279"/>
      <c r="AR837" s="279"/>
      <c r="AS837" s="279"/>
      <c r="AT837" s="279"/>
      <c r="AU837" s="279"/>
      <c r="AV837" s="279"/>
      <c r="AW837" s="279"/>
      <c r="AX837" s="279"/>
      <c r="AY837" s="279"/>
      <c r="AZ837" s="279"/>
      <c r="BA837" s="279"/>
      <c r="BB837" s="279"/>
      <c r="BC837" s="279"/>
      <c r="BD837" s="279"/>
      <c r="BE837" s="279"/>
      <c r="BF837" s="279"/>
      <c r="BG837" s="279"/>
      <c r="BH837" s="279"/>
      <c r="BI837" s="279"/>
      <c r="BJ837" s="279"/>
      <c r="BK837" s="279"/>
      <c r="BL837" s="279"/>
      <c r="BM837" s="279"/>
      <c r="BN837" s="279"/>
      <c r="BO837" s="279"/>
      <c r="BP837" s="279"/>
      <c r="BQ837" s="279"/>
      <c r="BR837" s="279"/>
      <c r="BS837" s="279"/>
      <c r="BT837" s="279"/>
      <c r="BU837" s="279"/>
      <c r="BV837" s="279"/>
      <c r="BW837" s="279"/>
      <c r="BX837" s="279"/>
      <c r="BY837" s="279"/>
      <c r="BZ837" s="279"/>
      <c r="CA837" s="279"/>
      <c r="CB837" s="279"/>
      <c r="CC837" s="279"/>
      <c r="CD837" s="279"/>
      <c r="CE837" s="279"/>
      <c r="CF837" s="279"/>
      <c r="CG837" s="279"/>
      <c r="CH837" s="279"/>
      <c r="CI837" s="279"/>
      <c r="CJ837" s="279"/>
      <c r="CK837" s="279"/>
      <c r="CL837" s="279"/>
      <c r="CM837" s="279"/>
      <c r="CN837" s="382"/>
    </row>
    <row r="838" x14ac:dyDescent="0.3">
      <c r="B838" s="361"/>
      <c r="C838" s="279"/>
      <c r="D838" s="280"/>
      <c r="E838" s="287"/>
      <c r="F838" s="287"/>
      <c r="G838" s="287"/>
      <c r="H838" s="280"/>
      <c r="I838" s="304"/>
      <c r="J838" s="279"/>
      <c r="K838" s="280"/>
      <c r="L838" s="362"/>
      <c r="M838" s="287"/>
      <c r="N838" s="296"/>
      <c r="O838" s="280"/>
      <c r="P838" s="280"/>
      <c r="Q838" s="279"/>
      <c r="R838" s="297"/>
      <c r="S838" s="298"/>
      <c r="T838" s="298"/>
      <c r="U838" s="299"/>
      <c r="V838" s="279"/>
      <c r="W838" s="279"/>
      <c r="X838" s="279"/>
      <c r="Y838" s="279"/>
      <c r="Z838" s="279"/>
      <c r="AA838" s="279"/>
      <c r="AB838" s="279"/>
      <c r="AC838" s="279"/>
      <c r="AD838" s="279"/>
      <c r="AE838" s="279"/>
      <c r="AF838" s="279"/>
      <c r="AG838" s="279"/>
      <c r="AH838" s="279"/>
      <c r="AI838" s="279"/>
      <c r="AJ838" s="279"/>
      <c r="AK838" s="279"/>
      <c r="AL838" s="279"/>
      <c r="AM838" s="279"/>
      <c r="AN838" s="279"/>
      <c r="AO838" s="279"/>
      <c r="AP838" s="279"/>
      <c r="AQ838" s="279"/>
      <c r="AR838" s="279"/>
      <c r="AS838" s="279"/>
      <c r="AT838" s="279"/>
      <c r="AU838" s="279"/>
      <c r="AV838" s="279"/>
      <c r="AW838" s="279"/>
      <c r="AX838" s="279"/>
      <c r="AY838" s="279"/>
      <c r="AZ838" s="279"/>
      <c r="BA838" s="279"/>
      <c r="BB838" s="279"/>
      <c r="BC838" s="279"/>
      <c r="BD838" s="279"/>
      <c r="BE838" s="279"/>
      <c r="BF838" s="279"/>
      <c r="BG838" s="279"/>
      <c r="BH838" s="279"/>
      <c r="BI838" s="279"/>
      <c r="BJ838" s="279"/>
      <c r="BK838" s="279"/>
      <c r="BL838" s="279"/>
      <c r="BM838" s="279"/>
      <c r="BN838" s="279"/>
      <c r="BO838" s="279"/>
      <c r="BP838" s="279"/>
      <c r="BQ838" s="279"/>
      <c r="BR838" s="279"/>
      <c r="BS838" s="279"/>
      <c r="BT838" s="279"/>
      <c r="BU838" s="279"/>
      <c r="BV838" s="279"/>
      <c r="BW838" s="279"/>
      <c r="BX838" s="279"/>
      <c r="BY838" s="279"/>
      <c r="BZ838" s="279"/>
      <c r="CA838" s="279"/>
      <c r="CB838" s="279"/>
      <c r="CC838" s="279"/>
      <c r="CD838" s="279"/>
      <c r="CE838" s="279"/>
      <c r="CF838" s="279"/>
      <c r="CG838" s="279"/>
      <c r="CH838" s="279"/>
      <c r="CI838" s="279"/>
      <c r="CJ838" s="279"/>
      <c r="CK838" s="279"/>
      <c r="CL838" s="279"/>
      <c r="CM838" s="279"/>
      <c r="CN838" s="382"/>
    </row>
    <row r="839" ht="16.2" thickBot="true" x14ac:dyDescent="0.35">
      <c r="B839" s="361"/>
      <c r="C839" s="279"/>
      <c r="D839" s="280"/>
      <c r="E839" s="287"/>
      <c r="F839" s="287"/>
      <c r="G839" s="287"/>
      <c r="H839" s="280"/>
      <c r="I839" s="304"/>
      <c r="J839" s="279"/>
      <c r="K839" s="280"/>
      <c r="L839" s="362"/>
      <c r="M839" s="287"/>
      <c r="N839" s="296"/>
      <c r="O839" s="280"/>
      <c r="P839" s="280"/>
      <c r="Q839" s="279"/>
      <c r="R839" s="297"/>
      <c r="S839" s="298"/>
      <c r="T839" s="298"/>
      <c r="U839" s="299"/>
      <c r="V839" s="279"/>
      <c r="W839" s="279"/>
      <c r="X839" s="279"/>
      <c r="Y839" s="279"/>
      <c r="Z839" s="279"/>
      <c r="AA839" s="279"/>
      <c r="AB839" s="279"/>
      <c r="AC839" s="279"/>
      <c r="AD839" s="279"/>
      <c r="AE839" s="279"/>
      <c r="AF839" s="279"/>
      <c r="AG839" s="279"/>
      <c r="AH839" s="279"/>
      <c r="AI839" s="279"/>
      <c r="AJ839" s="279"/>
      <c r="AK839" s="279"/>
      <c r="AL839" s="279"/>
      <c r="AM839" s="279"/>
      <c r="AN839" s="279"/>
      <c r="AO839" s="279"/>
      <c r="AP839" s="279"/>
      <c r="AQ839" s="279"/>
      <c r="AR839" s="279"/>
      <c r="AS839" s="279"/>
      <c r="AT839" s="279"/>
      <c r="AU839" s="279"/>
      <c r="AV839" s="279"/>
      <c r="AW839" s="279"/>
      <c r="AX839" s="279"/>
      <c r="AY839" s="279"/>
      <c r="AZ839" s="279"/>
      <c r="BA839" s="279"/>
      <c r="BB839" s="279"/>
      <c r="BC839" s="279"/>
      <c r="BD839" s="279"/>
      <c r="BE839" s="279"/>
      <c r="BF839" s="279"/>
      <c r="BG839" s="279"/>
      <c r="BH839" s="279"/>
      <c r="BI839" s="279"/>
      <c r="BJ839" s="279"/>
      <c r="BK839" s="279"/>
      <c r="BL839" s="279"/>
      <c r="BM839" s="279"/>
      <c r="BN839" s="279"/>
      <c r="BO839" s="279"/>
      <c r="BP839" s="279"/>
      <c r="BQ839" s="279"/>
      <c r="BR839" s="279"/>
      <c r="BS839" s="279"/>
      <c r="BT839" s="279"/>
      <c r="BU839" s="279"/>
      <c r="BV839" s="279"/>
      <c r="BW839" s="279"/>
      <c r="BX839" s="279"/>
      <c r="BY839" s="279"/>
      <c r="BZ839" s="279"/>
      <c r="CA839" s="279"/>
      <c r="CB839" s="279"/>
      <c r="CC839" s="279"/>
      <c r="CD839" s="279"/>
      <c r="CE839" s="279"/>
      <c r="CF839" s="279"/>
      <c r="CG839" s="279"/>
      <c r="CH839" s="279"/>
      <c r="CI839" s="279"/>
      <c r="CJ839" s="279"/>
      <c r="CK839" s="279"/>
      <c r="CL839" s="279"/>
      <c r="CM839" s="279"/>
      <c r="CN839" s="382"/>
    </row>
    <row r="840" ht="27" customHeight="true" thickBot="true" x14ac:dyDescent="0.35">
      <c r="B840" s="361"/>
      <c r="C840" s="279"/>
      <c r="D840" s="280"/>
      <c r="E840" s="287"/>
      <c r="F840" s="287"/>
      <c r="G840" s="287"/>
      <c r="H840" s="1950" t="s">
        <v>404</v>
      </c>
      <c r="I840" s="1951"/>
      <c r="J840" s="1951"/>
      <c r="K840" s="1951"/>
      <c r="L840" s="1952"/>
      <c r="M840" s="287"/>
      <c r="N840" s="296"/>
      <c r="O840" s="280"/>
      <c r="P840" s="280"/>
      <c r="Q840" s="279"/>
      <c r="R840" s="297"/>
      <c r="S840" s="298"/>
      <c r="T840" s="298"/>
      <c r="U840" s="299"/>
      <c r="V840" s="279"/>
      <c r="W840" s="279"/>
      <c r="X840" s="279"/>
      <c r="Y840" s="279"/>
      <c r="Z840" s="279"/>
      <c r="AA840" s="279"/>
      <c r="AB840" s="279"/>
      <c r="AC840" s="279"/>
      <c r="AD840" s="279"/>
      <c r="AE840" s="279"/>
      <c r="AF840" s="279"/>
      <c r="AG840" s="279"/>
      <c r="AH840" s="279"/>
      <c r="AI840" s="279"/>
      <c r="AJ840" s="279"/>
      <c r="AK840" s="279"/>
      <c r="AL840" s="279"/>
      <c r="AM840" s="279"/>
      <c r="AN840" s="279"/>
      <c r="AO840" s="279"/>
      <c r="AP840" s="279"/>
      <c r="AQ840" s="279"/>
      <c r="AR840" s="279"/>
      <c r="AS840" s="279"/>
      <c r="AT840" s="279"/>
      <c r="AU840" s="279"/>
      <c r="AV840" s="279"/>
      <c r="AW840" s="279"/>
      <c r="AX840" s="279"/>
      <c r="AY840" s="279"/>
      <c r="AZ840" s="279"/>
      <c r="BA840" s="279"/>
      <c r="BB840" s="279"/>
      <c r="BC840" s="279"/>
      <c r="BD840" s="279"/>
      <c r="BE840" s="279"/>
      <c r="BF840" s="279"/>
      <c r="BG840" s="279"/>
      <c r="BH840" s="279"/>
      <c r="BI840" s="279"/>
      <c r="BJ840" s="279"/>
      <c r="BK840" s="279"/>
      <c r="BL840" s="279"/>
      <c r="BM840" s="279"/>
      <c r="BN840" s="279"/>
      <c r="BO840" s="279"/>
      <c r="BP840" s="279"/>
      <c r="BQ840" s="279"/>
      <c r="BR840" s="279"/>
      <c r="BS840" s="279"/>
      <c r="BT840" s="279"/>
      <c r="BU840" s="279"/>
      <c r="BV840" s="279"/>
      <c r="BW840" s="279"/>
      <c r="BX840" s="279"/>
      <c r="BY840" s="279"/>
      <c r="BZ840" s="279"/>
      <c r="CA840" s="279"/>
      <c r="CB840" s="279"/>
      <c r="CC840" s="279"/>
      <c r="CD840" s="279"/>
      <c r="CE840" s="279"/>
      <c r="CF840" s="279"/>
      <c r="CG840" s="279"/>
      <c r="CH840" s="279"/>
      <c r="CI840" s="279"/>
      <c r="CJ840" s="279"/>
      <c r="CK840" s="279"/>
      <c r="CL840" s="279"/>
      <c r="CM840" s="279"/>
      <c r="CN840" s="382"/>
    </row>
    <row r="841" ht="28.8" x14ac:dyDescent="0.25">
      <c r="B841" s="361"/>
      <c r="C841" s="279"/>
      <c r="D841" s="280"/>
      <c r="E841" s="287"/>
      <c r="F841" s="287"/>
      <c r="G841" s="287"/>
      <c r="H841" s="282" t="s">
        <v>1469</v>
      </c>
      <c r="I841" s="283" t="s">
        <v>405</v>
      </c>
      <c r="J841" s="1166" t="s">
        <v>242</v>
      </c>
      <c r="K841" s="1166" t="s">
        <v>205</v>
      </c>
      <c r="L841" s="1949" t="s">
        <v>254</v>
      </c>
      <c r="M841" s="1949"/>
      <c r="N841" s="1949"/>
      <c r="O841" s="288" t="s">
        <v>253</v>
      </c>
      <c r="P841" s="283" t="s">
        <v>401</v>
      </c>
      <c r="Q841" s="1166" t="s">
        <v>289</v>
      </c>
      <c r="R841" s="295" t="s">
        <v>395</v>
      </c>
      <c r="S841" s="298"/>
      <c r="T841" s="298"/>
      <c r="U841" s="299"/>
      <c r="V841" s="279"/>
      <c r="W841" s="279"/>
      <c r="X841" s="279"/>
      <c r="Y841" s="279"/>
      <c r="Z841" s="279"/>
      <c r="AA841" s="279"/>
      <c r="AB841" s="279"/>
      <c r="AC841" s="279"/>
      <c r="AD841" s="279"/>
      <c r="AE841" s="279"/>
      <c r="AF841" s="279"/>
      <c r="AG841" s="279"/>
      <c r="AH841" s="279"/>
      <c r="AI841" s="279"/>
      <c r="AJ841" s="279"/>
      <c r="AK841" s="279"/>
      <c r="AL841" s="279"/>
      <c r="AM841" s="279"/>
      <c r="AN841" s="279"/>
      <c r="AO841" s="279"/>
      <c r="AP841" s="279"/>
      <c r="AQ841" s="279"/>
      <c r="AR841" s="279"/>
      <c r="AS841" s="279"/>
      <c r="AT841" s="279"/>
      <c r="AU841" s="279"/>
      <c r="AV841" s="279"/>
      <c r="AW841" s="279"/>
      <c r="AX841" s="279"/>
      <c r="AY841" s="279"/>
      <c r="AZ841" s="279"/>
      <c r="BA841" s="279"/>
      <c r="BB841" s="279"/>
      <c r="BC841" s="279"/>
      <c r="BD841" s="279"/>
      <c r="BE841" s="279"/>
      <c r="BF841" s="279"/>
      <c r="BG841" s="279"/>
      <c r="BH841" s="279"/>
      <c r="BI841" s="279"/>
      <c r="BJ841" s="279"/>
      <c r="BK841" s="279"/>
      <c r="BL841" s="279"/>
      <c r="BM841" s="279"/>
      <c r="BN841" s="279"/>
      <c r="BO841" s="279"/>
      <c r="BP841" s="279"/>
      <c r="BQ841" s="279"/>
      <c r="BR841" s="279"/>
      <c r="BS841" s="279"/>
      <c r="BT841" s="279"/>
      <c r="BU841" s="279"/>
      <c r="BV841" s="279"/>
      <c r="BW841" s="279"/>
      <c r="BX841" s="279"/>
      <c r="BY841" s="279"/>
      <c r="BZ841" s="279"/>
      <c r="CA841" s="279"/>
      <c r="CB841" s="279"/>
      <c r="CC841" s="279"/>
      <c r="CD841" s="279"/>
      <c r="CE841" s="279"/>
      <c r="CF841" s="279"/>
      <c r="CG841" s="279"/>
      <c r="CH841" s="279"/>
      <c r="CI841" s="279"/>
      <c r="CJ841" s="279"/>
      <c r="CK841" s="279"/>
      <c r="CL841" s="279"/>
      <c r="CM841" s="279"/>
      <c r="CN841" s="382"/>
    </row>
    <row r="842" x14ac:dyDescent="0.25">
      <c r="B842" s="361"/>
      <c r="C842" s="279"/>
      <c r="D842" s="280"/>
      <c r="E842" s="287"/>
      <c r="F842" s="287"/>
      <c r="G842" s="287"/>
      <c r="H842" s="1292">
        <f t="shared" ref="H842:H891" si="36">H142</f>
        <v>1</v>
      </c>
      <c r="I842" s="1295" t="e">
        <f>IF('I. Stream &amp; Compound Data'!AE262&lt;&gt;"",LOG10('I. Stream &amp; Compound Data'!AE262),"")</f>
        <v>#VALUE!</v>
      </c>
      <c r="J842" s="1295" t="str">
        <f>IF('I. Stream &amp; Compound Data'!AF262&lt;&gt;"",'I. Stream &amp; Compound Data'!AF262,"")</f>
        <v/>
      </c>
      <c r="K842" s="1295" t="str">
        <f>IF('I. Stream &amp; Compound Data'!AR262&lt;&gt;"",'I. Stream &amp; Compound Data'!AR262,IF('I. Stream &amp; Compound Data'!AS262&lt;&gt;"",'I. Stream &amp; Compound Data'!AS262,IF(AND(I842="",J842="",H842&lt;='I. Stream &amp; Compound Data'!$F$18),"N/A","")))</f>
        <v>26/27/28</v>
      </c>
      <c r="L842" s="1306" t="e">
        <f>IF(H842&gt;'I. Stream &amp; Compound Data'!$F$18,"",IF(I842="","N/A",ROUND(IF(I842&lt;=2,0,IF(AND(I842&gt;2,I842&lt;4),0.5*(I842)-1,1)),3)))</f>
        <v>#VALUE!</v>
      </c>
      <c r="M842" s="1168" t="e">
        <f>IF(H842&gt;'I. Stream &amp; Compound Data'!$F$18,"",IF(L842="N/A",IF(J842="","N/A",ROUND(IF(J842&lt;=3,0,IF(AND(J842&gt;3,J842&lt;5),0.5*(J842)-1.5,1)),3)),"N/A"))</f>
        <v>#VALUE!</v>
      </c>
      <c r="N842" s="1242" t="e">
        <f>IF(H842&gt;'I. Stream &amp; Compound Data'!$F$18,"",IF(AND(L842="N/A",M842="N/A"),IF(K842="","N/A",IF(OR(K842=48,K842=53,K842=58),1,IF(K842=33,0.5,0))),"N/A"))</f>
        <v>#VALUE!</v>
      </c>
      <c r="O842" s="1242" t="e">
        <f>IF(H842&gt;'I. Stream &amp; Compound Data'!$F$18,"",IF(I142="","N/A",IF(L842&lt;&gt;"N/A",L842,IF(M842&lt;&gt;"N/A",M842,IF(N842&lt;&gt;"N/A",N842,"NO DATA AVAILABLE")))))</f>
        <v>#VALUE!</v>
      </c>
      <c r="P842" s="1242" t="e">
        <f>IF(H842&gt;'I. Stream &amp; Compound Data'!$F$18,"",IF(O842="N/A","",10^(2*O842)))</f>
        <v>#VALUE!</v>
      </c>
      <c r="Q842" s="1242">
        <f>'I. Stream &amp; Compound Data'!P262</f>
        <v>2980.7504537999998</v>
      </c>
      <c r="R842" s="1268" t="e">
        <f>IF(Q842="","",IF('I. Stream &amp; Compound Data'!E32="H2O",0,P842*Q842))</f>
        <v>#VALUE!</v>
      </c>
      <c r="S842" s="298"/>
      <c r="T842" s="298"/>
      <c r="U842" s="299"/>
      <c r="V842" s="279"/>
      <c r="W842" s="279"/>
      <c r="X842" s="279"/>
      <c r="Y842" s="279"/>
      <c r="Z842" s="279"/>
      <c r="AA842" s="279"/>
      <c r="AB842" s="279"/>
      <c r="AC842" s="279"/>
      <c r="AD842" s="279"/>
      <c r="AE842" s="279"/>
      <c r="AF842" s="279"/>
      <c r="AG842" s="279"/>
      <c r="AH842" s="279"/>
      <c r="AI842" s="279"/>
      <c r="AJ842" s="279"/>
      <c r="AK842" s="279"/>
      <c r="AL842" s="279"/>
      <c r="AM842" s="279"/>
      <c r="AN842" s="279"/>
      <c r="AO842" s="279"/>
      <c r="AP842" s="279"/>
      <c r="AQ842" s="279"/>
      <c r="AR842" s="279"/>
      <c r="AS842" s="279"/>
      <c r="AT842" s="279"/>
      <c r="AU842" s="279"/>
      <c r="AV842" s="279"/>
      <c r="AW842" s="279"/>
      <c r="AX842" s="279"/>
      <c r="AY842" s="279"/>
      <c r="AZ842" s="279"/>
      <c r="BA842" s="279"/>
      <c r="BB842" s="279"/>
      <c r="BC842" s="279"/>
      <c r="BD842" s="279"/>
      <c r="BE842" s="279"/>
      <c r="BF842" s="279"/>
      <c r="BG842" s="279"/>
      <c r="BH842" s="279"/>
      <c r="BI842" s="279"/>
      <c r="BJ842" s="279"/>
      <c r="BK842" s="279"/>
      <c r="BL842" s="279"/>
      <c r="BM842" s="279"/>
      <c r="BN842" s="279"/>
      <c r="BO842" s="279"/>
      <c r="BP842" s="279"/>
      <c r="BQ842" s="279"/>
      <c r="BR842" s="279"/>
      <c r="BS842" s="279"/>
      <c r="BT842" s="279"/>
      <c r="BU842" s="279"/>
      <c r="BV842" s="279"/>
      <c r="BW842" s="279"/>
      <c r="BX842" s="279"/>
      <c r="BY842" s="279"/>
      <c r="BZ842" s="279"/>
      <c r="CA842" s="279"/>
      <c r="CB842" s="279"/>
      <c r="CC842" s="279"/>
      <c r="CD842" s="279"/>
      <c r="CE842" s="279"/>
      <c r="CF842" s="279"/>
      <c r="CG842" s="279"/>
      <c r="CH842" s="279"/>
      <c r="CI842" s="279"/>
      <c r="CJ842" s="279"/>
      <c r="CK842" s="279"/>
      <c r="CL842" s="279"/>
      <c r="CM842" s="279"/>
      <c r="CN842" s="382"/>
    </row>
    <row r="843" x14ac:dyDescent="0.25">
      <c r="B843" s="361"/>
      <c r="C843" s="279"/>
      <c r="D843" s="280"/>
      <c r="E843" s="287"/>
      <c r="F843" s="287"/>
      <c r="G843" s="287"/>
      <c r="H843" s="1292">
        <f t="shared" si="36"/>
        <v>2</v>
      </c>
      <c r="I843" s="1295">
        <f>IF('I. Stream &amp; Compound Data'!AE263&lt;&gt;"",LOG10('I. Stream &amp; Compound Data'!AE263),"")</f>
        <v>2.53655844257153</v>
      </c>
      <c r="J843" s="1295" t="str">
        <f>IF('I. Stream &amp; Compound Data'!AF263&lt;&gt;"",'I. Stream &amp; Compound Data'!AF263,"")</f>
        <v/>
      </c>
      <c r="K843" s="1295" t="str">
        <f>IF('I. Stream &amp; Compound Data'!AR263&lt;&gt;"",'I. Stream &amp; Compound Data'!AR263,IF('I. Stream &amp; Compound Data'!AS263&lt;&gt;"",'I. Stream &amp; Compound Data'!AS263,IF(AND(I843="",J843="",H843&lt;='I. Stream &amp; Compound Data'!$F$18),"N/A","")))</f>
        <v/>
      </c>
      <c r="L843" s="1306">
        <f>IF(H843&gt;'I. Stream &amp; Compound Data'!$F$18,"",IF(I843="","N/A",ROUND(IF(I843&lt;=2,0,IF(AND(I843&gt;2,I843&lt;4),0.5*(I843)-1,1)),3)))</f>
        <v>0.26800000000000002</v>
      </c>
      <c r="M843" s="1168" t="str">
        <f>IF(H843&gt;'I. Stream &amp; Compound Data'!$F$18,"",IF(L843="N/A",IF(J843="","N/A",ROUND(IF(J843&lt;=3,0,IF(AND(J843&gt;3,J843&lt;5),0.5*(J843)-1.5,1)),3)),"N/A"))</f>
        <v>N/A</v>
      </c>
      <c r="N843" s="1242" t="str">
        <f>IF(H843&gt;'I. Stream &amp; Compound Data'!$F$18,"",IF(AND(L843="N/A",M843="N/A"),IF(K843="","N/A",IF(OR(K843=48,K843=53,K843=58),1,IF(K843=33,0.5,0))),"N/A"))</f>
        <v>N/A</v>
      </c>
      <c r="O843" s="1242">
        <f>IF(H843&gt;'I. Stream &amp; Compound Data'!$F$18,"",IF(I143="","N/A",IF(L843&lt;&gt;"N/A",L843,IF(M843&lt;&gt;"N/A",M843,IF(N843&lt;&gt;"N/A",N843,"NO DATA AVAILABLE")))))</f>
        <v>0.26800000000000002</v>
      </c>
      <c r="P843" s="1242">
        <f>IF(H843&gt;'I. Stream &amp; Compound Data'!$F$18,"",IF(O843="N/A","",10^(2*O843)))</f>
        <v>3.435579478998747</v>
      </c>
      <c r="Q843" s="1242">
        <f>'I. Stream &amp; Compound Data'!P263</f>
        <v>0</v>
      </c>
      <c r="R843" s="1268">
        <f>IF(Q843="","",IF('I. Stream &amp; Compound Data'!E33="H2O",0,P843*Q843))</f>
        <v>0</v>
      </c>
      <c r="S843" s="298"/>
      <c r="T843" s="298"/>
      <c r="U843" s="299"/>
      <c r="V843" s="279"/>
      <c r="W843" s="279"/>
      <c r="X843" s="279"/>
      <c r="Y843" s="279"/>
      <c r="Z843" s="279"/>
      <c r="AA843" s="279"/>
      <c r="AB843" s="279"/>
      <c r="AC843" s="279"/>
      <c r="AD843" s="279"/>
      <c r="AE843" s="279"/>
      <c r="AF843" s="279"/>
      <c r="AG843" s="279"/>
      <c r="AH843" s="279"/>
      <c r="AI843" s="279"/>
      <c r="AJ843" s="279"/>
      <c r="AK843" s="279"/>
      <c r="AL843" s="279"/>
      <c r="AM843" s="279"/>
      <c r="AN843" s="279"/>
      <c r="AO843" s="279"/>
      <c r="AP843" s="279"/>
      <c r="AQ843" s="279"/>
      <c r="AR843" s="279"/>
      <c r="AS843" s="279"/>
      <c r="AT843" s="279"/>
      <c r="AU843" s="279"/>
      <c r="AV843" s="279"/>
      <c r="AW843" s="279"/>
      <c r="AX843" s="279"/>
      <c r="AY843" s="279"/>
      <c r="AZ843" s="279"/>
      <c r="BA843" s="279"/>
      <c r="BB843" s="279"/>
      <c r="BC843" s="279"/>
      <c r="BD843" s="279"/>
      <c r="BE843" s="279"/>
      <c r="BF843" s="279"/>
      <c r="BG843" s="279"/>
      <c r="BH843" s="279"/>
      <c r="BI843" s="279"/>
      <c r="BJ843" s="279"/>
      <c r="BK843" s="279"/>
      <c r="BL843" s="279"/>
      <c r="BM843" s="279"/>
      <c r="BN843" s="279"/>
      <c r="BO843" s="279"/>
      <c r="BP843" s="279"/>
      <c r="BQ843" s="279"/>
      <c r="BR843" s="279"/>
      <c r="BS843" s="279"/>
      <c r="BT843" s="279"/>
      <c r="BU843" s="279"/>
      <c r="BV843" s="279"/>
      <c r="BW843" s="279"/>
      <c r="BX843" s="279"/>
      <c r="BY843" s="279"/>
      <c r="BZ843" s="279"/>
      <c r="CA843" s="279"/>
      <c r="CB843" s="279"/>
      <c r="CC843" s="279"/>
      <c r="CD843" s="279"/>
      <c r="CE843" s="279"/>
      <c r="CF843" s="279"/>
      <c r="CG843" s="279"/>
      <c r="CH843" s="279"/>
      <c r="CI843" s="279"/>
      <c r="CJ843" s="279"/>
      <c r="CK843" s="279"/>
      <c r="CL843" s="279"/>
      <c r="CM843" s="279"/>
      <c r="CN843" s="382"/>
    </row>
    <row r="844" x14ac:dyDescent="0.25">
      <c r="B844" s="361"/>
      <c r="C844" s="279"/>
      <c r="D844" s="280"/>
      <c r="E844" s="287"/>
      <c r="F844" s="287"/>
      <c r="G844" s="287"/>
      <c r="H844" s="1292">
        <f t="shared" si="36"/>
        <v>3</v>
      </c>
      <c r="I844" s="1295" t="e">
        <f>IF('I. Stream &amp; Compound Data'!AE264&lt;&gt;"",LOG10('I. Stream &amp; Compound Data'!AE264),"")</f>
        <v>#VALUE!</v>
      </c>
      <c r="J844" s="1295" t="str">
        <f>IF('I. Stream &amp; Compound Data'!AF264&lt;&gt;"",'I. Stream &amp; Compound Data'!AF264,"")</f>
        <v>N/A</v>
      </c>
      <c r="K844" s="1295" t="str">
        <f>IF('I. Stream &amp; Compound Data'!AR264&lt;&gt;"",'I. Stream &amp; Compound Data'!AR264,IF('I. Stream &amp; Compound Data'!AS264&lt;&gt;"",'I. Stream &amp; Compound Data'!AS264,IF(AND(I844="",J844="",H844&lt;='I. Stream &amp; Compound Data'!$F$18),"N/A","")))</f>
        <v>20/21/22</v>
      </c>
      <c r="L844" s="1306" t="e">
        <f>IF(H844&gt;'I. Stream &amp; Compound Data'!$F$18,"",IF(I844="","N/A",ROUND(IF(I844&lt;=2,0,IF(AND(I844&gt;2,I844&lt;4),0.5*(I844)-1,1)),3)))</f>
        <v>#VALUE!</v>
      </c>
      <c r="M844" s="1168" t="e">
        <f>IF(H844&gt;'I. Stream &amp; Compound Data'!$F$18,"",IF(L844="N/A",IF(J844="","N/A",ROUND(IF(J844&lt;=3,0,IF(AND(J844&gt;3,J844&lt;5),0.5*(J844)-1.5,1)),3)),"N/A"))</f>
        <v>#VALUE!</v>
      </c>
      <c r="N844" s="1242" t="e">
        <f>IF(H844&gt;'I. Stream &amp; Compound Data'!$F$18,"",IF(AND(L844="N/A",M844="N/A"),IF(K844="","N/A",IF(OR(K844=48,K844=53,K844=58),1,IF(K844=33,0.5,0))),"N/A"))</f>
        <v>#VALUE!</v>
      </c>
      <c r="O844" s="1242" t="e">
        <f>IF(H844&gt;'I. Stream &amp; Compound Data'!$F$18,"",IF(I144="","N/A",IF(L844&lt;&gt;"N/A",L844,IF(M844&lt;&gt;"N/A",M844,IF(N844&lt;&gt;"N/A",N844,"NO DATA AVAILABLE")))))</f>
        <v>#VALUE!</v>
      </c>
      <c r="P844" s="1242" t="e">
        <f>IF(H844&gt;'I. Stream &amp; Compound Data'!$F$18,"",IF(O844="N/A","",10^(2*O844)))</f>
        <v>#VALUE!</v>
      </c>
      <c r="Q844" s="1242">
        <f>'I. Stream &amp; Compound Data'!P264</f>
        <v>0</v>
      </c>
      <c r="R844" s="1268" t="e">
        <f>IF(Q844="","",IF('I. Stream &amp; Compound Data'!E34="H2O",0,P844*Q844))</f>
        <v>#VALUE!</v>
      </c>
      <c r="S844" s="298"/>
      <c r="T844" s="298"/>
      <c r="U844" s="299"/>
      <c r="V844" s="279"/>
      <c r="W844" s="279"/>
      <c r="X844" s="279"/>
      <c r="Y844" s="279"/>
      <c r="Z844" s="279"/>
      <c r="AA844" s="279"/>
      <c r="AB844" s="279"/>
      <c r="AC844" s="279"/>
      <c r="AD844" s="279"/>
      <c r="AE844" s="279"/>
      <c r="AF844" s="279"/>
      <c r="AG844" s="279"/>
      <c r="AH844" s="279"/>
      <c r="AI844" s="279"/>
      <c r="AJ844" s="279"/>
      <c r="AK844" s="279"/>
      <c r="AL844" s="279"/>
      <c r="AM844" s="279"/>
      <c r="AN844" s="279"/>
      <c r="AO844" s="279"/>
      <c r="AP844" s="279"/>
      <c r="AQ844" s="279"/>
      <c r="AR844" s="279"/>
      <c r="AS844" s="279"/>
      <c r="AT844" s="279"/>
      <c r="AU844" s="279"/>
      <c r="AV844" s="279"/>
      <c r="AW844" s="279"/>
      <c r="AX844" s="279"/>
      <c r="AY844" s="279"/>
      <c r="AZ844" s="279"/>
      <c r="BA844" s="279"/>
      <c r="BB844" s="279"/>
      <c r="BC844" s="279"/>
      <c r="BD844" s="279"/>
      <c r="BE844" s="279"/>
      <c r="BF844" s="279"/>
      <c r="BG844" s="279"/>
      <c r="BH844" s="279"/>
      <c r="BI844" s="279"/>
      <c r="BJ844" s="279"/>
      <c r="BK844" s="279"/>
      <c r="BL844" s="279"/>
      <c r="BM844" s="279"/>
      <c r="BN844" s="279"/>
      <c r="BO844" s="279"/>
      <c r="BP844" s="279"/>
      <c r="BQ844" s="279"/>
      <c r="BR844" s="279"/>
      <c r="BS844" s="279"/>
      <c r="BT844" s="279"/>
      <c r="BU844" s="279"/>
      <c r="BV844" s="279"/>
      <c r="BW844" s="279"/>
      <c r="BX844" s="279"/>
      <c r="BY844" s="279"/>
      <c r="BZ844" s="279"/>
      <c r="CA844" s="279"/>
      <c r="CB844" s="279"/>
      <c r="CC844" s="279"/>
      <c r="CD844" s="279"/>
      <c r="CE844" s="279"/>
      <c r="CF844" s="279"/>
      <c r="CG844" s="279"/>
      <c r="CH844" s="279"/>
      <c r="CI844" s="279"/>
      <c r="CJ844" s="279"/>
      <c r="CK844" s="279"/>
      <c r="CL844" s="279"/>
      <c r="CM844" s="279"/>
      <c r="CN844" s="382"/>
    </row>
    <row r="845" x14ac:dyDescent="0.25">
      <c r="B845" s="361"/>
      <c r="C845" s="279"/>
      <c r="D845" s="280"/>
      <c r="E845" s="287"/>
      <c r="F845" s="287"/>
      <c r="G845" s="287"/>
      <c r="H845" s="1292">
        <f t="shared" si="36"/>
        <v>4</v>
      </c>
      <c r="I845" s="1295" t="e">
        <f>IF('I. Stream &amp; Compound Data'!AE265&lt;&gt;"",LOG10('I. Stream &amp; Compound Data'!AE265),"")</f>
        <v>#VALUE!</v>
      </c>
      <c r="J845" s="1295" t="str">
        <f>IF('I. Stream &amp; Compound Data'!AF265&lt;&gt;"",'I. Stream &amp; Compound Data'!AF265,"")</f>
        <v>N/A</v>
      </c>
      <c r="K845" s="1295">
        <f>IF('I. Stream &amp; Compound Data'!AR265&lt;&gt;"",'I. Stream &amp; Compound Data'!AR265,IF('I. Stream &amp; Compound Data'!AS265&lt;&gt;"",'I. Stream &amp; Compound Data'!AS265,IF(AND(I845="",J845="",H845&lt;='I. Stream &amp; Compound Data'!$F$18),"N/A","")))</f>
        <v>36</v>
      </c>
      <c r="L845" s="1306" t="e">
        <f>IF(H845&gt;'I. Stream &amp; Compound Data'!$F$18,"",IF(I845="","N/A",ROUND(IF(I845&lt;=2,0,IF(AND(I845&gt;2,I845&lt;4),0.5*(I845)-1,1)),3)))</f>
        <v>#VALUE!</v>
      </c>
      <c r="M845" s="1168" t="e">
        <f>IF(H845&gt;'I. Stream &amp; Compound Data'!$F$18,"",IF(L845="N/A",IF(J845="","N/A",ROUND(IF(J845&lt;=3,0,IF(AND(J845&gt;3,J845&lt;5),0.5*(J845)-1.5,1)),3)),"N/A"))</f>
        <v>#VALUE!</v>
      </c>
      <c r="N845" s="1242" t="e">
        <f>IF(H845&gt;'I. Stream &amp; Compound Data'!$F$18,"",IF(AND(L845="N/A",M845="N/A"),IF(K845="","N/A",IF(OR(K845=48,K845=53,K845=58),1,IF(K845=33,0.5,0))),"N/A"))</f>
        <v>#VALUE!</v>
      </c>
      <c r="O845" s="1242" t="e">
        <f>IF(H845&gt;'I. Stream &amp; Compound Data'!$F$18,"",IF(I145="","N/A",IF(L845&lt;&gt;"N/A",L845,IF(M845&lt;&gt;"N/A",M845,IF(N845&lt;&gt;"N/A",N845,"NO DATA AVAILABLE")))))</f>
        <v>#VALUE!</v>
      </c>
      <c r="P845" s="1242" t="e">
        <f>IF(H845&gt;'I. Stream &amp; Compound Data'!$F$18,"",IF(O845="N/A","",10^(2*O845)))</f>
        <v>#VALUE!</v>
      </c>
      <c r="Q845" s="1242">
        <f>'I. Stream &amp; Compound Data'!P265</f>
        <v>0</v>
      </c>
      <c r="R845" s="1268" t="e">
        <f>IF(Q845="","",IF('I. Stream &amp; Compound Data'!E35="H2O",0,P845*Q845))</f>
        <v>#VALUE!</v>
      </c>
      <c r="S845" s="298"/>
      <c r="T845" s="298"/>
      <c r="U845" s="299"/>
      <c r="V845" s="279"/>
      <c r="W845" s="279"/>
      <c r="X845" s="279"/>
      <c r="Y845" s="279"/>
      <c r="Z845" s="279"/>
      <c r="AA845" s="279"/>
      <c r="AB845" s="279"/>
      <c r="AC845" s="279"/>
      <c r="AD845" s="279"/>
      <c r="AE845" s="279"/>
      <c r="AF845" s="279"/>
      <c r="AG845" s="279"/>
      <c r="AH845" s="279"/>
      <c r="AI845" s="279"/>
      <c r="AJ845" s="279"/>
      <c r="AK845" s="279"/>
      <c r="AL845" s="279"/>
      <c r="AM845" s="279"/>
      <c r="AN845" s="279"/>
      <c r="AO845" s="279"/>
      <c r="AP845" s="279"/>
      <c r="AQ845" s="279"/>
      <c r="AR845" s="279"/>
      <c r="AS845" s="279"/>
      <c r="AT845" s="279"/>
      <c r="AU845" s="279"/>
      <c r="AV845" s="279"/>
      <c r="AW845" s="279"/>
      <c r="AX845" s="279"/>
      <c r="AY845" s="279"/>
      <c r="AZ845" s="279"/>
      <c r="BA845" s="279"/>
      <c r="BB845" s="279"/>
      <c r="BC845" s="279"/>
      <c r="BD845" s="279"/>
      <c r="BE845" s="279"/>
      <c r="BF845" s="279"/>
      <c r="BG845" s="279"/>
      <c r="BH845" s="279"/>
      <c r="BI845" s="279"/>
      <c r="BJ845" s="279"/>
      <c r="BK845" s="279"/>
      <c r="BL845" s="279"/>
      <c r="BM845" s="279"/>
      <c r="BN845" s="279"/>
      <c r="BO845" s="279"/>
      <c r="BP845" s="279"/>
      <c r="BQ845" s="279"/>
      <c r="BR845" s="279"/>
      <c r="BS845" s="279"/>
      <c r="BT845" s="279"/>
      <c r="BU845" s="279"/>
      <c r="BV845" s="279"/>
      <c r="BW845" s="279"/>
      <c r="BX845" s="279"/>
      <c r="BY845" s="279"/>
      <c r="BZ845" s="279"/>
      <c r="CA845" s="279"/>
      <c r="CB845" s="279"/>
      <c r="CC845" s="279"/>
      <c r="CD845" s="279"/>
      <c r="CE845" s="279"/>
      <c r="CF845" s="279"/>
      <c r="CG845" s="279"/>
      <c r="CH845" s="279"/>
      <c r="CI845" s="279"/>
      <c r="CJ845" s="279"/>
      <c r="CK845" s="279"/>
      <c r="CL845" s="279"/>
      <c r="CM845" s="279"/>
      <c r="CN845" s="382"/>
    </row>
    <row r="846" x14ac:dyDescent="0.25">
      <c r="B846" s="361"/>
      <c r="C846" s="279"/>
      <c r="D846" s="280"/>
      <c r="E846" s="287"/>
      <c r="F846" s="287"/>
      <c r="G846" s="287"/>
      <c r="H846" s="1292">
        <f t="shared" si="36"/>
        <v>5</v>
      </c>
      <c r="I846" s="1295" t="str">
        <f>IF('I. Stream &amp; Compound Data'!AE266&lt;&gt;"",LOG10('I. Stream &amp; Compound Data'!AE266),"")</f>
        <v/>
      </c>
      <c r="J846" s="1295" t="str">
        <f>IF('I. Stream &amp; Compound Data'!AF266&lt;&gt;"",'I. Stream &amp; Compound Data'!AF266,"")</f>
        <v/>
      </c>
      <c r="K846" s="1295" t="str">
        <f>IF('I. Stream &amp; Compound Data'!AR266&lt;&gt;"",'I. Stream &amp; Compound Data'!AR266,IF('I. Stream &amp; Compound Data'!AS266&lt;&gt;"",'I. Stream &amp; Compound Data'!AS266,IF(AND(I846="",J846="",H846&lt;='I. Stream &amp; Compound Data'!$F$18),"N/A","")))</f>
        <v/>
      </c>
      <c r="L846" s="1306" t="str">
        <f>IF(H846&gt;'I. Stream &amp; Compound Data'!$F$18,"",IF(I846="","N/A",ROUND(IF(I846&lt;=2,0,IF(AND(I846&gt;2,I846&lt;4),0.5*(I846)-1,1)),3)))</f>
        <v/>
      </c>
      <c r="M846" s="1168" t="str">
        <f>IF(H846&gt;'I. Stream &amp; Compound Data'!$F$18,"",IF(L846="N/A",IF(J846="","N/A",ROUND(IF(J846&lt;=3,0,IF(AND(J846&gt;3,J846&lt;5),0.5*(J846)-1.5,1)),3)),"N/A"))</f>
        <v/>
      </c>
      <c r="N846" s="1242" t="str">
        <f>IF(H846&gt;'I. Stream &amp; Compound Data'!$F$18,"",IF(AND(L846="N/A",M846="N/A"),IF(K846="","N/A",IF(OR(K846=48,K846=53,K846=58),1,IF(K846=33,0.5,0))),"N/A"))</f>
        <v/>
      </c>
      <c r="O846" s="1242" t="str">
        <f>IF(H846&gt;'I. Stream &amp; Compound Data'!$F$18,"",IF(I146="","N/A",IF(L846&lt;&gt;"N/A",L846,IF(M846&lt;&gt;"N/A",M846,IF(N846&lt;&gt;"N/A",N846,"NO DATA AVAILABLE")))))</f>
        <v/>
      </c>
      <c r="P846" s="1242" t="str">
        <f>IF(H846&gt;'I. Stream &amp; Compound Data'!$F$18,"",IF(O846="N/A","",10^(2*O846)))</f>
        <v/>
      </c>
      <c r="Q846" s="1242" t="str">
        <f>'I. Stream &amp; Compound Data'!P266</f>
        <v/>
      </c>
      <c r="R846" s="1268" t="str">
        <f>IF(Q846="","",IF('I. Stream &amp; Compound Data'!E36="H2O",0,P846*Q846))</f>
        <v/>
      </c>
      <c r="S846" s="298"/>
      <c r="T846" s="298"/>
      <c r="U846" s="299"/>
      <c r="V846" s="279"/>
      <c r="W846" s="279"/>
      <c r="X846" s="279"/>
      <c r="Y846" s="279"/>
      <c r="Z846" s="279"/>
      <c r="AA846" s="279"/>
      <c r="AB846" s="279"/>
      <c r="AC846" s="279"/>
      <c r="AD846" s="279"/>
      <c r="AE846" s="279"/>
      <c r="AF846" s="279"/>
      <c r="AG846" s="279"/>
      <c r="AH846" s="279"/>
      <c r="AI846" s="279"/>
      <c r="AJ846" s="279"/>
      <c r="AK846" s="279"/>
      <c r="AL846" s="279"/>
      <c r="AM846" s="279"/>
      <c r="AN846" s="279"/>
      <c r="AO846" s="279"/>
      <c r="AP846" s="279"/>
      <c r="AQ846" s="279"/>
      <c r="AR846" s="279"/>
      <c r="AS846" s="279"/>
      <c r="AT846" s="279"/>
      <c r="AU846" s="279"/>
      <c r="AV846" s="279"/>
      <c r="AW846" s="279"/>
      <c r="AX846" s="279"/>
      <c r="AY846" s="279"/>
      <c r="AZ846" s="279"/>
      <c r="BA846" s="279"/>
      <c r="BB846" s="279"/>
      <c r="BC846" s="279"/>
      <c r="BD846" s="279"/>
      <c r="BE846" s="279"/>
      <c r="BF846" s="279"/>
      <c r="BG846" s="279"/>
      <c r="BH846" s="279"/>
      <c r="BI846" s="279"/>
      <c r="BJ846" s="279"/>
      <c r="BK846" s="279"/>
      <c r="BL846" s="279"/>
      <c r="BM846" s="279"/>
      <c r="BN846" s="279"/>
      <c r="BO846" s="279"/>
      <c r="BP846" s="279"/>
      <c r="BQ846" s="279"/>
      <c r="BR846" s="279"/>
      <c r="BS846" s="279"/>
      <c r="BT846" s="279"/>
      <c r="BU846" s="279"/>
      <c r="BV846" s="279"/>
      <c r="BW846" s="279"/>
      <c r="BX846" s="279"/>
      <c r="BY846" s="279"/>
      <c r="BZ846" s="279"/>
      <c r="CA846" s="279"/>
      <c r="CB846" s="279"/>
      <c r="CC846" s="279"/>
      <c r="CD846" s="279"/>
      <c r="CE846" s="279"/>
      <c r="CF846" s="279"/>
      <c r="CG846" s="279"/>
      <c r="CH846" s="279"/>
      <c r="CI846" s="279"/>
      <c r="CJ846" s="279"/>
      <c r="CK846" s="279"/>
      <c r="CL846" s="279"/>
      <c r="CM846" s="279"/>
      <c r="CN846" s="382"/>
    </row>
    <row r="847" x14ac:dyDescent="0.25">
      <c r="B847" s="361"/>
      <c r="C847" s="279"/>
      <c r="D847" s="280"/>
      <c r="E847" s="287"/>
      <c r="F847" s="287"/>
      <c r="G847" s="287"/>
      <c r="H847" s="1292">
        <f t="shared" si="36"/>
        <v>6</v>
      </c>
      <c r="I847" s="1295" t="str">
        <f>IF('I. Stream &amp; Compound Data'!AE267&lt;&gt;"",LOG10('I. Stream &amp; Compound Data'!AE267),"")</f>
        <v/>
      </c>
      <c r="J847" s="1295" t="str">
        <f>IF('I. Stream &amp; Compound Data'!AF267&lt;&gt;"",'I. Stream &amp; Compound Data'!AF267,"")</f>
        <v/>
      </c>
      <c r="K847" s="1295" t="str">
        <f>IF('I. Stream &amp; Compound Data'!AR267&lt;&gt;"",'I. Stream &amp; Compound Data'!AR267,IF('I. Stream &amp; Compound Data'!AS267&lt;&gt;"",'I. Stream &amp; Compound Data'!AS267,IF(AND(I847="",J847="",H847&lt;='I. Stream &amp; Compound Data'!$F$18),"N/A","")))</f>
        <v/>
      </c>
      <c r="L847" s="1306" t="str">
        <f>IF(H847&gt;'I. Stream &amp; Compound Data'!$F$18,"",IF(I847="","N/A",ROUND(IF(I847&lt;=2,0,IF(AND(I847&gt;2,I847&lt;4),0.5*(I847)-1,1)),3)))</f>
        <v/>
      </c>
      <c r="M847" s="1168" t="str">
        <f>IF(H847&gt;'I. Stream &amp; Compound Data'!$F$18,"",IF(L847="N/A",IF(J847="","N/A",ROUND(IF(J847&lt;=3,0,IF(AND(J847&gt;3,J847&lt;5),0.5*(J847)-1.5,1)),3)),"N/A"))</f>
        <v/>
      </c>
      <c r="N847" s="1242" t="str">
        <f>IF(H847&gt;'I. Stream &amp; Compound Data'!$F$18,"",IF(AND(L847="N/A",M847="N/A"),IF(K847="","N/A",IF(OR(K847=48,K847=53,K847=58),1,IF(K847=33,0.5,0))),"N/A"))</f>
        <v/>
      </c>
      <c r="O847" s="1242" t="str">
        <f>IF(H847&gt;'I. Stream &amp; Compound Data'!$F$18,"",IF(I147="","N/A",IF(L847&lt;&gt;"N/A",L847,IF(M847&lt;&gt;"N/A",M847,IF(N847&lt;&gt;"N/A",N847,"NO DATA AVAILABLE")))))</f>
        <v/>
      </c>
      <c r="P847" s="1242" t="str">
        <f>IF(H847&gt;'I. Stream &amp; Compound Data'!$F$18,"",IF(O847="N/A","",10^(2*O847)))</f>
        <v/>
      </c>
      <c r="Q847" s="1242" t="str">
        <f>'I. Stream &amp; Compound Data'!P267</f>
        <v/>
      </c>
      <c r="R847" s="1268" t="str">
        <f>IF(Q847="","",IF('I. Stream &amp; Compound Data'!E37="H2O",0,P847*Q847))</f>
        <v/>
      </c>
      <c r="S847" s="298"/>
      <c r="T847" s="298"/>
      <c r="U847" s="299"/>
      <c r="V847" s="279"/>
      <c r="W847" s="279"/>
      <c r="X847" s="279"/>
      <c r="Y847" s="279"/>
      <c r="Z847" s="279"/>
      <c r="AA847" s="279"/>
      <c r="AB847" s="279"/>
      <c r="AC847" s="279"/>
      <c r="AD847" s="279"/>
      <c r="AE847" s="279"/>
      <c r="AF847" s="279"/>
      <c r="AG847" s="279"/>
      <c r="AH847" s="279"/>
      <c r="AI847" s="279"/>
      <c r="AJ847" s="279"/>
      <c r="AK847" s="279"/>
      <c r="AL847" s="279"/>
      <c r="AM847" s="279"/>
      <c r="AN847" s="279"/>
      <c r="AO847" s="279"/>
      <c r="AP847" s="279"/>
      <c r="AQ847" s="279"/>
      <c r="AR847" s="279"/>
      <c r="AS847" s="279"/>
      <c r="AT847" s="279"/>
      <c r="AU847" s="279"/>
      <c r="AV847" s="279"/>
      <c r="AW847" s="279"/>
      <c r="AX847" s="279"/>
      <c r="AY847" s="279"/>
      <c r="AZ847" s="279"/>
      <c r="BA847" s="279"/>
      <c r="BB847" s="279"/>
      <c r="BC847" s="279"/>
      <c r="BD847" s="279"/>
      <c r="BE847" s="279"/>
      <c r="BF847" s="279"/>
      <c r="BG847" s="279"/>
      <c r="BH847" s="279"/>
      <c r="BI847" s="279"/>
      <c r="BJ847" s="279"/>
      <c r="BK847" s="279"/>
      <c r="BL847" s="279"/>
      <c r="BM847" s="279"/>
      <c r="BN847" s="279"/>
      <c r="BO847" s="279"/>
      <c r="BP847" s="279"/>
      <c r="BQ847" s="279"/>
      <c r="BR847" s="279"/>
      <c r="BS847" s="279"/>
      <c r="BT847" s="279"/>
      <c r="BU847" s="279"/>
      <c r="BV847" s="279"/>
      <c r="BW847" s="279"/>
      <c r="BX847" s="279"/>
      <c r="BY847" s="279"/>
      <c r="BZ847" s="279"/>
      <c r="CA847" s="279"/>
      <c r="CB847" s="279"/>
      <c r="CC847" s="279"/>
      <c r="CD847" s="279"/>
      <c r="CE847" s="279"/>
      <c r="CF847" s="279"/>
      <c r="CG847" s="279"/>
      <c r="CH847" s="279"/>
      <c r="CI847" s="279"/>
      <c r="CJ847" s="279"/>
      <c r="CK847" s="279"/>
      <c r="CL847" s="279"/>
      <c r="CM847" s="279"/>
      <c r="CN847" s="382"/>
    </row>
    <row r="848" x14ac:dyDescent="0.25">
      <c r="B848" s="361"/>
      <c r="C848" s="279"/>
      <c r="D848" s="280"/>
      <c r="E848" s="287"/>
      <c r="F848" s="287"/>
      <c r="G848" s="287"/>
      <c r="H848" s="1292">
        <f t="shared" si="36"/>
        <v>7</v>
      </c>
      <c r="I848" s="1295" t="str">
        <f>IF('I. Stream &amp; Compound Data'!AE268&lt;&gt;"",LOG10('I. Stream &amp; Compound Data'!AE268),"")</f>
        <v/>
      </c>
      <c r="J848" s="1295" t="str">
        <f>IF('I. Stream &amp; Compound Data'!AF268&lt;&gt;"",'I. Stream &amp; Compound Data'!AF268,"")</f>
        <v/>
      </c>
      <c r="K848" s="1295" t="str">
        <f>IF('I. Stream &amp; Compound Data'!AR268&lt;&gt;"",'I. Stream &amp; Compound Data'!AR268,IF('I. Stream &amp; Compound Data'!AS268&lt;&gt;"",'I. Stream &amp; Compound Data'!AS268,IF(AND(I848="",J848="",H848&lt;='I. Stream &amp; Compound Data'!$F$18),"N/A","")))</f>
        <v/>
      </c>
      <c r="L848" s="1306" t="str">
        <f>IF(H848&gt;'I. Stream &amp; Compound Data'!$F$18,"",IF(I848="","N/A",ROUND(IF(I848&lt;=2,0,IF(AND(I848&gt;2,I848&lt;4),0.5*(I848)-1,1)),3)))</f>
        <v/>
      </c>
      <c r="M848" s="1168" t="str">
        <f>IF(H848&gt;'I. Stream &amp; Compound Data'!$F$18,"",IF(L848="N/A",IF(J848="","N/A",ROUND(IF(J848&lt;=3,0,IF(AND(J848&gt;3,J848&lt;5),0.5*(J848)-1.5,1)),3)),"N/A"))</f>
        <v/>
      </c>
      <c r="N848" s="1242" t="str">
        <f>IF(H848&gt;'I. Stream &amp; Compound Data'!$F$18,"",IF(AND(L848="N/A",M848="N/A"),IF(K848="","N/A",IF(OR(K848=48,K848=53,K848=58),1,IF(K848=33,0.5,0))),"N/A"))</f>
        <v/>
      </c>
      <c r="O848" s="1242" t="str">
        <f>IF(H848&gt;'I. Stream &amp; Compound Data'!$F$18,"",IF(I148="","N/A",IF(L848&lt;&gt;"N/A",L848,IF(M848&lt;&gt;"N/A",M848,IF(N848&lt;&gt;"N/A",N848,"NO DATA AVAILABLE")))))</f>
        <v/>
      </c>
      <c r="P848" s="1242" t="str">
        <f>IF(H848&gt;'I. Stream &amp; Compound Data'!$F$18,"",IF(O848="N/A","",10^(2*O848)))</f>
        <v/>
      </c>
      <c r="Q848" s="1242" t="str">
        <f>'I. Stream &amp; Compound Data'!P268</f>
        <v/>
      </c>
      <c r="R848" s="1268" t="str">
        <f>IF(Q848="","",IF('I. Stream &amp; Compound Data'!E38="H2O",0,P848*Q848))</f>
        <v/>
      </c>
      <c r="S848" s="298"/>
      <c r="T848" s="298"/>
      <c r="U848" s="299"/>
      <c r="V848" s="279"/>
      <c r="W848" s="279"/>
      <c r="X848" s="279"/>
      <c r="Y848" s="279"/>
      <c r="Z848" s="279"/>
      <c r="AA848" s="279"/>
      <c r="AB848" s="279"/>
      <c r="AC848" s="279"/>
      <c r="AD848" s="279"/>
      <c r="AE848" s="279"/>
      <c r="AF848" s="279"/>
      <c r="AG848" s="279"/>
      <c r="AH848" s="279"/>
      <c r="AI848" s="279"/>
      <c r="AJ848" s="279"/>
      <c r="AK848" s="279"/>
      <c r="AL848" s="279"/>
      <c r="AM848" s="279"/>
      <c r="AN848" s="279"/>
      <c r="AO848" s="279"/>
      <c r="AP848" s="279"/>
      <c r="AQ848" s="279"/>
      <c r="AR848" s="279"/>
      <c r="AS848" s="279"/>
      <c r="AT848" s="279"/>
      <c r="AU848" s="279"/>
      <c r="AV848" s="279"/>
      <c r="AW848" s="279"/>
      <c r="AX848" s="279"/>
      <c r="AY848" s="279"/>
      <c r="AZ848" s="279"/>
      <c r="BA848" s="279"/>
      <c r="BB848" s="279"/>
      <c r="BC848" s="279"/>
      <c r="BD848" s="279"/>
      <c r="BE848" s="279"/>
      <c r="BF848" s="279"/>
      <c r="BG848" s="279"/>
      <c r="BH848" s="279"/>
      <c r="BI848" s="279"/>
      <c r="BJ848" s="279"/>
      <c r="BK848" s="279"/>
      <c r="BL848" s="279"/>
      <c r="BM848" s="279"/>
      <c r="BN848" s="279"/>
      <c r="BO848" s="279"/>
      <c r="BP848" s="279"/>
      <c r="BQ848" s="279"/>
      <c r="BR848" s="279"/>
      <c r="BS848" s="279"/>
      <c r="BT848" s="279"/>
      <c r="BU848" s="279"/>
      <c r="BV848" s="279"/>
      <c r="BW848" s="279"/>
      <c r="BX848" s="279"/>
      <c r="BY848" s="279"/>
      <c r="BZ848" s="279"/>
      <c r="CA848" s="279"/>
      <c r="CB848" s="279"/>
      <c r="CC848" s="279"/>
      <c r="CD848" s="279"/>
      <c r="CE848" s="279"/>
      <c r="CF848" s="279"/>
      <c r="CG848" s="279"/>
      <c r="CH848" s="279"/>
      <c r="CI848" s="279"/>
      <c r="CJ848" s="279"/>
      <c r="CK848" s="279"/>
      <c r="CL848" s="279"/>
      <c r="CM848" s="279"/>
      <c r="CN848" s="382"/>
    </row>
    <row r="849" x14ac:dyDescent="0.25">
      <c r="B849" s="361"/>
      <c r="C849" s="279"/>
      <c r="D849" s="280"/>
      <c r="E849" s="287"/>
      <c r="F849" s="287"/>
      <c r="G849" s="287"/>
      <c r="H849" s="1292">
        <f t="shared" si="36"/>
        <v>8</v>
      </c>
      <c r="I849" s="1295" t="str">
        <f>IF('I. Stream &amp; Compound Data'!AE269&lt;&gt;"",LOG10('I. Stream &amp; Compound Data'!AE269),"")</f>
        <v/>
      </c>
      <c r="J849" s="1295" t="str">
        <f>IF('I. Stream &amp; Compound Data'!AF269&lt;&gt;"",'I. Stream &amp; Compound Data'!AF269,"")</f>
        <v/>
      </c>
      <c r="K849" s="1295" t="str">
        <f>IF('I. Stream &amp; Compound Data'!AR269&lt;&gt;"",'I. Stream &amp; Compound Data'!AR269,IF('I. Stream &amp; Compound Data'!AS269&lt;&gt;"",'I. Stream &amp; Compound Data'!AS269,IF(AND(I849="",J849="",H849&lt;='I. Stream &amp; Compound Data'!$F$18),"N/A","")))</f>
        <v/>
      </c>
      <c r="L849" s="1306" t="str">
        <f>IF(H849&gt;'I. Stream &amp; Compound Data'!$F$18,"",IF(I849="","N/A",ROUND(IF(I849&lt;=2,0,IF(AND(I849&gt;2,I849&lt;4),0.5*(I849)-1,1)),3)))</f>
        <v/>
      </c>
      <c r="M849" s="1168" t="str">
        <f>IF(H849&gt;'I. Stream &amp; Compound Data'!$F$18,"",IF(L849="N/A",IF(J849="","N/A",ROUND(IF(J849&lt;=3,0,IF(AND(J849&gt;3,J849&lt;5),0.5*(J849)-1.5,1)),3)),"N/A"))</f>
        <v/>
      </c>
      <c r="N849" s="1242" t="str">
        <f>IF(H849&gt;'I. Stream &amp; Compound Data'!$F$18,"",IF(AND(L849="N/A",M849="N/A"),IF(K849="","N/A",IF(OR(K849=48,K849=53,K849=58),1,IF(K849=33,0.5,0))),"N/A"))</f>
        <v/>
      </c>
      <c r="O849" s="1242" t="str">
        <f>IF(H849&gt;'I. Stream &amp; Compound Data'!$F$18,"",IF(I149="","N/A",IF(L849&lt;&gt;"N/A",L849,IF(M849&lt;&gt;"N/A",M849,IF(N849&lt;&gt;"N/A",N849,"NO DATA AVAILABLE")))))</f>
        <v/>
      </c>
      <c r="P849" s="1242" t="str">
        <f>IF(H849&gt;'I. Stream &amp; Compound Data'!$F$18,"",IF(O849="N/A","",10^(2*O849)))</f>
        <v/>
      </c>
      <c r="Q849" s="1242" t="str">
        <f>'I. Stream &amp; Compound Data'!P269</f>
        <v/>
      </c>
      <c r="R849" s="1268" t="str">
        <f>IF(Q849="","",IF('I. Stream &amp; Compound Data'!E39="H2O",0,P849*Q849))</f>
        <v/>
      </c>
      <c r="S849" s="298"/>
      <c r="T849" s="298"/>
      <c r="U849" s="299"/>
      <c r="V849" s="279"/>
      <c r="W849" s="279"/>
      <c r="X849" s="279"/>
      <c r="Y849" s="279"/>
      <c r="Z849" s="279"/>
      <c r="AA849" s="279"/>
      <c r="AB849" s="279"/>
      <c r="AC849" s="279"/>
      <c r="AD849" s="279"/>
      <c r="AE849" s="279"/>
      <c r="AF849" s="279"/>
      <c r="AG849" s="279"/>
      <c r="AH849" s="279"/>
      <c r="AI849" s="279"/>
      <c r="AJ849" s="279"/>
      <c r="AK849" s="279"/>
      <c r="AL849" s="279"/>
      <c r="AM849" s="279"/>
      <c r="AN849" s="279"/>
      <c r="AO849" s="279"/>
      <c r="AP849" s="279"/>
      <c r="AQ849" s="279"/>
      <c r="AR849" s="279"/>
      <c r="AS849" s="279"/>
      <c r="AT849" s="279"/>
      <c r="AU849" s="279"/>
      <c r="AV849" s="279"/>
      <c r="AW849" s="279"/>
      <c r="AX849" s="279"/>
      <c r="AY849" s="279"/>
      <c r="AZ849" s="279"/>
      <c r="BA849" s="279"/>
      <c r="BB849" s="279"/>
      <c r="BC849" s="279"/>
      <c r="BD849" s="279"/>
      <c r="BE849" s="279"/>
      <c r="BF849" s="279"/>
      <c r="BG849" s="279"/>
      <c r="BH849" s="279"/>
      <c r="BI849" s="279"/>
      <c r="BJ849" s="279"/>
      <c r="BK849" s="279"/>
      <c r="BL849" s="279"/>
      <c r="BM849" s="279"/>
      <c r="BN849" s="279"/>
      <c r="BO849" s="279"/>
      <c r="BP849" s="279"/>
      <c r="BQ849" s="279"/>
      <c r="BR849" s="279"/>
      <c r="BS849" s="279"/>
      <c r="BT849" s="279"/>
      <c r="BU849" s="279"/>
      <c r="BV849" s="279"/>
      <c r="BW849" s="279"/>
      <c r="BX849" s="279"/>
      <c r="BY849" s="279"/>
      <c r="BZ849" s="279"/>
      <c r="CA849" s="279"/>
      <c r="CB849" s="279"/>
      <c r="CC849" s="279"/>
      <c r="CD849" s="279"/>
      <c r="CE849" s="279"/>
      <c r="CF849" s="279"/>
      <c r="CG849" s="279"/>
      <c r="CH849" s="279"/>
      <c r="CI849" s="279"/>
      <c r="CJ849" s="279"/>
      <c r="CK849" s="279"/>
      <c r="CL849" s="279"/>
      <c r="CM849" s="279"/>
      <c r="CN849" s="382"/>
    </row>
    <row r="850" x14ac:dyDescent="0.25">
      <c r="B850" s="361"/>
      <c r="C850" s="279"/>
      <c r="D850" s="280"/>
      <c r="E850" s="287"/>
      <c r="F850" s="287"/>
      <c r="G850" s="287"/>
      <c r="H850" s="1292">
        <f t="shared" si="36"/>
        <v>9</v>
      </c>
      <c r="I850" s="1295" t="str">
        <f>IF('I. Stream &amp; Compound Data'!AE270&lt;&gt;"",LOG10('I. Stream &amp; Compound Data'!AE270),"")</f>
        <v/>
      </c>
      <c r="J850" s="1295" t="str">
        <f>IF('I. Stream &amp; Compound Data'!AF270&lt;&gt;"",'I. Stream &amp; Compound Data'!AF270,"")</f>
        <v/>
      </c>
      <c r="K850" s="1295" t="str">
        <f>IF('I. Stream &amp; Compound Data'!AR270&lt;&gt;"",'I. Stream &amp; Compound Data'!AR270,IF('I. Stream &amp; Compound Data'!AS270&lt;&gt;"",'I. Stream &amp; Compound Data'!AS270,IF(AND(I850="",J850="",H850&lt;='I. Stream &amp; Compound Data'!$F$18),"N/A","")))</f>
        <v/>
      </c>
      <c r="L850" s="1306" t="str">
        <f>IF(H850&gt;'I. Stream &amp; Compound Data'!$F$18,"",IF(I850="","N/A",ROUND(IF(I850&lt;=2,0,IF(AND(I850&gt;2,I850&lt;4),0.5*(I850)-1,1)),3)))</f>
        <v/>
      </c>
      <c r="M850" s="1168" t="str">
        <f>IF(H850&gt;'I. Stream &amp; Compound Data'!$F$18,"",IF(L850="N/A",IF(J850="","N/A",ROUND(IF(J850&lt;=3,0,IF(AND(J850&gt;3,J850&lt;5),0.5*(J850)-1.5,1)),3)),"N/A"))</f>
        <v/>
      </c>
      <c r="N850" s="1242" t="str">
        <f>IF(H850&gt;'I. Stream &amp; Compound Data'!$F$18,"",IF(AND(L850="N/A",M850="N/A"),IF(K850="","N/A",IF(OR(K850=48,K850=53,K850=58),1,IF(K850=33,0.5,0))),"N/A"))</f>
        <v/>
      </c>
      <c r="O850" s="1242" t="str">
        <f>IF(H850&gt;'I. Stream &amp; Compound Data'!$F$18,"",IF(I150="","N/A",IF(L850&lt;&gt;"N/A",L850,IF(M850&lt;&gt;"N/A",M850,IF(N850&lt;&gt;"N/A",N850,"NO DATA AVAILABLE")))))</f>
        <v/>
      </c>
      <c r="P850" s="1242" t="str">
        <f>IF(H850&gt;'I. Stream &amp; Compound Data'!$F$18,"",IF(O850="N/A","",10^(2*O850)))</f>
        <v/>
      </c>
      <c r="Q850" s="1242" t="str">
        <f>'I. Stream &amp; Compound Data'!P270</f>
        <v/>
      </c>
      <c r="R850" s="1268" t="str">
        <f>IF(Q850="","",IF('I. Stream &amp; Compound Data'!E40="H2O",0,P850*Q850))</f>
        <v/>
      </c>
      <c r="S850" s="298"/>
      <c r="T850" s="298"/>
      <c r="U850" s="299"/>
      <c r="V850" s="279"/>
      <c r="W850" s="279"/>
      <c r="X850" s="279"/>
      <c r="Y850" s="279"/>
      <c r="Z850" s="279"/>
      <c r="AA850" s="279"/>
      <c r="AB850" s="279"/>
      <c r="AC850" s="279"/>
      <c r="AD850" s="279"/>
      <c r="AE850" s="279"/>
      <c r="AF850" s="279"/>
      <c r="AG850" s="279"/>
      <c r="AH850" s="279"/>
      <c r="AI850" s="279"/>
      <c r="AJ850" s="279"/>
      <c r="AK850" s="279"/>
      <c r="AL850" s="279"/>
      <c r="AM850" s="279"/>
      <c r="AN850" s="279"/>
      <c r="AO850" s="279"/>
      <c r="AP850" s="279"/>
      <c r="AQ850" s="279"/>
      <c r="AR850" s="279"/>
      <c r="AS850" s="279"/>
      <c r="AT850" s="279"/>
      <c r="AU850" s="279"/>
      <c r="AV850" s="279"/>
      <c r="AW850" s="279"/>
      <c r="AX850" s="279"/>
      <c r="AY850" s="279"/>
      <c r="AZ850" s="279"/>
      <c r="BA850" s="279"/>
      <c r="BB850" s="279"/>
      <c r="BC850" s="279"/>
      <c r="BD850" s="279"/>
      <c r="BE850" s="279"/>
      <c r="BF850" s="279"/>
      <c r="BG850" s="279"/>
      <c r="BH850" s="279"/>
      <c r="BI850" s="279"/>
      <c r="BJ850" s="279"/>
      <c r="BK850" s="279"/>
      <c r="BL850" s="279"/>
      <c r="BM850" s="279"/>
      <c r="BN850" s="279"/>
      <c r="BO850" s="279"/>
      <c r="BP850" s="279"/>
      <c r="BQ850" s="279"/>
      <c r="BR850" s="279"/>
      <c r="BS850" s="279"/>
      <c r="BT850" s="279"/>
      <c r="BU850" s="279"/>
      <c r="BV850" s="279"/>
      <c r="BW850" s="279"/>
      <c r="BX850" s="279"/>
      <c r="BY850" s="279"/>
      <c r="BZ850" s="279"/>
      <c r="CA850" s="279"/>
      <c r="CB850" s="279"/>
      <c r="CC850" s="279"/>
      <c r="CD850" s="279"/>
      <c r="CE850" s="279"/>
      <c r="CF850" s="279"/>
      <c r="CG850" s="279"/>
      <c r="CH850" s="279"/>
      <c r="CI850" s="279"/>
      <c r="CJ850" s="279"/>
      <c r="CK850" s="279"/>
      <c r="CL850" s="279"/>
      <c r="CM850" s="279"/>
      <c r="CN850" s="382"/>
    </row>
    <row r="851" x14ac:dyDescent="0.25">
      <c r="B851" s="361"/>
      <c r="C851" s="279"/>
      <c r="D851" s="280"/>
      <c r="E851" s="287"/>
      <c r="F851" s="287"/>
      <c r="G851" s="287"/>
      <c r="H851" s="1292">
        <f t="shared" si="36"/>
        <v>10</v>
      </c>
      <c r="I851" s="1295" t="str">
        <f>IF('I. Stream &amp; Compound Data'!AE271&lt;&gt;"",LOG10('I. Stream &amp; Compound Data'!AE271),"")</f>
        <v/>
      </c>
      <c r="J851" s="1295" t="str">
        <f>IF('I. Stream &amp; Compound Data'!AF271&lt;&gt;"",'I. Stream &amp; Compound Data'!AF271,"")</f>
        <v/>
      </c>
      <c r="K851" s="1295" t="str">
        <f>IF('I. Stream &amp; Compound Data'!AR271&lt;&gt;"",'I. Stream &amp; Compound Data'!AR271,IF('I. Stream &amp; Compound Data'!AS271&lt;&gt;"",'I. Stream &amp; Compound Data'!AS271,IF(AND(I851="",J851="",H851&lt;='I. Stream &amp; Compound Data'!$F$18),"N/A","")))</f>
        <v/>
      </c>
      <c r="L851" s="1306" t="str">
        <f>IF(H851&gt;'I. Stream &amp; Compound Data'!$F$18,"",IF(I851="","N/A",ROUND(IF(I851&lt;=2,0,IF(AND(I851&gt;2,I851&lt;4),0.5*(I851)-1,1)),3)))</f>
        <v/>
      </c>
      <c r="M851" s="1168" t="str">
        <f>IF(H851&gt;'I. Stream &amp; Compound Data'!$F$18,"",IF(L851="N/A",IF(J851="","N/A",ROUND(IF(J851&lt;=3,0,IF(AND(J851&gt;3,J851&lt;5),0.5*(J851)-1.5,1)),3)),"N/A"))</f>
        <v/>
      </c>
      <c r="N851" s="1242" t="str">
        <f>IF(H851&gt;'I. Stream &amp; Compound Data'!$F$18,"",IF(AND(L851="N/A",M851="N/A"),IF(K851="","N/A",IF(OR(K851=48,K851=53,K851=58),1,IF(K851=33,0.5,0))),"N/A"))</f>
        <v/>
      </c>
      <c r="O851" s="1242" t="str">
        <f>IF(H851&gt;'I. Stream &amp; Compound Data'!$F$18,"",IF(I151="","N/A",IF(L851&lt;&gt;"N/A",L851,IF(M851&lt;&gt;"N/A",M851,IF(N851&lt;&gt;"N/A",N851,"NO DATA AVAILABLE")))))</f>
        <v/>
      </c>
      <c r="P851" s="1242" t="str">
        <f>IF(H851&gt;'I. Stream &amp; Compound Data'!$F$18,"",IF(O851="N/A","",10^(2*O851)))</f>
        <v/>
      </c>
      <c r="Q851" s="1242" t="str">
        <f>'I. Stream &amp; Compound Data'!P271</f>
        <v/>
      </c>
      <c r="R851" s="1268" t="str">
        <f>IF(Q851="","",IF('I. Stream &amp; Compound Data'!E41="H2O",0,P851*Q851))</f>
        <v/>
      </c>
      <c r="S851" s="298"/>
      <c r="T851" s="298"/>
      <c r="U851" s="299"/>
      <c r="V851" s="279"/>
      <c r="W851" s="279"/>
      <c r="X851" s="279"/>
      <c r="Y851" s="279"/>
      <c r="Z851" s="279"/>
      <c r="AA851" s="279"/>
      <c r="AB851" s="279"/>
      <c r="AC851" s="279"/>
      <c r="AD851" s="279"/>
      <c r="AE851" s="279"/>
      <c r="AF851" s="279"/>
      <c r="AG851" s="279"/>
      <c r="AH851" s="279"/>
      <c r="AI851" s="279"/>
      <c r="AJ851" s="279"/>
      <c r="AK851" s="279"/>
      <c r="AL851" s="279"/>
      <c r="AM851" s="279"/>
      <c r="AN851" s="279"/>
      <c r="AO851" s="279"/>
      <c r="AP851" s="279"/>
      <c r="AQ851" s="279"/>
      <c r="AR851" s="279"/>
      <c r="AS851" s="279"/>
      <c r="AT851" s="279"/>
      <c r="AU851" s="279"/>
      <c r="AV851" s="279"/>
      <c r="AW851" s="279"/>
      <c r="AX851" s="279"/>
      <c r="AY851" s="279"/>
      <c r="AZ851" s="279"/>
      <c r="BA851" s="279"/>
      <c r="BB851" s="279"/>
      <c r="BC851" s="279"/>
      <c r="BD851" s="279"/>
      <c r="BE851" s="279"/>
      <c r="BF851" s="279"/>
      <c r="BG851" s="279"/>
      <c r="BH851" s="279"/>
      <c r="BI851" s="279"/>
      <c r="BJ851" s="279"/>
      <c r="BK851" s="279"/>
      <c r="BL851" s="279"/>
      <c r="BM851" s="279"/>
      <c r="BN851" s="279"/>
      <c r="BO851" s="279"/>
      <c r="BP851" s="279"/>
      <c r="BQ851" s="279"/>
      <c r="BR851" s="279"/>
      <c r="BS851" s="279"/>
      <c r="BT851" s="279"/>
      <c r="BU851" s="279"/>
      <c r="BV851" s="279"/>
      <c r="BW851" s="279"/>
      <c r="BX851" s="279"/>
      <c r="BY851" s="279"/>
      <c r="BZ851" s="279"/>
      <c r="CA851" s="279"/>
      <c r="CB851" s="279"/>
      <c r="CC851" s="279"/>
      <c r="CD851" s="279"/>
      <c r="CE851" s="279"/>
      <c r="CF851" s="279"/>
      <c r="CG851" s="279"/>
      <c r="CH851" s="279"/>
      <c r="CI851" s="279"/>
      <c r="CJ851" s="279"/>
      <c r="CK851" s="279"/>
      <c r="CL851" s="279"/>
      <c r="CM851" s="279"/>
      <c r="CN851" s="382"/>
    </row>
    <row r="852" x14ac:dyDescent="0.25">
      <c r="B852" s="361"/>
      <c r="C852" s="279"/>
      <c r="D852" s="280"/>
      <c r="E852" s="287"/>
      <c r="F852" s="287"/>
      <c r="G852" s="287"/>
      <c r="H852" s="1292">
        <f t="shared" si="36"/>
        <v>11</v>
      </c>
      <c r="I852" s="1295" t="str">
        <f>IF('I. Stream &amp; Compound Data'!AE272&lt;&gt;"",LOG10('I. Stream &amp; Compound Data'!AE272),"")</f>
        <v/>
      </c>
      <c r="J852" s="1295" t="str">
        <f>IF('I. Stream &amp; Compound Data'!AF272&lt;&gt;"",'I. Stream &amp; Compound Data'!AF272,"")</f>
        <v/>
      </c>
      <c r="K852" s="1295" t="str">
        <f>IF('I. Stream &amp; Compound Data'!AR272&lt;&gt;"",'I. Stream &amp; Compound Data'!AR272,IF('I. Stream &amp; Compound Data'!AS272&lt;&gt;"",'I. Stream &amp; Compound Data'!AS272,IF(AND(I852="",J852="",H852&lt;='I. Stream &amp; Compound Data'!$F$18),"N/A","")))</f>
        <v/>
      </c>
      <c r="L852" s="1306" t="str">
        <f>IF(H852&gt;'I. Stream &amp; Compound Data'!$F$18,"",IF(I852="","N/A",ROUND(IF(I852&lt;=2,0,IF(AND(I852&gt;2,I852&lt;4),0.5*(I852)-1,1)),3)))</f>
        <v/>
      </c>
      <c r="M852" s="1168" t="str">
        <f>IF(H852&gt;'I. Stream &amp; Compound Data'!$F$18,"",IF(L852="N/A",IF(J852="","N/A",ROUND(IF(J852&lt;=3,0,IF(AND(J852&gt;3,J852&lt;5),0.5*(J852)-1.5,1)),3)),"N/A"))</f>
        <v/>
      </c>
      <c r="N852" s="1242" t="str">
        <f>IF(H852&gt;'I. Stream &amp; Compound Data'!$F$18,"",IF(AND(L852="N/A",M852="N/A"),IF(K852="","N/A",IF(OR(K852=48,K852=53,K852=58),1,IF(K852=33,0.5,0))),"N/A"))</f>
        <v/>
      </c>
      <c r="O852" s="1242" t="str">
        <f>IF(H852&gt;'I. Stream &amp; Compound Data'!$F$18,"",IF(I152="","N/A",IF(L852&lt;&gt;"N/A",L852,IF(M852&lt;&gt;"N/A",M852,IF(N852&lt;&gt;"N/A",N852,"NO DATA AVAILABLE")))))</f>
        <v/>
      </c>
      <c r="P852" s="1242" t="str">
        <f>IF(H852&gt;'I. Stream &amp; Compound Data'!$F$18,"",IF(O852="N/A","",10^(2*O852)))</f>
        <v/>
      </c>
      <c r="Q852" s="1242" t="str">
        <f>'I. Stream &amp; Compound Data'!P272</f>
        <v/>
      </c>
      <c r="R852" s="1268" t="str">
        <f>IF(Q852="","",IF('I. Stream &amp; Compound Data'!E42="H2O",0,P852*Q852))</f>
        <v/>
      </c>
      <c r="S852" s="298"/>
      <c r="T852" s="298"/>
      <c r="U852" s="299"/>
      <c r="V852" s="279"/>
      <c r="W852" s="279"/>
      <c r="X852" s="279"/>
      <c r="Y852" s="279"/>
      <c r="Z852" s="279"/>
      <c r="AA852" s="279"/>
      <c r="AB852" s="279"/>
      <c r="AC852" s="279"/>
      <c r="AD852" s="279"/>
      <c r="AE852" s="279"/>
      <c r="AF852" s="279"/>
      <c r="AG852" s="279"/>
      <c r="AH852" s="279"/>
      <c r="AI852" s="279"/>
      <c r="AJ852" s="279"/>
      <c r="AK852" s="279"/>
      <c r="AL852" s="279"/>
      <c r="AM852" s="279"/>
      <c r="AN852" s="279"/>
      <c r="AO852" s="279"/>
      <c r="AP852" s="279"/>
      <c r="AQ852" s="279"/>
      <c r="AR852" s="279"/>
      <c r="AS852" s="279"/>
      <c r="AT852" s="279"/>
      <c r="AU852" s="279"/>
      <c r="AV852" s="279"/>
      <c r="AW852" s="279"/>
      <c r="AX852" s="279"/>
      <c r="AY852" s="279"/>
      <c r="AZ852" s="279"/>
      <c r="BA852" s="279"/>
      <c r="BB852" s="279"/>
      <c r="BC852" s="279"/>
      <c r="BD852" s="279"/>
      <c r="BE852" s="279"/>
      <c r="BF852" s="279"/>
      <c r="BG852" s="279"/>
      <c r="BH852" s="279"/>
      <c r="BI852" s="279"/>
      <c r="BJ852" s="279"/>
      <c r="BK852" s="279"/>
      <c r="BL852" s="279"/>
      <c r="BM852" s="279"/>
      <c r="BN852" s="279"/>
      <c r="BO852" s="279"/>
      <c r="BP852" s="279"/>
      <c r="BQ852" s="279"/>
      <c r="BR852" s="279"/>
      <c r="BS852" s="279"/>
      <c r="BT852" s="279"/>
      <c r="BU852" s="279"/>
      <c r="BV852" s="279"/>
      <c r="BW852" s="279"/>
      <c r="BX852" s="279"/>
      <c r="BY852" s="279"/>
      <c r="BZ852" s="279"/>
      <c r="CA852" s="279"/>
      <c r="CB852" s="279"/>
      <c r="CC852" s="279"/>
      <c r="CD852" s="279"/>
      <c r="CE852" s="279"/>
      <c r="CF852" s="279"/>
      <c r="CG852" s="279"/>
      <c r="CH852" s="279"/>
      <c r="CI852" s="279"/>
      <c r="CJ852" s="279"/>
      <c r="CK852" s="279"/>
      <c r="CL852" s="279"/>
      <c r="CM852" s="279"/>
      <c r="CN852" s="382"/>
    </row>
    <row r="853" x14ac:dyDescent="0.25">
      <c r="B853" s="361"/>
      <c r="C853" s="279"/>
      <c r="D853" s="280"/>
      <c r="E853" s="287"/>
      <c r="F853" s="287"/>
      <c r="G853" s="287"/>
      <c r="H853" s="1292">
        <f t="shared" si="36"/>
        <v>12</v>
      </c>
      <c r="I853" s="1295" t="str">
        <f>IF('I. Stream &amp; Compound Data'!AE273&lt;&gt;"",LOG10('I. Stream &amp; Compound Data'!AE273),"")</f>
        <v/>
      </c>
      <c r="J853" s="1295" t="str">
        <f>IF('I. Stream &amp; Compound Data'!AF273&lt;&gt;"",'I. Stream &amp; Compound Data'!AF273,"")</f>
        <v/>
      </c>
      <c r="K853" s="1295" t="str">
        <f>IF('I. Stream &amp; Compound Data'!AR273&lt;&gt;"",'I. Stream &amp; Compound Data'!AR273,IF('I. Stream &amp; Compound Data'!AS273&lt;&gt;"",'I. Stream &amp; Compound Data'!AS273,IF(AND(I853="",J853="",H853&lt;='I. Stream &amp; Compound Data'!$F$18),"N/A","")))</f>
        <v/>
      </c>
      <c r="L853" s="1306" t="str">
        <f>IF(H853&gt;'I. Stream &amp; Compound Data'!$F$18,"",IF(I853="","N/A",ROUND(IF(I853&lt;=2,0,IF(AND(I853&gt;2,I853&lt;4),0.5*(I853)-1,1)),3)))</f>
        <v/>
      </c>
      <c r="M853" s="1168" t="str">
        <f>IF(H853&gt;'I. Stream &amp; Compound Data'!$F$18,"",IF(L853="N/A",IF(J853="","N/A",ROUND(IF(J853&lt;=3,0,IF(AND(J853&gt;3,J853&lt;5),0.5*(J853)-1.5,1)),3)),"N/A"))</f>
        <v/>
      </c>
      <c r="N853" s="1242" t="str">
        <f>IF(H853&gt;'I. Stream &amp; Compound Data'!$F$18,"",IF(AND(L853="N/A",M853="N/A"),IF(K853="","N/A",IF(OR(K853=48,K853=53,K853=58),1,IF(K853=33,0.5,0))),"N/A"))</f>
        <v/>
      </c>
      <c r="O853" s="1242" t="str">
        <f>IF(H853&gt;'I. Stream &amp; Compound Data'!$F$18,"",IF(I153="","N/A",IF(L853&lt;&gt;"N/A",L853,IF(M853&lt;&gt;"N/A",M853,IF(N853&lt;&gt;"N/A",N853,"NO DATA AVAILABLE")))))</f>
        <v/>
      </c>
      <c r="P853" s="1242" t="str">
        <f>IF(H853&gt;'I. Stream &amp; Compound Data'!$F$18,"",IF(O853="N/A","",10^(2*O853)))</f>
        <v/>
      </c>
      <c r="Q853" s="1242" t="str">
        <f>'I. Stream &amp; Compound Data'!P273</f>
        <v/>
      </c>
      <c r="R853" s="1268" t="str">
        <f>IF(Q853="","",IF('I. Stream &amp; Compound Data'!E43="H2O",0,P853*Q853))</f>
        <v/>
      </c>
      <c r="S853" s="298"/>
      <c r="T853" s="298"/>
      <c r="U853" s="299"/>
      <c r="V853" s="279"/>
      <c r="W853" s="279"/>
      <c r="X853" s="279"/>
      <c r="Y853" s="279"/>
      <c r="Z853" s="279"/>
      <c r="AA853" s="279"/>
      <c r="AB853" s="279"/>
      <c r="AC853" s="279"/>
      <c r="AD853" s="279"/>
      <c r="AE853" s="279"/>
      <c r="AF853" s="279"/>
      <c r="AG853" s="279"/>
      <c r="AH853" s="279"/>
      <c r="AI853" s="279"/>
      <c r="AJ853" s="279"/>
      <c r="AK853" s="279"/>
      <c r="AL853" s="279"/>
      <c r="AM853" s="279"/>
      <c r="AN853" s="279"/>
      <c r="AO853" s="279"/>
      <c r="AP853" s="279"/>
      <c r="AQ853" s="279"/>
      <c r="AR853" s="279"/>
      <c r="AS853" s="279"/>
      <c r="AT853" s="279"/>
      <c r="AU853" s="279"/>
      <c r="AV853" s="279"/>
      <c r="AW853" s="279"/>
      <c r="AX853" s="279"/>
      <c r="AY853" s="279"/>
      <c r="AZ853" s="279"/>
      <c r="BA853" s="279"/>
      <c r="BB853" s="279"/>
      <c r="BC853" s="279"/>
      <c r="BD853" s="279"/>
      <c r="BE853" s="279"/>
      <c r="BF853" s="279"/>
      <c r="BG853" s="279"/>
      <c r="BH853" s="279"/>
      <c r="BI853" s="279"/>
      <c r="BJ853" s="279"/>
      <c r="BK853" s="279"/>
      <c r="BL853" s="279"/>
      <c r="BM853" s="279"/>
      <c r="BN853" s="279"/>
      <c r="BO853" s="279"/>
      <c r="BP853" s="279"/>
      <c r="BQ853" s="279"/>
      <c r="BR853" s="279"/>
      <c r="BS853" s="279"/>
      <c r="BT853" s="279"/>
      <c r="BU853" s="279"/>
      <c r="BV853" s="279"/>
      <c r="BW853" s="279"/>
      <c r="BX853" s="279"/>
      <c r="BY853" s="279"/>
      <c r="BZ853" s="279"/>
      <c r="CA853" s="279"/>
      <c r="CB853" s="279"/>
      <c r="CC853" s="279"/>
      <c r="CD853" s="279"/>
      <c r="CE853" s="279"/>
      <c r="CF853" s="279"/>
      <c r="CG853" s="279"/>
      <c r="CH853" s="279"/>
      <c r="CI853" s="279"/>
      <c r="CJ853" s="279"/>
      <c r="CK853" s="279"/>
      <c r="CL853" s="279"/>
      <c r="CM853" s="279"/>
      <c r="CN853" s="382"/>
    </row>
    <row r="854" x14ac:dyDescent="0.25">
      <c r="B854" s="361"/>
      <c r="C854" s="279"/>
      <c r="D854" s="280"/>
      <c r="E854" s="287"/>
      <c r="F854" s="287"/>
      <c r="G854" s="287"/>
      <c r="H854" s="1292">
        <f t="shared" si="36"/>
        <v>13</v>
      </c>
      <c r="I854" s="1295" t="str">
        <f>IF('I. Stream &amp; Compound Data'!AE274&lt;&gt;"",LOG10('I. Stream &amp; Compound Data'!AE274),"")</f>
        <v/>
      </c>
      <c r="J854" s="1295" t="str">
        <f>IF('I. Stream &amp; Compound Data'!AF274&lt;&gt;"",'I. Stream &amp; Compound Data'!AF274,"")</f>
        <v/>
      </c>
      <c r="K854" s="1295" t="str">
        <f>IF('I. Stream &amp; Compound Data'!AR274&lt;&gt;"",'I. Stream &amp; Compound Data'!AR274,IF('I. Stream &amp; Compound Data'!AS274&lt;&gt;"",'I. Stream &amp; Compound Data'!AS274,IF(AND(I854="",J854="",H854&lt;='I. Stream &amp; Compound Data'!$F$18),"N/A","")))</f>
        <v/>
      </c>
      <c r="L854" s="1306" t="str">
        <f>IF(H854&gt;'I. Stream &amp; Compound Data'!$F$18,"",IF(I854="","N/A",ROUND(IF(I854&lt;=2,0,IF(AND(I854&gt;2,I854&lt;4),0.5*(I854)-1,1)),3)))</f>
        <v/>
      </c>
      <c r="M854" s="1168" t="str">
        <f>IF(H854&gt;'I. Stream &amp; Compound Data'!$F$18,"",IF(L854="N/A",IF(J854="","N/A",ROUND(IF(J854&lt;=3,0,IF(AND(J854&gt;3,J854&lt;5),0.5*(J854)-1.5,1)),3)),"N/A"))</f>
        <v/>
      </c>
      <c r="N854" s="1242" t="str">
        <f>IF(H854&gt;'I. Stream &amp; Compound Data'!$F$18,"",IF(AND(L854="N/A",M854="N/A"),IF(K854="","N/A",IF(OR(K854=48,K854=53,K854=58),1,IF(K854=33,0.5,0))),"N/A"))</f>
        <v/>
      </c>
      <c r="O854" s="1242" t="str">
        <f>IF(H854&gt;'I. Stream &amp; Compound Data'!$F$18,"",IF(I154="","N/A",IF(L854&lt;&gt;"N/A",L854,IF(M854&lt;&gt;"N/A",M854,IF(N854&lt;&gt;"N/A",N854,"NO DATA AVAILABLE")))))</f>
        <v/>
      </c>
      <c r="P854" s="1242" t="str">
        <f>IF(H854&gt;'I. Stream &amp; Compound Data'!$F$18,"",IF(O854="N/A","",10^(2*O854)))</f>
        <v/>
      </c>
      <c r="Q854" s="1242" t="str">
        <f>'I. Stream &amp; Compound Data'!P274</f>
        <v/>
      </c>
      <c r="R854" s="1268" t="str">
        <f>IF(Q854="","",IF('I. Stream &amp; Compound Data'!E44="H2O",0,P854*Q854))</f>
        <v/>
      </c>
      <c r="S854" s="298"/>
      <c r="T854" s="298"/>
      <c r="U854" s="299"/>
      <c r="V854" s="279"/>
      <c r="W854" s="279"/>
      <c r="X854" s="279"/>
      <c r="Y854" s="279"/>
      <c r="Z854" s="279"/>
      <c r="AA854" s="279"/>
      <c r="AB854" s="279"/>
      <c r="AC854" s="279"/>
      <c r="AD854" s="279"/>
      <c r="AE854" s="279"/>
      <c r="AF854" s="279"/>
      <c r="AG854" s="279"/>
      <c r="AH854" s="279"/>
      <c r="AI854" s="279"/>
      <c r="AJ854" s="279"/>
      <c r="AK854" s="279"/>
      <c r="AL854" s="279"/>
      <c r="AM854" s="279"/>
      <c r="AN854" s="279"/>
      <c r="AO854" s="279"/>
      <c r="AP854" s="279"/>
      <c r="AQ854" s="279"/>
      <c r="AR854" s="279"/>
      <c r="AS854" s="279"/>
      <c r="AT854" s="279"/>
      <c r="AU854" s="279"/>
      <c r="AV854" s="279"/>
      <c r="AW854" s="279"/>
      <c r="AX854" s="279"/>
      <c r="AY854" s="279"/>
      <c r="AZ854" s="279"/>
      <c r="BA854" s="279"/>
      <c r="BB854" s="279"/>
      <c r="BC854" s="279"/>
      <c r="BD854" s="279"/>
      <c r="BE854" s="279"/>
      <c r="BF854" s="279"/>
      <c r="BG854" s="279"/>
      <c r="BH854" s="279"/>
      <c r="BI854" s="279"/>
      <c r="BJ854" s="279"/>
      <c r="BK854" s="279"/>
      <c r="BL854" s="279"/>
      <c r="BM854" s="279"/>
      <c r="BN854" s="279"/>
      <c r="BO854" s="279"/>
      <c r="BP854" s="279"/>
      <c r="BQ854" s="279"/>
      <c r="BR854" s="279"/>
      <c r="BS854" s="279"/>
      <c r="BT854" s="279"/>
      <c r="BU854" s="279"/>
      <c r="BV854" s="279"/>
      <c r="BW854" s="279"/>
      <c r="BX854" s="279"/>
      <c r="BY854" s="279"/>
      <c r="BZ854" s="279"/>
      <c r="CA854" s="279"/>
      <c r="CB854" s="279"/>
      <c r="CC854" s="279"/>
      <c r="CD854" s="279"/>
      <c r="CE854" s="279"/>
      <c r="CF854" s="279"/>
      <c r="CG854" s="279"/>
      <c r="CH854" s="279"/>
      <c r="CI854" s="279"/>
      <c r="CJ854" s="279"/>
      <c r="CK854" s="279"/>
      <c r="CL854" s="279"/>
      <c r="CM854" s="279"/>
      <c r="CN854" s="382"/>
    </row>
    <row r="855" x14ac:dyDescent="0.25">
      <c r="B855" s="361"/>
      <c r="C855" s="279"/>
      <c r="D855" s="280"/>
      <c r="E855" s="287"/>
      <c r="F855" s="287"/>
      <c r="G855" s="287"/>
      <c r="H855" s="1292">
        <f t="shared" si="36"/>
        <v>14</v>
      </c>
      <c r="I855" s="1295" t="str">
        <f>IF('I. Stream &amp; Compound Data'!AE275&lt;&gt;"",LOG10('I. Stream &amp; Compound Data'!AE275),"")</f>
        <v/>
      </c>
      <c r="J855" s="1295" t="str">
        <f>IF('I. Stream &amp; Compound Data'!AF275&lt;&gt;"",'I. Stream &amp; Compound Data'!AF275,"")</f>
        <v/>
      </c>
      <c r="K855" s="1295" t="str">
        <f>IF('I. Stream &amp; Compound Data'!AR275&lt;&gt;"",'I. Stream &amp; Compound Data'!AR275,IF('I. Stream &amp; Compound Data'!AS275&lt;&gt;"",'I. Stream &amp; Compound Data'!AS275,IF(AND(I855="",J855="",H855&lt;='I. Stream &amp; Compound Data'!$F$18),"N/A","")))</f>
        <v/>
      </c>
      <c r="L855" s="1306" t="str">
        <f>IF(H855&gt;'I. Stream &amp; Compound Data'!$F$18,"",IF(I855="","N/A",ROUND(IF(I855&lt;=2,0,IF(AND(I855&gt;2,I855&lt;4),0.5*(I855)-1,1)),3)))</f>
        <v/>
      </c>
      <c r="M855" s="1168" t="str">
        <f>IF(H855&gt;'I. Stream &amp; Compound Data'!$F$18,"",IF(L855="N/A",IF(J855="","N/A",ROUND(IF(J855&lt;=3,0,IF(AND(J855&gt;3,J855&lt;5),0.5*(J855)-1.5,1)),3)),"N/A"))</f>
        <v/>
      </c>
      <c r="N855" s="1242" t="str">
        <f>IF(H855&gt;'I. Stream &amp; Compound Data'!$F$18,"",IF(AND(L855="N/A",M855="N/A"),IF(K855="","N/A",IF(OR(K855=48,K855=53,K855=58),1,IF(K855=33,0.5,0))),"N/A"))</f>
        <v/>
      </c>
      <c r="O855" s="1242" t="str">
        <f>IF(H855&gt;'I. Stream &amp; Compound Data'!$F$18,"",IF(I155="","N/A",IF(L855&lt;&gt;"N/A",L855,IF(M855&lt;&gt;"N/A",M855,IF(N855&lt;&gt;"N/A",N855,"NO DATA AVAILABLE")))))</f>
        <v/>
      </c>
      <c r="P855" s="1242" t="str">
        <f>IF(H855&gt;'I. Stream &amp; Compound Data'!$F$18,"",IF(O855="N/A","",10^(2*O855)))</f>
        <v/>
      </c>
      <c r="Q855" s="1242" t="str">
        <f>'I. Stream &amp; Compound Data'!P275</f>
        <v/>
      </c>
      <c r="R855" s="1268" t="str">
        <f>IF(Q855="","",IF('I. Stream &amp; Compound Data'!E45="H2O",0,P855*Q855))</f>
        <v/>
      </c>
      <c r="S855" s="298"/>
      <c r="T855" s="298"/>
      <c r="U855" s="299"/>
      <c r="V855" s="279"/>
      <c r="W855" s="279"/>
      <c r="X855" s="279"/>
      <c r="Y855" s="279"/>
      <c r="Z855" s="279"/>
      <c r="AA855" s="279"/>
      <c r="AB855" s="279"/>
      <c r="AC855" s="279"/>
      <c r="AD855" s="279"/>
      <c r="AE855" s="279"/>
      <c r="AF855" s="279"/>
      <c r="AG855" s="279"/>
      <c r="AH855" s="279"/>
      <c r="AI855" s="279"/>
      <c r="AJ855" s="279"/>
      <c r="AK855" s="279"/>
      <c r="AL855" s="279"/>
      <c r="AM855" s="279"/>
      <c r="AN855" s="279"/>
      <c r="AO855" s="279"/>
      <c r="AP855" s="279"/>
      <c r="AQ855" s="279"/>
      <c r="AR855" s="279"/>
      <c r="AS855" s="279"/>
      <c r="AT855" s="279"/>
      <c r="AU855" s="279"/>
      <c r="AV855" s="279"/>
      <c r="AW855" s="279"/>
      <c r="AX855" s="279"/>
      <c r="AY855" s="279"/>
      <c r="AZ855" s="279"/>
      <c r="BA855" s="279"/>
      <c r="BB855" s="279"/>
      <c r="BC855" s="279"/>
      <c r="BD855" s="279"/>
      <c r="BE855" s="279"/>
      <c r="BF855" s="279"/>
      <c r="BG855" s="279"/>
      <c r="BH855" s="279"/>
      <c r="BI855" s="279"/>
      <c r="BJ855" s="279"/>
      <c r="BK855" s="279"/>
      <c r="BL855" s="279"/>
      <c r="BM855" s="279"/>
      <c r="BN855" s="279"/>
      <c r="BO855" s="279"/>
      <c r="BP855" s="279"/>
      <c r="BQ855" s="279"/>
      <c r="BR855" s="279"/>
      <c r="BS855" s="279"/>
      <c r="BT855" s="279"/>
      <c r="BU855" s="279"/>
      <c r="BV855" s="279"/>
      <c r="BW855" s="279"/>
      <c r="BX855" s="279"/>
      <c r="BY855" s="279"/>
      <c r="BZ855" s="279"/>
      <c r="CA855" s="279"/>
      <c r="CB855" s="279"/>
      <c r="CC855" s="279"/>
      <c r="CD855" s="279"/>
      <c r="CE855" s="279"/>
      <c r="CF855" s="279"/>
      <c r="CG855" s="279"/>
      <c r="CH855" s="279"/>
      <c r="CI855" s="279"/>
      <c r="CJ855" s="279"/>
      <c r="CK855" s="279"/>
      <c r="CL855" s="279"/>
      <c r="CM855" s="279"/>
      <c r="CN855" s="382"/>
    </row>
    <row r="856" x14ac:dyDescent="0.25">
      <c r="B856" s="361"/>
      <c r="C856" s="279"/>
      <c r="D856" s="280"/>
      <c r="E856" s="287"/>
      <c r="F856" s="287"/>
      <c r="G856" s="287"/>
      <c r="H856" s="1292">
        <f t="shared" si="36"/>
        <v>15</v>
      </c>
      <c r="I856" s="1295" t="str">
        <f>IF('I. Stream &amp; Compound Data'!AE276&lt;&gt;"",LOG10('I. Stream &amp; Compound Data'!AE276),"")</f>
        <v/>
      </c>
      <c r="J856" s="1295" t="str">
        <f>IF('I. Stream &amp; Compound Data'!AF276&lt;&gt;"",'I. Stream &amp; Compound Data'!AF276,"")</f>
        <v/>
      </c>
      <c r="K856" s="1295" t="str">
        <f>IF('I. Stream &amp; Compound Data'!AR276&lt;&gt;"",'I. Stream &amp; Compound Data'!AR276,IF('I. Stream &amp; Compound Data'!AS276&lt;&gt;"",'I. Stream &amp; Compound Data'!AS276,IF(AND(I856="",J856="",H856&lt;='I. Stream &amp; Compound Data'!$F$18),"N/A","")))</f>
        <v/>
      </c>
      <c r="L856" s="1306" t="str">
        <f>IF(H856&gt;'I. Stream &amp; Compound Data'!$F$18,"",IF(I856="","N/A",ROUND(IF(I856&lt;=2,0,IF(AND(I856&gt;2,I856&lt;4),0.5*(I856)-1,1)),3)))</f>
        <v/>
      </c>
      <c r="M856" s="1168" t="str">
        <f>IF(H856&gt;'I. Stream &amp; Compound Data'!$F$18,"",IF(L856="N/A",IF(J856="","N/A",ROUND(IF(J856&lt;=3,0,IF(AND(J856&gt;3,J856&lt;5),0.5*(J856)-1.5,1)),3)),"N/A"))</f>
        <v/>
      </c>
      <c r="N856" s="1242" t="str">
        <f>IF(H856&gt;'I. Stream &amp; Compound Data'!$F$18,"",IF(AND(L856="N/A",M856="N/A"),IF(K856="","N/A",IF(OR(K856=48,K856=53,K856=58),1,IF(K856=33,0.5,0))),"N/A"))</f>
        <v/>
      </c>
      <c r="O856" s="1242" t="str">
        <f>IF(H856&gt;'I. Stream &amp; Compound Data'!$F$18,"",IF(I156="","N/A",IF(L856&lt;&gt;"N/A",L856,IF(M856&lt;&gt;"N/A",M856,IF(N856&lt;&gt;"N/A",N856,"NO DATA AVAILABLE")))))</f>
        <v/>
      </c>
      <c r="P856" s="1242" t="str">
        <f>IF(H856&gt;'I. Stream &amp; Compound Data'!$F$18,"",IF(O856="N/A","",10^(2*O856)))</f>
        <v/>
      </c>
      <c r="Q856" s="1242" t="str">
        <f>'I. Stream &amp; Compound Data'!P276</f>
        <v/>
      </c>
      <c r="R856" s="1268" t="str">
        <f>IF(Q856="","",IF('I. Stream &amp; Compound Data'!E46="H2O",0,P856*Q856))</f>
        <v/>
      </c>
      <c r="S856" s="298"/>
      <c r="T856" s="298"/>
      <c r="U856" s="299"/>
      <c r="V856" s="279"/>
      <c r="W856" s="279"/>
      <c r="X856" s="279"/>
      <c r="Y856" s="279"/>
      <c r="Z856" s="279"/>
      <c r="AA856" s="279"/>
      <c r="AB856" s="279"/>
      <c r="AC856" s="279"/>
      <c r="AD856" s="279"/>
      <c r="AE856" s="279"/>
      <c r="AF856" s="279"/>
      <c r="AG856" s="279"/>
      <c r="AH856" s="279"/>
      <c r="AI856" s="279"/>
      <c r="AJ856" s="279"/>
      <c r="AK856" s="279"/>
      <c r="AL856" s="279"/>
      <c r="AM856" s="279"/>
      <c r="AN856" s="279"/>
      <c r="AO856" s="279"/>
      <c r="AP856" s="279"/>
      <c r="AQ856" s="279"/>
      <c r="AR856" s="279"/>
      <c r="AS856" s="279"/>
      <c r="AT856" s="279"/>
      <c r="AU856" s="279"/>
      <c r="AV856" s="279"/>
      <c r="AW856" s="279"/>
      <c r="AX856" s="279"/>
      <c r="AY856" s="279"/>
      <c r="AZ856" s="279"/>
      <c r="BA856" s="279"/>
      <c r="BB856" s="279"/>
      <c r="BC856" s="279"/>
      <c r="BD856" s="279"/>
      <c r="BE856" s="279"/>
      <c r="BF856" s="279"/>
      <c r="BG856" s="279"/>
      <c r="BH856" s="279"/>
      <c r="BI856" s="279"/>
      <c r="BJ856" s="279"/>
      <c r="BK856" s="279"/>
      <c r="BL856" s="279"/>
      <c r="BM856" s="279"/>
      <c r="BN856" s="279"/>
      <c r="BO856" s="279"/>
      <c r="BP856" s="279"/>
      <c r="BQ856" s="279"/>
      <c r="BR856" s="279"/>
      <c r="BS856" s="279"/>
      <c r="BT856" s="279"/>
      <c r="BU856" s="279"/>
      <c r="BV856" s="279"/>
      <c r="BW856" s="279"/>
      <c r="BX856" s="279"/>
      <c r="BY856" s="279"/>
      <c r="BZ856" s="279"/>
      <c r="CA856" s="279"/>
      <c r="CB856" s="279"/>
      <c r="CC856" s="279"/>
      <c r="CD856" s="279"/>
      <c r="CE856" s="279"/>
      <c r="CF856" s="279"/>
      <c r="CG856" s="279"/>
      <c r="CH856" s="279"/>
      <c r="CI856" s="279"/>
      <c r="CJ856" s="279"/>
      <c r="CK856" s="279"/>
      <c r="CL856" s="279"/>
      <c r="CM856" s="279"/>
      <c r="CN856" s="382"/>
    </row>
    <row r="857" x14ac:dyDescent="0.25">
      <c r="B857" s="361"/>
      <c r="C857" s="279"/>
      <c r="D857" s="280"/>
      <c r="E857" s="287"/>
      <c r="F857" s="287"/>
      <c r="G857" s="287"/>
      <c r="H857" s="1292">
        <f t="shared" si="36"/>
        <v>16</v>
      </c>
      <c r="I857" s="1295" t="str">
        <f>IF('I. Stream &amp; Compound Data'!AE277&lt;&gt;"",LOG10('I. Stream &amp; Compound Data'!AE277),"")</f>
        <v/>
      </c>
      <c r="J857" s="1295" t="str">
        <f>IF('I. Stream &amp; Compound Data'!AF277&lt;&gt;"",'I. Stream &amp; Compound Data'!AF277,"")</f>
        <v/>
      </c>
      <c r="K857" s="1295" t="str">
        <f>IF('I. Stream &amp; Compound Data'!AR277&lt;&gt;"",'I. Stream &amp; Compound Data'!AR277,IF('I. Stream &amp; Compound Data'!AS277&lt;&gt;"",'I. Stream &amp; Compound Data'!AS277,IF(AND(I857="",J857="",H857&lt;='I. Stream &amp; Compound Data'!$F$18),"N/A","")))</f>
        <v/>
      </c>
      <c r="L857" s="1306" t="str">
        <f>IF(H857&gt;'I. Stream &amp; Compound Data'!$F$18,"",IF(I857="","N/A",ROUND(IF(I857&lt;=2,0,IF(AND(I857&gt;2,I857&lt;4),0.5*(I857)-1,1)),3)))</f>
        <v/>
      </c>
      <c r="M857" s="1168" t="str">
        <f>IF(H857&gt;'I. Stream &amp; Compound Data'!$F$18,"",IF(L857="N/A",IF(J857="","N/A",ROUND(IF(J857&lt;=3,0,IF(AND(J857&gt;3,J857&lt;5),0.5*(J857)-1.5,1)),3)),"N/A"))</f>
        <v/>
      </c>
      <c r="N857" s="1242" t="str">
        <f>IF(H857&gt;'I. Stream &amp; Compound Data'!$F$18,"",IF(AND(L857="N/A",M857="N/A"),IF(K857="","N/A",IF(OR(K857=48,K857=53,K857=58),1,IF(K857=33,0.5,0))),"N/A"))</f>
        <v/>
      </c>
      <c r="O857" s="1242" t="str">
        <f>IF(H857&gt;'I. Stream &amp; Compound Data'!$F$18,"",IF(I157="","N/A",IF(L857&lt;&gt;"N/A",L857,IF(M857&lt;&gt;"N/A",M857,IF(N857&lt;&gt;"N/A",N857,"NO DATA AVAILABLE")))))</f>
        <v/>
      </c>
      <c r="P857" s="1242" t="str">
        <f>IF(H857&gt;'I. Stream &amp; Compound Data'!$F$18,"",IF(O857="N/A","",10^(2*O857)))</f>
        <v/>
      </c>
      <c r="Q857" s="1242" t="str">
        <f>'I. Stream &amp; Compound Data'!P277</f>
        <v/>
      </c>
      <c r="R857" s="1268" t="str">
        <f>IF(Q857="","",IF('I. Stream &amp; Compound Data'!E47="H2O",0,P857*Q857))</f>
        <v/>
      </c>
      <c r="S857" s="298"/>
      <c r="T857" s="298"/>
      <c r="U857" s="299"/>
      <c r="V857" s="279"/>
      <c r="W857" s="279"/>
      <c r="X857" s="279"/>
      <c r="Y857" s="279"/>
      <c r="Z857" s="279"/>
      <c r="AA857" s="279"/>
      <c r="AB857" s="279"/>
      <c r="AC857" s="279"/>
      <c r="AD857" s="279"/>
      <c r="AE857" s="279"/>
      <c r="AF857" s="279"/>
      <c r="AG857" s="279"/>
      <c r="AH857" s="279"/>
      <c r="AI857" s="279"/>
      <c r="AJ857" s="279"/>
      <c r="AK857" s="279"/>
      <c r="AL857" s="279"/>
      <c r="AM857" s="279"/>
      <c r="AN857" s="279"/>
      <c r="AO857" s="279"/>
      <c r="AP857" s="279"/>
      <c r="AQ857" s="279"/>
      <c r="AR857" s="279"/>
      <c r="AS857" s="279"/>
      <c r="AT857" s="279"/>
      <c r="AU857" s="279"/>
      <c r="AV857" s="279"/>
      <c r="AW857" s="279"/>
      <c r="AX857" s="279"/>
      <c r="AY857" s="279"/>
      <c r="AZ857" s="279"/>
      <c r="BA857" s="279"/>
      <c r="BB857" s="279"/>
      <c r="BC857" s="279"/>
      <c r="BD857" s="279"/>
      <c r="BE857" s="279"/>
      <c r="BF857" s="279"/>
      <c r="BG857" s="279"/>
      <c r="BH857" s="279"/>
      <c r="BI857" s="279"/>
      <c r="BJ857" s="279"/>
      <c r="BK857" s="279"/>
      <c r="BL857" s="279"/>
      <c r="BM857" s="279"/>
      <c r="BN857" s="279"/>
      <c r="BO857" s="279"/>
      <c r="BP857" s="279"/>
      <c r="BQ857" s="279"/>
      <c r="BR857" s="279"/>
      <c r="BS857" s="279"/>
      <c r="BT857" s="279"/>
      <c r="BU857" s="279"/>
      <c r="BV857" s="279"/>
      <c r="BW857" s="279"/>
      <c r="BX857" s="279"/>
      <c r="BY857" s="279"/>
      <c r="BZ857" s="279"/>
      <c r="CA857" s="279"/>
      <c r="CB857" s="279"/>
      <c r="CC857" s="279"/>
      <c r="CD857" s="279"/>
      <c r="CE857" s="279"/>
      <c r="CF857" s="279"/>
      <c r="CG857" s="279"/>
      <c r="CH857" s="279"/>
      <c r="CI857" s="279"/>
      <c r="CJ857" s="279"/>
      <c r="CK857" s="279"/>
      <c r="CL857" s="279"/>
      <c r="CM857" s="279"/>
      <c r="CN857" s="382"/>
    </row>
    <row r="858" x14ac:dyDescent="0.25">
      <c r="B858" s="361"/>
      <c r="C858" s="279"/>
      <c r="D858" s="280"/>
      <c r="E858" s="287"/>
      <c r="F858" s="287"/>
      <c r="G858" s="287"/>
      <c r="H858" s="1292">
        <f t="shared" si="36"/>
        <v>17</v>
      </c>
      <c r="I858" s="1295" t="str">
        <f>IF('I. Stream &amp; Compound Data'!AE278&lt;&gt;"",LOG10('I. Stream &amp; Compound Data'!AE278),"")</f>
        <v/>
      </c>
      <c r="J858" s="1295" t="str">
        <f>IF('I. Stream &amp; Compound Data'!AF278&lt;&gt;"",'I. Stream &amp; Compound Data'!AF278,"")</f>
        <v/>
      </c>
      <c r="K858" s="1295" t="str">
        <f>IF('I. Stream &amp; Compound Data'!AR278&lt;&gt;"",'I. Stream &amp; Compound Data'!AR278,IF('I. Stream &amp; Compound Data'!AS278&lt;&gt;"",'I. Stream &amp; Compound Data'!AS278,IF(AND(I858="",J858="",H858&lt;='I. Stream &amp; Compound Data'!$F$18),"N/A","")))</f>
        <v/>
      </c>
      <c r="L858" s="1306" t="str">
        <f>IF(H858&gt;'I. Stream &amp; Compound Data'!$F$18,"",IF(I858="","N/A",ROUND(IF(I858&lt;=2,0,IF(AND(I858&gt;2,I858&lt;4),0.5*(I858)-1,1)),3)))</f>
        <v/>
      </c>
      <c r="M858" s="1168" t="str">
        <f>IF(H858&gt;'I. Stream &amp; Compound Data'!$F$18,"",IF(L858="N/A",IF(J858="","N/A",ROUND(IF(J858&lt;=3,0,IF(AND(J858&gt;3,J858&lt;5),0.5*(J858)-1.5,1)),3)),"N/A"))</f>
        <v/>
      </c>
      <c r="N858" s="1242" t="str">
        <f>IF(H858&gt;'I. Stream &amp; Compound Data'!$F$18,"",IF(AND(L858="N/A",M858="N/A"),IF(K858="","N/A",IF(OR(K858=48,K858=53,K858=58),1,IF(K858=33,0.5,0))),"N/A"))</f>
        <v/>
      </c>
      <c r="O858" s="1242" t="str">
        <f>IF(H858&gt;'I. Stream &amp; Compound Data'!$F$18,"",IF(I158="","N/A",IF(L858&lt;&gt;"N/A",L858,IF(M858&lt;&gt;"N/A",M858,IF(N858&lt;&gt;"N/A",N858,"NO DATA AVAILABLE")))))</f>
        <v/>
      </c>
      <c r="P858" s="1242" t="str">
        <f>IF(H858&gt;'I. Stream &amp; Compound Data'!$F$18,"",IF(O858="N/A","",10^(2*O858)))</f>
        <v/>
      </c>
      <c r="Q858" s="1242" t="str">
        <f>'I. Stream &amp; Compound Data'!P278</f>
        <v/>
      </c>
      <c r="R858" s="1268" t="str">
        <f>IF(Q858="","",IF('I. Stream &amp; Compound Data'!E48="H2O",0,P858*Q858))</f>
        <v/>
      </c>
      <c r="S858" s="298"/>
      <c r="T858" s="298"/>
      <c r="U858" s="299"/>
      <c r="V858" s="279"/>
      <c r="W858" s="279"/>
      <c r="X858" s="279"/>
      <c r="Y858" s="279"/>
      <c r="Z858" s="279"/>
      <c r="AA858" s="279"/>
      <c r="AB858" s="279"/>
      <c r="AC858" s="279"/>
      <c r="AD858" s="279"/>
      <c r="AE858" s="279"/>
      <c r="AF858" s="279"/>
      <c r="AG858" s="279"/>
      <c r="AH858" s="279"/>
      <c r="AI858" s="279"/>
      <c r="AJ858" s="279"/>
      <c r="AK858" s="279"/>
      <c r="AL858" s="279"/>
      <c r="AM858" s="279"/>
      <c r="AN858" s="279"/>
      <c r="AO858" s="279"/>
      <c r="AP858" s="279"/>
      <c r="AQ858" s="279"/>
      <c r="AR858" s="279"/>
      <c r="AS858" s="279"/>
      <c r="AT858" s="279"/>
      <c r="AU858" s="279"/>
      <c r="AV858" s="279"/>
      <c r="AW858" s="279"/>
      <c r="AX858" s="279"/>
      <c r="AY858" s="279"/>
      <c r="AZ858" s="279"/>
      <c r="BA858" s="279"/>
      <c r="BB858" s="279"/>
      <c r="BC858" s="279"/>
      <c r="BD858" s="279"/>
      <c r="BE858" s="279"/>
      <c r="BF858" s="279"/>
      <c r="BG858" s="279"/>
      <c r="BH858" s="279"/>
      <c r="BI858" s="279"/>
      <c r="BJ858" s="279"/>
      <c r="BK858" s="279"/>
      <c r="BL858" s="279"/>
      <c r="BM858" s="279"/>
      <c r="BN858" s="279"/>
      <c r="BO858" s="279"/>
      <c r="BP858" s="279"/>
      <c r="BQ858" s="279"/>
      <c r="BR858" s="279"/>
      <c r="BS858" s="279"/>
      <c r="BT858" s="279"/>
      <c r="BU858" s="279"/>
      <c r="BV858" s="279"/>
      <c r="BW858" s="279"/>
      <c r="BX858" s="279"/>
      <c r="BY858" s="279"/>
      <c r="BZ858" s="279"/>
      <c r="CA858" s="279"/>
      <c r="CB858" s="279"/>
      <c r="CC858" s="279"/>
      <c r="CD858" s="279"/>
      <c r="CE858" s="279"/>
      <c r="CF858" s="279"/>
      <c r="CG858" s="279"/>
      <c r="CH858" s="279"/>
      <c r="CI858" s="279"/>
      <c r="CJ858" s="279"/>
      <c r="CK858" s="279"/>
      <c r="CL858" s="279"/>
      <c r="CM858" s="279"/>
      <c r="CN858" s="382"/>
    </row>
    <row r="859" x14ac:dyDescent="0.25">
      <c r="B859" s="361"/>
      <c r="C859" s="279"/>
      <c r="D859" s="280"/>
      <c r="E859" s="287"/>
      <c r="F859" s="287"/>
      <c r="G859" s="287"/>
      <c r="H859" s="1292">
        <f t="shared" si="36"/>
        <v>18</v>
      </c>
      <c r="I859" s="1295" t="str">
        <f>IF('I. Stream &amp; Compound Data'!AE279&lt;&gt;"",LOG10('I. Stream &amp; Compound Data'!AE279),"")</f>
        <v/>
      </c>
      <c r="J859" s="1295" t="str">
        <f>IF('I. Stream &amp; Compound Data'!AF279&lt;&gt;"",'I. Stream &amp; Compound Data'!AF279,"")</f>
        <v/>
      </c>
      <c r="K859" s="1295" t="str">
        <f>IF('I. Stream &amp; Compound Data'!AR279&lt;&gt;"",'I. Stream &amp; Compound Data'!AR279,IF('I. Stream &amp; Compound Data'!AS279&lt;&gt;"",'I. Stream &amp; Compound Data'!AS279,IF(AND(I859="",J859="",H859&lt;='I. Stream &amp; Compound Data'!$F$18),"N/A","")))</f>
        <v/>
      </c>
      <c r="L859" s="1306" t="str">
        <f>IF(H859&gt;'I. Stream &amp; Compound Data'!$F$18,"",IF(I859="","N/A",ROUND(IF(I859&lt;=2,0,IF(AND(I859&gt;2,I859&lt;4),0.5*(I859)-1,1)),3)))</f>
        <v/>
      </c>
      <c r="M859" s="1168" t="str">
        <f>IF(H859&gt;'I. Stream &amp; Compound Data'!$F$18,"",IF(L859="N/A",IF(J859="","N/A",ROUND(IF(J859&lt;=3,0,IF(AND(J859&gt;3,J859&lt;5),0.5*(J859)-1.5,1)),3)),"N/A"))</f>
        <v/>
      </c>
      <c r="N859" s="1242" t="str">
        <f>IF(H859&gt;'I. Stream &amp; Compound Data'!$F$18,"",IF(AND(L859="N/A",M859="N/A"),IF(K859="","N/A",IF(OR(K859=48,K859=53,K859=58),1,IF(K859=33,0.5,0))),"N/A"))</f>
        <v/>
      </c>
      <c r="O859" s="1242" t="str">
        <f>IF(H859&gt;'I. Stream &amp; Compound Data'!$F$18,"",IF(I159="","N/A",IF(L859&lt;&gt;"N/A",L859,IF(M859&lt;&gt;"N/A",M859,IF(N859&lt;&gt;"N/A",N859,"NO DATA AVAILABLE")))))</f>
        <v/>
      </c>
      <c r="P859" s="1242" t="str">
        <f>IF(H859&gt;'I. Stream &amp; Compound Data'!$F$18,"",IF(O859="N/A","",10^(2*O859)))</f>
        <v/>
      </c>
      <c r="Q859" s="1242" t="str">
        <f>'I. Stream &amp; Compound Data'!P279</f>
        <v/>
      </c>
      <c r="R859" s="1268" t="str">
        <f>IF(Q859="","",IF('I. Stream &amp; Compound Data'!E49="H2O",0,P859*Q859))</f>
        <v/>
      </c>
      <c r="S859" s="298"/>
      <c r="T859" s="298"/>
      <c r="U859" s="299"/>
      <c r="V859" s="279"/>
      <c r="W859" s="279"/>
      <c r="X859" s="279"/>
      <c r="Y859" s="279"/>
      <c r="Z859" s="279"/>
      <c r="AA859" s="279"/>
      <c r="AB859" s="279"/>
      <c r="AC859" s="279"/>
      <c r="AD859" s="279"/>
      <c r="AE859" s="279"/>
      <c r="AF859" s="279"/>
      <c r="AG859" s="279"/>
      <c r="AH859" s="279"/>
      <c r="AI859" s="279"/>
      <c r="AJ859" s="279"/>
      <c r="AK859" s="279"/>
      <c r="AL859" s="279"/>
      <c r="AM859" s="279"/>
      <c r="AN859" s="279"/>
      <c r="AO859" s="279"/>
      <c r="AP859" s="279"/>
      <c r="AQ859" s="279"/>
      <c r="AR859" s="279"/>
      <c r="AS859" s="279"/>
      <c r="AT859" s="279"/>
      <c r="AU859" s="279"/>
      <c r="AV859" s="279"/>
      <c r="AW859" s="279"/>
      <c r="AX859" s="279"/>
      <c r="AY859" s="279"/>
      <c r="AZ859" s="279"/>
      <c r="BA859" s="279"/>
      <c r="BB859" s="279"/>
      <c r="BC859" s="279"/>
      <c r="BD859" s="279"/>
      <c r="BE859" s="279"/>
      <c r="BF859" s="279"/>
      <c r="BG859" s="279"/>
      <c r="BH859" s="279"/>
      <c r="BI859" s="279"/>
      <c r="BJ859" s="279"/>
      <c r="BK859" s="279"/>
      <c r="BL859" s="279"/>
      <c r="BM859" s="279"/>
      <c r="BN859" s="279"/>
      <c r="BO859" s="279"/>
      <c r="BP859" s="279"/>
      <c r="BQ859" s="279"/>
      <c r="BR859" s="279"/>
      <c r="BS859" s="279"/>
      <c r="BT859" s="279"/>
      <c r="BU859" s="279"/>
      <c r="BV859" s="279"/>
      <c r="BW859" s="279"/>
      <c r="BX859" s="279"/>
      <c r="BY859" s="279"/>
      <c r="BZ859" s="279"/>
      <c r="CA859" s="279"/>
      <c r="CB859" s="279"/>
      <c r="CC859" s="279"/>
      <c r="CD859" s="279"/>
      <c r="CE859" s="279"/>
      <c r="CF859" s="279"/>
      <c r="CG859" s="279"/>
      <c r="CH859" s="279"/>
      <c r="CI859" s="279"/>
      <c r="CJ859" s="279"/>
      <c r="CK859" s="279"/>
      <c r="CL859" s="279"/>
      <c r="CM859" s="279"/>
      <c r="CN859" s="382"/>
    </row>
    <row r="860" x14ac:dyDescent="0.25">
      <c r="B860" s="361"/>
      <c r="C860" s="279"/>
      <c r="D860" s="280"/>
      <c r="E860" s="287"/>
      <c r="F860" s="287"/>
      <c r="G860" s="287"/>
      <c r="H860" s="1292">
        <f t="shared" si="36"/>
        <v>19</v>
      </c>
      <c r="I860" s="1295" t="str">
        <f>IF('I. Stream &amp; Compound Data'!AE280&lt;&gt;"",LOG10('I. Stream &amp; Compound Data'!AE280),"")</f>
        <v/>
      </c>
      <c r="J860" s="1295" t="str">
        <f>IF('I. Stream &amp; Compound Data'!AF280&lt;&gt;"",'I. Stream &amp; Compound Data'!AF280,"")</f>
        <v/>
      </c>
      <c r="K860" s="1295" t="str">
        <f>IF('I. Stream &amp; Compound Data'!AR280&lt;&gt;"",'I. Stream &amp; Compound Data'!AR280,IF('I. Stream &amp; Compound Data'!AS280&lt;&gt;"",'I. Stream &amp; Compound Data'!AS280,IF(AND(I860="",J860="",H860&lt;='I. Stream &amp; Compound Data'!$F$18),"N/A","")))</f>
        <v/>
      </c>
      <c r="L860" s="1306" t="str">
        <f>IF(H860&gt;'I. Stream &amp; Compound Data'!$F$18,"",IF(I860="","N/A",ROUND(IF(I860&lt;=2,0,IF(AND(I860&gt;2,I860&lt;4),0.5*(I860)-1,1)),3)))</f>
        <v/>
      </c>
      <c r="M860" s="1168" t="str">
        <f>IF(H860&gt;'I. Stream &amp; Compound Data'!$F$18,"",IF(L860="N/A",IF(J860="","N/A",ROUND(IF(J860&lt;=3,0,IF(AND(J860&gt;3,J860&lt;5),0.5*(J860)-1.5,1)),3)),"N/A"))</f>
        <v/>
      </c>
      <c r="N860" s="1242" t="str">
        <f>IF(H860&gt;'I. Stream &amp; Compound Data'!$F$18,"",IF(AND(L860="N/A",M860="N/A"),IF(K860="","N/A",IF(OR(K860=48,K860=53,K860=58),1,IF(K860=33,0.5,0))),"N/A"))</f>
        <v/>
      </c>
      <c r="O860" s="1242" t="str">
        <f>IF(H860&gt;'I. Stream &amp; Compound Data'!$F$18,"",IF(I160="","N/A",IF(L860&lt;&gt;"N/A",L860,IF(M860&lt;&gt;"N/A",M860,IF(N860&lt;&gt;"N/A",N860,"NO DATA AVAILABLE")))))</f>
        <v/>
      </c>
      <c r="P860" s="1242" t="str">
        <f>IF(H860&gt;'I. Stream &amp; Compound Data'!$F$18,"",IF(O860="N/A","",10^(2*O860)))</f>
        <v/>
      </c>
      <c r="Q860" s="1242" t="str">
        <f>'I. Stream &amp; Compound Data'!P280</f>
        <v/>
      </c>
      <c r="R860" s="1268" t="str">
        <f>IF(Q860="","",IF('I. Stream &amp; Compound Data'!E50="H2O",0,P860*Q860))</f>
        <v/>
      </c>
      <c r="S860" s="298"/>
      <c r="T860" s="298"/>
      <c r="U860" s="299"/>
      <c r="V860" s="279"/>
      <c r="W860" s="279"/>
      <c r="X860" s="279"/>
      <c r="Y860" s="279"/>
      <c r="Z860" s="279"/>
      <c r="AA860" s="279"/>
      <c r="AB860" s="279"/>
      <c r="AC860" s="279"/>
      <c r="AD860" s="279"/>
      <c r="AE860" s="279"/>
      <c r="AF860" s="279"/>
      <c r="AG860" s="279"/>
      <c r="AH860" s="279"/>
      <c r="AI860" s="279"/>
      <c r="AJ860" s="279"/>
      <c r="AK860" s="279"/>
      <c r="AL860" s="279"/>
      <c r="AM860" s="279"/>
      <c r="AN860" s="279"/>
      <c r="AO860" s="279"/>
      <c r="AP860" s="279"/>
      <c r="AQ860" s="279"/>
      <c r="AR860" s="279"/>
      <c r="AS860" s="279"/>
      <c r="AT860" s="279"/>
      <c r="AU860" s="279"/>
      <c r="AV860" s="279"/>
      <c r="AW860" s="279"/>
      <c r="AX860" s="279"/>
      <c r="AY860" s="279"/>
      <c r="AZ860" s="279"/>
      <c r="BA860" s="279"/>
      <c r="BB860" s="279"/>
      <c r="BC860" s="279"/>
      <c r="BD860" s="279"/>
      <c r="BE860" s="279"/>
      <c r="BF860" s="279"/>
      <c r="BG860" s="279"/>
      <c r="BH860" s="279"/>
      <c r="BI860" s="279"/>
      <c r="BJ860" s="279"/>
      <c r="BK860" s="279"/>
      <c r="BL860" s="279"/>
      <c r="BM860" s="279"/>
      <c r="BN860" s="279"/>
      <c r="BO860" s="279"/>
      <c r="BP860" s="279"/>
      <c r="BQ860" s="279"/>
      <c r="BR860" s="279"/>
      <c r="BS860" s="279"/>
      <c r="BT860" s="279"/>
      <c r="BU860" s="279"/>
      <c r="BV860" s="279"/>
      <c r="BW860" s="279"/>
      <c r="BX860" s="279"/>
      <c r="BY860" s="279"/>
      <c r="BZ860" s="279"/>
      <c r="CA860" s="279"/>
      <c r="CB860" s="279"/>
      <c r="CC860" s="279"/>
      <c r="CD860" s="279"/>
      <c r="CE860" s="279"/>
      <c r="CF860" s="279"/>
      <c r="CG860" s="279"/>
      <c r="CH860" s="279"/>
      <c r="CI860" s="279"/>
      <c r="CJ860" s="279"/>
      <c r="CK860" s="279"/>
      <c r="CL860" s="279"/>
      <c r="CM860" s="279"/>
      <c r="CN860" s="382"/>
    </row>
    <row r="861" x14ac:dyDescent="0.25">
      <c r="B861" s="361"/>
      <c r="C861" s="279"/>
      <c r="D861" s="280"/>
      <c r="E861" s="287"/>
      <c r="F861" s="287"/>
      <c r="G861" s="287"/>
      <c r="H861" s="1292">
        <f t="shared" si="36"/>
        <v>20</v>
      </c>
      <c r="I861" s="1295" t="str">
        <f>IF('I. Stream &amp; Compound Data'!AE281&lt;&gt;"",LOG10('I. Stream &amp; Compound Data'!AE281),"")</f>
        <v/>
      </c>
      <c r="J861" s="1295" t="str">
        <f>IF('I. Stream &amp; Compound Data'!AF281&lt;&gt;"",'I. Stream &amp; Compound Data'!AF281,"")</f>
        <v/>
      </c>
      <c r="K861" s="1295" t="str">
        <f>IF('I. Stream &amp; Compound Data'!AR281&lt;&gt;"",'I. Stream &amp; Compound Data'!AR281,IF('I. Stream &amp; Compound Data'!AS281&lt;&gt;"",'I. Stream &amp; Compound Data'!AS281,IF(AND(I861="",J861="",H861&lt;='I. Stream &amp; Compound Data'!$F$18),"N/A","")))</f>
        <v/>
      </c>
      <c r="L861" s="1306" t="str">
        <f>IF(H861&gt;'I. Stream &amp; Compound Data'!$F$18,"",IF(I861="","N/A",ROUND(IF(I861&lt;=2,0,IF(AND(I861&gt;2,I861&lt;4),0.5*(I861)-1,1)),3)))</f>
        <v/>
      </c>
      <c r="M861" s="1168" t="str">
        <f>IF(H861&gt;'I. Stream &amp; Compound Data'!$F$18,"",IF(L861="N/A",IF(J861="","N/A",ROUND(IF(J861&lt;=3,0,IF(AND(J861&gt;3,J861&lt;5),0.5*(J861)-1.5,1)),3)),"N/A"))</f>
        <v/>
      </c>
      <c r="N861" s="1242" t="str">
        <f>IF(H861&gt;'I. Stream &amp; Compound Data'!$F$18,"",IF(AND(L861="N/A",M861="N/A"),IF(K861="","N/A",IF(OR(K861=48,K861=53,K861=58),1,IF(K861=33,0.5,0))),"N/A"))</f>
        <v/>
      </c>
      <c r="O861" s="1242" t="str">
        <f>IF(H861&gt;'I. Stream &amp; Compound Data'!$F$18,"",IF(I161="","N/A",IF(L861&lt;&gt;"N/A",L861,IF(M861&lt;&gt;"N/A",M861,IF(N861&lt;&gt;"N/A",N861,"NO DATA AVAILABLE")))))</f>
        <v/>
      </c>
      <c r="P861" s="1242" t="str">
        <f>IF(H861&gt;'I. Stream &amp; Compound Data'!$F$18,"",IF(O861="N/A","",10^(2*O861)))</f>
        <v/>
      </c>
      <c r="Q861" s="1242" t="str">
        <f>'I. Stream &amp; Compound Data'!P281</f>
        <v/>
      </c>
      <c r="R861" s="1268" t="str">
        <f>IF(Q861="","",IF('I. Stream &amp; Compound Data'!E51="H2O",0,P861*Q861))</f>
        <v/>
      </c>
      <c r="S861" s="298"/>
      <c r="T861" s="298"/>
      <c r="U861" s="299"/>
      <c r="V861" s="279"/>
      <c r="W861" s="279"/>
      <c r="X861" s="279"/>
      <c r="Y861" s="279"/>
      <c r="Z861" s="279"/>
      <c r="AA861" s="279"/>
      <c r="AB861" s="279"/>
      <c r="AC861" s="279"/>
      <c r="AD861" s="279"/>
      <c r="AE861" s="279"/>
      <c r="AF861" s="279"/>
      <c r="AG861" s="279"/>
      <c r="AH861" s="279"/>
      <c r="AI861" s="279"/>
      <c r="AJ861" s="279"/>
      <c r="AK861" s="279"/>
      <c r="AL861" s="279"/>
      <c r="AM861" s="279"/>
      <c r="AN861" s="279"/>
      <c r="AO861" s="279"/>
      <c r="AP861" s="279"/>
      <c r="AQ861" s="279"/>
      <c r="AR861" s="279"/>
      <c r="AS861" s="279"/>
      <c r="AT861" s="279"/>
      <c r="AU861" s="279"/>
      <c r="AV861" s="279"/>
      <c r="AW861" s="279"/>
      <c r="AX861" s="279"/>
      <c r="AY861" s="279"/>
      <c r="AZ861" s="279"/>
      <c r="BA861" s="279"/>
      <c r="BB861" s="279"/>
      <c r="BC861" s="279"/>
      <c r="BD861" s="279"/>
      <c r="BE861" s="279"/>
      <c r="BF861" s="279"/>
      <c r="BG861" s="279"/>
      <c r="BH861" s="279"/>
      <c r="BI861" s="279"/>
      <c r="BJ861" s="279"/>
      <c r="BK861" s="279"/>
      <c r="BL861" s="279"/>
      <c r="BM861" s="279"/>
      <c r="BN861" s="279"/>
      <c r="BO861" s="279"/>
      <c r="BP861" s="279"/>
      <c r="BQ861" s="279"/>
      <c r="BR861" s="279"/>
      <c r="BS861" s="279"/>
      <c r="BT861" s="279"/>
      <c r="BU861" s="279"/>
      <c r="BV861" s="279"/>
      <c r="BW861" s="279"/>
      <c r="BX861" s="279"/>
      <c r="BY861" s="279"/>
      <c r="BZ861" s="279"/>
      <c r="CA861" s="279"/>
      <c r="CB861" s="279"/>
      <c r="CC861" s="279"/>
      <c r="CD861" s="279"/>
      <c r="CE861" s="279"/>
      <c r="CF861" s="279"/>
      <c r="CG861" s="279"/>
      <c r="CH861" s="279"/>
      <c r="CI861" s="279"/>
      <c r="CJ861" s="279"/>
      <c r="CK861" s="279"/>
      <c r="CL861" s="279"/>
      <c r="CM861" s="279"/>
      <c r="CN861" s="382"/>
    </row>
    <row r="862" x14ac:dyDescent="0.25">
      <c r="B862" s="361"/>
      <c r="C862" s="279"/>
      <c r="D862" s="280"/>
      <c r="E862" s="287"/>
      <c r="F862" s="287"/>
      <c r="G862" s="287"/>
      <c r="H862" s="1292">
        <f t="shared" si="36"/>
        <v>21</v>
      </c>
      <c r="I862" s="1295" t="str">
        <f>IF('I. Stream &amp; Compound Data'!AE282&lt;&gt;"",LOG10('I. Stream &amp; Compound Data'!AE282),"")</f>
        <v/>
      </c>
      <c r="J862" s="1295" t="str">
        <f>IF('I. Stream &amp; Compound Data'!AF282&lt;&gt;"",'I. Stream &amp; Compound Data'!AF282,"")</f>
        <v/>
      </c>
      <c r="K862" s="1295" t="str">
        <f>IF('I. Stream &amp; Compound Data'!AR282&lt;&gt;"",'I. Stream &amp; Compound Data'!AR282,IF('I. Stream &amp; Compound Data'!AS282&lt;&gt;"",'I. Stream &amp; Compound Data'!AS282,IF(AND(I862="",J862="",H862&lt;='I. Stream &amp; Compound Data'!$F$18),"N/A","")))</f>
        <v/>
      </c>
      <c r="L862" s="1306" t="str">
        <f>IF(H862&gt;'I. Stream &amp; Compound Data'!$F$18,"",IF(I862="","N/A",ROUND(IF(I862&lt;=2,0,IF(AND(I862&gt;2,I862&lt;4),0.5*(I862)-1,1)),3)))</f>
        <v/>
      </c>
      <c r="M862" s="1168" t="str">
        <f>IF(H862&gt;'I. Stream &amp; Compound Data'!$F$18,"",IF(L862="N/A",IF(J862="","N/A",ROUND(IF(J862&lt;=3,0,IF(AND(J862&gt;3,J862&lt;5),0.5*(J862)-1.5,1)),3)),"N/A"))</f>
        <v/>
      </c>
      <c r="N862" s="1242" t="str">
        <f>IF(H862&gt;'I. Stream &amp; Compound Data'!$F$18,"",IF(AND(L862="N/A",M862="N/A"),IF(K862="","N/A",IF(OR(K862=48,K862=53,K862=58),1,IF(K862=33,0.5,0))),"N/A"))</f>
        <v/>
      </c>
      <c r="O862" s="1242" t="str">
        <f>IF(H862&gt;'I. Stream &amp; Compound Data'!$F$18,"",IF(I162="","N/A",IF(L862&lt;&gt;"N/A",L862,IF(M862&lt;&gt;"N/A",M862,IF(N862&lt;&gt;"N/A",N862,"NO DATA AVAILABLE")))))</f>
        <v/>
      </c>
      <c r="P862" s="1242" t="str">
        <f>IF(H862&gt;'I. Stream &amp; Compound Data'!$F$18,"",IF(O862="N/A","",10^(2*O862)))</f>
        <v/>
      </c>
      <c r="Q862" s="1242" t="str">
        <f>'I. Stream &amp; Compound Data'!P282</f>
        <v/>
      </c>
      <c r="R862" s="1268" t="str">
        <f>IF(Q862="","",IF('I. Stream &amp; Compound Data'!E52="H2O",0,P862*Q862))</f>
        <v/>
      </c>
      <c r="S862" s="298"/>
      <c r="T862" s="298"/>
      <c r="U862" s="299"/>
      <c r="V862" s="279"/>
      <c r="W862" s="279"/>
      <c r="X862" s="279"/>
      <c r="Y862" s="279"/>
      <c r="Z862" s="279"/>
      <c r="AA862" s="279"/>
      <c r="AB862" s="279"/>
      <c r="AC862" s="279"/>
      <c r="AD862" s="279"/>
      <c r="AE862" s="279"/>
      <c r="AF862" s="279"/>
      <c r="AG862" s="279"/>
      <c r="AH862" s="279"/>
      <c r="AI862" s="279"/>
      <c r="AJ862" s="279"/>
      <c r="AK862" s="279"/>
      <c r="AL862" s="279"/>
      <c r="AM862" s="279"/>
      <c r="AN862" s="279"/>
      <c r="AO862" s="279"/>
      <c r="AP862" s="279"/>
      <c r="AQ862" s="279"/>
      <c r="AR862" s="279"/>
      <c r="AS862" s="279"/>
      <c r="AT862" s="279"/>
      <c r="AU862" s="279"/>
      <c r="AV862" s="279"/>
      <c r="AW862" s="279"/>
      <c r="AX862" s="279"/>
      <c r="AY862" s="279"/>
      <c r="AZ862" s="279"/>
      <c r="BA862" s="279"/>
      <c r="BB862" s="279"/>
      <c r="BC862" s="279"/>
      <c r="BD862" s="279"/>
      <c r="BE862" s="279"/>
      <c r="BF862" s="279"/>
      <c r="BG862" s="279"/>
      <c r="BH862" s="279"/>
      <c r="BI862" s="279"/>
      <c r="BJ862" s="279"/>
      <c r="BK862" s="279"/>
      <c r="BL862" s="279"/>
      <c r="BM862" s="279"/>
      <c r="BN862" s="279"/>
      <c r="BO862" s="279"/>
      <c r="BP862" s="279"/>
      <c r="BQ862" s="279"/>
      <c r="BR862" s="279"/>
      <c r="BS862" s="279"/>
      <c r="BT862" s="279"/>
      <c r="BU862" s="279"/>
      <c r="BV862" s="279"/>
      <c r="BW862" s="279"/>
      <c r="BX862" s="279"/>
      <c r="BY862" s="279"/>
      <c r="BZ862" s="279"/>
      <c r="CA862" s="279"/>
      <c r="CB862" s="279"/>
      <c r="CC862" s="279"/>
      <c r="CD862" s="279"/>
      <c r="CE862" s="279"/>
      <c r="CF862" s="279"/>
      <c r="CG862" s="279"/>
      <c r="CH862" s="279"/>
      <c r="CI862" s="279"/>
      <c r="CJ862" s="279"/>
      <c r="CK862" s="279"/>
      <c r="CL862" s="279"/>
      <c r="CM862" s="279"/>
      <c r="CN862" s="382"/>
    </row>
    <row r="863" x14ac:dyDescent="0.25">
      <c r="B863" s="361"/>
      <c r="C863" s="279"/>
      <c r="D863" s="280"/>
      <c r="E863" s="287"/>
      <c r="F863" s="287"/>
      <c r="G863" s="287"/>
      <c r="H863" s="1292">
        <f t="shared" si="36"/>
        <v>22</v>
      </c>
      <c r="I863" s="1295" t="str">
        <f>IF('I. Stream &amp; Compound Data'!AE283&lt;&gt;"",LOG10('I. Stream &amp; Compound Data'!AE283),"")</f>
        <v/>
      </c>
      <c r="J863" s="1295" t="str">
        <f>IF('I. Stream &amp; Compound Data'!AF283&lt;&gt;"",'I. Stream &amp; Compound Data'!AF283,"")</f>
        <v/>
      </c>
      <c r="K863" s="1295" t="str">
        <f>IF('I. Stream &amp; Compound Data'!AR283&lt;&gt;"",'I. Stream &amp; Compound Data'!AR283,IF('I. Stream &amp; Compound Data'!AS283&lt;&gt;"",'I. Stream &amp; Compound Data'!AS283,IF(AND(I863="",J863="",H863&lt;='I. Stream &amp; Compound Data'!$F$18),"N/A","")))</f>
        <v/>
      </c>
      <c r="L863" s="1306" t="str">
        <f>IF(H863&gt;'I. Stream &amp; Compound Data'!$F$18,"",IF(I863="","N/A",ROUND(IF(I863&lt;=2,0,IF(AND(I863&gt;2,I863&lt;4),0.5*(I863)-1,1)),3)))</f>
        <v/>
      </c>
      <c r="M863" s="1168" t="str">
        <f>IF(H863&gt;'I. Stream &amp; Compound Data'!$F$18,"",IF(L863="N/A",IF(J863="","N/A",ROUND(IF(J863&lt;=3,0,IF(AND(J863&gt;3,J863&lt;5),0.5*(J863)-1.5,1)),3)),"N/A"))</f>
        <v/>
      </c>
      <c r="N863" s="1242" t="str">
        <f>IF(H863&gt;'I. Stream &amp; Compound Data'!$F$18,"",IF(AND(L863="N/A",M863="N/A"),IF(K863="","N/A",IF(OR(K863=48,K863=53,K863=58),1,IF(K863=33,0.5,0))),"N/A"))</f>
        <v/>
      </c>
      <c r="O863" s="1242" t="str">
        <f>IF(H863&gt;'I. Stream &amp; Compound Data'!$F$18,"",IF(I163="","N/A",IF(L863&lt;&gt;"N/A",L863,IF(M863&lt;&gt;"N/A",M863,IF(N863&lt;&gt;"N/A",N863,"NO DATA AVAILABLE")))))</f>
        <v/>
      </c>
      <c r="P863" s="1242" t="str">
        <f>IF(H863&gt;'I. Stream &amp; Compound Data'!$F$18,"",IF(O863="N/A","",10^(2*O863)))</f>
        <v/>
      </c>
      <c r="Q863" s="1242" t="str">
        <f>'I. Stream &amp; Compound Data'!P283</f>
        <v/>
      </c>
      <c r="R863" s="1268" t="str">
        <f>IF(Q863="","",IF('I. Stream &amp; Compound Data'!E53="H2O",0,P863*Q863))</f>
        <v/>
      </c>
      <c r="S863" s="298"/>
      <c r="T863" s="298"/>
      <c r="U863" s="299"/>
      <c r="V863" s="279"/>
      <c r="W863" s="279"/>
      <c r="X863" s="279"/>
      <c r="Y863" s="279"/>
      <c r="Z863" s="279"/>
      <c r="AA863" s="279"/>
      <c r="AB863" s="279"/>
      <c r="AC863" s="279"/>
      <c r="AD863" s="279"/>
      <c r="AE863" s="279"/>
      <c r="AF863" s="279"/>
      <c r="AG863" s="279"/>
      <c r="AH863" s="279"/>
      <c r="AI863" s="279"/>
      <c r="AJ863" s="279"/>
      <c r="AK863" s="279"/>
      <c r="AL863" s="279"/>
      <c r="AM863" s="279"/>
      <c r="AN863" s="279"/>
      <c r="AO863" s="279"/>
      <c r="AP863" s="279"/>
      <c r="AQ863" s="279"/>
      <c r="AR863" s="279"/>
      <c r="AS863" s="279"/>
      <c r="AT863" s="279"/>
      <c r="AU863" s="279"/>
      <c r="AV863" s="279"/>
      <c r="AW863" s="279"/>
      <c r="AX863" s="279"/>
      <c r="AY863" s="279"/>
      <c r="AZ863" s="279"/>
      <c r="BA863" s="279"/>
      <c r="BB863" s="279"/>
      <c r="BC863" s="279"/>
      <c r="BD863" s="279"/>
      <c r="BE863" s="279"/>
      <c r="BF863" s="279"/>
      <c r="BG863" s="279"/>
      <c r="BH863" s="279"/>
      <c r="BI863" s="279"/>
      <c r="BJ863" s="279"/>
      <c r="BK863" s="279"/>
      <c r="BL863" s="279"/>
      <c r="BM863" s="279"/>
      <c r="BN863" s="279"/>
      <c r="BO863" s="279"/>
      <c r="BP863" s="279"/>
      <c r="BQ863" s="279"/>
      <c r="BR863" s="279"/>
      <c r="BS863" s="279"/>
      <c r="BT863" s="279"/>
      <c r="BU863" s="279"/>
      <c r="BV863" s="279"/>
      <c r="BW863" s="279"/>
      <c r="BX863" s="279"/>
      <c r="BY863" s="279"/>
      <c r="BZ863" s="279"/>
      <c r="CA863" s="279"/>
      <c r="CB863" s="279"/>
      <c r="CC863" s="279"/>
      <c r="CD863" s="279"/>
      <c r="CE863" s="279"/>
      <c r="CF863" s="279"/>
      <c r="CG863" s="279"/>
      <c r="CH863" s="279"/>
      <c r="CI863" s="279"/>
      <c r="CJ863" s="279"/>
      <c r="CK863" s="279"/>
      <c r="CL863" s="279"/>
      <c r="CM863" s="279"/>
      <c r="CN863" s="382"/>
    </row>
    <row r="864" x14ac:dyDescent="0.25">
      <c r="B864" s="361"/>
      <c r="C864" s="279"/>
      <c r="D864" s="280"/>
      <c r="E864" s="287"/>
      <c r="F864" s="287"/>
      <c r="G864" s="287"/>
      <c r="H864" s="1292">
        <f t="shared" si="36"/>
        <v>23</v>
      </c>
      <c r="I864" s="1295" t="str">
        <f>IF('I. Stream &amp; Compound Data'!AE284&lt;&gt;"",LOG10('I. Stream &amp; Compound Data'!AE284),"")</f>
        <v/>
      </c>
      <c r="J864" s="1295" t="str">
        <f>IF('I. Stream &amp; Compound Data'!AF284&lt;&gt;"",'I. Stream &amp; Compound Data'!AF284,"")</f>
        <v/>
      </c>
      <c r="K864" s="1295" t="str">
        <f>IF('I. Stream &amp; Compound Data'!AR284&lt;&gt;"",'I. Stream &amp; Compound Data'!AR284,IF('I. Stream &amp; Compound Data'!AS284&lt;&gt;"",'I. Stream &amp; Compound Data'!AS284,IF(AND(I864="",J864="",H864&lt;='I. Stream &amp; Compound Data'!$F$18),"N/A","")))</f>
        <v/>
      </c>
      <c r="L864" s="1306" t="str">
        <f>IF(H864&gt;'I. Stream &amp; Compound Data'!$F$18,"",IF(I864="","N/A",ROUND(IF(I864&lt;=2,0,IF(AND(I864&gt;2,I864&lt;4),0.5*(I864)-1,1)),3)))</f>
        <v/>
      </c>
      <c r="M864" s="1168" t="str">
        <f>IF(H864&gt;'I. Stream &amp; Compound Data'!$F$18,"",IF(L864="N/A",IF(J864="","N/A",ROUND(IF(J864&lt;=3,0,IF(AND(J864&gt;3,J864&lt;5),0.5*(J864)-1.5,1)),3)),"N/A"))</f>
        <v/>
      </c>
      <c r="N864" s="1242" t="str">
        <f>IF(H864&gt;'I. Stream &amp; Compound Data'!$F$18,"",IF(AND(L864="N/A",M864="N/A"),IF(K864="","N/A",IF(OR(K864=48,K864=53,K864=58),1,IF(K864=33,0.5,0))),"N/A"))</f>
        <v/>
      </c>
      <c r="O864" s="1242" t="str">
        <f>IF(H864&gt;'I. Stream &amp; Compound Data'!$F$18,"",IF(I164="","N/A",IF(L864&lt;&gt;"N/A",L864,IF(M864&lt;&gt;"N/A",M864,IF(N864&lt;&gt;"N/A",N864,"NO DATA AVAILABLE")))))</f>
        <v/>
      </c>
      <c r="P864" s="1242" t="str">
        <f>IF(H864&gt;'I. Stream &amp; Compound Data'!$F$18,"",IF(O864="N/A","",10^(2*O864)))</f>
        <v/>
      </c>
      <c r="Q864" s="1242" t="str">
        <f>'I. Stream &amp; Compound Data'!P284</f>
        <v/>
      </c>
      <c r="R864" s="1268" t="str">
        <f>IF(Q864="","",IF('I. Stream &amp; Compound Data'!E54="H2O",0,P864*Q864))</f>
        <v/>
      </c>
      <c r="S864" s="298"/>
      <c r="T864" s="298"/>
      <c r="U864" s="299"/>
      <c r="V864" s="279"/>
      <c r="W864" s="279"/>
      <c r="X864" s="279"/>
      <c r="Y864" s="279"/>
      <c r="Z864" s="279"/>
      <c r="AA864" s="279"/>
      <c r="AB864" s="279"/>
      <c r="AC864" s="279"/>
      <c r="AD864" s="279"/>
      <c r="AE864" s="279"/>
      <c r="AF864" s="279"/>
      <c r="AG864" s="279"/>
      <c r="AH864" s="279"/>
      <c r="AI864" s="279"/>
      <c r="AJ864" s="279"/>
      <c r="AK864" s="279"/>
      <c r="AL864" s="279"/>
      <c r="AM864" s="279"/>
      <c r="AN864" s="279"/>
      <c r="AO864" s="279"/>
      <c r="AP864" s="279"/>
      <c r="AQ864" s="279"/>
      <c r="AR864" s="279"/>
      <c r="AS864" s="279"/>
      <c r="AT864" s="279"/>
      <c r="AU864" s="279"/>
      <c r="AV864" s="279"/>
      <c r="AW864" s="279"/>
      <c r="AX864" s="279"/>
      <c r="AY864" s="279"/>
      <c r="AZ864" s="279"/>
      <c r="BA864" s="279"/>
      <c r="BB864" s="279"/>
      <c r="BC864" s="279"/>
      <c r="BD864" s="279"/>
      <c r="BE864" s="279"/>
      <c r="BF864" s="279"/>
      <c r="BG864" s="279"/>
      <c r="BH864" s="279"/>
      <c r="BI864" s="279"/>
      <c r="BJ864" s="279"/>
      <c r="BK864" s="279"/>
      <c r="BL864" s="279"/>
      <c r="BM864" s="279"/>
      <c r="BN864" s="279"/>
      <c r="BO864" s="279"/>
      <c r="BP864" s="279"/>
      <c r="BQ864" s="279"/>
      <c r="BR864" s="279"/>
      <c r="BS864" s="279"/>
      <c r="BT864" s="279"/>
      <c r="BU864" s="279"/>
      <c r="BV864" s="279"/>
      <c r="BW864" s="279"/>
      <c r="BX864" s="279"/>
      <c r="BY864" s="279"/>
      <c r="BZ864" s="279"/>
      <c r="CA864" s="279"/>
      <c r="CB864" s="279"/>
      <c r="CC864" s="279"/>
      <c r="CD864" s="279"/>
      <c r="CE864" s="279"/>
      <c r="CF864" s="279"/>
      <c r="CG864" s="279"/>
      <c r="CH864" s="279"/>
      <c r="CI864" s="279"/>
      <c r="CJ864" s="279"/>
      <c r="CK864" s="279"/>
      <c r="CL864" s="279"/>
      <c r="CM864" s="279"/>
      <c r="CN864" s="382"/>
    </row>
    <row r="865" x14ac:dyDescent="0.25">
      <c r="B865" s="361"/>
      <c r="C865" s="279"/>
      <c r="D865" s="280"/>
      <c r="E865" s="287"/>
      <c r="F865" s="287"/>
      <c r="G865" s="287"/>
      <c r="H865" s="1292">
        <f t="shared" si="36"/>
        <v>24</v>
      </c>
      <c r="I865" s="1295" t="str">
        <f>IF('I. Stream &amp; Compound Data'!AE285&lt;&gt;"",LOG10('I. Stream &amp; Compound Data'!AE285),"")</f>
        <v/>
      </c>
      <c r="J865" s="1295" t="str">
        <f>IF('I. Stream &amp; Compound Data'!AF285&lt;&gt;"",'I. Stream &amp; Compound Data'!AF285,"")</f>
        <v/>
      </c>
      <c r="K865" s="1295" t="str">
        <f>IF('I. Stream &amp; Compound Data'!AR285&lt;&gt;"",'I. Stream &amp; Compound Data'!AR285,IF('I. Stream &amp; Compound Data'!AS285&lt;&gt;"",'I. Stream &amp; Compound Data'!AS285,IF(AND(I865="",J865="",H865&lt;='I. Stream &amp; Compound Data'!$F$18),"N/A","")))</f>
        <v/>
      </c>
      <c r="L865" s="1306" t="str">
        <f>IF(H865&gt;'I. Stream &amp; Compound Data'!$F$18,"",IF(I865="","N/A",ROUND(IF(I865&lt;=2,0,IF(AND(I865&gt;2,I865&lt;4),0.5*(I865)-1,1)),3)))</f>
        <v/>
      </c>
      <c r="M865" s="1168" t="str">
        <f>IF(H865&gt;'I. Stream &amp; Compound Data'!$F$18,"",IF(L865="N/A",IF(J865="","N/A",ROUND(IF(J865&lt;=3,0,IF(AND(J865&gt;3,J865&lt;5),0.5*(J865)-1.5,1)),3)),"N/A"))</f>
        <v/>
      </c>
      <c r="N865" s="1242" t="str">
        <f>IF(H865&gt;'I. Stream &amp; Compound Data'!$F$18,"",IF(AND(L865="N/A",M865="N/A"),IF(K865="","N/A",IF(OR(K865=48,K865=53,K865=58),1,IF(K865=33,0.5,0))),"N/A"))</f>
        <v/>
      </c>
      <c r="O865" s="1242" t="str">
        <f>IF(H865&gt;'I. Stream &amp; Compound Data'!$F$18,"",IF(I165="","N/A",IF(L865&lt;&gt;"N/A",L865,IF(M865&lt;&gt;"N/A",M865,IF(N865&lt;&gt;"N/A",N865,"NO DATA AVAILABLE")))))</f>
        <v/>
      </c>
      <c r="P865" s="1242" t="str">
        <f>IF(H865&gt;'I. Stream &amp; Compound Data'!$F$18,"",IF(O865="N/A","",10^(2*O865)))</f>
        <v/>
      </c>
      <c r="Q865" s="1242" t="str">
        <f>'I. Stream &amp; Compound Data'!P285</f>
        <v/>
      </c>
      <c r="R865" s="1268" t="str">
        <f>IF(Q865="","",IF('I. Stream &amp; Compound Data'!E55="H2O",0,P865*Q865))</f>
        <v/>
      </c>
      <c r="S865" s="298"/>
      <c r="T865" s="298"/>
      <c r="U865" s="299"/>
      <c r="V865" s="279"/>
      <c r="W865" s="279"/>
      <c r="X865" s="279"/>
      <c r="Y865" s="279"/>
      <c r="Z865" s="279"/>
      <c r="AA865" s="279"/>
      <c r="AB865" s="279"/>
      <c r="AC865" s="279"/>
      <c r="AD865" s="279"/>
      <c r="AE865" s="279"/>
      <c r="AF865" s="279"/>
      <c r="AG865" s="279"/>
      <c r="AH865" s="279"/>
      <c r="AI865" s="279"/>
      <c r="AJ865" s="279"/>
      <c r="AK865" s="279"/>
      <c r="AL865" s="279"/>
      <c r="AM865" s="279"/>
      <c r="AN865" s="279"/>
      <c r="AO865" s="279"/>
      <c r="AP865" s="279"/>
      <c r="AQ865" s="279"/>
      <c r="AR865" s="279"/>
      <c r="AS865" s="279"/>
      <c r="AT865" s="279"/>
      <c r="AU865" s="279"/>
      <c r="AV865" s="279"/>
      <c r="AW865" s="279"/>
      <c r="AX865" s="279"/>
      <c r="AY865" s="279"/>
      <c r="AZ865" s="279"/>
      <c r="BA865" s="279"/>
      <c r="BB865" s="279"/>
      <c r="BC865" s="279"/>
      <c r="BD865" s="279"/>
      <c r="BE865" s="279"/>
      <c r="BF865" s="279"/>
      <c r="BG865" s="279"/>
      <c r="BH865" s="279"/>
      <c r="BI865" s="279"/>
      <c r="BJ865" s="279"/>
      <c r="BK865" s="279"/>
      <c r="BL865" s="279"/>
      <c r="BM865" s="279"/>
      <c r="BN865" s="279"/>
      <c r="BO865" s="279"/>
      <c r="BP865" s="279"/>
      <c r="BQ865" s="279"/>
      <c r="BR865" s="279"/>
      <c r="BS865" s="279"/>
      <c r="BT865" s="279"/>
      <c r="BU865" s="279"/>
      <c r="BV865" s="279"/>
      <c r="BW865" s="279"/>
      <c r="BX865" s="279"/>
      <c r="BY865" s="279"/>
      <c r="BZ865" s="279"/>
      <c r="CA865" s="279"/>
      <c r="CB865" s="279"/>
      <c r="CC865" s="279"/>
      <c r="CD865" s="279"/>
      <c r="CE865" s="279"/>
      <c r="CF865" s="279"/>
      <c r="CG865" s="279"/>
      <c r="CH865" s="279"/>
      <c r="CI865" s="279"/>
      <c r="CJ865" s="279"/>
      <c r="CK865" s="279"/>
      <c r="CL865" s="279"/>
      <c r="CM865" s="279"/>
      <c r="CN865" s="382"/>
    </row>
    <row r="866" x14ac:dyDescent="0.25">
      <c r="B866" s="361"/>
      <c r="C866" s="279"/>
      <c r="D866" s="280"/>
      <c r="E866" s="287"/>
      <c r="F866" s="287"/>
      <c r="G866" s="287"/>
      <c r="H866" s="1292">
        <f t="shared" si="36"/>
        <v>25</v>
      </c>
      <c r="I866" s="1295" t="str">
        <f>IF('I. Stream &amp; Compound Data'!AE286&lt;&gt;"",LOG10('I. Stream &amp; Compound Data'!AE286),"")</f>
        <v/>
      </c>
      <c r="J866" s="1295" t="str">
        <f>IF('I. Stream &amp; Compound Data'!AF286&lt;&gt;"",'I. Stream &amp; Compound Data'!AF286,"")</f>
        <v/>
      </c>
      <c r="K866" s="1295" t="str">
        <f>IF('I. Stream &amp; Compound Data'!AR286&lt;&gt;"",'I. Stream &amp; Compound Data'!AR286,IF('I. Stream &amp; Compound Data'!AS286&lt;&gt;"",'I. Stream &amp; Compound Data'!AS286,IF(AND(I866="",J866="",H866&lt;='I. Stream &amp; Compound Data'!$F$18),"N/A","")))</f>
        <v/>
      </c>
      <c r="L866" s="1306" t="str">
        <f>IF(H866&gt;'I. Stream &amp; Compound Data'!$F$18,"",IF(I866="","N/A",ROUND(IF(I866&lt;=2,0,IF(AND(I866&gt;2,I866&lt;4),0.5*(I866)-1,1)),3)))</f>
        <v/>
      </c>
      <c r="M866" s="1168" t="str">
        <f>IF(H866&gt;'I. Stream &amp; Compound Data'!$F$18,"",IF(L866="N/A",IF(J866="","N/A",ROUND(IF(J866&lt;=3,0,IF(AND(J866&gt;3,J866&lt;5),0.5*(J866)-1.5,1)),3)),"N/A"))</f>
        <v/>
      </c>
      <c r="N866" s="1242" t="str">
        <f>IF(H866&gt;'I. Stream &amp; Compound Data'!$F$18,"",IF(AND(L866="N/A",M866="N/A"),IF(K866="","N/A",IF(OR(K866=48,K866=53,K866=58),1,IF(K866=33,0.5,0))),"N/A"))</f>
        <v/>
      </c>
      <c r="O866" s="1242" t="str">
        <f>IF(H866&gt;'I. Stream &amp; Compound Data'!$F$18,"",IF(I166="","N/A",IF(L866&lt;&gt;"N/A",L866,IF(M866&lt;&gt;"N/A",M866,IF(N866&lt;&gt;"N/A",N866,"NO DATA AVAILABLE")))))</f>
        <v/>
      </c>
      <c r="P866" s="1242" t="str">
        <f>IF(H866&gt;'I. Stream &amp; Compound Data'!$F$18,"",IF(O866="N/A","",10^(2*O866)))</f>
        <v/>
      </c>
      <c r="Q866" s="1242" t="str">
        <f>'I. Stream &amp; Compound Data'!P286</f>
        <v/>
      </c>
      <c r="R866" s="1268" t="str">
        <f>IF(Q866="","",IF('I. Stream &amp; Compound Data'!E56="H2O",0,P866*Q866))</f>
        <v/>
      </c>
      <c r="S866" s="298"/>
      <c r="T866" s="298"/>
      <c r="U866" s="299"/>
      <c r="V866" s="279"/>
      <c r="W866" s="279"/>
      <c r="X866" s="279"/>
      <c r="Y866" s="279"/>
      <c r="Z866" s="279"/>
      <c r="AA866" s="279"/>
      <c r="AB866" s="279"/>
      <c r="AC866" s="279"/>
      <c r="AD866" s="279"/>
      <c r="AE866" s="279"/>
      <c r="AF866" s="279"/>
      <c r="AG866" s="279"/>
      <c r="AH866" s="279"/>
      <c r="AI866" s="279"/>
      <c r="AJ866" s="279"/>
      <c r="AK866" s="279"/>
      <c r="AL866" s="279"/>
      <c r="AM866" s="279"/>
      <c r="AN866" s="279"/>
      <c r="AO866" s="279"/>
      <c r="AP866" s="279"/>
      <c r="AQ866" s="279"/>
      <c r="AR866" s="279"/>
      <c r="AS866" s="279"/>
      <c r="AT866" s="279"/>
      <c r="AU866" s="279"/>
      <c r="AV866" s="279"/>
      <c r="AW866" s="279"/>
      <c r="AX866" s="279"/>
      <c r="AY866" s="279"/>
      <c r="AZ866" s="279"/>
      <c r="BA866" s="279"/>
      <c r="BB866" s="279"/>
      <c r="BC866" s="279"/>
      <c r="BD866" s="279"/>
      <c r="BE866" s="279"/>
      <c r="BF866" s="279"/>
      <c r="BG866" s="279"/>
      <c r="BH866" s="279"/>
      <c r="BI866" s="279"/>
      <c r="BJ866" s="279"/>
      <c r="BK866" s="279"/>
      <c r="BL866" s="279"/>
      <c r="BM866" s="279"/>
      <c r="BN866" s="279"/>
      <c r="BO866" s="279"/>
      <c r="BP866" s="279"/>
      <c r="BQ866" s="279"/>
      <c r="BR866" s="279"/>
      <c r="BS866" s="279"/>
      <c r="BT866" s="279"/>
      <c r="BU866" s="279"/>
      <c r="BV866" s="279"/>
      <c r="BW866" s="279"/>
      <c r="BX866" s="279"/>
      <c r="BY866" s="279"/>
      <c r="BZ866" s="279"/>
      <c r="CA866" s="279"/>
      <c r="CB866" s="279"/>
      <c r="CC866" s="279"/>
      <c r="CD866" s="279"/>
      <c r="CE866" s="279"/>
      <c r="CF866" s="279"/>
      <c r="CG866" s="279"/>
      <c r="CH866" s="279"/>
      <c r="CI866" s="279"/>
      <c r="CJ866" s="279"/>
      <c r="CK866" s="279"/>
      <c r="CL866" s="279"/>
      <c r="CM866" s="279"/>
      <c r="CN866" s="382"/>
    </row>
    <row r="867" x14ac:dyDescent="0.25">
      <c r="B867" s="361"/>
      <c r="C867" s="279"/>
      <c r="D867" s="280"/>
      <c r="E867" s="287"/>
      <c r="F867" s="287"/>
      <c r="G867" s="287"/>
      <c r="H867" s="1292">
        <f t="shared" si="36"/>
        <v>26</v>
      </c>
      <c r="I867" s="1295" t="str">
        <f>IF('I. Stream &amp; Compound Data'!AE287&lt;&gt;"",LOG10('I. Stream &amp; Compound Data'!AE287),"")</f>
        <v/>
      </c>
      <c r="J867" s="1295" t="str">
        <f>IF('I. Stream &amp; Compound Data'!AF287&lt;&gt;"",'I. Stream &amp; Compound Data'!AF287,"")</f>
        <v/>
      </c>
      <c r="K867" s="1295" t="str">
        <f>IF('I. Stream &amp; Compound Data'!AR287&lt;&gt;"",'I. Stream &amp; Compound Data'!AR287,IF('I. Stream &amp; Compound Data'!AS287&lt;&gt;"",'I. Stream &amp; Compound Data'!AS287,IF(AND(I867="",J867="",H867&lt;='I. Stream &amp; Compound Data'!$F$18),"N/A","")))</f>
        <v/>
      </c>
      <c r="L867" s="1306" t="str">
        <f>IF(H867&gt;'I. Stream &amp; Compound Data'!$F$18,"",IF(I867="","N/A",ROUND(IF(I867&lt;=2,0,IF(AND(I867&gt;2,I867&lt;4),0.5*(I867)-1,1)),3)))</f>
        <v/>
      </c>
      <c r="M867" s="1168" t="str">
        <f>IF(H867&gt;'I. Stream &amp; Compound Data'!$F$18,"",IF(L867="N/A",IF(J867="","N/A",ROUND(IF(J867&lt;=3,0,IF(AND(J867&gt;3,J867&lt;5),0.5*(J867)-1.5,1)),3)),"N/A"))</f>
        <v/>
      </c>
      <c r="N867" s="1242" t="str">
        <f>IF(H867&gt;'I. Stream &amp; Compound Data'!$F$18,"",IF(AND(L867="N/A",M867="N/A"),IF(K867="","N/A",IF(OR(K867=48,K867=53,K867=58),1,IF(K867=33,0.5,0))),"N/A"))</f>
        <v/>
      </c>
      <c r="O867" s="1242" t="str">
        <f>IF(H867&gt;'I. Stream &amp; Compound Data'!$F$18,"",IF(I167="","N/A",IF(L867&lt;&gt;"N/A",L867,IF(M867&lt;&gt;"N/A",M867,IF(N867&lt;&gt;"N/A",N867,"NO DATA AVAILABLE")))))</f>
        <v/>
      </c>
      <c r="P867" s="1242" t="str">
        <f>IF(H867&gt;'I. Stream &amp; Compound Data'!$F$18,"",IF(O867="N/A","",10^(2*O867)))</f>
        <v/>
      </c>
      <c r="Q867" s="1242" t="str">
        <f>'I. Stream &amp; Compound Data'!P287</f>
        <v/>
      </c>
      <c r="R867" s="1268" t="str">
        <f>IF(Q867="","",IF('I. Stream &amp; Compound Data'!E57="H2O",0,P867*Q867))</f>
        <v/>
      </c>
      <c r="S867" s="298"/>
      <c r="T867" s="298"/>
      <c r="U867" s="299"/>
      <c r="V867" s="279"/>
      <c r="W867" s="279"/>
      <c r="X867" s="279"/>
      <c r="Y867" s="279"/>
      <c r="Z867" s="279"/>
      <c r="AA867" s="279"/>
      <c r="AB867" s="279"/>
      <c r="AC867" s="279"/>
      <c r="AD867" s="279"/>
      <c r="AE867" s="279"/>
      <c r="AF867" s="279"/>
      <c r="AG867" s="279"/>
      <c r="AH867" s="279"/>
      <c r="AI867" s="279"/>
      <c r="AJ867" s="279"/>
      <c r="AK867" s="279"/>
      <c r="AL867" s="279"/>
      <c r="AM867" s="279"/>
      <c r="AN867" s="279"/>
      <c r="AO867" s="279"/>
      <c r="AP867" s="279"/>
      <c r="AQ867" s="279"/>
      <c r="AR867" s="279"/>
      <c r="AS867" s="279"/>
      <c r="AT867" s="279"/>
      <c r="AU867" s="279"/>
      <c r="AV867" s="279"/>
      <c r="AW867" s="279"/>
      <c r="AX867" s="279"/>
      <c r="AY867" s="279"/>
      <c r="AZ867" s="279"/>
      <c r="BA867" s="279"/>
      <c r="BB867" s="279"/>
      <c r="BC867" s="279"/>
      <c r="BD867" s="279"/>
      <c r="BE867" s="279"/>
      <c r="BF867" s="279"/>
      <c r="BG867" s="279"/>
      <c r="BH867" s="279"/>
      <c r="BI867" s="279"/>
      <c r="BJ867" s="279"/>
      <c r="BK867" s="279"/>
      <c r="BL867" s="279"/>
      <c r="BM867" s="279"/>
      <c r="BN867" s="279"/>
      <c r="BO867" s="279"/>
      <c r="BP867" s="279"/>
      <c r="BQ867" s="279"/>
      <c r="BR867" s="279"/>
      <c r="BS867" s="279"/>
      <c r="BT867" s="279"/>
      <c r="BU867" s="279"/>
      <c r="BV867" s="279"/>
      <c r="BW867" s="279"/>
      <c r="BX867" s="279"/>
      <c r="BY867" s="279"/>
      <c r="BZ867" s="279"/>
      <c r="CA867" s="279"/>
      <c r="CB867" s="279"/>
      <c r="CC867" s="279"/>
      <c r="CD867" s="279"/>
      <c r="CE867" s="279"/>
      <c r="CF867" s="279"/>
      <c r="CG867" s="279"/>
      <c r="CH867" s="279"/>
      <c r="CI867" s="279"/>
      <c r="CJ867" s="279"/>
      <c r="CK867" s="279"/>
      <c r="CL867" s="279"/>
      <c r="CM867" s="279"/>
      <c r="CN867" s="382"/>
    </row>
    <row r="868" x14ac:dyDescent="0.25">
      <c r="B868" s="361"/>
      <c r="C868" s="279"/>
      <c r="D868" s="280"/>
      <c r="E868" s="287"/>
      <c r="F868" s="287"/>
      <c r="G868" s="287"/>
      <c r="H868" s="1292">
        <f t="shared" si="36"/>
        <v>27</v>
      </c>
      <c r="I868" s="1295" t="str">
        <f>IF('I. Stream &amp; Compound Data'!AE288&lt;&gt;"",LOG10('I. Stream &amp; Compound Data'!AE288),"")</f>
        <v/>
      </c>
      <c r="J868" s="1295" t="str">
        <f>IF('I. Stream &amp; Compound Data'!AF288&lt;&gt;"",'I. Stream &amp; Compound Data'!AF288,"")</f>
        <v/>
      </c>
      <c r="K868" s="1295" t="str">
        <f>IF('I. Stream &amp; Compound Data'!AR288&lt;&gt;"",'I. Stream &amp; Compound Data'!AR288,IF('I. Stream &amp; Compound Data'!AS288&lt;&gt;"",'I. Stream &amp; Compound Data'!AS288,IF(AND(I868="",J868="",H868&lt;='I. Stream &amp; Compound Data'!$F$18),"N/A","")))</f>
        <v/>
      </c>
      <c r="L868" s="1306" t="str">
        <f>IF(H868&gt;'I. Stream &amp; Compound Data'!$F$18,"",IF(I868="","N/A",ROUND(IF(I868&lt;=2,0,IF(AND(I868&gt;2,I868&lt;4),0.5*(I868)-1,1)),3)))</f>
        <v/>
      </c>
      <c r="M868" s="1168" t="str">
        <f>IF(H868&gt;'I. Stream &amp; Compound Data'!$F$18,"",IF(L868="N/A",IF(J868="","N/A",ROUND(IF(J868&lt;=3,0,IF(AND(J868&gt;3,J868&lt;5),0.5*(J868)-1.5,1)),3)),"N/A"))</f>
        <v/>
      </c>
      <c r="N868" s="1242" t="str">
        <f>IF(H868&gt;'I. Stream &amp; Compound Data'!$F$18,"",IF(AND(L868="N/A",M868="N/A"),IF(K868="","N/A",IF(OR(K868=48,K868=53,K868=58),1,IF(K868=33,0.5,0))),"N/A"))</f>
        <v/>
      </c>
      <c r="O868" s="1242" t="str">
        <f>IF(H868&gt;'I. Stream &amp; Compound Data'!$F$18,"",IF(I168="","N/A",IF(L868&lt;&gt;"N/A",L868,IF(M868&lt;&gt;"N/A",M868,IF(N868&lt;&gt;"N/A",N868,"NO DATA AVAILABLE")))))</f>
        <v/>
      </c>
      <c r="P868" s="1242" t="str">
        <f>IF(H868&gt;'I. Stream &amp; Compound Data'!$F$18,"",IF(O868="N/A","",10^(2*O868)))</f>
        <v/>
      </c>
      <c r="Q868" s="1242" t="str">
        <f>'I. Stream &amp; Compound Data'!P288</f>
        <v/>
      </c>
      <c r="R868" s="1268" t="str">
        <f>IF(Q868="","",IF('I. Stream &amp; Compound Data'!E58="H2O",0,P868*Q868))</f>
        <v/>
      </c>
      <c r="S868" s="298"/>
      <c r="T868" s="298"/>
      <c r="U868" s="299"/>
      <c r="V868" s="279"/>
      <c r="W868" s="279"/>
      <c r="X868" s="279"/>
      <c r="Y868" s="279"/>
      <c r="Z868" s="279"/>
      <c r="AA868" s="279"/>
      <c r="AB868" s="279"/>
      <c r="AC868" s="279"/>
      <c r="AD868" s="279"/>
      <c r="AE868" s="279"/>
      <c r="AF868" s="279"/>
      <c r="AG868" s="279"/>
      <c r="AH868" s="279"/>
      <c r="AI868" s="279"/>
      <c r="AJ868" s="279"/>
      <c r="AK868" s="279"/>
      <c r="AL868" s="279"/>
      <c r="AM868" s="279"/>
      <c r="AN868" s="279"/>
      <c r="AO868" s="279"/>
      <c r="AP868" s="279"/>
      <c r="AQ868" s="279"/>
      <c r="AR868" s="279"/>
      <c r="AS868" s="279"/>
      <c r="AT868" s="279"/>
      <c r="AU868" s="279"/>
      <c r="AV868" s="279"/>
      <c r="AW868" s="279"/>
      <c r="AX868" s="279"/>
      <c r="AY868" s="279"/>
      <c r="AZ868" s="279"/>
      <c r="BA868" s="279"/>
      <c r="BB868" s="279"/>
      <c r="BC868" s="279"/>
      <c r="BD868" s="279"/>
      <c r="BE868" s="279"/>
      <c r="BF868" s="279"/>
      <c r="BG868" s="279"/>
      <c r="BH868" s="279"/>
      <c r="BI868" s="279"/>
      <c r="BJ868" s="279"/>
      <c r="BK868" s="279"/>
      <c r="BL868" s="279"/>
      <c r="BM868" s="279"/>
      <c r="BN868" s="279"/>
      <c r="BO868" s="279"/>
      <c r="BP868" s="279"/>
      <c r="BQ868" s="279"/>
      <c r="BR868" s="279"/>
      <c r="BS868" s="279"/>
      <c r="BT868" s="279"/>
      <c r="BU868" s="279"/>
      <c r="BV868" s="279"/>
      <c r="BW868" s="279"/>
      <c r="BX868" s="279"/>
      <c r="BY868" s="279"/>
      <c r="BZ868" s="279"/>
      <c r="CA868" s="279"/>
      <c r="CB868" s="279"/>
      <c r="CC868" s="279"/>
      <c r="CD868" s="279"/>
      <c r="CE868" s="279"/>
      <c r="CF868" s="279"/>
      <c r="CG868" s="279"/>
      <c r="CH868" s="279"/>
      <c r="CI868" s="279"/>
      <c r="CJ868" s="279"/>
      <c r="CK868" s="279"/>
      <c r="CL868" s="279"/>
      <c r="CM868" s="279"/>
      <c r="CN868" s="382"/>
    </row>
    <row r="869" x14ac:dyDescent="0.25">
      <c r="B869" s="361"/>
      <c r="C869" s="279"/>
      <c r="D869" s="280"/>
      <c r="E869" s="287"/>
      <c r="F869" s="287"/>
      <c r="G869" s="287"/>
      <c r="H869" s="1292">
        <f t="shared" si="36"/>
        <v>28</v>
      </c>
      <c r="I869" s="1295" t="str">
        <f>IF('I. Stream &amp; Compound Data'!AE289&lt;&gt;"",LOG10('I. Stream &amp; Compound Data'!AE289),"")</f>
        <v/>
      </c>
      <c r="J869" s="1295" t="str">
        <f>IF('I. Stream &amp; Compound Data'!AF289&lt;&gt;"",'I. Stream &amp; Compound Data'!AF289,"")</f>
        <v/>
      </c>
      <c r="K869" s="1295" t="str">
        <f>IF('I. Stream &amp; Compound Data'!AR289&lt;&gt;"",'I. Stream &amp; Compound Data'!AR289,IF('I. Stream &amp; Compound Data'!AS289&lt;&gt;"",'I. Stream &amp; Compound Data'!AS289,IF(AND(I869="",J869="",H869&lt;='I. Stream &amp; Compound Data'!$F$18),"N/A","")))</f>
        <v/>
      </c>
      <c r="L869" s="1306" t="str">
        <f>IF(H869&gt;'I. Stream &amp; Compound Data'!$F$18,"",IF(I869="","N/A",ROUND(IF(I869&lt;=2,0,IF(AND(I869&gt;2,I869&lt;4),0.5*(I869)-1,1)),3)))</f>
        <v/>
      </c>
      <c r="M869" s="1168" t="str">
        <f>IF(H869&gt;'I. Stream &amp; Compound Data'!$F$18,"",IF(L869="N/A",IF(J869="","N/A",ROUND(IF(J869&lt;=3,0,IF(AND(J869&gt;3,J869&lt;5),0.5*(J869)-1.5,1)),3)),"N/A"))</f>
        <v/>
      </c>
      <c r="N869" s="1242" t="str">
        <f>IF(H869&gt;'I. Stream &amp; Compound Data'!$F$18,"",IF(AND(L869="N/A",M869="N/A"),IF(K869="","N/A",IF(OR(K869=48,K869=53,K869=58),1,IF(K869=33,0.5,0))),"N/A"))</f>
        <v/>
      </c>
      <c r="O869" s="1242" t="str">
        <f>IF(H869&gt;'I. Stream &amp; Compound Data'!$F$18,"",IF(I169="","N/A",IF(L869&lt;&gt;"N/A",L869,IF(M869&lt;&gt;"N/A",M869,IF(N869&lt;&gt;"N/A",N869,"NO DATA AVAILABLE")))))</f>
        <v/>
      </c>
      <c r="P869" s="1242" t="str">
        <f>IF(H869&gt;'I. Stream &amp; Compound Data'!$F$18,"",IF(O869="N/A","",10^(2*O869)))</f>
        <v/>
      </c>
      <c r="Q869" s="1242" t="str">
        <f>'I. Stream &amp; Compound Data'!P289</f>
        <v/>
      </c>
      <c r="R869" s="1268" t="str">
        <f>IF(Q869="","",IF('I. Stream &amp; Compound Data'!E59="H2O",0,P869*Q869))</f>
        <v/>
      </c>
      <c r="S869" s="298"/>
      <c r="T869" s="298"/>
      <c r="U869" s="299"/>
      <c r="V869" s="279"/>
      <c r="W869" s="279"/>
      <c r="X869" s="279"/>
      <c r="Y869" s="279"/>
      <c r="Z869" s="279"/>
      <c r="AA869" s="279"/>
      <c r="AB869" s="279"/>
      <c r="AC869" s="279"/>
      <c r="AD869" s="279"/>
      <c r="AE869" s="279"/>
      <c r="AF869" s="279"/>
      <c r="AG869" s="279"/>
      <c r="AH869" s="279"/>
      <c r="AI869" s="279"/>
      <c r="AJ869" s="279"/>
      <c r="AK869" s="279"/>
      <c r="AL869" s="279"/>
      <c r="AM869" s="279"/>
      <c r="AN869" s="279"/>
      <c r="AO869" s="279"/>
      <c r="AP869" s="279"/>
      <c r="AQ869" s="279"/>
      <c r="AR869" s="279"/>
      <c r="AS869" s="279"/>
      <c r="AT869" s="279"/>
      <c r="AU869" s="279"/>
      <c r="AV869" s="279"/>
      <c r="AW869" s="279"/>
      <c r="AX869" s="279"/>
      <c r="AY869" s="279"/>
      <c r="AZ869" s="279"/>
      <c r="BA869" s="279"/>
      <c r="BB869" s="279"/>
      <c r="BC869" s="279"/>
      <c r="BD869" s="279"/>
      <c r="BE869" s="279"/>
      <c r="BF869" s="279"/>
      <c r="BG869" s="279"/>
      <c r="BH869" s="279"/>
      <c r="BI869" s="279"/>
      <c r="BJ869" s="279"/>
      <c r="BK869" s="279"/>
      <c r="BL869" s="279"/>
      <c r="BM869" s="279"/>
      <c r="BN869" s="279"/>
      <c r="BO869" s="279"/>
      <c r="BP869" s="279"/>
      <c r="BQ869" s="279"/>
      <c r="BR869" s="279"/>
      <c r="BS869" s="279"/>
      <c r="BT869" s="279"/>
      <c r="BU869" s="279"/>
      <c r="BV869" s="279"/>
      <c r="BW869" s="279"/>
      <c r="BX869" s="279"/>
      <c r="BY869" s="279"/>
      <c r="BZ869" s="279"/>
      <c r="CA869" s="279"/>
      <c r="CB869" s="279"/>
      <c r="CC869" s="279"/>
      <c r="CD869" s="279"/>
      <c r="CE869" s="279"/>
      <c r="CF869" s="279"/>
      <c r="CG869" s="279"/>
      <c r="CH869" s="279"/>
      <c r="CI869" s="279"/>
      <c r="CJ869" s="279"/>
      <c r="CK869" s="279"/>
      <c r="CL869" s="279"/>
      <c r="CM869" s="279"/>
      <c r="CN869" s="382"/>
    </row>
    <row r="870" x14ac:dyDescent="0.25">
      <c r="B870" s="361"/>
      <c r="C870" s="279"/>
      <c r="D870" s="280"/>
      <c r="E870" s="287"/>
      <c r="F870" s="287"/>
      <c r="G870" s="287"/>
      <c r="H870" s="1292">
        <f t="shared" si="36"/>
        <v>29</v>
      </c>
      <c r="I870" s="1295" t="str">
        <f>IF('I. Stream &amp; Compound Data'!AE290&lt;&gt;"",LOG10('I. Stream &amp; Compound Data'!AE290),"")</f>
        <v/>
      </c>
      <c r="J870" s="1295" t="str">
        <f>IF('I. Stream &amp; Compound Data'!AF290&lt;&gt;"",'I. Stream &amp; Compound Data'!AF290,"")</f>
        <v/>
      </c>
      <c r="K870" s="1295" t="str">
        <f>IF('I. Stream &amp; Compound Data'!AR290&lt;&gt;"",'I. Stream &amp; Compound Data'!AR290,IF('I. Stream &amp; Compound Data'!AS290&lt;&gt;"",'I. Stream &amp; Compound Data'!AS290,IF(AND(I870="",J870="",H870&lt;='I. Stream &amp; Compound Data'!$F$18),"N/A","")))</f>
        <v/>
      </c>
      <c r="L870" s="1306" t="str">
        <f>IF(H870&gt;'I. Stream &amp; Compound Data'!$F$18,"",IF(I870="","N/A",ROUND(IF(I870&lt;=2,0,IF(AND(I870&gt;2,I870&lt;4),0.5*(I870)-1,1)),3)))</f>
        <v/>
      </c>
      <c r="M870" s="1168" t="str">
        <f>IF(H870&gt;'I. Stream &amp; Compound Data'!$F$18,"",IF(L870="N/A",IF(J870="","N/A",ROUND(IF(J870&lt;=3,0,IF(AND(J870&gt;3,J870&lt;5),0.5*(J870)-1.5,1)),3)),"N/A"))</f>
        <v/>
      </c>
      <c r="N870" s="1242" t="str">
        <f>IF(H870&gt;'I. Stream &amp; Compound Data'!$F$18,"",IF(AND(L870="N/A",M870="N/A"),IF(K870="","N/A",IF(OR(K870=48,K870=53,K870=58),1,IF(K870=33,0.5,0))),"N/A"))</f>
        <v/>
      </c>
      <c r="O870" s="1242" t="str">
        <f>IF(H870&gt;'I. Stream &amp; Compound Data'!$F$18,"",IF(I170="","N/A",IF(L870&lt;&gt;"N/A",L870,IF(M870&lt;&gt;"N/A",M870,IF(N870&lt;&gt;"N/A",N870,"NO DATA AVAILABLE")))))</f>
        <v/>
      </c>
      <c r="P870" s="1242" t="str">
        <f>IF(H870&gt;'I. Stream &amp; Compound Data'!$F$18,"",IF(O870="N/A","",10^(2*O870)))</f>
        <v/>
      </c>
      <c r="Q870" s="1242" t="str">
        <f>'I. Stream &amp; Compound Data'!P290</f>
        <v/>
      </c>
      <c r="R870" s="1268" t="str">
        <f>IF(Q870="","",IF('I. Stream &amp; Compound Data'!E60="H2O",0,P870*Q870))</f>
        <v/>
      </c>
      <c r="S870" s="298"/>
      <c r="T870" s="298"/>
      <c r="U870" s="299"/>
      <c r="V870" s="279"/>
      <c r="W870" s="279"/>
      <c r="X870" s="279"/>
      <c r="Y870" s="279"/>
      <c r="Z870" s="279"/>
      <c r="AA870" s="279"/>
      <c r="AB870" s="279"/>
      <c r="AC870" s="279"/>
      <c r="AD870" s="279"/>
      <c r="AE870" s="279"/>
      <c r="AF870" s="279"/>
      <c r="AG870" s="279"/>
      <c r="AH870" s="279"/>
      <c r="AI870" s="279"/>
      <c r="AJ870" s="279"/>
      <c r="AK870" s="279"/>
      <c r="AL870" s="279"/>
      <c r="AM870" s="279"/>
      <c r="AN870" s="279"/>
      <c r="AO870" s="279"/>
      <c r="AP870" s="279"/>
      <c r="AQ870" s="279"/>
      <c r="AR870" s="279"/>
      <c r="AS870" s="279"/>
      <c r="AT870" s="279"/>
      <c r="AU870" s="279"/>
      <c r="AV870" s="279"/>
      <c r="AW870" s="279"/>
      <c r="AX870" s="279"/>
      <c r="AY870" s="279"/>
      <c r="AZ870" s="279"/>
      <c r="BA870" s="279"/>
      <c r="BB870" s="279"/>
      <c r="BC870" s="279"/>
      <c r="BD870" s="279"/>
      <c r="BE870" s="279"/>
      <c r="BF870" s="279"/>
      <c r="BG870" s="279"/>
      <c r="BH870" s="279"/>
      <c r="BI870" s="279"/>
      <c r="BJ870" s="279"/>
      <c r="BK870" s="279"/>
      <c r="BL870" s="279"/>
      <c r="BM870" s="279"/>
      <c r="BN870" s="279"/>
      <c r="BO870" s="279"/>
      <c r="BP870" s="279"/>
      <c r="BQ870" s="279"/>
      <c r="BR870" s="279"/>
      <c r="BS870" s="279"/>
      <c r="BT870" s="279"/>
      <c r="BU870" s="279"/>
      <c r="BV870" s="279"/>
      <c r="BW870" s="279"/>
      <c r="BX870" s="279"/>
      <c r="BY870" s="279"/>
      <c r="BZ870" s="279"/>
      <c r="CA870" s="279"/>
      <c r="CB870" s="279"/>
      <c r="CC870" s="279"/>
      <c r="CD870" s="279"/>
      <c r="CE870" s="279"/>
      <c r="CF870" s="279"/>
      <c r="CG870" s="279"/>
      <c r="CH870" s="279"/>
      <c r="CI870" s="279"/>
      <c r="CJ870" s="279"/>
      <c r="CK870" s="279"/>
      <c r="CL870" s="279"/>
      <c r="CM870" s="279"/>
      <c r="CN870" s="382"/>
    </row>
    <row r="871" x14ac:dyDescent="0.25">
      <c r="B871" s="361"/>
      <c r="C871" s="279"/>
      <c r="D871" s="280"/>
      <c r="E871" s="287"/>
      <c r="F871" s="287"/>
      <c r="G871" s="287"/>
      <c r="H871" s="1292">
        <f t="shared" si="36"/>
        <v>30</v>
      </c>
      <c r="I871" s="1295" t="str">
        <f>IF('I. Stream &amp; Compound Data'!AE291&lt;&gt;"",LOG10('I. Stream &amp; Compound Data'!AE291),"")</f>
        <v/>
      </c>
      <c r="J871" s="1295" t="str">
        <f>IF('I. Stream &amp; Compound Data'!AF291&lt;&gt;"",'I. Stream &amp; Compound Data'!AF291,"")</f>
        <v/>
      </c>
      <c r="K871" s="1295" t="str">
        <f>IF('I. Stream &amp; Compound Data'!AR291&lt;&gt;"",'I. Stream &amp; Compound Data'!AR291,IF('I. Stream &amp; Compound Data'!AS291&lt;&gt;"",'I. Stream &amp; Compound Data'!AS291,IF(AND(I871="",J871="",H871&lt;='I. Stream &amp; Compound Data'!$F$18),"N/A","")))</f>
        <v/>
      </c>
      <c r="L871" s="1306" t="str">
        <f>IF(H871&gt;'I. Stream &amp; Compound Data'!$F$18,"",IF(I871="","N/A",ROUND(IF(I871&lt;=2,0,IF(AND(I871&gt;2,I871&lt;4),0.5*(I871)-1,1)),3)))</f>
        <v/>
      </c>
      <c r="M871" s="1168" t="str">
        <f>IF(H871&gt;'I. Stream &amp; Compound Data'!$F$18,"",IF(L871="N/A",IF(J871="","N/A",ROUND(IF(J871&lt;=3,0,IF(AND(J871&gt;3,J871&lt;5),0.5*(J871)-1.5,1)),3)),"N/A"))</f>
        <v/>
      </c>
      <c r="N871" s="1242" t="str">
        <f>IF(H871&gt;'I. Stream &amp; Compound Data'!$F$18,"",IF(AND(L871="N/A",M871="N/A"),IF(K871="","N/A",IF(OR(K871=48,K871=53,K871=58),1,IF(K871=33,0.5,0))),"N/A"))</f>
        <v/>
      </c>
      <c r="O871" s="1242" t="str">
        <f>IF(H871&gt;'I. Stream &amp; Compound Data'!$F$18,"",IF(I171="","N/A",IF(L871&lt;&gt;"N/A",L871,IF(M871&lt;&gt;"N/A",M871,IF(N871&lt;&gt;"N/A",N871,"NO DATA AVAILABLE")))))</f>
        <v/>
      </c>
      <c r="P871" s="1242" t="str">
        <f>IF(H871&gt;'I. Stream &amp; Compound Data'!$F$18,"",IF(O871="N/A","",10^(2*O871)))</f>
        <v/>
      </c>
      <c r="Q871" s="1242" t="str">
        <f>'I. Stream &amp; Compound Data'!P291</f>
        <v/>
      </c>
      <c r="R871" s="1268" t="str">
        <f>IF(Q871="","",IF('I. Stream &amp; Compound Data'!E61="H2O",0,P871*Q871))</f>
        <v/>
      </c>
      <c r="S871" s="298"/>
      <c r="T871" s="298"/>
      <c r="U871" s="299"/>
      <c r="V871" s="279"/>
      <c r="W871" s="279"/>
      <c r="X871" s="279"/>
      <c r="Y871" s="279"/>
      <c r="Z871" s="279"/>
      <c r="AA871" s="279"/>
      <c r="AB871" s="279"/>
      <c r="AC871" s="279"/>
      <c r="AD871" s="279"/>
      <c r="AE871" s="279"/>
      <c r="AF871" s="279"/>
      <c r="AG871" s="279"/>
      <c r="AH871" s="279"/>
      <c r="AI871" s="279"/>
      <c r="AJ871" s="279"/>
      <c r="AK871" s="279"/>
      <c r="AL871" s="279"/>
      <c r="AM871" s="279"/>
      <c r="AN871" s="279"/>
      <c r="AO871" s="279"/>
      <c r="AP871" s="279"/>
      <c r="AQ871" s="279"/>
      <c r="AR871" s="279"/>
      <c r="AS871" s="279"/>
      <c r="AT871" s="279"/>
      <c r="AU871" s="279"/>
      <c r="AV871" s="279"/>
      <c r="AW871" s="279"/>
      <c r="AX871" s="279"/>
      <c r="AY871" s="279"/>
      <c r="AZ871" s="279"/>
      <c r="BA871" s="279"/>
      <c r="BB871" s="279"/>
      <c r="BC871" s="279"/>
      <c r="BD871" s="279"/>
      <c r="BE871" s="279"/>
      <c r="BF871" s="279"/>
      <c r="BG871" s="279"/>
      <c r="BH871" s="279"/>
      <c r="BI871" s="279"/>
      <c r="BJ871" s="279"/>
      <c r="BK871" s="279"/>
      <c r="BL871" s="279"/>
      <c r="BM871" s="279"/>
      <c r="BN871" s="279"/>
      <c r="BO871" s="279"/>
      <c r="BP871" s="279"/>
      <c r="BQ871" s="279"/>
      <c r="BR871" s="279"/>
      <c r="BS871" s="279"/>
      <c r="BT871" s="279"/>
      <c r="BU871" s="279"/>
      <c r="BV871" s="279"/>
      <c r="BW871" s="279"/>
      <c r="BX871" s="279"/>
      <c r="BY871" s="279"/>
      <c r="BZ871" s="279"/>
      <c r="CA871" s="279"/>
      <c r="CB871" s="279"/>
      <c r="CC871" s="279"/>
      <c r="CD871" s="279"/>
      <c r="CE871" s="279"/>
      <c r="CF871" s="279"/>
      <c r="CG871" s="279"/>
      <c r="CH871" s="279"/>
      <c r="CI871" s="279"/>
      <c r="CJ871" s="279"/>
      <c r="CK871" s="279"/>
      <c r="CL871" s="279"/>
      <c r="CM871" s="279"/>
      <c r="CN871" s="382"/>
    </row>
    <row r="872" x14ac:dyDescent="0.25">
      <c r="B872" s="361"/>
      <c r="C872" s="279"/>
      <c r="D872" s="280"/>
      <c r="E872" s="287"/>
      <c r="F872" s="287"/>
      <c r="G872" s="287"/>
      <c r="H872" s="1292">
        <f t="shared" si="36"/>
        <v>31</v>
      </c>
      <c r="I872" s="1295" t="str">
        <f>IF('I. Stream &amp; Compound Data'!AE292&lt;&gt;"",LOG10('I. Stream &amp; Compound Data'!AE292),"")</f>
        <v/>
      </c>
      <c r="J872" s="1295" t="str">
        <f>IF('I. Stream &amp; Compound Data'!AF292&lt;&gt;"",'I. Stream &amp; Compound Data'!AF292,"")</f>
        <v/>
      </c>
      <c r="K872" s="1295" t="str">
        <f>IF('I. Stream &amp; Compound Data'!AR292&lt;&gt;"",'I. Stream &amp; Compound Data'!AR292,IF('I. Stream &amp; Compound Data'!AS292&lt;&gt;"",'I. Stream &amp; Compound Data'!AS292,IF(AND(I872="",J872="",H872&lt;='I. Stream &amp; Compound Data'!$F$18),"N/A","")))</f>
        <v/>
      </c>
      <c r="L872" s="1306" t="str">
        <f>IF(H872&gt;'I. Stream &amp; Compound Data'!$F$18,"",IF(I872="","N/A",ROUND(IF(I872&lt;=2,0,IF(AND(I872&gt;2,I872&lt;4),0.5*(I872)-1,1)),3)))</f>
        <v/>
      </c>
      <c r="M872" s="1168" t="str">
        <f>IF(H872&gt;'I. Stream &amp; Compound Data'!$F$18,"",IF(L872="N/A",IF(J872="","N/A",ROUND(IF(J872&lt;=3,0,IF(AND(J872&gt;3,J872&lt;5),0.5*(J872)-1.5,1)),3)),"N/A"))</f>
        <v/>
      </c>
      <c r="N872" s="1242" t="str">
        <f>IF(H872&gt;'I. Stream &amp; Compound Data'!$F$18,"",IF(AND(L872="N/A",M872="N/A"),IF(K872="","N/A",IF(OR(K872=48,K872=53,K872=58),1,IF(K872=33,0.5,0))),"N/A"))</f>
        <v/>
      </c>
      <c r="O872" s="1242" t="str">
        <f>IF(H872&gt;'I. Stream &amp; Compound Data'!$F$18,"",IF(I172="","N/A",IF(L872&lt;&gt;"N/A",L872,IF(M872&lt;&gt;"N/A",M872,IF(N872&lt;&gt;"N/A",N872,"NO DATA AVAILABLE")))))</f>
        <v/>
      </c>
      <c r="P872" s="1242" t="str">
        <f>IF(H872&gt;'I. Stream &amp; Compound Data'!$F$18,"",IF(O872="N/A","",10^(2*O872)))</f>
        <v/>
      </c>
      <c r="Q872" s="1242" t="str">
        <f>'I. Stream &amp; Compound Data'!P292</f>
        <v/>
      </c>
      <c r="R872" s="1268" t="str">
        <f>IF(Q872="","",IF('I. Stream &amp; Compound Data'!E62="H2O",0,P872*Q872))</f>
        <v/>
      </c>
      <c r="S872" s="298"/>
      <c r="T872" s="298"/>
      <c r="U872" s="299"/>
      <c r="V872" s="279"/>
      <c r="W872" s="279"/>
      <c r="X872" s="279"/>
      <c r="Y872" s="279"/>
      <c r="Z872" s="279"/>
      <c r="AA872" s="279"/>
      <c r="AB872" s="279"/>
      <c r="AC872" s="279"/>
      <c r="AD872" s="279"/>
      <c r="AE872" s="279"/>
      <c r="AF872" s="279"/>
      <c r="AG872" s="279"/>
      <c r="AH872" s="279"/>
      <c r="AI872" s="279"/>
      <c r="AJ872" s="279"/>
      <c r="AK872" s="279"/>
      <c r="AL872" s="279"/>
      <c r="AM872" s="279"/>
      <c r="AN872" s="279"/>
      <c r="AO872" s="279"/>
      <c r="AP872" s="279"/>
      <c r="AQ872" s="279"/>
      <c r="AR872" s="279"/>
      <c r="AS872" s="279"/>
      <c r="AT872" s="279"/>
      <c r="AU872" s="279"/>
      <c r="AV872" s="279"/>
      <c r="AW872" s="279"/>
      <c r="AX872" s="279"/>
      <c r="AY872" s="279"/>
      <c r="AZ872" s="279"/>
      <c r="BA872" s="279"/>
      <c r="BB872" s="279"/>
      <c r="BC872" s="279"/>
      <c r="BD872" s="279"/>
      <c r="BE872" s="279"/>
      <c r="BF872" s="279"/>
      <c r="BG872" s="279"/>
      <c r="BH872" s="279"/>
      <c r="BI872" s="279"/>
      <c r="BJ872" s="279"/>
      <c r="BK872" s="279"/>
      <c r="BL872" s="279"/>
      <c r="BM872" s="279"/>
      <c r="BN872" s="279"/>
      <c r="BO872" s="279"/>
      <c r="BP872" s="279"/>
      <c r="BQ872" s="279"/>
      <c r="BR872" s="279"/>
      <c r="BS872" s="279"/>
      <c r="BT872" s="279"/>
      <c r="BU872" s="279"/>
      <c r="BV872" s="279"/>
      <c r="BW872" s="279"/>
      <c r="BX872" s="279"/>
      <c r="BY872" s="279"/>
      <c r="BZ872" s="279"/>
      <c r="CA872" s="279"/>
      <c r="CB872" s="279"/>
      <c r="CC872" s="279"/>
      <c r="CD872" s="279"/>
      <c r="CE872" s="279"/>
      <c r="CF872" s="279"/>
      <c r="CG872" s="279"/>
      <c r="CH872" s="279"/>
      <c r="CI872" s="279"/>
      <c r="CJ872" s="279"/>
      <c r="CK872" s="279"/>
      <c r="CL872" s="279"/>
      <c r="CM872" s="279"/>
      <c r="CN872" s="382"/>
    </row>
    <row r="873" x14ac:dyDescent="0.25">
      <c r="B873" s="361"/>
      <c r="C873" s="279"/>
      <c r="D873" s="280"/>
      <c r="E873" s="287"/>
      <c r="F873" s="287"/>
      <c r="G873" s="287"/>
      <c r="H873" s="1292">
        <f t="shared" si="36"/>
        <v>32</v>
      </c>
      <c r="I873" s="1295" t="str">
        <f>IF('I. Stream &amp; Compound Data'!AE293&lt;&gt;"",LOG10('I. Stream &amp; Compound Data'!AE293),"")</f>
        <v/>
      </c>
      <c r="J873" s="1295" t="str">
        <f>IF('I. Stream &amp; Compound Data'!AF293&lt;&gt;"",'I. Stream &amp; Compound Data'!AF293,"")</f>
        <v/>
      </c>
      <c r="K873" s="1295" t="str">
        <f>IF('I. Stream &amp; Compound Data'!AR293&lt;&gt;"",'I. Stream &amp; Compound Data'!AR293,IF('I. Stream &amp; Compound Data'!AS293&lt;&gt;"",'I. Stream &amp; Compound Data'!AS293,IF(AND(I873="",J873="",H873&lt;='I. Stream &amp; Compound Data'!$F$18),"N/A","")))</f>
        <v/>
      </c>
      <c r="L873" s="1306" t="str">
        <f>IF(H873&gt;'I. Stream &amp; Compound Data'!$F$18,"",IF(I873="","N/A",ROUND(IF(I873&lt;=2,0,IF(AND(I873&gt;2,I873&lt;4),0.5*(I873)-1,1)),3)))</f>
        <v/>
      </c>
      <c r="M873" s="1168" t="str">
        <f>IF(H873&gt;'I. Stream &amp; Compound Data'!$F$18,"",IF(L873="N/A",IF(J873="","N/A",ROUND(IF(J873&lt;=3,0,IF(AND(J873&gt;3,J873&lt;5),0.5*(J873)-1.5,1)),3)),"N/A"))</f>
        <v/>
      </c>
      <c r="N873" s="1242" t="str">
        <f>IF(H873&gt;'I. Stream &amp; Compound Data'!$F$18,"",IF(AND(L873="N/A",M873="N/A"),IF(K873="","N/A",IF(OR(K873=48,K873=53,K873=58),1,IF(K873=33,0.5,0))),"N/A"))</f>
        <v/>
      </c>
      <c r="O873" s="1242" t="str">
        <f>IF(H873&gt;'I. Stream &amp; Compound Data'!$F$18,"",IF(I173="","N/A",IF(L873&lt;&gt;"N/A",L873,IF(M873&lt;&gt;"N/A",M873,IF(N873&lt;&gt;"N/A",N873,"NO DATA AVAILABLE")))))</f>
        <v/>
      </c>
      <c r="P873" s="1242" t="str">
        <f>IF(H873&gt;'I. Stream &amp; Compound Data'!$F$18,"",IF(O873="N/A","",10^(2*O873)))</f>
        <v/>
      </c>
      <c r="Q873" s="1242" t="str">
        <f>'I. Stream &amp; Compound Data'!P293</f>
        <v/>
      </c>
      <c r="R873" s="1268" t="str">
        <f>IF(Q873="","",IF('I. Stream &amp; Compound Data'!E63="H2O",0,P873*Q873))</f>
        <v/>
      </c>
      <c r="S873" s="298"/>
      <c r="T873" s="298"/>
      <c r="U873" s="299"/>
      <c r="V873" s="279"/>
      <c r="W873" s="279"/>
      <c r="X873" s="279"/>
      <c r="Y873" s="279"/>
      <c r="Z873" s="279"/>
      <c r="AA873" s="279"/>
      <c r="AB873" s="279"/>
      <c r="AC873" s="279"/>
      <c r="AD873" s="279"/>
      <c r="AE873" s="279"/>
      <c r="AF873" s="279"/>
      <c r="AG873" s="279"/>
      <c r="AH873" s="279"/>
      <c r="AI873" s="279"/>
      <c r="AJ873" s="279"/>
      <c r="AK873" s="279"/>
      <c r="AL873" s="279"/>
      <c r="AM873" s="279"/>
      <c r="AN873" s="279"/>
      <c r="AO873" s="279"/>
      <c r="AP873" s="279"/>
      <c r="AQ873" s="279"/>
      <c r="AR873" s="279"/>
      <c r="AS873" s="279"/>
      <c r="AT873" s="279"/>
      <c r="AU873" s="279"/>
      <c r="AV873" s="279"/>
      <c r="AW873" s="279"/>
      <c r="AX873" s="279"/>
      <c r="AY873" s="279"/>
      <c r="AZ873" s="279"/>
      <c r="BA873" s="279"/>
      <c r="BB873" s="279"/>
      <c r="BC873" s="279"/>
      <c r="BD873" s="279"/>
      <c r="BE873" s="279"/>
      <c r="BF873" s="279"/>
      <c r="BG873" s="279"/>
      <c r="BH873" s="279"/>
      <c r="BI873" s="279"/>
      <c r="BJ873" s="279"/>
      <c r="BK873" s="279"/>
      <c r="BL873" s="279"/>
      <c r="BM873" s="279"/>
      <c r="BN873" s="279"/>
      <c r="BO873" s="279"/>
      <c r="BP873" s="279"/>
      <c r="BQ873" s="279"/>
      <c r="BR873" s="279"/>
      <c r="BS873" s="279"/>
      <c r="BT873" s="279"/>
      <c r="BU873" s="279"/>
      <c r="BV873" s="279"/>
      <c r="BW873" s="279"/>
      <c r="BX873" s="279"/>
      <c r="BY873" s="279"/>
      <c r="BZ873" s="279"/>
      <c r="CA873" s="279"/>
      <c r="CB873" s="279"/>
      <c r="CC873" s="279"/>
      <c r="CD873" s="279"/>
      <c r="CE873" s="279"/>
      <c r="CF873" s="279"/>
      <c r="CG873" s="279"/>
      <c r="CH873" s="279"/>
      <c r="CI873" s="279"/>
      <c r="CJ873" s="279"/>
      <c r="CK873" s="279"/>
      <c r="CL873" s="279"/>
      <c r="CM873" s="279"/>
      <c r="CN873" s="382"/>
    </row>
    <row r="874" x14ac:dyDescent="0.25">
      <c r="B874" s="361"/>
      <c r="C874" s="279"/>
      <c r="D874" s="280"/>
      <c r="E874" s="287"/>
      <c r="F874" s="287"/>
      <c r="G874" s="287"/>
      <c r="H874" s="1292">
        <f t="shared" si="36"/>
        <v>33</v>
      </c>
      <c r="I874" s="1295" t="str">
        <f>IF('I. Stream &amp; Compound Data'!AE294&lt;&gt;"",LOG10('I. Stream &amp; Compound Data'!AE294),"")</f>
        <v/>
      </c>
      <c r="J874" s="1295" t="str">
        <f>IF('I. Stream &amp; Compound Data'!AF294&lt;&gt;"",'I. Stream &amp; Compound Data'!AF294,"")</f>
        <v/>
      </c>
      <c r="K874" s="1295" t="str">
        <f>IF('I. Stream &amp; Compound Data'!AR294&lt;&gt;"",'I. Stream &amp; Compound Data'!AR294,IF('I. Stream &amp; Compound Data'!AS294&lt;&gt;"",'I. Stream &amp; Compound Data'!AS294,IF(AND(I874="",J874="",H874&lt;='I. Stream &amp; Compound Data'!$F$18),"N/A","")))</f>
        <v/>
      </c>
      <c r="L874" s="1306" t="str">
        <f>IF(H874&gt;'I. Stream &amp; Compound Data'!$F$18,"",IF(I874="","N/A",ROUND(IF(I874&lt;=2,0,IF(AND(I874&gt;2,I874&lt;4),0.5*(I874)-1,1)),3)))</f>
        <v/>
      </c>
      <c r="M874" s="1168" t="str">
        <f>IF(H874&gt;'I. Stream &amp; Compound Data'!$F$18,"",IF(L874="N/A",IF(J874="","N/A",ROUND(IF(J874&lt;=3,0,IF(AND(J874&gt;3,J874&lt;5),0.5*(J874)-1.5,1)),3)),"N/A"))</f>
        <v/>
      </c>
      <c r="N874" s="1242" t="str">
        <f>IF(H874&gt;'I. Stream &amp; Compound Data'!$F$18,"",IF(AND(L874="N/A",M874="N/A"),IF(K874="","N/A",IF(OR(K874=48,K874=53,K874=58),1,IF(K874=33,0.5,0))),"N/A"))</f>
        <v/>
      </c>
      <c r="O874" s="1242" t="str">
        <f>IF(H874&gt;'I. Stream &amp; Compound Data'!$F$18,"",IF(I174="","N/A",IF(L874&lt;&gt;"N/A",L874,IF(M874&lt;&gt;"N/A",M874,IF(N874&lt;&gt;"N/A",N874,"NO DATA AVAILABLE")))))</f>
        <v/>
      </c>
      <c r="P874" s="1242" t="str">
        <f>IF(H874&gt;'I. Stream &amp; Compound Data'!$F$18,"",IF(O874="N/A","",10^(2*O874)))</f>
        <v/>
      </c>
      <c r="Q874" s="1242" t="str">
        <f>'I. Stream &amp; Compound Data'!P294</f>
        <v/>
      </c>
      <c r="R874" s="1268" t="str">
        <f>IF(Q874="","",IF('I. Stream &amp; Compound Data'!E64="H2O",0,P874*Q874))</f>
        <v/>
      </c>
      <c r="S874" s="298"/>
      <c r="T874" s="298"/>
      <c r="U874" s="299"/>
      <c r="V874" s="279"/>
      <c r="W874" s="279"/>
      <c r="X874" s="279"/>
      <c r="Y874" s="279"/>
      <c r="Z874" s="279"/>
      <c r="AA874" s="279"/>
      <c r="AB874" s="279"/>
      <c r="AC874" s="279"/>
      <c r="AD874" s="279"/>
      <c r="AE874" s="279"/>
      <c r="AF874" s="279"/>
      <c r="AG874" s="279"/>
      <c r="AH874" s="279"/>
      <c r="AI874" s="279"/>
      <c r="AJ874" s="279"/>
      <c r="AK874" s="279"/>
      <c r="AL874" s="279"/>
      <c r="AM874" s="279"/>
      <c r="AN874" s="279"/>
      <c r="AO874" s="279"/>
      <c r="AP874" s="279"/>
      <c r="AQ874" s="279"/>
      <c r="AR874" s="279"/>
      <c r="AS874" s="279"/>
      <c r="AT874" s="279"/>
      <c r="AU874" s="279"/>
      <c r="AV874" s="279"/>
      <c r="AW874" s="279"/>
      <c r="AX874" s="279"/>
      <c r="AY874" s="279"/>
      <c r="AZ874" s="279"/>
      <c r="BA874" s="279"/>
      <c r="BB874" s="279"/>
      <c r="BC874" s="279"/>
      <c r="BD874" s="279"/>
      <c r="BE874" s="279"/>
      <c r="BF874" s="279"/>
      <c r="BG874" s="279"/>
      <c r="BH874" s="279"/>
      <c r="BI874" s="279"/>
      <c r="BJ874" s="279"/>
      <c r="BK874" s="279"/>
      <c r="BL874" s="279"/>
      <c r="BM874" s="279"/>
      <c r="BN874" s="279"/>
      <c r="BO874" s="279"/>
      <c r="BP874" s="279"/>
      <c r="BQ874" s="279"/>
      <c r="BR874" s="279"/>
      <c r="BS874" s="279"/>
      <c r="BT874" s="279"/>
      <c r="BU874" s="279"/>
      <c r="BV874" s="279"/>
      <c r="BW874" s="279"/>
      <c r="BX874" s="279"/>
      <c r="BY874" s="279"/>
      <c r="BZ874" s="279"/>
      <c r="CA874" s="279"/>
      <c r="CB874" s="279"/>
      <c r="CC874" s="279"/>
      <c r="CD874" s="279"/>
      <c r="CE874" s="279"/>
      <c r="CF874" s="279"/>
      <c r="CG874" s="279"/>
      <c r="CH874" s="279"/>
      <c r="CI874" s="279"/>
      <c r="CJ874" s="279"/>
      <c r="CK874" s="279"/>
      <c r="CL874" s="279"/>
      <c r="CM874" s="279"/>
      <c r="CN874" s="382"/>
    </row>
    <row r="875" x14ac:dyDescent="0.25">
      <c r="B875" s="361"/>
      <c r="C875" s="279"/>
      <c r="D875" s="280"/>
      <c r="E875" s="287"/>
      <c r="F875" s="287"/>
      <c r="G875" s="287"/>
      <c r="H875" s="1292">
        <f t="shared" si="36"/>
        <v>34</v>
      </c>
      <c r="I875" s="1295" t="str">
        <f>IF('I. Stream &amp; Compound Data'!AE295&lt;&gt;"",LOG10('I. Stream &amp; Compound Data'!AE295),"")</f>
        <v/>
      </c>
      <c r="J875" s="1295" t="str">
        <f>IF('I. Stream &amp; Compound Data'!AF295&lt;&gt;"",'I. Stream &amp; Compound Data'!AF295,"")</f>
        <v/>
      </c>
      <c r="K875" s="1295" t="str">
        <f>IF('I. Stream &amp; Compound Data'!AR295&lt;&gt;"",'I. Stream &amp; Compound Data'!AR295,IF('I. Stream &amp; Compound Data'!AS295&lt;&gt;"",'I. Stream &amp; Compound Data'!AS295,IF(AND(I875="",J875="",H875&lt;='I. Stream &amp; Compound Data'!$F$18),"N/A","")))</f>
        <v/>
      </c>
      <c r="L875" s="1306" t="str">
        <f>IF(H875&gt;'I. Stream &amp; Compound Data'!$F$18,"",IF(I875="","N/A",ROUND(IF(I875&lt;=2,0,IF(AND(I875&gt;2,I875&lt;4),0.5*(I875)-1,1)),3)))</f>
        <v/>
      </c>
      <c r="M875" s="1168" t="str">
        <f>IF(H875&gt;'I. Stream &amp; Compound Data'!$F$18,"",IF(L875="N/A",IF(J875="","N/A",ROUND(IF(J875&lt;=3,0,IF(AND(J875&gt;3,J875&lt;5),0.5*(J875)-1.5,1)),3)),"N/A"))</f>
        <v/>
      </c>
      <c r="N875" s="1242" t="str">
        <f>IF(H875&gt;'I. Stream &amp; Compound Data'!$F$18,"",IF(AND(L875="N/A",M875="N/A"),IF(K875="","N/A",IF(OR(K875=48,K875=53,K875=58),1,IF(K875=33,0.5,0))),"N/A"))</f>
        <v/>
      </c>
      <c r="O875" s="1242" t="str">
        <f>IF(H875&gt;'I. Stream &amp; Compound Data'!$F$18,"",IF(I175="","N/A",IF(L875&lt;&gt;"N/A",L875,IF(M875&lt;&gt;"N/A",M875,IF(N875&lt;&gt;"N/A",N875,"NO DATA AVAILABLE")))))</f>
        <v/>
      </c>
      <c r="P875" s="1242" t="str">
        <f>IF(H875&gt;'I. Stream &amp; Compound Data'!$F$18,"",IF(O875="N/A","",10^(2*O875)))</f>
        <v/>
      </c>
      <c r="Q875" s="1242" t="str">
        <f>'I. Stream &amp; Compound Data'!P295</f>
        <v/>
      </c>
      <c r="R875" s="1268" t="str">
        <f>IF(Q875="","",IF('I. Stream &amp; Compound Data'!E65="H2O",0,P875*Q875))</f>
        <v/>
      </c>
      <c r="S875" s="298"/>
      <c r="T875" s="298"/>
      <c r="U875" s="299"/>
      <c r="V875" s="279"/>
      <c r="W875" s="279"/>
      <c r="X875" s="279"/>
      <c r="Y875" s="279"/>
      <c r="Z875" s="279"/>
      <c r="AA875" s="279"/>
      <c r="AB875" s="279"/>
      <c r="AC875" s="279"/>
      <c r="AD875" s="279"/>
      <c r="AE875" s="279"/>
      <c r="AF875" s="279"/>
      <c r="AG875" s="279"/>
      <c r="AH875" s="279"/>
      <c r="AI875" s="279"/>
      <c r="AJ875" s="279"/>
      <c r="AK875" s="279"/>
      <c r="AL875" s="279"/>
      <c r="AM875" s="279"/>
      <c r="AN875" s="279"/>
      <c r="AO875" s="279"/>
      <c r="AP875" s="279"/>
      <c r="AQ875" s="279"/>
      <c r="AR875" s="279"/>
      <c r="AS875" s="279"/>
      <c r="AT875" s="279"/>
      <c r="AU875" s="279"/>
      <c r="AV875" s="279"/>
      <c r="AW875" s="279"/>
      <c r="AX875" s="279"/>
      <c r="AY875" s="279"/>
      <c r="AZ875" s="279"/>
      <c r="BA875" s="279"/>
      <c r="BB875" s="279"/>
      <c r="BC875" s="279"/>
      <c r="BD875" s="279"/>
      <c r="BE875" s="279"/>
      <c r="BF875" s="279"/>
      <c r="BG875" s="279"/>
      <c r="BH875" s="279"/>
      <c r="BI875" s="279"/>
      <c r="BJ875" s="279"/>
      <c r="BK875" s="279"/>
      <c r="BL875" s="279"/>
      <c r="BM875" s="279"/>
      <c r="BN875" s="279"/>
      <c r="BO875" s="279"/>
      <c r="BP875" s="279"/>
      <c r="BQ875" s="279"/>
      <c r="BR875" s="279"/>
      <c r="BS875" s="279"/>
      <c r="BT875" s="279"/>
      <c r="BU875" s="279"/>
      <c r="BV875" s="279"/>
      <c r="BW875" s="279"/>
      <c r="BX875" s="279"/>
      <c r="BY875" s="279"/>
      <c r="BZ875" s="279"/>
      <c r="CA875" s="279"/>
      <c r="CB875" s="279"/>
      <c r="CC875" s="279"/>
      <c r="CD875" s="279"/>
      <c r="CE875" s="279"/>
      <c r="CF875" s="279"/>
      <c r="CG875" s="279"/>
      <c r="CH875" s="279"/>
      <c r="CI875" s="279"/>
      <c r="CJ875" s="279"/>
      <c r="CK875" s="279"/>
      <c r="CL875" s="279"/>
      <c r="CM875" s="279"/>
      <c r="CN875" s="382"/>
    </row>
    <row r="876" x14ac:dyDescent="0.25">
      <c r="B876" s="361"/>
      <c r="C876" s="279"/>
      <c r="D876" s="280"/>
      <c r="E876" s="287"/>
      <c r="F876" s="287"/>
      <c r="G876" s="287"/>
      <c r="H876" s="1292">
        <f t="shared" si="36"/>
        <v>35</v>
      </c>
      <c r="I876" s="1295" t="str">
        <f>IF('I. Stream &amp; Compound Data'!AE296&lt;&gt;"",LOG10('I. Stream &amp; Compound Data'!AE296),"")</f>
        <v/>
      </c>
      <c r="J876" s="1295" t="str">
        <f>IF('I. Stream &amp; Compound Data'!AF296&lt;&gt;"",'I. Stream &amp; Compound Data'!AF296,"")</f>
        <v/>
      </c>
      <c r="K876" s="1295" t="str">
        <f>IF('I. Stream &amp; Compound Data'!AR296&lt;&gt;"",'I. Stream &amp; Compound Data'!AR296,IF('I. Stream &amp; Compound Data'!AS296&lt;&gt;"",'I. Stream &amp; Compound Data'!AS296,IF(AND(I876="",J876="",H876&lt;='I. Stream &amp; Compound Data'!$F$18),"N/A","")))</f>
        <v/>
      </c>
      <c r="L876" s="1306" t="str">
        <f>IF(H876&gt;'I. Stream &amp; Compound Data'!$F$18,"",IF(I876="","N/A",ROUND(IF(I876&lt;=2,0,IF(AND(I876&gt;2,I876&lt;4),0.5*(I876)-1,1)),3)))</f>
        <v/>
      </c>
      <c r="M876" s="1168" t="str">
        <f>IF(H876&gt;'I. Stream &amp; Compound Data'!$F$18,"",IF(L876="N/A",IF(J876="","N/A",ROUND(IF(J876&lt;=3,0,IF(AND(J876&gt;3,J876&lt;5),0.5*(J876)-1.5,1)),3)),"N/A"))</f>
        <v/>
      </c>
      <c r="N876" s="1242" t="str">
        <f>IF(H876&gt;'I. Stream &amp; Compound Data'!$F$18,"",IF(AND(L876="N/A",M876="N/A"),IF(K876="","N/A",IF(OR(K876=48,K876=53,K876=58),1,IF(K876=33,0.5,0))),"N/A"))</f>
        <v/>
      </c>
      <c r="O876" s="1242" t="str">
        <f>IF(H876&gt;'I. Stream &amp; Compound Data'!$F$18,"",IF(I176="","N/A",IF(L876&lt;&gt;"N/A",L876,IF(M876&lt;&gt;"N/A",M876,IF(N876&lt;&gt;"N/A",N876,"NO DATA AVAILABLE")))))</f>
        <v/>
      </c>
      <c r="P876" s="1242" t="str">
        <f>IF(H876&gt;'I. Stream &amp; Compound Data'!$F$18,"",IF(O876="N/A","",10^(2*O876)))</f>
        <v/>
      </c>
      <c r="Q876" s="1242" t="str">
        <f>'I. Stream &amp; Compound Data'!P296</f>
        <v/>
      </c>
      <c r="R876" s="1268" t="str">
        <f>IF(Q876="","",IF('I. Stream &amp; Compound Data'!E66="H2O",0,P876*Q876))</f>
        <v/>
      </c>
      <c r="S876" s="298"/>
      <c r="T876" s="298"/>
      <c r="U876" s="299"/>
      <c r="V876" s="279"/>
      <c r="W876" s="279"/>
      <c r="X876" s="279"/>
      <c r="Y876" s="279"/>
      <c r="Z876" s="279"/>
      <c r="AA876" s="279"/>
      <c r="AB876" s="279"/>
      <c r="AC876" s="279"/>
      <c r="AD876" s="279"/>
      <c r="AE876" s="279"/>
      <c r="AF876" s="279"/>
      <c r="AG876" s="279"/>
      <c r="AH876" s="279"/>
      <c r="AI876" s="279"/>
      <c r="AJ876" s="279"/>
      <c r="AK876" s="279"/>
      <c r="AL876" s="279"/>
      <c r="AM876" s="279"/>
      <c r="AN876" s="279"/>
      <c r="AO876" s="279"/>
      <c r="AP876" s="279"/>
      <c r="AQ876" s="279"/>
      <c r="AR876" s="279"/>
      <c r="AS876" s="279"/>
      <c r="AT876" s="279"/>
      <c r="AU876" s="279"/>
      <c r="AV876" s="279"/>
      <c r="AW876" s="279"/>
      <c r="AX876" s="279"/>
      <c r="AY876" s="279"/>
      <c r="AZ876" s="279"/>
      <c r="BA876" s="279"/>
      <c r="BB876" s="279"/>
      <c r="BC876" s="279"/>
      <c r="BD876" s="279"/>
      <c r="BE876" s="279"/>
      <c r="BF876" s="279"/>
      <c r="BG876" s="279"/>
      <c r="BH876" s="279"/>
      <c r="BI876" s="279"/>
      <c r="BJ876" s="279"/>
      <c r="BK876" s="279"/>
      <c r="BL876" s="279"/>
      <c r="BM876" s="279"/>
      <c r="BN876" s="279"/>
      <c r="BO876" s="279"/>
      <c r="BP876" s="279"/>
      <c r="BQ876" s="279"/>
      <c r="BR876" s="279"/>
      <c r="BS876" s="279"/>
      <c r="BT876" s="279"/>
      <c r="BU876" s="279"/>
      <c r="BV876" s="279"/>
      <c r="BW876" s="279"/>
      <c r="BX876" s="279"/>
      <c r="BY876" s="279"/>
      <c r="BZ876" s="279"/>
      <c r="CA876" s="279"/>
      <c r="CB876" s="279"/>
      <c r="CC876" s="279"/>
      <c r="CD876" s="279"/>
      <c r="CE876" s="279"/>
      <c r="CF876" s="279"/>
      <c r="CG876" s="279"/>
      <c r="CH876" s="279"/>
      <c r="CI876" s="279"/>
      <c r="CJ876" s="279"/>
      <c r="CK876" s="279"/>
      <c r="CL876" s="279"/>
      <c r="CM876" s="279"/>
      <c r="CN876" s="382"/>
    </row>
    <row r="877" x14ac:dyDescent="0.25">
      <c r="B877" s="361"/>
      <c r="C877" s="279"/>
      <c r="D877" s="280"/>
      <c r="E877" s="287"/>
      <c r="F877" s="287"/>
      <c r="G877" s="287"/>
      <c r="H877" s="1292">
        <f t="shared" si="36"/>
        <v>36</v>
      </c>
      <c r="I877" s="1295" t="str">
        <f>IF('I. Stream &amp; Compound Data'!AE297&lt;&gt;"",LOG10('I. Stream &amp; Compound Data'!AE297),"")</f>
        <v/>
      </c>
      <c r="J877" s="1295" t="str">
        <f>IF('I. Stream &amp; Compound Data'!AF297&lt;&gt;"",'I. Stream &amp; Compound Data'!AF297,"")</f>
        <v/>
      </c>
      <c r="K877" s="1295" t="str">
        <f>IF('I. Stream &amp; Compound Data'!AR297&lt;&gt;"",'I. Stream &amp; Compound Data'!AR297,IF('I. Stream &amp; Compound Data'!AS297&lt;&gt;"",'I. Stream &amp; Compound Data'!AS297,IF(AND(I877="",J877="",H877&lt;='I. Stream &amp; Compound Data'!$F$18),"N/A","")))</f>
        <v/>
      </c>
      <c r="L877" s="1306" t="str">
        <f>IF(H877&gt;'I. Stream &amp; Compound Data'!$F$18,"",IF(I877="","N/A",ROUND(IF(I877&lt;=2,0,IF(AND(I877&gt;2,I877&lt;4),0.5*(I877)-1,1)),3)))</f>
        <v/>
      </c>
      <c r="M877" s="1168" t="str">
        <f>IF(H877&gt;'I. Stream &amp; Compound Data'!$F$18,"",IF(L877="N/A",IF(J877="","N/A",ROUND(IF(J877&lt;=3,0,IF(AND(J877&gt;3,J877&lt;5),0.5*(J877)-1.5,1)),3)),"N/A"))</f>
        <v/>
      </c>
      <c r="N877" s="1242" t="str">
        <f>IF(H877&gt;'I. Stream &amp; Compound Data'!$F$18,"",IF(AND(L877="N/A",M877="N/A"),IF(K877="","N/A",IF(OR(K877=48,K877=53,K877=58),1,IF(K877=33,0.5,0))),"N/A"))</f>
        <v/>
      </c>
      <c r="O877" s="1242" t="str">
        <f>IF(H877&gt;'I. Stream &amp; Compound Data'!$F$18,"",IF(I177="","N/A",IF(L877&lt;&gt;"N/A",L877,IF(M877&lt;&gt;"N/A",M877,IF(N877&lt;&gt;"N/A",N877,"NO DATA AVAILABLE")))))</f>
        <v/>
      </c>
      <c r="P877" s="1242" t="str">
        <f>IF(H877&gt;'I. Stream &amp; Compound Data'!$F$18,"",IF(O877="N/A","",10^(2*O877)))</f>
        <v/>
      </c>
      <c r="Q877" s="1242" t="str">
        <f>'I. Stream &amp; Compound Data'!P297</f>
        <v/>
      </c>
      <c r="R877" s="1268" t="str">
        <f>IF(Q877="","",IF('I. Stream &amp; Compound Data'!E67="H2O",0,P877*Q877))</f>
        <v/>
      </c>
      <c r="S877" s="298"/>
      <c r="T877" s="298"/>
      <c r="U877" s="299"/>
      <c r="V877" s="279"/>
      <c r="W877" s="279"/>
      <c r="X877" s="279"/>
      <c r="Y877" s="279"/>
      <c r="Z877" s="279"/>
      <c r="AA877" s="279"/>
      <c r="AB877" s="279"/>
      <c r="AC877" s="279"/>
      <c r="AD877" s="279"/>
      <c r="AE877" s="279"/>
      <c r="AF877" s="279"/>
      <c r="AG877" s="279"/>
      <c r="AH877" s="279"/>
      <c r="AI877" s="279"/>
      <c r="AJ877" s="279"/>
      <c r="AK877" s="279"/>
      <c r="AL877" s="279"/>
      <c r="AM877" s="279"/>
      <c r="AN877" s="279"/>
      <c r="AO877" s="279"/>
      <c r="AP877" s="279"/>
      <c r="AQ877" s="279"/>
      <c r="AR877" s="279"/>
      <c r="AS877" s="279"/>
      <c r="AT877" s="279"/>
      <c r="AU877" s="279"/>
      <c r="AV877" s="279"/>
      <c r="AW877" s="279"/>
      <c r="AX877" s="279"/>
      <c r="AY877" s="279"/>
      <c r="AZ877" s="279"/>
      <c r="BA877" s="279"/>
      <c r="BB877" s="279"/>
      <c r="BC877" s="279"/>
      <c r="BD877" s="279"/>
      <c r="BE877" s="279"/>
      <c r="BF877" s="279"/>
      <c r="BG877" s="279"/>
      <c r="BH877" s="279"/>
      <c r="BI877" s="279"/>
      <c r="BJ877" s="279"/>
      <c r="BK877" s="279"/>
      <c r="BL877" s="279"/>
      <c r="BM877" s="279"/>
      <c r="BN877" s="279"/>
      <c r="BO877" s="279"/>
      <c r="BP877" s="279"/>
      <c r="BQ877" s="279"/>
      <c r="BR877" s="279"/>
      <c r="BS877" s="279"/>
      <c r="BT877" s="279"/>
      <c r="BU877" s="279"/>
      <c r="BV877" s="279"/>
      <c r="BW877" s="279"/>
      <c r="BX877" s="279"/>
      <c r="BY877" s="279"/>
      <c r="BZ877" s="279"/>
      <c r="CA877" s="279"/>
      <c r="CB877" s="279"/>
      <c r="CC877" s="279"/>
      <c r="CD877" s="279"/>
      <c r="CE877" s="279"/>
      <c r="CF877" s="279"/>
      <c r="CG877" s="279"/>
      <c r="CH877" s="279"/>
      <c r="CI877" s="279"/>
      <c r="CJ877" s="279"/>
      <c r="CK877" s="279"/>
      <c r="CL877" s="279"/>
      <c r="CM877" s="279"/>
      <c r="CN877" s="382"/>
    </row>
    <row r="878" x14ac:dyDescent="0.25">
      <c r="B878" s="361"/>
      <c r="C878" s="279"/>
      <c r="D878" s="280"/>
      <c r="E878" s="287"/>
      <c r="F878" s="287"/>
      <c r="G878" s="287"/>
      <c r="H878" s="1292">
        <f t="shared" si="36"/>
        <v>37</v>
      </c>
      <c r="I878" s="1295" t="str">
        <f>IF('I. Stream &amp; Compound Data'!AE298&lt;&gt;"",LOG10('I. Stream &amp; Compound Data'!AE298),"")</f>
        <v/>
      </c>
      <c r="J878" s="1295" t="str">
        <f>IF('I. Stream &amp; Compound Data'!AF298&lt;&gt;"",'I. Stream &amp; Compound Data'!AF298,"")</f>
        <v/>
      </c>
      <c r="K878" s="1295" t="str">
        <f>IF('I. Stream &amp; Compound Data'!AR298&lt;&gt;"",'I. Stream &amp; Compound Data'!AR298,IF('I. Stream &amp; Compound Data'!AS298&lt;&gt;"",'I. Stream &amp; Compound Data'!AS298,IF(AND(I878="",J878="",H878&lt;='I. Stream &amp; Compound Data'!$F$18),"N/A","")))</f>
        <v/>
      </c>
      <c r="L878" s="1306" t="str">
        <f>IF(H878&gt;'I. Stream &amp; Compound Data'!$F$18,"",IF(I878="","N/A",ROUND(IF(I878&lt;=2,0,IF(AND(I878&gt;2,I878&lt;4),0.5*(I878)-1,1)),3)))</f>
        <v/>
      </c>
      <c r="M878" s="1168" t="str">
        <f>IF(H878&gt;'I. Stream &amp; Compound Data'!$F$18,"",IF(L878="N/A",IF(J878="","N/A",ROUND(IF(J878&lt;=3,0,IF(AND(J878&gt;3,J878&lt;5),0.5*(J878)-1.5,1)),3)),"N/A"))</f>
        <v/>
      </c>
      <c r="N878" s="1242" t="str">
        <f>IF(H878&gt;'I. Stream &amp; Compound Data'!$F$18,"",IF(AND(L878="N/A",M878="N/A"),IF(K878="","N/A",IF(OR(K878=48,K878=53,K878=58),1,IF(K878=33,0.5,0))),"N/A"))</f>
        <v/>
      </c>
      <c r="O878" s="1242" t="str">
        <f>IF(H878&gt;'I. Stream &amp; Compound Data'!$F$18,"",IF(I178="","N/A",IF(L878&lt;&gt;"N/A",L878,IF(M878&lt;&gt;"N/A",M878,IF(N878&lt;&gt;"N/A",N878,"NO DATA AVAILABLE")))))</f>
        <v/>
      </c>
      <c r="P878" s="1242" t="str">
        <f>IF(H878&gt;'I. Stream &amp; Compound Data'!$F$18,"",IF(O878="N/A","",10^(2*O878)))</f>
        <v/>
      </c>
      <c r="Q878" s="1242" t="str">
        <f>'I. Stream &amp; Compound Data'!P298</f>
        <v/>
      </c>
      <c r="R878" s="1268" t="str">
        <f>IF(Q878="","",IF('I. Stream &amp; Compound Data'!E68="H2O",0,P878*Q878))</f>
        <v/>
      </c>
      <c r="S878" s="298"/>
      <c r="T878" s="298"/>
      <c r="U878" s="299"/>
      <c r="V878" s="279"/>
      <c r="W878" s="279"/>
      <c r="X878" s="279"/>
      <c r="Y878" s="279"/>
      <c r="Z878" s="279"/>
      <c r="AA878" s="279"/>
      <c r="AB878" s="279"/>
      <c r="AC878" s="279"/>
      <c r="AD878" s="279"/>
      <c r="AE878" s="279"/>
      <c r="AF878" s="279"/>
      <c r="AG878" s="279"/>
      <c r="AH878" s="279"/>
      <c r="AI878" s="279"/>
      <c r="AJ878" s="279"/>
      <c r="AK878" s="279"/>
      <c r="AL878" s="279"/>
      <c r="AM878" s="279"/>
      <c r="AN878" s="279"/>
      <c r="AO878" s="279"/>
      <c r="AP878" s="279"/>
      <c r="AQ878" s="279"/>
      <c r="AR878" s="279"/>
      <c r="AS878" s="279"/>
      <c r="AT878" s="279"/>
      <c r="AU878" s="279"/>
      <c r="AV878" s="279"/>
      <c r="AW878" s="279"/>
      <c r="AX878" s="279"/>
      <c r="AY878" s="279"/>
      <c r="AZ878" s="279"/>
      <c r="BA878" s="279"/>
      <c r="BB878" s="279"/>
      <c r="BC878" s="279"/>
      <c r="BD878" s="279"/>
      <c r="BE878" s="279"/>
      <c r="BF878" s="279"/>
      <c r="BG878" s="279"/>
      <c r="BH878" s="279"/>
      <c r="BI878" s="279"/>
      <c r="BJ878" s="279"/>
      <c r="BK878" s="279"/>
      <c r="BL878" s="279"/>
      <c r="BM878" s="279"/>
      <c r="BN878" s="279"/>
      <c r="BO878" s="279"/>
      <c r="BP878" s="279"/>
      <c r="BQ878" s="279"/>
      <c r="BR878" s="279"/>
      <c r="BS878" s="279"/>
      <c r="BT878" s="279"/>
      <c r="BU878" s="279"/>
      <c r="BV878" s="279"/>
      <c r="BW878" s="279"/>
      <c r="BX878" s="279"/>
      <c r="BY878" s="279"/>
      <c r="BZ878" s="279"/>
      <c r="CA878" s="279"/>
      <c r="CB878" s="279"/>
      <c r="CC878" s="279"/>
      <c r="CD878" s="279"/>
      <c r="CE878" s="279"/>
      <c r="CF878" s="279"/>
      <c r="CG878" s="279"/>
      <c r="CH878" s="279"/>
      <c r="CI878" s="279"/>
      <c r="CJ878" s="279"/>
      <c r="CK878" s="279"/>
      <c r="CL878" s="279"/>
      <c r="CM878" s="279"/>
      <c r="CN878" s="382"/>
    </row>
    <row r="879" x14ac:dyDescent="0.25">
      <c r="B879" s="361"/>
      <c r="C879" s="279"/>
      <c r="D879" s="280"/>
      <c r="E879" s="287"/>
      <c r="F879" s="287"/>
      <c r="G879" s="287"/>
      <c r="H879" s="1292">
        <f t="shared" si="36"/>
        <v>38</v>
      </c>
      <c r="I879" s="1295" t="str">
        <f>IF('I. Stream &amp; Compound Data'!AE299&lt;&gt;"",LOG10('I. Stream &amp; Compound Data'!AE299),"")</f>
        <v/>
      </c>
      <c r="J879" s="1295" t="str">
        <f>IF('I. Stream &amp; Compound Data'!AF299&lt;&gt;"",'I. Stream &amp; Compound Data'!AF299,"")</f>
        <v/>
      </c>
      <c r="K879" s="1295" t="str">
        <f>IF('I. Stream &amp; Compound Data'!AR299&lt;&gt;"",'I. Stream &amp; Compound Data'!AR299,IF('I. Stream &amp; Compound Data'!AS299&lt;&gt;"",'I. Stream &amp; Compound Data'!AS299,IF(AND(I879="",J879="",H879&lt;='I. Stream &amp; Compound Data'!$F$18),"N/A","")))</f>
        <v/>
      </c>
      <c r="L879" s="1306" t="str">
        <f>IF(H879&gt;'I. Stream &amp; Compound Data'!$F$18,"",IF(I879="","N/A",ROUND(IF(I879&lt;=2,0,IF(AND(I879&gt;2,I879&lt;4),0.5*(I879)-1,1)),3)))</f>
        <v/>
      </c>
      <c r="M879" s="1168" t="str">
        <f>IF(H879&gt;'I. Stream &amp; Compound Data'!$F$18,"",IF(L879="N/A",IF(J879="","N/A",ROUND(IF(J879&lt;=3,0,IF(AND(J879&gt;3,J879&lt;5),0.5*(J879)-1.5,1)),3)),"N/A"))</f>
        <v/>
      </c>
      <c r="N879" s="1242" t="str">
        <f>IF(H879&gt;'I. Stream &amp; Compound Data'!$F$18,"",IF(AND(L879="N/A",M879="N/A"),IF(K879="","N/A",IF(OR(K879=48,K879=53,K879=58),1,IF(K879=33,0.5,0))),"N/A"))</f>
        <v/>
      </c>
      <c r="O879" s="1242" t="str">
        <f>IF(H879&gt;'I. Stream &amp; Compound Data'!$F$18,"",IF(I179="","N/A",IF(L879&lt;&gt;"N/A",L879,IF(M879&lt;&gt;"N/A",M879,IF(N879&lt;&gt;"N/A",N879,"NO DATA AVAILABLE")))))</f>
        <v/>
      </c>
      <c r="P879" s="1242" t="str">
        <f>IF(H879&gt;'I. Stream &amp; Compound Data'!$F$18,"",IF(O879="N/A","",10^(2*O879)))</f>
        <v/>
      </c>
      <c r="Q879" s="1242" t="str">
        <f>'I. Stream &amp; Compound Data'!P299</f>
        <v/>
      </c>
      <c r="R879" s="1268" t="str">
        <f>IF(Q879="","",IF('I. Stream &amp; Compound Data'!E69="H2O",0,P879*Q879))</f>
        <v/>
      </c>
      <c r="S879" s="298"/>
      <c r="T879" s="298"/>
      <c r="U879" s="299"/>
      <c r="V879" s="279"/>
      <c r="W879" s="279"/>
      <c r="X879" s="279"/>
      <c r="Y879" s="279"/>
      <c r="Z879" s="279"/>
      <c r="AA879" s="279"/>
      <c r="AB879" s="279"/>
      <c r="AC879" s="279"/>
      <c r="AD879" s="279"/>
      <c r="AE879" s="279"/>
      <c r="AF879" s="279"/>
      <c r="AG879" s="279"/>
      <c r="AH879" s="279"/>
      <c r="AI879" s="279"/>
      <c r="AJ879" s="279"/>
      <c r="AK879" s="279"/>
      <c r="AL879" s="279"/>
      <c r="AM879" s="279"/>
      <c r="AN879" s="279"/>
      <c r="AO879" s="279"/>
      <c r="AP879" s="279"/>
      <c r="AQ879" s="279"/>
      <c r="AR879" s="279"/>
      <c r="AS879" s="279"/>
      <c r="AT879" s="279"/>
      <c r="AU879" s="279"/>
      <c r="AV879" s="279"/>
      <c r="AW879" s="279"/>
      <c r="AX879" s="279"/>
      <c r="AY879" s="279"/>
      <c r="AZ879" s="279"/>
      <c r="BA879" s="279"/>
      <c r="BB879" s="279"/>
      <c r="BC879" s="279"/>
      <c r="BD879" s="279"/>
      <c r="BE879" s="279"/>
      <c r="BF879" s="279"/>
      <c r="BG879" s="279"/>
      <c r="BH879" s="279"/>
      <c r="BI879" s="279"/>
      <c r="BJ879" s="279"/>
      <c r="BK879" s="279"/>
      <c r="BL879" s="279"/>
      <c r="BM879" s="279"/>
      <c r="BN879" s="279"/>
      <c r="BO879" s="279"/>
      <c r="BP879" s="279"/>
      <c r="BQ879" s="279"/>
      <c r="BR879" s="279"/>
      <c r="BS879" s="279"/>
      <c r="BT879" s="279"/>
      <c r="BU879" s="279"/>
      <c r="BV879" s="279"/>
      <c r="BW879" s="279"/>
      <c r="BX879" s="279"/>
      <c r="BY879" s="279"/>
      <c r="BZ879" s="279"/>
      <c r="CA879" s="279"/>
      <c r="CB879" s="279"/>
      <c r="CC879" s="279"/>
      <c r="CD879" s="279"/>
      <c r="CE879" s="279"/>
      <c r="CF879" s="279"/>
      <c r="CG879" s="279"/>
      <c r="CH879" s="279"/>
      <c r="CI879" s="279"/>
      <c r="CJ879" s="279"/>
      <c r="CK879" s="279"/>
      <c r="CL879" s="279"/>
      <c r="CM879" s="279"/>
      <c r="CN879" s="382"/>
    </row>
    <row r="880" x14ac:dyDescent="0.25">
      <c r="B880" s="361"/>
      <c r="C880" s="279"/>
      <c r="D880" s="280"/>
      <c r="E880" s="287"/>
      <c r="F880" s="287"/>
      <c r="G880" s="287"/>
      <c r="H880" s="1292">
        <f t="shared" si="36"/>
        <v>39</v>
      </c>
      <c r="I880" s="1295" t="str">
        <f>IF('I. Stream &amp; Compound Data'!AE300&lt;&gt;"",LOG10('I. Stream &amp; Compound Data'!AE300),"")</f>
        <v/>
      </c>
      <c r="J880" s="1295" t="str">
        <f>IF('I. Stream &amp; Compound Data'!AF300&lt;&gt;"",'I. Stream &amp; Compound Data'!AF300,"")</f>
        <v/>
      </c>
      <c r="K880" s="1295" t="str">
        <f>IF('I. Stream &amp; Compound Data'!AR300&lt;&gt;"",'I. Stream &amp; Compound Data'!AR300,IF('I. Stream &amp; Compound Data'!AS300&lt;&gt;"",'I. Stream &amp; Compound Data'!AS300,IF(AND(I880="",J880="",H880&lt;='I. Stream &amp; Compound Data'!$F$18),"N/A","")))</f>
        <v/>
      </c>
      <c r="L880" s="1306" t="str">
        <f>IF(H880&gt;'I. Stream &amp; Compound Data'!$F$18,"",IF(I880="","N/A",ROUND(IF(I880&lt;=2,0,IF(AND(I880&gt;2,I880&lt;4),0.5*(I880)-1,1)),3)))</f>
        <v/>
      </c>
      <c r="M880" s="1168" t="str">
        <f>IF(H880&gt;'I. Stream &amp; Compound Data'!$F$18,"",IF(L880="N/A",IF(J880="","N/A",ROUND(IF(J880&lt;=3,0,IF(AND(J880&gt;3,J880&lt;5),0.5*(J880)-1.5,1)),3)),"N/A"))</f>
        <v/>
      </c>
      <c r="N880" s="1242" t="str">
        <f>IF(H880&gt;'I. Stream &amp; Compound Data'!$F$18,"",IF(AND(L880="N/A",M880="N/A"),IF(K880="","N/A",IF(OR(K880=48,K880=53,K880=58),1,IF(K880=33,0.5,0))),"N/A"))</f>
        <v/>
      </c>
      <c r="O880" s="1242" t="str">
        <f>IF(H880&gt;'I. Stream &amp; Compound Data'!$F$18,"",IF(I180="","N/A",IF(L880&lt;&gt;"N/A",L880,IF(M880&lt;&gt;"N/A",M880,IF(N880&lt;&gt;"N/A",N880,"NO DATA AVAILABLE")))))</f>
        <v/>
      </c>
      <c r="P880" s="1242" t="str">
        <f>IF(H880&gt;'I. Stream &amp; Compound Data'!$F$18,"",IF(O880="N/A","",10^(2*O880)))</f>
        <v/>
      </c>
      <c r="Q880" s="1242" t="str">
        <f>'I. Stream &amp; Compound Data'!P300</f>
        <v/>
      </c>
      <c r="R880" s="1268" t="str">
        <f>IF(Q880="","",IF('I. Stream &amp; Compound Data'!E70="H2O",0,P880*Q880))</f>
        <v/>
      </c>
      <c r="S880" s="298"/>
      <c r="T880" s="298"/>
      <c r="U880" s="299"/>
      <c r="V880" s="279"/>
      <c r="W880" s="279"/>
      <c r="X880" s="279"/>
      <c r="Y880" s="279"/>
      <c r="Z880" s="279"/>
      <c r="AA880" s="279"/>
      <c r="AB880" s="279"/>
      <c r="AC880" s="279"/>
      <c r="AD880" s="279"/>
      <c r="AE880" s="279"/>
      <c r="AF880" s="279"/>
      <c r="AG880" s="279"/>
      <c r="AH880" s="279"/>
      <c r="AI880" s="279"/>
      <c r="AJ880" s="279"/>
      <c r="AK880" s="279"/>
      <c r="AL880" s="279"/>
      <c r="AM880" s="279"/>
      <c r="AN880" s="279"/>
      <c r="AO880" s="279"/>
      <c r="AP880" s="279"/>
      <c r="AQ880" s="279"/>
      <c r="AR880" s="279"/>
      <c r="AS880" s="279"/>
      <c r="AT880" s="279"/>
      <c r="AU880" s="279"/>
      <c r="AV880" s="279"/>
      <c r="AW880" s="279"/>
      <c r="AX880" s="279"/>
      <c r="AY880" s="279"/>
      <c r="AZ880" s="279"/>
      <c r="BA880" s="279"/>
      <c r="BB880" s="279"/>
      <c r="BC880" s="279"/>
      <c r="BD880" s="279"/>
      <c r="BE880" s="279"/>
      <c r="BF880" s="279"/>
      <c r="BG880" s="279"/>
      <c r="BH880" s="279"/>
      <c r="BI880" s="279"/>
      <c r="BJ880" s="279"/>
      <c r="BK880" s="279"/>
      <c r="BL880" s="279"/>
      <c r="BM880" s="279"/>
      <c r="BN880" s="279"/>
      <c r="BO880" s="279"/>
      <c r="BP880" s="279"/>
      <c r="BQ880" s="279"/>
      <c r="BR880" s="279"/>
      <c r="BS880" s="279"/>
      <c r="BT880" s="279"/>
      <c r="BU880" s="279"/>
      <c r="BV880" s="279"/>
      <c r="BW880" s="279"/>
      <c r="BX880" s="279"/>
      <c r="BY880" s="279"/>
      <c r="BZ880" s="279"/>
      <c r="CA880" s="279"/>
      <c r="CB880" s="279"/>
      <c r="CC880" s="279"/>
      <c r="CD880" s="279"/>
      <c r="CE880" s="279"/>
      <c r="CF880" s="279"/>
      <c r="CG880" s="279"/>
      <c r="CH880" s="279"/>
      <c r="CI880" s="279"/>
      <c r="CJ880" s="279"/>
      <c r="CK880" s="279"/>
      <c r="CL880" s="279"/>
      <c r="CM880" s="279"/>
      <c r="CN880" s="382"/>
    </row>
    <row r="881" x14ac:dyDescent="0.25">
      <c r="B881" s="361"/>
      <c r="C881" s="279"/>
      <c r="D881" s="280"/>
      <c r="E881" s="287"/>
      <c r="F881" s="287"/>
      <c r="G881" s="287"/>
      <c r="H881" s="1292">
        <f t="shared" si="36"/>
        <v>40</v>
      </c>
      <c r="I881" s="1295" t="str">
        <f>IF('I. Stream &amp; Compound Data'!AE301&lt;&gt;"",LOG10('I. Stream &amp; Compound Data'!AE301),"")</f>
        <v/>
      </c>
      <c r="J881" s="1295" t="str">
        <f>IF('I. Stream &amp; Compound Data'!AF301&lt;&gt;"",'I. Stream &amp; Compound Data'!AF301,"")</f>
        <v/>
      </c>
      <c r="K881" s="1295" t="str">
        <f>IF('I. Stream &amp; Compound Data'!AR301&lt;&gt;"",'I. Stream &amp; Compound Data'!AR301,IF('I. Stream &amp; Compound Data'!AS301&lt;&gt;"",'I. Stream &amp; Compound Data'!AS301,IF(AND(I881="",J881="",H881&lt;='I. Stream &amp; Compound Data'!$F$18),"N/A","")))</f>
        <v/>
      </c>
      <c r="L881" s="1306" t="str">
        <f>IF(H881&gt;'I. Stream &amp; Compound Data'!$F$18,"",IF(I881="","N/A",ROUND(IF(I881&lt;=2,0,IF(AND(I881&gt;2,I881&lt;4),0.5*(I881)-1,1)),3)))</f>
        <v/>
      </c>
      <c r="M881" s="1168" t="str">
        <f>IF(H881&gt;'I. Stream &amp; Compound Data'!$F$18,"",IF(L881="N/A",IF(J881="","N/A",ROUND(IF(J881&lt;=3,0,IF(AND(J881&gt;3,J881&lt;5),0.5*(J881)-1.5,1)),3)),"N/A"))</f>
        <v/>
      </c>
      <c r="N881" s="1242" t="str">
        <f>IF(H881&gt;'I. Stream &amp; Compound Data'!$F$18,"",IF(AND(L881="N/A",M881="N/A"),IF(K881="","N/A",IF(OR(K881=48,K881=53,K881=58),1,IF(K881=33,0.5,0))),"N/A"))</f>
        <v/>
      </c>
      <c r="O881" s="1242" t="str">
        <f>IF(H881&gt;'I. Stream &amp; Compound Data'!$F$18,"",IF(I181="","N/A",IF(L881&lt;&gt;"N/A",L881,IF(M881&lt;&gt;"N/A",M881,IF(N881&lt;&gt;"N/A",N881,"NO DATA AVAILABLE")))))</f>
        <v/>
      </c>
      <c r="P881" s="1242" t="str">
        <f>IF(H881&gt;'I. Stream &amp; Compound Data'!$F$18,"",IF(O881="N/A","",10^(2*O881)))</f>
        <v/>
      </c>
      <c r="Q881" s="1242" t="str">
        <f>'I. Stream &amp; Compound Data'!P301</f>
        <v/>
      </c>
      <c r="R881" s="1268" t="str">
        <f>IF(Q881="","",IF('I. Stream &amp; Compound Data'!E71="H2O",0,P881*Q881))</f>
        <v/>
      </c>
      <c r="S881" s="298"/>
      <c r="T881" s="298"/>
      <c r="U881" s="299"/>
      <c r="V881" s="279"/>
      <c r="W881" s="279"/>
      <c r="X881" s="279"/>
      <c r="Y881" s="279"/>
      <c r="Z881" s="279"/>
      <c r="AA881" s="279"/>
      <c r="AB881" s="279"/>
      <c r="AC881" s="279"/>
      <c r="AD881" s="279"/>
      <c r="AE881" s="279"/>
      <c r="AF881" s="279"/>
      <c r="AG881" s="279"/>
      <c r="AH881" s="279"/>
      <c r="AI881" s="279"/>
      <c r="AJ881" s="279"/>
      <c r="AK881" s="279"/>
      <c r="AL881" s="279"/>
      <c r="AM881" s="279"/>
      <c r="AN881" s="279"/>
      <c r="AO881" s="279"/>
      <c r="AP881" s="279"/>
      <c r="AQ881" s="279"/>
      <c r="AR881" s="279"/>
      <c r="AS881" s="279"/>
      <c r="AT881" s="279"/>
      <c r="AU881" s="279"/>
      <c r="AV881" s="279"/>
      <c r="AW881" s="279"/>
      <c r="AX881" s="279"/>
      <c r="AY881" s="279"/>
      <c r="AZ881" s="279"/>
      <c r="BA881" s="279"/>
      <c r="BB881" s="279"/>
      <c r="BC881" s="279"/>
      <c r="BD881" s="279"/>
      <c r="BE881" s="279"/>
      <c r="BF881" s="279"/>
      <c r="BG881" s="279"/>
      <c r="BH881" s="279"/>
      <c r="BI881" s="279"/>
      <c r="BJ881" s="279"/>
      <c r="BK881" s="279"/>
      <c r="BL881" s="279"/>
      <c r="BM881" s="279"/>
      <c r="BN881" s="279"/>
      <c r="BO881" s="279"/>
      <c r="BP881" s="279"/>
      <c r="BQ881" s="279"/>
      <c r="BR881" s="279"/>
      <c r="BS881" s="279"/>
      <c r="BT881" s="279"/>
      <c r="BU881" s="279"/>
      <c r="BV881" s="279"/>
      <c r="BW881" s="279"/>
      <c r="BX881" s="279"/>
      <c r="BY881" s="279"/>
      <c r="BZ881" s="279"/>
      <c r="CA881" s="279"/>
      <c r="CB881" s="279"/>
      <c r="CC881" s="279"/>
      <c r="CD881" s="279"/>
      <c r="CE881" s="279"/>
      <c r="CF881" s="279"/>
      <c r="CG881" s="279"/>
      <c r="CH881" s="279"/>
      <c r="CI881" s="279"/>
      <c r="CJ881" s="279"/>
      <c r="CK881" s="279"/>
      <c r="CL881" s="279"/>
      <c r="CM881" s="279"/>
      <c r="CN881" s="382"/>
    </row>
    <row r="882" x14ac:dyDescent="0.25">
      <c r="B882" s="361"/>
      <c r="C882" s="279"/>
      <c r="D882" s="280"/>
      <c r="E882" s="287"/>
      <c r="F882" s="287"/>
      <c r="G882" s="287"/>
      <c r="H882" s="1292">
        <f t="shared" si="36"/>
        <v>41</v>
      </c>
      <c r="I882" s="1295" t="str">
        <f>IF('I. Stream &amp; Compound Data'!AE302&lt;&gt;"",LOG10('I. Stream &amp; Compound Data'!AE302),"")</f>
        <v/>
      </c>
      <c r="J882" s="1295" t="str">
        <f>IF('I. Stream &amp; Compound Data'!AF302&lt;&gt;"",'I. Stream &amp; Compound Data'!AF302,"")</f>
        <v/>
      </c>
      <c r="K882" s="1295" t="str">
        <f>IF('I. Stream &amp; Compound Data'!AR302&lt;&gt;"",'I. Stream &amp; Compound Data'!AR302,IF('I. Stream &amp; Compound Data'!AS302&lt;&gt;"",'I. Stream &amp; Compound Data'!AS302,IF(AND(I882="",J882="",H882&lt;='I. Stream &amp; Compound Data'!$F$18),"N/A","")))</f>
        <v/>
      </c>
      <c r="L882" s="1306" t="str">
        <f>IF(H882&gt;'I. Stream &amp; Compound Data'!$F$18,"",IF(I882="","N/A",ROUND(IF(I882&lt;=2,0,IF(AND(I882&gt;2,I882&lt;4),0.5*(I882)-1,1)),3)))</f>
        <v/>
      </c>
      <c r="M882" s="1168" t="str">
        <f>IF(H882&gt;'I. Stream &amp; Compound Data'!$F$18,"",IF(L882="N/A",IF(J882="","N/A",ROUND(IF(J882&lt;=3,0,IF(AND(J882&gt;3,J882&lt;5),0.5*(J882)-1.5,1)),3)),"N/A"))</f>
        <v/>
      </c>
      <c r="N882" s="1242" t="str">
        <f>IF(H882&gt;'I. Stream &amp; Compound Data'!$F$18,"",IF(AND(L882="N/A",M882="N/A"),IF(K882="","N/A",IF(OR(K882=48,K882=53,K882=58),1,IF(K882=33,0.5,0))),"N/A"))</f>
        <v/>
      </c>
      <c r="O882" s="1242" t="str">
        <f>IF(H882&gt;'I. Stream &amp; Compound Data'!$F$18,"",IF(I182="","N/A",IF(L882&lt;&gt;"N/A",L882,IF(M882&lt;&gt;"N/A",M882,IF(N882&lt;&gt;"N/A",N882,"NO DATA AVAILABLE")))))</f>
        <v/>
      </c>
      <c r="P882" s="1242" t="str">
        <f>IF(H882&gt;'I. Stream &amp; Compound Data'!$F$18,"",IF(O882="N/A","",10^(2*O882)))</f>
        <v/>
      </c>
      <c r="Q882" s="1242" t="str">
        <f>'I. Stream &amp; Compound Data'!P302</f>
        <v/>
      </c>
      <c r="R882" s="1268" t="str">
        <f>IF(Q882="","",IF('I. Stream &amp; Compound Data'!E72="H2O",0,P882*Q882))</f>
        <v/>
      </c>
      <c r="S882" s="298"/>
      <c r="T882" s="298"/>
      <c r="U882" s="299"/>
      <c r="V882" s="279"/>
      <c r="W882" s="279"/>
      <c r="X882" s="279"/>
      <c r="Y882" s="279"/>
      <c r="Z882" s="279"/>
      <c r="AA882" s="279"/>
      <c r="AB882" s="279"/>
      <c r="AC882" s="279"/>
      <c r="AD882" s="279"/>
      <c r="AE882" s="279"/>
      <c r="AF882" s="279"/>
      <c r="AG882" s="279"/>
      <c r="AH882" s="279"/>
      <c r="AI882" s="279"/>
      <c r="AJ882" s="279"/>
      <c r="AK882" s="279"/>
      <c r="AL882" s="279"/>
      <c r="AM882" s="279"/>
      <c r="AN882" s="279"/>
      <c r="AO882" s="279"/>
      <c r="AP882" s="279"/>
      <c r="AQ882" s="279"/>
      <c r="AR882" s="279"/>
      <c r="AS882" s="279"/>
      <c r="AT882" s="279"/>
      <c r="AU882" s="279"/>
      <c r="AV882" s="279"/>
      <c r="AW882" s="279"/>
      <c r="AX882" s="279"/>
      <c r="AY882" s="279"/>
      <c r="AZ882" s="279"/>
      <c r="BA882" s="279"/>
      <c r="BB882" s="279"/>
      <c r="BC882" s="279"/>
      <c r="BD882" s="279"/>
      <c r="BE882" s="279"/>
      <c r="BF882" s="279"/>
      <c r="BG882" s="279"/>
      <c r="BH882" s="279"/>
      <c r="BI882" s="279"/>
      <c r="BJ882" s="279"/>
      <c r="BK882" s="279"/>
      <c r="BL882" s="279"/>
      <c r="BM882" s="279"/>
      <c r="BN882" s="279"/>
      <c r="BO882" s="279"/>
      <c r="BP882" s="279"/>
      <c r="BQ882" s="279"/>
      <c r="BR882" s="279"/>
      <c r="BS882" s="279"/>
      <c r="BT882" s="279"/>
      <c r="BU882" s="279"/>
      <c r="BV882" s="279"/>
      <c r="BW882" s="279"/>
      <c r="BX882" s="279"/>
      <c r="BY882" s="279"/>
      <c r="BZ882" s="279"/>
      <c r="CA882" s="279"/>
      <c r="CB882" s="279"/>
      <c r="CC882" s="279"/>
      <c r="CD882" s="279"/>
      <c r="CE882" s="279"/>
      <c r="CF882" s="279"/>
      <c r="CG882" s="279"/>
      <c r="CH882" s="279"/>
      <c r="CI882" s="279"/>
      <c r="CJ882" s="279"/>
      <c r="CK882" s="279"/>
      <c r="CL882" s="279"/>
      <c r="CM882" s="279"/>
      <c r="CN882" s="382"/>
    </row>
    <row r="883" x14ac:dyDescent="0.25">
      <c r="B883" s="361"/>
      <c r="C883" s="279"/>
      <c r="D883" s="280"/>
      <c r="E883" s="287"/>
      <c r="F883" s="287"/>
      <c r="G883" s="287"/>
      <c r="H883" s="1292">
        <f t="shared" si="36"/>
        <v>42</v>
      </c>
      <c r="I883" s="1295" t="str">
        <f>IF('I. Stream &amp; Compound Data'!AE303&lt;&gt;"",LOG10('I. Stream &amp; Compound Data'!AE303),"")</f>
        <v/>
      </c>
      <c r="J883" s="1295" t="str">
        <f>IF('I. Stream &amp; Compound Data'!AF303&lt;&gt;"",'I. Stream &amp; Compound Data'!AF303,"")</f>
        <v/>
      </c>
      <c r="K883" s="1295" t="str">
        <f>IF('I. Stream &amp; Compound Data'!AR303&lt;&gt;"",'I. Stream &amp; Compound Data'!AR303,IF('I. Stream &amp; Compound Data'!AS303&lt;&gt;"",'I. Stream &amp; Compound Data'!AS303,IF(AND(I883="",J883="",H883&lt;='I. Stream &amp; Compound Data'!$F$18),"N/A","")))</f>
        <v/>
      </c>
      <c r="L883" s="1306" t="str">
        <f>IF(H883&gt;'I. Stream &amp; Compound Data'!$F$18,"",IF(I883="","N/A",ROUND(IF(I883&lt;=2,0,IF(AND(I883&gt;2,I883&lt;4),0.5*(I883)-1,1)),3)))</f>
        <v/>
      </c>
      <c r="M883" s="1168" t="str">
        <f>IF(H883&gt;'I. Stream &amp; Compound Data'!$F$18,"",IF(L883="N/A",IF(J883="","N/A",ROUND(IF(J883&lt;=3,0,IF(AND(J883&gt;3,J883&lt;5),0.5*(J883)-1.5,1)),3)),"N/A"))</f>
        <v/>
      </c>
      <c r="N883" s="1242" t="str">
        <f>IF(H883&gt;'I. Stream &amp; Compound Data'!$F$18,"",IF(AND(L883="N/A",M883="N/A"),IF(K883="","N/A",IF(OR(K883=48,K883=53,K883=58),1,IF(K883=33,0.5,0))),"N/A"))</f>
        <v/>
      </c>
      <c r="O883" s="1242" t="str">
        <f>IF(H883&gt;'I. Stream &amp; Compound Data'!$F$18,"",IF(I183="","N/A",IF(L883&lt;&gt;"N/A",L883,IF(M883&lt;&gt;"N/A",M883,IF(N883&lt;&gt;"N/A",N883,"NO DATA AVAILABLE")))))</f>
        <v/>
      </c>
      <c r="P883" s="1242" t="str">
        <f>IF(H883&gt;'I. Stream &amp; Compound Data'!$F$18,"",IF(O883="N/A","",10^(2*O883)))</f>
        <v/>
      </c>
      <c r="Q883" s="1242" t="str">
        <f>'I. Stream &amp; Compound Data'!P303</f>
        <v/>
      </c>
      <c r="R883" s="1268" t="str">
        <f>IF(Q883="","",IF('I. Stream &amp; Compound Data'!E73="H2O",0,P883*Q883))</f>
        <v/>
      </c>
      <c r="S883" s="298"/>
      <c r="T883" s="298"/>
      <c r="U883" s="299"/>
      <c r="V883" s="279"/>
      <c r="W883" s="279"/>
      <c r="X883" s="279"/>
      <c r="Y883" s="279"/>
      <c r="Z883" s="279"/>
      <c r="AA883" s="279"/>
      <c r="AB883" s="279"/>
      <c r="AC883" s="279"/>
      <c r="AD883" s="279"/>
      <c r="AE883" s="279"/>
      <c r="AF883" s="279"/>
      <c r="AG883" s="279"/>
      <c r="AH883" s="279"/>
      <c r="AI883" s="279"/>
      <c r="AJ883" s="279"/>
      <c r="AK883" s="279"/>
      <c r="AL883" s="279"/>
      <c r="AM883" s="279"/>
      <c r="AN883" s="279"/>
      <c r="AO883" s="279"/>
      <c r="AP883" s="279"/>
      <c r="AQ883" s="279"/>
      <c r="AR883" s="279"/>
      <c r="AS883" s="279"/>
      <c r="AT883" s="279"/>
      <c r="AU883" s="279"/>
      <c r="AV883" s="279"/>
      <c r="AW883" s="279"/>
      <c r="AX883" s="279"/>
      <c r="AY883" s="279"/>
      <c r="AZ883" s="279"/>
      <c r="BA883" s="279"/>
      <c r="BB883" s="279"/>
      <c r="BC883" s="279"/>
      <c r="BD883" s="279"/>
      <c r="BE883" s="279"/>
      <c r="BF883" s="279"/>
      <c r="BG883" s="279"/>
      <c r="BH883" s="279"/>
      <c r="BI883" s="279"/>
      <c r="BJ883" s="279"/>
      <c r="BK883" s="279"/>
      <c r="BL883" s="279"/>
      <c r="BM883" s="279"/>
      <c r="BN883" s="279"/>
      <c r="BO883" s="279"/>
      <c r="BP883" s="279"/>
      <c r="BQ883" s="279"/>
      <c r="BR883" s="279"/>
      <c r="BS883" s="279"/>
      <c r="BT883" s="279"/>
      <c r="BU883" s="279"/>
      <c r="BV883" s="279"/>
      <c r="BW883" s="279"/>
      <c r="BX883" s="279"/>
      <c r="BY883" s="279"/>
      <c r="BZ883" s="279"/>
      <c r="CA883" s="279"/>
      <c r="CB883" s="279"/>
      <c r="CC883" s="279"/>
      <c r="CD883" s="279"/>
      <c r="CE883" s="279"/>
      <c r="CF883" s="279"/>
      <c r="CG883" s="279"/>
      <c r="CH883" s="279"/>
      <c r="CI883" s="279"/>
      <c r="CJ883" s="279"/>
      <c r="CK883" s="279"/>
      <c r="CL883" s="279"/>
      <c r="CM883" s="279"/>
      <c r="CN883" s="382"/>
    </row>
    <row r="884" x14ac:dyDescent="0.25">
      <c r="B884" s="361"/>
      <c r="C884" s="279"/>
      <c r="D884" s="280"/>
      <c r="E884" s="287"/>
      <c r="F884" s="287"/>
      <c r="G884" s="287"/>
      <c r="H884" s="1292">
        <f t="shared" si="36"/>
        <v>43</v>
      </c>
      <c r="I884" s="1295" t="str">
        <f>IF('I. Stream &amp; Compound Data'!AE304&lt;&gt;"",LOG10('I. Stream &amp; Compound Data'!AE304),"")</f>
        <v/>
      </c>
      <c r="J884" s="1295" t="str">
        <f>IF('I. Stream &amp; Compound Data'!AF304&lt;&gt;"",'I. Stream &amp; Compound Data'!AF304,"")</f>
        <v/>
      </c>
      <c r="K884" s="1295" t="str">
        <f>IF('I. Stream &amp; Compound Data'!AR304&lt;&gt;"",'I. Stream &amp; Compound Data'!AR304,IF('I. Stream &amp; Compound Data'!AS304&lt;&gt;"",'I. Stream &amp; Compound Data'!AS304,IF(AND(I884="",J884="",H884&lt;='I. Stream &amp; Compound Data'!$F$18),"N/A","")))</f>
        <v/>
      </c>
      <c r="L884" s="1306" t="str">
        <f>IF(H884&gt;'I. Stream &amp; Compound Data'!$F$18,"",IF(I884="","N/A",ROUND(IF(I884&lt;=2,0,IF(AND(I884&gt;2,I884&lt;4),0.5*(I884)-1,1)),3)))</f>
        <v/>
      </c>
      <c r="M884" s="1168" t="str">
        <f>IF(H884&gt;'I. Stream &amp; Compound Data'!$F$18,"",IF(L884="N/A",IF(J884="","N/A",ROUND(IF(J884&lt;=3,0,IF(AND(J884&gt;3,J884&lt;5),0.5*(J884)-1.5,1)),3)),"N/A"))</f>
        <v/>
      </c>
      <c r="N884" s="1242" t="str">
        <f>IF(H884&gt;'I. Stream &amp; Compound Data'!$F$18,"",IF(AND(L884="N/A",M884="N/A"),IF(K884="","N/A",IF(OR(K884=48,K884=53,K884=58),1,IF(K884=33,0.5,0))),"N/A"))</f>
        <v/>
      </c>
      <c r="O884" s="1242" t="str">
        <f>IF(H884&gt;'I. Stream &amp; Compound Data'!$F$18,"",IF(I184="","N/A",IF(L884&lt;&gt;"N/A",L884,IF(M884&lt;&gt;"N/A",M884,IF(N884&lt;&gt;"N/A",N884,"NO DATA AVAILABLE")))))</f>
        <v/>
      </c>
      <c r="P884" s="1242" t="str">
        <f>IF(H884&gt;'I. Stream &amp; Compound Data'!$F$18,"",IF(O884="N/A","",10^(2*O884)))</f>
        <v/>
      </c>
      <c r="Q884" s="1242" t="str">
        <f>'I. Stream &amp; Compound Data'!P304</f>
        <v/>
      </c>
      <c r="R884" s="1268" t="str">
        <f>IF(Q884="","",IF('I. Stream &amp; Compound Data'!E74="H2O",0,P884*Q884))</f>
        <v/>
      </c>
      <c r="S884" s="298"/>
      <c r="T884" s="298"/>
      <c r="U884" s="299"/>
      <c r="V884" s="279"/>
      <c r="W884" s="279"/>
      <c r="X884" s="279"/>
      <c r="Y884" s="279"/>
      <c r="Z884" s="279"/>
      <c r="AA884" s="279"/>
      <c r="AB884" s="279"/>
      <c r="AC884" s="279"/>
      <c r="AD884" s="279"/>
      <c r="AE884" s="279"/>
      <c r="AF884" s="279"/>
      <c r="AG884" s="279"/>
      <c r="AH884" s="279"/>
      <c r="AI884" s="279"/>
      <c r="AJ884" s="279"/>
      <c r="AK884" s="279"/>
      <c r="AL884" s="279"/>
      <c r="AM884" s="279"/>
      <c r="AN884" s="279"/>
      <c r="AO884" s="279"/>
      <c r="AP884" s="279"/>
      <c r="AQ884" s="279"/>
      <c r="AR884" s="279"/>
      <c r="AS884" s="279"/>
      <c r="AT884" s="279"/>
      <c r="AU884" s="279"/>
      <c r="AV884" s="279"/>
      <c r="AW884" s="279"/>
      <c r="AX884" s="279"/>
      <c r="AY884" s="279"/>
      <c r="AZ884" s="279"/>
      <c r="BA884" s="279"/>
      <c r="BB884" s="279"/>
      <c r="BC884" s="279"/>
      <c r="BD884" s="279"/>
      <c r="BE884" s="279"/>
      <c r="BF884" s="279"/>
      <c r="BG884" s="279"/>
      <c r="BH884" s="279"/>
      <c r="BI884" s="279"/>
      <c r="BJ884" s="279"/>
      <c r="BK884" s="279"/>
      <c r="BL884" s="279"/>
      <c r="BM884" s="279"/>
      <c r="BN884" s="279"/>
      <c r="BO884" s="279"/>
      <c r="BP884" s="279"/>
      <c r="BQ884" s="279"/>
      <c r="BR884" s="279"/>
      <c r="BS884" s="279"/>
      <c r="BT884" s="279"/>
      <c r="BU884" s="279"/>
      <c r="BV884" s="279"/>
      <c r="BW884" s="279"/>
      <c r="BX884" s="279"/>
      <c r="BY884" s="279"/>
      <c r="BZ884" s="279"/>
      <c r="CA884" s="279"/>
      <c r="CB884" s="279"/>
      <c r="CC884" s="279"/>
      <c r="CD884" s="279"/>
      <c r="CE884" s="279"/>
      <c r="CF884" s="279"/>
      <c r="CG884" s="279"/>
      <c r="CH884" s="279"/>
      <c r="CI884" s="279"/>
      <c r="CJ884" s="279"/>
      <c r="CK884" s="279"/>
      <c r="CL884" s="279"/>
      <c r="CM884" s="279"/>
      <c r="CN884" s="382"/>
    </row>
    <row r="885" x14ac:dyDescent="0.25">
      <c r="B885" s="361"/>
      <c r="C885" s="279"/>
      <c r="D885" s="280"/>
      <c r="E885" s="287"/>
      <c r="F885" s="287"/>
      <c r="G885" s="287"/>
      <c r="H885" s="1292">
        <f t="shared" si="36"/>
        <v>44</v>
      </c>
      <c r="I885" s="1295" t="str">
        <f>IF('I. Stream &amp; Compound Data'!AE305&lt;&gt;"",LOG10('I. Stream &amp; Compound Data'!AE305),"")</f>
        <v/>
      </c>
      <c r="J885" s="1295" t="str">
        <f>IF('I. Stream &amp; Compound Data'!AF305&lt;&gt;"",'I. Stream &amp; Compound Data'!AF305,"")</f>
        <v/>
      </c>
      <c r="K885" s="1295" t="str">
        <f>IF('I. Stream &amp; Compound Data'!AR305&lt;&gt;"",'I. Stream &amp; Compound Data'!AR305,IF('I. Stream &amp; Compound Data'!AS305&lt;&gt;"",'I. Stream &amp; Compound Data'!AS305,IF(AND(I885="",J885="",H885&lt;='I. Stream &amp; Compound Data'!$F$18),"N/A","")))</f>
        <v/>
      </c>
      <c r="L885" s="1306" t="str">
        <f>IF(H885&gt;'I. Stream &amp; Compound Data'!$F$18,"",IF(I885="","N/A",ROUND(IF(I885&lt;=2,0,IF(AND(I885&gt;2,I885&lt;4),0.5*(I885)-1,1)),3)))</f>
        <v/>
      </c>
      <c r="M885" s="1168" t="str">
        <f>IF(H885&gt;'I. Stream &amp; Compound Data'!$F$18,"",IF(L885="N/A",IF(J885="","N/A",ROUND(IF(J885&lt;=3,0,IF(AND(J885&gt;3,J885&lt;5),0.5*(J885)-1.5,1)),3)),"N/A"))</f>
        <v/>
      </c>
      <c r="N885" s="1242" t="str">
        <f>IF(H885&gt;'I. Stream &amp; Compound Data'!$F$18,"",IF(AND(L885="N/A",M885="N/A"),IF(K885="","N/A",IF(OR(K885=48,K885=53,K885=58),1,IF(K885=33,0.5,0))),"N/A"))</f>
        <v/>
      </c>
      <c r="O885" s="1242" t="str">
        <f>IF(H885&gt;'I. Stream &amp; Compound Data'!$F$18,"",IF(I185="","N/A",IF(L885&lt;&gt;"N/A",L885,IF(M885&lt;&gt;"N/A",M885,IF(N885&lt;&gt;"N/A",N885,"NO DATA AVAILABLE")))))</f>
        <v/>
      </c>
      <c r="P885" s="1242" t="str">
        <f>IF(H885&gt;'I. Stream &amp; Compound Data'!$F$18,"",IF(O885="N/A","",10^(2*O885)))</f>
        <v/>
      </c>
      <c r="Q885" s="1242" t="str">
        <f>'I. Stream &amp; Compound Data'!P305</f>
        <v/>
      </c>
      <c r="R885" s="1268" t="str">
        <f>IF(Q885="","",IF('I. Stream &amp; Compound Data'!E75="H2O",0,P885*Q885))</f>
        <v/>
      </c>
      <c r="S885" s="298"/>
      <c r="T885" s="298"/>
      <c r="U885" s="299"/>
      <c r="V885" s="279"/>
      <c r="W885" s="279"/>
      <c r="X885" s="279"/>
      <c r="Y885" s="279"/>
      <c r="Z885" s="279"/>
      <c r="AA885" s="279"/>
      <c r="AB885" s="279"/>
      <c r="AC885" s="279"/>
      <c r="AD885" s="279"/>
      <c r="AE885" s="279"/>
      <c r="AF885" s="279"/>
      <c r="AG885" s="279"/>
      <c r="AH885" s="279"/>
      <c r="AI885" s="279"/>
      <c r="AJ885" s="279"/>
      <c r="AK885" s="279"/>
      <c r="AL885" s="279"/>
      <c r="AM885" s="279"/>
      <c r="AN885" s="279"/>
      <c r="AO885" s="279"/>
      <c r="AP885" s="279"/>
      <c r="AQ885" s="279"/>
      <c r="AR885" s="279"/>
      <c r="AS885" s="279"/>
      <c r="AT885" s="279"/>
      <c r="AU885" s="279"/>
      <c r="AV885" s="279"/>
      <c r="AW885" s="279"/>
      <c r="AX885" s="279"/>
      <c r="AY885" s="279"/>
      <c r="AZ885" s="279"/>
      <c r="BA885" s="279"/>
      <c r="BB885" s="279"/>
      <c r="BC885" s="279"/>
      <c r="BD885" s="279"/>
      <c r="BE885" s="279"/>
      <c r="BF885" s="279"/>
      <c r="BG885" s="279"/>
      <c r="BH885" s="279"/>
      <c r="BI885" s="279"/>
      <c r="BJ885" s="279"/>
      <c r="BK885" s="279"/>
      <c r="BL885" s="279"/>
      <c r="BM885" s="279"/>
      <c r="BN885" s="279"/>
      <c r="BO885" s="279"/>
      <c r="BP885" s="279"/>
      <c r="BQ885" s="279"/>
      <c r="BR885" s="279"/>
      <c r="BS885" s="279"/>
      <c r="BT885" s="279"/>
      <c r="BU885" s="279"/>
      <c r="BV885" s="279"/>
      <c r="BW885" s="279"/>
      <c r="BX885" s="279"/>
      <c r="BY885" s="279"/>
      <c r="BZ885" s="279"/>
      <c r="CA885" s="279"/>
      <c r="CB885" s="279"/>
      <c r="CC885" s="279"/>
      <c r="CD885" s="279"/>
      <c r="CE885" s="279"/>
      <c r="CF885" s="279"/>
      <c r="CG885" s="279"/>
      <c r="CH885" s="279"/>
      <c r="CI885" s="279"/>
      <c r="CJ885" s="279"/>
      <c r="CK885" s="279"/>
      <c r="CL885" s="279"/>
      <c r="CM885" s="279"/>
      <c r="CN885" s="382"/>
    </row>
    <row r="886" x14ac:dyDescent="0.25">
      <c r="B886" s="361"/>
      <c r="C886" s="279"/>
      <c r="D886" s="280"/>
      <c r="E886" s="287"/>
      <c r="F886" s="287"/>
      <c r="G886" s="287"/>
      <c r="H886" s="1292">
        <f t="shared" si="36"/>
        <v>45</v>
      </c>
      <c r="I886" s="1295" t="str">
        <f>IF('I. Stream &amp; Compound Data'!AE306&lt;&gt;"",LOG10('I. Stream &amp; Compound Data'!AE306),"")</f>
        <v/>
      </c>
      <c r="J886" s="1295" t="str">
        <f>IF('I. Stream &amp; Compound Data'!AF306&lt;&gt;"",'I. Stream &amp; Compound Data'!AF306,"")</f>
        <v/>
      </c>
      <c r="K886" s="1295" t="str">
        <f>IF('I. Stream &amp; Compound Data'!AR306&lt;&gt;"",'I. Stream &amp; Compound Data'!AR306,IF('I. Stream &amp; Compound Data'!AS306&lt;&gt;"",'I. Stream &amp; Compound Data'!AS306,IF(AND(I886="",J886="",H886&lt;='I. Stream &amp; Compound Data'!$F$18),"N/A","")))</f>
        <v/>
      </c>
      <c r="L886" s="1306" t="str">
        <f>IF(H886&gt;'I. Stream &amp; Compound Data'!$F$18,"",IF(I886="","N/A",ROUND(IF(I886&lt;=2,0,IF(AND(I886&gt;2,I886&lt;4),0.5*(I886)-1,1)),3)))</f>
        <v/>
      </c>
      <c r="M886" s="1168" t="str">
        <f>IF(H886&gt;'I. Stream &amp; Compound Data'!$F$18,"",IF(L886="N/A",IF(J886="","N/A",ROUND(IF(J886&lt;=3,0,IF(AND(J886&gt;3,J886&lt;5),0.5*(J886)-1.5,1)),3)),"N/A"))</f>
        <v/>
      </c>
      <c r="N886" s="1242" t="str">
        <f>IF(H886&gt;'I. Stream &amp; Compound Data'!$F$18,"",IF(AND(L886="N/A",M886="N/A"),IF(K886="","N/A",IF(OR(K886=48,K886=53,K886=58),1,IF(K886=33,0.5,0))),"N/A"))</f>
        <v/>
      </c>
      <c r="O886" s="1242" t="str">
        <f>IF(H886&gt;'I. Stream &amp; Compound Data'!$F$18,"",IF(I186="","N/A",IF(L886&lt;&gt;"N/A",L886,IF(M886&lt;&gt;"N/A",M886,IF(N886&lt;&gt;"N/A",N886,"NO DATA AVAILABLE")))))</f>
        <v/>
      </c>
      <c r="P886" s="1242" t="str">
        <f>IF(H886&gt;'I. Stream &amp; Compound Data'!$F$18,"",IF(O886="N/A","",10^(2*O886)))</f>
        <v/>
      </c>
      <c r="Q886" s="1242" t="str">
        <f>'I. Stream &amp; Compound Data'!P306</f>
        <v/>
      </c>
      <c r="R886" s="1268" t="str">
        <f>IF(Q886="","",IF('I. Stream &amp; Compound Data'!E76="H2O",0,P886*Q886))</f>
        <v/>
      </c>
      <c r="S886" s="298"/>
      <c r="T886" s="298"/>
      <c r="U886" s="299"/>
      <c r="V886" s="279"/>
      <c r="W886" s="279"/>
      <c r="X886" s="279"/>
      <c r="Y886" s="279"/>
      <c r="Z886" s="279"/>
      <c r="AA886" s="279"/>
      <c r="AB886" s="279"/>
      <c r="AC886" s="279"/>
      <c r="AD886" s="279"/>
      <c r="AE886" s="279"/>
      <c r="AF886" s="279"/>
      <c r="AG886" s="279"/>
      <c r="AH886" s="279"/>
      <c r="AI886" s="279"/>
      <c r="AJ886" s="279"/>
      <c r="AK886" s="279"/>
      <c r="AL886" s="279"/>
      <c r="AM886" s="279"/>
      <c r="AN886" s="279"/>
      <c r="AO886" s="279"/>
      <c r="AP886" s="279"/>
      <c r="AQ886" s="279"/>
      <c r="AR886" s="279"/>
      <c r="AS886" s="279"/>
      <c r="AT886" s="279"/>
      <c r="AU886" s="279"/>
      <c r="AV886" s="279"/>
      <c r="AW886" s="279"/>
      <c r="AX886" s="279"/>
      <c r="AY886" s="279"/>
      <c r="AZ886" s="279"/>
      <c r="BA886" s="279"/>
      <c r="BB886" s="279"/>
      <c r="BC886" s="279"/>
      <c r="BD886" s="279"/>
      <c r="BE886" s="279"/>
      <c r="BF886" s="279"/>
      <c r="BG886" s="279"/>
      <c r="BH886" s="279"/>
      <c r="BI886" s="279"/>
      <c r="BJ886" s="279"/>
      <c r="BK886" s="279"/>
      <c r="BL886" s="279"/>
      <c r="BM886" s="279"/>
      <c r="BN886" s="279"/>
      <c r="BO886" s="279"/>
      <c r="BP886" s="279"/>
      <c r="BQ886" s="279"/>
      <c r="BR886" s="279"/>
      <c r="BS886" s="279"/>
      <c r="BT886" s="279"/>
      <c r="BU886" s="279"/>
      <c r="BV886" s="279"/>
      <c r="BW886" s="279"/>
      <c r="BX886" s="279"/>
      <c r="BY886" s="279"/>
      <c r="BZ886" s="279"/>
      <c r="CA886" s="279"/>
      <c r="CB886" s="279"/>
      <c r="CC886" s="279"/>
      <c r="CD886" s="279"/>
      <c r="CE886" s="279"/>
      <c r="CF886" s="279"/>
      <c r="CG886" s="279"/>
      <c r="CH886" s="279"/>
      <c r="CI886" s="279"/>
      <c r="CJ886" s="279"/>
      <c r="CK886" s="279"/>
      <c r="CL886" s="279"/>
      <c r="CM886" s="279"/>
      <c r="CN886" s="382"/>
    </row>
    <row r="887" x14ac:dyDescent="0.25">
      <c r="B887" s="361"/>
      <c r="C887" s="279"/>
      <c r="D887" s="280"/>
      <c r="E887" s="287"/>
      <c r="F887" s="287"/>
      <c r="G887" s="287"/>
      <c r="H887" s="1292">
        <f t="shared" si="36"/>
        <v>46</v>
      </c>
      <c r="I887" s="1295" t="str">
        <f>IF('I. Stream &amp; Compound Data'!AE307&lt;&gt;"",LOG10('I. Stream &amp; Compound Data'!AE307),"")</f>
        <v/>
      </c>
      <c r="J887" s="1295" t="str">
        <f>IF('I. Stream &amp; Compound Data'!AF307&lt;&gt;"",'I. Stream &amp; Compound Data'!AF307,"")</f>
        <v/>
      </c>
      <c r="K887" s="1295" t="str">
        <f>IF('I. Stream &amp; Compound Data'!AR307&lt;&gt;"",'I. Stream &amp; Compound Data'!AR307,IF('I. Stream &amp; Compound Data'!AS307&lt;&gt;"",'I. Stream &amp; Compound Data'!AS307,IF(AND(I887="",J887="",H887&lt;='I. Stream &amp; Compound Data'!$F$18),"N/A","")))</f>
        <v/>
      </c>
      <c r="L887" s="1306" t="str">
        <f>IF(H887&gt;'I. Stream &amp; Compound Data'!$F$18,"",IF(I887="","N/A",ROUND(IF(I887&lt;=2,0,IF(AND(I887&gt;2,I887&lt;4),0.5*(I887)-1,1)),3)))</f>
        <v/>
      </c>
      <c r="M887" s="1168" t="str">
        <f>IF(H887&gt;'I. Stream &amp; Compound Data'!$F$18,"",IF(L887="N/A",IF(J887="","N/A",ROUND(IF(J887&lt;=3,0,IF(AND(J887&gt;3,J887&lt;5),0.5*(J887)-1.5,1)),3)),"N/A"))</f>
        <v/>
      </c>
      <c r="N887" s="1242" t="str">
        <f>IF(H887&gt;'I. Stream &amp; Compound Data'!$F$18,"",IF(AND(L887="N/A",M887="N/A"),IF(K887="","N/A",IF(OR(K887=48,K887=53,K887=58),1,IF(K887=33,0.5,0))),"N/A"))</f>
        <v/>
      </c>
      <c r="O887" s="1242" t="str">
        <f>IF(H887&gt;'I. Stream &amp; Compound Data'!$F$18,"",IF(I187="","N/A",IF(L887&lt;&gt;"N/A",L887,IF(M887&lt;&gt;"N/A",M887,IF(N887&lt;&gt;"N/A",N887,"NO DATA AVAILABLE")))))</f>
        <v/>
      </c>
      <c r="P887" s="1242" t="str">
        <f>IF(H887&gt;'I. Stream &amp; Compound Data'!$F$18,"",IF(O887="N/A","",10^(2*O887)))</f>
        <v/>
      </c>
      <c r="Q887" s="1242" t="str">
        <f>'I. Stream &amp; Compound Data'!P307</f>
        <v/>
      </c>
      <c r="R887" s="1268" t="str">
        <f>IF(Q887="","",IF('I. Stream &amp; Compound Data'!E77="H2O",0,P887*Q887))</f>
        <v/>
      </c>
      <c r="S887" s="298"/>
      <c r="T887" s="298"/>
      <c r="U887" s="299"/>
      <c r="V887" s="279"/>
      <c r="W887" s="279"/>
      <c r="X887" s="279"/>
      <c r="Y887" s="279"/>
      <c r="Z887" s="279"/>
      <c r="AA887" s="279"/>
      <c r="AB887" s="279"/>
      <c r="AC887" s="279"/>
      <c r="AD887" s="279"/>
      <c r="AE887" s="279"/>
      <c r="AF887" s="279"/>
      <c r="AG887" s="279"/>
      <c r="AH887" s="279"/>
      <c r="AI887" s="279"/>
      <c r="AJ887" s="279"/>
      <c r="AK887" s="279"/>
      <c r="AL887" s="279"/>
      <c r="AM887" s="279"/>
      <c r="AN887" s="279"/>
      <c r="AO887" s="279"/>
      <c r="AP887" s="279"/>
      <c r="AQ887" s="279"/>
      <c r="AR887" s="279"/>
      <c r="AS887" s="279"/>
      <c r="AT887" s="279"/>
      <c r="AU887" s="279"/>
      <c r="AV887" s="279"/>
      <c r="AW887" s="279"/>
      <c r="AX887" s="279"/>
      <c r="AY887" s="279"/>
      <c r="AZ887" s="279"/>
      <c r="BA887" s="279"/>
      <c r="BB887" s="279"/>
      <c r="BC887" s="279"/>
      <c r="BD887" s="279"/>
      <c r="BE887" s="279"/>
      <c r="BF887" s="279"/>
      <c r="BG887" s="279"/>
      <c r="BH887" s="279"/>
      <c r="BI887" s="279"/>
      <c r="BJ887" s="279"/>
      <c r="BK887" s="279"/>
      <c r="BL887" s="279"/>
      <c r="BM887" s="279"/>
      <c r="BN887" s="279"/>
      <c r="BO887" s="279"/>
      <c r="BP887" s="279"/>
      <c r="BQ887" s="279"/>
      <c r="BR887" s="279"/>
      <c r="BS887" s="279"/>
      <c r="BT887" s="279"/>
      <c r="BU887" s="279"/>
      <c r="BV887" s="279"/>
      <c r="BW887" s="279"/>
      <c r="BX887" s="279"/>
      <c r="BY887" s="279"/>
      <c r="BZ887" s="279"/>
      <c r="CA887" s="279"/>
      <c r="CB887" s="279"/>
      <c r="CC887" s="279"/>
      <c r="CD887" s="279"/>
      <c r="CE887" s="279"/>
      <c r="CF887" s="279"/>
      <c r="CG887" s="279"/>
      <c r="CH887" s="279"/>
      <c r="CI887" s="279"/>
      <c r="CJ887" s="279"/>
      <c r="CK887" s="279"/>
      <c r="CL887" s="279"/>
      <c r="CM887" s="279"/>
      <c r="CN887" s="382"/>
    </row>
    <row r="888" x14ac:dyDescent="0.25">
      <c r="B888" s="361"/>
      <c r="C888" s="279"/>
      <c r="D888" s="280"/>
      <c r="E888" s="287"/>
      <c r="F888" s="287"/>
      <c r="G888" s="287"/>
      <c r="H888" s="1292">
        <f t="shared" si="36"/>
        <v>47</v>
      </c>
      <c r="I888" s="1295" t="str">
        <f>IF('I. Stream &amp; Compound Data'!AE308&lt;&gt;"",LOG10('I. Stream &amp; Compound Data'!AE308),"")</f>
        <v/>
      </c>
      <c r="J888" s="1295" t="str">
        <f>IF('I. Stream &amp; Compound Data'!AF308&lt;&gt;"",'I. Stream &amp; Compound Data'!AF308,"")</f>
        <v/>
      </c>
      <c r="K888" s="1295" t="str">
        <f>IF('I. Stream &amp; Compound Data'!AR308&lt;&gt;"",'I. Stream &amp; Compound Data'!AR308,IF('I. Stream &amp; Compound Data'!AS308&lt;&gt;"",'I. Stream &amp; Compound Data'!AS308,IF(AND(I888="",J888="",H888&lt;='I. Stream &amp; Compound Data'!$F$18),"N/A","")))</f>
        <v/>
      </c>
      <c r="L888" s="1306" t="str">
        <f>IF(H888&gt;'I. Stream &amp; Compound Data'!$F$18,"",IF(I888="","N/A",ROUND(IF(I888&lt;=2,0,IF(AND(I888&gt;2,I888&lt;4),0.5*(I888)-1,1)),3)))</f>
        <v/>
      </c>
      <c r="M888" s="1168" t="str">
        <f>IF(H888&gt;'I. Stream &amp; Compound Data'!$F$18,"",IF(L888="N/A",IF(J888="","N/A",ROUND(IF(J888&lt;=3,0,IF(AND(J888&gt;3,J888&lt;5),0.5*(J888)-1.5,1)),3)),"N/A"))</f>
        <v/>
      </c>
      <c r="N888" s="1242" t="str">
        <f>IF(H888&gt;'I. Stream &amp; Compound Data'!$F$18,"",IF(AND(L888="N/A",M888="N/A"),IF(K888="","N/A",IF(OR(K888=48,K888=53,K888=58),1,IF(K888=33,0.5,0))),"N/A"))</f>
        <v/>
      </c>
      <c r="O888" s="1242" t="str">
        <f>IF(H888&gt;'I. Stream &amp; Compound Data'!$F$18,"",IF(I188="","N/A",IF(L888&lt;&gt;"N/A",L888,IF(M888&lt;&gt;"N/A",M888,IF(N888&lt;&gt;"N/A",N888,"NO DATA AVAILABLE")))))</f>
        <v/>
      </c>
      <c r="P888" s="1242" t="str">
        <f>IF(H888&gt;'I. Stream &amp; Compound Data'!$F$18,"",IF(O888="N/A","",10^(2*O888)))</f>
        <v/>
      </c>
      <c r="Q888" s="1242" t="str">
        <f>'I. Stream &amp; Compound Data'!P308</f>
        <v/>
      </c>
      <c r="R888" s="1268" t="str">
        <f>IF(Q888="","",IF('I. Stream &amp; Compound Data'!E78="H2O",0,P888*Q888))</f>
        <v/>
      </c>
      <c r="S888" s="298"/>
      <c r="T888" s="298"/>
      <c r="U888" s="299"/>
      <c r="V888" s="279"/>
      <c r="W888" s="279"/>
      <c r="X888" s="279"/>
      <c r="Y888" s="279"/>
      <c r="Z888" s="279"/>
      <c r="AA888" s="279"/>
      <c r="AB888" s="279"/>
      <c r="AC888" s="279"/>
      <c r="AD888" s="279"/>
      <c r="AE888" s="279"/>
      <c r="AF888" s="279"/>
      <c r="AG888" s="279"/>
      <c r="AH888" s="279"/>
      <c r="AI888" s="279"/>
      <c r="AJ888" s="279"/>
      <c r="AK888" s="279"/>
      <c r="AL888" s="279"/>
      <c r="AM888" s="279"/>
      <c r="AN888" s="279"/>
      <c r="AO888" s="279"/>
      <c r="AP888" s="279"/>
      <c r="AQ888" s="279"/>
      <c r="AR888" s="279"/>
      <c r="AS888" s="279"/>
      <c r="AT888" s="279"/>
      <c r="AU888" s="279"/>
      <c r="AV888" s="279"/>
      <c r="AW888" s="279"/>
      <c r="AX888" s="279"/>
      <c r="AY888" s="279"/>
      <c r="AZ888" s="279"/>
      <c r="BA888" s="279"/>
      <c r="BB888" s="279"/>
      <c r="BC888" s="279"/>
      <c r="BD888" s="279"/>
      <c r="BE888" s="279"/>
      <c r="BF888" s="279"/>
      <c r="BG888" s="279"/>
      <c r="BH888" s="279"/>
      <c r="BI888" s="279"/>
      <c r="BJ888" s="279"/>
      <c r="BK888" s="279"/>
      <c r="BL888" s="279"/>
      <c r="BM888" s="279"/>
      <c r="BN888" s="279"/>
      <c r="BO888" s="279"/>
      <c r="BP888" s="279"/>
      <c r="BQ888" s="279"/>
      <c r="BR888" s="279"/>
      <c r="BS888" s="279"/>
      <c r="BT888" s="279"/>
      <c r="BU888" s="279"/>
      <c r="BV888" s="279"/>
      <c r="BW888" s="279"/>
      <c r="BX888" s="279"/>
      <c r="BY888" s="279"/>
      <c r="BZ888" s="279"/>
      <c r="CA888" s="279"/>
      <c r="CB888" s="279"/>
      <c r="CC888" s="279"/>
      <c r="CD888" s="279"/>
      <c r="CE888" s="279"/>
      <c r="CF888" s="279"/>
      <c r="CG888" s="279"/>
      <c r="CH888" s="279"/>
      <c r="CI888" s="279"/>
      <c r="CJ888" s="279"/>
      <c r="CK888" s="279"/>
      <c r="CL888" s="279"/>
      <c r="CM888" s="279"/>
      <c r="CN888" s="382"/>
    </row>
    <row r="889" x14ac:dyDescent="0.25">
      <c r="B889" s="361"/>
      <c r="C889" s="279"/>
      <c r="D889" s="280"/>
      <c r="E889" s="287"/>
      <c r="F889" s="287"/>
      <c r="G889" s="287"/>
      <c r="H889" s="1292">
        <f t="shared" si="36"/>
        <v>48</v>
      </c>
      <c r="I889" s="1295" t="str">
        <f>IF('I. Stream &amp; Compound Data'!AE309&lt;&gt;"",LOG10('I. Stream &amp; Compound Data'!AE309),"")</f>
        <v/>
      </c>
      <c r="J889" s="1295" t="str">
        <f>IF('I. Stream &amp; Compound Data'!AF309&lt;&gt;"",'I. Stream &amp; Compound Data'!AF309,"")</f>
        <v/>
      </c>
      <c r="K889" s="1295" t="str">
        <f>IF('I. Stream &amp; Compound Data'!AR309&lt;&gt;"",'I. Stream &amp; Compound Data'!AR309,IF('I. Stream &amp; Compound Data'!AS309&lt;&gt;"",'I. Stream &amp; Compound Data'!AS309,IF(AND(I889="",J889="",H889&lt;='I. Stream &amp; Compound Data'!$F$18),"N/A","")))</f>
        <v/>
      </c>
      <c r="L889" s="1306" t="str">
        <f>IF(H889&gt;'I. Stream &amp; Compound Data'!$F$18,"",IF(I889="","N/A",ROUND(IF(I889&lt;=2,0,IF(AND(I889&gt;2,I889&lt;4),0.5*(I889)-1,1)),3)))</f>
        <v/>
      </c>
      <c r="M889" s="1168" t="str">
        <f>IF(H889&gt;'I. Stream &amp; Compound Data'!$F$18,"",IF(L889="N/A",IF(J889="","N/A",ROUND(IF(J889&lt;=3,0,IF(AND(J889&gt;3,J889&lt;5),0.5*(J889)-1.5,1)),3)),"N/A"))</f>
        <v/>
      </c>
      <c r="N889" s="1242" t="str">
        <f>IF(H889&gt;'I. Stream &amp; Compound Data'!$F$18,"",IF(AND(L889="N/A",M889="N/A"),IF(K889="","N/A",IF(OR(K889=48,K889=53,K889=58),1,IF(K889=33,0.5,0))),"N/A"))</f>
        <v/>
      </c>
      <c r="O889" s="1242" t="str">
        <f>IF(H889&gt;'I. Stream &amp; Compound Data'!$F$18,"",IF(I189="","N/A",IF(L889&lt;&gt;"N/A",L889,IF(M889&lt;&gt;"N/A",M889,IF(N889&lt;&gt;"N/A",N889,"NO DATA AVAILABLE")))))</f>
        <v/>
      </c>
      <c r="P889" s="1242" t="str">
        <f>IF(H889&gt;'I. Stream &amp; Compound Data'!$F$18,"",IF(O889="N/A","",10^(2*O889)))</f>
        <v/>
      </c>
      <c r="Q889" s="1242" t="str">
        <f>'I. Stream &amp; Compound Data'!P309</f>
        <v/>
      </c>
      <c r="R889" s="1268" t="str">
        <f>IF(Q889="","",IF('I. Stream &amp; Compound Data'!E79="H2O",0,P889*Q889))</f>
        <v/>
      </c>
      <c r="S889" s="298"/>
      <c r="T889" s="298"/>
      <c r="U889" s="299"/>
      <c r="V889" s="279"/>
      <c r="W889" s="279"/>
      <c r="X889" s="279"/>
      <c r="Y889" s="279"/>
      <c r="Z889" s="279"/>
      <c r="AA889" s="279"/>
      <c r="AB889" s="279"/>
      <c r="AC889" s="279"/>
      <c r="AD889" s="279"/>
      <c r="AE889" s="279"/>
      <c r="AF889" s="279"/>
      <c r="AG889" s="279"/>
      <c r="AH889" s="279"/>
      <c r="AI889" s="279"/>
      <c r="AJ889" s="279"/>
      <c r="AK889" s="279"/>
      <c r="AL889" s="279"/>
      <c r="AM889" s="279"/>
      <c r="AN889" s="279"/>
      <c r="AO889" s="279"/>
      <c r="AP889" s="279"/>
      <c r="AQ889" s="279"/>
      <c r="AR889" s="279"/>
      <c r="AS889" s="279"/>
      <c r="AT889" s="279"/>
      <c r="AU889" s="279"/>
      <c r="AV889" s="279"/>
      <c r="AW889" s="279"/>
      <c r="AX889" s="279"/>
      <c r="AY889" s="279"/>
      <c r="AZ889" s="279"/>
      <c r="BA889" s="279"/>
      <c r="BB889" s="279"/>
      <c r="BC889" s="279"/>
      <c r="BD889" s="279"/>
      <c r="BE889" s="279"/>
      <c r="BF889" s="279"/>
      <c r="BG889" s="279"/>
      <c r="BH889" s="279"/>
      <c r="BI889" s="279"/>
      <c r="BJ889" s="279"/>
      <c r="BK889" s="279"/>
      <c r="BL889" s="279"/>
      <c r="BM889" s="279"/>
      <c r="BN889" s="279"/>
      <c r="BO889" s="279"/>
      <c r="BP889" s="279"/>
      <c r="BQ889" s="279"/>
      <c r="BR889" s="279"/>
      <c r="BS889" s="279"/>
      <c r="BT889" s="279"/>
      <c r="BU889" s="279"/>
      <c r="BV889" s="279"/>
      <c r="BW889" s="279"/>
      <c r="BX889" s="279"/>
      <c r="BY889" s="279"/>
      <c r="BZ889" s="279"/>
      <c r="CA889" s="279"/>
      <c r="CB889" s="279"/>
      <c r="CC889" s="279"/>
      <c r="CD889" s="279"/>
      <c r="CE889" s="279"/>
      <c r="CF889" s="279"/>
      <c r="CG889" s="279"/>
      <c r="CH889" s="279"/>
      <c r="CI889" s="279"/>
      <c r="CJ889" s="279"/>
      <c r="CK889" s="279"/>
      <c r="CL889" s="279"/>
      <c r="CM889" s="279"/>
      <c r="CN889" s="382"/>
    </row>
    <row r="890" x14ac:dyDescent="0.25">
      <c r="B890" s="361"/>
      <c r="C890" s="279"/>
      <c r="D890" s="280"/>
      <c r="E890" s="287"/>
      <c r="F890" s="287"/>
      <c r="G890" s="287"/>
      <c r="H890" s="1292">
        <f t="shared" si="36"/>
        <v>49</v>
      </c>
      <c r="I890" s="1295" t="str">
        <f>IF('I. Stream &amp; Compound Data'!AE310&lt;&gt;"",LOG10('I. Stream &amp; Compound Data'!AE310),"")</f>
        <v/>
      </c>
      <c r="J890" s="1295" t="str">
        <f>IF('I. Stream &amp; Compound Data'!AF310&lt;&gt;"",'I. Stream &amp; Compound Data'!AF310,"")</f>
        <v/>
      </c>
      <c r="K890" s="1295" t="str">
        <f>IF('I. Stream &amp; Compound Data'!AR310&lt;&gt;"",'I. Stream &amp; Compound Data'!AR310,IF('I. Stream &amp; Compound Data'!AS310&lt;&gt;"",'I. Stream &amp; Compound Data'!AS310,IF(AND(I890="",J890="",H890&lt;='I. Stream &amp; Compound Data'!$F$18),"N/A","")))</f>
        <v/>
      </c>
      <c r="L890" s="1306" t="str">
        <f>IF(H890&gt;'I. Stream &amp; Compound Data'!$F$18,"",IF(I890="","N/A",ROUND(IF(I890&lt;=2,0,IF(AND(I890&gt;2,I890&lt;4),0.5*(I890)-1,1)),3)))</f>
        <v/>
      </c>
      <c r="M890" s="1168" t="str">
        <f>IF(H890&gt;'I. Stream &amp; Compound Data'!$F$18,"",IF(L890="N/A",IF(J890="","N/A",ROUND(IF(J890&lt;=3,0,IF(AND(J890&gt;3,J890&lt;5),0.5*(J890)-1.5,1)),3)),"N/A"))</f>
        <v/>
      </c>
      <c r="N890" s="1242" t="str">
        <f>IF(H890&gt;'I. Stream &amp; Compound Data'!$F$18,"",IF(AND(L890="N/A",M890="N/A"),IF(K890="","N/A",IF(OR(K890=48,K890=53,K890=58),1,IF(K890=33,0.5,0))),"N/A"))</f>
        <v/>
      </c>
      <c r="O890" s="1242" t="str">
        <f>IF(H890&gt;'I. Stream &amp; Compound Data'!$F$18,"",IF(I190="","N/A",IF(L890&lt;&gt;"N/A",L890,IF(M890&lt;&gt;"N/A",M890,IF(N890&lt;&gt;"N/A",N890,"NO DATA AVAILABLE")))))</f>
        <v/>
      </c>
      <c r="P890" s="1242" t="str">
        <f>IF(H890&gt;'I. Stream &amp; Compound Data'!$F$18,"",IF(O890="N/A","",10^(2*O890)))</f>
        <v/>
      </c>
      <c r="Q890" s="1242" t="str">
        <f>'I. Stream &amp; Compound Data'!P310</f>
        <v/>
      </c>
      <c r="R890" s="1268" t="str">
        <f>IF(Q890="","",IF('I. Stream &amp; Compound Data'!E80="H2O",0,P890*Q890))</f>
        <v/>
      </c>
      <c r="S890" s="298"/>
      <c r="T890" s="298"/>
      <c r="U890" s="299"/>
      <c r="V890" s="279"/>
      <c r="W890" s="279"/>
      <c r="X890" s="279"/>
      <c r="Y890" s="279"/>
      <c r="Z890" s="279"/>
      <c r="AA890" s="279"/>
      <c r="AB890" s="279"/>
      <c r="AC890" s="279"/>
      <c r="AD890" s="279"/>
      <c r="AE890" s="279"/>
      <c r="AF890" s="279"/>
      <c r="AG890" s="279"/>
      <c r="AH890" s="279"/>
      <c r="AI890" s="279"/>
      <c r="AJ890" s="279"/>
      <c r="AK890" s="279"/>
      <c r="AL890" s="279"/>
      <c r="AM890" s="279"/>
      <c r="AN890" s="279"/>
      <c r="AO890" s="279"/>
      <c r="AP890" s="279"/>
      <c r="AQ890" s="279"/>
      <c r="AR890" s="279"/>
      <c r="AS890" s="279"/>
      <c r="AT890" s="279"/>
      <c r="AU890" s="279"/>
      <c r="AV890" s="279"/>
      <c r="AW890" s="279"/>
      <c r="AX890" s="279"/>
      <c r="AY890" s="279"/>
      <c r="AZ890" s="279"/>
      <c r="BA890" s="279"/>
      <c r="BB890" s="279"/>
      <c r="BC890" s="279"/>
      <c r="BD890" s="279"/>
      <c r="BE890" s="279"/>
      <c r="BF890" s="279"/>
      <c r="BG890" s="279"/>
      <c r="BH890" s="279"/>
      <c r="BI890" s="279"/>
      <c r="BJ890" s="279"/>
      <c r="BK890" s="279"/>
      <c r="BL890" s="279"/>
      <c r="BM890" s="279"/>
      <c r="BN890" s="279"/>
      <c r="BO890" s="279"/>
      <c r="BP890" s="279"/>
      <c r="BQ890" s="279"/>
      <c r="BR890" s="279"/>
      <c r="BS890" s="279"/>
      <c r="BT890" s="279"/>
      <c r="BU890" s="279"/>
      <c r="BV890" s="279"/>
      <c r="BW890" s="279"/>
      <c r="BX890" s="279"/>
      <c r="BY890" s="279"/>
      <c r="BZ890" s="279"/>
      <c r="CA890" s="279"/>
      <c r="CB890" s="279"/>
      <c r="CC890" s="279"/>
      <c r="CD890" s="279"/>
      <c r="CE890" s="279"/>
      <c r="CF890" s="279"/>
      <c r="CG890" s="279"/>
      <c r="CH890" s="279"/>
      <c r="CI890" s="279"/>
      <c r="CJ890" s="279"/>
      <c r="CK890" s="279"/>
      <c r="CL890" s="279"/>
      <c r="CM890" s="279"/>
      <c r="CN890" s="382"/>
    </row>
    <row r="891" ht="16.2" thickBot="true" x14ac:dyDescent="0.3">
      <c r="B891" s="361"/>
      <c r="C891" s="279"/>
      <c r="D891" s="280"/>
      <c r="E891" s="287"/>
      <c r="F891" s="287"/>
      <c r="G891" s="287"/>
      <c r="H891" s="1298">
        <f t="shared" si="36"/>
        <v>50</v>
      </c>
      <c r="I891" s="1301" t="str">
        <f>IF('I. Stream &amp; Compound Data'!AE311&lt;&gt;"",LOG10('I. Stream &amp; Compound Data'!AE311),"")</f>
        <v/>
      </c>
      <c r="J891" s="1301" t="str">
        <f>IF('I. Stream &amp; Compound Data'!AF311&lt;&gt;"",'I. Stream &amp; Compound Data'!AF311,"")</f>
        <v/>
      </c>
      <c r="K891" s="1301" t="str">
        <f>IF('I. Stream &amp; Compound Data'!AR311&lt;&gt;"",'I. Stream &amp; Compound Data'!AR311,IF('I. Stream &amp; Compound Data'!AS311&lt;&gt;"",'I. Stream &amp; Compound Data'!AS311,IF(AND(I891="",J891="",H891&lt;='I. Stream &amp; Compound Data'!$F$18),"N/A","")))</f>
        <v/>
      </c>
      <c r="L891" s="1308" t="str">
        <f>IF(H891&gt;'I. Stream &amp; Compound Data'!$F$18,"",IF(I891="","N/A",ROUND(IF(I891&lt;=2,0,IF(AND(I891&gt;2,I891&lt;4),0.5*(I891)-1,1)),3)))</f>
        <v/>
      </c>
      <c r="M891" s="1225" t="str">
        <f>IF(H891&gt;'I. Stream &amp; Compound Data'!$F$18,"",IF(L891="N/A",IF(J891="","N/A",ROUND(IF(J891&lt;=3,0,IF(AND(J891&gt;3,J891&lt;5),0.5*(J891)-1.5,1)),3)),"N/A"))</f>
        <v/>
      </c>
      <c r="N891" s="1210" t="str">
        <f>IF(H891&gt;'I. Stream &amp; Compound Data'!$F$18,"",IF(AND(L891="N/A",M891="N/A"),IF(K891="","N/A",IF(OR(K891=48,K891=53,K891=58),1,IF(K891=33,0.5,0))),"N/A"))</f>
        <v/>
      </c>
      <c r="O891" s="1210" t="str">
        <f>IF(H891&gt;'I. Stream &amp; Compound Data'!$F$18,"",IF(I191="","N/A",IF(L891&lt;&gt;"N/A",L891,IF(M891&lt;&gt;"N/A",M891,IF(N891&lt;&gt;"N/A",N891,"NO DATA AVAILABLE")))))</f>
        <v/>
      </c>
      <c r="P891" s="1210" t="str">
        <f>IF(H891&gt;'I. Stream &amp; Compound Data'!$F$18,"",IF(O891="N/A","",10^(2*O891)))</f>
        <v/>
      </c>
      <c r="Q891" s="1210" t="str">
        <f>'I. Stream &amp; Compound Data'!P311</f>
        <v/>
      </c>
      <c r="R891" s="1270" t="str">
        <f>IF(Q891="","",IF('I. Stream &amp; Compound Data'!E81="H2O",0,P891*Q891))</f>
        <v/>
      </c>
      <c r="S891" s="298"/>
      <c r="T891" s="298"/>
      <c r="U891" s="299"/>
      <c r="V891" s="279"/>
      <c r="W891" s="279"/>
      <c r="X891" s="279"/>
      <c r="Y891" s="279"/>
      <c r="Z891" s="279"/>
      <c r="AA891" s="279"/>
      <c r="AB891" s="279"/>
      <c r="AC891" s="279"/>
      <c r="AD891" s="279"/>
      <c r="AE891" s="279"/>
      <c r="AF891" s="279"/>
      <c r="AG891" s="279"/>
      <c r="AH891" s="279"/>
      <c r="AI891" s="279"/>
      <c r="AJ891" s="279"/>
      <c r="AK891" s="279"/>
      <c r="AL891" s="279"/>
      <c r="AM891" s="279"/>
      <c r="AN891" s="279"/>
      <c r="AO891" s="279"/>
      <c r="AP891" s="279"/>
      <c r="AQ891" s="279"/>
      <c r="AR891" s="279"/>
      <c r="AS891" s="279"/>
      <c r="AT891" s="279"/>
      <c r="AU891" s="279"/>
      <c r="AV891" s="279"/>
      <c r="AW891" s="279"/>
      <c r="AX891" s="279"/>
      <c r="AY891" s="279"/>
      <c r="AZ891" s="279"/>
      <c r="BA891" s="279"/>
      <c r="BB891" s="279"/>
      <c r="BC891" s="279"/>
      <c r="BD891" s="279"/>
      <c r="BE891" s="279"/>
      <c r="BF891" s="279"/>
      <c r="BG891" s="279"/>
      <c r="BH891" s="279"/>
      <c r="BI891" s="279"/>
      <c r="BJ891" s="279"/>
      <c r="BK891" s="279"/>
      <c r="BL891" s="279"/>
      <c r="BM891" s="279"/>
      <c r="BN891" s="279"/>
      <c r="BO891" s="279"/>
      <c r="BP891" s="279"/>
      <c r="BQ891" s="279"/>
      <c r="BR891" s="279"/>
      <c r="BS891" s="279"/>
      <c r="BT891" s="279"/>
      <c r="BU891" s="279"/>
      <c r="BV891" s="279"/>
      <c r="BW891" s="279"/>
      <c r="BX891" s="279"/>
      <c r="BY891" s="279"/>
      <c r="BZ891" s="279"/>
      <c r="CA891" s="279"/>
      <c r="CB891" s="279"/>
      <c r="CC891" s="279"/>
      <c r="CD891" s="279"/>
      <c r="CE891" s="279"/>
      <c r="CF891" s="279"/>
      <c r="CG891" s="279"/>
      <c r="CH891" s="279"/>
      <c r="CI891" s="279"/>
      <c r="CJ891" s="279"/>
      <c r="CK891" s="279"/>
      <c r="CL891" s="279"/>
      <c r="CM891" s="279"/>
      <c r="CN891" s="382"/>
    </row>
    <row r="892" ht="16.2" thickBot="true" x14ac:dyDescent="0.3">
      <c r="B892" s="361"/>
      <c r="C892" s="279"/>
      <c r="D892" s="280"/>
      <c r="E892" s="287"/>
      <c r="F892" s="287"/>
      <c r="G892" s="287"/>
      <c r="H892" s="280"/>
      <c r="I892" s="304"/>
      <c r="J892" s="279"/>
      <c r="K892" s="280"/>
      <c r="L892" s="362"/>
      <c r="M892" s="287"/>
      <c r="N892" s="296"/>
      <c r="O892" s="280"/>
      <c r="P892" s="280"/>
      <c r="Q892" s="287" t="s">
        <v>88</v>
      </c>
      <c r="R892" s="1322" t="e">
        <f>SUM(R842:R891)</f>
        <v>#VALUE!</v>
      </c>
      <c r="S892" s="298"/>
      <c r="T892" s="298"/>
      <c r="U892" s="299"/>
      <c r="V892" s="279"/>
      <c r="W892" s="279"/>
      <c r="X892" s="279"/>
      <c r="Y892" s="279"/>
      <c r="Z892" s="279"/>
      <c r="AA892" s="279"/>
      <c r="AB892" s="279"/>
      <c r="AC892" s="279"/>
      <c r="AD892" s="279"/>
      <c r="AE892" s="279"/>
      <c r="AF892" s="279"/>
      <c r="AG892" s="279"/>
      <c r="AH892" s="279"/>
      <c r="AI892" s="279"/>
      <c r="AJ892" s="279"/>
      <c r="AK892" s="279"/>
      <c r="AL892" s="279"/>
      <c r="AM892" s="279"/>
      <c r="AN892" s="279"/>
      <c r="AO892" s="279"/>
      <c r="AP892" s="279"/>
      <c r="AQ892" s="279"/>
      <c r="AR892" s="279"/>
      <c r="AS892" s="279"/>
      <c r="AT892" s="279"/>
      <c r="AU892" s="279"/>
      <c r="AV892" s="279"/>
      <c r="AW892" s="279"/>
      <c r="AX892" s="279"/>
      <c r="AY892" s="279"/>
      <c r="AZ892" s="279"/>
      <c r="BA892" s="279"/>
      <c r="BB892" s="279"/>
      <c r="BC892" s="279"/>
      <c r="BD892" s="279"/>
      <c r="BE892" s="279"/>
      <c r="BF892" s="279"/>
      <c r="BG892" s="279"/>
      <c r="BH892" s="279"/>
      <c r="BI892" s="279"/>
      <c r="BJ892" s="279"/>
      <c r="BK892" s="279"/>
      <c r="BL892" s="279"/>
      <c r="BM892" s="279"/>
      <c r="BN892" s="279"/>
      <c r="BO892" s="279"/>
      <c r="BP892" s="279"/>
      <c r="BQ892" s="279"/>
      <c r="BR892" s="279"/>
      <c r="BS892" s="279"/>
      <c r="BT892" s="279"/>
      <c r="BU892" s="279"/>
      <c r="BV892" s="279"/>
      <c r="BW892" s="279"/>
      <c r="BX892" s="279"/>
      <c r="BY892" s="279"/>
      <c r="BZ892" s="279"/>
      <c r="CA892" s="279"/>
      <c r="CB892" s="279"/>
      <c r="CC892" s="279"/>
      <c r="CD892" s="279"/>
      <c r="CE892" s="279"/>
      <c r="CF892" s="279"/>
      <c r="CG892" s="279"/>
      <c r="CH892" s="279"/>
      <c r="CI892" s="279"/>
      <c r="CJ892" s="279"/>
      <c r="CK892" s="279"/>
      <c r="CL892" s="279"/>
      <c r="CM892" s="279"/>
      <c r="CN892" s="382"/>
    </row>
    <row r="893" x14ac:dyDescent="0.25">
      <c r="B893" s="361"/>
      <c r="C893" s="279"/>
      <c r="D893" s="280"/>
      <c r="E893" s="287"/>
      <c r="F893" s="287"/>
      <c r="G893" s="287"/>
      <c r="H893" s="280"/>
      <c r="I893" s="304"/>
      <c r="J893" s="279"/>
      <c r="K893" s="280"/>
      <c r="L893" s="362"/>
      <c r="M893" s="287"/>
      <c r="N893" s="296"/>
      <c r="O893" s="280"/>
      <c r="P893" s="280"/>
      <c r="Q893" s="287"/>
      <c r="R893" s="287"/>
      <c r="S893" s="298"/>
      <c r="T893" s="298"/>
      <c r="U893" s="299"/>
      <c r="V893" s="279"/>
      <c r="W893" s="279"/>
      <c r="X893" s="279"/>
      <c r="Y893" s="279"/>
      <c r="Z893" s="279"/>
      <c r="AA893" s="279"/>
      <c r="AB893" s="279"/>
      <c r="AC893" s="279"/>
      <c r="AD893" s="279"/>
      <c r="AE893" s="279"/>
      <c r="AF893" s="279"/>
      <c r="AG893" s="279"/>
      <c r="AH893" s="279"/>
      <c r="AI893" s="279"/>
      <c r="AJ893" s="279"/>
      <c r="AK893" s="279"/>
      <c r="AL893" s="279"/>
      <c r="AM893" s="279"/>
      <c r="AN893" s="279"/>
      <c r="AO893" s="279"/>
      <c r="AP893" s="279"/>
      <c r="AQ893" s="279"/>
      <c r="AR893" s="279"/>
      <c r="AS893" s="279"/>
      <c r="AT893" s="279"/>
      <c r="AU893" s="279"/>
      <c r="AV893" s="279"/>
      <c r="AW893" s="279"/>
      <c r="AX893" s="279"/>
      <c r="AY893" s="279"/>
      <c r="AZ893" s="279"/>
      <c r="BA893" s="279"/>
      <c r="BB893" s="279"/>
      <c r="BC893" s="279"/>
      <c r="BD893" s="279"/>
      <c r="BE893" s="279"/>
      <c r="BF893" s="279"/>
      <c r="BG893" s="279"/>
      <c r="BH893" s="279"/>
      <c r="BI893" s="279"/>
      <c r="BJ893" s="279"/>
      <c r="BK893" s="279"/>
      <c r="BL893" s="279"/>
      <c r="BM893" s="279"/>
      <c r="BN893" s="279"/>
      <c r="BO893" s="279"/>
      <c r="BP893" s="279"/>
      <c r="BQ893" s="279"/>
      <c r="BR893" s="279"/>
      <c r="BS893" s="279"/>
      <c r="BT893" s="279"/>
      <c r="BU893" s="279"/>
      <c r="BV893" s="279"/>
      <c r="BW893" s="279"/>
      <c r="BX893" s="279"/>
      <c r="BY893" s="279"/>
      <c r="BZ893" s="279"/>
      <c r="CA893" s="279"/>
      <c r="CB893" s="279"/>
      <c r="CC893" s="279"/>
      <c r="CD893" s="279"/>
      <c r="CE893" s="279"/>
      <c r="CF893" s="279"/>
      <c r="CG893" s="279"/>
      <c r="CH893" s="279"/>
      <c r="CI893" s="279"/>
      <c r="CJ893" s="279"/>
      <c r="CK893" s="279"/>
      <c r="CL893" s="279"/>
      <c r="CM893" s="279"/>
      <c r="CN893" s="382"/>
    </row>
    <row r="894" x14ac:dyDescent="0.25">
      <c r="B894" s="361"/>
      <c r="C894" s="279"/>
      <c r="D894" s="280"/>
      <c r="E894" s="287"/>
      <c r="F894" s="287"/>
      <c r="G894" s="287"/>
      <c r="H894" s="280"/>
      <c r="I894" s="304"/>
      <c r="J894" s="279"/>
      <c r="K894" s="280"/>
      <c r="L894" s="362"/>
      <c r="M894" s="287"/>
      <c r="N894" s="296"/>
      <c r="O894" s="280"/>
      <c r="P894" s="280"/>
      <c r="Q894" s="287"/>
      <c r="R894" s="287"/>
      <c r="S894" s="298"/>
      <c r="T894" s="298"/>
      <c r="U894" s="299"/>
      <c r="V894" s="279"/>
      <c r="W894" s="279"/>
      <c r="X894" s="279"/>
      <c r="Y894" s="279"/>
      <c r="Z894" s="279"/>
      <c r="AA894" s="279"/>
      <c r="AB894" s="279"/>
      <c r="AC894" s="279"/>
      <c r="AD894" s="279"/>
      <c r="AE894" s="279"/>
      <c r="AF894" s="279"/>
      <c r="AG894" s="279"/>
      <c r="AH894" s="279"/>
      <c r="AI894" s="279"/>
      <c r="AJ894" s="279"/>
      <c r="AK894" s="279"/>
      <c r="AL894" s="279"/>
      <c r="AM894" s="279"/>
      <c r="AN894" s="279"/>
      <c r="AO894" s="279"/>
      <c r="AP894" s="279"/>
      <c r="AQ894" s="279"/>
      <c r="AR894" s="279"/>
      <c r="AS894" s="279"/>
      <c r="AT894" s="279"/>
      <c r="AU894" s="279"/>
      <c r="AV894" s="279"/>
      <c r="AW894" s="279"/>
      <c r="AX894" s="279"/>
      <c r="AY894" s="279"/>
      <c r="AZ894" s="279"/>
      <c r="BA894" s="279"/>
      <c r="BB894" s="279"/>
      <c r="BC894" s="279"/>
      <c r="BD894" s="279"/>
      <c r="BE894" s="279"/>
      <c r="BF894" s="279"/>
      <c r="BG894" s="279"/>
      <c r="BH894" s="279"/>
      <c r="BI894" s="279"/>
      <c r="BJ894" s="279"/>
      <c r="BK894" s="279"/>
      <c r="BL894" s="279"/>
      <c r="BM894" s="279"/>
      <c r="BN894" s="279"/>
      <c r="BO894" s="279"/>
      <c r="BP894" s="279"/>
      <c r="BQ894" s="279"/>
      <c r="BR894" s="279"/>
      <c r="BS894" s="279"/>
      <c r="BT894" s="279"/>
      <c r="BU894" s="279"/>
      <c r="BV894" s="279"/>
      <c r="BW894" s="279"/>
      <c r="BX894" s="279"/>
      <c r="BY894" s="279"/>
      <c r="BZ894" s="279"/>
      <c r="CA894" s="279"/>
      <c r="CB894" s="279"/>
      <c r="CC894" s="279"/>
      <c r="CD894" s="279"/>
      <c r="CE894" s="279"/>
      <c r="CF894" s="279"/>
      <c r="CG894" s="279"/>
      <c r="CH894" s="279"/>
      <c r="CI894" s="279"/>
      <c r="CJ894" s="279"/>
      <c r="CK894" s="279"/>
      <c r="CL894" s="279"/>
      <c r="CM894" s="279"/>
      <c r="CN894" s="382"/>
    </row>
    <row r="895" x14ac:dyDescent="0.3">
      <c r="B895" s="361"/>
      <c r="C895" s="279"/>
      <c r="D895" s="280"/>
      <c r="E895" s="287"/>
      <c r="F895" s="287"/>
      <c r="G895" s="287"/>
      <c r="H895" s="280"/>
      <c r="I895" s="304"/>
      <c r="J895" s="279"/>
      <c r="K895" s="280"/>
      <c r="L895" s="362"/>
      <c r="M895" s="287"/>
      <c r="N895" s="296"/>
      <c r="O895" s="280"/>
      <c r="P895" s="280"/>
      <c r="Q895" s="279"/>
      <c r="R895" s="297"/>
      <c r="S895" s="298"/>
      <c r="T895" s="298"/>
      <c r="U895" s="299"/>
      <c r="V895" s="279"/>
      <c r="W895" s="279"/>
      <c r="X895" s="279"/>
      <c r="Y895" s="279"/>
      <c r="Z895" s="279"/>
      <c r="AA895" s="279"/>
      <c r="AB895" s="279"/>
      <c r="AC895" s="279"/>
      <c r="AD895" s="279"/>
      <c r="AE895" s="279"/>
      <c r="AF895" s="279"/>
      <c r="AG895" s="279"/>
      <c r="AH895" s="279"/>
      <c r="AI895" s="279"/>
      <c r="AJ895" s="279"/>
      <c r="AK895" s="279"/>
      <c r="AL895" s="279"/>
      <c r="AM895" s="279"/>
      <c r="AN895" s="279"/>
      <c r="AO895" s="279"/>
      <c r="AP895" s="279"/>
      <c r="AQ895" s="279"/>
      <c r="AR895" s="279"/>
      <c r="AS895" s="279"/>
      <c r="AT895" s="279"/>
      <c r="AU895" s="279"/>
      <c r="AV895" s="279"/>
      <c r="AW895" s="279"/>
      <c r="AX895" s="279"/>
      <c r="AY895" s="279"/>
      <c r="AZ895" s="279"/>
      <c r="BA895" s="279"/>
      <c r="BB895" s="279"/>
      <c r="BC895" s="279"/>
      <c r="BD895" s="279"/>
      <c r="BE895" s="279"/>
      <c r="BF895" s="279"/>
      <c r="BG895" s="279"/>
      <c r="BH895" s="279"/>
      <c r="BI895" s="279"/>
      <c r="BJ895" s="279"/>
      <c r="BK895" s="279"/>
      <c r="BL895" s="279"/>
      <c r="BM895" s="279"/>
      <c r="BN895" s="279"/>
      <c r="BO895" s="279"/>
      <c r="BP895" s="279"/>
      <c r="BQ895" s="279"/>
      <c r="BR895" s="279"/>
      <c r="BS895" s="279"/>
      <c r="BT895" s="279"/>
      <c r="BU895" s="279"/>
      <c r="BV895" s="279"/>
      <c r="BW895" s="279"/>
      <c r="BX895" s="279"/>
      <c r="BY895" s="279"/>
      <c r="BZ895" s="279"/>
      <c r="CA895" s="279"/>
      <c r="CB895" s="279"/>
      <c r="CC895" s="279"/>
      <c r="CD895" s="279"/>
      <c r="CE895" s="279"/>
      <c r="CF895" s="279"/>
      <c r="CG895" s="279"/>
      <c r="CH895" s="279"/>
      <c r="CI895" s="279"/>
      <c r="CJ895" s="279"/>
      <c r="CK895" s="279"/>
      <c r="CL895" s="279"/>
      <c r="CM895" s="279"/>
      <c r="CN895" s="382"/>
    </row>
    <row r="896" x14ac:dyDescent="0.3">
      <c r="B896" s="361"/>
      <c r="C896" s="279"/>
      <c r="D896" s="280"/>
      <c r="E896" s="287"/>
      <c r="F896" s="287"/>
      <c r="G896" s="287"/>
      <c r="H896" s="280"/>
      <c r="I896" s="304"/>
      <c r="J896" s="279"/>
      <c r="K896" s="280"/>
      <c r="L896" s="362"/>
      <c r="M896" s="287"/>
      <c r="N896" s="296"/>
      <c r="O896" s="280"/>
      <c r="P896" s="280"/>
      <c r="Q896" s="279"/>
      <c r="R896" s="297"/>
      <c r="S896" s="298"/>
      <c r="T896" s="298"/>
      <c r="U896" s="299"/>
      <c r="V896" s="279"/>
      <c r="W896" s="279"/>
      <c r="X896" s="279"/>
      <c r="Y896" s="279"/>
      <c r="Z896" s="279"/>
      <c r="AA896" s="279"/>
      <c r="AB896" s="279"/>
      <c r="AC896" s="279"/>
      <c r="AD896" s="279"/>
      <c r="AE896" s="279"/>
      <c r="AF896" s="279"/>
      <c r="AG896" s="279"/>
      <c r="AH896" s="279"/>
      <c r="AI896" s="279"/>
      <c r="AJ896" s="279"/>
      <c r="AK896" s="279"/>
      <c r="AL896" s="279"/>
      <c r="AM896" s="279"/>
      <c r="AN896" s="279"/>
      <c r="AO896" s="279"/>
      <c r="AP896" s="279"/>
      <c r="AQ896" s="279"/>
      <c r="AR896" s="279"/>
      <c r="AS896" s="279"/>
      <c r="AT896" s="279"/>
      <c r="AU896" s="279"/>
      <c r="AV896" s="279"/>
      <c r="AW896" s="279"/>
      <c r="AX896" s="279"/>
      <c r="AY896" s="279"/>
      <c r="AZ896" s="279"/>
      <c r="BA896" s="279"/>
      <c r="BB896" s="279"/>
      <c r="BC896" s="279"/>
      <c r="BD896" s="279"/>
      <c r="BE896" s="279"/>
      <c r="BF896" s="279"/>
      <c r="BG896" s="279"/>
      <c r="BH896" s="279"/>
      <c r="BI896" s="279"/>
      <c r="BJ896" s="279"/>
      <c r="BK896" s="279"/>
      <c r="BL896" s="279"/>
      <c r="BM896" s="279"/>
      <c r="BN896" s="279"/>
      <c r="BO896" s="279"/>
      <c r="BP896" s="279"/>
      <c r="BQ896" s="279"/>
      <c r="BR896" s="279"/>
      <c r="BS896" s="279"/>
      <c r="BT896" s="279"/>
      <c r="BU896" s="279"/>
      <c r="BV896" s="279"/>
      <c r="BW896" s="279"/>
      <c r="BX896" s="279"/>
      <c r="BY896" s="279"/>
      <c r="BZ896" s="279"/>
      <c r="CA896" s="279"/>
      <c r="CB896" s="279"/>
      <c r="CC896" s="279"/>
      <c r="CD896" s="279"/>
      <c r="CE896" s="279"/>
      <c r="CF896" s="279"/>
      <c r="CG896" s="279"/>
      <c r="CH896" s="279"/>
      <c r="CI896" s="279"/>
      <c r="CJ896" s="279"/>
      <c r="CK896" s="279"/>
      <c r="CL896" s="279"/>
      <c r="CM896" s="279"/>
      <c r="CN896" s="382"/>
    </row>
    <row r="897" ht="16.2" thickBot="true" x14ac:dyDescent="0.35">
      <c r="B897" s="361"/>
      <c r="C897" s="279"/>
      <c r="D897" s="280"/>
      <c r="E897" s="287"/>
      <c r="F897" s="287"/>
      <c r="G897" s="287"/>
      <c r="H897" s="280"/>
      <c r="I897" s="304"/>
      <c r="J897" s="279"/>
      <c r="K897" s="280"/>
      <c r="L897" s="362"/>
      <c r="M897" s="287"/>
      <c r="N897" s="296"/>
      <c r="O897" s="280"/>
      <c r="P897" s="280"/>
      <c r="Q897" s="279"/>
      <c r="R897" s="297"/>
      <c r="S897" s="298"/>
      <c r="T897" s="298"/>
      <c r="U897" s="299"/>
      <c r="V897" s="279"/>
      <c r="W897" s="279"/>
      <c r="X897" s="279"/>
      <c r="Y897" s="279"/>
      <c r="Z897" s="279"/>
      <c r="AA897" s="279"/>
      <c r="AB897" s="279"/>
      <c r="AC897" s="279"/>
      <c r="AD897" s="279"/>
      <c r="AE897" s="279"/>
      <c r="AF897" s="279"/>
      <c r="AG897" s="279"/>
      <c r="AH897" s="279"/>
      <c r="AI897" s="279"/>
      <c r="AJ897" s="279"/>
      <c r="AK897" s="279"/>
      <c r="AL897" s="279"/>
      <c r="AM897" s="279"/>
      <c r="AN897" s="279"/>
      <c r="AO897" s="279"/>
      <c r="AP897" s="279"/>
      <c r="AQ897" s="279"/>
      <c r="AR897" s="279"/>
      <c r="AS897" s="279"/>
      <c r="AT897" s="279"/>
      <c r="AU897" s="279"/>
      <c r="AV897" s="279"/>
      <c r="AW897" s="279"/>
      <c r="AX897" s="279"/>
      <c r="AY897" s="279"/>
      <c r="AZ897" s="279"/>
      <c r="BA897" s="279"/>
      <c r="BB897" s="279"/>
      <c r="BC897" s="279"/>
      <c r="BD897" s="279"/>
      <c r="BE897" s="279"/>
      <c r="BF897" s="279"/>
      <c r="BG897" s="279"/>
      <c r="BH897" s="279"/>
      <c r="BI897" s="279"/>
      <c r="BJ897" s="279"/>
      <c r="BK897" s="279"/>
      <c r="BL897" s="279"/>
      <c r="BM897" s="279"/>
      <c r="BN897" s="279"/>
      <c r="BO897" s="279"/>
      <c r="BP897" s="279"/>
      <c r="BQ897" s="279"/>
      <c r="BR897" s="279"/>
      <c r="BS897" s="279"/>
      <c r="BT897" s="279"/>
      <c r="BU897" s="279"/>
      <c r="BV897" s="279"/>
      <c r="BW897" s="279"/>
      <c r="BX897" s="279"/>
      <c r="BY897" s="279"/>
      <c r="BZ897" s="279"/>
      <c r="CA897" s="279"/>
      <c r="CB897" s="279"/>
      <c r="CC897" s="279"/>
      <c r="CD897" s="279"/>
      <c r="CE897" s="279"/>
      <c r="CF897" s="279"/>
      <c r="CG897" s="279"/>
      <c r="CH897" s="279"/>
      <c r="CI897" s="279"/>
      <c r="CJ897" s="279"/>
      <c r="CK897" s="279"/>
      <c r="CL897" s="279"/>
      <c r="CM897" s="279"/>
      <c r="CN897" s="382"/>
    </row>
    <row r="898" ht="27" customHeight="true" thickBot="true" x14ac:dyDescent="0.35">
      <c r="B898" s="361"/>
      <c r="C898" s="279"/>
      <c r="D898" s="280"/>
      <c r="E898" s="287"/>
      <c r="F898" s="287"/>
      <c r="G898" s="287"/>
      <c r="H898" s="1950" t="s">
        <v>407</v>
      </c>
      <c r="I898" s="1951"/>
      <c r="J898" s="1951"/>
      <c r="K898" s="1951"/>
      <c r="L898" s="1952"/>
      <c r="M898" s="287"/>
      <c r="N898" s="296"/>
      <c r="O898" s="280"/>
      <c r="P898" s="280"/>
      <c r="Q898" s="279"/>
      <c r="R898" s="297"/>
      <c r="S898" s="298"/>
      <c r="T898" s="298"/>
      <c r="U898" s="299"/>
      <c r="V898" s="279"/>
      <c r="W898" s="279"/>
      <c r="X898" s="279"/>
      <c r="Y898" s="279"/>
      <c r="Z898" s="279"/>
      <c r="AA898" s="279"/>
      <c r="AB898" s="279"/>
      <c r="AC898" s="279"/>
      <c r="AD898" s="279"/>
      <c r="AE898" s="279"/>
      <c r="AF898" s="279"/>
      <c r="AG898" s="279"/>
      <c r="AH898" s="279"/>
      <c r="AI898" s="279"/>
      <c r="AJ898" s="279"/>
      <c r="AK898" s="279"/>
      <c r="AL898" s="279"/>
      <c r="AM898" s="279"/>
      <c r="AN898" s="279"/>
      <c r="AO898" s="279"/>
      <c r="AP898" s="279"/>
      <c r="AQ898" s="279"/>
      <c r="AR898" s="279"/>
      <c r="AS898" s="279"/>
      <c r="AT898" s="279"/>
      <c r="AU898" s="279"/>
      <c r="AV898" s="279"/>
      <c r="AW898" s="279"/>
      <c r="AX898" s="279"/>
      <c r="AY898" s="279"/>
      <c r="AZ898" s="279"/>
      <c r="BA898" s="279"/>
      <c r="BB898" s="279"/>
      <c r="BC898" s="279"/>
      <c r="BD898" s="279"/>
      <c r="BE898" s="279"/>
      <c r="BF898" s="279"/>
      <c r="BG898" s="279"/>
      <c r="BH898" s="279"/>
      <c r="BI898" s="279"/>
      <c r="BJ898" s="279"/>
      <c r="BK898" s="279"/>
      <c r="BL898" s="279"/>
      <c r="BM898" s="279"/>
      <c r="BN898" s="279"/>
      <c r="BO898" s="279"/>
      <c r="BP898" s="279"/>
      <c r="BQ898" s="279"/>
      <c r="BR898" s="279"/>
      <c r="BS898" s="279"/>
      <c r="BT898" s="279"/>
      <c r="BU898" s="279"/>
      <c r="BV898" s="279"/>
      <c r="BW898" s="279"/>
      <c r="BX898" s="279"/>
      <c r="BY898" s="279"/>
      <c r="BZ898" s="279"/>
      <c r="CA898" s="279"/>
      <c r="CB898" s="279"/>
      <c r="CC898" s="279"/>
      <c r="CD898" s="279"/>
      <c r="CE898" s="279"/>
      <c r="CF898" s="279"/>
      <c r="CG898" s="279"/>
      <c r="CH898" s="279"/>
      <c r="CI898" s="279"/>
      <c r="CJ898" s="279"/>
      <c r="CK898" s="279"/>
      <c r="CL898" s="279"/>
      <c r="CM898" s="279"/>
      <c r="CN898" s="382"/>
    </row>
    <row r="899" x14ac:dyDescent="0.3">
      <c r="B899" s="361"/>
      <c r="C899" s="279"/>
      <c r="D899" s="280"/>
      <c r="E899" s="287"/>
      <c r="F899" s="287"/>
      <c r="G899" s="287"/>
      <c r="H899" s="282" t="s">
        <v>1469</v>
      </c>
      <c r="I899" s="1166" t="s">
        <v>289</v>
      </c>
      <c r="J899" s="1166" t="s">
        <v>417</v>
      </c>
      <c r="K899" s="283" t="s">
        <v>408</v>
      </c>
      <c r="L899" s="291" t="s">
        <v>409</v>
      </c>
      <c r="M899" s="287"/>
      <c r="N899" s="296"/>
      <c r="O899" s="280"/>
      <c r="P899" s="280"/>
      <c r="Q899" s="279"/>
      <c r="R899" s="297"/>
      <c r="S899" s="298"/>
      <c r="T899" s="298"/>
      <c r="U899" s="299"/>
      <c r="V899" s="279"/>
      <c r="W899" s="279"/>
      <c r="X899" s="279"/>
      <c r="Y899" s="279"/>
      <c r="Z899" s="279"/>
      <c r="AA899" s="279"/>
      <c r="AB899" s="279"/>
      <c r="AC899" s="279"/>
      <c r="AD899" s="279"/>
      <c r="AE899" s="279"/>
      <c r="AF899" s="279"/>
      <c r="AG899" s="279"/>
      <c r="AH899" s="279"/>
      <c r="AI899" s="279"/>
      <c r="AJ899" s="279"/>
      <c r="AK899" s="279"/>
      <c r="AL899" s="279"/>
      <c r="AM899" s="279"/>
      <c r="AN899" s="279"/>
      <c r="AO899" s="279"/>
      <c r="AP899" s="279"/>
      <c r="AQ899" s="279"/>
      <c r="AR899" s="279"/>
      <c r="AS899" s="279"/>
      <c r="AT899" s="279"/>
      <c r="AU899" s="279"/>
      <c r="AV899" s="279"/>
      <c r="AW899" s="279"/>
      <c r="AX899" s="279"/>
      <c r="AY899" s="279"/>
      <c r="AZ899" s="279"/>
      <c r="BA899" s="279"/>
      <c r="BB899" s="279"/>
      <c r="BC899" s="279"/>
      <c r="BD899" s="279"/>
      <c r="BE899" s="279"/>
      <c r="BF899" s="279"/>
      <c r="BG899" s="279"/>
      <c r="BH899" s="279"/>
      <c r="BI899" s="279"/>
      <c r="BJ899" s="279"/>
      <c r="BK899" s="279"/>
      <c r="BL899" s="279"/>
      <c r="BM899" s="279"/>
      <c r="BN899" s="279"/>
      <c r="BO899" s="279"/>
      <c r="BP899" s="279"/>
      <c r="BQ899" s="279"/>
      <c r="BR899" s="279"/>
      <c r="BS899" s="279"/>
      <c r="BT899" s="279"/>
      <c r="BU899" s="279"/>
      <c r="BV899" s="279"/>
      <c r="BW899" s="279"/>
      <c r="BX899" s="279"/>
      <c r="BY899" s="279"/>
      <c r="BZ899" s="279"/>
      <c r="CA899" s="279"/>
      <c r="CB899" s="279"/>
      <c r="CC899" s="279"/>
      <c r="CD899" s="279"/>
      <c r="CE899" s="279"/>
      <c r="CF899" s="279"/>
      <c r="CG899" s="279"/>
      <c r="CH899" s="279"/>
      <c r="CI899" s="279"/>
      <c r="CJ899" s="279"/>
      <c r="CK899" s="279"/>
      <c r="CL899" s="279"/>
      <c r="CM899" s="279"/>
      <c r="CN899" s="382"/>
    </row>
    <row r="900" x14ac:dyDescent="0.3">
      <c r="B900" s="361"/>
      <c r="C900" s="279"/>
      <c r="D900" s="280"/>
      <c r="E900" s="287"/>
      <c r="F900" s="287"/>
      <c r="G900" s="287"/>
      <c r="H900" s="1292">
        <f t="shared" ref="H900:H949" si="37">H142</f>
        <v>1</v>
      </c>
      <c r="I900" s="1190">
        <f>'I. Stream &amp; Compound Data'!P262</f>
        <v>2980.7504537999998</v>
      </c>
      <c r="J900" s="1295">
        <f>IF(I142="","",IF('I. Stream &amp; Compound Data'!BS262="",0,'I. Stream &amp; Compound Data'!BS262))</f>
        <v>1</v>
      </c>
      <c r="K900" s="1295">
        <f t="shared" ref="K900:K918" si="38">IF(I142="","",I900*J900)</f>
        <v>2980.7504537999998</v>
      </c>
      <c r="L900" s="1317">
        <f>IF(K900="","",(IF(J900=0,1,J900))*I900)</f>
        <v>2980.7504537999998</v>
      </c>
      <c r="M900" s="287"/>
      <c r="N900" s="296"/>
      <c r="O900" s="280"/>
      <c r="P900" s="280"/>
      <c r="Q900" s="279"/>
      <c r="R900" s="297"/>
      <c r="S900" s="298"/>
      <c r="T900" s="298"/>
      <c r="U900" s="299"/>
      <c r="V900" s="279"/>
      <c r="W900" s="279"/>
      <c r="X900" s="279"/>
      <c r="Y900" s="279"/>
      <c r="Z900" s="279"/>
      <c r="AA900" s="279"/>
      <c r="AB900" s="279"/>
      <c r="AC900" s="279"/>
      <c r="AD900" s="279"/>
      <c r="AE900" s="279"/>
      <c r="AF900" s="279"/>
      <c r="AG900" s="279"/>
      <c r="AH900" s="279"/>
      <c r="AI900" s="279"/>
      <c r="AJ900" s="279"/>
      <c r="AK900" s="279"/>
      <c r="AL900" s="279"/>
      <c r="AM900" s="279"/>
      <c r="AN900" s="279"/>
      <c r="AO900" s="279"/>
      <c r="AP900" s="279"/>
      <c r="AQ900" s="279"/>
      <c r="AR900" s="279"/>
      <c r="AS900" s="279"/>
      <c r="AT900" s="279"/>
      <c r="AU900" s="279"/>
      <c r="AV900" s="279"/>
      <c r="AW900" s="279"/>
      <c r="AX900" s="279"/>
      <c r="AY900" s="279"/>
      <c r="AZ900" s="279"/>
      <c r="BA900" s="279"/>
      <c r="BB900" s="279"/>
      <c r="BC900" s="279"/>
      <c r="BD900" s="279"/>
      <c r="BE900" s="279"/>
      <c r="BF900" s="279"/>
      <c r="BG900" s="279"/>
      <c r="BH900" s="279"/>
      <c r="BI900" s="279"/>
      <c r="BJ900" s="279"/>
      <c r="BK900" s="279"/>
      <c r="BL900" s="279"/>
      <c r="BM900" s="279"/>
      <c r="BN900" s="279"/>
      <c r="BO900" s="279"/>
      <c r="BP900" s="279"/>
      <c r="BQ900" s="279"/>
      <c r="BR900" s="279"/>
      <c r="BS900" s="279"/>
      <c r="BT900" s="279"/>
      <c r="BU900" s="279"/>
      <c r="BV900" s="279"/>
      <c r="BW900" s="279"/>
      <c r="BX900" s="279"/>
      <c r="BY900" s="279"/>
      <c r="BZ900" s="279"/>
      <c r="CA900" s="279"/>
      <c r="CB900" s="279"/>
      <c r="CC900" s="279"/>
      <c r="CD900" s="279"/>
      <c r="CE900" s="279"/>
      <c r="CF900" s="279"/>
      <c r="CG900" s="279"/>
      <c r="CH900" s="279"/>
      <c r="CI900" s="279"/>
      <c r="CJ900" s="279"/>
      <c r="CK900" s="279"/>
      <c r="CL900" s="279"/>
      <c r="CM900" s="279"/>
      <c r="CN900" s="382"/>
    </row>
    <row r="901" x14ac:dyDescent="0.3">
      <c r="B901" s="361"/>
      <c r="C901" s="279"/>
      <c r="D901" s="280"/>
      <c r="E901" s="287"/>
      <c r="F901" s="287"/>
      <c r="G901" s="287"/>
      <c r="H901" s="1292">
        <f t="shared" si="37"/>
        <v>2</v>
      </c>
      <c r="I901" s="1190">
        <f>'I. Stream &amp; Compound Data'!P263</f>
        <v>0</v>
      </c>
      <c r="J901" s="1295">
        <f>IF(I143="","",IF('I. Stream &amp; Compound Data'!BS263="",0,'I. Stream &amp; Compound Data'!BS263))</f>
        <v>0</v>
      </c>
      <c r="K901" s="1295">
        <f t="shared" si="38"/>
        <v>0</v>
      </c>
      <c r="L901" s="1317">
        <f t="shared" ref="L901:L918" si="39">IF(K901="","",(IF(J901=0,1,J901))*I901)</f>
        <v>0</v>
      </c>
      <c r="M901" s="287"/>
      <c r="N901" s="296"/>
      <c r="O901" s="280"/>
      <c r="P901" s="280"/>
      <c r="Q901" s="279"/>
      <c r="R901" s="297"/>
      <c r="S901" s="298"/>
      <c r="T901" s="298"/>
      <c r="U901" s="299"/>
      <c r="V901" s="279"/>
      <c r="W901" s="279"/>
      <c r="X901" s="279"/>
      <c r="Y901" s="279"/>
      <c r="Z901" s="279"/>
      <c r="AA901" s="279"/>
      <c r="AB901" s="279"/>
      <c r="AC901" s="279"/>
      <c r="AD901" s="279"/>
      <c r="AE901" s="279"/>
      <c r="AF901" s="279"/>
      <c r="AG901" s="279"/>
      <c r="AH901" s="279"/>
      <c r="AI901" s="279"/>
      <c r="AJ901" s="279"/>
      <c r="AK901" s="279"/>
      <c r="AL901" s="279"/>
      <c r="AM901" s="279"/>
      <c r="AN901" s="279"/>
      <c r="AO901" s="279"/>
      <c r="AP901" s="279"/>
      <c r="AQ901" s="279"/>
      <c r="AR901" s="279"/>
      <c r="AS901" s="279"/>
      <c r="AT901" s="279"/>
      <c r="AU901" s="279"/>
      <c r="AV901" s="279"/>
      <c r="AW901" s="279"/>
      <c r="AX901" s="279"/>
      <c r="AY901" s="279"/>
      <c r="AZ901" s="279"/>
      <c r="BA901" s="279"/>
      <c r="BB901" s="279"/>
      <c r="BC901" s="279"/>
      <c r="BD901" s="279"/>
      <c r="BE901" s="279"/>
      <c r="BF901" s="279"/>
      <c r="BG901" s="279"/>
      <c r="BH901" s="279"/>
      <c r="BI901" s="279"/>
      <c r="BJ901" s="279"/>
      <c r="BK901" s="279"/>
      <c r="BL901" s="279"/>
      <c r="BM901" s="279"/>
      <c r="BN901" s="279"/>
      <c r="BO901" s="279"/>
      <c r="BP901" s="279"/>
      <c r="BQ901" s="279"/>
      <c r="BR901" s="279"/>
      <c r="BS901" s="279"/>
      <c r="BT901" s="279"/>
      <c r="BU901" s="279"/>
      <c r="BV901" s="279"/>
      <c r="BW901" s="279"/>
      <c r="BX901" s="279"/>
      <c r="BY901" s="279"/>
      <c r="BZ901" s="279"/>
      <c r="CA901" s="279"/>
      <c r="CB901" s="279"/>
      <c r="CC901" s="279"/>
      <c r="CD901" s="279"/>
      <c r="CE901" s="279"/>
      <c r="CF901" s="279"/>
      <c r="CG901" s="279"/>
      <c r="CH901" s="279"/>
      <c r="CI901" s="279"/>
      <c r="CJ901" s="279"/>
      <c r="CK901" s="279"/>
      <c r="CL901" s="279"/>
      <c r="CM901" s="279"/>
      <c r="CN901" s="382"/>
    </row>
    <row r="902" x14ac:dyDescent="0.3">
      <c r="B902" s="361"/>
      <c r="C902" s="279"/>
      <c r="D902" s="280"/>
      <c r="E902" s="287"/>
      <c r="F902" s="287"/>
      <c r="G902" s="287"/>
      <c r="H902" s="1292">
        <f t="shared" si="37"/>
        <v>3</v>
      </c>
      <c r="I902" s="1190">
        <f>'I. Stream &amp; Compound Data'!P264</f>
        <v>0</v>
      </c>
      <c r="J902" s="1295">
        <f>IF(I144="","",IF('I. Stream &amp; Compound Data'!BS264="",0,'I. Stream &amp; Compound Data'!BS264))</f>
        <v>0</v>
      </c>
      <c r="K902" s="1295">
        <f t="shared" si="38"/>
        <v>0</v>
      </c>
      <c r="L902" s="1317">
        <f t="shared" si="39"/>
        <v>0</v>
      </c>
      <c r="M902" s="287"/>
      <c r="N902" s="296"/>
      <c r="O902" s="280"/>
      <c r="P902" s="280"/>
      <c r="Q902" s="279"/>
      <c r="R902" s="297"/>
      <c r="S902" s="298"/>
      <c r="T902" s="298"/>
      <c r="U902" s="299"/>
      <c r="V902" s="279"/>
      <c r="W902" s="279"/>
      <c r="X902" s="279"/>
      <c r="Y902" s="279"/>
      <c r="Z902" s="279"/>
      <c r="AA902" s="279"/>
      <c r="AB902" s="279"/>
      <c r="AC902" s="279"/>
      <c r="AD902" s="279"/>
      <c r="AE902" s="279"/>
      <c r="AF902" s="279"/>
      <c r="AG902" s="279"/>
      <c r="AH902" s="279"/>
      <c r="AI902" s="279"/>
      <c r="AJ902" s="279"/>
      <c r="AK902" s="279"/>
      <c r="AL902" s="279"/>
      <c r="AM902" s="279"/>
      <c r="AN902" s="279"/>
      <c r="AO902" s="279"/>
      <c r="AP902" s="279"/>
      <c r="AQ902" s="279"/>
      <c r="AR902" s="279"/>
      <c r="AS902" s="279"/>
      <c r="AT902" s="279"/>
      <c r="AU902" s="279"/>
      <c r="AV902" s="279"/>
      <c r="AW902" s="279"/>
      <c r="AX902" s="279"/>
      <c r="AY902" s="279"/>
      <c r="AZ902" s="279"/>
      <c r="BA902" s="279"/>
      <c r="BB902" s="279"/>
      <c r="BC902" s="279"/>
      <c r="BD902" s="279"/>
      <c r="BE902" s="279"/>
      <c r="BF902" s="279"/>
      <c r="BG902" s="279"/>
      <c r="BH902" s="279"/>
      <c r="BI902" s="279"/>
      <c r="BJ902" s="279"/>
      <c r="BK902" s="279"/>
      <c r="BL902" s="279"/>
      <c r="BM902" s="279"/>
      <c r="BN902" s="279"/>
      <c r="BO902" s="279"/>
      <c r="BP902" s="279"/>
      <c r="BQ902" s="279"/>
      <c r="BR902" s="279"/>
      <c r="BS902" s="279"/>
      <c r="BT902" s="279"/>
      <c r="BU902" s="279"/>
      <c r="BV902" s="279"/>
      <c r="BW902" s="279"/>
      <c r="BX902" s="279"/>
      <c r="BY902" s="279"/>
      <c r="BZ902" s="279"/>
      <c r="CA902" s="279"/>
      <c r="CB902" s="279"/>
      <c r="CC902" s="279"/>
      <c r="CD902" s="279"/>
      <c r="CE902" s="279"/>
      <c r="CF902" s="279"/>
      <c r="CG902" s="279"/>
      <c r="CH902" s="279"/>
      <c r="CI902" s="279"/>
      <c r="CJ902" s="279"/>
      <c r="CK902" s="279"/>
      <c r="CL902" s="279"/>
      <c r="CM902" s="279"/>
      <c r="CN902" s="382"/>
    </row>
    <row r="903" x14ac:dyDescent="0.3">
      <c r="B903" s="361"/>
      <c r="C903" s="279"/>
      <c r="D903" s="280"/>
      <c r="E903" s="287"/>
      <c r="F903" s="287"/>
      <c r="G903" s="287"/>
      <c r="H903" s="1292">
        <f t="shared" si="37"/>
        <v>4</v>
      </c>
      <c r="I903" s="1190">
        <f>'I. Stream &amp; Compound Data'!P265</f>
        <v>0</v>
      </c>
      <c r="J903" s="1295">
        <f>IF(I145="","",IF('I. Stream &amp; Compound Data'!BS265="",0,'I. Stream &amp; Compound Data'!BS265))</f>
        <v>0.44</v>
      </c>
      <c r="K903" s="1295">
        <f t="shared" si="38"/>
        <v>0</v>
      </c>
      <c r="L903" s="1317">
        <f t="shared" si="39"/>
        <v>0</v>
      </c>
      <c r="M903" s="287"/>
      <c r="N903" s="296"/>
      <c r="O903" s="280"/>
      <c r="P903" s="280"/>
      <c r="Q903" s="279"/>
      <c r="R903" s="297"/>
      <c r="S903" s="298"/>
      <c r="T903" s="298"/>
      <c r="U903" s="299"/>
      <c r="V903" s="279"/>
      <c r="W903" s="279"/>
      <c r="X903" s="279"/>
      <c r="Y903" s="279"/>
      <c r="Z903" s="279"/>
      <c r="AA903" s="279"/>
      <c r="AB903" s="279"/>
      <c r="AC903" s="279"/>
      <c r="AD903" s="279"/>
      <c r="AE903" s="279"/>
      <c r="AF903" s="279"/>
      <c r="AG903" s="279"/>
      <c r="AH903" s="279"/>
      <c r="AI903" s="279"/>
      <c r="AJ903" s="279"/>
      <c r="AK903" s="279"/>
      <c r="AL903" s="279"/>
      <c r="AM903" s="279"/>
      <c r="AN903" s="279"/>
      <c r="AO903" s="279"/>
      <c r="AP903" s="279"/>
      <c r="AQ903" s="279"/>
      <c r="AR903" s="279"/>
      <c r="AS903" s="279"/>
      <c r="AT903" s="279"/>
      <c r="AU903" s="279"/>
      <c r="AV903" s="279"/>
      <c r="AW903" s="279"/>
      <c r="AX903" s="279"/>
      <c r="AY903" s="279"/>
      <c r="AZ903" s="279"/>
      <c r="BA903" s="279"/>
      <c r="BB903" s="279"/>
      <c r="BC903" s="279"/>
      <c r="BD903" s="279"/>
      <c r="BE903" s="279"/>
      <c r="BF903" s="279"/>
      <c r="BG903" s="279"/>
      <c r="BH903" s="279"/>
      <c r="BI903" s="279"/>
      <c r="BJ903" s="279"/>
      <c r="BK903" s="279"/>
      <c r="BL903" s="279"/>
      <c r="BM903" s="279"/>
      <c r="BN903" s="279"/>
      <c r="BO903" s="279"/>
      <c r="BP903" s="279"/>
      <c r="BQ903" s="279"/>
      <c r="BR903" s="279"/>
      <c r="BS903" s="279"/>
      <c r="BT903" s="279"/>
      <c r="BU903" s="279"/>
      <c r="BV903" s="279"/>
      <c r="BW903" s="279"/>
      <c r="BX903" s="279"/>
      <c r="BY903" s="279"/>
      <c r="BZ903" s="279"/>
      <c r="CA903" s="279"/>
      <c r="CB903" s="279"/>
      <c r="CC903" s="279"/>
      <c r="CD903" s="279"/>
      <c r="CE903" s="279"/>
      <c r="CF903" s="279"/>
      <c r="CG903" s="279"/>
      <c r="CH903" s="279"/>
      <c r="CI903" s="279"/>
      <c r="CJ903" s="279"/>
      <c r="CK903" s="279"/>
      <c r="CL903" s="279"/>
      <c r="CM903" s="279"/>
      <c r="CN903" s="382"/>
    </row>
    <row r="904" x14ac:dyDescent="0.3">
      <c r="B904" s="361"/>
      <c r="C904" s="279"/>
      <c r="D904" s="280"/>
      <c r="E904" s="287"/>
      <c r="F904" s="287"/>
      <c r="G904" s="287"/>
      <c r="H904" s="1292">
        <f t="shared" si="37"/>
        <v>5</v>
      </c>
      <c r="I904" s="1190" t="str">
        <f>'I. Stream &amp; Compound Data'!P266</f>
        <v/>
      </c>
      <c r="J904" s="1295" t="str">
        <f>IF(I146="","",IF('I. Stream &amp; Compound Data'!BS266="",0,'I. Stream &amp; Compound Data'!BS266))</f>
        <v/>
      </c>
      <c r="K904" s="1295" t="str">
        <f t="shared" si="38"/>
        <v/>
      </c>
      <c r="L904" s="1317" t="str">
        <f t="shared" si="39"/>
        <v/>
      </c>
      <c r="M904" s="287"/>
      <c r="N904" s="296"/>
      <c r="O904" s="280"/>
      <c r="P904" s="280"/>
      <c r="Q904" s="279"/>
      <c r="R904" s="297"/>
      <c r="S904" s="298"/>
      <c r="T904" s="298"/>
      <c r="U904" s="299"/>
      <c r="V904" s="279"/>
      <c r="W904" s="279"/>
      <c r="X904" s="279"/>
      <c r="Y904" s="279"/>
      <c r="Z904" s="279"/>
      <c r="AA904" s="279"/>
      <c r="AB904" s="279"/>
      <c r="AC904" s="279"/>
      <c r="AD904" s="279"/>
      <c r="AE904" s="279"/>
      <c r="AF904" s="279"/>
      <c r="AG904" s="279"/>
      <c r="AH904" s="279"/>
      <c r="AI904" s="279"/>
      <c r="AJ904" s="279"/>
      <c r="AK904" s="279"/>
      <c r="AL904" s="279"/>
      <c r="AM904" s="279"/>
      <c r="AN904" s="279"/>
      <c r="AO904" s="279"/>
      <c r="AP904" s="279"/>
      <c r="AQ904" s="279"/>
      <c r="AR904" s="279"/>
      <c r="AS904" s="279"/>
      <c r="AT904" s="279"/>
      <c r="AU904" s="279"/>
      <c r="AV904" s="279"/>
      <c r="AW904" s="279"/>
      <c r="AX904" s="279"/>
      <c r="AY904" s="279"/>
      <c r="AZ904" s="279"/>
      <c r="BA904" s="279"/>
      <c r="BB904" s="279"/>
      <c r="BC904" s="279"/>
      <c r="BD904" s="279"/>
      <c r="BE904" s="279"/>
      <c r="BF904" s="279"/>
      <c r="BG904" s="279"/>
      <c r="BH904" s="279"/>
      <c r="BI904" s="279"/>
      <c r="BJ904" s="279"/>
      <c r="BK904" s="279"/>
      <c r="BL904" s="279"/>
      <c r="BM904" s="279"/>
      <c r="BN904" s="279"/>
      <c r="BO904" s="279"/>
      <c r="BP904" s="279"/>
      <c r="BQ904" s="279"/>
      <c r="BR904" s="279"/>
      <c r="BS904" s="279"/>
      <c r="BT904" s="279"/>
      <c r="BU904" s="279"/>
      <c r="BV904" s="279"/>
      <c r="BW904" s="279"/>
      <c r="BX904" s="279"/>
      <c r="BY904" s="279"/>
      <c r="BZ904" s="279"/>
      <c r="CA904" s="279"/>
      <c r="CB904" s="279"/>
      <c r="CC904" s="279"/>
      <c r="CD904" s="279"/>
      <c r="CE904" s="279"/>
      <c r="CF904" s="279"/>
      <c r="CG904" s="279"/>
      <c r="CH904" s="279"/>
      <c r="CI904" s="279"/>
      <c r="CJ904" s="279"/>
      <c r="CK904" s="279"/>
      <c r="CL904" s="279"/>
      <c r="CM904" s="279"/>
      <c r="CN904" s="382"/>
    </row>
    <row r="905" x14ac:dyDescent="0.3">
      <c r="B905" s="361"/>
      <c r="C905" s="279"/>
      <c r="D905" s="280"/>
      <c r="E905" s="287"/>
      <c r="F905" s="287"/>
      <c r="G905" s="287"/>
      <c r="H905" s="1292">
        <f t="shared" si="37"/>
        <v>6</v>
      </c>
      <c r="I905" s="1190" t="str">
        <f>'I. Stream &amp; Compound Data'!P267</f>
        <v/>
      </c>
      <c r="J905" s="1295" t="str">
        <f>IF(I147="","",IF('I. Stream &amp; Compound Data'!BS267="",0,'I. Stream &amp; Compound Data'!BS267))</f>
        <v/>
      </c>
      <c r="K905" s="1295" t="str">
        <f t="shared" si="38"/>
        <v/>
      </c>
      <c r="L905" s="1317" t="str">
        <f t="shared" si="39"/>
        <v/>
      </c>
      <c r="M905" s="287"/>
      <c r="N905" s="296"/>
      <c r="O905" s="280"/>
      <c r="P905" s="280"/>
      <c r="Q905" s="279"/>
      <c r="R905" s="297"/>
      <c r="S905" s="298"/>
      <c r="T905" s="298"/>
      <c r="U905" s="299"/>
      <c r="V905" s="279"/>
      <c r="W905" s="279"/>
      <c r="X905" s="279"/>
      <c r="Y905" s="279"/>
      <c r="Z905" s="279"/>
      <c r="AA905" s="279"/>
      <c r="AB905" s="279"/>
      <c r="AC905" s="279"/>
      <c r="AD905" s="279"/>
      <c r="AE905" s="279"/>
      <c r="AF905" s="279"/>
      <c r="AG905" s="279"/>
      <c r="AH905" s="279"/>
      <c r="AI905" s="279"/>
      <c r="AJ905" s="279"/>
      <c r="AK905" s="279"/>
      <c r="AL905" s="279"/>
      <c r="AM905" s="279"/>
      <c r="AN905" s="279"/>
      <c r="AO905" s="279"/>
      <c r="AP905" s="279"/>
      <c r="AQ905" s="279"/>
      <c r="AR905" s="279"/>
      <c r="AS905" s="279"/>
      <c r="AT905" s="279"/>
      <c r="AU905" s="279"/>
      <c r="AV905" s="279"/>
      <c r="AW905" s="279"/>
      <c r="AX905" s="279"/>
      <c r="AY905" s="279"/>
      <c r="AZ905" s="279"/>
      <c r="BA905" s="279"/>
      <c r="BB905" s="279"/>
      <c r="BC905" s="279"/>
      <c r="BD905" s="279"/>
      <c r="BE905" s="279"/>
      <c r="BF905" s="279"/>
      <c r="BG905" s="279"/>
      <c r="BH905" s="279"/>
      <c r="BI905" s="279"/>
      <c r="BJ905" s="279"/>
      <c r="BK905" s="279"/>
      <c r="BL905" s="279"/>
      <c r="BM905" s="279"/>
      <c r="BN905" s="279"/>
      <c r="BO905" s="279"/>
      <c r="BP905" s="279"/>
      <c r="BQ905" s="279"/>
      <c r="BR905" s="279"/>
      <c r="BS905" s="279"/>
      <c r="BT905" s="279"/>
      <c r="BU905" s="279"/>
      <c r="BV905" s="279"/>
      <c r="BW905" s="279"/>
      <c r="BX905" s="279"/>
      <c r="BY905" s="279"/>
      <c r="BZ905" s="279"/>
      <c r="CA905" s="279"/>
      <c r="CB905" s="279"/>
      <c r="CC905" s="279"/>
      <c r="CD905" s="279"/>
      <c r="CE905" s="279"/>
      <c r="CF905" s="279"/>
      <c r="CG905" s="279"/>
      <c r="CH905" s="279"/>
      <c r="CI905" s="279"/>
      <c r="CJ905" s="279"/>
      <c r="CK905" s="279"/>
      <c r="CL905" s="279"/>
      <c r="CM905" s="279"/>
      <c r="CN905" s="382"/>
    </row>
    <row r="906" x14ac:dyDescent="0.3">
      <c r="B906" s="361"/>
      <c r="C906" s="279"/>
      <c r="D906" s="280"/>
      <c r="E906" s="287"/>
      <c r="F906" s="287"/>
      <c r="G906" s="287"/>
      <c r="H906" s="1292">
        <f t="shared" si="37"/>
        <v>7</v>
      </c>
      <c r="I906" s="1190" t="str">
        <f>'I. Stream &amp; Compound Data'!P268</f>
        <v/>
      </c>
      <c r="J906" s="1295" t="str">
        <f>IF(I148="","",IF('I. Stream &amp; Compound Data'!BS268="",0,'I. Stream &amp; Compound Data'!BS268))</f>
        <v/>
      </c>
      <c r="K906" s="1295" t="str">
        <f t="shared" si="38"/>
        <v/>
      </c>
      <c r="L906" s="1317" t="str">
        <f t="shared" si="39"/>
        <v/>
      </c>
      <c r="M906" s="287"/>
      <c r="N906" s="296"/>
      <c r="O906" s="280"/>
      <c r="P906" s="280"/>
      <c r="Q906" s="279"/>
      <c r="R906" s="297"/>
      <c r="S906" s="298"/>
      <c r="T906" s="298"/>
      <c r="U906" s="299"/>
      <c r="V906" s="279"/>
      <c r="W906" s="279"/>
      <c r="X906" s="279"/>
      <c r="Y906" s="279"/>
      <c r="Z906" s="279"/>
      <c r="AA906" s="279"/>
      <c r="AB906" s="279"/>
      <c r="AC906" s="279"/>
      <c r="AD906" s="279"/>
      <c r="AE906" s="279"/>
      <c r="AF906" s="279"/>
      <c r="AG906" s="279"/>
      <c r="AH906" s="279"/>
      <c r="AI906" s="279"/>
      <c r="AJ906" s="279"/>
      <c r="AK906" s="279"/>
      <c r="AL906" s="279"/>
      <c r="AM906" s="279"/>
      <c r="AN906" s="279"/>
      <c r="AO906" s="279"/>
      <c r="AP906" s="279"/>
      <c r="AQ906" s="279"/>
      <c r="AR906" s="279"/>
      <c r="AS906" s="279"/>
      <c r="AT906" s="279"/>
      <c r="AU906" s="279"/>
      <c r="AV906" s="279"/>
      <c r="AW906" s="279"/>
      <c r="AX906" s="279"/>
      <c r="AY906" s="279"/>
      <c r="AZ906" s="279"/>
      <c r="BA906" s="279"/>
      <c r="BB906" s="279"/>
      <c r="BC906" s="279"/>
      <c r="BD906" s="279"/>
      <c r="BE906" s="279"/>
      <c r="BF906" s="279"/>
      <c r="BG906" s="279"/>
      <c r="BH906" s="279"/>
      <c r="BI906" s="279"/>
      <c r="BJ906" s="279"/>
      <c r="BK906" s="279"/>
      <c r="BL906" s="279"/>
      <c r="BM906" s="279"/>
      <c r="BN906" s="279"/>
      <c r="BO906" s="279"/>
      <c r="BP906" s="279"/>
      <c r="BQ906" s="279"/>
      <c r="BR906" s="279"/>
      <c r="BS906" s="279"/>
      <c r="BT906" s="279"/>
      <c r="BU906" s="279"/>
      <c r="BV906" s="279"/>
      <c r="BW906" s="279"/>
      <c r="BX906" s="279"/>
      <c r="BY906" s="279"/>
      <c r="BZ906" s="279"/>
      <c r="CA906" s="279"/>
      <c r="CB906" s="279"/>
      <c r="CC906" s="279"/>
      <c r="CD906" s="279"/>
      <c r="CE906" s="279"/>
      <c r="CF906" s="279"/>
      <c r="CG906" s="279"/>
      <c r="CH906" s="279"/>
      <c r="CI906" s="279"/>
      <c r="CJ906" s="279"/>
      <c r="CK906" s="279"/>
      <c r="CL906" s="279"/>
      <c r="CM906" s="279"/>
      <c r="CN906" s="382"/>
    </row>
    <row r="907" x14ac:dyDescent="0.3">
      <c r="B907" s="361"/>
      <c r="C907" s="279"/>
      <c r="D907" s="280"/>
      <c r="E907" s="287"/>
      <c r="F907" s="287"/>
      <c r="G907" s="287"/>
      <c r="H907" s="1292">
        <f t="shared" si="37"/>
        <v>8</v>
      </c>
      <c r="I907" s="1190" t="str">
        <f>'I. Stream &amp; Compound Data'!P269</f>
        <v/>
      </c>
      <c r="J907" s="1295" t="str">
        <f>IF(I149="","",IF('I. Stream &amp; Compound Data'!BS269="",0,'I. Stream &amp; Compound Data'!BS269))</f>
        <v/>
      </c>
      <c r="K907" s="1295" t="str">
        <f t="shared" si="38"/>
        <v/>
      </c>
      <c r="L907" s="1317" t="str">
        <f t="shared" si="39"/>
        <v/>
      </c>
      <c r="M907" s="287"/>
      <c r="N907" s="296"/>
      <c r="O907" s="280"/>
      <c r="P907" s="280"/>
      <c r="Q907" s="279"/>
      <c r="R907" s="297"/>
      <c r="S907" s="298"/>
      <c r="T907" s="298"/>
      <c r="U907" s="299"/>
      <c r="V907" s="279"/>
      <c r="W907" s="279"/>
      <c r="X907" s="279"/>
      <c r="Y907" s="279"/>
      <c r="Z907" s="279"/>
      <c r="AA907" s="279"/>
      <c r="AB907" s="279"/>
      <c r="AC907" s="279"/>
      <c r="AD907" s="279"/>
      <c r="AE907" s="279"/>
      <c r="AF907" s="279"/>
      <c r="AG907" s="279"/>
      <c r="AH907" s="279"/>
      <c r="AI907" s="279"/>
      <c r="AJ907" s="279"/>
      <c r="AK907" s="279"/>
      <c r="AL907" s="279"/>
      <c r="AM907" s="279"/>
      <c r="AN907" s="279"/>
      <c r="AO907" s="279"/>
      <c r="AP907" s="279"/>
      <c r="AQ907" s="279"/>
      <c r="AR907" s="279"/>
      <c r="AS907" s="279"/>
      <c r="AT907" s="279"/>
      <c r="AU907" s="279"/>
      <c r="AV907" s="279"/>
      <c r="AW907" s="279"/>
      <c r="AX907" s="279"/>
      <c r="AY907" s="279"/>
      <c r="AZ907" s="279"/>
      <c r="BA907" s="279"/>
      <c r="BB907" s="279"/>
      <c r="BC907" s="279"/>
      <c r="BD907" s="279"/>
      <c r="BE907" s="279"/>
      <c r="BF907" s="279"/>
      <c r="BG907" s="279"/>
      <c r="BH907" s="279"/>
      <c r="BI907" s="279"/>
      <c r="BJ907" s="279"/>
      <c r="BK907" s="279"/>
      <c r="BL907" s="279"/>
      <c r="BM907" s="279"/>
      <c r="BN907" s="279"/>
      <c r="BO907" s="279"/>
      <c r="BP907" s="279"/>
      <c r="BQ907" s="279"/>
      <c r="BR907" s="279"/>
      <c r="BS907" s="279"/>
      <c r="BT907" s="279"/>
      <c r="BU907" s="279"/>
      <c r="BV907" s="279"/>
      <c r="BW907" s="279"/>
      <c r="BX907" s="279"/>
      <c r="BY907" s="279"/>
      <c r="BZ907" s="279"/>
      <c r="CA907" s="279"/>
      <c r="CB907" s="279"/>
      <c r="CC907" s="279"/>
      <c r="CD907" s="279"/>
      <c r="CE907" s="279"/>
      <c r="CF907" s="279"/>
      <c r="CG907" s="279"/>
      <c r="CH907" s="279"/>
      <c r="CI907" s="279"/>
      <c r="CJ907" s="279"/>
      <c r="CK907" s="279"/>
      <c r="CL907" s="279"/>
      <c r="CM907" s="279"/>
      <c r="CN907" s="382"/>
    </row>
    <row r="908" x14ac:dyDescent="0.3">
      <c r="B908" s="361"/>
      <c r="C908" s="279"/>
      <c r="D908" s="280"/>
      <c r="E908" s="287"/>
      <c r="F908" s="287"/>
      <c r="G908" s="287"/>
      <c r="H908" s="1292">
        <f t="shared" si="37"/>
        <v>9</v>
      </c>
      <c r="I908" s="1190" t="str">
        <f>'I. Stream &amp; Compound Data'!P270</f>
        <v/>
      </c>
      <c r="J908" s="1295" t="str">
        <f>IF(I150="","",IF('I. Stream &amp; Compound Data'!BS270="",0,'I. Stream &amp; Compound Data'!BS270))</f>
        <v/>
      </c>
      <c r="K908" s="1295" t="str">
        <f t="shared" si="38"/>
        <v/>
      </c>
      <c r="L908" s="1317" t="str">
        <f t="shared" si="39"/>
        <v/>
      </c>
      <c r="M908" s="287"/>
      <c r="N908" s="296"/>
      <c r="O908" s="280"/>
      <c r="P908" s="280"/>
      <c r="Q908" s="279"/>
      <c r="R908" s="297"/>
      <c r="S908" s="298"/>
      <c r="T908" s="298"/>
      <c r="U908" s="299"/>
      <c r="V908" s="279"/>
      <c r="W908" s="279"/>
      <c r="X908" s="279"/>
      <c r="Y908" s="279"/>
      <c r="Z908" s="279"/>
      <c r="AA908" s="279"/>
      <c r="AB908" s="279"/>
      <c r="AC908" s="279"/>
      <c r="AD908" s="279"/>
      <c r="AE908" s="279"/>
      <c r="AF908" s="279"/>
      <c r="AG908" s="279"/>
      <c r="AH908" s="279"/>
      <c r="AI908" s="279"/>
      <c r="AJ908" s="279"/>
      <c r="AK908" s="279"/>
      <c r="AL908" s="279"/>
      <c r="AM908" s="279"/>
      <c r="AN908" s="279"/>
      <c r="AO908" s="279"/>
      <c r="AP908" s="279"/>
      <c r="AQ908" s="279"/>
      <c r="AR908" s="279"/>
      <c r="AS908" s="279"/>
      <c r="AT908" s="279"/>
      <c r="AU908" s="279"/>
      <c r="AV908" s="279"/>
      <c r="AW908" s="279"/>
      <c r="AX908" s="279"/>
      <c r="AY908" s="279"/>
      <c r="AZ908" s="279"/>
      <c r="BA908" s="279"/>
      <c r="BB908" s="279"/>
      <c r="BC908" s="279"/>
      <c r="BD908" s="279"/>
      <c r="BE908" s="279"/>
      <c r="BF908" s="279"/>
      <c r="BG908" s="279"/>
      <c r="BH908" s="279"/>
      <c r="BI908" s="279"/>
      <c r="BJ908" s="279"/>
      <c r="BK908" s="279"/>
      <c r="BL908" s="279"/>
      <c r="BM908" s="279"/>
      <c r="BN908" s="279"/>
      <c r="BO908" s="279"/>
      <c r="BP908" s="279"/>
      <c r="BQ908" s="279"/>
      <c r="BR908" s="279"/>
      <c r="BS908" s="279"/>
      <c r="BT908" s="279"/>
      <c r="BU908" s="279"/>
      <c r="BV908" s="279"/>
      <c r="BW908" s="279"/>
      <c r="BX908" s="279"/>
      <c r="BY908" s="279"/>
      <c r="BZ908" s="279"/>
      <c r="CA908" s="279"/>
      <c r="CB908" s="279"/>
      <c r="CC908" s="279"/>
      <c r="CD908" s="279"/>
      <c r="CE908" s="279"/>
      <c r="CF908" s="279"/>
      <c r="CG908" s="279"/>
      <c r="CH908" s="279"/>
      <c r="CI908" s="279"/>
      <c r="CJ908" s="279"/>
      <c r="CK908" s="279"/>
      <c r="CL908" s="279"/>
      <c r="CM908" s="279"/>
      <c r="CN908" s="382"/>
    </row>
    <row r="909" x14ac:dyDescent="0.3">
      <c r="B909" s="361"/>
      <c r="C909" s="279"/>
      <c r="D909" s="280"/>
      <c r="E909" s="287"/>
      <c r="F909" s="287"/>
      <c r="G909" s="287"/>
      <c r="H909" s="1292">
        <f t="shared" si="37"/>
        <v>10</v>
      </c>
      <c r="I909" s="1190" t="str">
        <f>'I. Stream &amp; Compound Data'!P271</f>
        <v/>
      </c>
      <c r="J909" s="1295" t="str">
        <f>IF(I151="","",IF('I. Stream &amp; Compound Data'!BS271="",0,'I. Stream &amp; Compound Data'!BS271))</f>
        <v/>
      </c>
      <c r="K909" s="1295" t="str">
        <f t="shared" si="38"/>
        <v/>
      </c>
      <c r="L909" s="1317" t="str">
        <f t="shared" si="39"/>
        <v/>
      </c>
      <c r="M909" s="287"/>
      <c r="N909" s="296"/>
      <c r="O909" s="280"/>
      <c r="P909" s="280"/>
      <c r="Q909" s="279"/>
      <c r="R909" s="297"/>
      <c r="S909" s="298"/>
      <c r="T909" s="298"/>
      <c r="U909" s="299"/>
      <c r="V909" s="279"/>
      <c r="W909" s="279"/>
      <c r="X909" s="279"/>
      <c r="Y909" s="279"/>
      <c r="Z909" s="279"/>
      <c r="AA909" s="279"/>
      <c r="AB909" s="279"/>
      <c r="AC909" s="279"/>
      <c r="AD909" s="279"/>
      <c r="AE909" s="279"/>
      <c r="AF909" s="279"/>
      <c r="AG909" s="279"/>
      <c r="AH909" s="279"/>
      <c r="AI909" s="279"/>
      <c r="AJ909" s="279"/>
      <c r="AK909" s="279"/>
      <c r="AL909" s="279"/>
      <c r="AM909" s="279"/>
      <c r="AN909" s="279"/>
      <c r="AO909" s="279"/>
      <c r="AP909" s="279"/>
      <c r="AQ909" s="279"/>
      <c r="AR909" s="279"/>
      <c r="AS909" s="279"/>
      <c r="AT909" s="279"/>
      <c r="AU909" s="279"/>
      <c r="AV909" s="279"/>
      <c r="AW909" s="279"/>
      <c r="AX909" s="279"/>
      <c r="AY909" s="279"/>
      <c r="AZ909" s="279"/>
      <c r="BA909" s="279"/>
      <c r="BB909" s="279"/>
      <c r="BC909" s="279"/>
      <c r="BD909" s="279"/>
      <c r="BE909" s="279"/>
      <c r="BF909" s="279"/>
      <c r="BG909" s="279"/>
      <c r="BH909" s="279"/>
      <c r="BI909" s="279"/>
      <c r="BJ909" s="279"/>
      <c r="BK909" s="279"/>
      <c r="BL909" s="279"/>
      <c r="BM909" s="279"/>
      <c r="BN909" s="279"/>
      <c r="BO909" s="279"/>
      <c r="BP909" s="279"/>
      <c r="BQ909" s="279"/>
      <c r="BR909" s="279"/>
      <c r="BS909" s="279"/>
      <c r="BT909" s="279"/>
      <c r="BU909" s="279"/>
      <c r="BV909" s="279"/>
      <c r="BW909" s="279"/>
      <c r="BX909" s="279"/>
      <c r="BY909" s="279"/>
      <c r="BZ909" s="279"/>
      <c r="CA909" s="279"/>
      <c r="CB909" s="279"/>
      <c r="CC909" s="279"/>
      <c r="CD909" s="279"/>
      <c r="CE909" s="279"/>
      <c r="CF909" s="279"/>
      <c r="CG909" s="279"/>
      <c r="CH909" s="279"/>
      <c r="CI909" s="279"/>
      <c r="CJ909" s="279"/>
      <c r="CK909" s="279"/>
      <c r="CL909" s="279"/>
      <c r="CM909" s="279"/>
      <c r="CN909" s="382"/>
    </row>
    <row r="910" x14ac:dyDescent="0.3">
      <c r="B910" s="361"/>
      <c r="C910" s="279"/>
      <c r="D910" s="280"/>
      <c r="E910" s="287"/>
      <c r="F910" s="287"/>
      <c r="G910" s="287"/>
      <c r="H910" s="1292">
        <f t="shared" si="37"/>
        <v>11</v>
      </c>
      <c r="I910" s="1190" t="str">
        <f>'I. Stream &amp; Compound Data'!P272</f>
        <v/>
      </c>
      <c r="J910" s="1295" t="str">
        <f>IF(I152="","",IF('I. Stream &amp; Compound Data'!BS272="",0,'I. Stream &amp; Compound Data'!BS272))</f>
        <v/>
      </c>
      <c r="K910" s="1295" t="str">
        <f t="shared" si="38"/>
        <v/>
      </c>
      <c r="L910" s="1317" t="str">
        <f t="shared" si="39"/>
        <v/>
      </c>
      <c r="M910" s="287"/>
      <c r="N910" s="296"/>
      <c r="O910" s="280"/>
      <c r="P910" s="280"/>
      <c r="Q910" s="279"/>
      <c r="R910" s="297"/>
      <c r="S910" s="298"/>
      <c r="T910" s="298"/>
      <c r="U910" s="299"/>
      <c r="V910" s="279"/>
      <c r="W910" s="279"/>
      <c r="X910" s="279"/>
      <c r="Y910" s="279"/>
      <c r="Z910" s="279"/>
      <c r="AA910" s="279"/>
      <c r="AB910" s="279"/>
      <c r="AC910" s="279"/>
      <c r="AD910" s="279"/>
      <c r="AE910" s="279"/>
      <c r="AF910" s="279"/>
      <c r="AG910" s="279"/>
      <c r="AH910" s="279"/>
      <c r="AI910" s="279"/>
      <c r="AJ910" s="279"/>
      <c r="AK910" s="279"/>
      <c r="AL910" s="279"/>
      <c r="AM910" s="279"/>
      <c r="AN910" s="279"/>
      <c r="AO910" s="279"/>
      <c r="AP910" s="279"/>
      <c r="AQ910" s="279"/>
      <c r="AR910" s="279"/>
      <c r="AS910" s="279"/>
      <c r="AT910" s="279"/>
      <c r="AU910" s="279"/>
      <c r="AV910" s="279"/>
      <c r="AW910" s="279"/>
      <c r="AX910" s="279"/>
      <c r="AY910" s="279"/>
      <c r="AZ910" s="279"/>
      <c r="BA910" s="279"/>
      <c r="BB910" s="279"/>
      <c r="BC910" s="279"/>
      <c r="BD910" s="279"/>
      <c r="BE910" s="279"/>
      <c r="BF910" s="279"/>
      <c r="BG910" s="279"/>
      <c r="BH910" s="279"/>
      <c r="BI910" s="279"/>
      <c r="BJ910" s="279"/>
      <c r="BK910" s="279"/>
      <c r="BL910" s="279"/>
      <c r="BM910" s="279"/>
      <c r="BN910" s="279"/>
      <c r="BO910" s="279"/>
      <c r="BP910" s="279"/>
      <c r="BQ910" s="279"/>
      <c r="BR910" s="279"/>
      <c r="BS910" s="279"/>
      <c r="BT910" s="279"/>
      <c r="BU910" s="279"/>
      <c r="BV910" s="279"/>
      <c r="BW910" s="279"/>
      <c r="BX910" s="279"/>
      <c r="BY910" s="279"/>
      <c r="BZ910" s="279"/>
      <c r="CA910" s="279"/>
      <c r="CB910" s="279"/>
      <c r="CC910" s="279"/>
      <c r="CD910" s="279"/>
      <c r="CE910" s="279"/>
      <c r="CF910" s="279"/>
      <c r="CG910" s="279"/>
      <c r="CH910" s="279"/>
      <c r="CI910" s="279"/>
      <c r="CJ910" s="279"/>
      <c r="CK910" s="279"/>
      <c r="CL910" s="279"/>
      <c r="CM910" s="279"/>
      <c r="CN910" s="382"/>
    </row>
    <row r="911" x14ac:dyDescent="0.3">
      <c r="B911" s="361"/>
      <c r="C911" s="279"/>
      <c r="D911" s="280"/>
      <c r="E911" s="287"/>
      <c r="F911" s="287"/>
      <c r="G911" s="287"/>
      <c r="H911" s="1292">
        <f t="shared" si="37"/>
        <v>12</v>
      </c>
      <c r="I911" s="1190" t="str">
        <f>'I. Stream &amp; Compound Data'!P273</f>
        <v/>
      </c>
      <c r="J911" s="1295" t="str">
        <f>IF(I153="","",IF('I. Stream &amp; Compound Data'!BS273="",0,'I. Stream &amp; Compound Data'!BS273))</f>
        <v/>
      </c>
      <c r="K911" s="1295" t="str">
        <f t="shared" si="38"/>
        <v/>
      </c>
      <c r="L911" s="1317" t="str">
        <f t="shared" si="39"/>
        <v/>
      </c>
      <c r="M911" s="287"/>
      <c r="N911" s="296"/>
      <c r="O911" s="280"/>
      <c r="P911" s="280"/>
      <c r="Q911" s="279"/>
      <c r="R911" s="297"/>
      <c r="S911" s="298"/>
      <c r="T911" s="298"/>
      <c r="U911" s="299"/>
      <c r="V911" s="279"/>
      <c r="W911" s="279"/>
      <c r="X911" s="279"/>
      <c r="Y911" s="279"/>
      <c r="Z911" s="279"/>
      <c r="AA911" s="279"/>
      <c r="AB911" s="279"/>
      <c r="AC911" s="279"/>
      <c r="AD911" s="279"/>
      <c r="AE911" s="279"/>
      <c r="AF911" s="279"/>
      <c r="AG911" s="279"/>
      <c r="AH911" s="279"/>
      <c r="AI911" s="279"/>
      <c r="AJ911" s="279"/>
      <c r="AK911" s="279"/>
      <c r="AL911" s="279"/>
      <c r="AM911" s="279"/>
      <c r="AN911" s="279"/>
      <c r="AO911" s="279"/>
      <c r="AP911" s="279"/>
      <c r="AQ911" s="279"/>
      <c r="AR911" s="279"/>
      <c r="AS911" s="279"/>
      <c r="AT911" s="279"/>
      <c r="AU911" s="279"/>
      <c r="AV911" s="279"/>
      <c r="AW911" s="279"/>
      <c r="AX911" s="279"/>
      <c r="AY911" s="279"/>
      <c r="AZ911" s="279"/>
      <c r="BA911" s="279"/>
      <c r="BB911" s="279"/>
      <c r="BC911" s="279"/>
      <c r="BD911" s="279"/>
      <c r="BE911" s="279"/>
      <c r="BF911" s="279"/>
      <c r="BG911" s="279"/>
      <c r="BH911" s="279"/>
      <c r="BI911" s="279"/>
      <c r="BJ911" s="279"/>
      <c r="BK911" s="279"/>
      <c r="BL911" s="279"/>
      <c r="BM911" s="279"/>
      <c r="BN911" s="279"/>
      <c r="BO911" s="279"/>
      <c r="BP911" s="279"/>
      <c r="BQ911" s="279"/>
      <c r="BR911" s="279"/>
      <c r="BS911" s="279"/>
      <c r="BT911" s="279"/>
      <c r="BU911" s="279"/>
      <c r="BV911" s="279"/>
      <c r="BW911" s="279"/>
      <c r="BX911" s="279"/>
      <c r="BY911" s="279"/>
      <c r="BZ911" s="279"/>
      <c r="CA911" s="279"/>
      <c r="CB911" s="279"/>
      <c r="CC911" s="279"/>
      <c r="CD911" s="279"/>
      <c r="CE911" s="279"/>
      <c r="CF911" s="279"/>
      <c r="CG911" s="279"/>
      <c r="CH911" s="279"/>
      <c r="CI911" s="279"/>
      <c r="CJ911" s="279"/>
      <c r="CK911" s="279"/>
      <c r="CL911" s="279"/>
      <c r="CM911" s="279"/>
      <c r="CN911" s="382"/>
    </row>
    <row r="912" x14ac:dyDescent="0.3">
      <c r="B912" s="361"/>
      <c r="C912" s="279"/>
      <c r="D912" s="280"/>
      <c r="E912" s="287"/>
      <c r="F912" s="287"/>
      <c r="G912" s="287"/>
      <c r="H912" s="1292">
        <f t="shared" si="37"/>
        <v>13</v>
      </c>
      <c r="I912" s="1190" t="str">
        <f>'I. Stream &amp; Compound Data'!P274</f>
        <v/>
      </c>
      <c r="J912" s="1295" t="str">
        <f>IF(I154="","",IF('I. Stream &amp; Compound Data'!BS274="",0,'I. Stream &amp; Compound Data'!BS274))</f>
        <v/>
      </c>
      <c r="K912" s="1295" t="str">
        <f t="shared" si="38"/>
        <v/>
      </c>
      <c r="L912" s="1317" t="str">
        <f t="shared" si="39"/>
        <v/>
      </c>
      <c r="M912" s="287"/>
      <c r="N912" s="296"/>
      <c r="O912" s="280"/>
      <c r="P912" s="280"/>
      <c r="Q912" s="279"/>
      <c r="R912" s="297"/>
      <c r="S912" s="298"/>
      <c r="T912" s="298"/>
      <c r="U912" s="299"/>
      <c r="V912" s="279"/>
      <c r="W912" s="279"/>
      <c r="X912" s="279"/>
      <c r="Y912" s="279"/>
      <c r="Z912" s="279"/>
      <c r="AA912" s="279"/>
      <c r="AB912" s="279"/>
      <c r="AC912" s="279"/>
      <c r="AD912" s="279"/>
      <c r="AE912" s="279"/>
      <c r="AF912" s="279"/>
      <c r="AG912" s="279"/>
      <c r="AH912" s="279"/>
      <c r="AI912" s="279"/>
      <c r="AJ912" s="279"/>
      <c r="AK912" s="279"/>
      <c r="AL912" s="279"/>
      <c r="AM912" s="279"/>
      <c r="AN912" s="279"/>
      <c r="AO912" s="279"/>
      <c r="AP912" s="279"/>
      <c r="AQ912" s="279"/>
      <c r="AR912" s="279"/>
      <c r="AS912" s="279"/>
      <c r="AT912" s="279"/>
      <c r="AU912" s="279"/>
      <c r="AV912" s="279"/>
      <c r="AW912" s="279"/>
      <c r="AX912" s="279"/>
      <c r="AY912" s="279"/>
      <c r="AZ912" s="279"/>
      <c r="BA912" s="279"/>
      <c r="BB912" s="279"/>
      <c r="BC912" s="279"/>
      <c r="BD912" s="279"/>
      <c r="BE912" s="279"/>
      <c r="BF912" s="279"/>
      <c r="BG912" s="279"/>
      <c r="BH912" s="279"/>
      <c r="BI912" s="279"/>
      <c r="BJ912" s="279"/>
      <c r="BK912" s="279"/>
      <c r="BL912" s="279"/>
      <c r="BM912" s="279"/>
      <c r="BN912" s="279"/>
      <c r="BO912" s="279"/>
      <c r="BP912" s="279"/>
      <c r="BQ912" s="279"/>
      <c r="BR912" s="279"/>
      <c r="BS912" s="279"/>
      <c r="BT912" s="279"/>
      <c r="BU912" s="279"/>
      <c r="BV912" s="279"/>
      <c r="BW912" s="279"/>
      <c r="BX912" s="279"/>
      <c r="BY912" s="279"/>
      <c r="BZ912" s="279"/>
      <c r="CA912" s="279"/>
      <c r="CB912" s="279"/>
      <c r="CC912" s="279"/>
      <c r="CD912" s="279"/>
      <c r="CE912" s="279"/>
      <c r="CF912" s="279"/>
      <c r="CG912" s="279"/>
      <c r="CH912" s="279"/>
      <c r="CI912" s="279"/>
      <c r="CJ912" s="279"/>
      <c r="CK912" s="279"/>
      <c r="CL912" s="279"/>
      <c r="CM912" s="279"/>
      <c r="CN912" s="382"/>
    </row>
    <row r="913" x14ac:dyDescent="0.3">
      <c r="B913" s="361"/>
      <c r="C913" s="279"/>
      <c r="D913" s="280"/>
      <c r="E913" s="287"/>
      <c r="F913" s="287"/>
      <c r="G913" s="287"/>
      <c r="H913" s="1292">
        <f t="shared" si="37"/>
        <v>14</v>
      </c>
      <c r="I913" s="1190" t="str">
        <f>'I. Stream &amp; Compound Data'!P275</f>
        <v/>
      </c>
      <c r="J913" s="1295" t="str">
        <f>IF(I155="","",IF('I. Stream &amp; Compound Data'!BS275="",0,'I. Stream &amp; Compound Data'!BS275))</f>
        <v/>
      </c>
      <c r="K913" s="1295" t="str">
        <f t="shared" si="38"/>
        <v/>
      </c>
      <c r="L913" s="1317" t="str">
        <f t="shared" si="39"/>
        <v/>
      </c>
      <c r="M913" s="287"/>
      <c r="N913" s="296"/>
      <c r="O913" s="280"/>
      <c r="P913" s="280"/>
      <c r="Q913" s="279"/>
      <c r="R913" s="297"/>
      <c r="S913" s="298"/>
      <c r="T913" s="298"/>
      <c r="U913" s="299"/>
      <c r="V913" s="279"/>
      <c r="W913" s="279"/>
      <c r="X913" s="279"/>
      <c r="Y913" s="279"/>
      <c r="Z913" s="279"/>
      <c r="AA913" s="279"/>
      <c r="AB913" s="279"/>
      <c r="AC913" s="279"/>
      <c r="AD913" s="279"/>
      <c r="AE913" s="279"/>
      <c r="AF913" s="279"/>
      <c r="AG913" s="279"/>
      <c r="AH913" s="279"/>
      <c r="AI913" s="279"/>
      <c r="AJ913" s="279"/>
      <c r="AK913" s="279"/>
      <c r="AL913" s="279"/>
      <c r="AM913" s="279"/>
      <c r="AN913" s="279"/>
      <c r="AO913" s="279"/>
      <c r="AP913" s="279"/>
      <c r="AQ913" s="279"/>
      <c r="AR913" s="279"/>
      <c r="AS913" s="279"/>
      <c r="AT913" s="279"/>
      <c r="AU913" s="279"/>
      <c r="AV913" s="279"/>
      <c r="AW913" s="279"/>
      <c r="AX913" s="279"/>
      <c r="AY913" s="279"/>
      <c r="AZ913" s="279"/>
      <c r="BA913" s="279"/>
      <c r="BB913" s="279"/>
      <c r="BC913" s="279"/>
      <c r="BD913" s="279"/>
      <c r="BE913" s="279"/>
      <c r="BF913" s="279"/>
      <c r="BG913" s="279"/>
      <c r="BH913" s="279"/>
      <c r="BI913" s="279"/>
      <c r="BJ913" s="279"/>
      <c r="BK913" s="279"/>
      <c r="BL913" s="279"/>
      <c r="BM913" s="279"/>
      <c r="BN913" s="279"/>
      <c r="BO913" s="279"/>
      <c r="BP913" s="279"/>
      <c r="BQ913" s="279"/>
      <c r="BR913" s="279"/>
      <c r="BS913" s="279"/>
      <c r="BT913" s="279"/>
      <c r="BU913" s="279"/>
      <c r="BV913" s="279"/>
      <c r="BW913" s="279"/>
      <c r="BX913" s="279"/>
      <c r="BY913" s="279"/>
      <c r="BZ913" s="279"/>
      <c r="CA913" s="279"/>
      <c r="CB913" s="279"/>
      <c r="CC913" s="279"/>
      <c r="CD913" s="279"/>
      <c r="CE913" s="279"/>
      <c r="CF913" s="279"/>
      <c r="CG913" s="279"/>
      <c r="CH913" s="279"/>
      <c r="CI913" s="279"/>
      <c r="CJ913" s="279"/>
      <c r="CK913" s="279"/>
      <c r="CL913" s="279"/>
      <c r="CM913" s="279"/>
      <c r="CN913" s="382"/>
    </row>
    <row r="914" x14ac:dyDescent="0.3">
      <c r="B914" s="361"/>
      <c r="C914" s="279"/>
      <c r="D914" s="280"/>
      <c r="E914" s="287"/>
      <c r="F914" s="287"/>
      <c r="G914" s="287"/>
      <c r="H914" s="1292">
        <f t="shared" si="37"/>
        <v>15</v>
      </c>
      <c r="I914" s="1190" t="str">
        <f>'I. Stream &amp; Compound Data'!P276</f>
        <v/>
      </c>
      <c r="J914" s="1295" t="str">
        <f>IF(I156="","",IF('I. Stream &amp; Compound Data'!BS276="",0,'I. Stream &amp; Compound Data'!BS276))</f>
        <v/>
      </c>
      <c r="K914" s="1295" t="str">
        <f t="shared" si="38"/>
        <v/>
      </c>
      <c r="L914" s="1317" t="str">
        <f t="shared" si="39"/>
        <v/>
      </c>
      <c r="M914" s="287"/>
      <c r="N914" s="296"/>
      <c r="O914" s="280"/>
      <c r="P914" s="280"/>
      <c r="Q914" s="279"/>
      <c r="R914" s="297"/>
      <c r="S914" s="298"/>
      <c r="T914" s="298"/>
      <c r="U914" s="299"/>
      <c r="V914" s="279"/>
      <c r="W914" s="279"/>
      <c r="X914" s="279"/>
      <c r="Y914" s="279"/>
      <c r="Z914" s="279"/>
      <c r="AA914" s="279"/>
      <c r="AB914" s="279"/>
      <c r="AC914" s="279"/>
      <c r="AD914" s="279"/>
      <c r="AE914" s="279"/>
      <c r="AF914" s="279"/>
      <c r="AG914" s="279"/>
      <c r="AH914" s="279"/>
      <c r="AI914" s="279"/>
      <c r="AJ914" s="279"/>
      <c r="AK914" s="279"/>
      <c r="AL914" s="279"/>
      <c r="AM914" s="279"/>
      <c r="AN914" s="279"/>
      <c r="AO914" s="279"/>
      <c r="AP914" s="279"/>
      <c r="AQ914" s="279"/>
      <c r="AR914" s="279"/>
      <c r="AS914" s="279"/>
      <c r="AT914" s="279"/>
      <c r="AU914" s="279"/>
      <c r="AV914" s="279"/>
      <c r="AW914" s="279"/>
      <c r="AX914" s="279"/>
      <c r="AY914" s="279"/>
      <c r="AZ914" s="279"/>
      <c r="BA914" s="279"/>
      <c r="BB914" s="279"/>
      <c r="BC914" s="279"/>
      <c r="BD914" s="279"/>
      <c r="BE914" s="279"/>
      <c r="BF914" s="279"/>
      <c r="BG914" s="279"/>
      <c r="BH914" s="279"/>
      <c r="BI914" s="279"/>
      <c r="BJ914" s="279"/>
      <c r="BK914" s="279"/>
      <c r="BL914" s="279"/>
      <c r="BM914" s="279"/>
      <c r="BN914" s="279"/>
      <c r="BO914" s="279"/>
      <c r="BP914" s="279"/>
      <c r="BQ914" s="279"/>
      <c r="BR914" s="279"/>
      <c r="BS914" s="279"/>
      <c r="BT914" s="279"/>
      <c r="BU914" s="279"/>
      <c r="BV914" s="279"/>
      <c r="BW914" s="279"/>
      <c r="BX914" s="279"/>
      <c r="BY914" s="279"/>
      <c r="BZ914" s="279"/>
      <c r="CA914" s="279"/>
      <c r="CB914" s="279"/>
      <c r="CC914" s="279"/>
      <c r="CD914" s="279"/>
      <c r="CE914" s="279"/>
      <c r="CF914" s="279"/>
      <c r="CG914" s="279"/>
      <c r="CH914" s="279"/>
      <c r="CI914" s="279"/>
      <c r="CJ914" s="279"/>
      <c r="CK914" s="279"/>
      <c r="CL914" s="279"/>
      <c r="CM914" s="279"/>
      <c r="CN914" s="382"/>
    </row>
    <row r="915" x14ac:dyDescent="0.3">
      <c r="B915" s="361"/>
      <c r="C915" s="279"/>
      <c r="D915" s="280"/>
      <c r="E915" s="287"/>
      <c r="F915" s="287"/>
      <c r="G915" s="287"/>
      <c r="H915" s="1292">
        <f t="shared" si="37"/>
        <v>16</v>
      </c>
      <c r="I915" s="1190" t="str">
        <f>'I. Stream &amp; Compound Data'!P277</f>
        <v/>
      </c>
      <c r="J915" s="1295" t="str">
        <f>IF(I157="","",IF('I. Stream &amp; Compound Data'!BS277="",0,'I. Stream &amp; Compound Data'!BS277))</f>
        <v/>
      </c>
      <c r="K915" s="1295" t="str">
        <f t="shared" si="38"/>
        <v/>
      </c>
      <c r="L915" s="1317" t="str">
        <f t="shared" si="39"/>
        <v/>
      </c>
      <c r="M915" s="287"/>
      <c r="N915" s="296"/>
      <c r="O915" s="280"/>
      <c r="P915" s="280"/>
      <c r="Q915" s="279"/>
      <c r="R915" s="297"/>
      <c r="S915" s="298"/>
      <c r="T915" s="298"/>
      <c r="U915" s="299"/>
      <c r="V915" s="279"/>
      <c r="W915" s="279"/>
      <c r="X915" s="279"/>
      <c r="Y915" s="279"/>
      <c r="Z915" s="279"/>
      <c r="AA915" s="279"/>
      <c r="AB915" s="279"/>
      <c r="AC915" s="279"/>
      <c r="AD915" s="279"/>
      <c r="AE915" s="279"/>
      <c r="AF915" s="279"/>
      <c r="AG915" s="279"/>
      <c r="AH915" s="279"/>
      <c r="AI915" s="279"/>
      <c r="AJ915" s="279"/>
      <c r="AK915" s="279"/>
      <c r="AL915" s="279"/>
      <c r="AM915" s="279"/>
      <c r="AN915" s="279"/>
      <c r="AO915" s="279"/>
      <c r="AP915" s="279"/>
      <c r="AQ915" s="279"/>
      <c r="AR915" s="279"/>
      <c r="AS915" s="279"/>
      <c r="AT915" s="279"/>
      <c r="AU915" s="279"/>
      <c r="AV915" s="279"/>
      <c r="AW915" s="279"/>
      <c r="AX915" s="279"/>
      <c r="AY915" s="279"/>
      <c r="AZ915" s="279"/>
      <c r="BA915" s="279"/>
      <c r="BB915" s="279"/>
      <c r="BC915" s="279"/>
      <c r="BD915" s="279"/>
      <c r="BE915" s="279"/>
      <c r="BF915" s="279"/>
      <c r="BG915" s="279"/>
      <c r="BH915" s="279"/>
      <c r="BI915" s="279"/>
      <c r="BJ915" s="279"/>
      <c r="BK915" s="279"/>
      <c r="BL915" s="279"/>
      <c r="BM915" s="279"/>
      <c r="BN915" s="279"/>
      <c r="BO915" s="279"/>
      <c r="BP915" s="279"/>
      <c r="BQ915" s="279"/>
      <c r="BR915" s="279"/>
      <c r="BS915" s="279"/>
      <c r="BT915" s="279"/>
      <c r="BU915" s="279"/>
      <c r="BV915" s="279"/>
      <c r="BW915" s="279"/>
      <c r="BX915" s="279"/>
      <c r="BY915" s="279"/>
      <c r="BZ915" s="279"/>
      <c r="CA915" s="279"/>
      <c r="CB915" s="279"/>
      <c r="CC915" s="279"/>
      <c r="CD915" s="279"/>
      <c r="CE915" s="279"/>
      <c r="CF915" s="279"/>
      <c r="CG915" s="279"/>
      <c r="CH915" s="279"/>
      <c r="CI915" s="279"/>
      <c r="CJ915" s="279"/>
      <c r="CK915" s="279"/>
      <c r="CL915" s="279"/>
      <c r="CM915" s="279"/>
      <c r="CN915" s="382"/>
    </row>
    <row r="916" x14ac:dyDescent="0.3">
      <c r="B916" s="361"/>
      <c r="C916" s="279"/>
      <c r="D916" s="280"/>
      <c r="E916" s="287"/>
      <c r="F916" s="287"/>
      <c r="G916" s="287"/>
      <c r="H916" s="1292">
        <f t="shared" si="37"/>
        <v>17</v>
      </c>
      <c r="I916" s="1190" t="str">
        <f>'I. Stream &amp; Compound Data'!P278</f>
        <v/>
      </c>
      <c r="J916" s="1295" t="str">
        <f>IF(I158="","",IF('I. Stream &amp; Compound Data'!BS278="",0,'I. Stream &amp; Compound Data'!BS278))</f>
        <v/>
      </c>
      <c r="K916" s="1295" t="str">
        <f t="shared" si="38"/>
        <v/>
      </c>
      <c r="L916" s="1317" t="str">
        <f t="shared" si="39"/>
        <v/>
      </c>
      <c r="M916" s="287"/>
      <c r="N916" s="296"/>
      <c r="O916" s="280"/>
      <c r="P916" s="280"/>
      <c r="Q916" s="279"/>
      <c r="R916" s="297"/>
      <c r="S916" s="298"/>
      <c r="T916" s="298"/>
      <c r="U916" s="299"/>
      <c r="V916" s="279"/>
      <c r="W916" s="279"/>
      <c r="X916" s="279"/>
      <c r="Y916" s="279"/>
      <c r="Z916" s="279"/>
      <c r="AA916" s="279"/>
      <c r="AB916" s="279"/>
      <c r="AC916" s="279"/>
      <c r="AD916" s="279"/>
      <c r="AE916" s="279"/>
      <c r="AF916" s="279"/>
      <c r="AG916" s="279"/>
      <c r="AH916" s="279"/>
      <c r="AI916" s="279"/>
      <c r="AJ916" s="279"/>
      <c r="AK916" s="279"/>
      <c r="AL916" s="279"/>
      <c r="AM916" s="279"/>
      <c r="AN916" s="279"/>
      <c r="AO916" s="279"/>
      <c r="AP916" s="279"/>
      <c r="AQ916" s="279"/>
      <c r="AR916" s="279"/>
      <c r="AS916" s="279"/>
      <c r="AT916" s="279"/>
      <c r="AU916" s="279"/>
      <c r="AV916" s="279"/>
      <c r="AW916" s="279"/>
      <c r="AX916" s="279"/>
      <c r="AY916" s="279"/>
      <c r="AZ916" s="279"/>
      <c r="BA916" s="279"/>
      <c r="BB916" s="279"/>
      <c r="BC916" s="279"/>
      <c r="BD916" s="279"/>
      <c r="BE916" s="279"/>
      <c r="BF916" s="279"/>
      <c r="BG916" s="279"/>
      <c r="BH916" s="279"/>
      <c r="BI916" s="279"/>
      <c r="BJ916" s="279"/>
      <c r="BK916" s="279"/>
      <c r="BL916" s="279"/>
      <c r="BM916" s="279"/>
      <c r="BN916" s="279"/>
      <c r="BO916" s="279"/>
      <c r="BP916" s="279"/>
      <c r="BQ916" s="279"/>
      <c r="BR916" s="279"/>
      <c r="BS916" s="279"/>
      <c r="BT916" s="279"/>
      <c r="BU916" s="279"/>
      <c r="BV916" s="279"/>
      <c r="BW916" s="279"/>
      <c r="BX916" s="279"/>
      <c r="BY916" s="279"/>
      <c r="BZ916" s="279"/>
      <c r="CA916" s="279"/>
      <c r="CB916" s="279"/>
      <c r="CC916" s="279"/>
      <c r="CD916" s="279"/>
      <c r="CE916" s="279"/>
      <c r="CF916" s="279"/>
      <c r="CG916" s="279"/>
      <c r="CH916" s="279"/>
      <c r="CI916" s="279"/>
      <c r="CJ916" s="279"/>
      <c r="CK916" s="279"/>
      <c r="CL916" s="279"/>
      <c r="CM916" s="279"/>
      <c r="CN916" s="382"/>
    </row>
    <row r="917" x14ac:dyDescent="0.3">
      <c r="B917" s="361"/>
      <c r="C917" s="279"/>
      <c r="D917" s="280"/>
      <c r="E917" s="287"/>
      <c r="F917" s="287"/>
      <c r="G917" s="287"/>
      <c r="H917" s="1292">
        <f t="shared" si="37"/>
        <v>18</v>
      </c>
      <c r="I917" s="1190" t="str">
        <f>'I. Stream &amp; Compound Data'!P279</f>
        <v/>
      </c>
      <c r="J917" s="1295" t="str">
        <f>IF(I159="","",IF('I. Stream &amp; Compound Data'!BS279="",0,'I. Stream &amp; Compound Data'!BS279))</f>
        <v/>
      </c>
      <c r="K917" s="1295" t="str">
        <f t="shared" si="38"/>
        <v/>
      </c>
      <c r="L917" s="1317" t="str">
        <f t="shared" si="39"/>
        <v/>
      </c>
      <c r="M917" s="287"/>
      <c r="N917" s="296"/>
      <c r="O917" s="280"/>
      <c r="P917" s="280"/>
      <c r="Q917" s="279"/>
      <c r="R917" s="297"/>
      <c r="S917" s="298"/>
      <c r="T917" s="298"/>
      <c r="U917" s="299"/>
      <c r="V917" s="279"/>
      <c r="W917" s="279"/>
      <c r="X917" s="279"/>
      <c r="Y917" s="279"/>
      <c r="Z917" s="279"/>
      <c r="AA917" s="279"/>
      <c r="AB917" s="279"/>
      <c r="AC917" s="279"/>
      <c r="AD917" s="279"/>
      <c r="AE917" s="279"/>
      <c r="AF917" s="279"/>
      <c r="AG917" s="279"/>
      <c r="AH917" s="279"/>
      <c r="AI917" s="279"/>
      <c r="AJ917" s="279"/>
      <c r="AK917" s="279"/>
      <c r="AL917" s="279"/>
      <c r="AM917" s="279"/>
      <c r="AN917" s="279"/>
      <c r="AO917" s="279"/>
      <c r="AP917" s="279"/>
      <c r="AQ917" s="279"/>
      <c r="AR917" s="279"/>
      <c r="AS917" s="279"/>
      <c r="AT917" s="279"/>
      <c r="AU917" s="279"/>
      <c r="AV917" s="279"/>
      <c r="AW917" s="279"/>
      <c r="AX917" s="279"/>
      <c r="AY917" s="279"/>
      <c r="AZ917" s="279"/>
      <c r="BA917" s="279"/>
      <c r="BB917" s="279"/>
      <c r="BC917" s="279"/>
      <c r="BD917" s="279"/>
      <c r="BE917" s="279"/>
      <c r="BF917" s="279"/>
      <c r="BG917" s="279"/>
      <c r="BH917" s="279"/>
      <c r="BI917" s="279"/>
      <c r="BJ917" s="279"/>
      <c r="BK917" s="279"/>
      <c r="BL917" s="279"/>
      <c r="BM917" s="279"/>
      <c r="BN917" s="279"/>
      <c r="BO917" s="279"/>
      <c r="BP917" s="279"/>
      <c r="BQ917" s="279"/>
      <c r="BR917" s="279"/>
      <c r="BS917" s="279"/>
      <c r="BT917" s="279"/>
      <c r="BU917" s="279"/>
      <c r="BV917" s="279"/>
      <c r="BW917" s="279"/>
      <c r="BX917" s="279"/>
      <c r="BY917" s="279"/>
      <c r="BZ917" s="279"/>
      <c r="CA917" s="279"/>
      <c r="CB917" s="279"/>
      <c r="CC917" s="279"/>
      <c r="CD917" s="279"/>
      <c r="CE917" s="279"/>
      <c r="CF917" s="279"/>
      <c r="CG917" s="279"/>
      <c r="CH917" s="279"/>
      <c r="CI917" s="279"/>
      <c r="CJ917" s="279"/>
      <c r="CK917" s="279"/>
      <c r="CL917" s="279"/>
      <c r="CM917" s="279"/>
      <c r="CN917" s="382"/>
    </row>
    <row r="918" x14ac:dyDescent="0.3">
      <c r="B918" s="361"/>
      <c r="C918" s="279"/>
      <c r="D918" s="280"/>
      <c r="E918" s="287"/>
      <c r="F918" s="287"/>
      <c r="G918" s="287"/>
      <c r="H918" s="1292">
        <f t="shared" si="37"/>
        <v>19</v>
      </c>
      <c r="I918" s="1190" t="str">
        <f>'I. Stream &amp; Compound Data'!P280</f>
        <v/>
      </c>
      <c r="J918" s="1295" t="str">
        <f>IF(I160="","",IF('I. Stream &amp; Compound Data'!BS280="",0,'I. Stream &amp; Compound Data'!BS280))</f>
        <v/>
      </c>
      <c r="K918" s="1295" t="str">
        <f t="shared" si="38"/>
        <v/>
      </c>
      <c r="L918" s="1317" t="str">
        <f t="shared" si="39"/>
        <v/>
      </c>
      <c r="M918" s="287"/>
      <c r="N918" s="296"/>
      <c r="O918" s="280"/>
      <c r="P918" s="280"/>
      <c r="Q918" s="279"/>
      <c r="R918" s="297"/>
      <c r="S918" s="298"/>
      <c r="T918" s="298"/>
      <c r="U918" s="299"/>
      <c r="V918" s="279"/>
      <c r="W918" s="279"/>
      <c r="X918" s="279"/>
      <c r="Y918" s="279"/>
      <c r="Z918" s="279"/>
      <c r="AA918" s="279"/>
      <c r="AB918" s="279"/>
      <c r="AC918" s="279"/>
      <c r="AD918" s="279"/>
      <c r="AE918" s="279"/>
      <c r="AF918" s="279"/>
      <c r="AG918" s="279"/>
      <c r="AH918" s="279"/>
      <c r="AI918" s="279"/>
      <c r="AJ918" s="279"/>
      <c r="AK918" s="279"/>
      <c r="AL918" s="279"/>
      <c r="AM918" s="279"/>
      <c r="AN918" s="279"/>
      <c r="AO918" s="279"/>
      <c r="AP918" s="279"/>
      <c r="AQ918" s="279"/>
      <c r="AR918" s="279"/>
      <c r="AS918" s="279"/>
      <c r="AT918" s="279"/>
      <c r="AU918" s="279"/>
      <c r="AV918" s="279"/>
      <c r="AW918" s="279"/>
      <c r="AX918" s="279"/>
      <c r="AY918" s="279"/>
      <c r="AZ918" s="279"/>
      <c r="BA918" s="279"/>
      <c r="BB918" s="279"/>
      <c r="BC918" s="279"/>
      <c r="BD918" s="279"/>
      <c r="BE918" s="279"/>
      <c r="BF918" s="279"/>
      <c r="BG918" s="279"/>
      <c r="BH918" s="279"/>
      <c r="BI918" s="279"/>
      <c r="BJ918" s="279"/>
      <c r="BK918" s="279"/>
      <c r="BL918" s="279"/>
      <c r="BM918" s="279"/>
      <c r="BN918" s="279"/>
      <c r="BO918" s="279"/>
      <c r="BP918" s="279"/>
      <c r="BQ918" s="279"/>
      <c r="BR918" s="279"/>
      <c r="BS918" s="279"/>
      <c r="BT918" s="279"/>
      <c r="BU918" s="279"/>
      <c r="BV918" s="279"/>
      <c r="BW918" s="279"/>
      <c r="BX918" s="279"/>
      <c r="BY918" s="279"/>
      <c r="BZ918" s="279"/>
      <c r="CA918" s="279"/>
      <c r="CB918" s="279"/>
      <c r="CC918" s="279"/>
      <c r="CD918" s="279"/>
      <c r="CE918" s="279"/>
      <c r="CF918" s="279"/>
      <c r="CG918" s="279"/>
      <c r="CH918" s="279"/>
      <c r="CI918" s="279"/>
      <c r="CJ918" s="279"/>
      <c r="CK918" s="279"/>
      <c r="CL918" s="279"/>
      <c r="CM918" s="279"/>
      <c r="CN918" s="382"/>
    </row>
    <row r="919" x14ac:dyDescent="0.3">
      <c r="B919" s="361"/>
      <c r="C919" s="279"/>
      <c r="D919" s="280"/>
      <c r="E919" s="287"/>
      <c r="F919" s="287"/>
      <c r="G919" s="287"/>
      <c r="H919" s="1292">
        <f t="shared" si="37"/>
        <v>20</v>
      </c>
      <c r="I919" s="1190" t="str">
        <f>'I. Stream &amp; Compound Data'!P281</f>
        <v/>
      </c>
      <c r="J919" s="1295" t="str">
        <f>IF(I161="","",IF('I. Stream &amp; Compound Data'!BS281="",0,'I. Stream &amp; Compound Data'!BS281))</f>
        <v/>
      </c>
      <c r="K919" s="1295" t="str">
        <f t="shared" ref="K919:K949" si="40">IF(I161="","",I919*J919)</f>
        <v/>
      </c>
      <c r="L919" s="1317" t="str">
        <f t="shared" ref="L919:L949" si="41">IF(K919="","",(IF(J919=0,1,J919))*I919)</f>
        <v/>
      </c>
      <c r="M919" s="287"/>
      <c r="N919" s="296"/>
      <c r="O919" s="280"/>
      <c r="P919" s="280"/>
      <c r="Q919" s="279"/>
      <c r="R919" s="297"/>
      <c r="S919" s="298"/>
      <c r="T919" s="298"/>
      <c r="U919" s="299"/>
      <c r="V919" s="279"/>
      <c r="W919" s="279"/>
      <c r="X919" s="279"/>
      <c r="Y919" s="279"/>
      <c r="Z919" s="279"/>
      <c r="AA919" s="279"/>
      <c r="AB919" s="279"/>
      <c r="AC919" s="279"/>
      <c r="AD919" s="279"/>
      <c r="AE919" s="279"/>
      <c r="AF919" s="279"/>
      <c r="AG919" s="279"/>
      <c r="AH919" s="279"/>
      <c r="AI919" s="279"/>
      <c r="AJ919" s="279"/>
      <c r="AK919" s="279"/>
      <c r="AL919" s="279"/>
      <c r="AM919" s="279"/>
      <c r="AN919" s="279"/>
      <c r="AO919" s="279"/>
      <c r="AP919" s="279"/>
      <c r="AQ919" s="279"/>
      <c r="AR919" s="279"/>
      <c r="AS919" s="279"/>
      <c r="AT919" s="279"/>
      <c r="AU919" s="279"/>
      <c r="AV919" s="279"/>
      <c r="AW919" s="279"/>
      <c r="AX919" s="279"/>
      <c r="AY919" s="279"/>
      <c r="AZ919" s="279"/>
      <c r="BA919" s="279"/>
      <c r="BB919" s="279"/>
      <c r="BC919" s="279"/>
      <c r="BD919" s="279"/>
      <c r="BE919" s="279"/>
      <c r="BF919" s="279"/>
      <c r="BG919" s="279"/>
      <c r="BH919" s="279"/>
      <c r="BI919" s="279"/>
      <c r="BJ919" s="279"/>
      <c r="BK919" s="279"/>
      <c r="BL919" s="279"/>
      <c r="BM919" s="279"/>
      <c r="BN919" s="279"/>
      <c r="BO919" s="279"/>
      <c r="BP919" s="279"/>
      <c r="BQ919" s="279"/>
      <c r="BR919" s="279"/>
      <c r="BS919" s="279"/>
      <c r="BT919" s="279"/>
      <c r="BU919" s="279"/>
      <c r="BV919" s="279"/>
      <c r="BW919" s="279"/>
      <c r="BX919" s="279"/>
      <c r="BY919" s="279"/>
      <c r="BZ919" s="279"/>
      <c r="CA919" s="279"/>
      <c r="CB919" s="279"/>
      <c r="CC919" s="279"/>
      <c r="CD919" s="279"/>
      <c r="CE919" s="279"/>
      <c r="CF919" s="279"/>
      <c r="CG919" s="279"/>
      <c r="CH919" s="279"/>
      <c r="CI919" s="279"/>
      <c r="CJ919" s="279"/>
      <c r="CK919" s="279"/>
      <c r="CL919" s="279"/>
      <c r="CM919" s="279"/>
      <c r="CN919" s="382"/>
    </row>
    <row r="920" x14ac:dyDescent="0.3">
      <c r="B920" s="361"/>
      <c r="C920" s="279"/>
      <c r="D920" s="280"/>
      <c r="E920" s="287"/>
      <c r="F920" s="287"/>
      <c r="G920" s="287"/>
      <c r="H920" s="1292">
        <f t="shared" si="37"/>
        <v>21</v>
      </c>
      <c r="I920" s="1190" t="str">
        <f>'I. Stream &amp; Compound Data'!P282</f>
        <v/>
      </c>
      <c r="J920" s="1295" t="str">
        <f>IF(I162="","",IF('I. Stream &amp; Compound Data'!BS282="",0,'I. Stream &amp; Compound Data'!BS282))</f>
        <v/>
      </c>
      <c r="K920" s="1295" t="str">
        <f t="shared" si="40"/>
        <v/>
      </c>
      <c r="L920" s="1317" t="str">
        <f t="shared" si="41"/>
        <v/>
      </c>
      <c r="M920" s="287"/>
      <c r="N920" s="296"/>
      <c r="O920" s="280"/>
      <c r="P920" s="280"/>
      <c r="Q920" s="279"/>
      <c r="R920" s="297"/>
      <c r="S920" s="298"/>
      <c r="T920" s="298"/>
      <c r="U920" s="299"/>
      <c r="V920" s="279"/>
      <c r="W920" s="279"/>
      <c r="X920" s="279"/>
      <c r="Y920" s="279"/>
      <c r="Z920" s="279"/>
      <c r="AA920" s="279"/>
      <c r="AB920" s="279"/>
      <c r="AC920" s="279"/>
      <c r="AD920" s="279"/>
      <c r="AE920" s="279"/>
      <c r="AF920" s="279"/>
      <c r="AG920" s="279"/>
      <c r="AH920" s="279"/>
      <c r="AI920" s="279"/>
      <c r="AJ920" s="279"/>
      <c r="AK920" s="279"/>
      <c r="AL920" s="279"/>
      <c r="AM920" s="279"/>
      <c r="AN920" s="279"/>
      <c r="AO920" s="279"/>
      <c r="AP920" s="279"/>
      <c r="AQ920" s="279"/>
      <c r="AR920" s="279"/>
      <c r="AS920" s="279"/>
      <c r="AT920" s="279"/>
      <c r="AU920" s="279"/>
      <c r="AV920" s="279"/>
      <c r="AW920" s="279"/>
      <c r="AX920" s="279"/>
      <c r="AY920" s="279"/>
      <c r="AZ920" s="279"/>
      <c r="BA920" s="279"/>
      <c r="BB920" s="279"/>
      <c r="BC920" s="279"/>
      <c r="BD920" s="279"/>
      <c r="BE920" s="279"/>
      <c r="BF920" s="279"/>
      <c r="BG920" s="279"/>
      <c r="BH920" s="279"/>
      <c r="BI920" s="279"/>
      <c r="BJ920" s="279"/>
      <c r="BK920" s="279"/>
      <c r="BL920" s="279"/>
      <c r="BM920" s="279"/>
      <c r="BN920" s="279"/>
      <c r="BO920" s="279"/>
      <c r="BP920" s="279"/>
      <c r="BQ920" s="279"/>
      <c r="BR920" s="279"/>
      <c r="BS920" s="279"/>
      <c r="BT920" s="279"/>
      <c r="BU920" s="279"/>
      <c r="BV920" s="279"/>
      <c r="BW920" s="279"/>
      <c r="BX920" s="279"/>
      <c r="BY920" s="279"/>
      <c r="BZ920" s="279"/>
      <c r="CA920" s="279"/>
      <c r="CB920" s="279"/>
      <c r="CC920" s="279"/>
      <c r="CD920" s="279"/>
      <c r="CE920" s="279"/>
      <c r="CF920" s="279"/>
      <c r="CG920" s="279"/>
      <c r="CH920" s="279"/>
      <c r="CI920" s="279"/>
      <c r="CJ920" s="279"/>
      <c r="CK920" s="279"/>
      <c r="CL920" s="279"/>
      <c r="CM920" s="279"/>
      <c r="CN920" s="382"/>
    </row>
    <row r="921" x14ac:dyDescent="0.3">
      <c r="B921" s="361"/>
      <c r="C921" s="279"/>
      <c r="D921" s="280"/>
      <c r="E921" s="287"/>
      <c r="F921" s="287"/>
      <c r="G921" s="287"/>
      <c r="H921" s="1292">
        <f t="shared" si="37"/>
        <v>22</v>
      </c>
      <c r="I921" s="1190" t="str">
        <f>'I. Stream &amp; Compound Data'!P283</f>
        <v/>
      </c>
      <c r="J921" s="1295" t="str">
        <f>IF(I163="","",IF('I. Stream &amp; Compound Data'!BS283="",0,'I. Stream &amp; Compound Data'!BS283))</f>
        <v/>
      </c>
      <c r="K921" s="1295" t="str">
        <f t="shared" si="40"/>
        <v/>
      </c>
      <c r="L921" s="1317" t="str">
        <f t="shared" si="41"/>
        <v/>
      </c>
      <c r="M921" s="287"/>
      <c r="N921" s="296"/>
      <c r="O921" s="280"/>
      <c r="P921" s="280"/>
      <c r="Q921" s="279"/>
      <c r="R921" s="297"/>
      <c r="S921" s="298"/>
      <c r="T921" s="298"/>
      <c r="U921" s="299"/>
      <c r="V921" s="279"/>
      <c r="W921" s="279"/>
      <c r="X921" s="279"/>
      <c r="Y921" s="279"/>
      <c r="Z921" s="279"/>
      <c r="AA921" s="279"/>
      <c r="AB921" s="279"/>
      <c r="AC921" s="279"/>
      <c r="AD921" s="279"/>
      <c r="AE921" s="279"/>
      <c r="AF921" s="279"/>
      <c r="AG921" s="279"/>
      <c r="AH921" s="279"/>
      <c r="AI921" s="279"/>
      <c r="AJ921" s="279"/>
      <c r="AK921" s="279"/>
      <c r="AL921" s="279"/>
      <c r="AM921" s="279"/>
      <c r="AN921" s="279"/>
      <c r="AO921" s="279"/>
      <c r="AP921" s="279"/>
      <c r="AQ921" s="279"/>
      <c r="AR921" s="279"/>
      <c r="AS921" s="279"/>
      <c r="AT921" s="279"/>
      <c r="AU921" s="279"/>
      <c r="AV921" s="279"/>
      <c r="AW921" s="279"/>
      <c r="AX921" s="279"/>
      <c r="AY921" s="279"/>
      <c r="AZ921" s="279"/>
      <c r="BA921" s="279"/>
      <c r="BB921" s="279"/>
      <c r="BC921" s="279"/>
      <c r="BD921" s="279"/>
      <c r="BE921" s="279"/>
      <c r="BF921" s="279"/>
      <c r="BG921" s="279"/>
      <c r="BH921" s="279"/>
      <c r="BI921" s="279"/>
      <c r="BJ921" s="279"/>
      <c r="BK921" s="279"/>
      <c r="BL921" s="279"/>
      <c r="BM921" s="279"/>
      <c r="BN921" s="279"/>
      <c r="BO921" s="279"/>
      <c r="BP921" s="279"/>
      <c r="BQ921" s="279"/>
      <c r="BR921" s="279"/>
      <c r="BS921" s="279"/>
      <c r="BT921" s="279"/>
      <c r="BU921" s="279"/>
      <c r="BV921" s="279"/>
      <c r="BW921" s="279"/>
      <c r="BX921" s="279"/>
      <c r="BY921" s="279"/>
      <c r="BZ921" s="279"/>
      <c r="CA921" s="279"/>
      <c r="CB921" s="279"/>
      <c r="CC921" s="279"/>
      <c r="CD921" s="279"/>
      <c r="CE921" s="279"/>
      <c r="CF921" s="279"/>
      <c r="CG921" s="279"/>
      <c r="CH921" s="279"/>
      <c r="CI921" s="279"/>
      <c r="CJ921" s="279"/>
      <c r="CK921" s="279"/>
      <c r="CL921" s="279"/>
      <c r="CM921" s="279"/>
      <c r="CN921" s="382"/>
    </row>
    <row r="922" x14ac:dyDescent="0.3">
      <c r="B922" s="361"/>
      <c r="C922" s="279"/>
      <c r="D922" s="280"/>
      <c r="E922" s="287"/>
      <c r="F922" s="287"/>
      <c r="G922" s="287"/>
      <c r="H922" s="1292">
        <f t="shared" si="37"/>
        <v>23</v>
      </c>
      <c r="I922" s="1190" t="str">
        <f>'I. Stream &amp; Compound Data'!P284</f>
        <v/>
      </c>
      <c r="J922" s="1295" t="str">
        <f>IF(I164="","",IF('I. Stream &amp; Compound Data'!BS284="",0,'I. Stream &amp; Compound Data'!BS284))</f>
        <v/>
      </c>
      <c r="K922" s="1295" t="str">
        <f t="shared" si="40"/>
        <v/>
      </c>
      <c r="L922" s="1317" t="str">
        <f t="shared" si="41"/>
        <v/>
      </c>
      <c r="M922" s="287"/>
      <c r="N922" s="296"/>
      <c r="O922" s="280"/>
      <c r="P922" s="280"/>
      <c r="Q922" s="279"/>
      <c r="R922" s="297"/>
      <c r="S922" s="298"/>
      <c r="T922" s="298"/>
      <c r="U922" s="299"/>
      <c r="V922" s="279"/>
      <c r="W922" s="279"/>
      <c r="X922" s="279"/>
      <c r="Y922" s="279"/>
      <c r="Z922" s="279"/>
      <c r="AA922" s="279"/>
      <c r="AB922" s="279"/>
      <c r="AC922" s="279"/>
      <c r="AD922" s="279"/>
      <c r="AE922" s="279"/>
      <c r="AF922" s="279"/>
      <c r="AG922" s="279"/>
      <c r="AH922" s="279"/>
      <c r="AI922" s="279"/>
      <c r="AJ922" s="279"/>
      <c r="AK922" s="279"/>
      <c r="AL922" s="279"/>
      <c r="AM922" s="279"/>
      <c r="AN922" s="279"/>
      <c r="AO922" s="279"/>
      <c r="AP922" s="279"/>
      <c r="AQ922" s="279"/>
      <c r="AR922" s="279"/>
      <c r="AS922" s="279"/>
      <c r="AT922" s="279"/>
      <c r="AU922" s="279"/>
      <c r="AV922" s="279"/>
      <c r="AW922" s="279"/>
      <c r="AX922" s="279"/>
      <c r="AY922" s="279"/>
      <c r="AZ922" s="279"/>
      <c r="BA922" s="279"/>
      <c r="BB922" s="279"/>
      <c r="BC922" s="279"/>
      <c r="BD922" s="279"/>
      <c r="BE922" s="279"/>
      <c r="BF922" s="279"/>
      <c r="BG922" s="279"/>
      <c r="BH922" s="279"/>
      <c r="BI922" s="279"/>
      <c r="BJ922" s="279"/>
      <c r="BK922" s="279"/>
      <c r="BL922" s="279"/>
      <c r="BM922" s="279"/>
      <c r="BN922" s="279"/>
      <c r="BO922" s="279"/>
      <c r="BP922" s="279"/>
      <c r="BQ922" s="279"/>
      <c r="BR922" s="279"/>
      <c r="BS922" s="279"/>
      <c r="BT922" s="279"/>
      <c r="BU922" s="279"/>
      <c r="BV922" s="279"/>
      <c r="BW922" s="279"/>
      <c r="BX922" s="279"/>
      <c r="BY922" s="279"/>
      <c r="BZ922" s="279"/>
      <c r="CA922" s="279"/>
      <c r="CB922" s="279"/>
      <c r="CC922" s="279"/>
      <c r="CD922" s="279"/>
      <c r="CE922" s="279"/>
      <c r="CF922" s="279"/>
      <c r="CG922" s="279"/>
      <c r="CH922" s="279"/>
      <c r="CI922" s="279"/>
      <c r="CJ922" s="279"/>
      <c r="CK922" s="279"/>
      <c r="CL922" s="279"/>
      <c r="CM922" s="279"/>
      <c r="CN922" s="382"/>
    </row>
    <row r="923" x14ac:dyDescent="0.3">
      <c r="B923" s="361"/>
      <c r="C923" s="279"/>
      <c r="D923" s="280"/>
      <c r="E923" s="287"/>
      <c r="F923" s="287"/>
      <c r="G923" s="287"/>
      <c r="H923" s="1292">
        <f t="shared" si="37"/>
        <v>24</v>
      </c>
      <c r="I923" s="1190" t="str">
        <f>'I. Stream &amp; Compound Data'!P285</f>
        <v/>
      </c>
      <c r="J923" s="1295" t="str">
        <f>IF(I165="","",IF('I. Stream &amp; Compound Data'!BS285="",0,'I. Stream &amp; Compound Data'!BS285))</f>
        <v/>
      </c>
      <c r="K923" s="1295" t="str">
        <f t="shared" si="40"/>
        <v/>
      </c>
      <c r="L923" s="1317" t="str">
        <f t="shared" si="41"/>
        <v/>
      </c>
      <c r="M923" s="287"/>
      <c r="N923" s="296"/>
      <c r="O923" s="280"/>
      <c r="P923" s="280"/>
      <c r="Q923" s="279"/>
      <c r="R923" s="297"/>
      <c r="S923" s="298"/>
      <c r="T923" s="298"/>
      <c r="U923" s="299"/>
      <c r="V923" s="279"/>
      <c r="W923" s="279"/>
      <c r="X923" s="279"/>
      <c r="Y923" s="279"/>
      <c r="Z923" s="279"/>
      <c r="AA923" s="279"/>
      <c r="AB923" s="279"/>
      <c r="AC923" s="279"/>
      <c r="AD923" s="279"/>
      <c r="AE923" s="279"/>
      <c r="AF923" s="279"/>
      <c r="AG923" s="279"/>
      <c r="AH923" s="279"/>
      <c r="AI923" s="279"/>
      <c r="AJ923" s="279"/>
      <c r="AK923" s="279"/>
      <c r="AL923" s="279"/>
      <c r="AM923" s="279"/>
      <c r="AN923" s="279"/>
      <c r="AO923" s="279"/>
      <c r="AP923" s="279"/>
      <c r="AQ923" s="279"/>
      <c r="AR923" s="279"/>
      <c r="AS923" s="279"/>
      <c r="AT923" s="279"/>
      <c r="AU923" s="279"/>
      <c r="AV923" s="279"/>
      <c r="AW923" s="279"/>
      <c r="AX923" s="279"/>
      <c r="AY923" s="279"/>
      <c r="AZ923" s="279"/>
      <c r="BA923" s="279"/>
      <c r="BB923" s="279"/>
      <c r="BC923" s="279"/>
      <c r="BD923" s="279"/>
      <c r="BE923" s="279"/>
      <c r="BF923" s="279"/>
      <c r="BG923" s="279"/>
      <c r="BH923" s="279"/>
      <c r="BI923" s="279"/>
      <c r="BJ923" s="279"/>
      <c r="BK923" s="279"/>
      <c r="BL923" s="279"/>
      <c r="BM923" s="279"/>
      <c r="BN923" s="279"/>
      <c r="BO923" s="279"/>
      <c r="BP923" s="279"/>
      <c r="BQ923" s="279"/>
      <c r="BR923" s="279"/>
      <c r="BS923" s="279"/>
      <c r="BT923" s="279"/>
      <c r="BU923" s="279"/>
      <c r="BV923" s="279"/>
      <c r="BW923" s="279"/>
      <c r="BX923" s="279"/>
      <c r="BY923" s="279"/>
      <c r="BZ923" s="279"/>
      <c r="CA923" s="279"/>
      <c r="CB923" s="279"/>
      <c r="CC923" s="279"/>
      <c r="CD923" s="279"/>
      <c r="CE923" s="279"/>
      <c r="CF923" s="279"/>
      <c r="CG923" s="279"/>
      <c r="CH923" s="279"/>
      <c r="CI923" s="279"/>
      <c r="CJ923" s="279"/>
      <c r="CK923" s="279"/>
      <c r="CL923" s="279"/>
      <c r="CM923" s="279"/>
      <c r="CN923" s="382"/>
    </row>
    <row r="924" x14ac:dyDescent="0.3">
      <c r="B924" s="361"/>
      <c r="C924" s="279"/>
      <c r="D924" s="280"/>
      <c r="E924" s="287"/>
      <c r="F924" s="287"/>
      <c r="G924" s="287"/>
      <c r="H924" s="1292">
        <f t="shared" si="37"/>
        <v>25</v>
      </c>
      <c r="I924" s="1190" t="str">
        <f>'I. Stream &amp; Compound Data'!P286</f>
        <v/>
      </c>
      <c r="J924" s="1295" t="str">
        <f>IF(I166="","",IF('I. Stream &amp; Compound Data'!BS286="",0,'I. Stream &amp; Compound Data'!BS286))</f>
        <v/>
      </c>
      <c r="K924" s="1295" t="str">
        <f t="shared" si="40"/>
        <v/>
      </c>
      <c r="L924" s="1317" t="str">
        <f t="shared" si="41"/>
        <v/>
      </c>
      <c r="M924" s="287"/>
      <c r="N924" s="296"/>
      <c r="O924" s="280"/>
      <c r="P924" s="280"/>
      <c r="Q924" s="279"/>
      <c r="R924" s="297"/>
      <c r="S924" s="298"/>
      <c r="T924" s="298"/>
      <c r="U924" s="299"/>
      <c r="V924" s="279"/>
      <c r="W924" s="279"/>
      <c r="X924" s="279"/>
      <c r="Y924" s="279"/>
      <c r="Z924" s="279"/>
      <c r="AA924" s="279"/>
      <c r="AB924" s="279"/>
      <c r="AC924" s="279"/>
      <c r="AD924" s="279"/>
      <c r="AE924" s="279"/>
      <c r="AF924" s="279"/>
      <c r="AG924" s="279"/>
      <c r="AH924" s="279"/>
      <c r="AI924" s="279"/>
      <c r="AJ924" s="279"/>
      <c r="AK924" s="279"/>
      <c r="AL924" s="279"/>
      <c r="AM924" s="279"/>
      <c r="AN924" s="279"/>
      <c r="AO924" s="279"/>
      <c r="AP924" s="279"/>
      <c r="AQ924" s="279"/>
      <c r="AR924" s="279"/>
      <c r="AS924" s="279"/>
      <c r="AT924" s="279"/>
      <c r="AU924" s="279"/>
      <c r="AV924" s="279"/>
      <c r="AW924" s="279"/>
      <c r="AX924" s="279"/>
      <c r="AY924" s="279"/>
      <c r="AZ924" s="279"/>
      <c r="BA924" s="279"/>
      <c r="BB924" s="279"/>
      <c r="BC924" s="279"/>
      <c r="BD924" s="279"/>
      <c r="BE924" s="279"/>
      <c r="BF924" s="279"/>
      <c r="BG924" s="279"/>
      <c r="BH924" s="279"/>
      <c r="BI924" s="279"/>
      <c r="BJ924" s="279"/>
      <c r="BK924" s="279"/>
      <c r="BL924" s="279"/>
      <c r="BM924" s="279"/>
      <c r="BN924" s="279"/>
      <c r="BO924" s="279"/>
      <c r="BP924" s="279"/>
      <c r="BQ924" s="279"/>
      <c r="BR924" s="279"/>
      <c r="BS924" s="279"/>
      <c r="BT924" s="279"/>
      <c r="BU924" s="279"/>
      <c r="BV924" s="279"/>
      <c r="BW924" s="279"/>
      <c r="BX924" s="279"/>
      <c r="BY924" s="279"/>
      <c r="BZ924" s="279"/>
      <c r="CA924" s="279"/>
      <c r="CB924" s="279"/>
      <c r="CC924" s="279"/>
      <c r="CD924" s="279"/>
      <c r="CE924" s="279"/>
      <c r="CF924" s="279"/>
      <c r="CG924" s="279"/>
      <c r="CH924" s="279"/>
      <c r="CI924" s="279"/>
      <c r="CJ924" s="279"/>
      <c r="CK924" s="279"/>
      <c r="CL924" s="279"/>
      <c r="CM924" s="279"/>
      <c r="CN924" s="382"/>
    </row>
    <row r="925" x14ac:dyDescent="0.3">
      <c r="B925" s="361"/>
      <c r="C925" s="279"/>
      <c r="D925" s="280"/>
      <c r="E925" s="287"/>
      <c r="F925" s="287"/>
      <c r="G925" s="287"/>
      <c r="H925" s="1292">
        <f t="shared" si="37"/>
        <v>26</v>
      </c>
      <c r="I925" s="1190" t="str">
        <f>'I. Stream &amp; Compound Data'!P287</f>
        <v/>
      </c>
      <c r="J925" s="1295" t="str">
        <f>IF(I167="","",IF('I. Stream &amp; Compound Data'!BS287="",0,'I. Stream &amp; Compound Data'!BS287))</f>
        <v/>
      </c>
      <c r="K925" s="1295" t="str">
        <f t="shared" si="40"/>
        <v/>
      </c>
      <c r="L925" s="1317" t="str">
        <f t="shared" si="41"/>
        <v/>
      </c>
      <c r="M925" s="287"/>
      <c r="N925" s="296"/>
      <c r="O925" s="280"/>
      <c r="P925" s="280"/>
      <c r="Q925" s="279"/>
      <c r="R925" s="297"/>
      <c r="S925" s="298"/>
      <c r="T925" s="298"/>
      <c r="U925" s="299"/>
      <c r="V925" s="279"/>
      <c r="W925" s="279"/>
      <c r="X925" s="279"/>
      <c r="Y925" s="279"/>
      <c r="Z925" s="279"/>
      <c r="AA925" s="279"/>
      <c r="AB925" s="279"/>
      <c r="AC925" s="279"/>
      <c r="AD925" s="279"/>
      <c r="AE925" s="279"/>
      <c r="AF925" s="279"/>
      <c r="AG925" s="279"/>
      <c r="AH925" s="279"/>
      <c r="AI925" s="279"/>
      <c r="AJ925" s="279"/>
      <c r="AK925" s="279"/>
      <c r="AL925" s="279"/>
      <c r="AM925" s="279"/>
      <c r="AN925" s="279"/>
      <c r="AO925" s="279"/>
      <c r="AP925" s="279"/>
      <c r="AQ925" s="279"/>
      <c r="AR925" s="279"/>
      <c r="AS925" s="279"/>
      <c r="AT925" s="279"/>
      <c r="AU925" s="279"/>
      <c r="AV925" s="279"/>
      <c r="AW925" s="279"/>
      <c r="AX925" s="279"/>
      <c r="AY925" s="279"/>
      <c r="AZ925" s="279"/>
      <c r="BA925" s="279"/>
      <c r="BB925" s="279"/>
      <c r="BC925" s="279"/>
      <c r="BD925" s="279"/>
      <c r="BE925" s="279"/>
      <c r="BF925" s="279"/>
      <c r="BG925" s="279"/>
      <c r="BH925" s="279"/>
      <c r="BI925" s="279"/>
      <c r="BJ925" s="279"/>
      <c r="BK925" s="279"/>
      <c r="BL925" s="279"/>
      <c r="BM925" s="279"/>
      <c r="BN925" s="279"/>
      <c r="BO925" s="279"/>
      <c r="BP925" s="279"/>
      <c r="BQ925" s="279"/>
      <c r="BR925" s="279"/>
      <c r="BS925" s="279"/>
      <c r="BT925" s="279"/>
      <c r="BU925" s="279"/>
      <c r="BV925" s="279"/>
      <c r="BW925" s="279"/>
      <c r="BX925" s="279"/>
      <c r="BY925" s="279"/>
      <c r="BZ925" s="279"/>
      <c r="CA925" s="279"/>
      <c r="CB925" s="279"/>
      <c r="CC925" s="279"/>
      <c r="CD925" s="279"/>
      <c r="CE925" s="279"/>
      <c r="CF925" s="279"/>
      <c r="CG925" s="279"/>
      <c r="CH925" s="279"/>
      <c r="CI925" s="279"/>
      <c r="CJ925" s="279"/>
      <c r="CK925" s="279"/>
      <c r="CL925" s="279"/>
      <c r="CM925" s="279"/>
      <c r="CN925" s="382"/>
    </row>
    <row r="926" x14ac:dyDescent="0.3">
      <c r="B926" s="361"/>
      <c r="C926" s="279"/>
      <c r="D926" s="280"/>
      <c r="E926" s="287"/>
      <c r="F926" s="287"/>
      <c r="G926" s="287"/>
      <c r="H926" s="1292">
        <f t="shared" si="37"/>
        <v>27</v>
      </c>
      <c r="I926" s="1190" t="str">
        <f>'I. Stream &amp; Compound Data'!P288</f>
        <v/>
      </c>
      <c r="J926" s="1295" t="str">
        <f>IF(I168="","",IF('I. Stream &amp; Compound Data'!BS288="",0,'I. Stream &amp; Compound Data'!BS288))</f>
        <v/>
      </c>
      <c r="K926" s="1295" t="str">
        <f t="shared" si="40"/>
        <v/>
      </c>
      <c r="L926" s="1317" t="str">
        <f t="shared" si="41"/>
        <v/>
      </c>
      <c r="M926" s="287"/>
      <c r="N926" s="296"/>
      <c r="O926" s="280"/>
      <c r="P926" s="280"/>
      <c r="Q926" s="279"/>
      <c r="R926" s="297"/>
      <c r="S926" s="298"/>
      <c r="T926" s="298"/>
      <c r="U926" s="299"/>
      <c r="V926" s="279"/>
      <c r="W926" s="279"/>
      <c r="X926" s="279"/>
      <c r="Y926" s="279"/>
      <c r="Z926" s="279"/>
      <c r="AA926" s="279"/>
      <c r="AB926" s="279"/>
      <c r="AC926" s="279"/>
      <c r="AD926" s="279"/>
      <c r="AE926" s="279"/>
      <c r="AF926" s="279"/>
      <c r="AG926" s="279"/>
      <c r="AH926" s="279"/>
      <c r="AI926" s="279"/>
      <c r="AJ926" s="279"/>
      <c r="AK926" s="279"/>
      <c r="AL926" s="279"/>
      <c r="AM926" s="279"/>
      <c r="AN926" s="279"/>
      <c r="AO926" s="279"/>
      <c r="AP926" s="279"/>
      <c r="AQ926" s="279"/>
      <c r="AR926" s="279"/>
      <c r="AS926" s="279"/>
      <c r="AT926" s="279"/>
      <c r="AU926" s="279"/>
      <c r="AV926" s="279"/>
      <c r="AW926" s="279"/>
      <c r="AX926" s="279"/>
      <c r="AY926" s="279"/>
      <c r="AZ926" s="279"/>
      <c r="BA926" s="279"/>
      <c r="BB926" s="279"/>
      <c r="BC926" s="279"/>
      <c r="BD926" s="279"/>
      <c r="BE926" s="279"/>
      <c r="BF926" s="279"/>
      <c r="BG926" s="279"/>
      <c r="BH926" s="279"/>
      <c r="BI926" s="279"/>
      <c r="BJ926" s="279"/>
      <c r="BK926" s="279"/>
      <c r="BL926" s="279"/>
      <c r="BM926" s="279"/>
      <c r="BN926" s="279"/>
      <c r="BO926" s="279"/>
      <c r="BP926" s="279"/>
      <c r="BQ926" s="279"/>
      <c r="BR926" s="279"/>
      <c r="BS926" s="279"/>
      <c r="BT926" s="279"/>
      <c r="BU926" s="279"/>
      <c r="BV926" s="279"/>
      <c r="BW926" s="279"/>
      <c r="BX926" s="279"/>
      <c r="BY926" s="279"/>
      <c r="BZ926" s="279"/>
      <c r="CA926" s="279"/>
      <c r="CB926" s="279"/>
      <c r="CC926" s="279"/>
      <c r="CD926" s="279"/>
      <c r="CE926" s="279"/>
      <c r="CF926" s="279"/>
      <c r="CG926" s="279"/>
      <c r="CH926" s="279"/>
      <c r="CI926" s="279"/>
      <c r="CJ926" s="279"/>
      <c r="CK926" s="279"/>
      <c r="CL926" s="279"/>
      <c r="CM926" s="279"/>
      <c r="CN926" s="382"/>
    </row>
    <row r="927" x14ac:dyDescent="0.3">
      <c r="B927" s="361"/>
      <c r="C927" s="279"/>
      <c r="D927" s="280"/>
      <c r="E927" s="287"/>
      <c r="F927" s="287"/>
      <c r="G927" s="287"/>
      <c r="H927" s="1292">
        <f t="shared" si="37"/>
        <v>28</v>
      </c>
      <c r="I927" s="1190" t="str">
        <f>'I. Stream &amp; Compound Data'!P289</f>
        <v/>
      </c>
      <c r="J927" s="1295" t="str">
        <f>IF(I169="","",IF('I. Stream &amp; Compound Data'!BS289="",0,'I. Stream &amp; Compound Data'!BS289))</f>
        <v/>
      </c>
      <c r="K927" s="1295" t="str">
        <f t="shared" si="40"/>
        <v/>
      </c>
      <c r="L927" s="1317" t="str">
        <f t="shared" si="41"/>
        <v/>
      </c>
      <c r="M927" s="287"/>
      <c r="N927" s="296"/>
      <c r="O927" s="280"/>
      <c r="P927" s="280"/>
      <c r="Q927" s="279"/>
      <c r="R927" s="297"/>
      <c r="S927" s="298"/>
      <c r="T927" s="298"/>
      <c r="U927" s="299"/>
      <c r="V927" s="279"/>
      <c r="W927" s="279"/>
      <c r="X927" s="279"/>
      <c r="Y927" s="279"/>
      <c r="Z927" s="279"/>
      <c r="AA927" s="279"/>
      <c r="AB927" s="279"/>
      <c r="AC927" s="279"/>
      <c r="AD927" s="279"/>
      <c r="AE927" s="279"/>
      <c r="AF927" s="279"/>
      <c r="AG927" s="279"/>
      <c r="AH927" s="279"/>
      <c r="AI927" s="279"/>
      <c r="AJ927" s="279"/>
      <c r="AK927" s="279"/>
      <c r="AL927" s="279"/>
      <c r="AM927" s="279"/>
      <c r="AN927" s="279"/>
      <c r="AO927" s="279"/>
      <c r="AP927" s="279"/>
      <c r="AQ927" s="279"/>
      <c r="AR927" s="279"/>
      <c r="AS927" s="279"/>
      <c r="AT927" s="279"/>
      <c r="AU927" s="279"/>
      <c r="AV927" s="279"/>
      <c r="AW927" s="279"/>
      <c r="AX927" s="279"/>
      <c r="AY927" s="279"/>
      <c r="AZ927" s="279"/>
      <c r="BA927" s="279"/>
      <c r="BB927" s="279"/>
      <c r="BC927" s="279"/>
      <c r="BD927" s="279"/>
      <c r="BE927" s="279"/>
      <c r="BF927" s="279"/>
      <c r="BG927" s="279"/>
      <c r="BH927" s="279"/>
      <c r="BI927" s="279"/>
      <c r="BJ927" s="279"/>
      <c r="BK927" s="279"/>
      <c r="BL927" s="279"/>
      <c r="BM927" s="279"/>
      <c r="BN927" s="279"/>
      <c r="BO927" s="279"/>
      <c r="BP927" s="279"/>
      <c r="BQ927" s="279"/>
      <c r="BR927" s="279"/>
      <c r="BS927" s="279"/>
      <c r="BT927" s="279"/>
      <c r="BU927" s="279"/>
      <c r="BV927" s="279"/>
      <c r="BW927" s="279"/>
      <c r="BX927" s="279"/>
      <c r="BY927" s="279"/>
      <c r="BZ927" s="279"/>
      <c r="CA927" s="279"/>
      <c r="CB927" s="279"/>
      <c r="CC927" s="279"/>
      <c r="CD927" s="279"/>
      <c r="CE927" s="279"/>
      <c r="CF927" s="279"/>
      <c r="CG927" s="279"/>
      <c r="CH927" s="279"/>
      <c r="CI927" s="279"/>
      <c r="CJ927" s="279"/>
      <c r="CK927" s="279"/>
      <c r="CL927" s="279"/>
      <c r="CM927" s="279"/>
      <c r="CN927" s="382"/>
    </row>
    <row r="928" x14ac:dyDescent="0.3">
      <c r="B928" s="361"/>
      <c r="C928" s="279"/>
      <c r="D928" s="280"/>
      <c r="E928" s="287"/>
      <c r="F928" s="287"/>
      <c r="G928" s="287"/>
      <c r="H928" s="1292">
        <f t="shared" si="37"/>
        <v>29</v>
      </c>
      <c r="I928" s="1190" t="str">
        <f>'I. Stream &amp; Compound Data'!P290</f>
        <v/>
      </c>
      <c r="J928" s="1295" t="str">
        <f>IF(I170="","",IF('I. Stream &amp; Compound Data'!BS290="",0,'I. Stream &amp; Compound Data'!BS290))</f>
        <v/>
      </c>
      <c r="K928" s="1295" t="str">
        <f t="shared" si="40"/>
        <v/>
      </c>
      <c r="L928" s="1317" t="str">
        <f t="shared" si="41"/>
        <v/>
      </c>
      <c r="M928" s="287"/>
      <c r="N928" s="296"/>
      <c r="O928" s="280"/>
      <c r="P928" s="280"/>
      <c r="Q928" s="279"/>
      <c r="R928" s="297"/>
      <c r="S928" s="298"/>
      <c r="T928" s="298"/>
      <c r="U928" s="299"/>
      <c r="V928" s="279"/>
      <c r="W928" s="279"/>
      <c r="X928" s="279"/>
      <c r="Y928" s="279"/>
      <c r="Z928" s="279"/>
      <c r="AA928" s="279"/>
      <c r="AB928" s="279"/>
      <c r="AC928" s="279"/>
      <c r="AD928" s="279"/>
      <c r="AE928" s="279"/>
      <c r="AF928" s="279"/>
      <c r="AG928" s="279"/>
      <c r="AH928" s="279"/>
      <c r="AI928" s="279"/>
      <c r="AJ928" s="279"/>
      <c r="AK928" s="279"/>
      <c r="AL928" s="279"/>
      <c r="AM928" s="279"/>
      <c r="AN928" s="279"/>
      <c r="AO928" s="279"/>
      <c r="AP928" s="279"/>
      <c r="AQ928" s="279"/>
      <c r="AR928" s="279"/>
      <c r="AS928" s="279"/>
      <c r="AT928" s="279"/>
      <c r="AU928" s="279"/>
      <c r="AV928" s="279"/>
      <c r="AW928" s="279"/>
      <c r="AX928" s="279"/>
      <c r="AY928" s="279"/>
      <c r="AZ928" s="279"/>
      <c r="BA928" s="279"/>
      <c r="BB928" s="279"/>
      <c r="BC928" s="279"/>
      <c r="BD928" s="279"/>
      <c r="BE928" s="279"/>
      <c r="BF928" s="279"/>
      <c r="BG928" s="279"/>
      <c r="BH928" s="279"/>
      <c r="BI928" s="279"/>
      <c r="BJ928" s="279"/>
      <c r="BK928" s="279"/>
      <c r="BL928" s="279"/>
      <c r="BM928" s="279"/>
      <c r="BN928" s="279"/>
      <c r="BO928" s="279"/>
      <c r="BP928" s="279"/>
      <c r="BQ928" s="279"/>
      <c r="BR928" s="279"/>
      <c r="BS928" s="279"/>
      <c r="BT928" s="279"/>
      <c r="BU928" s="279"/>
      <c r="BV928" s="279"/>
      <c r="BW928" s="279"/>
      <c r="BX928" s="279"/>
      <c r="BY928" s="279"/>
      <c r="BZ928" s="279"/>
      <c r="CA928" s="279"/>
      <c r="CB928" s="279"/>
      <c r="CC928" s="279"/>
      <c r="CD928" s="279"/>
      <c r="CE928" s="279"/>
      <c r="CF928" s="279"/>
      <c r="CG928" s="279"/>
      <c r="CH928" s="279"/>
      <c r="CI928" s="279"/>
      <c r="CJ928" s="279"/>
      <c r="CK928" s="279"/>
      <c r="CL928" s="279"/>
      <c r="CM928" s="279"/>
      <c r="CN928" s="382"/>
    </row>
    <row r="929" x14ac:dyDescent="0.3">
      <c r="B929" s="361"/>
      <c r="C929" s="279"/>
      <c r="D929" s="280"/>
      <c r="E929" s="287"/>
      <c r="F929" s="287"/>
      <c r="G929" s="287"/>
      <c r="H929" s="1292">
        <f t="shared" si="37"/>
        <v>30</v>
      </c>
      <c r="I929" s="1190" t="str">
        <f>'I. Stream &amp; Compound Data'!P291</f>
        <v/>
      </c>
      <c r="J929" s="1295" t="str">
        <f>IF(I171="","",IF('I. Stream &amp; Compound Data'!BS291="",0,'I. Stream &amp; Compound Data'!BS291))</f>
        <v/>
      </c>
      <c r="K929" s="1295" t="str">
        <f t="shared" si="40"/>
        <v/>
      </c>
      <c r="L929" s="1317" t="str">
        <f t="shared" si="41"/>
        <v/>
      </c>
      <c r="M929" s="287"/>
      <c r="N929" s="296"/>
      <c r="O929" s="280"/>
      <c r="P929" s="280"/>
      <c r="Q929" s="279"/>
      <c r="R929" s="297"/>
      <c r="S929" s="298"/>
      <c r="T929" s="298"/>
      <c r="U929" s="299"/>
      <c r="V929" s="279"/>
      <c r="W929" s="279"/>
      <c r="X929" s="279"/>
      <c r="Y929" s="279"/>
      <c r="Z929" s="279"/>
      <c r="AA929" s="279"/>
      <c r="AB929" s="279"/>
      <c r="AC929" s="279"/>
      <c r="AD929" s="279"/>
      <c r="AE929" s="279"/>
      <c r="AF929" s="279"/>
      <c r="AG929" s="279"/>
      <c r="AH929" s="279"/>
      <c r="AI929" s="279"/>
      <c r="AJ929" s="279"/>
      <c r="AK929" s="279"/>
      <c r="AL929" s="279"/>
      <c r="AM929" s="279"/>
      <c r="AN929" s="279"/>
      <c r="AO929" s="279"/>
      <c r="AP929" s="279"/>
      <c r="AQ929" s="279"/>
      <c r="AR929" s="279"/>
      <c r="AS929" s="279"/>
      <c r="AT929" s="279"/>
      <c r="AU929" s="279"/>
      <c r="AV929" s="279"/>
      <c r="AW929" s="279"/>
      <c r="AX929" s="279"/>
      <c r="AY929" s="279"/>
      <c r="AZ929" s="279"/>
      <c r="BA929" s="279"/>
      <c r="BB929" s="279"/>
      <c r="BC929" s="279"/>
      <c r="BD929" s="279"/>
      <c r="BE929" s="279"/>
      <c r="BF929" s="279"/>
      <c r="BG929" s="279"/>
      <c r="BH929" s="279"/>
      <c r="BI929" s="279"/>
      <c r="BJ929" s="279"/>
      <c r="BK929" s="279"/>
      <c r="BL929" s="279"/>
      <c r="BM929" s="279"/>
      <c r="BN929" s="279"/>
      <c r="BO929" s="279"/>
      <c r="BP929" s="279"/>
      <c r="BQ929" s="279"/>
      <c r="BR929" s="279"/>
      <c r="BS929" s="279"/>
      <c r="BT929" s="279"/>
      <c r="BU929" s="279"/>
      <c r="BV929" s="279"/>
      <c r="BW929" s="279"/>
      <c r="BX929" s="279"/>
      <c r="BY929" s="279"/>
      <c r="BZ929" s="279"/>
      <c r="CA929" s="279"/>
      <c r="CB929" s="279"/>
      <c r="CC929" s="279"/>
      <c r="CD929" s="279"/>
      <c r="CE929" s="279"/>
      <c r="CF929" s="279"/>
      <c r="CG929" s="279"/>
      <c r="CH929" s="279"/>
      <c r="CI929" s="279"/>
      <c r="CJ929" s="279"/>
      <c r="CK929" s="279"/>
      <c r="CL929" s="279"/>
      <c r="CM929" s="279"/>
      <c r="CN929" s="382"/>
    </row>
    <row r="930" x14ac:dyDescent="0.3">
      <c r="B930" s="361"/>
      <c r="C930" s="279"/>
      <c r="D930" s="280"/>
      <c r="E930" s="287"/>
      <c r="F930" s="287"/>
      <c r="G930" s="287"/>
      <c r="H930" s="1292">
        <f t="shared" si="37"/>
        <v>31</v>
      </c>
      <c r="I930" s="1190" t="str">
        <f>'I. Stream &amp; Compound Data'!P292</f>
        <v/>
      </c>
      <c r="J930" s="1295" t="str">
        <f>IF(I172="","",IF('I. Stream &amp; Compound Data'!BS292="",0,'I. Stream &amp; Compound Data'!BS292))</f>
        <v/>
      </c>
      <c r="K930" s="1295" t="str">
        <f t="shared" si="40"/>
        <v/>
      </c>
      <c r="L930" s="1317" t="str">
        <f t="shared" si="41"/>
        <v/>
      </c>
      <c r="M930" s="287"/>
      <c r="N930" s="296"/>
      <c r="O930" s="280"/>
      <c r="P930" s="280"/>
      <c r="Q930" s="279"/>
      <c r="R930" s="297"/>
      <c r="S930" s="298"/>
      <c r="T930" s="298"/>
      <c r="U930" s="299"/>
      <c r="V930" s="279"/>
      <c r="W930" s="279"/>
      <c r="X930" s="279"/>
      <c r="Y930" s="279"/>
      <c r="Z930" s="279"/>
      <c r="AA930" s="279"/>
      <c r="AB930" s="279"/>
      <c r="AC930" s="279"/>
      <c r="AD930" s="279"/>
      <c r="AE930" s="279"/>
      <c r="AF930" s="279"/>
      <c r="AG930" s="279"/>
      <c r="AH930" s="279"/>
      <c r="AI930" s="279"/>
      <c r="AJ930" s="279"/>
      <c r="AK930" s="279"/>
      <c r="AL930" s="279"/>
      <c r="AM930" s="279"/>
      <c r="AN930" s="279"/>
      <c r="AO930" s="279"/>
      <c r="AP930" s="279"/>
      <c r="AQ930" s="279"/>
      <c r="AR930" s="279"/>
      <c r="AS930" s="279"/>
      <c r="AT930" s="279"/>
      <c r="AU930" s="279"/>
      <c r="AV930" s="279"/>
      <c r="AW930" s="279"/>
      <c r="AX930" s="279"/>
      <c r="AY930" s="279"/>
      <c r="AZ930" s="279"/>
      <c r="BA930" s="279"/>
      <c r="BB930" s="279"/>
      <c r="BC930" s="279"/>
      <c r="BD930" s="279"/>
      <c r="BE930" s="279"/>
      <c r="BF930" s="279"/>
      <c r="BG930" s="279"/>
      <c r="BH930" s="279"/>
      <c r="BI930" s="279"/>
      <c r="BJ930" s="279"/>
      <c r="BK930" s="279"/>
      <c r="BL930" s="279"/>
      <c r="BM930" s="279"/>
      <c r="BN930" s="279"/>
      <c r="BO930" s="279"/>
      <c r="BP930" s="279"/>
      <c r="BQ930" s="279"/>
      <c r="BR930" s="279"/>
      <c r="BS930" s="279"/>
      <c r="BT930" s="279"/>
      <c r="BU930" s="279"/>
      <c r="BV930" s="279"/>
      <c r="BW930" s="279"/>
      <c r="BX930" s="279"/>
      <c r="BY930" s="279"/>
      <c r="BZ930" s="279"/>
      <c r="CA930" s="279"/>
      <c r="CB930" s="279"/>
      <c r="CC930" s="279"/>
      <c r="CD930" s="279"/>
      <c r="CE930" s="279"/>
      <c r="CF930" s="279"/>
      <c r="CG930" s="279"/>
      <c r="CH930" s="279"/>
      <c r="CI930" s="279"/>
      <c r="CJ930" s="279"/>
      <c r="CK930" s="279"/>
      <c r="CL930" s="279"/>
      <c r="CM930" s="279"/>
      <c r="CN930" s="382"/>
    </row>
    <row r="931" x14ac:dyDescent="0.3">
      <c r="B931" s="361"/>
      <c r="C931" s="279"/>
      <c r="D931" s="280"/>
      <c r="E931" s="287"/>
      <c r="F931" s="287"/>
      <c r="G931" s="287"/>
      <c r="H931" s="1292">
        <f t="shared" si="37"/>
        <v>32</v>
      </c>
      <c r="I931" s="1190" t="str">
        <f>'I. Stream &amp; Compound Data'!P293</f>
        <v/>
      </c>
      <c r="J931" s="1295" t="str">
        <f>IF(I173="","",IF('I. Stream &amp; Compound Data'!BS293="",0,'I. Stream &amp; Compound Data'!BS293))</f>
        <v/>
      </c>
      <c r="K931" s="1295" t="str">
        <f t="shared" si="40"/>
        <v/>
      </c>
      <c r="L931" s="1317" t="str">
        <f t="shared" si="41"/>
        <v/>
      </c>
      <c r="M931" s="287"/>
      <c r="N931" s="296"/>
      <c r="O931" s="280"/>
      <c r="P931" s="280"/>
      <c r="Q931" s="279"/>
      <c r="R931" s="297"/>
      <c r="S931" s="298"/>
      <c r="T931" s="298"/>
      <c r="U931" s="299"/>
      <c r="V931" s="279"/>
      <c r="W931" s="279"/>
      <c r="X931" s="279"/>
      <c r="Y931" s="279"/>
      <c r="Z931" s="279"/>
      <c r="AA931" s="279"/>
      <c r="AB931" s="279"/>
      <c r="AC931" s="279"/>
      <c r="AD931" s="279"/>
      <c r="AE931" s="279"/>
      <c r="AF931" s="279"/>
      <c r="AG931" s="279"/>
      <c r="AH931" s="279"/>
      <c r="AI931" s="279"/>
      <c r="AJ931" s="279"/>
      <c r="AK931" s="279"/>
      <c r="AL931" s="279"/>
      <c r="AM931" s="279"/>
      <c r="AN931" s="279"/>
      <c r="AO931" s="279"/>
      <c r="AP931" s="279"/>
      <c r="AQ931" s="279"/>
      <c r="AR931" s="279"/>
      <c r="AS931" s="279"/>
      <c r="AT931" s="279"/>
      <c r="AU931" s="279"/>
      <c r="AV931" s="279"/>
      <c r="AW931" s="279"/>
      <c r="AX931" s="279"/>
      <c r="AY931" s="279"/>
      <c r="AZ931" s="279"/>
      <c r="BA931" s="279"/>
      <c r="BB931" s="279"/>
      <c r="BC931" s="279"/>
      <c r="BD931" s="279"/>
      <c r="BE931" s="279"/>
      <c r="BF931" s="279"/>
      <c r="BG931" s="279"/>
      <c r="BH931" s="279"/>
      <c r="BI931" s="279"/>
      <c r="BJ931" s="279"/>
      <c r="BK931" s="279"/>
      <c r="BL931" s="279"/>
      <c r="BM931" s="279"/>
      <c r="BN931" s="279"/>
      <c r="BO931" s="279"/>
      <c r="BP931" s="279"/>
      <c r="BQ931" s="279"/>
      <c r="BR931" s="279"/>
      <c r="BS931" s="279"/>
      <c r="BT931" s="279"/>
      <c r="BU931" s="279"/>
      <c r="BV931" s="279"/>
      <c r="BW931" s="279"/>
      <c r="BX931" s="279"/>
      <c r="BY931" s="279"/>
      <c r="BZ931" s="279"/>
      <c r="CA931" s="279"/>
      <c r="CB931" s="279"/>
      <c r="CC931" s="279"/>
      <c r="CD931" s="279"/>
      <c r="CE931" s="279"/>
      <c r="CF931" s="279"/>
      <c r="CG931" s="279"/>
      <c r="CH931" s="279"/>
      <c r="CI931" s="279"/>
      <c r="CJ931" s="279"/>
      <c r="CK931" s="279"/>
      <c r="CL931" s="279"/>
      <c r="CM931" s="279"/>
      <c r="CN931" s="382"/>
    </row>
    <row r="932" x14ac:dyDescent="0.3">
      <c r="B932" s="361"/>
      <c r="C932" s="279"/>
      <c r="D932" s="280"/>
      <c r="E932" s="287"/>
      <c r="F932" s="287"/>
      <c r="G932" s="287"/>
      <c r="H932" s="1292">
        <f t="shared" si="37"/>
        <v>33</v>
      </c>
      <c r="I932" s="1190" t="str">
        <f>'I. Stream &amp; Compound Data'!P294</f>
        <v/>
      </c>
      <c r="J932" s="1295" t="str">
        <f>IF(I174="","",IF('I. Stream &amp; Compound Data'!BS294="",0,'I. Stream &amp; Compound Data'!BS294))</f>
        <v/>
      </c>
      <c r="K932" s="1295" t="str">
        <f t="shared" si="40"/>
        <v/>
      </c>
      <c r="L932" s="1317" t="str">
        <f t="shared" si="41"/>
        <v/>
      </c>
      <c r="M932" s="287"/>
      <c r="N932" s="296"/>
      <c r="O932" s="280"/>
      <c r="P932" s="280"/>
      <c r="Q932" s="279"/>
      <c r="R932" s="297"/>
      <c r="S932" s="298"/>
      <c r="T932" s="298"/>
      <c r="U932" s="299"/>
      <c r="V932" s="279"/>
      <c r="W932" s="279"/>
      <c r="X932" s="279"/>
      <c r="Y932" s="279"/>
      <c r="Z932" s="279"/>
      <c r="AA932" s="279"/>
      <c r="AB932" s="279"/>
      <c r="AC932" s="279"/>
      <c r="AD932" s="279"/>
      <c r="AE932" s="279"/>
      <c r="AF932" s="279"/>
      <c r="AG932" s="279"/>
      <c r="AH932" s="279"/>
      <c r="AI932" s="279"/>
      <c r="AJ932" s="279"/>
      <c r="AK932" s="279"/>
      <c r="AL932" s="279"/>
      <c r="AM932" s="279"/>
      <c r="AN932" s="279"/>
      <c r="AO932" s="279"/>
      <c r="AP932" s="279"/>
      <c r="AQ932" s="279"/>
      <c r="AR932" s="279"/>
      <c r="AS932" s="279"/>
      <c r="AT932" s="279"/>
      <c r="AU932" s="279"/>
      <c r="AV932" s="279"/>
      <c r="AW932" s="279"/>
      <c r="AX932" s="279"/>
      <c r="AY932" s="279"/>
      <c r="AZ932" s="279"/>
      <c r="BA932" s="279"/>
      <c r="BB932" s="279"/>
      <c r="BC932" s="279"/>
      <c r="BD932" s="279"/>
      <c r="BE932" s="279"/>
      <c r="BF932" s="279"/>
      <c r="BG932" s="279"/>
      <c r="BH932" s="279"/>
      <c r="BI932" s="279"/>
      <c r="BJ932" s="279"/>
      <c r="BK932" s="279"/>
      <c r="BL932" s="279"/>
      <c r="BM932" s="279"/>
      <c r="BN932" s="279"/>
      <c r="BO932" s="279"/>
      <c r="BP932" s="279"/>
      <c r="BQ932" s="279"/>
      <c r="BR932" s="279"/>
      <c r="BS932" s="279"/>
      <c r="BT932" s="279"/>
      <c r="BU932" s="279"/>
      <c r="BV932" s="279"/>
      <c r="BW932" s="279"/>
      <c r="BX932" s="279"/>
      <c r="BY932" s="279"/>
      <c r="BZ932" s="279"/>
      <c r="CA932" s="279"/>
      <c r="CB932" s="279"/>
      <c r="CC932" s="279"/>
      <c r="CD932" s="279"/>
      <c r="CE932" s="279"/>
      <c r="CF932" s="279"/>
      <c r="CG932" s="279"/>
      <c r="CH932" s="279"/>
      <c r="CI932" s="279"/>
      <c r="CJ932" s="279"/>
      <c r="CK932" s="279"/>
      <c r="CL932" s="279"/>
      <c r="CM932" s="279"/>
      <c r="CN932" s="382"/>
    </row>
    <row r="933" x14ac:dyDescent="0.3">
      <c r="B933" s="361"/>
      <c r="C933" s="279"/>
      <c r="D933" s="280"/>
      <c r="E933" s="287"/>
      <c r="F933" s="287"/>
      <c r="G933" s="287"/>
      <c r="H933" s="1292">
        <f t="shared" si="37"/>
        <v>34</v>
      </c>
      <c r="I933" s="1190" t="str">
        <f>'I. Stream &amp; Compound Data'!P295</f>
        <v/>
      </c>
      <c r="J933" s="1295" t="str">
        <f>IF(I175="","",IF('I. Stream &amp; Compound Data'!BS295="",0,'I. Stream &amp; Compound Data'!BS295))</f>
        <v/>
      </c>
      <c r="K933" s="1295" t="str">
        <f t="shared" si="40"/>
        <v/>
      </c>
      <c r="L933" s="1317" t="str">
        <f t="shared" si="41"/>
        <v/>
      </c>
      <c r="M933" s="287"/>
      <c r="N933" s="296"/>
      <c r="O933" s="280"/>
      <c r="P933" s="280"/>
      <c r="Q933" s="279"/>
      <c r="R933" s="297"/>
      <c r="S933" s="298"/>
      <c r="T933" s="298"/>
      <c r="U933" s="299"/>
      <c r="V933" s="279"/>
      <c r="W933" s="279"/>
      <c r="X933" s="279"/>
      <c r="Y933" s="279"/>
      <c r="Z933" s="279"/>
      <c r="AA933" s="279"/>
      <c r="AB933" s="279"/>
      <c r="AC933" s="279"/>
      <c r="AD933" s="279"/>
      <c r="AE933" s="279"/>
      <c r="AF933" s="279"/>
      <c r="AG933" s="279"/>
      <c r="AH933" s="279"/>
      <c r="AI933" s="279"/>
      <c r="AJ933" s="279"/>
      <c r="AK933" s="279"/>
      <c r="AL933" s="279"/>
      <c r="AM933" s="279"/>
      <c r="AN933" s="279"/>
      <c r="AO933" s="279"/>
      <c r="AP933" s="279"/>
      <c r="AQ933" s="279"/>
      <c r="AR933" s="279"/>
      <c r="AS933" s="279"/>
      <c r="AT933" s="279"/>
      <c r="AU933" s="279"/>
      <c r="AV933" s="279"/>
      <c r="AW933" s="279"/>
      <c r="AX933" s="279"/>
      <c r="AY933" s="279"/>
      <c r="AZ933" s="279"/>
      <c r="BA933" s="279"/>
      <c r="BB933" s="279"/>
      <c r="BC933" s="279"/>
      <c r="BD933" s="279"/>
      <c r="BE933" s="279"/>
      <c r="BF933" s="279"/>
      <c r="BG933" s="279"/>
      <c r="BH933" s="279"/>
      <c r="BI933" s="279"/>
      <c r="BJ933" s="279"/>
      <c r="BK933" s="279"/>
      <c r="BL933" s="279"/>
      <c r="BM933" s="279"/>
      <c r="BN933" s="279"/>
      <c r="BO933" s="279"/>
      <c r="BP933" s="279"/>
      <c r="BQ933" s="279"/>
      <c r="BR933" s="279"/>
      <c r="BS933" s="279"/>
      <c r="BT933" s="279"/>
      <c r="BU933" s="279"/>
      <c r="BV933" s="279"/>
      <c r="BW933" s="279"/>
      <c r="BX933" s="279"/>
      <c r="BY933" s="279"/>
      <c r="BZ933" s="279"/>
      <c r="CA933" s="279"/>
      <c r="CB933" s="279"/>
      <c r="CC933" s="279"/>
      <c r="CD933" s="279"/>
      <c r="CE933" s="279"/>
      <c r="CF933" s="279"/>
      <c r="CG933" s="279"/>
      <c r="CH933" s="279"/>
      <c r="CI933" s="279"/>
      <c r="CJ933" s="279"/>
      <c r="CK933" s="279"/>
      <c r="CL933" s="279"/>
      <c r="CM933" s="279"/>
      <c r="CN933" s="382"/>
    </row>
    <row r="934" x14ac:dyDescent="0.3">
      <c r="B934" s="361"/>
      <c r="C934" s="279"/>
      <c r="D934" s="280"/>
      <c r="E934" s="287"/>
      <c r="F934" s="287"/>
      <c r="G934" s="287"/>
      <c r="H934" s="1292">
        <f t="shared" si="37"/>
        <v>35</v>
      </c>
      <c r="I934" s="1190" t="str">
        <f>'I. Stream &amp; Compound Data'!P296</f>
        <v/>
      </c>
      <c r="J934" s="1295" t="str">
        <f>IF(I176="","",IF('I. Stream &amp; Compound Data'!BS296="",0,'I. Stream &amp; Compound Data'!BS296))</f>
        <v/>
      </c>
      <c r="K934" s="1295" t="str">
        <f t="shared" si="40"/>
        <v/>
      </c>
      <c r="L934" s="1317" t="str">
        <f t="shared" si="41"/>
        <v/>
      </c>
      <c r="M934" s="287"/>
      <c r="N934" s="296"/>
      <c r="O934" s="280"/>
      <c r="P934" s="280"/>
      <c r="Q934" s="279"/>
      <c r="R934" s="297"/>
      <c r="S934" s="298"/>
      <c r="T934" s="298"/>
      <c r="U934" s="299"/>
      <c r="V934" s="279"/>
      <c r="W934" s="279"/>
      <c r="X934" s="279"/>
      <c r="Y934" s="279"/>
      <c r="Z934" s="279"/>
      <c r="AA934" s="279"/>
      <c r="AB934" s="279"/>
      <c r="AC934" s="279"/>
      <c r="AD934" s="279"/>
      <c r="AE934" s="279"/>
      <c r="AF934" s="279"/>
      <c r="AG934" s="279"/>
      <c r="AH934" s="279"/>
      <c r="AI934" s="279"/>
      <c r="AJ934" s="279"/>
      <c r="AK934" s="279"/>
      <c r="AL934" s="279"/>
      <c r="AM934" s="279"/>
      <c r="AN934" s="279"/>
      <c r="AO934" s="279"/>
      <c r="AP934" s="279"/>
      <c r="AQ934" s="279"/>
      <c r="AR934" s="279"/>
      <c r="AS934" s="279"/>
      <c r="AT934" s="279"/>
      <c r="AU934" s="279"/>
      <c r="AV934" s="279"/>
      <c r="AW934" s="279"/>
      <c r="AX934" s="279"/>
      <c r="AY934" s="279"/>
      <c r="AZ934" s="279"/>
      <c r="BA934" s="279"/>
      <c r="BB934" s="279"/>
      <c r="BC934" s="279"/>
      <c r="BD934" s="279"/>
      <c r="BE934" s="279"/>
      <c r="BF934" s="279"/>
      <c r="BG934" s="279"/>
      <c r="BH934" s="279"/>
      <c r="BI934" s="279"/>
      <c r="BJ934" s="279"/>
      <c r="BK934" s="279"/>
      <c r="BL934" s="279"/>
      <c r="BM934" s="279"/>
      <c r="BN934" s="279"/>
      <c r="BO934" s="279"/>
      <c r="BP934" s="279"/>
      <c r="BQ934" s="279"/>
      <c r="BR934" s="279"/>
      <c r="BS934" s="279"/>
      <c r="BT934" s="279"/>
      <c r="BU934" s="279"/>
      <c r="BV934" s="279"/>
      <c r="BW934" s="279"/>
      <c r="BX934" s="279"/>
      <c r="BY934" s="279"/>
      <c r="BZ934" s="279"/>
      <c r="CA934" s="279"/>
      <c r="CB934" s="279"/>
      <c r="CC934" s="279"/>
      <c r="CD934" s="279"/>
      <c r="CE934" s="279"/>
      <c r="CF934" s="279"/>
      <c r="CG934" s="279"/>
      <c r="CH934" s="279"/>
      <c r="CI934" s="279"/>
      <c r="CJ934" s="279"/>
      <c r="CK934" s="279"/>
      <c r="CL934" s="279"/>
      <c r="CM934" s="279"/>
      <c r="CN934" s="382"/>
    </row>
    <row r="935" x14ac:dyDescent="0.3">
      <c r="B935" s="361"/>
      <c r="C935" s="279"/>
      <c r="D935" s="280"/>
      <c r="E935" s="287"/>
      <c r="F935" s="287"/>
      <c r="G935" s="287"/>
      <c r="H935" s="1292">
        <f t="shared" si="37"/>
        <v>36</v>
      </c>
      <c r="I935" s="1190" t="str">
        <f>'I. Stream &amp; Compound Data'!P297</f>
        <v/>
      </c>
      <c r="J935" s="1295" t="str">
        <f>IF(I177="","",IF('I. Stream &amp; Compound Data'!BS297="",0,'I. Stream &amp; Compound Data'!BS297))</f>
        <v/>
      </c>
      <c r="K935" s="1295" t="str">
        <f t="shared" si="40"/>
        <v/>
      </c>
      <c r="L935" s="1317" t="str">
        <f t="shared" si="41"/>
        <v/>
      </c>
      <c r="M935" s="287"/>
      <c r="N935" s="296"/>
      <c r="O935" s="280"/>
      <c r="P935" s="280"/>
      <c r="Q935" s="279"/>
      <c r="R935" s="297"/>
      <c r="S935" s="298"/>
      <c r="T935" s="298"/>
      <c r="U935" s="299"/>
      <c r="V935" s="279"/>
      <c r="W935" s="279"/>
      <c r="X935" s="279"/>
      <c r="Y935" s="279"/>
      <c r="Z935" s="279"/>
      <c r="AA935" s="279"/>
      <c r="AB935" s="279"/>
      <c r="AC935" s="279"/>
      <c r="AD935" s="279"/>
      <c r="AE935" s="279"/>
      <c r="AF935" s="279"/>
      <c r="AG935" s="279"/>
      <c r="AH935" s="279"/>
      <c r="AI935" s="279"/>
      <c r="AJ935" s="279"/>
      <c r="AK935" s="279"/>
      <c r="AL935" s="279"/>
      <c r="AM935" s="279"/>
      <c r="AN935" s="279"/>
      <c r="AO935" s="279"/>
      <c r="AP935" s="279"/>
      <c r="AQ935" s="279"/>
      <c r="AR935" s="279"/>
      <c r="AS935" s="279"/>
      <c r="AT935" s="279"/>
      <c r="AU935" s="279"/>
      <c r="AV935" s="279"/>
      <c r="AW935" s="279"/>
      <c r="AX935" s="279"/>
      <c r="AY935" s="279"/>
      <c r="AZ935" s="279"/>
      <c r="BA935" s="279"/>
      <c r="BB935" s="279"/>
      <c r="BC935" s="279"/>
      <c r="BD935" s="279"/>
      <c r="BE935" s="279"/>
      <c r="BF935" s="279"/>
      <c r="BG935" s="279"/>
      <c r="BH935" s="279"/>
      <c r="BI935" s="279"/>
      <c r="BJ935" s="279"/>
      <c r="BK935" s="279"/>
      <c r="BL935" s="279"/>
      <c r="BM935" s="279"/>
      <c r="BN935" s="279"/>
      <c r="BO935" s="279"/>
      <c r="BP935" s="279"/>
      <c r="BQ935" s="279"/>
      <c r="BR935" s="279"/>
      <c r="BS935" s="279"/>
      <c r="BT935" s="279"/>
      <c r="BU935" s="279"/>
      <c r="BV935" s="279"/>
      <c r="BW935" s="279"/>
      <c r="BX935" s="279"/>
      <c r="BY935" s="279"/>
      <c r="BZ935" s="279"/>
      <c r="CA935" s="279"/>
      <c r="CB935" s="279"/>
      <c r="CC935" s="279"/>
      <c r="CD935" s="279"/>
      <c r="CE935" s="279"/>
      <c r="CF935" s="279"/>
      <c r="CG935" s="279"/>
      <c r="CH935" s="279"/>
      <c r="CI935" s="279"/>
      <c r="CJ935" s="279"/>
      <c r="CK935" s="279"/>
      <c r="CL935" s="279"/>
      <c r="CM935" s="279"/>
      <c r="CN935" s="382"/>
    </row>
    <row r="936" x14ac:dyDescent="0.3">
      <c r="B936" s="361"/>
      <c r="C936" s="279"/>
      <c r="D936" s="280"/>
      <c r="E936" s="287"/>
      <c r="F936" s="287"/>
      <c r="G936" s="287"/>
      <c r="H936" s="1292">
        <f t="shared" si="37"/>
        <v>37</v>
      </c>
      <c r="I936" s="1190" t="str">
        <f>'I. Stream &amp; Compound Data'!P298</f>
        <v/>
      </c>
      <c r="J936" s="1295" t="str">
        <f>IF(I178="","",IF('I. Stream &amp; Compound Data'!BS298="",0,'I. Stream &amp; Compound Data'!BS298))</f>
        <v/>
      </c>
      <c r="K936" s="1295" t="str">
        <f t="shared" si="40"/>
        <v/>
      </c>
      <c r="L936" s="1317" t="str">
        <f t="shared" si="41"/>
        <v/>
      </c>
      <c r="M936" s="287"/>
      <c r="N936" s="296"/>
      <c r="O936" s="280"/>
      <c r="P936" s="280"/>
      <c r="Q936" s="279"/>
      <c r="R936" s="297"/>
      <c r="S936" s="298"/>
      <c r="T936" s="298"/>
      <c r="U936" s="299"/>
      <c r="V936" s="279"/>
      <c r="W936" s="279"/>
      <c r="X936" s="279"/>
      <c r="Y936" s="279"/>
      <c r="Z936" s="279"/>
      <c r="AA936" s="279"/>
      <c r="AB936" s="279"/>
      <c r="AC936" s="279"/>
      <c r="AD936" s="279"/>
      <c r="AE936" s="279"/>
      <c r="AF936" s="279"/>
      <c r="AG936" s="279"/>
      <c r="AH936" s="279"/>
      <c r="AI936" s="279"/>
      <c r="AJ936" s="279"/>
      <c r="AK936" s="279"/>
      <c r="AL936" s="279"/>
      <c r="AM936" s="279"/>
      <c r="AN936" s="279"/>
      <c r="AO936" s="279"/>
      <c r="AP936" s="279"/>
      <c r="AQ936" s="279"/>
      <c r="AR936" s="279"/>
      <c r="AS936" s="279"/>
      <c r="AT936" s="279"/>
      <c r="AU936" s="279"/>
      <c r="AV936" s="279"/>
      <c r="AW936" s="279"/>
      <c r="AX936" s="279"/>
      <c r="AY936" s="279"/>
      <c r="AZ936" s="279"/>
      <c r="BA936" s="279"/>
      <c r="BB936" s="279"/>
      <c r="BC936" s="279"/>
      <c r="BD936" s="279"/>
      <c r="BE936" s="279"/>
      <c r="BF936" s="279"/>
      <c r="BG936" s="279"/>
      <c r="BH936" s="279"/>
      <c r="BI936" s="279"/>
      <c r="BJ936" s="279"/>
      <c r="BK936" s="279"/>
      <c r="BL936" s="279"/>
      <c r="BM936" s="279"/>
      <c r="BN936" s="279"/>
      <c r="BO936" s="279"/>
      <c r="BP936" s="279"/>
      <c r="BQ936" s="279"/>
      <c r="BR936" s="279"/>
      <c r="BS936" s="279"/>
      <c r="BT936" s="279"/>
      <c r="BU936" s="279"/>
      <c r="BV936" s="279"/>
      <c r="BW936" s="279"/>
      <c r="BX936" s="279"/>
      <c r="BY936" s="279"/>
      <c r="BZ936" s="279"/>
      <c r="CA936" s="279"/>
      <c r="CB936" s="279"/>
      <c r="CC936" s="279"/>
      <c r="CD936" s="279"/>
      <c r="CE936" s="279"/>
      <c r="CF936" s="279"/>
      <c r="CG936" s="279"/>
      <c r="CH936" s="279"/>
      <c r="CI936" s="279"/>
      <c r="CJ936" s="279"/>
      <c r="CK936" s="279"/>
      <c r="CL936" s="279"/>
      <c r="CM936" s="279"/>
      <c r="CN936" s="382"/>
    </row>
    <row r="937" x14ac:dyDescent="0.3">
      <c r="B937" s="361"/>
      <c r="C937" s="279"/>
      <c r="D937" s="280"/>
      <c r="E937" s="287"/>
      <c r="F937" s="287"/>
      <c r="G937" s="287"/>
      <c r="H937" s="1292">
        <f t="shared" si="37"/>
        <v>38</v>
      </c>
      <c r="I937" s="1190" t="str">
        <f>'I. Stream &amp; Compound Data'!P299</f>
        <v/>
      </c>
      <c r="J937" s="1295" t="str">
        <f>IF(I179="","",IF('I. Stream &amp; Compound Data'!BS299="",0,'I. Stream &amp; Compound Data'!BS299))</f>
        <v/>
      </c>
      <c r="K937" s="1295" t="str">
        <f t="shared" si="40"/>
        <v/>
      </c>
      <c r="L937" s="1317" t="str">
        <f t="shared" si="41"/>
        <v/>
      </c>
      <c r="M937" s="287"/>
      <c r="N937" s="296"/>
      <c r="O937" s="280"/>
      <c r="P937" s="280"/>
      <c r="Q937" s="279"/>
      <c r="R937" s="297"/>
      <c r="S937" s="298"/>
      <c r="T937" s="298"/>
      <c r="U937" s="299"/>
      <c r="V937" s="279"/>
      <c r="W937" s="279"/>
      <c r="X937" s="279"/>
      <c r="Y937" s="279"/>
      <c r="Z937" s="279"/>
      <c r="AA937" s="279"/>
      <c r="AB937" s="279"/>
      <c r="AC937" s="279"/>
      <c r="AD937" s="279"/>
      <c r="AE937" s="279"/>
      <c r="AF937" s="279"/>
      <c r="AG937" s="279"/>
      <c r="AH937" s="279"/>
      <c r="AI937" s="279"/>
      <c r="AJ937" s="279"/>
      <c r="AK937" s="279"/>
      <c r="AL937" s="279"/>
      <c r="AM937" s="279"/>
      <c r="AN937" s="279"/>
      <c r="AO937" s="279"/>
      <c r="AP937" s="279"/>
      <c r="AQ937" s="279"/>
      <c r="AR937" s="279"/>
      <c r="AS937" s="279"/>
      <c r="AT937" s="279"/>
      <c r="AU937" s="279"/>
      <c r="AV937" s="279"/>
      <c r="AW937" s="279"/>
      <c r="AX937" s="279"/>
      <c r="AY937" s="279"/>
      <c r="AZ937" s="279"/>
      <c r="BA937" s="279"/>
      <c r="BB937" s="279"/>
      <c r="BC937" s="279"/>
      <c r="BD937" s="279"/>
      <c r="BE937" s="279"/>
      <c r="BF937" s="279"/>
      <c r="BG937" s="279"/>
      <c r="BH937" s="279"/>
      <c r="BI937" s="279"/>
      <c r="BJ937" s="279"/>
      <c r="BK937" s="279"/>
      <c r="BL937" s="279"/>
      <c r="BM937" s="279"/>
      <c r="BN937" s="279"/>
      <c r="BO937" s="279"/>
      <c r="BP937" s="279"/>
      <c r="BQ937" s="279"/>
      <c r="BR937" s="279"/>
      <c r="BS937" s="279"/>
      <c r="BT937" s="279"/>
      <c r="BU937" s="279"/>
      <c r="BV937" s="279"/>
      <c r="BW937" s="279"/>
      <c r="BX937" s="279"/>
      <c r="BY937" s="279"/>
      <c r="BZ937" s="279"/>
      <c r="CA937" s="279"/>
      <c r="CB937" s="279"/>
      <c r="CC937" s="279"/>
      <c r="CD937" s="279"/>
      <c r="CE937" s="279"/>
      <c r="CF937" s="279"/>
      <c r="CG937" s="279"/>
      <c r="CH937" s="279"/>
      <c r="CI937" s="279"/>
      <c r="CJ937" s="279"/>
      <c r="CK937" s="279"/>
      <c r="CL937" s="279"/>
      <c r="CM937" s="279"/>
      <c r="CN937" s="382"/>
    </row>
    <row r="938" x14ac:dyDescent="0.3">
      <c r="B938" s="361"/>
      <c r="C938" s="279"/>
      <c r="D938" s="280"/>
      <c r="E938" s="287"/>
      <c r="F938" s="287"/>
      <c r="G938" s="287"/>
      <c r="H938" s="1292">
        <f t="shared" si="37"/>
        <v>39</v>
      </c>
      <c r="I938" s="1190" t="str">
        <f>'I. Stream &amp; Compound Data'!P300</f>
        <v/>
      </c>
      <c r="J938" s="1295" t="str">
        <f>IF(I180="","",IF('I. Stream &amp; Compound Data'!BS300="",0,'I. Stream &amp; Compound Data'!BS300))</f>
        <v/>
      </c>
      <c r="K938" s="1295" t="str">
        <f t="shared" si="40"/>
        <v/>
      </c>
      <c r="L938" s="1317" t="str">
        <f t="shared" si="41"/>
        <v/>
      </c>
      <c r="M938" s="287"/>
      <c r="N938" s="296"/>
      <c r="O938" s="280"/>
      <c r="P938" s="280"/>
      <c r="Q938" s="279"/>
      <c r="R938" s="297"/>
      <c r="S938" s="298"/>
      <c r="T938" s="298"/>
      <c r="U938" s="299"/>
      <c r="V938" s="279"/>
      <c r="W938" s="279"/>
      <c r="X938" s="279"/>
      <c r="Y938" s="279"/>
      <c r="Z938" s="279"/>
      <c r="AA938" s="279"/>
      <c r="AB938" s="279"/>
      <c r="AC938" s="279"/>
      <c r="AD938" s="279"/>
      <c r="AE938" s="279"/>
      <c r="AF938" s="279"/>
      <c r="AG938" s="279"/>
      <c r="AH938" s="279"/>
      <c r="AI938" s="279"/>
      <c r="AJ938" s="279"/>
      <c r="AK938" s="279"/>
      <c r="AL938" s="279"/>
      <c r="AM938" s="279"/>
      <c r="AN938" s="279"/>
      <c r="AO938" s="279"/>
      <c r="AP938" s="279"/>
      <c r="AQ938" s="279"/>
      <c r="AR938" s="279"/>
      <c r="AS938" s="279"/>
      <c r="AT938" s="279"/>
      <c r="AU938" s="279"/>
      <c r="AV938" s="279"/>
      <c r="AW938" s="279"/>
      <c r="AX938" s="279"/>
      <c r="AY938" s="279"/>
      <c r="AZ938" s="279"/>
      <c r="BA938" s="279"/>
      <c r="BB938" s="279"/>
      <c r="BC938" s="279"/>
      <c r="BD938" s="279"/>
      <c r="BE938" s="279"/>
      <c r="BF938" s="279"/>
      <c r="BG938" s="279"/>
      <c r="BH938" s="279"/>
      <c r="BI938" s="279"/>
      <c r="BJ938" s="279"/>
      <c r="BK938" s="279"/>
      <c r="BL938" s="279"/>
      <c r="BM938" s="279"/>
      <c r="BN938" s="279"/>
      <c r="BO938" s="279"/>
      <c r="BP938" s="279"/>
      <c r="BQ938" s="279"/>
      <c r="BR938" s="279"/>
      <c r="BS938" s="279"/>
      <c r="BT938" s="279"/>
      <c r="BU938" s="279"/>
      <c r="BV938" s="279"/>
      <c r="BW938" s="279"/>
      <c r="BX938" s="279"/>
      <c r="BY938" s="279"/>
      <c r="BZ938" s="279"/>
      <c r="CA938" s="279"/>
      <c r="CB938" s="279"/>
      <c r="CC938" s="279"/>
      <c r="CD938" s="279"/>
      <c r="CE938" s="279"/>
      <c r="CF938" s="279"/>
      <c r="CG938" s="279"/>
      <c r="CH938" s="279"/>
      <c r="CI938" s="279"/>
      <c r="CJ938" s="279"/>
      <c r="CK938" s="279"/>
      <c r="CL938" s="279"/>
      <c r="CM938" s="279"/>
      <c r="CN938" s="382"/>
    </row>
    <row r="939" x14ac:dyDescent="0.3">
      <c r="B939" s="361"/>
      <c r="C939" s="279"/>
      <c r="D939" s="280"/>
      <c r="E939" s="287"/>
      <c r="F939" s="287"/>
      <c r="G939" s="287"/>
      <c r="H939" s="1292">
        <f t="shared" si="37"/>
        <v>40</v>
      </c>
      <c r="I939" s="1190" t="str">
        <f>'I. Stream &amp; Compound Data'!P301</f>
        <v/>
      </c>
      <c r="J939" s="1295" t="str">
        <f>IF(I181="","",IF('I. Stream &amp; Compound Data'!BS301="",0,'I. Stream &amp; Compound Data'!BS301))</f>
        <v/>
      </c>
      <c r="K939" s="1295" t="str">
        <f t="shared" si="40"/>
        <v/>
      </c>
      <c r="L939" s="1317" t="str">
        <f t="shared" si="41"/>
        <v/>
      </c>
      <c r="M939" s="287"/>
      <c r="N939" s="296"/>
      <c r="O939" s="280"/>
      <c r="P939" s="280"/>
      <c r="Q939" s="279"/>
      <c r="R939" s="297"/>
      <c r="S939" s="298"/>
      <c r="T939" s="298"/>
      <c r="U939" s="299"/>
      <c r="V939" s="279"/>
      <c r="W939" s="279"/>
      <c r="X939" s="279"/>
      <c r="Y939" s="279"/>
      <c r="Z939" s="279"/>
      <c r="AA939" s="279"/>
      <c r="AB939" s="279"/>
      <c r="AC939" s="279"/>
      <c r="AD939" s="279"/>
      <c r="AE939" s="279"/>
      <c r="AF939" s="279"/>
      <c r="AG939" s="279"/>
      <c r="AH939" s="279"/>
      <c r="AI939" s="279"/>
      <c r="AJ939" s="279"/>
      <c r="AK939" s="279"/>
      <c r="AL939" s="279"/>
      <c r="AM939" s="279"/>
      <c r="AN939" s="279"/>
      <c r="AO939" s="279"/>
      <c r="AP939" s="279"/>
      <c r="AQ939" s="279"/>
      <c r="AR939" s="279"/>
      <c r="AS939" s="279"/>
      <c r="AT939" s="279"/>
      <c r="AU939" s="279"/>
      <c r="AV939" s="279"/>
      <c r="AW939" s="279"/>
      <c r="AX939" s="279"/>
      <c r="AY939" s="279"/>
      <c r="AZ939" s="279"/>
      <c r="BA939" s="279"/>
      <c r="BB939" s="279"/>
      <c r="BC939" s="279"/>
      <c r="BD939" s="279"/>
      <c r="BE939" s="279"/>
      <c r="BF939" s="279"/>
      <c r="BG939" s="279"/>
      <c r="BH939" s="279"/>
      <c r="BI939" s="279"/>
      <c r="BJ939" s="279"/>
      <c r="BK939" s="279"/>
      <c r="BL939" s="279"/>
      <c r="BM939" s="279"/>
      <c r="BN939" s="279"/>
      <c r="BO939" s="279"/>
      <c r="BP939" s="279"/>
      <c r="BQ939" s="279"/>
      <c r="BR939" s="279"/>
      <c r="BS939" s="279"/>
      <c r="BT939" s="279"/>
      <c r="BU939" s="279"/>
      <c r="BV939" s="279"/>
      <c r="BW939" s="279"/>
      <c r="BX939" s="279"/>
      <c r="BY939" s="279"/>
      <c r="BZ939" s="279"/>
      <c r="CA939" s="279"/>
      <c r="CB939" s="279"/>
      <c r="CC939" s="279"/>
      <c r="CD939" s="279"/>
      <c r="CE939" s="279"/>
      <c r="CF939" s="279"/>
      <c r="CG939" s="279"/>
      <c r="CH939" s="279"/>
      <c r="CI939" s="279"/>
      <c r="CJ939" s="279"/>
      <c r="CK939" s="279"/>
      <c r="CL939" s="279"/>
      <c r="CM939" s="279"/>
      <c r="CN939" s="382"/>
    </row>
    <row r="940" x14ac:dyDescent="0.3">
      <c r="B940" s="361"/>
      <c r="C940" s="279"/>
      <c r="D940" s="280"/>
      <c r="E940" s="287"/>
      <c r="F940" s="287"/>
      <c r="G940" s="287"/>
      <c r="H940" s="1292">
        <f t="shared" si="37"/>
        <v>41</v>
      </c>
      <c r="I940" s="1190" t="str">
        <f>'I. Stream &amp; Compound Data'!P302</f>
        <v/>
      </c>
      <c r="J940" s="1295" t="str">
        <f>IF(I182="","",IF('I. Stream &amp; Compound Data'!BS302="",0,'I. Stream &amp; Compound Data'!BS302))</f>
        <v/>
      </c>
      <c r="K940" s="1295" t="str">
        <f t="shared" si="40"/>
        <v/>
      </c>
      <c r="L940" s="1317" t="str">
        <f t="shared" si="41"/>
        <v/>
      </c>
      <c r="M940" s="287"/>
      <c r="N940" s="296"/>
      <c r="O940" s="280"/>
      <c r="P940" s="280"/>
      <c r="Q940" s="279"/>
      <c r="R940" s="297"/>
      <c r="S940" s="298"/>
      <c r="T940" s="298"/>
      <c r="U940" s="299"/>
      <c r="V940" s="279"/>
      <c r="W940" s="279"/>
      <c r="X940" s="279"/>
      <c r="Y940" s="279"/>
      <c r="Z940" s="279"/>
      <c r="AA940" s="279"/>
      <c r="AB940" s="279"/>
      <c r="AC940" s="279"/>
      <c r="AD940" s="279"/>
      <c r="AE940" s="279"/>
      <c r="AF940" s="279"/>
      <c r="AG940" s="279"/>
      <c r="AH940" s="279"/>
      <c r="AI940" s="279"/>
      <c r="AJ940" s="279"/>
      <c r="AK940" s="279"/>
      <c r="AL940" s="279"/>
      <c r="AM940" s="279"/>
      <c r="AN940" s="279"/>
      <c r="AO940" s="279"/>
      <c r="AP940" s="279"/>
      <c r="AQ940" s="279"/>
      <c r="AR940" s="279"/>
      <c r="AS940" s="279"/>
      <c r="AT940" s="279"/>
      <c r="AU940" s="279"/>
      <c r="AV940" s="279"/>
      <c r="AW940" s="279"/>
      <c r="AX940" s="279"/>
      <c r="AY940" s="279"/>
      <c r="AZ940" s="279"/>
      <c r="BA940" s="279"/>
      <c r="BB940" s="279"/>
      <c r="BC940" s="279"/>
      <c r="BD940" s="279"/>
      <c r="BE940" s="279"/>
      <c r="BF940" s="279"/>
      <c r="BG940" s="279"/>
      <c r="BH940" s="279"/>
      <c r="BI940" s="279"/>
      <c r="BJ940" s="279"/>
      <c r="BK940" s="279"/>
      <c r="BL940" s="279"/>
      <c r="BM940" s="279"/>
      <c r="BN940" s="279"/>
      <c r="BO940" s="279"/>
      <c r="BP940" s="279"/>
      <c r="BQ940" s="279"/>
      <c r="BR940" s="279"/>
      <c r="BS940" s="279"/>
      <c r="BT940" s="279"/>
      <c r="BU940" s="279"/>
      <c r="BV940" s="279"/>
      <c r="BW940" s="279"/>
      <c r="BX940" s="279"/>
      <c r="BY940" s="279"/>
      <c r="BZ940" s="279"/>
      <c r="CA940" s="279"/>
      <c r="CB940" s="279"/>
      <c r="CC940" s="279"/>
      <c r="CD940" s="279"/>
      <c r="CE940" s="279"/>
      <c r="CF940" s="279"/>
      <c r="CG940" s="279"/>
      <c r="CH940" s="279"/>
      <c r="CI940" s="279"/>
      <c r="CJ940" s="279"/>
      <c r="CK940" s="279"/>
      <c r="CL940" s="279"/>
      <c r="CM940" s="279"/>
      <c r="CN940" s="382"/>
    </row>
    <row r="941" x14ac:dyDescent="0.3">
      <c r="B941" s="361"/>
      <c r="C941" s="279"/>
      <c r="D941" s="280"/>
      <c r="E941" s="287"/>
      <c r="F941" s="287"/>
      <c r="G941" s="287"/>
      <c r="H941" s="1292">
        <f t="shared" si="37"/>
        <v>42</v>
      </c>
      <c r="I941" s="1190" t="str">
        <f>'I. Stream &amp; Compound Data'!P303</f>
        <v/>
      </c>
      <c r="J941" s="1295" t="str">
        <f>IF(I183="","",IF('I. Stream &amp; Compound Data'!BS303="",0,'I. Stream &amp; Compound Data'!BS303))</f>
        <v/>
      </c>
      <c r="K941" s="1295" t="str">
        <f t="shared" si="40"/>
        <v/>
      </c>
      <c r="L941" s="1317" t="str">
        <f t="shared" si="41"/>
        <v/>
      </c>
      <c r="M941" s="287"/>
      <c r="N941" s="296"/>
      <c r="O941" s="280"/>
      <c r="P941" s="280"/>
      <c r="Q941" s="279"/>
      <c r="R941" s="297"/>
      <c r="S941" s="298"/>
      <c r="T941" s="298"/>
      <c r="U941" s="299"/>
      <c r="V941" s="279"/>
      <c r="W941" s="279"/>
      <c r="X941" s="279"/>
      <c r="Y941" s="279"/>
      <c r="Z941" s="279"/>
      <c r="AA941" s="279"/>
      <c r="AB941" s="279"/>
      <c r="AC941" s="279"/>
      <c r="AD941" s="279"/>
      <c r="AE941" s="279"/>
      <c r="AF941" s="279"/>
      <c r="AG941" s="279"/>
      <c r="AH941" s="279"/>
      <c r="AI941" s="279"/>
      <c r="AJ941" s="279"/>
      <c r="AK941" s="279"/>
      <c r="AL941" s="279"/>
      <c r="AM941" s="279"/>
      <c r="AN941" s="279"/>
      <c r="AO941" s="279"/>
      <c r="AP941" s="279"/>
      <c r="AQ941" s="279"/>
      <c r="AR941" s="279"/>
      <c r="AS941" s="279"/>
      <c r="AT941" s="279"/>
      <c r="AU941" s="279"/>
      <c r="AV941" s="279"/>
      <c r="AW941" s="279"/>
      <c r="AX941" s="279"/>
      <c r="AY941" s="279"/>
      <c r="AZ941" s="279"/>
      <c r="BA941" s="279"/>
      <c r="BB941" s="279"/>
      <c r="BC941" s="279"/>
      <c r="BD941" s="279"/>
      <c r="BE941" s="279"/>
      <c r="BF941" s="279"/>
      <c r="BG941" s="279"/>
      <c r="BH941" s="279"/>
      <c r="BI941" s="279"/>
      <c r="BJ941" s="279"/>
      <c r="BK941" s="279"/>
      <c r="BL941" s="279"/>
      <c r="BM941" s="279"/>
      <c r="BN941" s="279"/>
      <c r="BO941" s="279"/>
      <c r="BP941" s="279"/>
      <c r="BQ941" s="279"/>
      <c r="BR941" s="279"/>
      <c r="BS941" s="279"/>
      <c r="BT941" s="279"/>
      <c r="BU941" s="279"/>
      <c r="BV941" s="279"/>
      <c r="BW941" s="279"/>
      <c r="BX941" s="279"/>
      <c r="BY941" s="279"/>
      <c r="BZ941" s="279"/>
      <c r="CA941" s="279"/>
      <c r="CB941" s="279"/>
      <c r="CC941" s="279"/>
      <c r="CD941" s="279"/>
      <c r="CE941" s="279"/>
      <c r="CF941" s="279"/>
      <c r="CG941" s="279"/>
      <c r="CH941" s="279"/>
      <c r="CI941" s="279"/>
      <c r="CJ941" s="279"/>
      <c r="CK941" s="279"/>
      <c r="CL941" s="279"/>
      <c r="CM941" s="279"/>
      <c r="CN941" s="382"/>
    </row>
    <row r="942" x14ac:dyDescent="0.3">
      <c r="B942" s="361"/>
      <c r="C942" s="279"/>
      <c r="D942" s="280"/>
      <c r="E942" s="287"/>
      <c r="F942" s="287"/>
      <c r="G942" s="287"/>
      <c r="H942" s="1292">
        <f t="shared" si="37"/>
        <v>43</v>
      </c>
      <c r="I942" s="1190" t="str">
        <f>'I. Stream &amp; Compound Data'!P304</f>
        <v/>
      </c>
      <c r="J942" s="1295" t="str">
        <f>IF(I184="","",IF('I. Stream &amp; Compound Data'!BS304="",0,'I. Stream &amp; Compound Data'!BS304))</f>
        <v/>
      </c>
      <c r="K942" s="1295" t="str">
        <f t="shared" si="40"/>
        <v/>
      </c>
      <c r="L942" s="1317" t="str">
        <f t="shared" si="41"/>
        <v/>
      </c>
      <c r="M942" s="287"/>
      <c r="N942" s="296"/>
      <c r="O942" s="280"/>
      <c r="P942" s="280"/>
      <c r="Q942" s="279"/>
      <c r="R942" s="297"/>
      <c r="S942" s="298"/>
      <c r="T942" s="298"/>
      <c r="U942" s="299"/>
      <c r="V942" s="279"/>
      <c r="W942" s="279"/>
      <c r="X942" s="279"/>
      <c r="Y942" s="279"/>
      <c r="Z942" s="279"/>
      <c r="AA942" s="279"/>
      <c r="AB942" s="279"/>
      <c r="AC942" s="279"/>
      <c r="AD942" s="279"/>
      <c r="AE942" s="279"/>
      <c r="AF942" s="279"/>
      <c r="AG942" s="279"/>
      <c r="AH942" s="279"/>
      <c r="AI942" s="279"/>
      <c r="AJ942" s="279"/>
      <c r="AK942" s="279"/>
      <c r="AL942" s="279"/>
      <c r="AM942" s="279"/>
      <c r="AN942" s="279"/>
      <c r="AO942" s="279"/>
      <c r="AP942" s="279"/>
      <c r="AQ942" s="279"/>
      <c r="AR942" s="279"/>
      <c r="AS942" s="279"/>
      <c r="AT942" s="279"/>
      <c r="AU942" s="279"/>
      <c r="AV942" s="279"/>
      <c r="AW942" s="279"/>
      <c r="AX942" s="279"/>
      <c r="AY942" s="279"/>
      <c r="AZ942" s="279"/>
      <c r="BA942" s="279"/>
      <c r="BB942" s="279"/>
      <c r="BC942" s="279"/>
      <c r="BD942" s="279"/>
      <c r="BE942" s="279"/>
      <c r="BF942" s="279"/>
      <c r="BG942" s="279"/>
      <c r="BH942" s="279"/>
      <c r="BI942" s="279"/>
      <c r="BJ942" s="279"/>
      <c r="BK942" s="279"/>
      <c r="BL942" s="279"/>
      <c r="BM942" s="279"/>
      <c r="BN942" s="279"/>
      <c r="BO942" s="279"/>
      <c r="BP942" s="279"/>
      <c r="BQ942" s="279"/>
      <c r="BR942" s="279"/>
      <c r="BS942" s="279"/>
      <c r="BT942" s="279"/>
      <c r="BU942" s="279"/>
      <c r="BV942" s="279"/>
      <c r="BW942" s="279"/>
      <c r="BX942" s="279"/>
      <c r="BY942" s="279"/>
      <c r="BZ942" s="279"/>
      <c r="CA942" s="279"/>
      <c r="CB942" s="279"/>
      <c r="CC942" s="279"/>
      <c r="CD942" s="279"/>
      <c r="CE942" s="279"/>
      <c r="CF942" s="279"/>
      <c r="CG942" s="279"/>
      <c r="CH942" s="279"/>
      <c r="CI942" s="279"/>
      <c r="CJ942" s="279"/>
      <c r="CK942" s="279"/>
      <c r="CL942" s="279"/>
      <c r="CM942" s="279"/>
      <c r="CN942" s="382"/>
    </row>
    <row r="943" x14ac:dyDescent="0.3">
      <c r="B943" s="361"/>
      <c r="C943" s="279"/>
      <c r="D943" s="280"/>
      <c r="E943" s="287"/>
      <c r="F943" s="287"/>
      <c r="G943" s="287"/>
      <c r="H943" s="1292">
        <f t="shared" si="37"/>
        <v>44</v>
      </c>
      <c r="I943" s="1190" t="str">
        <f>'I. Stream &amp; Compound Data'!P305</f>
        <v/>
      </c>
      <c r="J943" s="1295" t="str">
        <f>IF(I185="","",IF('I. Stream &amp; Compound Data'!BS305="",0,'I. Stream &amp; Compound Data'!BS305))</f>
        <v/>
      </c>
      <c r="K943" s="1295" t="str">
        <f t="shared" si="40"/>
        <v/>
      </c>
      <c r="L943" s="1317" t="str">
        <f t="shared" si="41"/>
        <v/>
      </c>
      <c r="M943" s="287"/>
      <c r="N943" s="296"/>
      <c r="O943" s="280"/>
      <c r="P943" s="280"/>
      <c r="Q943" s="279"/>
      <c r="R943" s="297"/>
      <c r="S943" s="298"/>
      <c r="T943" s="298"/>
      <c r="U943" s="299"/>
      <c r="V943" s="279"/>
      <c r="W943" s="279"/>
      <c r="X943" s="279"/>
      <c r="Y943" s="279"/>
      <c r="Z943" s="279"/>
      <c r="AA943" s="279"/>
      <c r="AB943" s="279"/>
      <c r="AC943" s="279"/>
      <c r="AD943" s="279"/>
      <c r="AE943" s="279"/>
      <c r="AF943" s="279"/>
      <c r="AG943" s="279"/>
      <c r="AH943" s="279"/>
      <c r="AI943" s="279"/>
      <c r="AJ943" s="279"/>
      <c r="AK943" s="279"/>
      <c r="AL943" s="279"/>
      <c r="AM943" s="279"/>
      <c r="AN943" s="279"/>
      <c r="AO943" s="279"/>
      <c r="AP943" s="279"/>
      <c r="AQ943" s="279"/>
      <c r="AR943" s="279"/>
      <c r="AS943" s="279"/>
      <c r="AT943" s="279"/>
      <c r="AU943" s="279"/>
      <c r="AV943" s="279"/>
      <c r="AW943" s="279"/>
      <c r="AX943" s="279"/>
      <c r="AY943" s="279"/>
      <c r="AZ943" s="279"/>
      <c r="BA943" s="279"/>
      <c r="BB943" s="279"/>
      <c r="BC943" s="279"/>
      <c r="BD943" s="279"/>
      <c r="BE943" s="279"/>
      <c r="BF943" s="279"/>
      <c r="BG943" s="279"/>
      <c r="BH943" s="279"/>
      <c r="BI943" s="279"/>
      <c r="BJ943" s="279"/>
      <c r="BK943" s="279"/>
      <c r="BL943" s="279"/>
      <c r="BM943" s="279"/>
      <c r="BN943" s="279"/>
      <c r="BO943" s="279"/>
      <c r="BP943" s="279"/>
      <c r="BQ943" s="279"/>
      <c r="BR943" s="279"/>
      <c r="BS943" s="279"/>
      <c r="BT943" s="279"/>
      <c r="BU943" s="279"/>
      <c r="BV943" s="279"/>
      <c r="BW943" s="279"/>
      <c r="BX943" s="279"/>
      <c r="BY943" s="279"/>
      <c r="BZ943" s="279"/>
      <c r="CA943" s="279"/>
      <c r="CB943" s="279"/>
      <c r="CC943" s="279"/>
      <c r="CD943" s="279"/>
      <c r="CE943" s="279"/>
      <c r="CF943" s="279"/>
      <c r="CG943" s="279"/>
      <c r="CH943" s="279"/>
      <c r="CI943" s="279"/>
      <c r="CJ943" s="279"/>
      <c r="CK943" s="279"/>
      <c r="CL943" s="279"/>
      <c r="CM943" s="279"/>
      <c r="CN943" s="382"/>
    </row>
    <row r="944" x14ac:dyDescent="0.3">
      <c r="B944" s="361"/>
      <c r="C944" s="279"/>
      <c r="D944" s="280"/>
      <c r="E944" s="287"/>
      <c r="F944" s="287"/>
      <c r="G944" s="287"/>
      <c r="H944" s="1292">
        <f t="shared" si="37"/>
        <v>45</v>
      </c>
      <c r="I944" s="1190" t="str">
        <f>'I. Stream &amp; Compound Data'!P306</f>
        <v/>
      </c>
      <c r="J944" s="1295" t="str">
        <f>IF(I186="","",IF('I. Stream &amp; Compound Data'!BS306="",0,'I. Stream &amp; Compound Data'!BS306))</f>
        <v/>
      </c>
      <c r="K944" s="1295" t="str">
        <f t="shared" si="40"/>
        <v/>
      </c>
      <c r="L944" s="1317" t="str">
        <f t="shared" si="41"/>
        <v/>
      </c>
      <c r="M944" s="287"/>
      <c r="N944" s="296"/>
      <c r="O944" s="280"/>
      <c r="P944" s="280"/>
      <c r="Q944" s="279"/>
      <c r="R944" s="297"/>
      <c r="S944" s="298"/>
      <c r="T944" s="298"/>
      <c r="U944" s="299"/>
      <c r="V944" s="279"/>
      <c r="W944" s="279"/>
      <c r="X944" s="279"/>
      <c r="Y944" s="279"/>
      <c r="Z944" s="279"/>
      <c r="AA944" s="279"/>
      <c r="AB944" s="279"/>
      <c r="AC944" s="279"/>
      <c r="AD944" s="279"/>
      <c r="AE944" s="279"/>
      <c r="AF944" s="279"/>
      <c r="AG944" s="279"/>
      <c r="AH944" s="279"/>
      <c r="AI944" s="279"/>
      <c r="AJ944" s="279"/>
      <c r="AK944" s="279"/>
      <c r="AL944" s="279"/>
      <c r="AM944" s="279"/>
      <c r="AN944" s="279"/>
      <c r="AO944" s="279"/>
      <c r="AP944" s="279"/>
      <c r="AQ944" s="279"/>
      <c r="AR944" s="279"/>
      <c r="AS944" s="279"/>
      <c r="AT944" s="279"/>
      <c r="AU944" s="279"/>
      <c r="AV944" s="279"/>
      <c r="AW944" s="279"/>
      <c r="AX944" s="279"/>
      <c r="AY944" s="279"/>
      <c r="AZ944" s="279"/>
      <c r="BA944" s="279"/>
      <c r="BB944" s="279"/>
      <c r="BC944" s="279"/>
      <c r="BD944" s="279"/>
      <c r="BE944" s="279"/>
      <c r="BF944" s="279"/>
      <c r="BG944" s="279"/>
      <c r="BH944" s="279"/>
      <c r="BI944" s="279"/>
      <c r="BJ944" s="279"/>
      <c r="BK944" s="279"/>
      <c r="BL944" s="279"/>
      <c r="BM944" s="279"/>
      <c r="BN944" s="279"/>
      <c r="BO944" s="279"/>
      <c r="BP944" s="279"/>
      <c r="BQ944" s="279"/>
      <c r="BR944" s="279"/>
      <c r="BS944" s="279"/>
      <c r="BT944" s="279"/>
      <c r="BU944" s="279"/>
      <c r="BV944" s="279"/>
      <c r="BW944" s="279"/>
      <c r="BX944" s="279"/>
      <c r="BY944" s="279"/>
      <c r="BZ944" s="279"/>
      <c r="CA944" s="279"/>
      <c r="CB944" s="279"/>
      <c r="CC944" s="279"/>
      <c r="CD944" s="279"/>
      <c r="CE944" s="279"/>
      <c r="CF944" s="279"/>
      <c r="CG944" s="279"/>
      <c r="CH944" s="279"/>
      <c r="CI944" s="279"/>
      <c r="CJ944" s="279"/>
      <c r="CK944" s="279"/>
      <c r="CL944" s="279"/>
      <c r="CM944" s="279"/>
      <c r="CN944" s="382"/>
    </row>
    <row r="945" x14ac:dyDescent="0.3">
      <c r="B945" s="361"/>
      <c r="C945" s="279"/>
      <c r="D945" s="280"/>
      <c r="E945" s="287"/>
      <c r="F945" s="287"/>
      <c r="G945" s="287"/>
      <c r="H945" s="1292">
        <f t="shared" si="37"/>
        <v>46</v>
      </c>
      <c r="I945" s="1190" t="str">
        <f>'I. Stream &amp; Compound Data'!P307</f>
        <v/>
      </c>
      <c r="J945" s="1295" t="str">
        <f>IF(I187="","",IF('I. Stream &amp; Compound Data'!BS307="",0,'I. Stream &amp; Compound Data'!BS307))</f>
        <v/>
      </c>
      <c r="K945" s="1295" t="str">
        <f t="shared" si="40"/>
        <v/>
      </c>
      <c r="L945" s="1317" t="str">
        <f t="shared" si="41"/>
        <v/>
      </c>
      <c r="M945" s="287"/>
      <c r="N945" s="296"/>
      <c r="O945" s="280"/>
      <c r="P945" s="280"/>
      <c r="Q945" s="279"/>
      <c r="R945" s="297"/>
      <c r="S945" s="298"/>
      <c r="T945" s="298"/>
      <c r="U945" s="299"/>
      <c r="V945" s="279"/>
      <c r="W945" s="279"/>
      <c r="X945" s="279"/>
      <c r="Y945" s="279"/>
      <c r="Z945" s="279"/>
      <c r="AA945" s="279"/>
      <c r="AB945" s="279"/>
      <c r="AC945" s="279"/>
      <c r="AD945" s="279"/>
      <c r="AE945" s="279"/>
      <c r="AF945" s="279"/>
      <c r="AG945" s="279"/>
      <c r="AH945" s="279"/>
      <c r="AI945" s="279"/>
      <c r="AJ945" s="279"/>
      <c r="AK945" s="279"/>
      <c r="AL945" s="279"/>
      <c r="AM945" s="279"/>
      <c r="AN945" s="279"/>
      <c r="AO945" s="279"/>
      <c r="AP945" s="279"/>
      <c r="AQ945" s="279"/>
      <c r="AR945" s="279"/>
      <c r="AS945" s="279"/>
      <c r="AT945" s="279"/>
      <c r="AU945" s="279"/>
      <c r="AV945" s="279"/>
      <c r="AW945" s="279"/>
      <c r="AX945" s="279"/>
      <c r="AY945" s="279"/>
      <c r="AZ945" s="279"/>
      <c r="BA945" s="279"/>
      <c r="BB945" s="279"/>
      <c r="BC945" s="279"/>
      <c r="BD945" s="279"/>
      <c r="BE945" s="279"/>
      <c r="BF945" s="279"/>
      <c r="BG945" s="279"/>
      <c r="BH945" s="279"/>
      <c r="BI945" s="279"/>
      <c r="BJ945" s="279"/>
      <c r="BK945" s="279"/>
      <c r="BL945" s="279"/>
      <c r="BM945" s="279"/>
      <c r="BN945" s="279"/>
      <c r="BO945" s="279"/>
      <c r="BP945" s="279"/>
      <c r="BQ945" s="279"/>
      <c r="BR945" s="279"/>
      <c r="BS945" s="279"/>
      <c r="BT945" s="279"/>
      <c r="BU945" s="279"/>
      <c r="BV945" s="279"/>
      <c r="BW945" s="279"/>
      <c r="BX945" s="279"/>
      <c r="BY945" s="279"/>
      <c r="BZ945" s="279"/>
      <c r="CA945" s="279"/>
      <c r="CB945" s="279"/>
      <c r="CC945" s="279"/>
      <c r="CD945" s="279"/>
      <c r="CE945" s="279"/>
      <c r="CF945" s="279"/>
      <c r="CG945" s="279"/>
      <c r="CH945" s="279"/>
      <c r="CI945" s="279"/>
      <c r="CJ945" s="279"/>
      <c r="CK945" s="279"/>
      <c r="CL945" s="279"/>
      <c r="CM945" s="279"/>
      <c r="CN945" s="382"/>
    </row>
    <row r="946" x14ac:dyDescent="0.3">
      <c r="B946" s="361"/>
      <c r="C946" s="279"/>
      <c r="D946" s="280"/>
      <c r="E946" s="287"/>
      <c r="F946" s="287"/>
      <c r="G946" s="287"/>
      <c r="H946" s="1292">
        <f t="shared" si="37"/>
        <v>47</v>
      </c>
      <c r="I946" s="1190" t="str">
        <f>'I. Stream &amp; Compound Data'!P308</f>
        <v/>
      </c>
      <c r="J946" s="1295" t="str">
        <f>IF(I188="","",IF('I. Stream &amp; Compound Data'!BS308="",0,'I. Stream &amp; Compound Data'!BS308))</f>
        <v/>
      </c>
      <c r="K946" s="1295" t="str">
        <f t="shared" si="40"/>
        <v/>
      </c>
      <c r="L946" s="1317" t="str">
        <f t="shared" si="41"/>
        <v/>
      </c>
      <c r="M946" s="287"/>
      <c r="N946" s="296"/>
      <c r="O946" s="280"/>
      <c r="P946" s="280"/>
      <c r="Q946" s="279"/>
      <c r="R946" s="297"/>
      <c r="S946" s="298"/>
      <c r="T946" s="298"/>
      <c r="U946" s="299"/>
      <c r="V946" s="279"/>
      <c r="W946" s="279"/>
      <c r="X946" s="279"/>
      <c r="Y946" s="279"/>
      <c r="Z946" s="279"/>
      <c r="AA946" s="279"/>
      <c r="AB946" s="279"/>
      <c r="AC946" s="279"/>
      <c r="AD946" s="279"/>
      <c r="AE946" s="279"/>
      <c r="AF946" s="279"/>
      <c r="AG946" s="279"/>
      <c r="AH946" s="279"/>
      <c r="AI946" s="279"/>
      <c r="AJ946" s="279"/>
      <c r="AK946" s="279"/>
      <c r="AL946" s="279"/>
      <c r="AM946" s="279"/>
      <c r="AN946" s="279"/>
      <c r="AO946" s="279"/>
      <c r="AP946" s="279"/>
      <c r="AQ946" s="279"/>
      <c r="AR946" s="279"/>
      <c r="AS946" s="279"/>
      <c r="AT946" s="279"/>
      <c r="AU946" s="279"/>
      <c r="AV946" s="279"/>
      <c r="AW946" s="279"/>
      <c r="AX946" s="279"/>
      <c r="AY946" s="279"/>
      <c r="AZ946" s="279"/>
      <c r="BA946" s="279"/>
      <c r="BB946" s="279"/>
      <c r="BC946" s="279"/>
      <c r="BD946" s="279"/>
      <c r="BE946" s="279"/>
      <c r="BF946" s="279"/>
      <c r="BG946" s="279"/>
      <c r="BH946" s="279"/>
      <c r="BI946" s="279"/>
      <c r="BJ946" s="279"/>
      <c r="BK946" s="279"/>
      <c r="BL946" s="279"/>
      <c r="BM946" s="279"/>
      <c r="BN946" s="279"/>
      <c r="BO946" s="279"/>
      <c r="BP946" s="279"/>
      <c r="BQ946" s="279"/>
      <c r="BR946" s="279"/>
      <c r="BS946" s="279"/>
      <c r="BT946" s="279"/>
      <c r="BU946" s="279"/>
      <c r="BV946" s="279"/>
      <c r="BW946" s="279"/>
      <c r="BX946" s="279"/>
      <c r="BY946" s="279"/>
      <c r="BZ946" s="279"/>
      <c r="CA946" s="279"/>
      <c r="CB946" s="279"/>
      <c r="CC946" s="279"/>
      <c r="CD946" s="279"/>
      <c r="CE946" s="279"/>
      <c r="CF946" s="279"/>
      <c r="CG946" s="279"/>
      <c r="CH946" s="279"/>
      <c r="CI946" s="279"/>
      <c r="CJ946" s="279"/>
      <c r="CK946" s="279"/>
      <c r="CL946" s="279"/>
      <c r="CM946" s="279"/>
      <c r="CN946" s="382"/>
    </row>
    <row r="947" x14ac:dyDescent="0.3">
      <c r="B947" s="361"/>
      <c r="C947" s="279"/>
      <c r="D947" s="280"/>
      <c r="E947" s="287"/>
      <c r="F947" s="287"/>
      <c r="G947" s="287"/>
      <c r="H947" s="1292">
        <f t="shared" si="37"/>
        <v>48</v>
      </c>
      <c r="I947" s="1190" t="str">
        <f>'I. Stream &amp; Compound Data'!P309</f>
        <v/>
      </c>
      <c r="J947" s="1295" t="str">
        <f>IF(I189="","",IF('I. Stream &amp; Compound Data'!BS309="",0,'I. Stream &amp; Compound Data'!BS309))</f>
        <v/>
      </c>
      <c r="K947" s="1295" t="str">
        <f t="shared" si="40"/>
        <v/>
      </c>
      <c r="L947" s="1317" t="str">
        <f t="shared" si="41"/>
        <v/>
      </c>
      <c r="M947" s="287"/>
      <c r="N947" s="296"/>
      <c r="O947" s="280"/>
      <c r="P947" s="280"/>
      <c r="Q947" s="279"/>
      <c r="R947" s="297"/>
      <c r="S947" s="298"/>
      <c r="T947" s="298"/>
      <c r="U947" s="299"/>
      <c r="V947" s="279"/>
      <c r="W947" s="279"/>
      <c r="X947" s="279"/>
      <c r="Y947" s="279"/>
      <c r="Z947" s="279"/>
      <c r="AA947" s="279"/>
      <c r="AB947" s="279"/>
      <c r="AC947" s="279"/>
      <c r="AD947" s="279"/>
      <c r="AE947" s="279"/>
      <c r="AF947" s="279"/>
      <c r="AG947" s="279"/>
      <c r="AH947" s="279"/>
      <c r="AI947" s="279"/>
      <c r="AJ947" s="279"/>
      <c r="AK947" s="279"/>
      <c r="AL947" s="279"/>
      <c r="AM947" s="279"/>
      <c r="AN947" s="279"/>
      <c r="AO947" s="279"/>
      <c r="AP947" s="279"/>
      <c r="AQ947" s="279"/>
      <c r="AR947" s="279"/>
      <c r="AS947" s="279"/>
      <c r="AT947" s="279"/>
      <c r="AU947" s="279"/>
      <c r="AV947" s="279"/>
      <c r="AW947" s="279"/>
      <c r="AX947" s="279"/>
      <c r="AY947" s="279"/>
      <c r="AZ947" s="279"/>
      <c r="BA947" s="279"/>
      <c r="BB947" s="279"/>
      <c r="BC947" s="279"/>
      <c r="BD947" s="279"/>
      <c r="BE947" s="279"/>
      <c r="BF947" s="279"/>
      <c r="BG947" s="279"/>
      <c r="BH947" s="279"/>
      <c r="BI947" s="279"/>
      <c r="BJ947" s="279"/>
      <c r="BK947" s="279"/>
      <c r="BL947" s="279"/>
      <c r="BM947" s="279"/>
      <c r="BN947" s="279"/>
      <c r="BO947" s="279"/>
      <c r="BP947" s="279"/>
      <c r="BQ947" s="279"/>
      <c r="BR947" s="279"/>
      <c r="BS947" s="279"/>
      <c r="BT947" s="279"/>
      <c r="BU947" s="279"/>
      <c r="BV947" s="279"/>
      <c r="BW947" s="279"/>
      <c r="BX947" s="279"/>
      <c r="BY947" s="279"/>
      <c r="BZ947" s="279"/>
      <c r="CA947" s="279"/>
      <c r="CB947" s="279"/>
      <c r="CC947" s="279"/>
      <c r="CD947" s="279"/>
      <c r="CE947" s="279"/>
      <c r="CF947" s="279"/>
      <c r="CG947" s="279"/>
      <c r="CH947" s="279"/>
      <c r="CI947" s="279"/>
      <c r="CJ947" s="279"/>
      <c r="CK947" s="279"/>
      <c r="CL947" s="279"/>
      <c r="CM947" s="279"/>
      <c r="CN947" s="382"/>
    </row>
    <row r="948" x14ac:dyDescent="0.3">
      <c r="B948" s="361"/>
      <c r="C948" s="279"/>
      <c r="D948" s="280"/>
      <c r="E948" s="287"/>
      <c r="F948" s="287"/>
      <c r="G948" s="287"/>
      <c r="H948" s="1292">
        <f t="shared" si="37"/>
        <v>49</v>
      </c>
      <c r="I948" s="1190" t="str">
        <f>'I. Stream &amp; Compound Data'!P310</f>
        <v/>
      </c>
      <c r="J948" s="1295" t="str">
        <f>IF(I190="","",IF('I. Stream &amp; Compound Data'!BS310="",0,'I. Stream &amp; Compound Data'!BS310))</f>
        <v/>
      </c>
      <c r="K948" s="1295" t="str">
        <f t="shared" si="40"/>
        <v/>
      </c>
      <c r="L948" s="1317" t="str">
        <f t="shared" si="41"/>
        <v/>
      </c>
      <c r="M948" s="287"/>
      <c r="N948" s="296"/>
      <c r="O948" s="280"/>
      <c r="P948" s="280"/>
      <c r="Q948" s="279"/>
      <c r="R948" s="297"/>
      <c r="S948" s="298"/>
      <c r="T948" s="298"/>
      <c r="U948" s="299"/>
      <c r="V948" s="279"/>
      <c r="W948" s="279"/>
      <c r="X948" s="279"/>
      <c r="Y948" s="279"/>
      <c r="Z948" s="279"/>
      <c r="AA948" s="279"/>
      <c r="AB948" s="279"/>
      <c r="AC948" s="279"/>
      <c r="AD948" s="279"/>
      <c r="AE948" s="279"/>
      <c r="AF948" s="279"/>
      <c r="AG948" s="279"/>
      <c r="AH948" s="279"/>
      <c r="AI948" s="279"/>
      <c r="AJ948" s="279"/>
      <c r="AK948" s="279"/>
      <c r="AL948" s="279"/>
      <c r="AM948" s="279"/>
      <c r="AN948" s="279"/>
      <c r="AO948" s="279"/>
      <c r="AP948" s="279"/>
      <c r="AQ948" s="279"/>
      <c r="AR948" s="279"/>
      <c r="AS948" s="279"/>
      <c r="AT948" s="279"/>
      <c r="AU948" s="279"/>
      <c r="AV948" s="279"/>
      <c r="AW948" s="279"/>
      <c r="AX948" s="279"/>
      <c r="AY948" s="279"/>
      <c r="AZ948" s="279"/>
      <c r="BA948" s="279"/>
      <c r="BB948" s="279"/>
      <c r="BC948" s="279"/>
      <c r="BD948" s="279"/>
      <c r="BE948" s="279"/>
      <c r="BF948" s="279"/>
      <c r="BG948" s="279"/>
      <c r="BH948" s="279"/>
      <c r="BI948" s="279"/>
      <c r="BJ948" s="279"/>
      <c r="BK948" s="279"/>
      <c r="BL948" s="279"/>
      <c r="BM948" s="279"/>
      <c r="BN948" s="279"/>
      <c r="BO948" s="279"/>
      <c r="BP948" s="279"/>
      <c r="BQ948" s="279"/>
      <c r="BR948" s="279"/>
      <c r="BS948" s="279"/>
      <c r="BT948" s="279"/>
      <c r="BU948" s="279"/>
      <c r="BV948" s="279"/>
      <c r="BW948" s="279"/>
      <c r="BX948" s="279"/>
      <c r="BY948" s="279"/>
      <c r="BZ948" s="279"/>
      <c r="CA948" s="279"/>
      <c r="CB948" s="279"/>
      <c r="CC948" s="279"/>
      <c r="CD948" s="279"/>
      <c r="CE948" s="279"/>
      <c r="CF948" s="279"/>
      <c r="CG948" s="279"/>
      <c r="CH948" s="279"/>
      <c r="CI948" s="279"/>
      <c r="CJ948" s="279"/>
      <c r="CK948" s="279"/>
      <c r="CL948" s="279"/>
      <c r="CM948" s="279"/>
      <c r="CN948" s="382"/>
    </row>
    <row r="949" ht="16.2" thickBot="true" x14ac:dyDescent="0.35">
      <c r="B949" s="361"/>
      <c r="C949" s="279"/>
      <c r="D949" s="280"/>
      <c r="E949" s="287"/>
      <c r="F949" s="287"/>
      <c r="G949" s="287"/>
      <c r="H949" s="1298">
        <f t="shared" si="37"/>
        <v>50</v>
      </c>
      <c r="I949" s="1259" t="str">
        <f>'I. Stream &amp; Compound Data'!P311</f>
        <v/>
      </c>
      <c r="J949" s="1301" t="str">
        <f>IF(I191="","",IF('I. Stream &amp; Compound Data'!BS311="",0,'I. Stream &amp; Compound Data'!BS311))</f>
        <v/>
      </c>
      <c r="K949" s="1301" t="str">
        <f t="shared" si="40"/>
        <v/>
      </c>
      <c r="L949" s="1318" t="str">
        <f t="shared" si="41"/>
        <v/>
      </c>
      <c r="M949" s="287"/>
      <c r="N949" s="296"/>
      <c r="O949" s="280"/>
      <c r="P949" s="280"/>
      <c r="Q949" s="279"/>
      <c r="R949" s="297"/>
      <c r="S949" s="298"/>
      <c r="T949" s="298"/>
      <c r="U949" s="299"/>
      <c r="V949" s="279"/>
      <c r="W949" s="279"/>
      <c r="X949" s="279"/>
      <c r="Y949" s="279"/>
      <c r="Z949" s="279"/>
      <c r="AA949" s="279"/>
      <c r="AB949" s="279"/>
      <c r="AC949" s="279"/>
      <c r="AD949" s="279"/>
      <c r="AE949" s="279"/>
      <c r="AF949" s="279"/>
      <c r="AG949" s="279"/>
      <c r="AH949" s="279"/>
      <c r="AI949" s="279"/>
      <c r="AJ949" s="279"/>
      <c r="AK949" s="279"/>
      <c r="AL949" s="279"/>
      <c r="AM949" s="279"/>
      <c r="AN949" s="279"/>
      <c r="AO949" s="279"/>
      <c r="AP949" s="279"/>
      <c r="AQ949" s="279"/>
      <c r="AR949" s="279"/>
      <c r="AS949" s="279"/>
      <c r="AT949" s="279"/>
      <c r="AU949" s="279"/>
      <c r="AV949" s="279"/>
      <c r="AW949" s="279"/>
      <c r="AX949" s="279"/>
      <c r="AY949" s="279"/>
      <c r="AZ949" s="279"/>
      <c r="BA949" s="279"/>
      <c r="BB949" s="279"/>
      <c r="BC949" s="279"/>
      <c r="BD949" s="279"/>
      <c r="BE949" s="279"/>
      <c r="BF949" s="279"/>
      <c r="BG949" s="279"/>
      <c r="BH949" s="279"/>
      <c r="BI949" s="279"/>
      <c r="BJ949" s="279"/>
      <c r="BK949" s="279"/>
      <c r="BL949" s="279"/>
      <c r="BM949" s="279"/>
      <c r="BN949" s="279"/>
      <c r="BO949" s="279"/>
      <c r="BP949" s="279"/>
      <c r="BQ949" s="279"/>
      <c r="BR949" s="279"/>
      <c r="BS949" s="279"/>
      <c r="BT949" s="279"/>
      <c r="BU949" s="279"/>
      <c r="BV949" s="279"/>
      <c r="BW949" s="279"/>
      <c r="BX949" s="279"/>
      <c r="BY949" s="279"/>
      <c r="BZ949" s="279"/>
      <c r="CA949" s="279"/>
      <c r="CB949" s="279"/>
      <c r="CC949" s="279"/>
      <c r="CD949" s="279"/>
      <c r="CE949" s="279"/>
      <c r="CF949" s="279"/>
      <c r="CG949" s="279"/>
      <c r="CH949" s="279"/>
      <c r="CI949" s="279"/>
      <c r="CJ949" s="279"/>
      <c r="CK949" s="279"/>
      <c r="CL949" s="279"/>
      <c r="CM949" s="279"/>
      <c r="CN949" s="382"/>
    </row>
    <row r="950" ht="16.2" thickBot="true" x14ac:dyDescent="0.35">
      <c r="B950" s="361"/>
      <c r="C950" s="279"/>
      <c r="D950" s="280"/>
      <c r="E950" s="287"/>
      <c r="F950" s="287"/>
      <c r="G950" s="287"/>
      <c r="H950" s="280"/>
      <c r="I950" s="304"/>
      <c r="J950" s="305" t="s">
        <v>88</v>
      </c>
      <c r="K950" s="1305">
        <f>SUM(K900:K949)</f>
        <v>2980.7504537999998</v>
      </c>
      <c r="L950" s="1305">
        <f>SUM(L900:L949)</f>
        <v>2980.7504537999998</v>
      </c>
      <c r="M950" s="287"/>
      <c r="N950" s="296"/>
      <c r="O950" s="280"/>
      <c r="P950" s="280"/>
      <c r="Q950" s="279"/>
      <c r="R950" s="297"/>
      <c r="S950" s="298"/>
      <c r="T950" s="298"/>
      <c r="U950" s="299"/>
      <c r="V950" s="279"/>
      <c r="W950" s="279"/>
      <c r="X950" s="279"/>
      <c r="Y950" s="279"/>
      <c r="Z950" s="279"/>
      <c r="AA950" s="279"/>
      <c r="AB950" s="279"/>
      <c r="AC950" s="279"/>
      <c r="AD950" s="279"/>
      <c r="AE950" s="279"/>
      <c r="AF950" s="279"/>
      <c r="AG950" s="279"/>
      <c r="AH950" s="279"/>
      <c r="AI950" s="279"/>
      <c r="AJ950" s="279"/>
      <c r="AK950" s="279"/>
      <c r="AL950" s="279"/>
      <c r="AM950" s="279"/>
      <c r="AN950" s="279"/>
      <c r="AO950" s="279"/>
      <c r="AP950" s="279"/>
      <c r="AQ950" s="279"/>
      <c r="AR950" s="279"/>
      <c r="AS950" s="279"/>
      <c r="AT950" s="279"/>
      <c r="AU950" s="279"/>
      <c r="AV950" s="279"/>
      <c r="AW950" s="279"/>
      <c r="AX950" s="279"/>
      <c r="AY950" s="279"/>
      <c r="AZ950" s="279"/>
      <c r="BA950" s="279"/>
      <c r="BB950" s="279"/>
      <c r="BC950" s="279"/>
      <c r="BD950" s="279"/>
      <c r="BE950" s="279"/>
      <c r="BF950" s="279"/>
      <c r="BG950" s="279"/>
      <c r="BH950" s="279"/>
      <c r="BI950" s="279"/>
      <c r="BJ950" s="279"/>
      <c r="BK950" s="279"/>
      <c r="BL950" s="279"/>
      <c r="BM950" s="279"/>
      <c r="BN950" s="279"/>
      <c r="BO950" s="279"/>
      <c r="BP950" s="279"/>
      <c r="BQ950" s="279"/>
      <c r="BR950" s="279"/>
      <c r="BS950" s="279"/>
      <c r="BT950" s="279"/>
      <c r="BU950" s="279"/>
      <c r="BV950" s="279"/>
      <c r="BW950" s="279"/>
      <c r="BX950" s="279"/>
      <c r="BY950" s="279"/>
      <c r="BZ950" s="279"/>
      <c r="CA950" s="279"/>
      <c r="CB950" s="279"/>
      <c r="CC950" s="279"/>
      <c r="CD950" s="279"/>
      <c r="CE950" s="279"/>
      <c r="CF950" s="279"/>
      <c r="CG950" s="279"/>
      <c r="CH950" s="279"/>
      <c r="CI950" s="279"/>
      <c r="CJ950" s="279"/>
      <c r="CK950" s="279"/>
      <c r="CL950" s="279"/>
      <c r="CM950" s="279"/>
      <c r="CN950" s="382"/>
    </row>
    <row r="951" x14ac:dyDescent="0.3">
      <c r="B951" s="361"/>
      <c r="C951" s="279"/>
      <c r="D951" s="280"/>
      <c r="E951" s="287"/>
      <c r="F951" s="287"/>
      <c r="G951" s="287"/>
      <c r="H951" s="280"/>
      <c r="I951" s="304"/>
      <c r="J951" s="305"/>
      <c r="K951" s="287"/>
      <c r="L951" s="287"/>
      <c r="M951" s="287"/>
      <c r="N951" s="296"/>
      <c r="O951" s="280"/>
      <c r="P951" s="280"/>
      <c r="Q951" s="279"/>
      <c r="R951" s="297"/>
      <c r="S951" s="298"/>
      <c r="T951" s="298"/>
      <c r="U951" s="299"/>
      <c r="V951" s="279"/>
      <c r="W951" s="279"/>
      <c r="X951" s="279"/>
      <c r="Y951" s="279"/>
      <c r="Z951" s="279"/>
      <c r="AA951" s="279"/>
      <c r="AB951" s="279"/>
      <c r="AC951" s="279"/>
      <c r="AD951" s="279"/>
      <c r="AE951" s="279"/>
      <c r="AF951" s="279"/>
      <c r="AG951" s="279"/>
      <c r="AH951" s="279"/>
      <c r="AI951" s="279"/>
      <c r="AJ951" s="279"/>
      <c r="AK951" s="279"/>
      <c r="AL951" s="279"/>
      <c r="AM951" s="279"/>
      <c r="AN951" s="279"/>
      <c r="AO951" s="279"/>
      <c r="AP951" s="279"/>
      <c r="AQ951" s="279"/>
      <c r="AR951" s="279"/>
      <c r="AS951" s="279"/>
      <c r="AT951" s="279"/>
      <c r="AU951" s="279"/>
      <c r="AV951" s="279"/>
      <c r="AW951" s="279"/>
      <c r="AX951" s="279"/>
      <c r="AY951" s="279"/>
      <c r="AZ951" s="279"/>
      <c r="BA951" s="279"/>
      <c r="BB951" s="279"/>
      <c r="BC951" s="279"/>
      <c r="BD951" s="279"/>
      <c r="BE951" s="279"/>
      <c r="BF951" s="279"/>
      <c r="BG951" s="279"/>
      <c r="BH951" s="279"/>
      <c r="BI951" s="279"/>
      <c r="BJ951" s="279"/>
      <c r="BK951" s="279"/>
      <c r="BL951" s="279"/>
      <c r="BM951" s="279"/>
      <c r="BN951" s="279"/>
      <c r="BO951" s="279"/>
      <c r="BP951" s="279"/>
      <c r="BQ951" s="279"/>
      <c r="BR951" s="279"/>
      <c r="BS951" s="279"/>
      <c r="BT951" s="279"/>
      <c r="BU951" s="279"/>
      <c r="BV951" s="279"/>
      <c r="BW951" s="279"/>
      <c r="BX951" s="279"/>
      <c r="BY951" s="279"/>
      <c r="BZ951" s="279"/>
      <c r="CA951" s="279"/>
      <c r="CB951" s="279"/>
      <c r="CC951" s="279"/>
      <c r="CD951" s="279"/>
      <c r="CE951" s="279"/>
      <c r="CF951" s="279"/>
      <c r="CG951" s="279"/>
      <c r="CH951" s="279"/>
      <c r="CI951" s="279"/>
      <c r="CJ951" s="279"/>
      <c r="CK951" s="279"/>
      <c r="CL951" s="279"/>
      <c r="CM951" s="279"/>
      <c r="CN951" s="382"/>
    </row>
    <row r="952" x14ac:dyDescent="0.3">
      <c r="B952" s="361"/>
      <c r="C952" s="279"/>
      <c r="D952" s="280"/>
      <c r="E952" s="287"/>
      <c r="F952" s="287"/>
      <c r="G952" s="287"/>
      <c r="H952" s="280"/>
      <c r="I952" s="304"/>
      <c r="J952" s="305"/>
      <c r="K952" s="287"/>
      <c r="L952" s="287"/>
      <c r="M952" s="287"/>
      <c r="N952" s="296"/>
      <c r="O952" s="280"/>
      <c r="P952" s="280"/>
      <c r="Q952" s="279"/>
      <c r="R952" s="297"/>
      <c r="S952" s="298"/>
      <c r="T952" s="298"/>
      <c r="U952" s="299"/>
      <c r="V952" s="279"/>
      <c r="W952" s="279"/>
      <c r="X952" s="279"/>
      <c r="Y952" s="279"/>
      <c r="Z952" s="279"/>
      <c r="AA952" s="279"/>
      <c r="AB952" s="279"/>
      <c r="AC952" s="279"/>
      <c r="AD952" s="279"/>
      <c r="AE952" s="279"/>
      <c r="AF952" s="279"/>
      <c r="AG952" s="279"/>
      <c r="AH952" s="279"/>
      <c r="AI952" s="279"/>
      <c r="AJ952" s="279"/>
      <c r="AK952" s="279"/>
      <c r="AL952" s="279"/>
      <c r="AM952" s="279"/>
      <c r="AN952" s="279"/>
      <c r="AO952" s="279"/>
      <c r="AP952" s="279"/>
      <c r="AQ952" s="279"/>
      <c r="AR952" s="279"/>
      <c r="AS952" s="279"/>
      <c r="AT952" s="279"/>
      <c r="AU952" s="279"/>
      <c r="AV952" s="279"/>
      <c r="AW952" s="279"/>
      <c r="AX952" s="279"/>
      <c r="AY952" s="279"/>
      <c r="AZ952" s="279"/>
      <c r="BA952" s="279"/>
      <c r="BB952" s="279"/>
      <c r="BC952" s="279"/>
      <c r="BD952" s="279"/>
      <c r="BE952" s="279"/>
      <c r="BF952" s="279"/>
      <c r="BG952" s="279"/>
      <c r="BH952" s="279"/>
      <c r="BI952" s="279"/>
      <c r="BJ952" s="279"/>
      <c r="BK952" s="279"/>
      <c r="BL952" s="279"/>
      <c r="BM952" s="279"/>
      <c r="BN952" s="279"/>
      <c r="BO952" s="279"/>
      <c r="BP952" s="279"/>
      <c r="BQ952" s="279"/>
      <c r="BR952" s="279"/>
      <c r="BS952" s="279"/>
      <c r="BT952" s="279"/>
      <c r="BU952" s="279"/>
      <c r="BV952" s="279"/>
      <c r="BW952" s="279"/>
      <c r="BX952" s="279"/>
      <c r="BY952" s="279"/>
      <c r="BZ952" s="279"/>
      <c r="CA952" s="279"/>
      <c r="CB952" s="279"/>
      <c r="CC952" s="279"/>
      <c r="CD952" s="279"/>
      <c r="CE952" s="279"/>
      <c r="CF952" s="279"/>
      <c r="CG952" s="279"/>
      <c r="CH952" s="279"/>
      <c r="CI952" s="279"/>
      <c r="CJ952" s="279"/>
      <c r="CK952" s="279"/>
      <c r="CL952" s="279"/>
      <c r="CM952" s="279"/>
      <c r="CN952" s="382"/>
    </row>
    <row r="953" x14ac:dyDescent="0.3">
      <c r="B953" s="361"/>
      <c r="C953" s="279"/>
      <c r="D953" s="280"/>
      <c r="E953" s="287"/>
      <c r="F953" s="287"/>
      <c r="G953" s="287"/>
      <c r="H953" s="280"/>
      <c r="I953" s="304"/>
      <c r="J953" s="279"/>
      <c r="K953" s="280"/>
      <c r="L953" s="362"/>
      <c r="M953" s="287"/>
      <c r="N953" s="296"/>
      <c r="O953" s="280"/>
      <c r="P953" s="280"/>
      <c r="Q953" s="279"/>
      <c r="R953" s="297"/>
      <c r="S953" s="298"/>
      <c r="T953" s="299"/>
      <c r="U953" s="279"/>
      <c r="V953" s="279"/>
      <c r="W953" s="279"/>
      <c r="X953" s="279"/>
      <c r="Y953" s="279"/>
      <c r="Z953" s="279"/>
      <c r="AA953" s="279"/>
      <c r="AB953" s="279"/>
      <c r="AC953" s="279"/>
      <c r="AD953" s="279"/>
      <c r="AE953" s="279"/>
      <c r="AF953" s="279"/>
      <c r="AG953" s="279"/>
      <c r="AH953" s="279"/>
      <c r="AI953" s="279"/>
      <c r="AJ953" s="279"/>
      <c r="AK953" s="279"/>
      <c r="AL953" s="279"/>
      <c r="AM953" s="279"/>
      <c r="AN953" s="279"/>
      <c r="AO953" s="279"/>
      <c r="AP953" s="279"/>
      <c r="AQ953" s="279"/>
      <c r="AR953" s="279"/>
      <c r="AS953" s="279"/>
      <c r="AT953" s="279"/>
      <c r="AU953" s="279"/>
      <c r="AV953" s="279"/>
      <c r="AW953" s="279"/>
      <c r="AX953" s="279"/>
      <c r="AY953" s="279"/>
      <c r="AZ953" s="279"/>
      <c r="BA953" s="279"/>
      <c r="BB953" s="279"/>
      <c r="BC953" s="279"/>
      <c r="BD953" s="279"/>
      <c r="BE953" s="279"/>
      <c r="BF953" s="279"/>
      <c r="BG953" s="279"/>
      <c r="BH953" s="279"/>
      <c r="BI953" s="279"/>
      <c r="BJ953" s="279"/>
      <c r="BK953" s="279"/>
      <c r="BL953" s="279"/>
      <c r="BM953" s="279"/>
      <c r="BN953" s="279"/>
      <c r="BO953" s="279"/>
      <c r="BP953" s="279"/>
      <c r="BQ953" s="279"/>
      <c r="BR953" s="279"/>
      <c r="BS953" s="279"/>
      <c r="BT953" s="279"/>
      <c r="BU953" s="279"/>
      <c r="BV953" s="279"/>
      <c r="BW953" s="279"/>
      <c r="BX953" s="279"/>
      <c r="BY953" s="279"/>
      <c r="BZ953" s="279"/>
      <c r="CA953" s="279"/>
      <c r="CB953" s="279"/>
      <c r="CC953" s="279"/>
      <c r="CD953" s="279"/>
      <c r="CE953" s="279"/>
      <c r="CF953" s="279"/>
      <c r="CG953" s="279"/>
      <c r="CH953" s="279"/>
      <c r="CI953" s="279"/>
      <c r="CJ953" s="279"/>
      <c r="CK953" s="279"/>
      <c r="CL953" s="279"/>
      <c r="CM953" s="279"/>
      <c r="CN953" s="382"/>
    </row>
    <row r="954" x14ac:dyDescent="0.3">
      <c r="B954" s="361"/>
      <c r="C954" s="279"/>
      <c r="D954" s="280"/>
      <c r="E954" s="287"/>
      <c r="F954" s="287"/>
      <c r="G954" s="287"/>
      <c r="H954" s="280"/>
      <c r="I954" s="304"/>
      <c r="J954" s="279"/>
      <c r="K954" s="280"/>
      <c r="L954" s="362"/>
      <c r="M954" s="287"/>
      <c r="N954" s="296"/>
      <c r="O954" s="280"/>
      <c r="P954" s="280"/>
      <c r="Q954" s="279"/>
      <c r="R954" s="297"/>
      <c r="S954" s="298"/>
      <c r="T954" s="299"/>
      <c r="U954" s="279"/>
      <c r="V954" s="279"/>
      <c r="W954" s="279"/>
      <c r="X954" s="279"/>
      <c r="Y954" s="279"/>
      <c r="Z954" s="279"/>
      <c r="AA954" s="279"/>
      <c r="AB954" s="279"/>
      <c r="AC954" s="279"/>
      <c r="AD954" s="279"/>
      <c r="AE954" s="279"/>
      <c r="AF954" s="279"/>
      <c r="AG954" s="279"/>
      <c r="AH954" s="279"/>
      <c r="AI954" s="279"/>
      <c r="AJ954" s="279"/>
      <c r="AK954" s="279"/>
      <c r="AL954" s="279"/>
      <c r="AM954" s="279"/>
      <c r="AN954" s="279"/>
      <c r="AO954" s="279"/>
      <c r="AP954" s="279"/>
      <c r="AQ954" s="279"/>
      <c r="AR954" s="279"/>
      <c r="AS954" s="279"/>
      <c r="AT954" s="279"/>
      <c r="AU954" s="279"/>
      <c r="AV954" s="279"/>
      <c r="AW954" s="279"/>
      <c r="AX954" s="279"/>
      <c r="AY954" s="279"/>
      <c r="AZ954" s="279"/>
      <c r="BA954" s="279"/>
      <c r="BB954" s="279"/>
      <c r="BC954" s="279"/>
      <c r="BD954" s="279"/>
      <c r="BE954" s="279"/>
      <c r="BF954" s="279"/>
      <c r="BG954" s="279"/>
      <c r="BH954" s="279"/>
      <c r="BI954" s="279"/>
      <c r="BJ954" s="279"/>
      <c r="BK954" s="279"/>
      <c r="BL954" s="279"/>
      <c r="BM954" s="279"/>
      <c r="BN954" s="279"/>
      <c r="BO954" s="279"/>
      <c r="BP954" s="279"/>
      <c r="BQ954" s="279"/>
      <c r="BR954" s="279"/>
      <c r="BS954" s="279"/>
      <c r="BT954" s="279"/>
      <c r="BU954" s="279"/>
      <c r="BV954" s="279"/>
      <c r="BW954" s="279"/>
      <c r="BX954" s="279"/>
      <c r="BY954" s="279"/>
      <c r="BZ954" s="279"/>
      <c r="CA954" s="279"/>
      <c r="CB954" s="279"/>
      <c r="CC954" s="279"/>
      <c r="CD954" s="279"/>
      <c r="CE954" s="279"/>
      <c r="CF954" s="279"/>
      <c r="CG954" s="279"/>
      <c r="CH954" s="279"/>
      <c r="CI954" s="279"/>
      <c r="CJ954" s="279"/>
      <c r="CK954" s="279"/>
      <c r="CL954" s="279"/>
      <c r="CM954" s="279"/>
      <c r="CN954" s="382"/>
    </row>
    <row r="955" ht="16.2" thickBot="true" x14ac:dyDescent="0.35">
      <c r="B955" s="361"/>
      <c r="C955" s="279"/>
      <c r="D955" s="280"/>
      <c r="E955" s="287"/>
      <c r="F955" s="287"/>
      <c r="G955" s="287"/>
      <c r="H955" s="280"/>
      <c r="I955" s="304"/>
      <c r="J955" s="279"/>
      <c r="K955" s="280"/>
      <c r="L955" s="362"/>
      <c r="M955" s="287"/>
      <c r="N955" s="296"/>
      <c r="O955" s="280"/>
      <c r="P955" s="279"/>
      <c r="Q955" s="297"/>
      <c r="R955" s="298"/>
      <c r="S955" s="298"/>
      <c r="T955" s="299"/>
      <c r="U955" s="279"/>
      <c r="V955" s="279"/>
      <c r="W955" s="279"/>
      <c r="X955" s="279"/>
      <c r="Y955" s="279"/>
      <c r="Z955" s="279"/>
      <c r="AA955" s="279"/>
      <c r="AB955" s="279"/>
      <c r="AC955" s="279"/>
      <c r="AD955" s="279"/>
      <c r="AE955" s="279"/>
      <c r="AF955" s="279"/>
      <c r="AG955" s="279"/>
      <c r="AH955" s="279"/>
      <c r="AI955" s="279"/>
      <c r="AJ955" s="279"/>
      <c r="AK955" s="279"/>
      <c r="AL955" s="279"/>
      <c r="AM955" s="279"/>
      <c r="AN955" s="279"/>
      <c r="AO955" s="279"/>
      <c r="AP955" s="279"/>
      <c r="AQ955" s="279"/>
      <c r="AR955" s="279"/>
      <c r="AS955" s="279"/>
      <c r="AT955" s="279"/>
      <c r="AU955" s="279"/>
      <c r="AV955" s="279"/>
      <c r="AW955" s="279"/>
      <c r="AX955" s="279"/>
      <c r="AY955" s="279"/>
      <c r="AZ955" s="279"/>
      <c r="BA955" s="279"/>
      <c r="BB955" s="279"/>
      <c r="BC955" s="279"/>
      <c r="BD955" s="279"/>
      <c r="BE955" s="279"/>
      <c r="BF955" s="279"/>
      <c r="BG955" s="279"/>
      <c r="BH955" s="279"/>
      <c r="BI955" s="279"/>
      <c r="BJ955" s="279"/>
      <c r="BK955" s="279"/>
      <c r="BL955" s="279"/>
      <c r="BM955" s="279"/>
      <c r="BN955" s="279"/>
      <c r="BO955" s="279"/>
      <c r="BP955" s="279"/>
      <c r="BQ955" s="279"/>
      <c r="BR955" s="279"/>
      <c r="BS955" s="279"/>
      <c r="BT955" s="279"/>
      <c r="BU955" s="279"/>
      <c r="BV955" s="279"/>
      <c r="BW955" s="279"/>
      <c r="BX955" s="279"/>
      <c r="BY955" s="279"/>
      <c r="BZ955" s="279"/>
      <c r="CA955" s="279"/>
      <c r="CB955" s="279"/>
      <c r="CC955" s="279"/>
      <c r="CD955" s="279"/>
      <c r="CE955" s="279"/>
      <c r="CF955" s="279"/>
      <c r="CG955" s="279"/>
      <c r="CH955" s="279"/>
      <c r="CI955" s="279"/>
      <c r="CJ955" s="279"/>
      <c r="CK955" s="279"/>
      <c r="CL955" s="279"/>
      <c r="CM955" s="279"/>
      <c r="CN955" s="382"/>
    </row>
    <row r="956" ht="27" customHeight="true" thickBot="true" x14ac:dyDescent="0.35">
      <c r="B956" s="361"/>
      <c r="C956" s="279"/>
      <c r="D956" s="280"/>
      <c r="E956" s="287"/>
      <c r="F956" s="287"/>
      <c r="G956" s="287"/>
      <c r="H956" s="1950" t="s">
        <v>415</v>
      </c>
      <c r="I956" s="1951"/>
      <c r="J956" s="1951"/>
      <c r="K956" s="1951"/>
      <c r="L956" s="1952"/>
      <c r="M956" s="287"/>
      <c r="N956" s="296"/>
      <c r="O956" s="280"/>
      <c r="P956" s="279"/>
      <c r="Q956" s="297"/>
      <c r="R956" s="298"/>
      <c r="S956" s="298"/>
      <c r="T956" s="299"/>
      <c r="U956" s="279"/>
      <c r="V956" s="279"/>
      <c r="W956" s="279"/>
      <c r="X956" s="279"/>
      <c r="Y956" s="279"/>
      <c r="Z956" s="279"/>
      <c r="AA956" s="279"/>
      <c r="AB956" s="279"/>
      <c r="AC956" s="279"/>
      <c r="AD956" s="279"/>
      <c r="AE956" s="279"/>
      <c r="AF956" s="279"/>
      <c r="AG956" s="279"/>
      <c r="AH956" s="279"/>
      <c r="AI956" s="279"/>
      <c r="AJ956" s="279"/>
      <c r="AK956" s="279"/>
      <c r="AL956" s="279"/>
      <c r="AM956" s="279"/>
      <c r="AN956" s="279"/>
      <c r="AO956" s="279"/>
      <c r="AP956" s="279"/>
      <c r="AQ956" s="279"/>
      <c r="AR956" s="279"/>
      <c r="AS956" s="279"/>
      <c r="AT956" s="279"/>
      <c r="AU956" s="279"/>
      <c r="AV956" s="279"/>
      <c r="AW956" s="279"/>
      <c r="AX956" s="279"/>
      <c r="AY956" s="279"/>
      <c r="AZ956" s="279"/>
      <c r="BA956" s="279"/>
      <c r="BB956" s="279"/>
      <c r="BC956" s="279"/>
      <c r="BD956" s="279"/>
      <c r="BE956" s="279"/>
      <c r="BF956" s="279"/>
      <c r="BG956" s="279"/>
      <c r="BH956" s="279"/>
      <c r="BI956" s="279"/>
      <c r="BJ956" s="279"/>
      <c r="BK956" s="279"/>
      <c r="BL956" s="279"/>
      <c r="BM956" s="279"/>
      <c r="BN956" s="279"/>
      <c r="BO956" s="279"/>
      <c r="BP956" s="279"/>
      <c r="BQ956" s="279"/>
      <c r="BR956" s="279"/>
      <c r="BS956" s="279"/>
      <c r="BT956" s="279"/>
      <c r="BU956" s="279"/>
      <c r="BV956" s="279"/>
      <c r="BW956" s="279"/>
      <c r="BX956" s="279"/>
      <c r="BY956" s="279"/>
      <c r="BZ956" s="279"/>
      <c r="CA956" s="279"/>
      <c r="CB956" s="279"/>
      <c r="CC956" s="279"/>
      <c r="CD956" s="279"/>
      <c r="CE956" s="279"/>
      <c r="CF956" s="279"/>
      <c r="CG956" s="279"/>
      <c r="CH956" s="279"/>
      <c r="CI956" s="279"/>
      <c r="CJ956" s="279"/>
      <c r="CK956" s="279"/>
      <c r="CL956" s="279"/>
      <c r="CM956" s="279"/>
      <c r="CN956" s="382"/>
    </row>
    <row r="957" x14ac:dyDescent="0.3">
      <c r="B957" s="361"/>
      <c r="C957" s="279"/>
      <c r="D957" s="280"/>
      <c r="E957" s="287"/>
      <c r="F957" s="287"/>
      <c r="G957" s="287"/>
      <c r="H957" s="282" t="s">
        <v>1469</v>
      </c>
      <c r="I957" s="1166" t="s">
        <v>289</v>
      </c>
      <c r="J957" s="1166" t="s">
        <v>416</v>
      </c>
      <c r="K957" s="1186" t="s">
        <v>418</v>
      </c>
      <c r="L957" s="291" t="s">
        <v>419</v>
      </c>
      <c r="M957" s="287"/>
      <c r="N957" s="296"/>
      <c r="O957" s="280"/>
      <c r="P957" s="279"/>
      <c r="Q957" s="297"/>
      <c r="R957" s="298"/>
      <c r="S957" s="298"/>
      <c r="T957" s="299"/>
      <c r="U957" s="279"/>
      <c r="V957" s="279"/>
      <c r="W957" s="279"/>
      <c r="X957" s="279"/>
      <c r="Y957" s="279"/>
      <c r="Z957" s="279"/>
      <c r="AA957" s="279"/>
      <c r="AB957" s="279"/>
      <c r="AC957" s="279"/>
      <c r="AD957" s="279"/>
      <c r="AE957" s="279"/>
      <c r="AF957" s="279"/>
      <c r="AG957" s="279"/>
      <c r="AH957" s="279"/>
      <c r="AI957" s="279"/>
      <c r="AJ957" s="279"/>
      <c r="AK957" s="279"/>
      <c r="AL957" s="279"/>
      <c r="AM957" s="279"/>
      <c r="AN957" s="279"/>
      <c r="AO957" s="279"/>
      <c r="AP957" s="279"/>
      <c r="AQ957" s="279"/>
      <c r="AR957" s="279"/>
      <c r="AS957" s="279"/>
      <c r="AT957" s="279"/>
      <c r="AU957" s="279"/>
      <c r="AV957" s="279"/>
      <c r="AW957" s="279"/>
      <c r="AX957" s="279"/>
      <c r="AY957" s="279"/>
      <c r="AZ957" s="279"/>
      <c r="BA957" s="279"/>
      <c r="BB957" s="279"/>
      <c r="BC957" s="279"/>
      <c r="BD957" s="279"/>
      <c r="BE957" s="279"/>
      <c r="BF957" s="279"/>
      <c r="BG957" s="279"/>
      <c r="BH957" s="279"/>
      <c r="BI957" s="279"/>
      <c r="BJ957" s="279"/>
      <c r="BK957" s="279"/>
      <c r="BL957" s="279"/>
      <c r="BM957" s="279"/>
      <c r="BN957" s="279"/>
      <c r="BO957" s="279"/>
      <c r="BP957" s="279"/>
      <c r="BQ957" s="279"/>
      <c r="BR957" s="279"/>
      <c r="BS957" s="279"/>
      <c r="BT957" s="279"/>
      <c r="BU957" s="279"/>
      <c r="BV957" s="279"/>
      <c r="BW957" s="279"/>
      <c r="BX957" s="279"/>
      <c r="BY957" s="279"/>
      <c r="BZ957" s="279"/>
      <c r="CA957" s="279"/>
      <c r="CB957" s="279"/>
      <c r="CC957" s="279"/>
      <c r="CD957" s="279"/>
      <c r="CE957" s="279"/>
      <c r="CF957" s="279"/>
      <c r="CG957" s="279"/>
      <c r="CH957" s="279"/>
      <c r="CI957" s="279"/>
      <c r="CJ957" s="279"/>
      <c r="CK957" s="279"/>
      <c r="CL957" s="279"/>
      <c r="CM957" s="279"/>
      <c r="CN957" s="382"/>
    </row>
    <row r="958" x14ac:dyDescent="0.3">
      <c r="B958" s="361"/>
      <c r="C958" s="279"/>
      <c r="D958" s="280"/>
      <c r="E958" s="287"/>
      <c r="F958" s="287"/>
      <c r="G958" s="287"/>
      <c r="H958" s="1292">
        <f t="shared" ref="H958:H1007" si="42">H142</f>
        <v>1</v>
      </c>
      <c r="I958" s="1190">
        <f>'I. Stream &amp; Compound Data'!P262</f>
        <v>2980.7504537999998</v>
      </c>
      <c r="J958" s="1295">
        <f>IF(I142="","",IF('I. Stream &amp; Compound Data'!CS262="",0,'I. Stream &amp; Compound Data'!CS262))</f>
        <v>0</v>
      </c>
      <c r="K958" s="1312">
        <f t="shared" ref="K958:K976" si="43">IF(I142="","",I958*J958)</f>
        <v>0</v>
      </c>
      <c r="L958" s="301">
        <f>IF(K958="","",(IF(J958=0,1,J958))*I958)</f>
        <v>2980.7504537999998</v>
      </c>
      <c r="M958" s="287"/>
      <c r="N958" s="296"/>
      <c r="O958" s="280"/>
      <c r="P958" s="279"/>
      <c r="Q958" s="297"/>
      <c r="R958" s="298"/>
      <c r="S958" s="298"/>
      <c r="T958" s="299"/>
      <c r="U958" s="279"/>
      <c r="V958" s="279"/>
      <c r="W958" s="279"/>
      <c r="X958" s="279"/>
      <c r="Y958" s="279"/>
      <c r="Z958" s="279"/>
      <c r="AA958" s="279"/>
      <c r="AB958" s="279"/>
      <c r="AC958" s="279"/>
      <c r="AD958" s="279"/>
      <c r="AE958" s="279"/>
      <c r="AF958" s="279"/>
      <c r="AG958" s="279"/>
      <c r="AH958" s="279"/>
      <c r="AI958" s="279"/>
      <c r="AJ958" s="279"/>
      <c r="AK958" s="279"/>
      <c r="AL958" s="279"/>
      <c r="AM958" s="279"/>
      <c r="AN958" s="279"/>
      <c r="AO958" s="279"/>
      <c r="AP958" s="279"/>
      <c r="AQ958" s="279"/>
      <c r="AR958" s="279"/>
      <c r="AS958" s="279"/>
      <c r="AT958" s="279"/>
      <c r="AU958" s="279"/>
      <c r="AV958" s="279"/>
      <c r="AW958" s="279"/>
      <c r="AX958" s="279"/>
      <c r="AY958" s="279"/>
      <c r="AZ958" s="279"/>
      <c r="BA958" s="279"/>
      <c r="BB958" s="279"/>
      <c r="BC958" s="279"/>
      <c r="BD958" s="279"/>
      <c r="BE958" s="279"/>
      <c r="BF958" s="279"/>
      <c r="BG958" s="279"/>
      <c r="BH958" s="279"/>
      <c r="BI958" s="279"/>
      <c r="BJ958" s="279"/>
      <c r="BK958" s="279"/>
      <c r="BL958" s="279"/>
      <c r="BM958" s="279"/>
      <c r="BN958" s="279"/>
      <c r="BO958" s="279"/>
      <c r="BP958" s="279"/>
      <c r="BQ958" s="279"/>
      <c r="BR958" s="279"/>
      <c r="BS958" s="279"/>
      <c r="BT958" s="279"/>
      <c r="BU958" s="279"/>
      <c r="BV958" s="279"/>
      <c r="BW958" s="279"/>
      <c r="BX958" s="279"/>
      <c r="BY958" s="279"/>
      <c r="BZ958" s="279"/>
      <c r="CA958" s="279"/>
      <c r="CB958" s="279"/>
      <c r="CC958" s="279"/>
      <c r="CD958" s="279"/>
      <c r="CE958" s="279"/>
      <c r="CF958" s="279"/>
      <c r="CG958" s="279"/>
      <c r="CH958" s="279"/>
      <c r="CI958" s="279"/>
      <c r="CJ958" s="279"/>
      <c r="CK958" s="279"/>
      <c r="CL958" s="279"/>
      <c r="CM958" s="279"/>
      <c r="CN958" s="382"/>
    </row>
    <row r="959" x14ac:dyDescent="0.3">
      <c r="B959" s="361"/>
      <c r="C959" s="279"/>
      <c r="D959" s="280"/>
      <c r="E959" s="287"/>
      <c r="F959" s="287"/>
      <c r="G959" s="287"/>
      <c r="H959" s="1292">
        <f t="shared" si="42"/>
        <v>2</v>
      </c>
      <c r="I959" s="1190">
        <f>'I. Stream &amp; Compound Data'!P263</f>
        <v>0</v>
      </c>
      <c r="J959" s="1295">
        <f>IF(I143="","",IF('I. Stream &amp; Compound Data'!CS263="",0,'I. Stream &amp; Compound Data'!CS263))</f>
        <v>0</v>
      </c>
      <c r="K959" s="1312">
        <f t="shared" si="43"/>
        <v>0</v>
      </c>
      <c r="L959" s="301">
        <f t="shared" ref="L959:L976" si="44">IF(K959="","",(IF(J959=0,1,J959))*I959)</f>
        <v>0</v>
      </c>
      <c r="M959" s="287"/>
      <c r="N959" s="296"/>
      <c r="O959" s="280"/>
      <c r="P959" s="279"/>
      <c r="Q959" s="297"/>
      <c r="R959" s="298"/>
      <c r="S959" s="298"/>
      <c r="T959" s="299"/>
      <c r="U959" s="279"/>
      <c r="V959" s="279"/>
      <c r="W959" s="279"/>
      <c r="X959" s="279"/>
      <c r="Y959" s="279"/>
      <c r="Z959" s="279"/>
      <c r="AA959" s="279"/>
      <c r="AB959" s="279"/>
      <c r="AC959" s="279"/>
      <c r="AD959" s="279"/>
      <c r="AE959" s="279"/>
      <c r="AF959" s="279"/>
      <c r="AG959" s="279"/>
      <c r="AH959" s="279"/>
      <c r="AI959" s="279"/>
      <c r="AJ959" s="279"/>
      <c r="AK959" s="279"/>
      <c r="AL959" s="279"/>
      <c r="AM959" s="279"/>
      <c r="AN959" s="279"/>
      <c r="AO959" s="279"/>
      <c r="AP959" s="279"/>
      <c r="AQ959" s="279"/>
      <c r="AR959" s="279"/>
      <c r="AS959" s="279"/>
      <c r="AT959" s="279"/>
      <c r="AU959" s="279"/>
      <c r="AV959" s="279"/>
      <c r="AW959" s="279"/>
      <c r="AX959" s="279"/>
      <c r="AY959" s="279"/>
      <c r="AZ959" s="279"/>
      <c r="BA959" s="279"/>
      <c r="BB959" s="279"/>
      <c r="BC959" s="279"/>
      <c r="BD959" s="279"/>
      <c r="BE959" s="279"/>
      <c r="BF959" s="279"/>
      <c r="BG959" s="279"/>
      <c r="BH959" s="279"/>
      <c r="BI959" s="279"/>
      <c r="BJ959" s="279"/>
      <c r="BK959" s="279"/>
      <c r="BL959" s="279"/>
      <c r="BM959" s="279"/>
      <c r="BN959" s="279"/>
      <c r="BO959" s="279"/>
      <c r="BP959" s="279"/>
      <c r="BQ959" s="279"/>
      <c r="BR959" s="279"/>
      <c r="BS959" s="279"/>
      <c r="BT959" s="279"/>
      <c r="BU959" s="279"/>
      <c r="BV959" s="279"/>
      <c r="BW959" s="279"/>
      <c r="BX959" s="279"/>
      <c r="BY959" s="279"/>
      <c r="BZ959" s="279"/>
      <c r="CA959" s="279"/>
      <c r="CB959" s="279"/>
      <c r="CC959" s="279"/>
      <c r="CD959" s="279"/>
      <c r="CE959" s="279"/>
      <c r="CF959" s="279"/>
      <c r="CG959" s="279"/>
      <c r="CH959" s="279"/>
      <c r="CI959" s="279"/>
      <c r="CJ959" s="279"/>
      <c r="CK959" s="279"/>
      <c r="CL959" s="279"/>
      <c r="CM959" s="279"/>
      <c r="CN959" s="382"/>
    </row>
    <row r="960" x14ac:dyDescent="0.3">
      <c r="B960" s="361"/>
      <c r="C960" s="279"/>
      <c r="D960" s="280"/>
      <c r="E960" s="287"/>
      <c r="F960" s="287"/>
      <c r="G960" s="287"/>
      <c r="H960" s="1292">
        <f t="shared" si="42"/>
        <v>3</v>
      </c>
      <c r="I960" s="1190">
        <f>'I. Stream &amp; Compound Data'!P264</f>
        <v>0</v>
      </c>
      <c r="J960" s="1295">
        <f>IF(I144="","",IF('I. Stream &amp; Compound Data'!CS264="",0,'I. Stream &amp; Compound Data'!CS264))</f>
        <v>0</v>
      </c>
      <c r="K960" s="1312">
        <f t="shared" si="43"/>
        <v>0</v>
      </c>
      <c r="L960" s="301">
        <f t="shared" si="44"/>
        <v>0</v>
      </c>
      <c r="M960" s="287"/>
      <c r="N960" s="296"/>
      <c r="O960" s="280"/>
      <c r="P960" s="279"/>
      <c r="Q960" s="297"/>
      <c r="R960" s="298"/>
      <c r="S960" s="298"/>
      <c r="T960" s="299"/>
      <c r="U960" s="279"/>
      <c r="V960" s="279"/>
      <c r="W960" s="279"/>
      <c r="X960" s="279"/>
      <c r="Y960" s="279"/>
      <c r="Z960" s="279"/>
      <c r="AA960" s="279"/>
      <c r="AB960" s="279"/>
      <c r="AC960" s="279"/>
      <c r="AD960" s="279"/>
      <c r="AE960" s="279"/>
      <c r="AF960" s="279"/>
      <c r="AG960" s="279"/>
      <c r="AH960" s="279"/>
      <c r="AI960" s="279"/>
      <c r="AJ960" s="279"/>
      <c r="AK960" s="279"/>
      <c r="AL960" s="279"/>
      <c r="AM960" s="279"/>
      <c r="AN960" s="279"/>
      <c r="AO960" s="279"/>
      <c r="AP960" s="279"/>
      <c r="AQ960" s="279"/>
      <c r="AR960" s="279"/>
      <c r="AS960" s="279"/>
      <c r="AT960" s="279"/>
      <c r="AU960" s="279"/>
      <c r="AV960" s="279"/>
      <c r="AW960" s="279"/>
      <c r="AX960" s="279"/>
      <c r="AY960" s="279"/>
      <c r="AZ960" s="279"/>
      <c r="BA960" s="279"/>
      <c r="BB960" s="279"/>
      <c r="BC960" s="279"/>
      <c r="BD960" s="279"/>
      <c r="BE960" s="279"/>
      <c r="BF960" s="279"/>
      <c r="BG960" s="279"/>
      <c r="BH960" s="279"/>
      <c r="BI960" s="279"/>
      <c r="BJ960" s="279"/>
      <c r="BK960" s="279"/>
      <c r="BL960" s="279"/>
      <c r="BM960" s="279"/>
      <c r="BN960" s="279"/>
      <c r="BO960" s="279"/>
      <c r="BP960" s="279"/>
      <c r="BQ960" s="279"/>
      <c r="BR960" s="279"/>
      <c r="BS960" s="279"/>
      <c r="BT960" s="279"/>
      <c r="BU960" s="279"/>
      <c r="BV960" s="279"/>
      <c r="BW960" s="279"/>
      <c r="BX960" s="279"/>
      <c r="BY960" s="279"/>
      <c r="BZ960" s="279"/>
      <c r="CA960" s="279"/>
      <c r="CB960" s="279"/>
      <c r="CC960" s="279"/>
      <c r="CD960" s="279"/>
      <c r="CE960" s="279"/>
      <c r="CF960" s="279"/>
      <c r="CG960" s="279"/>
      <c r="CH960" s="279"/>
      <c r="CI960" s="279"/>
      <c r="CJ960" s="279"/>
      <c r="CK960" s="279"/>
      <c r="CL960" s="279"/>
      <c r="CM960" s="279"/>
      <c r="CN960" s="382"/>
    </row>
    <row r="961" x14ac:dyDescent="0.3">
      <c r="B961" s="361"/>
      <c r="C961" s="279"/>
      <c r="D961" s="280"/>
      <c r="E961" s="287"/>
      <c r="F961" s="287"/>
      <c r="G961" s="287"/>
      <c r="H961" s="1292">
        <f t="shared" si="42"/>
        <v>4</v>
      </c>
      <c r="I961" s="1190">
        <f>'I. Stream &amp; Compound Data'!P265</f>
        <v>0</v>
      </c>
      <c r="J961" s="1295">
        <f>IF(I145="","",IF('I. Stream &amp; Compound Data'!CS265="",0,'I. Stream &amp; Compound Data'!CS265))</f>
        <v>0</v>
      </c>
      <c r="K961" s="1312">
        <f t="shared" si="43"/>
        <v>0</v>
      </c>
      <c r="L961" s="301">
        <f t="shared" si="44"/>
        <v>0</v>
      </c>
      <c r="M961" s="287"/>
      <c r="N961" s="296"/>
      <c r="O961" s="280"/>
      <c r="P961" s="279"/>
      <c r="Q961" s="297"/>
      <c r="R961" s="298"/>
      <c r="S961" s="298"/>
      <c r="T961" s="299"/>
      <c r="U961" s="279"/>
      <c r="V961" s="279"/>
      <c r="W961" s="279"/>
      <c r="X961" s="279"/>
      <c r="Y961" s="279"/>
      <c r="Z961" s="279"/>
      <c r="AA961" s="279"/>
      <c r="AB961" s="279"/>
      <c r="AC961" s="279"/>
      <c r="AD961" s="279"/>
      <c r="AE961" s="279"/>
      <c r="AF961" s="279"/>
      <c r="AG961" s="279"/>
      <c r="AH961" s="279"/>
      <c r="AI961" s="279"/>
      <c r="AJ961" s="279"/>
      <c r="AK961" s="279"/>
      <c r="AL961" s="279"/>
      <c r="AM961" s="279"/>
      <c r="AN961" s="279"/>
      <c r="AO961" s="279"/>
      <c r="AP961" s="279"/>
      <c r="AQ961" s="279"/>
      <c r="AR961" s="279"/>
      <c r="AS961" s="279"/>
      <c r="AT961" s="279"/>
      <c r="AU961" s="279"/>
      <c r="AV961" s="279"/>
      <c r="AW961" s="279"/>
      <c r="AX961" s="279"/>
      <c r="AY961" s="279"/>
      <c r="AZ961" s="279"/>
      <c r="BA961" s="279"/>
      <c r="BB961" s="279"/>
      <c r="BC961" s="279"/>
      <c r="BD961" s="279"/>
      <c r="BE961" s="279"/>
      <c r="BF961" s="279"/>
      <c r="BG961" s="279"/>
      <c r="BH961" s="279"/>
      <c r="BI961" s="279"/>
      <c r="BJ961" s="279"/>
      <c r="BK961" s="279"/>
      <c r="BL961" s="279"/>
      <c r="BM961" s="279"/>
      <c r="BN961" s="279"/>
      <c r="BO961" s="279"/>
      <c r="BP961" s="279"/>
      <c r="BQ961" s="279"/>
      <c r="BR961" s="279"/>
      <c r="BS961" s="279"/>
      <c r="BT961" s="279"/>
      <c r="BU961" s="279"/>
      <c r="BV961" s="279"/>
      <c r="BW961" s="279"/>
      <c r="BX961" s="279"/>
      <c r="BY961" s="279"/>
      <c r="BZ961" s="279"/>
      <c r="CA961" s="279"/>
      <c r="CB961" s="279"/>
      <c r="CC961" s="279"/>
      <c r="CD961" s="279"/>
      <c r="CE961" s="279"/>
      <c r="CF961" s="279"/>
      <c r="CG961" s="279"/>
      <c r="CH961" s="279"/>
      <c r="CI961" s="279"/>
      <c r="CJ961" s="279"/>
      <c r="CK961" s="279"/>
      <c r="CL961" s="279"/>
      <c r="CM961" s="279"/>
      <c r="CN961" s="382"/>
    </row>
    <row r="962" x14ac:dyDescent="0.3">
      <c r="B962" s="361"/>
      <c r="C962" s="279"/>
      <c r="D962" s="280"/>
      <c r="E962" s="287"/>
      <c r="F962" s="287"/>
      <c r="G962" s="287"/>
      <c r="H962" s="1292">
        <f t="shared" si="42"/>
        <v>5</v>
      </c>
      <c r="I962" s="1190" t="str">
        <f>'I. Stream &amp; Compound Data'!P266</f>
        <v/>
      </c>
      <c r="J962" s="1295" t="str">
        <f>IF(I146="","",IF('I. Stream &amp; Compound Data'!CS266="",0,'I. Stream &amp; Compound Data'!CS266))</f>
        <v/>
      </c>
      <c r="K962" s="1312" t="str">
        <f t="shared" si="43"/>
        <v/>
      </c>
      <c r="L962" s="301" t="str">
        <f t="shared" si="44"/>
        <v/>
      </c>
      <c r="M962" s="287"/>
      <c r="N962" s="296"/>
      <c r="O962" s="280"/>
      <c r="P962" s="279"/>
      <c r="Q962" s="297"/>
      <c r="R962" s="298"/>
      <c r="S962" s="298"/>
      <c r="T962" s="299"/>
      <c r="U962" s="279"/>
      <c r="V962" s="279"/>
      <c r="W962" s="279"/>
      <c r="X962" s="279"/>
      <c r="Y962" s="279"/>
      <c r="Z962" s="279"/>
      <c r="AA962" s="279"/>
      <c r="AB962" s="279"/>
      <c r="AC962" s="279"/>
      <c r="AD962" s="279"/>
      <c r="AE962" s="279"/>
      <c r="AF962" s="279"/>
      <c r="AG962" s="279"/>
      <c r="AH962" s="279"/>
      <c r="AI962" s="279"/>
      <c r="AJ962" s="279"/>
      <c r="AK962" s="279"/>
      <c r="AL962" s="279"/>
      <c r="AM962" s="279"/>
      <c r="AN962" s="279"/>
      <c r="AO962" s="279"/>
      <c r="AP962" s="279"/>
      <c r="AQ962" s="279"/>
      <c r="AR962" s="279"/>
      <c r="AS962" s="279"/>
      <c r="AT962" s="279"/>
      <c r="AU962" s="279"/>
      <c r="AV962" s="279"/>
      <c r="AW962" s="279"/>
      <c r="AX962" s="279"/>
      <c r="AY962" s="279"/>
      <c r="AZ962" s="279"/>
      <c r="BA962" s="279"/>
      <c r="BB962" s="279"/>
      <c r="BC962" s="279"/>
      <c r="BD962" s="279"/>
      <c r="BE962" s="279"/>
      <c r="BF962" s="279"/>
      <c r="BG962" s="279"/>
      <c r="BH962" s="279"/>
      <c r="BI962" s="279"/>
      <c r="BJ962" s="279"/>
      <c r="BK962" s="279"/>
      <c r="BL962" s="279"/>
      <c r="BM962" s="279"/>
      <c r="BN962" s="279"/>
      <c r="BO962" s="279"/>
      <c r="BP962" s="279"/>
      <c r="BQ962" s="279"/>
      <c r="BR962" s="279"/>
      <c r="BS962" s="279"/>
      <c r="BT962" s="279"/>
      <c r="BU962" s="279"/>
      <c r="BV962" s="279"/>
      <c r="BW962" s="279"/>
      <c r="BX962" s="279"/>
      <c r="BY962" s="279"/>
      <c r="BZ962" s="279"/>
      <c r="CA962" s="279"/>
      <c r="CB962" s="279"/>
      <c r="CC962" s="279"/>
      <c r="CD962" s="279"/>
      <c r="CE962" s="279"/>
      <c r="CF962" s="279"/>
      <c r="CG962" s="279"/>
      <c r="CH962" s="279"/>
      <c r="CI962" s="279"/>
      <c r="CJ962" s="279"/>
      <c r="CK962" s="279"/>
      <c r="CL962" s="279"/>
      <c r="CM962" s="279"/>
      <c r="CN962" s="382"/>
    </row>
    <row r="963" x14ac:dyDescent="0.3">
      <c r="B963" s="361"/>
      <c r="C963" s="279"/>
      <c r="D963" s="280"/>
      <c r="E963" s="287"/>
      <c r="F963" s="287"/>
      <c r="G963" s="287"/>
      <c r="H963" s="1292">
        <f t="shared" si="42"/>
        <v>6</v>
      </c>
      <c r="I963" s="1190" t="str">
        <f>'I. Stream &amp; Compound Data'!P267</f>
        <v/>
      </c>
      <c r="J963" s="1295" t="str">
        <f>IF(I147="","",IF('I. Stream &amp; Compound Data'!CS267="",0,'I. Stream &amp; Compound Data'!CS267))</f>
        <v/>
      </c>
      <c r="K963" s="1312" t="str">
        <f t="shared" si="43"/>
        <v/>
      </c>
      <c r="L963" s="301" t="str">
        <f t="shared" si="44"/>
        <v/>
      </c>
      <c r="M963" s="287"/>
      <c r="N963" s="296"/>
      <c r="O963" s="280"/>
      <c r="P963" s="279"/>
      <c r="Q963" s="297"/>
      <c r="R963" s="298"/>
      <c r="S963" s="298"/>
      <c r="T963" s="299"/>
      <c r="U963" s="279"/>
      <c r="V963" s="279"/>
      <c r="W963" s="279"/>
      <c r="X963" s="279"/>
      <c r="Y963" s="279"/>
      <c r="Z963" s="279"/>
      <c r="AA963" s="279"/>
      <c r="AB963" s="279"/>
      <c r="AC963" s="279"/>
      <c r="AD963" s="279"/>
      <c r="AE963" s="279"/>
      <c r="AF963" s="279"/>
      <c r="AG963" s="279"/>
      <c r="AH963" s="279"/>
      <c r="AI963" s="279"/>
      <c r="AJ963" s="279"/>
      <c r="AK963" s="279"/>
      <c r="AL963" s="279"/>
      <c r="AM963" s="279"/>
      <c r="AN963" s="279"/>
      <c r="AO963" s="279"/>
      <c r="AP963" s="279"/>
      <c r="AQ963" s="279"/>
      <c r="AR963" s="279"/>
      <c r="AS963" s="279"/>
      <c r="AT963" s="279"/>
      <c r="AU963" s="279"/>
      <c r="AV963" s="279"/>
      <c r="AW963" s="279"/>
      <c r="AX963" s="279"/>
      <c r="AY963" s="279"/>
      <c r="AZ963" s="279"/>
      <c r="BA963" s="279"/>
      <c r="BB963" s="279"/>
      <c r="BC963" s="279"/>
      <c r="BD963" s="279"/>
      <c r="BE963" s="279"/>
      <c r="BF963" s="279"/>
      <c r="BG963" s="279"/>
      <c r="BH963" s="279"/>
      <c r="BI963" s="279"/>
      <c r="BJ963" s="279"/>
      <c r="BK963" s="279"/>
      <c r="BL963" s="279"/>
      <c r="BM963" s="279"/>
      <c r="BN963" s="279"/>
      <c r="BO963" s="279"/>
      <c r="BP963" s="279"/>
      <c r="BQ963" s="279"/>
      <c r="BR963" s="279"/>
      <c r="BS963" s="279"/>
      <c r="BT963" s="279"/>
      <c r="BU963" s="279"/>
      <c r="BV963" s="279"/>
      <c r="BW963" s="279"/>
      <c r="BX963" s="279"/>
      <c r="BY963" s="279"/>
      <c r="BZ963" s="279"/>
      <c r="CA963" s="279"/>
      <c r="CB963" s="279"/>
      <c r="CC963" s="279"/>
      <c r="CD963" s="279"/>
      <c r="CE963" s="279"/>
      <c r="CF963" s="279"/>
      <c r="CG963" s="279"/>
      <c r="CH963" s="279"/>
      <c r="CI963" s="279"/>
      <c r="CJ963" s="279"/>
      <c r="CK963" s="279"/>
      <c r="CL963" s="279"/>
      <c r="CM963" s="279"/>
      <c r="CN963" s="382"/>
    </row>
    <row r="964" x14ac:dyDescent="0.3">
      <c r="B964" s="361"/>
      <c r="C964" s="279"/>
      <c r="D964" s="280"/>
      <c r="E964" s="287"/>
      <c r="F964" s="287"/>
      <c r="G964" s="287"/>
      <c r="H964" s="1292">
        <f t="shared" si="42"/>
        <v>7</v>
      </c>
      <c r="I964" s="1190" t="str">
        <f>'I. Stream &amp; Compound Data'!P268</f>
        <v/>
      </c>
      <c r="J964" s="1295" t="str">
        <f>IF(I148="","",IF('I. Stream &amp; Compound Data'!CS268="",0,'I. Stream &amp; Compound Data'!CS268))</f>
        <v/>
      </c>
      <c r="K964" s="1312" t="str">
        <f t="shared" si="43"/>
        <v/>
      </c>
      <c r="L964" s="301" t="str">
        <f t="shared" si="44"/>
        <v/>
      </c>
      <c r="M964" s="287"/>
      <c r="N964" s="296"/>
      <c r="O964" s="280"/>
      <c r="P964" s="279"/>
      <c r="Q964" s="297"/>
      <c r="R964" s="298"/>
      <c r="S964" s="298"/>
      <c r="T964" s="299"/>
      <c r="U964" s="279"/>
      <c r="V964" s="279"/>
      <c r="W964" s="279"/>
      <c r="X964" s="279"/>
      <c r="Y964" s="279"/>
      <c r="Z964" s="279"/>
      <c r="AA964" s="279"/>
      <c r="AB964" s="279"/>
      <c r="AC964" s="279"/>
      <c r="AD964" s="279"/>
      <c r="AE964" s="279"/>
      <c r="AF964" s="279"/>
      <c r="AG964" s="279"/>
      <c r="AH964" s="279"/>
      <c r="AI964" s="279"/>
      <c r="AJ964" s="279"/>
      <c r="AK964" s="279"/>
      <c r="AL964" s="279"/>
      <c r="AM964" s="279"/>
      <c r="AN964" s="279"/>
      <c r="AO964" s="279"/>
      <c r="AP964" s="279"/>
      <c r="AQ964" s="279"/>
      <c r="AR964" s="279"/>
      <c r="AS964" s="279"/>
      <c r="AT964" s="279"/>
      <c r="AU964" s="279"/>
      <c r="AV964" s="279"/>
      <c r="AW964" s="279"/>
      <c r="AX964" s="279"/>
      <c r="AY964" s="279"/>
      <c r="AZ964" s="279"/>
      <c r="BA964" s="279"/>
      <c r="BB964" s="279"/>
      <c r="BC964" s="279"/>
      <c r="BD964" s="279"/>
      <c r="BE964" s="279"/>
      <c r="BF964" s="279"/>
      <c r="BG964" s="279"/>
      <c r="BH964" s="279"/>
      <c r="BI964" s="279"/>
      <c r="BJ964" s="279"/>
      <c r="BK964" s="279"/>
      <c r="BL964" s="279"/>
      <c r="BM964" s="279"/>
      <c r="BN964" s="279"/>
      <c r="BO964" s="279"/>
      <c r="BP964" s="279"/>
      <c r="BQ964" s="279"/>
      <c r="BR964" s="279"/>
      <c r="BS964" s="279"/>
      <c r="BT964" s="279"/>
      <c r="BU964" s="279"/>
      <c r="BV964" s="279"/>
      <c r="BW964" s="279"/>
      <c r="BX964" s="279"/>
      <c r="BY964" s="279"/>
      <c r="BZ964" s="279"/>
      <c r="CA964" s="279"/>
      <c r="CB964" s="279"/>
      <c r="CC964" s="279"/>
      <c r="CD964" s="279"/>
      <c r="CE964" s="279"/>
      <c r="CF964" s="279"/>
      <c r="CG964" s="279"/>
      <c r="CH964" s="279"/>
      <c r="CI964" s="279"/>
      <c r="CJ964" s="279"/>
      <c r="CK964" s="279"/>
      <c r="CL964" s="279"/>
      <c r="CM964" s="279"/>
      <c r="CN964" s="382"/>
    </row>
    <row r="965" x14ac:dyDescent="0.3">
      <c r="B965" s="361"/>
      <c r="C965" s="279"/>
      <c r="D965" s="280"/>
      <c r="E965" s="287"/>
      <c r="F965" s="287"/>
      <c r="G965" s="287"/>
      <c r="H965" s="1292">
        <f t="shared" si="42"/>
        <v>8</v>
      </c>
      <c r="I965" s="1190" t="str">
        <f>'I. Stream &amp; Compound Data'!P269</f>
        <v/>
      </c>
      <c r="J965" s="1295" t="str">
        <f>IF(I149="","",IF('I. Stream &amp; Compound Data'!CS269="",0,'I. Stream &amp; Compound Data'!CS269))</f>
        <v/>
      </c>
      <c r="K965" s="1312" t="str">
        <f t="shared" si="43"/>
        <v/>
      </c>
      <c r="L965" s="301" t="str">
        <f t="shared" si="44"/>
        <v/>
      </c>
      <c r="M965" s="287"/>
      <c r="N965" s="296"/>
      <c r="O965" s="280"/>
      <c r="P965" s="279"/>
      <c r="Q965" s="297"/>
      <c r="R965" s="298"/>
      <c r="S965" s="298"/>
      <c r="T965" s="299"/>
      <c r="U965" s="279"/>
      <c r="V965" s="279"/>
      <c r="W965" s="279"/>
      <c r="X965" s="279"/>
      <c r="Y965" s="279"/>
      <c r="Z965" s="279"/>
      <c r="AA965" s="279"/>
      <c r="AB965" s="279"/>
      <c r="AC965" s="279"/>
      <c r="AD965" s="279"/>
      <c r="AE965" s="279"/>
      <c r="AF965" s="279"/>
      <c r="AG965" s="279"/>
      <c r="AH965" s="279"/>
      <c r="AI965" s="279"/>
      <c r="AJ965" s="279"/>
      <c r="AK965" s="279"/>
      <c r="AL965" s="279"/>
      <c r="AM965" s="279"/>
      <c r="AN965" s="279"/>
      <c r="AO965" s="279"/>
      <c r="AP965" s="279"/>
      <c r="AQ965" s="279"/>
      <c r="AR965" s="279"/>
      <c r="AS965" s="279"/>
      <c r="AT965" s="279"/>
      <c r="AU965" s="279"/>
      <c r="AV965" s="279"/>
      <c r="AW965" s="279"/>
      <c r="AX965" s="279"/>
      <c r="AY965" s="279"/>
      <c r="AZ965" s="279"/>
      <c r="BA965" s="279"/>
      <c r="BB965" s="279"/>
      <c r="BC965" s="279"/>
      <c r="BD965" s="279"/>
      <c r="BE965" s="279"/>
      <c r="BF965" s="279"/>
      <c r="BG965" s="279"/>
      <c r="BH965" s="279"/>
      <c r="BI965" s="279"/>
      <c r="BJ965" s="279"/>
      <c r="BK965" s="279"/>
      <c r="BL965" s="279"/>
      <c r="BM965" s="279"/>
      <c r="BN965" s="279"/>
      <c r="BO965" s="279"/>
      <c r="BP965" s="279"/>
      <c r="BQ965" s="279"/>
      <c r="BR965" s="279"/>
      <c r="BS965" s="279"/>
      <c r="BT965" s="279"/>
      <c r="BU965" s="279"/>
      <c r="BV965" s="279"/>
      <c r="BW965" s="279"/>
      <c r="BX965" s="279"/>
      <c r="BY965" s="279"/>
      <c r="BZ965" s="279"/>
      <c r="CA965" s="279"/>
      <c r="CB965" s="279"/>
      <c r="CC965" s="279"/>
      <c r="CD965" s="279"/>
      <c r="CE965" s="279"/>
      <c r="CF965" s="279"/>
      <c r="CG965" s="279"/>
      <c r="CH965" s="279"/>
      <c r="CI965" s="279"/>
      <c r="CJ965" s="279"/>
      <c r="CK965" s="279"/>
      <c r="CL965" s="279"/>
      <c r="CM965" s="279"/>
      <c r="CN965" s="382"/>
    </row>
    <row r="966" x14ac:dyDescent="0.3">
      <c r="B966" s="361"/>
      <c r="C966" s="279"/>
      <c r="D966" s="280"/>
      <c r="E966" s="287"/>
      <c r="F966" s="287"/>
      <c r="G966" s="287"/>
      <c r="H966" s="1292">
        <f t="shared" si="42"/>
        <v>9</v>
      </c>
      <c r="I966" s="1190" t="str">
        <f>'I. Stream &amp; Compound Data'!P270</f>
        <v/>
      </c>
      <c r="J966" s="1295" t="str">
        <f>IF(I150="","",IF('I. Stream &amp; Compound Data'!CS270="",0,'I. Stream &amp; Compound Data'!CS270))</f>
        <v/>
      </c>
      <c r="K966" s="1312" t="str">
        <f t="shared" si="43"/>
        <v/>
      </c>
      <c r="L966" s="301" t="str">
        <f t="shared" si="44"/>
        <v/>
      </c>
      <c r="M966" s="287"/>
      <c r="N966" s="296"/>
      <c r="O966" s="280"/>
      <c r="P966" s="279"/>
      <c r="Q966" s="297"/>
      <c r="R966" s="298"/>
      <c r="S966" s="298"/>
      <c r="T966" s="299"/>
      <c r="U966" s="279"/>
      <c r="V966" s="279"/>
      <c r="W966" s="279"/>
      <c r="X966" s="279"/>
      <c r="Y966" s="279"/>
      <c r="Z966" s="279"/>
      <c r="AA966" s="279"/>
      <c r="AB966" s="279"/>
      <c r="AC966" s="279"/>
      <c r="AD966" s="279"/>
      <c r="AE966" s="279"/>
      <c r="AF966" s="279"/>
      <c r="AG966" s="279"/>
      <c r="AH966" s="279"/>
      <c r="AI966" s="279"/>
      <c r="AJ966" s="279"/>
      <c r="AK966" s="279"/>
      <c r="AL966" s="279"/>
      <c r="AM966" s="279"/>
      <c r="AN966" s="279"/>
      <c r="AO966" s="279"/>
      <c r="AP966" s="279"/>
      <c r="AQ966" s="279"/>
      <c r="AR966" s="279"/>
      <c r="AS966" s="279"/>
      <c r="AT966" s="279"/>
      <c r="AU966" s="279"/>
      <c r="AV966" s="279"/>
      <c r="AW966" s="279"/>
      <c r="AX966" s="279"/>
      <c r="AY966" s="279"/>
      <c r="AZ966" s="279"/>
      <c r="BA966" s="279"/>
      <c r="BB966" s="279"/>
      <c r="BC966" s="279"/>
      <c r="BD966" s="279"/>
      <c r="BE966" s="279"/>
      <c r="BF966" s="279"/>
      <c r="BG966" s="279"/>
      <c r="BH966" s="279"/>
      <c r="BI966" s="279"/>
      <c r="BJ966" s="279"/>
      <c r="BK966" s="279"/>
      <c r="BL966" s="279"/>
      <c r="BM966" s="279"/>
      <c r="BN966" s="279"/>
      <c r="BO966" s="279"/>
      <c r="BP966" s="279"/>
      <c r="BQ966" s="279"/>
      <c r="BR966" s="279"/>
      <c r="BS966" s="279"/>
      <c r="BT966" s="279"/>
      <c r="BU966" s="279"/>
      <c r="BV966" s="279"/>
      <c r="BW966" s="279"/>
      <c r="BX966" s="279"/>
      <c r="BY966" s="279"/>
      <c r="BZ966" s="279"/>
      <c r="CA966" s="279"/>
      <c r="CB966" s="279"/>
      <c r="CC966" s="279"/>
      <c r="CD966" s="279"/>
      <c r="CE966" s="279"/>
      <c r="CF966" s="279"/>
      <c r="CG966" s="279"/>
      <c r="CH966" s="279"/>
      <c r="CI966" s="279"/>
      <c r="CJ966" s="279"/>
      <c r="CK966" s="279"/>
      <c r="CL966" s="279"/>
      <c r="CM966" s="279"/>
      <c r="CN966" s="382"/>
    </row>
    <row r="967" x14ac:dyDescent="0.3">
      <c r="B967" s="361"/>
      <c r="C967" s="279"/>
      <c r="D967" s="280"/>
      <c r="E967" s="287"/>
      <c r="F967" s="287"/>
      <c r="G967" s="287"/>
      <c r="H967" s="1292">
        <f t="shared" si="42"/>
        <v>10</v>
      </c>
      <c r="I967" s="1190" t="str">
        <f>'I. Stream &amp; Compound Data'!P271</f>
        <v/>
      </c>
      <c r="J967" s="1295" t="str">
        <f>IF(I151="","",IF('I. Stream &amp; Compound Data'!CS271="",0,'I. Stream &amp; Compound Data'!CS271))</f>
        <v/>
      </c>
      <c r="K967" s="1312" t="str">
        <f t="shared" si="43"/>
        <v/>
      </c>
      <c r="L967" s="301" t="str">
        <f t="shared" si="44"/>
        <v/>
      </c>
      <c r="M967" s="287"/>
      <c r="N967" s="296"/>
      <c r="O967" s="280"/>
      <c r="P967" s="279"/>
      <c r="Q967" s="297"/>
      <c r="R967" s="298"/>
      <c r="S967" s="298"/>
      <c r="T967" s="299"/>
      <c r="U967" s="279"/>
      <c r="V967" s="279"/>
      <c r="W967" s="279"/>
      <c r="X967" s="279"/>
      <c r="Y967" s="279"/>
      <c r="Z967" s="279"/>
      <c r="AA967" s="279"/>
      <c r="AB967" s="279"/>
      <c r="AC967" s="279"/>
      <c r="AD967" s="279"/>
      <c r="AE967" s="279"/>
      <c r="AF967" s="279"/>
      <c r="AG967" s="279"/>
      <c r="AH967" s="279"/>
      <c r="AI967" s="279"/>
      <c r="AJ967" s="279"/>
      <c r="AK967" s="279"/>
      <c r="AL967" s="279"/>
      <c r="AM967" s="279"/>
      <c r="AN967" s="279"/>
      <c r="AO967" s="279"/>
      <c r="AP967" s="279"/>
      <c r="AQ967" s="279"/>
      <c r="AR967" s="279"/>
      <c r="AS967" s="279"/>
      <c r="AT967" s="279"/>
      <c r="AU967" s="279"/>
      <c r="AV967" s="279"/>
      <c r="AW967" s="279"/>
      <c r="AX967" s="279"/>
      <c r="AY967" s="279"/>
      <c r="AZ967" s="279"/>
      <c r="BA967" s="279"/>
      <c r="BB967" s="279"/>
      <c r="BC967" s="279"/>
      <c r="BD967" s="279"/>
      <c r="BE967" s="279"/>
      <c r="BF967" s="279"/>
      <c r="BG967" s="279"/>
      <c r="BH967" s="279"/>
      <c r="BI967" s="279"/>
      <c r="BJ967" s="279"/>
      <c r="BK967" s="279"/>
      <c r="BL967" s="279"/>
      <c r="BM967" s="279"/>
      <c r="BN967" s="279"/>
      <c r="BO967" s="279"/>
      <c r="BP967" s="279"/>
      <c r="BQ967" s="279"/>
      <c r="BR967" s="279"/>
      <c r="BS967" s="279"/>
      <c r="BT967" s="279"/>
      <c r="BU967" s="279"/>
      <c r="BV967" s="279"/>
      <c r="BW967" s="279"/>
      <c r="BX967" s="279"/>
      <c r="BY967" s="279"/>
      <c r="BZ967" s="279"/>
      <c r="CA967" s="279"/>
      <c r="CB967" s="279"/>
      <c r="CC967" s="279"/>
      <c r="CD967" s="279"/>
      <c r="CE967" s="279"/>
      <c r="CF967" s="279"/>
      <c r="CG967" s="279"/>
      <c r="CH967" s="279"/>
      <c r="CI967" s="279"/>
      <c r="CJ967" s="279"/>
      <c r="CK967" s="279"/>
      <c r="CL967" s="279"/>
      <c r="CM967" s="279"/>
      <c r="CN967" s="382"/>
    </row>
    <row r="968" x14ac:dyDescent="0.3">
      <c r="B968" s="361"/>
      <c r="C968" s="279"/>
      <c r="D968" s="280"/>
      <c r="E968" s="287"/>
      <c r="F968" s="287"/>
      <c r="G968" s="287"/>
      <c r="H968" s="1292">
        <f t="shared" si="42"/>
        <v>11</v>
      </c>
      <c r="I968" s="1190" t="str">
        <f>'I. Stream &amp; Compound Data'!P272</f>
        <v/>
      </c>
      <c r="J968" s="1295" t="str">
        <f>IF(I152="","",IF('I. Stream &amp; Compound Data'!CS272="",0,'I. Stream &amp; Compound Data'!CS272))</f>
        <v/>
      </c>
      <c r="K968" s="1312" t="str">
        <f t="shared" si="43"/>
        <v/>
      </c>
      <c r="L968" s="301" t="str">
        <f t="shared" si="44"/>
        <v/>
      </c>
      <c r="M968" s="287"/>
      <c r="N968" s="296"/>
      <c r="O968" s="280"/>
      <c r="P968" s="279"/>
      <c r="Q968" s="297"/>
      <c r="R968" s="298"/>
      <c r="S968" s="298"/>
      <c r="T968" s="299"/>
      <c r="U968" s="279"/>
      <c r="V968" s="279"/>
      <c r="W968" s="279"/>
      <c r="X968" s="279"/>
      <c r="Y968" s="279"/>
      <c r="Z968" s="279"/>
      <c r="AA968" s="279"/>
      <c r="AB968" s="279"/>
      <c r="AC968" s="279"/>
      <c r="AD968" s="279"/>
      <c r="AE968" s="279"/>
      <c r="AF968" s="279"/>
      <c r="AG968" s="279"/>
      <c r="AH968" s="279"/>
      <c r="AI968" s="279"/>
      <c r="AJ968" s="279"/>
      <c r="AK968" s="279"/>
      <c r="AL968" s="279"/>
      <c r="AM968" s="279"/>
      <c r="AN968" s="279"/>
      <c r="AO968" s="279"/>
      <c r="AP968" s="279"/>
      <c r="AQ968" s="279"/>
      <c r="AR968" s="279"/>
      <c r="AS968" s="279"/>
      <c r="AT968" s="279"/>
      <c r="AU968" s="279"/>
      <c r="AV968" s="279"/>
      <c r="AW968" s="279"/>
      <c r="AX968" s="279"/>
      <c r="AY968" s="279"/>
      <c r="AZ968" s="279"/>
      <c r="BA968" s="279"/>
      <c r="BB968" s="279"/>
      <c r="BC968" s="279"/>
      <c r="BD968" s="279"/>
      <c r="BE968" s="279"/>
      <c r="BF968" s="279"/>
      <c r="BG968" s="279"/>
      <c r="BH968" s="279"/>
      <c r="BI968" s="279"/>
      <c r="BJ968" s="279"/>
      <c r="BK968" s="279"/>
      <c r="BL968" s="279"/>
      <c r="BM968" s="279"/>
      <c r="BN968" s="279"/>
      <c r="BO968" s="279"/>
      <c r="BP968" s="279"/>
      <c r="BQ968" s="279"/>
      <c r="BR968" s="279"/>
      <c r="BS968" s="279"/>
      <c r="BT968" s="279"/>
      <c r="BU968" s="279"/>
      <c r="BV968" s="279"/>
      <c r="BW968" s="279"/>
      <c r="BX968" s="279"/>
      <c r="BY968" s="279"/>
      <c r="BZ968" s="279"/>
      <c r="CA968" s="279"/>
      <c r="CB968" s="279"/>
      <c r="CC968" s="279"/>
      <c r="CD968" s="279"/>
      <c r="CE968" s="279"/>
      <c r="CF968" s="279"/>
      <c r="CG968" s="279"/>
      <c r="CH968" s="279"/>
      <c r="CI968" s="279"/>
      <c r="CJ968" s="279"/>
      <c r="CK968" s="279"/>
      <c r="CL968" s="279"/>
      <c r="CM968" s="279"/>
      <c r="CN968" s="382"/>
    </row>
    <row r="969" x14ac:dyDescent="0.3">
      <c r="B969" s="361"/>
      <c r="C969" s="279"/>
      <c r="D969" s="280"/>
      <c r="E969" s="287"/>
      <c r="F969" s="287"/>
      <c r="G969" s="287"/>
      <c r="H969" s="1292">
        <f t="shared" si="42"/>
        <v>12</v>
      </c>
      <c r="I969" s="1190" t="str">
        <f>'I. Stream &amp; Compound Data'!P273</f>
        <v/>
      </c>
      <c r="J969" s="1295" t="str">
        <f>IF(I153="","",IF('I. Stream &amp; Compound Data'!CS273="",0,'I. Stream &amp; Compound Data'!CS273))</f>
        <v/>
      </c>
      <c r="K969" s="1312" t="str">
        <f t="shared" si="43"/>
        <v/>
      </c>
      <c r="L969" s="301" t="str">
        <f t="shared" si="44"/>
        <v/>
      </c>
      <c r="M969" s="287"/>
      <c r="N969" s="296"/>
      <c r="O969" s="280"/>
      <c r="P969" s="279"/>
      <c r="Q969" s="297"/>
      <c r="R969" s="298"/>
      <c r="S969" s="298"/>
      <c r="T969" s="299"/>
      <c r="U969" s="279"/>
      <c r="V969" s="279"/>
      <c r="W969" s="279"/>
      <c r="X969" s="279"/>
      <c r="Y969" s="279"/>
      <c r="Z969" s="279"/>
      <c r="AA969" s="279"/>
      <c r="AB969" s="279"/>
      <c r="AC969" s="279"/>
      <c r="AD969" s="279"/>
      <c r="AE969" s="279"/>
      <c r="AF969" s="279"/>
      <c r="AG969" s="279"/>
      <c r="AH969" s="279"/>
      <c r="AI969" s="279"/>
      <c r="AJ969" s="279"/>
      <c r="AK969" s="279"/>
      <c r="AL969" s="279"/>
      <c r="AM969" s="279"/>
      <c r="AN969" s="279"/>
      <c r="AO969" s="279"/>
      <c r="AP969" s="279"/>
      <c r="AQ969" s="279"/>
      <c r="AR969" s="279"/>
      <c r="AS969" s="279"/>
      <c r="AT969" s="279"/>
      <c r="AU969" s="279"/>
      <c r="AV969" s="279"/>
      <c r="AW969" s="279"/>
      <c r="AX969" s="279"/>
      <c r="AY969" s="279"/>
      <c r="AZ969" s="279"/>
      <c r="BA969" s="279"/>
      <c r="BB969" s="279"/>
      <c r="BC969" s="279"/>
      <c r="BD969" s="279"/>
      <c r="BE969" s="279"/>
      <c r="BF969" s="279"/>
      <c r="BG969" s="279"/>
      <c r="BH969" s="279"/>
      <c r="BI969" s="279"/>
      <c r="BJ969" s="279"/>
      <c r="BK969" s="279"/>
      <c r="BL969" s="279"/>
      <c r="BM969" s="279"/>
      <c r="BN969" s="279"/>
      <c r="BO969" s="279"/>
      <c r="BP969" s="279"/>
      <c r="BQ969" s="279"/>
      <c r="BR969" s="279"/>
      <c r="BS969" s="279"/>
      <c r="BT969" s="279"/>
      <c r="BU969" s="279"/>
      <c r="BV969" s="279"/>
      <c r="BW969" s="279"/>
      <c r="BX969" s="279"/>
      <c r="BY969" s="279"/>
      <c r="BZ969" s="279"/>
      <c r="CA969" s="279"/>
      <c r="CB969" s="279"/>
      <c r="CC969" s="279"/>
      <c r="CD969" s="279"/>
      <c r="CE969" s="279"/>
      <c r="CF969" s="279"/>
      <c r="CG969" s="279"/>
      <c r="CH969" s="279"/>
      <c r="CI969" s="279"/>
      <c r="CJ969" s="279"/>
      <c r="CK969" s="279"/>
      <c r="CL969" s="279"/>
      <c r="CM969" s="279"/>
      <c r="CN969" s="382"/>
    </row>
    <row r="970" x14ac:dyDescent="0.3">
      <c r="B970" s="361"/>
      <c r="C970" s="279"/>
      <c r="D970" s="280"/>
      <c r="E970" s="287"/>
      <c r="F970" s="287"/>
      <c r="G970" s="287"/>
      <c r="H970" s="1292">
        <f t="shared" si="42"/>
        <v>13</v>
      </c>
      <c r="I970" s="1190" t="str">
        <f>'I. Stream &amp; Compound Data'!P274</f>
        <v/>
      </c>
      <c r="J970" s="1295" t="str">
        <f>IF(I154="","",IF('I. Stream &amp; Compound Data'!CS274="",0,'I. Stream &amp; Compound Data'!CS274))</f>
        <v/>
      </c>
      <c r="K970" s="1312" t="str">
        <f t="shared" si="43"/>
        <v/>
      </c>
      <c r="L970" s="301" t="str">
        <f t="shared" si="44"/>
        <v/>
      </c>
      <c r="M970" s="287"/>
      <c r="N970" s="296"/>
      <c r="O970" s="280"/>
      <c r="P970" s="279"/>
      <c r="Q970" s="297"/>
      <c r="R970" s="298"/>
      <c r="S970" s="298"/>
      <c r="T970" s="299"/>
      <c r="U970" s="279"/>
      <c r="V970" s="279"/>
      <c r="W970" s="279"/>
      <c r="X970" s="279"/>
      <c r="Y970" s="279"/>
      <c r="Z970" s="279"/>
      <c r="AA970" s="279"/>
      <c r="AB970" s="279"/>
      <c r="AC970" s="279"/>
      <c r="AD970" s="279"/>
      <c r="AE970" s="279"/>
      <c r="AF970" s="279"/>
      <c r="AG970" s="279"/>
      <c r="AH970" s="279"/>
      <c r="AI970" s="279"/>
      <c r="AJ970" s="279"/>
      <c r="AK970" s="279"/>
      <c r="AL970" s="279"/>
      <c r="AM970" s="279"/>
      <c r="AN970" s="279"/>
      <c r="AO970" s="279"/>
      <c r="AP970" s="279"/>
      <c r="AQ970" s="279"/>
      <c r="AR970" s="279"/>
      <c r="AS970" s="279"/>
      <c r="AT970" s="279"/>
      <c r="AU970" s="279"/>
      <c r="AV970" s="279"/>
      <c r="AW970" s="279"/>
      <c r="AX970" s="279"/>
      <c r="AY970" s="279"/>
      <c r="AZ970" s="279"/>
      <c r="BA970" s="279"/>
      <c r="BB970" s="279"/>
      <c r="BC970" s="279"/>
      <c r="BD970" s="279"/>
      <c r="BE970" s="279"/>
      <c r="BF970" s="279"/>
      <c r="BG970" s="279"/>
      <c r="BH970" s="279"/>
      <c r="BI970" s="279"/>
      <c r="BJ970" s="279"/>
      <c r="BK970" s="279"/>
      <c r="BL970" s="279"/>
      <c r="BM970" s="279"/>
      <c r="BN970" s="279"/>
      <c r="BO970" s="279"/>
      <c r="BP970" s="279"/>
      <c r="BQ970" s="279"/>
      <c r="BR970" s="279"/>
      <c r="BS970" s="279"/>
      <c r="BT970" s="279"/>
      <c r="BU970" s="279"/>
      <c r="BV970" s="279"/>
      <c r="BW970" s="279"/>
      <c r="BX970" s="279"/>
      <c r="BY970" s="279"/>
      <c r="BZ970" s="279"/>
      <c r="CA970" s="279"/>
      <c r="CB970" s="279"/>
      <c r="CC970" s="279"/>
      <c r="CD970" s="279"/>
      <c r="CE970" s="279"/>
      <c r="CF970" s="279"/>
      <c r="CG970" s="279"/>
      <c r="CH970" s="279"/>
      <c r="CI970" s="279"/>
      <c r="CJ970" s="279"/>
      <c r="CK970" s="279"/>
      <c r="CL970" s="279"/>
      <c r="CM970" s="279"/>
      <c r="CN970" s="382"/>
    </row>
    <row r="971" x14ac:dyDescent="0.3">
      <c r="B971" s="361"/>
      <c r="C971" s="279"/>
      <c r="D971" s="280"/>
      <c r="E971" s="287"/>
      <c r="F971" s="287"/>
      <c r="G971" s="287"/>
      <c r="H971" s="1292">
        <f t="shared" si="42"/>
        <v>14</v>
      </c>
      <c r="I971" s="1190" t="str">
        <f>'I. Stream &amp; Compound Data'!P275</f>
        <v/>
      </c>
      <c r="J971" s="1295" t="str">
        <f>IF(I155="","",IF('I. Stream &amp; Compound Data'!CS275="",0,'I. Stream &amp; Compound Data'!CS275))</f>
        <v/>
      </c>
      <c r="K971" s="1312" t="str">
        <f t="shared" si="43"/>
        <v/>
      </c>
      <c r="L971" s="301" t="str">
        <f t="shared" si="44"/>
        <v/>
      </c>
      <c r="M971" s="287"/>
      <c r="N971" s="296"/>
      <c r="O971" s="280"/>
      <c r="P971" s="279"/>
      <c r="Q971" s="297"/>
      <c r="R971" s="298"/>
      <c r="S971" s="298"/>
      <c r="T971" s="299"/>
      <c r="U971" s="279"/>
      <c r="V971" s="279"/>
      <c r="W971" s="279"/>
      <c r="X971" s="279"/>
      <c r="Y971" s="279"/>
      <c r="Z971" s="279"/>
      <c r="AA971" s="279"/>
      <c r="AB971" s="279"/>
      <c r="AC971" s="279"/>
      <c r="AD971" s="279"/>
      <c r="AE971" s="279"/>
      <c r="AF971" s="279"/>
      <c r="AG971" s="279"/>
      <c r="AH971" s="279"/>
      <c r="AI971" s="279"/>
      <c r="AJ971" s="279"/>
      <c r="AK971" s="279"/>
      <c r="AL971" s="279"/>
      <c r="AM971" s="279"/>
      <c r="AN971" s="279"/>
      <c r="AO971" s="279"/>
      <c r="AP971" s="279"/>
      <c r="AQ971" s="279"/>
      <c r="AR971" s="279"/>
      <c r="AS971" s="279"/>
      <c r="AT971" s="279"/>
      <c r="AU971" s="279"/>
      <c r="AV971" s="279"/>
      <c r="AW971" s="279"/>
      <c r="AX971" s="279"/>
      <c r="AY971" s="279"/>
      <c r="AZ971" s="279"/>
      <c r="BA971" s="279"/>
      <c r="BB971" s="279"/>
      <c r="BC971" s="279"/>
      <c r="BD971" s="279"/>
      <c r="BE971" s="279"/>
      <c r="BF971" s="279"/>
      <c r="BG971" s="279"/>
      <c r="BH971" s="279"/>
      <c r="BI971" s="279"/>
      <c r="BJ971" s="279"/>
      <c r="BK971" s="279"/>
      <c r="BL971" s="279"/>
      <c r="BM971" s="279"/>
      <c r="BN971" s="279"/>
      <c r="BO971" s="279"/>
      <c r="BP971" s="279"/>
      <c r="BQ971" s="279"/>
      <c r="BR971" s="279"/>
      <c r="BS971" s="279"/>
      <c r="BT971" s="279"/>
      <c r="BU971" s="279"/>
      <c r="BV971" s="279"/>
      <c r="BW971" s="279"/>
      <c r="BX971" s="279"/>
      <c r="BY971" s="279"/>
      <c r="BZ971" s="279"/>
      <c r="CA971" s="279"/>
      <c r="CB971" s="279"/>
      <c r="CC971" s="279"/>
      <c r="CD971" s="279"/>
      <c r="CE971" s="279"/>
      <c r="CF971" s="279"/>
      <c r="CG971" s="279"/>
      <c r="CH971" s="279"/>
      <c r="CI971" s="279"/>
      <c r="CJ971" s="279"/>
      <c r="CK971" s="279"/>
      <c r="CL971" s="279"/>
      <c r="CM971" s="279"/>
      <c r="CN971" s="382"/>
    </row>
    <row r="972" x14ac:dyDescent="0.3">
      <c r="B972" s="361"/>
      <c r="C972" s="279"/>
      <c r="D972" s="280"/>
      <c r="E972" s="287"/>
      <c r="F972" s="287"/>
      <c r="G972" s="287"/>
      <c r="H972" s="1292">
        <f t="shared" si="42"/>
        <v>15</v>
      </c>
      <c r="I972" s="1190" t="str">
        <f>'I. Stream &amp; Compound Data'!P276</f>
        <v/>
      </c>
      <c r="J972" s="1295" t="str">
        <f>IF(I156="","",IF('I. Stream &amp; Compound Data'!CS276="",0,'I. Stream &amp; Compound Data'!CS276))</f>
        <v/>
      </c>
      <c r="K972" s="1312" t="str">
        <f t="shared" si="43"/>
        <v/>
      </c>
      <c r="L972" s="301" t="str">
        <f t="shared" si="44"/>
        <v/>
      </c>
      <c r="M972" s="287"/>
      <c r="N972" s="296"/>
      <c r="O972" s="280"/>
      <c r="P972" s="279"/>
      <c r="Q972" s="297"/>
      <c r="R972" s="298"/>
      <c r="S972" s="298"/>
      <c r="T972" s="299"/>
      <c r="U972" s="279"/>
      <c r="V972" s="279"/>
      <c r="W972" s="279"/>
      <c r="X972" s="279"/>
      <c r="Y972" s="279"/>
      <c r="Z972" s="279"/>
      <c r="AA972" s="279"/>
      <c r="AB972" s="279"/>
      <c r="AC972" s="279"/>
      <c r="AD972" s="279"/>
      <c r="AE972" s="279"/>
      <c r="AF972" s="279"/>
      <c r="AG972" s="279"/>
      <c r="AH972" s="279"/>
      <c r="AI972" s="279"/>
      <c r="AJ972" s="279"/>
      <c r="AK972" s="279"/>
      <c r="AL972" s="279"/>
      <c r="AM972" s="279"/>
      <c r="AN972" s="279"/>
      <c r="AO972" s="279"/>
      <c r="AP972" s="279"/>
      <c r="AQ972" s="279"/>
      <c r="AR972" s="279"/>
      <c r="AS972" s="279"/>
      <c r="AT972" s="279"/>
      <c r="AU972" s="279"/>
      <c r="AV972" s="279"/>
      <c r="AW972" s="279"/>
      <c r="AX972" s="279"/>
      <c r="AY972" s="279"/>
      <c r="AZ972" s="279"/>
      <c r="BA972" s="279"/>
      <c r="BB972" s="279"/>
      <c r="BC972" s="279"/>
      <c r="BD972" s="279"/>
      <c r="BE972" s="279"/>
      <c r="BF972" s="279"/>
      <c r="BG972" s="279"/>
      <c r="BH972" s="279"/>
      <c r="BI972" s="279"/>
      <c r="BJ972" s="279"/>
      <c r="BK972" s="279"/>
      <c r="BL972" s="279"/>
      <c r="BM972" s="279"/>
      <c r="BN972" s="279"/>
      <c r="BO972" s="279"/>
      <c r="BP972" s="279"/>
      <c r="BQ972" s="279"/>
      <c r="BR972" s="279"/>
      <c r="BS972" s="279"/>
      <c r="BT972" s="279"/>
      <c r="BU972" s="279"/>
      <c r="BV972" s="279"/>
      <c r="BW972" s="279"/>
      <c r="BX972" s="279"/>
      <c r="BY972" s="279"/>
      <c r="BZ972" s="279"/>
      <c r="CA972" s="279"/>
      <c r="CB972" s="279"/>
      <c r="CC972" s="279"/>
      <c r="CD972" s="279"/>
      <c r="CE972" s="279"/>
      <c r="CF972" s="279"/>
      <c r="CG972" s="279"/>
      <c r="CH972" s="279"/>
      <c r="CI972" s="279"/>
      <c r="CJ972" s="279"/>
      <c r="CK972" s="279"/>
      <c r="CL972" s="279"/>
      <c r="CM972" s="279"/>
      <c r="CN972" s="382"/>
    </row>
    <row r="973" x14ac:dyDescent="0.3">
      <c r="B973" s="361"/>
      <c r="C973" s="279"/>
      <c r="D973" s="280"/>
      <c r="E973" s="287"/>
      <c r="F973" s="287"/>
      <c r="G973" s="287"/>
      <c r="H973" s="1292">
        <f t="shared" si="42"/>
        <v>16</v>
      </c>
      <c r="I973" s="1190" t="str">
        <f>'I. Stream &amp; Compound Data'!P277</f>
        <v/>
      </c>
      <c r="J973" s="1295" t="str">
        <f>IF(I157="","",IF('I. Stream &amp; Compound Data'!CS277="",0,'I. Stream &amp; Compound Data'!CS277))</f>
        <v/>
      </c>
      <c r="K973" s="1312" t="str">
        <f t="shared" si="43"/>
        <v/>
      </c>
      <c r="L973" s="301" t="str">
        <f t="shared" si="44"/>
        <v/>
      </c>
      <c r="M973" s="287"/>
      <c r="N973" s="280"/>
      <c r="O973" s="280"/>
      <c r="P973" s="279"/>
      <c r="Q973" s="297"/>
      <c r="R973" s="298"/>
      <c r="S973" s="298"/>
      <c r="T973" s="299"/>
      <c r="U973" s="279"/>
      <c r="V973" s="279"/>
      <c r="W973" s="279"/>
      <c r="X973" s="279"/>
      <c r="Y973" s="279"/>
      <c r="Z973" s="279"/>
      <c r="AA973" s="279"/>
      <c r="AB973" s="279"/>
      <c r="AC973" s="279"/>
      <c r="AD973" s="279"/>
      <c r="AE973" s="279"/>
      <c r="AF973" s="279"/>
      <c r="AG973" s="279"/>
      <c r="AH973" s="279"/>
      <c r="AI973" s="279"/>
      <c r="AJ973" s="279"/>
      <c r="AK973" s="279"/>
      <c r="AL973" s="279"/>
      <c r="AM973" s="279"/>
      <c r="AN973" s="279"/>
      <c r="AO973" s="279"/>
      <c r="AP973" s="279"/>
      <c r="AQ973" s="279"/>
      <c r="AR973" s="279"/>
      <c r="AS973" s="279"/>
      <c r="AT973" s="279"/>
      <c r="AU973" s="279"/>
      <c r="AV973" s="279"/>
      <c r="AW973" s="279"/>
      <c r="AX973" s="279"/>
      <c r="AY973" s="279"/>
      <c r="AZ973" s="279"/>
      <c r="BA973" s="279"/>
      <c r="BB973" s="279"/>
      <c r="BC973" s="279"/>
      <c r="BD973" s="279"/>
      <c r="BE973" s="279"/>
      <c r="BF973" s="279"/>
      <c r="BG973" s="279"/>
      <c r="BH973" s="279"/>
      <c r="BI973" s="279"/>
      <c r="BJ973" s="279"/>
      <c r="BK973" s="279"/>
      <c r="BL973" s="279"/>
      <c r="BM973" s="279"/>
      <c r="BN973" s="279"/>
      <c r="BO973" s="279"/>
      <c r="BP973" s="279"/>
      <c r="BQ973" s="279"/>
      <c r="BR973" s="279"/>
      <c r="BS973" s="279"/>
      <c r="BT973" s="279"/>
      <c r="BU973" s="279"/>
      <c r="BV973" s="279"/>
      <c r="BW973" s="279"/>
      <c r="BX973" s="279"/>
      <c r="BY973" s="279"/>
      <c r="BZ973" s="279"/>
      <c r="CA973" s="279"/>
      <c r="CB973" s="279"/>
      <c r="CC973" s="279"/>
      <c r="CD973" s="279"/>
      <c r="CE973" s="279"/>
      <c r="CF973" s="279"/>
      <c r="CG973" s="279"/>
      <c r="CH973" s="279"/>
      <c r="CI973" s="279"/>
      <c r="CJ973" s="279"/>
      <c r="CK973" s="279"/>
      <c r="CL973" s="279"/>
      <c r="CM973" s="279"/>
      <c r="CN973" s="382"/>
    </row>
    <row r="974" x14ac:dyDescent="0.3">
      <c r="B974" s="361"/>
      <c r="C974" s="279"/>
      <c r="D974" s="280"/>
      <c r="E974" s="287"/>
      <c r="F974" s="287"/>
      <c r="G974" s="287"/>
      <c r="H974" s="1292">
        <f t="shared" si="42"/>
        <v>17</v>
      </c>
      <c r="I974" s="1190" t="str">
        <f>'I. Stream &amp; Compound Data'!P278</f>
        <v/>
      </c>
      <c r="J974" s="1295" t="str">
        <f>IF(I158="","",IF('I. Stream &amp; Compound Data'!CS278="",0,'I. Stream &amp; Compound Data'!CS278))</f>
        <v/>
      </c>
      <c r="K974" s="1312" t="str">
        <f t="shared" si="43"/>
        <v/>
      </c>
      <c r="L974" s="301" t="str">
        <f t="shared" si="44"/>
        <v/>
      </c>
      <c r="M974" s="287"/>
      <c r="N974" s="296"/>
      <c r="O974" s="280"/>
      <c r="P974" s="280"/>
      <c r="Q974" s="279"/>
      <c r="R974" s="297"/>
      <c r="S974" s="298"/>
      <c r="T974" s="298"/>
      <c r="U974" s="299"/>
      <c r="V974" s="279"/>
      <c r="W974" s="279"/>
      <c r="X974" s="279"/>
      <c r="Y974" s="279"/>
      <c r="Z974" s="279"/>
      <c r="AA974" s="279"/>
      <c r="AB974" s="279"/>
      <c r="AC974" s="279"/>
      <c r="AD974" s="279"/>
      <c r="AE974" s="279"/>
      <c r="AF974" s="279"/>
      <c r="AG974" s="279"/>
      <c r="AH974" s="279"/>
      <c r="AI974" s="279"/>
      <c r="AJ974" s="279"/>
      <c r="AK974" s="279"/>
      <c r="AL974" s="279"/>
      <c r="AM974" s="279"/>
      <c r="AN974" s="279"/>
      <c r="AO974" s="279"/>
      <c r="AP974" s="279"/>
      <c r="AQ974" s="279"/>
      <c r="AR974" s="279"/>
      <c r="AS974" s="279"/>
      <c r="AT974" s="279"/>
      <c r="AU974" s="279"/>
      <c r="AV974" s="279"/>
      <c r="AW974" s="279"/>
      <c r="AX974" s="279"/>
      <c r="AY974" s="279"/>
      <c r="AZ974" s="279"/>
      <c r="BA974" s="279"/>
      <c r="BB974" s="279"/>
      <c r="BC974" s="279"/>
      <c r="BD974" s="279"/>
      <c r="BE974" s="279"/>
      <c r="BF974" s="279"/>
      <c r="BG974" s="279"/>
      <c r="BH974" s="279"/>
      <c r="BI974" s="279"/>
      <c r="BJ974" s="279"/>
      <c r="BK974" s="279"/>
      <c r="BL974" s="279"/>
      <c r="BM974" s="279"/>
      <c r="BN974" s="279"/>
      <c r="BO974" s="279"/>
      <c r="BP974" s="279"/>
      <c r="BQ974" s="279"/>
      <c r="BR974" s="279"/>
      <c r="BS974" s="279"/>
      <c r="BT974" s="279"/>
      <c r="BU974" s="279"/>
      <c r="BV974" s="279"/>
      <c r="BW974" s="279"/>
      <c r="BX974" s="279"/>
      <c r="BY974" s="279"/>
      <c r="BZ974" s="279"/>
      <c r="CA974" s="279"/>
      <c r="CB974" s="279"/>
      <c r="CC974" s="279"/>
      <c r="CD974" s="279"/>
      <c r="CE974" s="279"/>
      <c r="CF974" s="279"/>
      <c r="CG974" s="279"/>
      <c r="CH974" s="279"/>
      <c r="CI974" s="279"/>
      <c r="CJ974" s="279"/>
      <c r="CK974" s="279"/>
      <c r="CL974" s="279"/>
      <c r="CM974" s="279"/>
      <c r="CN974" s="382"/>
    </row>
    <row r="975" x14ac:dyDescent="0.3">
      <c r="B975" s="361"/>
      <c r="C975" s="279"/>
      <c r="D975" s="280"/>
      <c r="E975" s="287"/>
      <c r="F975" s="287"/>
      <c r="G975" s="287"/>
      <c r="H975" s="1292">
        <f t="shared" si="42"/>
        <v>18</v>
      </c>
      <c r="I975" s="1190" t="str">
        <f>'I. Stream &amp; Compound Data'!P279</f>
        <v/>
      </c>
      <c r="J975" s="1295" t="str">
        <f>IF(I159="","",IF('I. Stream &amp; Compound Data'!CS279="",0,'I. Stream &amp; Compound Data'!CS279))</f>
        <v/>
      </c>
      <c r="K975" s="1312" t="str">
        <f t="shared" si="43"/>
        <v/>
      </c>
      <c r="L975" s="301" t="str">
        <f t="shared" si="44"/>
        <v/>
      </c>
      <c r="M975" s="296"/>
      <c r="N975" s="280"/>
      <c r="O975" s="280"/>
      <c r="P975" s="279"/>
      <c r="Q975" s="297"/>
      <c r="R975" s="298"/>
      <c r="S975" s="298"/>
      <c r="T975" s="299"/>
      <c r="U975" s="279"/>
      <c r="V975" s="279"/>
      <c r="W975" s="279"/>
      <c r="X975" s="279"/>
      <c r="Y975" s="279"/>
      <c r="Z975" s="279"/>
      <c r="AA975" s="279"/>
      <c r="AB975" s="279"/>
      <c r="AC975" s="279"/>
      <c r="AD975" s="279"/>
      <c r="AE975" s="279"/>
      <c r="AF975" s="279"/>
      <c r="AG975" s="279"/>
      <c r="AH975" s="279"/>
      <c r="AI975" s="279"/>
      <c r="AJ975" s="279"/>
      <c r="AK975" s="279"/>
      <c r="AL975" s="279"/>
      <c r="AM975" s="279"/>
      <c r="AN975" s="279"/>
      <c r="AO975" s="279"/>
      <c r="AP975" s="279"/>
      <c r="AQ975" s="279"/>
      <c r="AR975" s="279"/>
      <c r="AS975" s="279"/>
      <c r="AT975" s="279"/>
      <c r="AU975" s="279"/>
      <c r="AV975" s="279"/>
      <c r="AW975" s="279"/>
      <c r="AX975" s="279"/>
      <c r="AY975" s="279"/>
      <c r="AZ975" s="279"/>
      <c r="BA975" s="279"/>
      <c r="BB975" s="279"/>
      <c r="BC975" s="279"/>
      <c r="BD975" s="279"/>
      <c r="BE975" s="279"/>
      <c r="BF975" s="279"/>
      <c r="BG975" s="279"/>
      <c r="BH975" s="279"/>
      <c r="BI975" s="279"/>
      <c r="BJ975" s="279"/>
      <c r="BK975" s="279"/>
      <c r="BL975" s="279"/>
      <c r="BM975" s="279"/>
      <c r="BN975" s="279"/>
      <c r="BO975" s="279"/>
      <c r="BP975" s="279"/>
      <c r="BQ975" s="279"/>
      <c r="BR975" s="279"/>
      <c r="BS975" s="279"/>
      <c r="BT975" s="279"/>
      <c r="BU975" s="279"/>
      <c r="BV975" s="279"/>
      <c r="BW975" s="279"/>
      <c r="BX975" s="279"/>
      <c r="BY975" s="279"/>
      <c r="BZ975" s="279"/>
      <c r="CA975" s="279"/>
      <c r="CB975" s="279"/>
      <c r="CC975" s="279"/>
      <c r="CD975" s="279"/>
      <c r="CE975" s="279"/>
      <c r="CF975" s="279"/>
      <c r="CG975" s="279"/>
      <c r="CH975" s="279"/>
      <c r="CI975" s="279"/>
      <c r="CJ975" s="279"/>
      <c r="CK975" s="279"/>
      <c r="CL975" s="279"/>
      <c r="CM975" s="279"/>
      <c r="CN975" s="382"/>
    </row>
    <row r="976" x14ac:dyDescent="0.3">
      <c r="B976" s="361"/>
      <c r="C976" s="279"/>
      <c r="D976" s="280"/>
      <c r="E976" s="287"/>
      <c r="F976" s="287"/>
      <c r="G976" s="287"/>
      <c r="H976" s="1292">
        <f t="shared" si="42"/>
        <v>19</v>
      </c>
      <c r="I976" s="1190" t="str">
        <f>'I. Stream &amp; Compound Data'!P280</f>
        <v/>
      </c>
      <c r="J976" s="1295" t="str">
        <f>IF(I160="","",IF('I. Stream &amp; Compound Data'!CS280="",0,'I. Stream &amp; Compound Data'!CS280))</f>
        <v/>
      </c>
      <c r="K976" s="1312" t="str">
        <f t="shared" si="43"/>
        <v/>
      </c>
      <c r="L976" s="301" t="str">
        <f t="shared" si="44"/>
        <v/>
      </c>
      <c r="M976" s="306"/>
      <c r="N976" s="280"/>
      <c r="O976" s="280"/>
      <c r="P976" s="279"/>
      <c r="Q976" s="297"/>
      <c r="R976" s="298"/>
      <c r="S976" s="298"/>
      <c r="T976" s="299"/>
      <c r="U976" s="279"/>
      <c r="V976" s="279"/>
      <c r="W976" s="279"/>
      <c r="X976" s="279"/>
      <c r="Y976" s="279"/>
      <c r="Z976" s="279"/>
      <c r="AA976" s="279"/>
      <c r="AB976" s="279"/>
      <c r="AC976" s="279"/>
      <c r="AD976" s="279"/>
      <c r="AE976" s="279"/>
      <c r="AF976" s="279"/>
      <c r="AG976" s="279"/>
      <c r="AH976" s="279"/>
      <c r="AI976" s="279"/>
      <c r="AJ976" s="279"/>
      <c r="AK976" s="279"/>
      <c r="AL976" s="279"/>
      <c r="AM976" s="279"/>
      <c r="AN976" s="279"/>
      <c r="AO976" s="279"/>
      <c r="AP976" s="279"/>
      <c r="AQ976" s="279"/>
      <c r="AR976" s="279"/>
      <c r="AS976" s="279"/>
      <c r="AT976" s="279"/>
      <c r="AU976" s="279"/>
      <c r="AV976" s="279"/>
      <c r="AW976" s="279"/>
      <c r="AX976" s="279"/>
      <c r="AY976" s="279"/>
      <c r="AZ976" s="279"/>
      <c r="BA976" s="279"/>
      <c r="BB976" s="279"/>
      <c r="BC976" s="279"/>
      <c r="BD976" s="279"/>
      <c r="BE976" s="279"/>
      <c r="BF976" s="279"/>
      <c r="BG976" s="279"/>
      <c r="BH976" s="279"/>
      <c r="BI976" s="279"/>
      <c r="BJ976" s="279"/>
      <c r="BK976" s="279"/>
      <c r="BL976" s="279"/>
      <c r="BM976" s="279"/>
      <c r="BN976" s="279"/>
      <c r="BO976" s="279"/>
      <c r="BP976" s="279"/>
      <c r="BQ976" s="279"/>
      <c r="BR976" s="279"/>
      <c r="BS976" s="279"/>
      <c r="BT976" s="279"/>
      <c r="BU976" s="279"/>
      <c r="BV976" s="279"/>
      <c r="BW976" s="279"/>
      <c r="BX976" s="279"/>
      <c r="BY976" s="279"/>
      <c r="BZ976" s="279"/>
      <c r="CA976" s="279"/>
      <c r="CB976" s="279"/>
      <c r="CC976" s="279"/>
      <c r="CD976" s="279"/>
      <c r="CE976" s="279"/>
      <c r="CF976" s="279"/>
      <c r="CG976" s="279"/>
      <c r="CH976" s="279"/>
      <c r="CI976" s="279"/>
      <c r="CJ976" s="279"/>
      <c r="CK976" s="279"/>
      <c r="CL976" s="279"/>
      <c r="CM976" s="279"/>
      <c r="CN976" s="382"/>
    </row>
    <row r="977" x14ac:dyDescent="0.3">
      <c r="B977" s="361"/>
      <c r="C977" s="279"/>
      <c r="D977" s="280"/>
      <c r="E977" s="287"/>
      <c r="F977" s="287"/>
      <c r="G977" s="287"/>
      <c r="H977" s="1292">
        <f t="shared" si="42"/>
        <v>20</v>
      </c>
      <c r="I977" s="1190" t="str">
        <f>'I. Stream &amp; Compound Data'!P281</f>
        <v/>
      </c>
      <c r="J977" s="1295" t="str">
        <f>IF(I161="","",IF('I. Stream &amp; Compound Data'!CS281="",0,'I. Stream &amp; Compound Data'!CS281))</f>
        <v/>
      </c>
      <c r="K977" s="1312" t="str">
        <f t="shared" ref="K977:K1007" si="45">IF(I161="","",I977*J977)</f>
        <v/>
      </c>
      <c r="L977" s="301" t="str">
        <f t="shared" ref="L977:L1007" si="46">IF(K977="","",(IF(J977=0,1,J977))*I977)</f>
        <v/>
      </c>
      <c r="M977" s="296"/>
      <c r="N977" s="280"/>
      <c r="O977" s="280"/>
      <c r="P977" s="279"/>
      <c r="Q977" s="297"/>
      <c r="R977" s="298"/>
      <c r="S977" s="298"/>
      <c r="T977" s="299"/>
      <c r="U977" s="279"/>
      <c r="V977" s="279"/>
      <c r="W977" s="279"/>
      <c r="X977" s="279"/>
      <c r="Y977" s="279"/>
      <c r="Z977" s="279"/>
      <c r="AA977" s="279"/>
      <c r="AB977" s="279"/>
      <c r="AC977" s="279"/>
      <c r="AD977" s="279"/>
      <c r="AE977" s="279"/>
      <c r="AF977" s="279"/>
      <c r="AG977" s="279"/>
      <c r="AH977" s="279"/>
      <c r="AI977" s="279"/>
      <c r="AJ977" s="279"/>
      <c r="AK977" s="279"/>
      <c r="AL977" s="279"/>
      <c r="AM977" s="279"/>
      <c r="AN977" s="279"/>
      <c r="AO977" s="279"/>
      <c r="AP977" s="279"/>
      <c r="AQ977" s="279"/>
      <c r="AR977" s="279"/>
      <c r="AS977" s="279"/>
      <c r="AT977" s="279"/>
      <c r="AU977" s="279"/>
      <c r="AV977" s="279"/>
      <c r="AW977" s="279"/>
      <c r="AX977" s="279"/>
      <c r="AY977" s="279"/>
      <c r="AZ977" s="279"/>
      <c r="BA977" s="279"/>
      <c r="BB977" s="279"/>
      <c r="BC977" s="279"/>
      <c r="BD977" s="279"/>
      <c r="BE977" s="279"/>
      <c r="BF977" s="279"/>
      <c r="BG977" s="279"/>
      <c r="BH977" s="279"/>
      <c r="BI977" s="279"/>
      <c r="BJ977" s="279"/>
      <c r="BK977" s="279"/>
      <c r="BL977" s="279"/>
      <c r="BM977" s="279"/>
      <c r="BN977" s="279"/>
      <c r="BO977" s="279"/>
      <c r="BP977" s="279"/>
      <c r="BQ977" s="279"/>
      <c r="BR977" s="279"/>
      <c r="BS977" s="279"/>
      <c r="BT977" s="279"/>
      <c r="BU977" s="279"/>
      <c r="BV977" s="279"/>
      <c r="BW977" s="279"/>
      <c r="BX977" s="279"/>
      <c r="BY977" s="279"/>
      <c r="BZ977" s="279"/>
      <c r="CA977" s="279"/>
      <c r="CB977" s="279"/>
      <c r="CC977" s="279"/>
      <c r="CD977" s="279"/>
      <c r="CE977" s="279"/>
      <c r="CF977" s="279"/>
      <c r="CG977" s="279"/>
      <c r="CH977" s="279"/>
      <c r="CI977" s="279"/>
      <c r="CJ977" s="279"/>
      <c r="CK977" s="279"/>
      <c r="CL977" s="279"/>
      <c r="CM977" s="279"/>
      <c r="CN977" s="382"/>
    </row>
    <row r="978" x14ac:dyDescent="0.3">
      <c r="B978" s="361"/>
      <c r="C978" s="279"/>
      <c r="D978" s="280"/>
      <c r="E978" s="287"/>
      <c r="F978" s="287"/>
      <c r="G978" s="287"/>
      <c r="H978" s="1292">
        <f t="shared" si="42"/>
        <v>21</v>
      </c>
      <c r="I978" s="1190" t="str">
        <f>'I. Stream &amp; Compound Data'!P282</f>
        <v/>
      </c>
      <c r="J978" s="1295" t="str">
        <f>IF(I162="","",IF('I. Stream &amp; Compound Data'!CS282="",0,'I. Stream &amp; Compound Data'!CS282))</f>
        <v/>
      </c>
      <c r="K978" s="1312" t="str">
        <f t="shared" si="45"/>
        <v/>
      </c>
      <c r="L978" s="301" t="str">
        <f t="shared" si="46"/>
        <v/>
      </c>
      <c r="M978" s="296"/>
      <c r="N978" s="280"/>
      <c r="O978" s="280"/>
      <c r="P978" s="279"/>
      <c r="Q978" s="297"/>
      <c r="R978" s="298"/>
      <c r="S978" s="298"/>
      <c r="T978" s="299"/>
      <c r="U978" s="279"/>
      <c r="V978" s="279"/>
      <c r="W978" s="279"/>
      <c r="X978" s="279"/>
      <c r="Y978" s="279"/>
      <c r="Z978" s="279"/>
      <c r="AA978" s="279"/>
      <c r="AB978" s="279"/>
      <c r="AC978" s="279"/>
      <c r="AD978" s="279"/>
      <c r="AE978" s="279"/>
      <c r="AF978" s="279"/>
      <c r="AG978" s="279"/>
      <c r="AH978" s="279"/>
      <c r="AI978" s="279"/>
      <c r="AJ978" s="279"/>
      <c r="AK978" s="279"/>
      <c r="AL978" s="279"/>
      <c r="AM978" s="279"/>
      <c r="AN978" s="279"/>
      <c r="AO978" s="279"/>
      <c r="AP978" s="279"/>
      <c r="AQ978" s="279"/>
      <c r="AR978" s="279"/>
      <c r="AS978" s="279"/>
      <c r="AT978" s="279"/>
      <c r="AU978" s="279"/>
      <c r="AV978" s="279"/>
      <c r="AW978" s="279"/>
      <c r="AX978" s="279"/>
      <c r="AY978" s="279"/>
      <c r="AZ978" s="279"/>
      <c r="BA978" s="279"/>
      <c r="BB978" s="279"/>
      <c r="BC978" s="279"/>
      <c r="BD978" s="279"/>
      <c r="BE978" s="279"/>
      <c r="BF978" s="279"/>
      <c r="BG978" s="279"/>
      <c r="BH978" s="279"/>
      <c r="BI978" s="279"/>
      <c r="BJ978" s="279"/>
      <c r="BK978" s="279"/>
      <c r="BL978" s="279"/>
      <c r="BM978" s="279"/>
      <c r="BN978" s="279"/>
      <c r="BO978" s="279"/>
      <c r="BP978" s="279"/>
      <c r="BQ978" s="279"/>
      <c r="BR978" s="279"/>
      <c r="BS978" s="279"/>
      <c r="BT978" s="279"/>
      <c r="BU978" s="279"/>
      <c r="BV978" s="279"/>
      <c r="BW978" s="279"/>
      <c r="BX978" s="279"/>
      <c r="BY978" s="279"/>
      <c r="BZ978" s="279"/>
      <c r="CA978" s="279"/>
      <c r="CB978" s="279"/>
      <c r="CC978" s="279"/>
      <c r="CD978" s="279"/>
      <c r="CE978" s="279"/>
      <c r="CF978" s="279"/>
      <c r="CG978" s="279"/>
      <c r="CH978" s="279"/>
      <c r="CI978" s="279"/>
      <c r="CJ978" s="279"/>
      <c r="CK978" s="279"/>
      <c r="CL978" s="279"/>
      <c r="CM978" s="279"/>
      <c r="CN978" s="382"/>
    </row>
    <row r="979" x14ac:dyDescent="0.3">
      <c r="B979" s="361"/>
      <c r="C979" s="279"/>
      <c r="D979" s="280"/>
      <c r="E979" s="287"/>
      <c r="F979" s="287"/>
      <c r="G979" s="287"/>
      <c r="H979" s="1292">
        <f t="shared" si="42"/>
        <v>22</v>
      </c>
      <c r="I979" s="1190" t="str">
        <f>'I. Stream &amp; Compound Data'!P283</f>
        <v/>
      </c>
      <c r="J979" s="1295" t="str">
        <f>IF(I163="","",IF('I. Stream &amp; Compound Data'!CS283="",0,'I. Stream &amp; Compound Data'!CS283))</f>
        <v/>
      </c>
      <c r="K979" s="1312" t="str">
        <f t="shared" si="45"/>
        <v/>
      </c>
      <c r="L979" s="301" t="str">
        <f t="shared" si="46"/>
        <v/>
      </c>
      <c r="M979" s="296"/>
      <c r="N979" s="280"/>
      <c r="O979" s="280"/>
      <c r="P979" s="279"/>
      <c r="Q979" s="297"/>
      <c r="R979" s="298"/>
      <c r="S979" s="298"/>
      <c r="T979" s="299"/>
      <c r="U979" s="279"/>
      <c r="V979" s="279"/>
      <c r="W979" s="279"/>
      <c r="X979" s="279"/>
      <c r="Y979" s="279"/>
      <c r="Z979" s="279"/>
      <c r="AA979" s="279"/>
      <c r="AB979" s="279"/>
      <c r="AC979" s="279"/>
      <c r="AD979" s="279"/>
      <c r="AE979" s="279"/>
      <c r="AF979" s="279"/>
      <c r="AG979" s="279"/>
      <c r="AH979" s="279"/>
      <c r="AI979" s="279"/>
      <c r="AJ979" s="279"/>
      <c r="AK979" s="279"/>
      <c r="AL979" s="279"/>
      <c r="AM979" s="279"/>
      <c r="AN979" s="279"/>
      <c r="AO979" s="279"/>
      <c r="AP979" s="279"/>
      <c r="AQ979" s="279"/>
      <c r="AR979" s="279"/>
      <c r="AS979" s="279"/>
      <c r="AT979" s="279"/>
      <c r="AU979" s="279"/>
      <c r="AV979" s="279"/>
      <c r="AW979" s="279"/>
      <c r="AX979" s="279"/>
      <c r="AY979" s="279"/>
      <c r="AZ979" s="279"/>
      <c r="BA979" s="279"/>
      <c r="BB979" s="279"/>
      <c r="BC979" s="279"/>
      <c r="BD979" s="279"/>
      <c r="BE979" s="279"/>
      <c r="BF979" s="279"/>
      <c r="BG979" s="279"/>
      <c r="BH979" s="279"/>
      <c r="BI979" s="279"/>
      <c r="BJ979" s="279"/>
      <c r="BK979" s="279"/>
      <c r="BL979" s="279"/>
      <c r="BM979" s="279"/>
      <c r="BN979" s="279"/>
      <c r="BO979" s="279"/>
      <c r="BP979" s="279"/>
      <c r="BQ979" s="279"/>
      <c r="BR979" s="279"/>
      <c r="BS979" s="279"/>
      <c r="BT979" s="279"/>
      <c r="BU979" s="279"/>
      <c r="BV979" s="279"/>
      <c r="BW979" s="279"/>
      <c r="BX979" s="279"/>
      <c r="BY979" s="279"/>
      <c r="BZ979" s="279"/>
      <c r="CA979" s="279"/>
      <c r="CB979" s="279"/>
      <c r="CC979" s="279"/>
      <c r="CD979" s="279"/>
      <c r="CE979" s="279"/>
      <c r="CF979" s="279"/>
      <c r="CG979" s="279"/>
      <c r="CH979" s="279"/>
      <c r="CI979" s="279"/>
      <c r="CJ979" s="279"/>
      <c r="CK979" s="279"/>
      <c r="CL979" s="279"/>
      <c r="CM979" s="279"/>
      <c r="CN979" s="382"/>
    </row>
    <row r="980" x14ac:dyDescent="0.3">
      <c r="B980" s="361"/>
      <c r="C980" s="279"/>
      <c r="D980" s="280"/>
      <c r="E980" s="287"/>
      <c r="F980" s="287"/>
      <c r="G980" s="287"/>
      <c r="H980" s="1292">
        <f t="shared" si="42"/>
        <v>23</v>
      </c>
      <c r="I980" s="1190" t="str">
        <f>'I. Stream &amp; Compound Data'!P284</f>
        <v/>
      </c>
      <c r="J980" s="1295" t="str">
        <f>IF(I164="","",IF('I. Stream &amp; Compound Data'!CS284="",0,'I. Stream &amp; Compound Data'!CS284))</f>
        <v/>
      </c>
      <c r="K980" s="1312" t="str">
        <f t="shared" si="45"/>
        <v/>
      </c>
      <c r="L980" s="301" t="str">
        <f t="shared" si="46"/>
        <v/>
      </c>
      <c r="M980" s="296"/>
      <c r="N980" s="280"/>
      <c r="O980" s="280"/>
      <c r="P980" s="279"/>
      <c r="Q980" s="297"/>
      <c r="R980" s="298"/>
      <c r="S980" s="298"/>
      <c r="T980" s="299"/>
      <c r="U980" s="279"/>
      <c r="V980" s="279"/>
      <c r="W980" s="279"/>
      <c r="X980" s="279"/>
      <c r="Y980" s="279"/>
      <c r="Z980" s="279"/>
      <c r="AA980" s="279"/>
      <c r="AB980" s="279"/>
      <c r="AC980" s="279"/>
      <c r="AD980" s="279"/>
      <c r="AE980" s="279"/>
      <c r="AF980" s="279"/>
      <c r="AG980" s="279"/>
      <c r="AH980" s="279"/>
      <c r="AI980" s="279"/>
      <c r="AJ980" s="279"/>
      <c r="AK980" s="279"/>
      <c r="AL980" s="279"/>
      <c r="AM980" s="279"/>
      <c r="AN980" s="279"/>
      <c r="AO980" s="279"/>
      <c r="AP980" s="279"/>
      <c r="AQ980" s="279"/>
      <c r="AR980" s="279"/>
      <c r="AS980" s="279"/>
      <c r="AT980" s="279"/>
      <c r="AU980" s="279"/>
      <c r="AV980" s="279"/>
      <c r="AW980" s="279"/>
      <c r="AX980" s="279"/>
      <c r="AY980" s="279"/>
      <c r="AZ980" s="279"/>
      <c r="BA980" s="279"/>
      <c r="BB980" s="279"/>
      <c r="BC980" s="279"/>
      <c r="BD980" s="279"/>
      <c r="BE980" s="279"/>
      <c r="BF980" s="279"/>
      <c r="BG980" s="279"/>
      <c r="BH980" s="279"/>
      <c r="BI980" s="279"/>
      <c r="BJ980" s="279"/>
      <c r="BK980" s="279"/>
      <c r="BL980" s="279"/>
      <c r="BM980" s="279"/>
      <c r="BN980" s="279"/>
      <c r="BO980" s="279"/>
      <c r="BP980" s="279"/>
      <c r="BQ980" s="279"/>
      <c r="BR980" s="279"/>
      <c r="BS980" s="279"/>
      <c r="BT980" s="279"/>
      <c r="BU980" s="279"/>
      <c r="BV980" s="279"/>
      <c r="BW980" s="279"/>
      <c r="BX980" s="279"/>
      <c r="BY980" s="279"/>
      <c r="BZ980" s="279"/>
      <c r="CA980" s="279"/>
      <c r="CB980" s="279"/>
      <c r="CC980" s="279"/>
      <c r="CD980" s="279"/>
      <c r="CE980" s="279"/>
      <c r="CF980" s="279"/>
      <c r="CG980" s="279"/>
      <c r="CH980" s="279"/>
      <c r="CI980" s="279"/>
      <c r="CJ980" s="279"/>
      <c r="CK980" s="279"/>
      <c r="CL980" s="279"/>
      <c r="CM980" s="279"/>
      <c r="CN980" s="382"/>
    </row>
    <row r="981" x14ac:dyDescent="0.3">
      <c r="B981" s="361"/>
      <c r="C981" s="279"/>
      <c r="D981" s="280"/>
      <c r="E981" s="287"/>
      <c r="F981" s="287"/>
      <c r="G981" s="287"/>
      <c r="H981" s="1292">
        <f t="shared" si="42"/>
        <v>24</v>
      </c>
      <c r="I981" s="1190" t="str">
        <f>'I. Stream &amp; Compound Data'!P285</f>
        <v/>
      </c>
      <c r="J981" s="1295" t="str">
        <f>IF(I165="","",IF('I. Stream &amp; Compound Data'!CS285="",0,'I. Stream &amp; Compound Data'!CS285))</f>
        <v/>
      </c>
      <c r="K981" s="1312" t="str">
        <f t="shared" si="45"/>
        <v/>
      </c>
      <c r="L981" s="301" t="str">
        <f t="shared" si="46"/>
        <v/>
      </c>
      <c r="M981" s="296"/>
      <c r="N981" s="280"/>
      <c r="O981" s="280"/>
      <c r="P981" s="279"/>
      <c r="Q981" s="297"/>
      <c r="R981" s="298"/>
      <c r="S981" s="298"/>
      <c r="T981" s="299"/>
      <c r="U981" s="279"/>
      <c r="V981" s="279"/>
      <c r="W981" s="279"/>
      <c r="X981" s="279"/>
      <c r="Y981" s="279"/>
      <c r="Z981" s="279"/>
      <c r="AA981" s="279"/>
      <c r="AB981" s="279"/>
      <c r="AC981" s="279"/>
      <c r="AD981" s="279"/>
      <c r="AE981" s="279"/>
      <c r="AF981" s="279"/>
      <c r="AG981" s="279"/>
      <c r="AH981" s="279"/>
      <c r="AI981" s="279"/>
      <c r="AJ981" s="279"/>
      <c r="AK981" s="279"/>
      <c r="AL981" s="279"/>
      <c r="AM981" s="279"/>
      <c r="AN981" s="279"/>
      <c r="AO981" s="279"/>
      <c r="AP981" s="279"/>
      <c r="AQ981" s="279"/>
      <c r="AR981" s="279"/>
      <c r="AS981" s="279"/>
      <c r="AT981" s="279"/>
      <c r="AU981" s="279"/>
      <c r="AV981" s="279"/>
      <c r="AW981" s="279"/>
      <c r="AX981" s="279"/>
      <c r="AY981" s="279"/>
      <c r="AZ981" s="279"/>
      <c r="BA981" s="279"/>
      <c r="BB981" s="279"/>
      <c r="BC981" s="279"/>
      <c r="BD981" s="279"/>
      <c r="BE981" s="279"/>
      <c r="BF981" s="279"/>
      <c r="BG981" s="279"/>
      <c r="BH981" s="279"/>
      <c r="BI981" s="279"/>
      <c r="BJ981" s="279"/>
      <c r="BK981" s="279"/>
      <c r="BL981" s="279"/>
      <c r="BM981" s="279"/>
      <c r="BN981" s="279"/>
      <c r="BO981" s="279"/>
      <c r="BP981" s="279"/>
      <c r="BQ981" s="279"/>
      <c r="BR981" s="279"/>
      <c r="BS981" s="279"/>
      <c r="BT981" s="279"/>
      <c r="BU981" s="279"/>
      <c r="BV981" s="279"/>
      <c r="BW981" s="279"/>
      <c r="BX981" s="279"/>
      <c r="BY981" s="279"/>
      <c r="BZ981" s="279"/>
      <c r="CA981" s="279"/>
      <c r="CB981" s="279"/>
      <c r="CC981" s="279"/>
      <c r="CD981" s="279"/>
      <c r="CE981" s="279"/>
      <c r="CF981" s="279"/>
      <c r="CG981" s="279"/>
      <c r="CH981" s="279"/>
      <c r="CI981" s="279"/>
      <c r="CJ981" s="279"/>
      <c r="CK981" s="279"/>
      <c r="CL981" s="279"/>
      <c r="CM981" s="279"/>
      <c r="CN981" s="382"/>
    </row>
    <row r="982" x14ac:dyDescent="0.3">
      <c r="B982" s="361"/>
      <c r="C982" s="279"/>
      <c r="D982" s="280"/>
      <c r="E982" s="287"/>
      <c r="F982" s="287"/>
      <c r="G982" s="287"/>
      <c r="H982" s="1292">
        <f t="shared" si="42"/>
        <v>25</v>
      </c>
      <c r="I982" s="1190" t="str">
        <f>'I. Stream &amp; Compound Data'!P286</f>
        <v/>
      </c>
      <c r="J982" s="1295" t="str">
        <f>IF(I166="","",IF('I. Stream &amp; Compound Data'!CS286="",0,'I. Stream &amp; Compound Data'!CS286))</f>
        <v/>
      </c>
      <c r="K982" s="1312" t="str">
        <f t="shared" si="45"/>
        <v/>
      </c>
      <c r="L982" s="301" t="str">
        <f t="shared" si="46"/>
        <v/>
      </c>
      <c r="M982" s="296"/>
      <c r="N982" s="280"/>
      <c r="O982" s="280"/>
      <c r="P982" s="279"/>
      <c r="Q982" s="297"/>
      <c r="R982" s="298"/>
      <c r="S982" s="298"/>
      <c r="T982" s="299"/>
      <c r="U982" s="279"/>
      <c r="V982" s="279"/>
      <c r="W982" s="279"/>
      <c r="X982" s="279"/>
      <c r="Y982" s="279"/>
      <c r="Z982" s="279"/>
      <c r="AA982" s="279"/>
      <c r="AB982" s="279"/>
      <c r="AC982" s="279"/>
      <c r="AD982" s="279"/>
      <c r="AE982" s="279"/>
      <c r="AF982" s="279"/>
      <c r="AG982" s="279"/>
      <c r="AH982" s="279"/>
      <c r="AI982" s="279"/>
      <c r="AJ982" s="279"/>
      <c r="AK982" s="279"/>
      <c r="AL982" s="279"/>
      <c r="AM982" s="279"/>
      <c r="AN982" s="279"/>
      <c r="AO982" s="279"/>
      <c r="AP982" s="279"/>
      <c r="AQ982" s="279"/>
      <c r="AR982" s="279"/>
      <c r="AS982" s="279"/>
      <c r="AT982" s="279"/>
      <c r="AU982" s="279"/>
      <c r="AV982" s="279"/>
      <c r="AW982" s="279"/>
      <c r="AX982" s="279"/>
      <c r="AY982" s="279"/>
      <c r="AZ982" s="279"/>
      <c r="BA982" s="279"/>
      <c r="BB982" s="279"/>
      <c r="BC982" s="279"/>
      <c r="BD982" s="279"/>
      <c r="BE982" s="279"/>
      <c r="BF982" s="279"/>
      <c r="BG982" s="279"/>
      <c r="BH982" s="279"/>
      <c r="BI982" s="279"/>
      <c r="BJ982" s="279"/>
      <c r="BK982" s="279"/>
      <c r="BL982" s="279"/>
      <c r="BM982" s="279"/>
      <c r="BN982" s="279"/>
      <c r="BO982" s="279"/>
      <c r="BP982" s="279"/>
      <c r="BQ982" s="279"/>
      <c r="BR982" s="279"/>
      <c r="BS982" s="279"/>
      <c r="BT982" s="279"/>
      <c r="BU982" s="279"/>
      <c r="BV982" s="279"/>
      <c r="BW982" s="279"/>
      <c r="BX982" s="279"/>
      <c r="BY982" s="279"/>
      <c r="BZ982" s="279"/>
      <c r="CA982" s="279"/>
      <c r="CB982" s="279"/>
      <c r="CC982" s="279"/>
      <c r="CD982" s="279"/>
      <c r="CE982" s="279"/>
      <c r="CF982" s="279"/>
      <c r="CG982" s="279"/>
      <c r="CH982" s="279"/>
      <c r="CI982" s="279"/>
      <c r="CJ982" s="279"/>
      <c r="CK982" s="279"/>
      <c r="CL982" s="279"/>
      <c r="CM982" s="279"/>
      <c r="CN982" s="382"/>
    </row>
    <row r="983" x14ac:dyDescent="0.3">
      <c r="B983" s="361"/>
      <c r="C983" s="279"/>
      <c r="D983" s="280"/>
      <c r="E983" s="287"/>
      <c r="F983" s="287"/>
      <c r="G983" s="287"/>
      <c r="H983" s="1292">
        <f t="shared" si="42"/>
        <v>26</v>
      </c>
      <c r="I983" s="1190" t="str">
        <f>'I. Stream &amp; Compound Data'!P287</f>
        <v/>
      </c>
      <c r="J983" s="1295" t="str">
        <f>IF(I167="","",IF('I. Stream &amp; Compound Data'!CS287="",0,'I. Stream &amp; Compound Data'!CS287))</f>
        <v/>
      </c>
      <c r="K983" s="1312" t="str">
        <f t="shared" si="45"/>
        <v/>
      </c>
      <c r="L983" s="301" t="str">
        <f t="shared" si="46"/>
        <v/>
      </c>
      <c r="M983" s="296"/>
      <c r="N983" s="280"/>
      <c r="O983" s="280"/>
      <c r="P983" s="279"/>
      <c r="Q983" s="297"/>
      <c r="R983" s="298"/>
      <c r="S983" s="298"/>
      <c r="T983" s="299"/>
      <c r="U983" s="279"/>
      <c r="V983" s="279"/>
      <c r="W983" s="279"/>
      <c r="X983" s="279"/>
      <c r="Y983" s="279"/>
      <c r="Z983" s="279"/>
      <c r="AA983" s="279"/>
      <c r="AB983" s="279"/>
      <c r="AC983" s="279"/>
      <c r="AD983" s="279"/>
      <c r="AE983" s="279"/>
      <c r="AF983" s="279"/>
      <c r="AG983" s="279"/>
      <c r="AH983" s="279"/>
      <c r="AI983" s="279"/>
      <c r="AJ983" s="279"/>
      <c r="AK983" s="279"/>
      <c r="AL983" s="279"/>
      <c r="AM983" s="279"/>
      <c r="AN983" s="279"/>
      <c r="AO983" s="279"/>
      <c r="AP983" s="279"/>
      <c r="AQ983" s="279"/>
      <c r="AR983" s="279"/>
      <c r="AS983" s="279"/>
      <c r="AT983" s="279"/>
      <c r="AU983" s="279"/>
      <c r="AV983" s="279"/>
      <c r="AW983" s="279"/>
      <c r="AX983" s="279"/>
      <c r="AY983" s="279"/>
      <c r="AZ983" s="279"/>
      <c r="BA983" s="279"/>
      <c r="BB983" s="279"/>
      <c r="BC983" s="279"/>
      <c r="BD983" s="279"/>
      <c r="BE983" s="279"/>
      <c r="BF983" s="279"/>
      <c r="BG983" s="279"/>
      <c r="BH983" s="279"/>
      <c r="BI983" s="279"/>
      <c r="BJ983" s="279"/>
      <c r="BK983" s="279"/>
      <c r="BL983" s="279"/>
      <c r="BM983" s="279"/>
      <c r="BN983" s="279"/>
      <c r="BO983" s="279"/>
      <c r="BP983" s="279"/>
      <c r="BQ983" s="279"/>
      <c r="BR983" s="279"/>
      <c r="BS983" s="279"/>
      <c r="BT983" s="279"/>
      <c r="BU983" s="279"/>
      <c r="BV983" s="279"/>
      <c r="BW983" s="279"/>
      <c r="BX983" s="279"/>
      <c r="BY983" s="279"/>
      <c r="BZ983" s="279"/>
      <c r="CA983" s="279"/>
      <c r="CB983" s="279"/>
      <c r="CC983" s="279"/>
      <c r="CD983" s="279"/>
      <c r="CE983" s="279"/>
      <c r="CF983" s="279"/>
      <c r="CG983" s="279"/>
      <c r="CH983" s="279"/>
      <c r="CI983" s="279"/>
      <c r="CJ983" s="279"/>
      <c r="CK983" s="279"/>
      <c r="CL983" s="279"/>
      <c r="CM983" s="279"/>
      <c r="CN983" s="382"/>
    </row>
    <row r="984" x14ac:dyDescent="0.3">
      <c r="B984" s="361"/>
      <c r="C984" s="279"/>
      <c r="D984" s="280"/>
      <c r="E984" s="287"/>
      <c r="F984" s="287"/>
      <c r="G984" s="287"/>
      <c r="H984" s="1292">
        <f t="shared" si="42"/>
        <v>27</v>
      </c>
      <c r="I984" s="1190" t="str">
        <f>'I. Stream &amp; Compound Data'!P288</f>
        <v/>
      </c>
      <c r="J984" s="1295" t="str">
        <f>IF(I168="","",IF('I. Stream &amp; Compound Data'!CS288="",0,'I. Stream &amp; Compound Data'!CS288))</f>
        <v/>
      </c>
      <c r="K984" s="1312" t="str">
        <f t="shared" si="45"/>
        <v/>
      </c>
      <c r="L984" s="301" t="str">
        <f t="shared" si="46"/>
        <v/>
      </c>
      <c r="M984" s="296"/>
      <c r="N984" s="280"/>
      <c r="O984" s="280"/>
      <c r="P984" s="279"/>
      <c r="Q984" s="297"/>
      <c r="R984" s="298"/>
      <c r="S984" s="298"/>
      <c r="T984" s="299"/>
      <c r="U984" s="279"/>
      <c r="V984" s="279"/>
      <c r="W984" s="279"/>
      <c r="X984" s="279"/>
      <c r="Y984" s="279"/>
      <c r="Z984" s="279"/>
      <c r="AA984" s="279"/>
      <c r="AB984" s="279"/>
      <c r="AC984" s="279"/>
      <c r="AD984" s="279"/>
      <c r="AE984" s="279"/>
      <c r="AF984" s="279"/>
      <c r="AG984" s="279"/>
      <c r="AH984" s="279"/>
      <c r="AI984" s="279"/>
      <c r="AJ984" s="279"/>
      <c r="AK984" s="279"/>
      <c r="AL984" s="279"/>
      <c r="AM984" s="279"/>
      <c r="AN984" s="279"/>
      <c r="AO984" s="279"/>
      <c r="AP984" s="279"/>
      <c r="AQ984" s="279"/>
      <c r="AR984" s="279"/>
      <c r="AS984" s="279"/>
      <c r="AT984" s="279"/>
      <c r="AU984" s="279"/>
      <c r="AV984" s="279"/>
      <c r="AW984" s="279"/>
      <c r="AX984" s="279"/>
      <c r="AY984" s="279"/>
      <c r="AZ984" s="279"/>
      <c r="BA984" s="279"/>
      <c r="BB984" s="279"/>
      <c r="BC984" s="279"/>
      <c r="BD984" s="279"/>
      <c r="BE984" s="279"/>
      <c r="BF984" s="279"/>
      <c r="BG984" s="279"/>
      <c r="BH984" s="279"/>
      <c r="BI984" s="279"/>
      <c r="BJ984" s="279"/>
      <c r="BK984" s="279"/>
      <c r="BL984" s="279"/>
      <c r="BM984" s="279"/>
      <c r="BN984" s="279"/>
      <c r="BO984" s="279"/>
      <c r="BP984" s="279"/>
      <c r="BQ984" s="279"/>
      <c r="BR984" s="279"/>
      <c r="BS984" s="279"/>
      <c r="BT984" s="279"/>
      <c r="BU984" s="279"/>
      <c r="BV984" s="279"/>
      <c r="BW984" s="279"/>
      <c r="BX984" s="279"/>
      <c r="BY984" s="279"/>
      <c r="BZ984" s="279"/>
      <c r="CA984" s="279"/>
      <c r="CB984" s="279"/>
      <c r="CC984" s="279"/>
      <c r="CD984" s="279"/>
      <c r="CE984" s="279"/>
      <c r="CF984" s="279"/>
      <c r="CG984" s="279"/>
      <c r="CH984" s="279"/>
      <c r="CI984" s="279"/>
      <c r="CJ984" s="279"/>
      <c r="CK984" s="279"/>
      <c r="CL984" s="279"/>
      <c r="CM984" s="279"/>
      <c r="CN984" s="382"/>
    </row>
    <row r="985" x14ac:dyDescent="0.3">
      <c r="B985" s="361"/>
      <c r="C985" s="279"/>
      <c r="D985" s="280"/>
      <c r="E985" s="287"/>
      <c r="F985" s="287"/>
      <c r="G985" s="287"/>
      <c r="H985" s="1292">
        <f t="shared" si="42"/>
        <v>28</v>
      </c>
      <c r="I985" s="1190" t="str">
        <f>'I. Stream &amp; Compound Data'!P289</f>
        <v/>
      </c>
      <c r="J985" s="1295" t="str">
        <f>IF(I169="","",IF('I. Stream &amp; Compound Data'!CS289="",0,'I. Stream &amp; Compound Data'!CS289))</f>
        <v/>
      </c>
      <c r="K985" s="1312" t="str">
        <f t="shared" si="45"/>
        <v/>
      </c>
      <c r="L985" s="301" t="str">
        <f t="shared" si="46"/>
        <v/>
      </c>
      <c r="M985" s="296"/>
      <c r="N985" s="280"/>
      <c r="O985" s="280"/>
      <c r="P985" s="279"/>
      <c r="Q985" s="297"/>
      <c r="R985" s="298"/>
      <c r="S985" s="298"/>
      <c r="T985" s="299"/>
      <c r="U985" s="279"/>
      <c r="V985" s="279"/>
      <c r="W985" s="279"/>
      <c r="X985" s="279"/>
      <c r="Y985" s="279"/>
      <c r="Z985" s="279"/>
      <c r="AA985" s="279"/>
      <c r="AB985" s="279"/>
      <c r="AC985" s="279"/>
      <c r="AD985" s="279"/>
      <c r="AE985" s="279"/>
      <c r="AF985" s="279"/>
      <c r="AG985" s="279"/>
      <c r="AH985" s="279"/>
      <c r="AI985" s="279"/>
      <c r="AJ985" s="279"/>
      <c r="AK985" s="279"/>
      <c r="AL985" s="279"/>
      <c r="AM985" s="279"/>
      <c r="AN985" s="279"/>
      <c r="AO985" s="279"/>
      <c r="AP985" s="279"/>
      <c r="AQ985" s="279"/>
      <c r="AR985" s="279"/>
      <c r="AS985" s="279"/>
      <c r="AT985" s="279"/>
      <c r="AU985" s="279"/>
      <c r="AV985" s="279"/>
      <c r="AW985" s="279"/>
      <c r="AX985" s="279"/>
      <c r="AY985" s="279"/>
      <c r="AZ985" s="279"/>
      <c r="BA985" s="279"/>
      <c r="BB985" s="279"/>
      <c r="BC985" s="279"/>
      <c r="BD985" s="279"/>
      <c r="BE985" s="279"/>
      <c r="BF985" s="279"/>
      <c r="BG985" s="279"/>
      <c r="BH985" s="279"/>
      <c r="BI985" s="279"/>
      <c r="BJ985" s="279"/>
      <c r="BK985" s="279"/>
      <c r="BL985" s="279"/>
      <c r="BM985" s="279"/>
      <c r="BN985" s="279"/>
      <c r="BO985" s="279"/>
      <c r="BP985" s="279"/>
      <c r="BQ985" s="279"/>
      <c r="BR985" s="279"/>
      <c r="BS985" s="279"/>
      <c r="BT985" s="279"/>
      <c r="BU985" s="279"/>
      <c r="BV985" s="279"/>
      <c r="BW985" s="279"/>
      <c r="BX985" s="279"/>
      <c r="BY985" s="279"/>
      <c r="BZ985" s="279"/>
      <c r="CA985" s="279"/>
      <c r="CB985" s="279"/>
      <c r="CC985" s="279"/>
      <c r="CD985" s="279"/>
      <c r="CE985" s="279"/>
      <c r="CF985" s="279"/>
      <c r="CG985" s="279"/>
      <c r="CH985" s="279"/>
      <c r="CI985" s="279"/>
      <c r="CJ985" s="279"/>
      <c r="CK985" s="279"/>
      <c r="CL985" s="279"/>
      <c r="CM985" s="279"/>
      <c r="CN985" s="382"/>
    </row>
    <row r="986" x14ac:dyDescent="0.3">
      <c r="B986" s="361"/>
      <c r="C986" s="279"/>
      <c r="D986" s="280"/>
      <c r="E986" s="287"/>
      <c r="F986" s="287"/>
      <c r="G986" s="287"/>
      <c r="H986" s="1292">
        <f t="shared" si="42"/>
        <v>29</v>
      </c>
      <c r="I986" s="1190" t="str">
        <f>'I. Stream &amp; Compound Data'!P290</f>
        <v/>
      </c>
      <c r="J986" s="1295" t="str">
        <f>IF(I170="","",IF('I. Stream &amp; Compound Data'!CS290="",0,'I. Stream &amp; Compound Data'!CS290))</f>
        <v/>
      </c>
      <c r="K986" s="1312" t="str">
        <f t="shared" si="45"/>
        <v/>
      </c>
      <c r="L986" s="301" t="str">
        <f t="shared" si="46"/>
        <v/>
      </c>
      <c r="M986" s="296"/>
      <c r="N986" s="280"/>
      <c r="O986" s="280"/>
      <c r="P986" s="279"/>
      <c r="Q986" s="297"/>
      <c r="R986" s="298"/>
      <c r="S986" s="298"/>
      <c r="T986" s="299"/>
      <c r="U986" s="279"/>
      <c r="V986" s="279"/>
      <c r="W986" s="279"/>
      <c r="X986" s="279"/>
      <c r="Y986" s="279"/>
      <c r="Z986" s="279"/>
      <c r="AA986" s="279"/>
      <c r="AB986" s="279"/>
      <c r="AC986" s="279"/>
      <c r="AD986" s="279"/>
      <c r="AE986" s="279"/>
      <c r="AF986" s="279"/>
      <c r="AG986" s="279"/>
      <c r="AH986" s="279"/>
      <c r="AI986" s="279"/>
      <c r="AJ986" s="279"/>
      <c r="AK986" s="279"/>
      <c r="AL986" s="279"/>
      <c r="AM986" s="279"/>
      <c r="AN986" s="279"/>
      <c r="AO986" s="279"/>
      <c r="AP986" s="279"/>
      <c r="AQ986" s="279"/>
      <c r="AR986" s="279"/>
      <c r="AS986" s="279"/>
      <c r="AT986" s="279"/>
      <c r="AU986" s="279"/>
      <c r="AV986" s="279"/>
      <c r="AW986" s="279"/>
      <c r="AX986" s="279"/>
      <c r="AY986" s="279"/>
      <c r="AZ986" s="279"/>
      <c r="BA986" s="279"/>
      <c r="BB986" s="279"/>
      <c r="BC986" s="279"/>
      <c r="BD986" s="279"/>
      <c r="BE986" s="279"/>
      <c r="BF986" s="279"/>
      <c r="BG986" s="279"/>
      <c r="BH986" s="279"/>
      <c r="BI986" s="279"/>
      <c r="BJ986" s="279"/>
      <c r="BK986" s="279"/>
      <c r="BL986" s="279"/>
      <c r="BM986" s="279"/>
      <c r="BN986" s="279"/>
      <c r="BO986" s="279"/>
      <c r="BP986" s="279"/>
      <c r="BQ986" s="279"/>
      <c r="BR986" s="279"/>
      <c r="BS986" s="279"/>
      <c r="BT986" s="279"/>
      <c r="BU986" s="279"/>
      <c r="BV986" s="279"/>
      <c r="BW986" s="279"/>
      <c r="BX986" s="279"/>
      <c r="BY986" s="279"/>
      <c r="BZ986" s="279"/>
      <c r="CA986" s="279"/>
      <c r="CB986" s="279"/>
      <c r="CC986" s="279"/>
      <c r="CD986" s="279"/>
      <c r="CE986" s="279"/>
      <c r="CF986" s="279"/>
      <c r="CG986" s="279"/>
      <c r="CH986" s="279"/>
      <c r="CI986" s="279"/>
      <c r="CJ986" s="279"/>
      <c r="CK986" s="279"/>
      <c r="CL986" s="279"/>
      <c r="CM986" s="279"/>
      <c r="CN986" s="382"/>
    </row>
    <row r="987" x14ac:dyDescent="0.3">
      <c r="B987" s="361"/>
      <c r="C987" s="279"/>
      <c r="D987" s="280"/>
      <c r="E987" s="287"/>
      <c r="F987" s="287"/>
      <c r="G987" s="287"/>
      <c r="H987" s="1292">
        <f t="shared" si="42"/>
        <v>30</v>
      </c>
      <c r="I987" s="1190" t="str">
        <f>'I. Stream &amp; Compound Data'!P291</f>
        <v/>
      </c>
      <c r="J987" s="1295" t="str">
        <f>IF(I171="","",IF('I. Stream &amp; Compound Data'!CS291="",0,'I. Stream &amp; Compound Data'!CS291))</f>
        <v/>
      </c>
      <c r="K987" s="1312" t="str">
        <f t="shared" si="45"/>
        <v/>
      </c>
      <c r="L987" s="301" t="str">
        <f t="shared" si="46"/>
        <v/>
      </c>
      <c r="M987" s="296"/>
      <c r="N987" s="280"/>
      <c r="O987" s="280"/>
      <c r="P987" s="279"/>
      <c r="Q987" s="297"/>
      <c r="R987" s="298"/>
      <c r="S987" s="298"/>
      <c r="T987" s="299"/>
      <c r="U987" s="279"/>
      <c r="V987" s="279"/>
      <c r="W987" s="279"/>
      <c r="X987" s="279"/>
      <c r="Y987" s="279"/>
      <c r="Z987" s="279"/>
      <c r="AA987" s="279"/>
      <c r="AB987" s="279"/>
      <c r="AC987" s="279"/>
      <c r="AD987" s="279"/>
      <c r="AE987" s="279"/>
      <c r="AF987" s="279"/>
      <c r="AG987" s="279"/>
      <c r="AH987" s="279"/>
      <c r="AI987" s="279"/>
      <c r="AJ987" s="279"/>
      <c r="AK987" s="279"/>
      <c r="AL987" s="279"/>
      <c r="AM987" s="279"/>
      <c r="AN987" s="279"/>
      <c r="AO987" s="279"/>
      <c r="AP987" s="279"/>
      <c r="AQ987" s="279"/>
      <c r="AR987" s="279"/>
      <c r="AS987" s="279"/>
      <c r="AT987" s="279"/>
      <c r="AU987" s="279"/>
      <c r="AV987" s="279"/>
      <c r="AW987" s="279"/>
      <c r="AX987" s="279"/>
      <c r="AY987" s="279"/>
      <c r="AZ987" s="279"/>
      <c r="BA987" s="279"/>
      <c r="BB987" s="279"/>
      <c r="BC987" s="279"/>
      <c r="BD987" s="279"/>
      <c r="BE987" s="279"/>
      <c r="BF987" s="279"/>
      <c r="BG987" s="279"/>
      <c r="BH987" s="279"/>
      <c r="BI987" s="279"/>
      <c r="BJ987" s="279"/>
      <c r="BK987" s="279"/>
      <c r="BL987" s="279"/>
      <c r="BM987" s="279"/>
      <c r="BN987" s="279"/>
      <c r="BO987" s="279"/>
      <c r="BP987" s="279"/>
      <c r="BQ987" s="279"/>
      <c r="BR987" s="279"/>
      <c r="BS987" s="279"/>
      <c r="BT987" s="279"/>
      <c r="BU987" s="279"/>
      <c r="BV987" s="279"/>
      <c r="BW987" s="279"/>
      <c r="BX987" s="279"/>
      <c r="BY987" s="279"/>
      <c r="BZ987" s="279"/>
      <c r="CA987" s="279"/>
      <c r="CB987" s="279"/>
      <c r="CC987" s="279"/>
      <c r="CD987" s="279"/>
      <c r="CE987" s="279"/>
      <c r="CF987" s="279"/>
      <c r="CG987" s="279"/>
      <c r="CH987" s="279"/>
      <c r="CI987" s="279"/>
      <c r="CJ987" s="279"/>
      <c r="CK987" s="279"/>
      <c r="CL987" s="279"/>
      <c r="CM987" s="279"/>
      <c r="CN987" s="382"/>
    </row>
    <row r="988" x14ac:dyDescent="0.3">
      <c r="B988" s="361"/>
      <c r="C988" s="279"/>
      <c r="D988" s="280"/>
      <c r="E988" s="287"/>
      <c r="F988" s="287"/>
      <c r="G988" s="287"/>
      <c r="H988" s="1292">
        <f t="shared" si="42"/>
        <v>31</v>
      </c>
      <c r="I988" s="1190" t="str">
        <f>'I. Stream &amp; Compound Data'!P292</f>
        <v/>
      </c>
      <c r="J988" s="1295" t="str">
        <f>IF(I172="","",IF('I. Stream &amp; Compound Data'!CS292="",0,'I. Stream &amp; Compound Data'!CS292))</f>
        <v/>
      </c>
      <c r="K988" s="1312" t="str">
        <f t="shared" si="45"/>
        <v/>
      </c>
      <c r="L988" s="301" t="str">
        <f t="shared" si="46"/>
        <v/>
      </c>
      <c r="M988" s="296"/>
      <c r="N988" s="280"/>
      <c r="O988" s="280"/>
      <c r="P988" s="279"/>
      <c r="Q988" s="297"/>
      <c r="R988" s="298"/>
      <c r="S988" s="298"/>
      <c r="T988" s="299"/>
      <c r="U988" s="279"/>
      <c r="V988" s="279"/>
      <c r="W988" s="279"/>
      <c r="X988" s="279"/>
      <c r="Y988" s="279"/>
      <c r="Z988" s="279"/>
      <c r="AA988" s="279"/>
      <c r="AB988" s="279"/>
      <c r="AC988" s="279"/>
      <c r="AD988" s="279"/>
      <c r="AE988" s="279"/>
      <c r="AF988" s="279"/>
      <c r="AG988" s="279"/>
      <c r="AH988" s="279"/>
      <c r="AI988" s="279"/>
      <c r="AJ988" s="279"/>
      <c r="AK988" s="279"/>
      <c r="AL988" s="279"/>
      <c r="AM988" s="279"/>
      <c r="AN988" s="279"/>
      <c r="AO988" s="279"/>
      <c r="AP988" s="279"/>
      <c r="AQ988" s="279"/>
      <c r="AR988" s="279"/>
      <c r="AS988" s="279"/>
      <c r="AT988" s="279"/>
      <c r="AU988" s="279"/>
      <c r="AV988" s="279"/>
      <c r="AW988" s="279"/>
      <c r="AX988" s="279"/>
      <c r="AY988" s="279"/>
      <c r="AZ988" s="279"/>
      <c r="BA988" s="279"/>
      <c r="BB988" s="279"/>
      <c r="BC988" s="279"/>
      <c r="BD988" s="279"/>
      <c r="BE988" s="279"/>
      <c r="BF988" s="279"/>
      <c r="BG988" s="279"/>
      <c r="BH988" s="279"/>
      <c r="BI988" s="279"/>
      <c r="BJ988" s="279"/>
      <c r="BK988" s="279"/>
      <c r="BL988" s="279"/>
      <c r="BM988" s="279"/>
      <c r="BN988" s="279"/>
      <c r="BO988" s="279"/>
      <c r="BP988" s="279"/>
      <c r="BQ988" s="279"/>
      <c r="BR988" s="279"/>
      <c r="BS988" s="279"/>
      <c r="BT988" s="279"/>
      <c r="BU988" s="279"/>
      <c r="BV988" s="279"/>
      <c r="BW988" s="279"/>
      <c r="BX988" s="279"/>
      <c r="BY988" s="279"/>
      <c r="BZ988" s="279"/>
      <c r="CA988" s="279"/>
      <c r="CB988" s="279"/>
      <c r="CC988" s="279"/>
      <c r="CD988" s="279"/>
      <c r="CE988" s="279"/>
      <c r="CF988" s="279"/>
      <c r="CG988" s="279"/>
      <c r="CH988" s="279"/>
      <c r="CI988" s="279"/>
      <c r="CJ988" s="279"/>
      <c r="CK988" s="279"/>
      <c r="CL988" s="279"/>
      <c r="CM988" s="279"/>
      <c r="CN988" s="382"/>
    </row>
    <row r="989" x14ac:dyDescent="0.3">
      <c r="B989" s="361"/>
      <c r="C989" s="279"/>
      <c r="D989" s="280"/>
      <c r="E989" s="287"/>
      <c r="F989" s="287"/>
      <c r="G989" s="287"/>
      <c r="H989" s="1292">
        <f t="shared" si="42"/>
        <v>32</v>
      </c>
      <c r="I989" s="1190" t="str">
        <f>'I. Stream &amp; Compound Data'!P293</f>
        <v/>
      </c>
      <c r="J989" s="1295" t="str">
        <f>IF(I173="","",IF('I. Stream &amp; Compound Data'!CS293="",0,'I. Stream &amp; Compound Data'!CS293))</f>
        <v/>
      </c>
      <c r="K989" s="1312" t="str">
        <f t="shared" si="45"/>
        <v/>
      </c>
      <c r="L989" s="301" t="str">
        <f t="shared" si="46"/>
        <v/>
      </c>
      <c r="M989" s="296"/>
      <c r="N989" s="280"/>
      <c r="O989" s="280"/>
      <c r="P989" s="279"/>
      <c r="Q989" s="297"/>
      <c r="R989" s="298"/>
      <c r="S989" s="298"/>
      <c r="T989" s="299"/>
      <c r="U989" s="279"/>
      <c r="V989" s="279"/>
      <c r="W989" s="279"/>
      <c r="X989" s="279"/>
      <c r="Y989" s="279"/>
      <c r="Z989" s="279"/>
      <c r="AA989" s="279"/>
      <c r="AB989" s="279"/>
      <c r="AC989" s="279"/>
      <c r="AD989" s="279"/>
      <c r="AE989" s="279"/>
      <c r="AF989" s="279"/>
      <c r="AG989" s="279"/>
      <c r="AH989" s="279"/>
      <c r="AI989" s="279"/>
      <c r="AJ989" s="279"/>
      <c r="AK989" s="279"/>
      <c r="AL989" s="279"/>
      <c r="AM989" s="279"/>
      <c r="AN989" s="279"/>
      <c r="AO989" s="279"/>
      <c r="AP989" s="279"/>
      <c r="AQ989" s="279"/>
      <c r="AR989" s="279"/>
      <c r="AS989" s="279"/>
      <c r="AT989" s="279"/>
      <c r="AU989" s="279"/>
      <c r="AV989" s="279"/>
      <c r="AW989" s="279"/>
      <c r="AX989" s="279"/>
      <c r="AY989" s="279"/>
      <c r="AZ989" s="279"/>
      <c r="BA989" s="279"/>
      <c r="BB989" s="279"/>
      <c r="BC989" s="279"/>
      <c r="BD989" s="279"/>
      <c r="BE989" s="279"/>
      <c r="BF989" s="279"/>
      <c r="BG989" s="279"/>
      <c r="BH989" s="279"/>
      <c r="BI989" s="279"/>
      <c r="BJ989" s="279"/>
      <c r="BK989" s="279"/>
      <c r="BL989" s="279"/>
      <c r="BM989" s="279"/>
      <c r="BN989" s="279"/>
      <c r="BO989" s="279"/>
      <c r="BP989" s="279"/>
      <c r="BQ989" s="279"/>
      <c r="BR989" s="279"/>
      <c r="BS989" s="279"/>
      <c r="BT989" s="279"/>
      <c r="BU989" s="279"/>
      <c r="BV989" s="279"/>
      <c r="BW989" s="279"/>
      <c r="BX989" s="279"/>
      <c r="BY989" s="279"/>
      <c r="BZ989" s="279"/>
      <c r="CA989" s="279"/>
      <c r="CB989" s="279"/>
      <c r="CC989" s="279"/>
      <c r="CD989" s="279"/>
      <c r="CE989" s="279"/>
      <c r="CF989" s="279"/>
      <c r="CG989" s="279"/>
      <c r="CH989" s="279"/>
      <c r="CI989" s="279"/>
      <c r="CJ989" s="279"/>
      <c r="CK989" s="279"/>
      <c r="CL989" s="279"/>
      <c r="CM989" s="279"/>
      <c r="CN989" s="382"/>
    </row>
    <row r="990" x14ac:dyDescent="0.3">
      <c r="B990" s="361"/>
      <c r="C990" s="279"/>
      <c r="D990" s="280"/>
      <c r="E990" s="287"/>
      <c r="F990" s="287"/>
      <c r="G990" s="287"/>
      <c r="H990" s="1292">
        <f t="shared" si="42"/>
        <v>33</v>
      </c>
      <c r="I990" s="1190" t="str">
        <f>'I. Stream &amp; Compound Data'!P294</f>
        <v/>
      </c>
      <c r="J990" s="1295" t="str">
        <f>IF(I174="","",IF('I. Stream &amp; Compound Data'!CS294="",0,'I. Stream &amp; Compound Data'!CS294))</f>
        <v/>
      </c>
      <c r="K990" s="1312" t="str">
        <f t="shared" si="45"/>
        <v/>
      </c>
      <c r="L990" s="301" t="str">
        <f t="shared" si="46"/>
        <v/>
      </c>
      <c r="M990" s="296"/>
      <c r="N990" s="280"/>
      <c r="O990" s="280"/>
      <c r="P990" s="279"/>
      <c r="Q990" s="297"/>
      <c r="R990" s="298"/>
      <c r="S990" s="298"/>
      <c r="T990" s="299"/>
      <c r="U990" s="279"/>
      <c r="V990" s="279"/>
      <c r="W990" s="279"/>
      <c r="X990" s="279"/>
      <c r="Y990" s="279"/>
      <c r="Z990" s="279"/>
      <c r="AA990" s="279"/>
      <c r="AB990" s="279"/>
      <c r="AC990" s="279"/>
      <c r="AD990" s="279"/>
      <c r="AE990" s="279"/>
      <c r="AF990" s="279"/>
      <c r="AG990" s="279"/>
      <c r="AH990" s="279"/>
      <c r="AI990" s="279"/>
      <c r="AJ990" s="279"/>
      <c r="AK990" s="279"/>
      <c r="AL990" s="279"/>
      <c r="AM990" s="279"/>
      <c r="AN990" s="279"/>
      <c r="AO990" s="279"/>
      <c r="AP990" s="279"/>
      <c r="AQ990" s="279"/>
      <c r="AR990" s="279"/>
      <c r="AS990" s="279"/>
      <c r="AT990" s="279"/>
      <c r="AU990" s="279"/>
      <c r="AV990" s="279"/>
      <c r="AW990" s="279"/>
      <c r="AX990" s="279"/>
      <c r="AY990" s="279"/>
      <c r="AZ990" s="279"/>
      <c r="BA990" s="279"/>
      <c r="BB990" s="279"/>
      <c r="BC990" s="279"/>
      <c r="BD990" s="279"/>
      <c r="BE990" s="279"/>
      <c r="BF990" s="279"/>
      <c r="BG990" s="279"/>
      <c r="BH990" s="279"/>
      <c r="BI990" s="279"/>
      <c r="BJ990" s="279"/>
      <c r="BK990" s="279"/>
      <c r="BL990" s="279"/>
      <c r="BM990" s="279"/>
      <c r="BN990" s="279"/>
      <c r="BO990" s="279"/>
      <c r="BP990" s="279"/>
      <c r="BQ990" s="279"/>
      <c r="BR990" s="279"/>
      <c r="BS990" s="279"/>
      <c r="BT990" s="279"/>
      <c r="BU990" s="279"/>
      <c r="BV990" s="279"/>
      <c r="BW990" s="279"/>
      <c r="BX990" s="279"/>
      <c r="BY990" s="279"/>
      <c r="BZ990" s="279"/>
      <c r="CA990" s="279"/>
      <c r="CB990" s="279"/>
      <c r="CC990" s="279"/>
      <c r="CD990" s="279"/>
      <c r="CE990" s="279"/>
      <c r="CF990" s="279"/>
      <c r="CG990" s="279"/>
      <c r="CH990" s="279"/>
      <c r="CI990" s="279"/>
      <c r="CJ990" s="279"/>
      <c r="CK990" s="279"/>
      <c r="CL990" s="279"/>
      <c r="CM990" s="279"/>
      <c r="CN990" s="382"/>
    </row>
    <row r="991" x14ac:dyDescent="0.3">
      <c r="B991" s="361"/>
      <c r="C991" s="279"/>
      <c r="D991" s="280"/>
      <c r="E991" s="287"/>
      <c r="F991" s="287"/>
      <c r="G991" s="287"/>
      <c r="H991" s="1292">
        <f t="shared" si="42"/>
        <v>34</v>
      </c>
      <c r="I991" s="1190" t="str">
        <f>'I. Stream &amp; Compound Data'!P295</f>
        <v/>
      </c>
      <c r="J991" s="1295" t="str">
        <f>IF(I175="","",IF('I. Stream &amp; Compound Data'!CS295="",0,'I. Stream &amp; Compound Data'!CS295))</f>
        <v/>
      </c>
      <c r="K991" s="1312" t="str">
        <f t="shared" si="45"/>
        <v/>
      </c>
      <c r="L991" s="301" t="str">
        <f t="shared" si="46"/>
        <v/>
      </c>
      <c r="M991" s="296"/>
      <c r="N991" s="280"/>
      <c r="O991" s="280"/>
      <c r="P991" s="279"/>
      <c r="Q991" s="297"/>
      <c r="R991" s="298"/>
      <c r="S991" s="298"/>
      <c r="T991" s="299"/>
      <c r="U991" s="279"/>
      <c r="V991" s="279"/>
      <c r="W991" s="279"/>
      <c r="X991" s="279"/>
      <c r="Y991" s="279"/>
      <c r="Z991" s="279"/>
      <c r="AA991" s="279"/>
      <c r="AB991" s="279"/>
      <c r="AC991" s="279"/>
      <c r="AD991" s="279"/>
      <c r="AE991" s="279"/>
      <c r="AF991" s="279"/>
      <c r="AG991" s="279"/>
      <c r="AH991" s="279"/>
      <c r="AI991" s="279"/>
      <c r="AJ991" s="279"/>
      <c r="AK991" s="279"/>
      <c r="AL991" s="279"/>
      <c r="AM991" s="279"/>
      <c r="AN991" s="279"/>
      <c r="AO991" s="279"/>
      <c r="AP991" s="279"/>
      <c r="AQ991" s="279"/>
      <c r="AR991" s="279"/>
      <c r="AS991" s="279"/>
      <c r="AT991" s="279"/>
      <c r="AU991" s="279"/>
      <c r="AV991" s="279"/>
      <c r="AW991" s="279"/>
      <c r="AX991" s="279"/>
      <c r="AY991" s="279"/>
      <c r="AZ991" s="279"/>
      <c r="BA991" s="279"/>
      <c r="BB991" s="279"/>
      <c r="BC991" s="279"/>
      <c r="BD991" s="279"/>
      <c r="BE991" s="279"/>
      <c r="BF991" s="279"/>
      <c r="BG991" s="279"/>
      <c r="BH991" s="279"/>
      <c r="BI991" s="279"/>
      <c r="BJ991" s="279"/>
      <c r="BK991" s="279"/>
      <c r="BL991" s="279"/>
      <c r="BM991" s="279"/>
      <c r="BN991" s="279"/>
      <c r="BO991" s="279"/>
      <c r="BP991" s="279"/>
      <c r="BQ991" s="279"/>
      <c r="BR991" s="279"/>
      <c r="BS991" s="279"/>
      <c r="BT991" s="279"/>
      <c r="BU991" s="279"/>
      <c r="BV991" s="279"/>
      <c r="BW991" s="279"/>
      <c r="BX991" s="279"/>
      <c r="BY991" s="279"/>
      <c r="BZ991" s="279"/>
      <c r="CA991" s="279"/>
      <c r="CB991" s="279"/>
      <c r="CC991" s="279"/>
      <c r="CD991" s="279"/>
      <c r="CE991" s="279"/>
      <c r="CF991" s="279"/>
      <c r="CG991" s="279"/>
      <c r="CH991" s="279"/>
      <c r="CI991" s="279"/>
      <c r="CJ991" s="279"/>
      <c r="CK991" s="279"/>
      <c r="CL991" s="279"/>
      <c r="CM991" s="279"/>
      <c r="CN991" s="382"/>
    </row>
    <row r="992" x14ac:dyDescent="0.3">
      <c r="B992" s="361"/>
      <c r="C992" s="279"/>
      <c r="D992" s="280"/>
      <c r="E992" s="287"/>
      <c r="F992" s="287"/>
      <c r="G992" s="287"/>
      <c r="H992" s="1292">
        <f t="shared" si="42"/>
        <v>35</v>
      </c>
      <c r="I992" s="1190" t="str">
        <f>'I. Stream &amp; Compound Data'!P296</f>
        <v/>
      </c>
      <c r="J992" s="1295" t="str">
        <f>IF(I176="","",IF('I. Stream &amp; Compound Data'!CS296="",0,'I. Stream &amp; Compound Data'!CS296))</f>
        <v/>
      </c>
      <c r="K992" s="1312" t="str">
        <f t="shared" si="45"/>
        <v/>
      </c>
      <c r="L992" s="301" t="str">
        <f t="shared" si="46"/>
        <v/>
      </c>
      <c r="M992" s="296"/>
      <c r="N992" s="280"/>
      <c r="O992" s="280"/>
      <c r="P992" s="279"/>
      <c r="Q992" s="297"/>
      <c r="R992" s="298"/>
      <c r="S992" s="298"/>
      <c r="T992" s="299"/>
      <c r="U992" s="279"/>
      <c r="V992" s="279"/>
      <c r="W992" s="279"/>
      <c r="X992" s="279"/>
      <c r="Y992" s="279"/>
      <c r="Z992" s="279"/>
      <c r="AA992" s="279"/>
      <c r="AB992" s="279"/>
      <c r="AC992" s="279"/>
      <c r="AD992" s="279"/>
      <c r="AE992" s="279"/>
      <c r="AF992" s="279"/>
      <c r="AG992" s="279"/>
      <c r="AH992" s="279"/>
      <c r="AI992" s="279"/>
      <c r="AJ992" s="279"/>
      <c r="AK992" s="279"/>
      <c r="AL992" s="279"/>
      <c r="AM992" s="279"/>
      <c r="AN992" s="279"/>
      <c r="AO992" s="279"/>
      <c r="AP992" s="279"/>
      <c r="AQ992" s="279"/>
      <c r="AR992" s="279"/>
      <c r="AS992" s="279"/>
      <c r="AT992" s="279"/>
      <c r="AU992" s="279"/>
      <c r="AV992" s="279"/>
      <c r="AW992" s="279"/>
      <c r="AX992" s="279"/>
      <c r="AY992" s="279"/>
      <c r="AZ992" s="279"/>
      <c r="BA992" s="279"/>
      <c r="BB992" s="279"/>
      <c r="BC992" s="279"/>
      <c r="BD992" s="279"/>
      <c r="BE992" s="279"/>
      <c r="BF992" s="279"/>
      <c r="BG992" s="279"/>
      <c r="BH992" s="279"/>
      <c r="BI992" s="279"/>
      <c r="BJ992" s="279"/>
      <c r="BK992" s="279"/>
      <c r="BL992" s="279"/>
      <c r="BM992" s="279"/>
      <c r="BN992" s="279"/>
      <c r="BO992" s="279"/>
      <c r="BP992" s="279"/>
      <c r="BQ992" s="279"/>
      <c r="BR992" s="279"/>
      <c r="BS992" s="279"/>
      <c r="BT992" s="279"/>
      <c r="BU992" s="279"/>
      <c r="BV992" s="279"/>
      <c r="BW992" s="279"/>
      <c r="BX992" s="279"/>
      <c r="BY992" s="279"/>
      <c r="BZ992" s="279"/>
      <c r="CA992" s="279"/>
      <c r="CB992" s="279"/>
      <c r="CC992" s="279"/>
      <c r="CD992" s="279"/>
      <c r="CE992" s="279"/>
      <c r="CF992" s="279"/>
      <c r="CG992" s="279"/>
      <c r="CH992" s="279"/>
      <c r="CI992" s="279"/>
      <c r="CJ992" s="279"/>
      <c r="CK992" s="279"/>
      <c r="CL992" s="279"/>
      <c r="CM992" s="279"/>
      <c r="CN992" s="382"/>
    </row>
    <row r="993" x14ac:dyDescent="0.3">
      <c r="B993" s="361"/>
      <c r="C993" s="279"/>
      <c r="D993" s="280"/>
      <c r="E993" s="287"/>
      <c r="F993" s="287"/>
      <c r="G993" s="287"/>
      <c r="H993" s="1292">
        <f t="shared" si="42"/>
        <v>36</v>
      </c>
      <c r="I993" s="1190" t="str">
        <f>'I. Stream &amp; Compound Data'!P297</f>
        <v/>
      </c>
      <c r="J993" s="1295" t="str">
        <f>IF(I177="","",IF('I. Stream &amp; Compound Data'!CS297="",0,'I. Stream &amp; Compound Data'!CS297))</f>
        <v/>
      </c>
      <c r="K993" s="1312" t="str">
        <f t="shared" si="45"/>
        <v/>
      </c>
      <c r="L993" s="301" t="str">
        <f t="shared" si="46"/>
        <v/>
      </c>
      <c r="M993" s="296"/>
      <c r="N993" s="280"/>
      <c r="O993" s="280"/>
      <c r="P993" s="279"/>
      <c r="Q993" s="297"/>
      <c r="R993" s="298"/>
      <c r="S993" s="298"/>
      <c r="T993" s="299"/>
      <c r="U993" s="279"/>
      <c r="V993" s="279"/>
      <c r="W993" s="279"/>
      <c r="X993" s="279"/>
      <c r="Y993" s="279"/>
      <c r="Z993" s="279"/>
      <c r="AA993" s="279"/>
      <c r="AB993" s="279"/>
      <c r="AC993" s="279"/>
      <c r="AD993" s="279"/>
      <c r="AE993" s="279"/>
      <c r="AF993" s="279"/>
      <c r="AG993" s="279"/>
      <c r="AH993" s="279"/>
      <c r="AI993" s="279"/>
      <c r="AJ993" s="279"/>
      <c r="AK993" s="279"/>
      <c r="AL993" s="279"/>
      <c r="AM993" s="279"/>
      <c r="AN993" s="279"/>
      <c r="AO993" s="279"/>
      <c r="AP993" s="279"/>
      <c r="AQ993" s="279"/>
      <c r="AR993" s="279"/>
      <c r="AS993" s="279"/>
      <c r="AT993" s="279"/>
      <c r="AU993" s="279"/>
      <c r="AV993" s="279"/>
      <c r="AW993" s="279"/>
      <c r="AX993" s="279"/>
      <c r="AY993" s="279"/>
      <c r="AZ993" s="279"/>
      <c r="BA993" s="279"/>
      <c r="BB993" s="279"/>
      <c r="BC993" s="279"/>
      <c r="BD993" s="279"/>
      <c r="BE993" s="279"/>
      <c r="BF993" s="279"/>
      <c r="BG993" s="279"/>
      <c r="BH993" s="279"/>
      <c r="BI993" s="279"/>
      <c r="BJ993" s="279"/>
      <c r="BK993" s="279"/>
      <c r="BL993" s="279"/>
      <c r="BM993" s="279"/>
      <c r="BN993" s="279"/>
      <c r="BO993" s="279"/>
      <c r="BP993" s="279"/>
      <c r="BQ993" s="279"/>
      <c r="BR993" s="279"/>
      <c r="BS993" s="279"/>
      <c r="BT993" s="279"/>
      <c r="BU993" s="279"/>
      <c r="BV993" s="279"/>
      <c r="BW993" s="279"/>
      <c r="BX993" s="279"/>
      <c r="BY993" s="279"/>
      <c r="BZ993" s="279"/>
      <c r="CA993" s="279"/>
      <c r="CB993" s="279"/>
      <c r="CC993" s="279"/>
      <c r="CD993" s="279"/>
      <c r="CE993" s="279"/>
      <c r="CF993" s="279"/>
      <c r="CG993" s="279"/>
      <c r="CH993" s="279"/>
      <c r="CI993" s="279"/>
      <c r="CJ993" s="279"/>
      <c r="CK993" s="279"/>
      <c r="CL993" s="279"/>
      <c r="CM993" s="279"/>
      <c r="CN993" s="382"/>
    </row>
    <row r="994" x14ac:dyDescent="0.3">
      <c r="B994" s="361"/>
      <c r="C994" s="279"/>
      <c r="D994" s="280"/>
      <c r="E994" s="287"/>
      <c r="F994" s="287"/>
      <c r="G994" s="287"/>
      <c r="H994" s="1292">
        <f t="shared" si="42"/>
        <v>37</v>
      </c>
      <c r="I994" s="1190" t="str">
        <f>'I. Stream &amp; Compound Data'!P298</f>
        <v/>
      </c>
      <c r="J994" s="1295" t="str">
        <f>IF(I178="","",IF('I. Stream &amp; Compound Data'!CS298="",0,'I. Stream &amp; Compound Data'!CS298))</f>
        <v/>
      </c>
      <c r="K994" s="1312" t="str">
        <f t="shared" si="45"/>
        <v/>
      </c>
      <c r="L994" s="301" t="str">
        <f t="shared" si="46"/>
        <v/>
      </c>
      <c r="M994" s="296"/>
      <c r="N994" s="280"/>
      <c r="O994" s="280"/>
      <c r="P994" s="279"/>
      <c r="Q994" s="297"/>
      <c r="R994" s="298"/>
      <c r="S994" s="298"/>
      <c r="T994" s="299"/>
      <c r="U994" s="279"/>
      <c r="V994" s="279"/>
      <c r="W994" s="279"/>
      <c r="X994" s="279"/>
      <c r="Y994" s="279"/>
      <c r="Z994" s="279"/>
      <c r="AA994" s="279"/>
      <c r="AB994" s="279"/>
      <c r="AC994" s="279"/>
      <c r="AD994" s="279"/>
      <c r="AE994" s="279"/>
      <c r="AF994" s="279"/>
      <c r="AG994" s="279"/>
      <c r="AH994" s="279"/>
      <c r="AI994" s="279"/>
      <c r="AJ994" s="279"/>
      <c r="AK994" s="279"/>
      <c r="AL994" s="279"/>
      <c r="AM994" s="279"/>
      <c r="AN994" s="279"/>
      <c r="AO994" s="279"/>
      <c r="AP994" s="279"/>
      <c r="AQ994" s="279"/>
      <c r="AR994" s="279"/>
      <c r="AS994" s="279"/>
      <c r="AT994" s="279"/>
      <c r="AU994" s="279"/>
      <c r="AV994" s="279"/>
      <c r="AW994" s="279"/>
      <c r="AX994" s="279"/>
      <c r="AY994" s="279"/>
      <c r="AZ994" s="279"/>
      <c r="BA994" s="279"/>
      <c r="BB994" s="279"/>
      <c r="BC994" s="279"/>
      <c r="BD994" s="279"/>
      <c r="BE994" s="279"/>
      <c r="BF994" s="279"/>
      <c r="BG994" s="279"/>
      <c r="BH994" s="279"/>
      <c r="BI994" s="279"/>
      <c r="BJ994" s="279"/>
      <c r="BK994" s="279"/>
      <c r="BL994" s="279"/>
      <c r="BM994" s="279"/>
      <c r="BN994" s="279"/>
      <c r="BO994" s="279"/>
      <c r="BP994" s="279"/>
      <c r="BQ994" s="279"/>
      <c r="BR994" s="279"/>
      <c r="BS994" s="279"/>
      <c r="BT994" s="279"/>
      <c r="BU994" s="279"/>
      <c r="BV994" s="279"/>
      <c r="BW994" s="279"/>
      <c r="BX994" s="279"/>
      <c r="BY994" s="279"/>
      <c r="BZ994" s="279"/>
      <c r="CA994" s="279"/>
      <c r="CB994" s="279"/>
      <c r="CC994" s="279"/>
      <c r="CD994" s="279"/>
      <c r="CE994" s="279"/>
      <c r="CF994" s="279"/>
      <c r="CG994" s="279"/>
      <c r="CH994" s="279"/>
      <c r="CI994" s="279"/>
      <c r="CJ994" s="279"/>
      <c r="CK994" s="279"/>
      <c r="CL994" s="279"/>
      <c r="CM994" s="279"/>
      <c r="CN994" s="382"/>
    </row>
    <row r="995" x14ac:dyDescent="0.3">
      <c r="B995" s="361"/>
      <c r="C995" s="279"/>
      <c r="D995" s="280"/>
      <c r="E995" s="287"/>
      <c r="F995" s="287"/>
      <c r="G995" s="287"/>
      <c r="H995" s="1292">
        <f t="shared" si="42"/>
        <v>38</v>
      </c>
      <c r="I995" s="1190" t="str">
        <f>'I. Stream &amp; Compound Data'!P299</f>
        <v/>
      </c>
      <c r="J995" s="1295" t="str">
        <f>IF(I179="","",IF('I. Stream &amp; Compound Data'!CS299="",0,'I. Stream &amp; Compound Data'!CS299))</f>
        <v/>
      </c>
      <c r="K995" s="1312" t="str">
        <f t="shared" si="45"/>
        <v/>
      </c>
      <c r="L995" s="301" t="str">
        <f t="shared" si="46"/>
        <v/>
      </c>
      <c r="M995" s="296"/>
      <c r="N995" s="280"/>
      <c r="O995" s="280"/>
      <c r="P995" s="279"/>
      <c r="Q995" s="297"/>
      <c r="R995" s="298"/>
      <c r="S995" s="298"/>
      <c r="T995" s="299"/>
      <c r="U995" s="279"/>
      <c r="V995" s="279"/>
      <c r="W995" s="279"/>
      <c r="X995" s="279"/>
      <c r="Y995" s="279"/>
      <c r="Z995" s="279"/>
      <c r="AA995" s="279"/>
      <c r="AB995" s="279"/>
      <c r="AC995" s="279"/>
      <c r="AD995" s="279"/>
      <c r="AE995" s="279"/>
      <c r="AF995" s="279"/>
      <c r="AG995" s="279"/>
      <c r="AH995" s="279"/>
      <c r="AI995" s="279"/>
      <c r="AJ995" s="279"/>
      <c r="AK995" s="279"/>
      <c r="AL995" s="279"/>
      <c r="AM995" s="279"/>
      <c r="AN995" s="279"/>
      <c r="AO995" s="279"/>
      <c r="AP995" s="279"/>
      <c r="AQ995" s="279"/>
      <c r="AR995" s="279"/>
      <c r="AS995" s="279"/>
      <c r="AT995" s="279"/>
      <c r="AU995" s="279"/>
      <c r="AV995" s="279"/>
      <c r="AW995" s="279"/>
      <c r="AX995" s="279"/>
      <c r="AY995" s="279"/>
      <c r="AZ995" s="279"/>
      <c r="BA995" s="279"/>
      <c r="BB995" s="279"/>
      <c r="BC995" s="279"/>
      <c r="BD995" s="279"/>
      <c r="BE995" s="279"/>
      <c r="BF995" s="279"/>
      <c r="BG995" s="279"/>
      <c r="BH995" s="279"/>
      <c r="BI995" s="279"/>
      <c r="BJ995" s="279"/>
      <c r="BK995" s="279"/>
      <c r="BL995" s="279"/>
      <c r="BM995" s="279"/>
      <c r="BN995" s="279"/>
      <c r="BO995" s="279"/>
      <c r="BP995" s="279"/>
      <c r="BQ995" s="279"/>
      <c r="BR995" s="279"/>
      <c r="BS995" s="279"/>
      <c r="BT995" s="279"/>
      <c r="BU995" s="279"/>
      <c r="BV995" s="279"/>
      <c r="BW995" s="279"/>
      <c r="BX995" s="279"/>
      <c r="BY995" s="279"/>
      <c r="BZ995" s="279"/>
      <c r="CA995" s="279"/>
      <c r="CB995" s="279"/>
      <c r="CC995" s="279"/>
      <c r="CD995" s="279"/>
      <c r="CE995" s="279"/>
      <c r="CF995" s="279"/>
      <c r="CG995" s="279"/>
      <c r="CH995" s="279"/>
      <c r="CI995" s="279"/>
      <c r="CJ995" s="279"/>
      <c r="CK995" s="279"/>
      <c r="CL995" s="279"/>
      <c r="CM995" s="279"/>
      <c r="CN995" s="382"/>
    </row>
    <row r="996" x14ac:dyDescent="0.3">
      <c r="B996" s="361"/>
      <c r="C996" s="279"/>
      <c r="D996" s="280"/>
      <c r="E996" s="287"/>
      <c r="F996" s="287"/>
      <c r="G996" s="287"/>
      <c r="H996" s="1292">
        <f t="shared" si="42"/>
        <v>39</v>
      </c>
      <c r="I996" s="1190" t="str">
        <f>'I. Stream &amp; Compound Data'!P300</f>
        <v/>
      </c>
      <c r="J996" s="1295" t="str">
        <f>IF(I180="","",IF('I. Stream &amp; Compound Data'!CS300="",0,'I. Stream &amp; Compound Data'!CS300))</f>
        <v/>
      </c>
      <c r="K996" s="1312" t="str">
        <f t="shared" si="45"/>
        <v/>
      </c>
      <c r="L996" s="301" t="str">
        <f t="shared" si="46"/>
        <v/>
      </c>
      <c r="M996" s="296"/>
      <c r="N996" s="280"/>
      <c r="O996" s="280"/>
      <c r="P996" s="279"/>
      <c r="Q996" s="297"/>
      <c r="R996" s="298"/>
      <c r="S996" s="298"/>
      <c r="T996" s="299"/>
      <c r="U996" s="279"/>
      <c r="V996" s="279"/>
      <c r="W996" s="279"/>
      <c r="X996" s="279"/>
      <c r="Y996" s="279"/>
      <c r="Z996" s="279"/>
      <c r="AA996" s="279"/>
      <c r="AB996" s="279"/>
      <c r="AC996" s="279"/>
      <c r="AD996" s="279"/>
      <c r="AE996" s="279"/>
      <c r="AF996" s="279"/>
      <c r="AG996" s="279"/>
      <c r="AH996" s="279"/>
      <c r="AI996" s="279"/>
      <c r="AJ996" s="279"/>
      <c r="AK996" s="279"/>
      <c r="AL996" s="279"/>
      <c r="AM996" s="279"/>
      <c r="AN996" s="279"/>
      <c r="AO996" s="279"/>
      <c r="AP996" s="279"/>
      <c r="AQ996" s="279"/>
      <c r="AR996" s="279"/>
      <c r="AS996" s="279"/>
      <c r="AT996" s="279"/>
      <c r="AU996" s="279"/>
      <c r="AV996" s="279"/>
      <c r="AW996" s="279"/>
      <c r="AX996" s="279"/>
      <c r="AY996" s="279"/>
      <c r="AZ996" s="279"/>
      <c r="BA996" s="279"/>
      <c r="BB996" s="279"/>
      <c r="BC996" s="279"/>
      <c r="BD996" s="279"/>
      <c r="BE996" s="279"/>
      <c r="BF996" s="279"/>
      <c r="BG996" s="279"/>
      <c r="BH996" s="279"/>
      <c r="BI996" s="279"/>
      <c r="BJ996" s="279"/>
      <c r="BK996" s="279"/>
      <c r="BL996" s="279"/>
      <c r="BM996" s="279"/>
      <c r="BN996" s="279"/>
      <c r="BO996" s="279"/>
      <c r="BP996" s="279"/>
      <c r="BQ996" s="279"/>
      <c r="BR996" s="279"/>
      <c r="BS996" s="279"/>
      <c r="BT996" s="279"/>
      <c r="BU996" s="279"/>
      <c r="BV996" s="279"/>
      <c r="BW996" s="279"/>
      <c r="BX996" s="279"/>
      <c r="BY996" s="279"/>
      <c r="BZ996" s="279"/>
      <c r="CA996" s="279"/>
      <c r="CB996" s="279"/>
      <c r="CC996" s="279"/>
      <c r="CD996" s="279"/>
      <c r="CE996" s="279"/>
      <c r="CF996" s="279"/>
      <c r="CG996" s="279"/>
      <c r="CH996" s="279"/>
      <c r="CI996" s="279"/>
      <c r="CJ996" s="279"/>
      <c r="CK996" s="279"/>
      <c r="CL996" s="279"/>
      <c r="CM996" s="279"/>
      <c r="CN996" s="382"/>
    </row>
    <row r="997" x14ac:dyDescent="0.3">
      <c r="B997" s="361"/>
      <c r="C997" s="279"/>
      <c r="D997" s="280"/>
      <c r="E997" s="287"/>
      <c r="F997" s="287"/>
      <c r="G997" s="287"/>
      <c r="H997" s="1292">
        <f t="shared" si="42"/>
        <v>40</v>
      </c>
      <c r="I997" s="1190" t="str">
        <f>'I. Stream &amp; Compound Data'!P301</f>
        <v/>
      </c>
      <c r="J997" s="1295" t="str">
        <f>IF(I181="","",IF('I. Stream &amp; Compound Data'!CS301="",0,'I. Stream &amp; Compound Data'!CS301))</f>
        <v/>
      </c>
      <c r="K997" s="1312" t="str">
        <f t="shared" si="45"/>
        <v/>
      </c>
      <c r="L997" s="301" t="str">
        <f t="shared" si="46"/>
        <v/>
      </c>
      <c r="M997" s="296"/>
      <c r="N997" s="280"/>
      <c r="O997" s="280"/>
      <c r="P997" s="279"/>
      <c r="Q997" s="297"/>
      <c r="R997" s="298"/>
      <c r="S997" s="298"/>
      <c r="T997" s="299"/>
      <c r="U997" s="279"/>
      <c r="V997" s="279"/>
      <c r="W997" s="279"/>
      <c r="X997" s="279"/>
      <c r="Y997" s="279"/>
      <c r="Z997" s="279"/>
      <c r="AA997" s="279"/>
      <c r="AB997" s="279"/>
      <c r="AC997" s="279"/>
      <c r="AD997" s="279"/>
      <c r="AE997" s="279"/>
      <c r="AF997" s="279"/>
      <c r="AG997" s="279"/>
      <c r="AH997" s="279"/>
      <c r="AI997" s="279"/>
      <c r="AJ997" s="279"/>
      <c r="AK997" s="279"/>
      <c r="AL997" s="279"/>
      <c r="AM997" s="279"/>
      <c r="AN997" s="279"/>
      <c r="AO997" s="279"/>
      <c r="AP997" s="279"/>
      <c r="AQ997" s="279"/>
      <c r="AR997" s="279"/>
      <c r="AS997" s="279"/>
      <c r="AT997" s="279"/>
      <c r="AU997" s="279"/>
      <c r="AV997" s="279"/>
      <c r="AW997" s="279"/>
      <c r="AX997" s="279"/>
      <c r="AY997" s="279"/>
      <c r="AZ997" s="279"/>
      <c r="BA997" s="279"/>
      <c r="BB997" s="279"/>
      <c r="BC997" s="279"/>
      <c r="BD997" s="279"/>
      <c r="BE997" s="279"/>
      <c r="BF997" s="279"/>
      <c r="BG997" s="279"/>
      <c r="BH997" s="279"/>
      <c r="BI997" s="279"/>
      <c r="BJ997" s="279"/>
      <c r="BK997" s="279"/>
      <c r="BL997" s="279"/>
      <c r="BM997" s="279"/>
      <c r="BN997" s="279"/>
      <c r="BO997" s="279"/>
      <c r="BP997" s="279"/>
      <c r="BQ997" s="279"/>
      <c r="BR997" s="279"/>
      <c r="BS997" s="279"/>
      <c r="BT997" s="279"/>
      <c r="BU997" s="279"/>
      <c r="BV997" s="279"/>
      <c r="BW997" s="279"/>
      <c r="BX997" s="279"/>
      <c r="BY997" s="279"/>
      <c r="BZ997" s="279"/>
      <c r="CA997" s="279"/>
      <c r="CB997" s="279"/>
      <c r="CC997" s="279"/>
      <c r="CD997" s="279"/>
      <c r="CE997" s="279"/>
      <c r="CF997" s="279"/>
      <c r="CG997" s="279"/>
      <c r="CH997" s="279"/>
      <c r="CI997" s="279"/>
      <c r="CJ997" s="279"/>
      <c r="CK997" s="279"/>
      <c r="CL997" s="279"/>
      <c r="CM997" s="279"/>
      <c r="CN997" s="382"/>
    </row>
    <row r="998" x14ac:dyDescent="0.3">
      <c r="B998" s="361"/>
      <c r="C998" s="279"/>
      <c r="D998" s="280"/>
      <c r="E998" s="287"/>
      <c r="F998" s="287"/>
      <c r="G998" s="287"/>
      <c r="H998" s="1292">
        <f t="shared" si="42"/>
        <v>41</v>
      </c>
      <c r="I998" s="1190" t="str">
        <f>'I. Stream &amp; Compound Data'!P302</f>
        <v/>
      </c>
      <c r="J998" s="1295" t="str">
        <f>IF(I182="","",IF('I. Stream &amp; Compound Data'!CS302="",0,'I. Stream &amp; Compound Data'!CS302))</f>
        <v/>
      </c>
      <c r="K998" s="1312" t="str">
        <f t="shared" si="45"/>
        <v/>
      </c>
      <c r="L998" s="301" t="str">
        <f t="shared" si="46"/>
        <v/>
      </c>
      <c r="M998" s="296"/>
      <c r="N998" s="280"/>
      <c r="O998" s="280"/>
      <c r="P998" s="279"/>
      <c r="Q998" s="297"/>
      <c r="R998" s="298"/>
      <c r="S998" s="298"/>
      <c r="T998" s="299"/>
      <c r="U998" s="279"/>
      <c r="V998" s="279"/>
      <c r="W998" s="279"/>
      <c r="X998" s="279"/>
      <c r="Y998" s="279"/>
      <c r="Z998" s="279"/>
      <c r="AA998" s="279"/>
      <c r="AB998" s="279"/>
      <c r="AC998" s="279"/>
      <c r="AD998" s="279"/>
      <c r="AE998" s="279"/>
      <c r="AF998" s="279"/>
      <c r="AG998" s="279"/>
      <c r="AH998" s="279"/>
      <c r="AI998" s="279"/>
      <c r="AJ998" s="279"/>
      <c r="AK998" s="279"/>
      <c r="AL998" s="279"/>
      <c r="AM998" s="279"/>
      <c r="AN998" s="279"/>
      <c r="AO998" s="279"/>
      <c r="AP998" s="279"/>
      <c r="AQ998" s="279"/>
      <c r="AR998" s="279"/>
      <c r="AS998" s="279"/>
      <c r="AT998" s="279"/>
      <c r="AU998" s="279"/>
      <c r="AV998" s="279"/>
      <c r="AW998" s="279"/>
      <c r="AX998" s="279"/>
      <c r="AY998" s="279"/>
      <c r="AZ998" s="279"/>
      <c r="BA998" s="279"/>
      <c r="BB998" s="279"/>
      <c r="BC998" s="279"/>
      <c r="BD998" s="279"/>
      <c r="BE998" s="279"/>
      <c r="BF998" s="279"/>
      <c r="BG998" s="279"/>
      <c r="BH998" s="279"/>
      <c r="BI998" s="279"/>
      <c r="BJ998" s="279"/>
      <c r="BK998" s="279"/>
      <c r="BL998" s="279"/>
      <c r="BM998" s="279"/>
      <c r="BN998" s="279"/>
      <c r="BO998" s="279"/>
      <c r="BP998" s="279"/>
      <c r="BQ998" s="279"/>
      <c r="BR998" s="279"/>
      <c r="BS998" s="279"/>
      <c r="BT998" s="279"/>
      <c r="BU998" s="279"/>
      <c r="BV998" s="279"/>
      <c r="BW998" s="279"/>
      <c r="BX998" s="279"/>
      <c r="BY998" s="279"/>
      <c r="BZ998" s="279"/>
      <c r="CA998" s="279"/>
      <c r="CB998" s="279"/>
      <c r="CC998" s="279"/>
      <c r="CD998" s="279"/>
      <c r="CE998" s="279"/>
      <c r="CF998" s="279"/>
      <c r="CG998" s="279"/>
      <c r="CH998" s="279"/>
      <c r="CI998" s="279"/>
      <c r="CJ998" s="279"/>
      <c r="CK998" s="279"/>
      <c r="CL998" s="279"/>
      <c r="CM998" s="279"/>
      <c r="CN998" s="382"/>
    </row>
    <row r="999" x14ac:dyDescent="0.3">
      <c r="B999" s="361"/>
      <c r="C999" s="279"/>
      <c r="D999" s="280"/>
      <c r="E999" s="287"/>
      <c r="F999" s="287"/>
      <c r="G999" s="287"/>
      <c r="H999" s="1292">
        <f t="shared" si="42"/>
        <v>42</v>
      </c>
      <c r="I999" s="1190" t="str">
        <f>'I. Stream &amp; Compound Data'!P303</f>
        <v/>
      </c>
      <c r="J999" s="1295" t="str">
        <f>IF(I183="","",IF('I. Stream &amp; Compound Data'!CS303="",0,'I. Stream &amp; Compound Data'!CS303))</f>
        <v/>
      </c>
      <c r="K999" s="1312" t="str">
        <f t="shared" si="45"/>
        <v/>
      </c>
      <c r="L999" s="301" t="str">
        <f t="shared" si="46"/>
        <v/>
      </c>
      <c r="M999" s="296"/>
      <c r="N999" s="280"/>
      <c r="O999" s="280"/>
      <c r="P999" s="279"/>
      <c r="Q999" s="297"/>
      <c r="R999" s="298"/>
      <c r="S999" s="298"/>
      <c r="T999" s="299"/>
      <c r="U999" s="279"/>
      <c r="V999" s="279"/>
      <c r="W999" s="279"/>
      <c r="X999" s="279"/>
      <c r="Y999" s="279"/>
      <c r="Z999" s="279"/>
      <c r="AA999" s="279"/>
      <c r="AB999" s="279"/>
      <c r="AC999" s="279"/>
      <c r="AD999" s="279"/>
      <c r="AE999" s="279"/>
      <c r="AF999" s="279"/>
      <c r="AG999" s="279"/>
      <c r="AH999" s="279"/>
      <c r="AI999" s="279"/>
      <c r="AJ999" s="279"/>
      <c r="AK999" s="279"/>
      <c r="AL999" s="279"/>
      <c r="AM999" s="279"/>
      <c r="AN999" s="279"/>
      <c r="AO999" s="279"/>
      <c r="AP999" s="279"/>
      <c r="AQ999" s="279"/>
      <c r="AR999" s="279"/>
      <c r="AS999" s="279"/>
      <c r="AT999" s="279"/>
      <c r="AU999" s="279"/>
      <c r="AV999" s="279"/>
      <c r="AW999" s="279"/>
      <c r="AX999" s="279"/>
      <c r="AY999" s="279"/>
      <c r="AZ999" s="279"/>
      <c r="BA999" s="279"/>
      <c r="BB999" s="279"/>
      <c r="BC999" s="279"/>
      <c r="BD999" s="279"/>
      <c r="BE999" s="279"/>
      <c r="BF999" s="279"/>
      <c r="BG999" s="279"/>
      <c r="BH999" s="279"/>
      <c r="BI999" s="279"/>
      <c r="BJ999" s="279"/>
      <c r="BK999" s="279"/>
      <c r="BL999" s="279"/>
      <c r="BM999" s="279"/>
      <c r="BN999" s="279"/>
      <c r="BO999" s="279"/>
      <c r="BP999" s="279"/>
      <c r="BQ999" s="279"/>
      <c r="BR999" s="279"/>
      <c r="BS999" s="279"/>
      <c r="BT999" s="279"/>
      <c r="BU999" s="279"/>
      <c r="BV999" s="279"/>
      <c r="BW999" s="279"/>
      <c r="BX999" s="279"/>
      <c r="BY999" s="279"/>
      <c r="BZ999" s="279"/>
      <c r="CA999" s="279"/>
      <c r="CB999" s="279"/>
      <c r="CC999" s="279"/>
      <c r="CD999" s="279"/>
      <c r="CE999" s="279"/>
      <c r="CF999" s="279"/>
      <c r="CG999" s="279"/>
      <c r="CH999" s="279"/>
      <c r="CI999" s="279"/>
      <c r="CJ999" s="279"/>
      <c r="CK999" s="279"/>
      <c r="CL999" s="279"/>
      <c r="CM999" s="279"/>
      <c r="CN999" s="382"/>
    </row>
    <row r="1000" x14ac:dyDescent="0.3">
      <c r="B1000" s="361"/>
      <c r="C1000" s="279"/>
      <c r="D1000" s="280"/>
      <c r="E1000" s="287"/>
      <c r="F1000" s="287"/>
      <c r="G1000" s="287"/>
      <c r="H1000" s="1292">
        <f t="shared" si="42"/>
        <v>43</v>
      </c>
      <c r="I1000" s="1190" t="str">
        <f>'I. Stream &amp; Compound Data'!P304</f>
        <v/>
      </c>
      <c r="J1000" s="1295" t="str">
        <f>IF(I184="","",IF('I. Stream &amp; Compound Data'!CS304="",0,'I. Stream &amp; Compound Data'!CS304))</f>
        <v/>
      </c>
      <c r="K1000" s="1312" t="str">
        <f t="shared" si="45"/>
        <v/>
      </c>
      <c r="L1000" s="301" t="str">
        <f t="shared" si="46"/>
        <v/>
      </c>
      <c r="M1000" s="296"/>
      <c r="N1000" s="280"/>
      <c r="O1000" s="280"/>
      <c r="P1000" s="279"/>
      <c r="Q1000" s="297"/>
      <c r="R1000" s="298"/>
      <c r="S1000" s="298"/>
      <c r="T1000" s="299"/>
      <c r="U1000" s="279"/>
      <c r="V1000" s="279"/>
      <c r="W1000" s="279"/>
      <c r="X1000" s="279"/>
      <c r="Y1000" s="279"/>
      <c r="Z1000" s="279"/>
      <c r="AA1000" s="279"/>
      <c r="AB1000" s="279"/>
      <c r="AC1000" s="279"/>
      <c r="AD1000" s="279"/>
      <c r="AE1000" s="279"/>
      <c r="AF1000" s="279"/>
      <c r="AG1000" s="279"/>
      <c r="AH1000" s="279"/>
      <c r="AI1000" s="279"/>
      <c r="AJ1000" s="279"/>
      <c r="AK1000" s="279"/>
      <c r="AL1000" s="279"/>
      <c r="AM1000" s="279"/>
      <c r="AN1000" s="279"/>
      <c r="AO1000" s="279"/>
      <c r="AP1000" s="279"/>
      <c r="AQ1000" s="279"/>
      <c r="AR1000" s="279"/>
      <c r="AS1000" s="279"/>
      <c r="AT1000" s="279"/>
      <c r="AU1000" s="279"/>
      <c r="AV1000" s="279"/>
      <c r="AW1000" s="279"/>
      <c r="AX1000" s="279"/>
      <c r="AY1000" s="279"/>
      <c r="AZ1000" s="279"/>
      <c r="BA1000" s="279"/>
      <c r="BB1000" s="279"/>
      <c r="BC1000" s="279"/>
      <c r="BD1000" s="279"/>
      <c r="BE1000" s="279"/>
      <c r="BF1000" s="279"/>
      <c r="BG1000" s="279"/>
      <c r="BH1000" s="279"/>
      <c r="BI1000" s="279"/>
      <c r="BJ1000" s="279"/>
      <c r="BK1000" s="279"/>
      <c r="BL1000" s="279"/>
      <c r="BM1000" s="279"/>
      <c r="BN1000" s="279"/>
      <c r="BO1000" s="279"/>
      <c r="BP1000" s="279"/>
      <c r="BQ1000" s="279"/>
      <c r="BR1000" s="279"/>
      <c r="BS1000" s="279"/>
      <c r="BT1000" s="279"/>
      <c r="BU1000" s="279"/>
      <c r="BV1000" s="279"/>
      <c r="BW1000" s="279"/>
      <c r="BX1000" s="279"/>
      <c r="BY1000" s="279"/>
      <c r="BZ1000" s="279"/>
      <c r="CA1000" s="279"/>
      <c r="CB1000" s="279"/>
      <c r="CC1000" s="279"/>
      <c r="CD1000" s="279"/>
      <c r="CE1000" s="279"/>
      <c r="CF1000" s="279"/>
      <c r="CG1000" s="279"/>
      <c r="CH1000" s="279"/>
      <c r="CI1000" s="279"/>
      <c r="CJ1000" s="279"/>
      <c r="CK1000" s="279"/>
      <c r="CL1000" s="279"/>
      <c r="CM1000" s="279"/>
      <c r="CN1000" s="382"/>
    </row>
    <row r="1001" x14ac:dyDescent="0.3">
      <c r="B1001" s="361"/>
      <c r="C1001" s="279"/>
      <c r="D1001" s="280"/>
      <c r="E1001" s="287"/>
      <c r="F1001" s="287"/>
      <c r="G1001" s="287"/>
      <c r="H1001" s="1292">
        <f t="shared" si="42"/>
        <v>44</v>
      </c>
      <c r="I1001" s="1190" t="str">
        <f>'I. Stream &amp; Compound Data'!P305</f>
        <v/>
      </c>
      <c r="J1001" s="1295" t="str">
        <f>IF(I185="","",IF('I. Stream &amp; Compound Data'!CS305="",0,'I. Stream &amp; Compound Data'!CS305))</f>
        <v/>
      </c>
      <c r="K1001" s="1312" t="str">
        <f t="shared" si="45"/>
        <v/>
      </c>
      <c r="L1001" s="301" t="str">
        <f t="shared" si="46"/>
        <v/>
      </c>
      <c r="M1001" s="296"/>
      <c r="N1001" s="280"/>
      <c r="O1001" s="280"/>
      <c r="P1001" s="279"/>
      <c r="Q1001" s="297"/>
      <c r="R1001" s="298"/>
      <c r="S1001" s="298"/>
      <c r="T1001" s="299"/>
      <c r="U1001" s="279"/>
      <c r="V1001" s="279"/>
      <c r="W1001" s="279"/>
      <c r="X1001" s="279"/>
      <c r="Y1001" s="279"/>
      <c r="Z1001" s="279"/>
      <c r="AA1001" s="279"/>
      <c r="AB1001" s="279"/>
      <c r="AC1001" s="279"/>
      <c r="AD1001" s="279"/>
      <c r="AE1001" s="279"/>
      <c r="AF1001" s="279"/>
      <c r="AG1001" s="279"/>
      <c r="AH1001" s="279"/>
      <c r="AI1001" s="279"/>
      <c r="AJ1001" s="279"/>
      <c r="AK1001" s="279"/>
      <c r="AL1001" s="279"/>
      <c r="AM1001" s="279"/>
      <c r="AN1001" s="279"/>
      <c r="AO1001" s="279"/>
      <c r="AP1001" s="279"/>
      <c r="AQ1001" s="279"/>
      <c r="AR1001" s="279"/>
      <c r="AS1001" s="279"/>
      <c r="AT1001" s="279"/>
      <c r="AU1001" s="279"/>
      <c r="AV1001" s="279"/>
      <c r="AW1001" s="279"/>
      <c r="AX1001" s="279"/>
      <c r="AY1001" s="279"/>
      <c r="AZ1001" s="279"/>
      <c r="BA1001" s="279"/>
      <c r="BB1001" s="279"/>
      <c r="BC1001" s="279"/>
      <c r="BD1001" s="279"/>
      <c r="BE1001" s="279"/>
      <c r="BF1001" s="279"/>
      <c r="BG1001" s="279"/>
      <c r="BH1001" s="279"/>
      <c r="BI1001" s="279"/>
      <c r="BJ1001" s="279"/>
      <c r="BK1001" s="279"/>
      <c r="BL1001" s="279"/>
      <c r="BM1001" s="279"/>
      <c r="BN1001" s="279"/>
      <c r="BO1001" s="279"/>
      <c r="BP1001" s="279"/>
      <c r="BQ1001" s="279"/>
      <c r="BR1001" s="279"/>
      <c r="BS1001" s="279"/>
      <c r="BT1001" s="279"/>
      <c r="BU1001" s="279"/>
      <c r="BV1001" s="279"/>
      <c r="BW1001" s="279"/>
      <c r="BX1001" s="279"/>
      <c r="BY1001" s="279"/>
      <c r="BZ1001" s="279"/>
      <c r="CA1001" s="279"/>
      <c r="CB1001" s="279"/>
      <c r="CC1001" s="279"/>
      <c r="CD1001" s="279"/>
      <c r="CE1001" s="279"/>
      <c r="CF1001" s="279"/>
      <c r="CG1001" s="279"/>
      <c r="CH1001" s="279"/>
      <c r="CI1001" s="279"/>
      <c r="CJ1001" s="279"/>
      <c r="CK1001" s="279"/>
      <c r="CL1001" s="279"/>
      <c r="CM1001" s="279"/>
      <c r="CN1001" s="382"/>
    </row>
    <row r="1002" x14ac:dyDescent="0.3">
      <c r="B1002" s="361"/>
      <c r="C1002" s="279"/>
      <c r="D1002" s="280"/>
      <c r="E1002" s="287"/>
      <c r="F1002" s="287"/>
      <c r="G1002" s="287"/>
      <c r="H1002" s="1292">
        <f t="shared" si="42"/>
        <v>45</v>
      </c>
      <c r="I1002" s="1190" t="str">
        <f>'I. Stream &amp; Compound Data'!P306</f>
        <v/>
      </c>
      <c r="J1002" s="1295" t="str">
        <f>IF(I186="","",IF('I. Stream &amp; Compound Data'!CS306="",0,'I. Stream &amp; Compound Data'!CS306))</f>
        <v/>
      </c>
      <c r="K1002" s="1312" t="str">
        <f t="shared" si="45"/>
        <v/>
      </c>
      <c r="L1002" s="301" t="str">
        <f t="shared" si="46"/>
        <v/>
      </c>
      <c r="M1002" s="296"/>
      <c r="N1002" s="280"/>
      <c r="O1002" s="280"/>
      <c r="P1002" s="279"/>
      <c r="Q1002" s="297"/>
      <c r="R1002" s="298"/>
      <c r="S1002" s="298"/>
      <c r="T1002" s="299"/>
      <c r="U1002" s="279"/>
      <c r="V1002" s="279"/>
      <c r="W1002" s="279"/>
      <c r="X1002" s="279"/>
      <c r="Y1002" s="279"/>
      <c r="Z1002" s="279"/>
      <c r="AA1002" s="279"/>
      <c r="AB1002" s="279"/>
      <c r="AC1002" s="279"/>
      <c r="AD1002" s="279"/>
      <c r="AE1002" s="279"/>
      <c r="AF1002" s="279"/>
      <c r="AG1002" s="279"/>
      <c r="AH1002" s="279"/>
      <c r="AI1002" s="279"/>
      <c r="AJ1002" s="279"/>
      <c r="AK1002" s="279"/>
      <c r="AL1002" s="279"/>
      <c r="AM1002" s="279"/>
      <c r="AN1002" s="279"/>
      <c r="AO1002" s="279"/>
      <c r="AP1002" s="279"/>
      <c r="AQ1002" s="279"/>
      <c r="AR1002" s="279"/>
      <c r="AS1002" s="279"/>
      <c r="AT1002" s="279"/>
      <c r="AU1002" s="279"/>
      <c r="AV1002" s="279"/>
      <c r="AW1002" s="279"/>
      <c r="AX1002" s="279"/>
      <c r="AY1002" s="279"/>
      <c r="AZ1002" s="279"/>
      <c r="BA1002" s="279"/>
      <c r="BB1002" s="279"/>
      <c r="BC1002" s="279"/>
      <c r="BD1002" s="279"/>
      <c r="BE1002" s="279"/>
      <c r="BF1002" s="279"/>
      <c r="BG1002" s="279"/>
      <c r="BH1002" s="279"/>
      <c r="BI1002" s="279"/>
      <c r="BJ1002" s="279"/>
      <c r="BK1002" s="279"/>
      <c r="BL1002" s="279"/>
      <c r="BM1002" s="279"/>
      <c r="BN1002" s="279"/>
      <c r="BO1002" s="279"/>
      <c r="BP1002" s="279"/>
      <c r="BQ1002" s="279"/>
      <c r="BR1002" s="279"/>
      <c r="BS1002" s="279"/>
      <c r="BT1002" s="279"/>
      <c r="BU1002" s="279"/>
      <c r="BV1002" s="279"/>
      <c r="BW1002" s="279"/>
      <c r="BX1002" s="279"/>
      <c r="BY1002" s="279"/>
      <c r="BZ1002" s="279"/>
      <c r="CA1002" s="279"/>
      <c r="CB1002" s="279"/>
      <c r="CC1002" s="279"/>
      <c r="CD1002" s="279"/>
      <c r="CE1002" s="279"/>
      <c r="CF1002" s="279"/>
      <c r="CG1002" s="279"/>
      <c r="CH1002" s="279"/>
      <c r="CI1002" s="279"/>
      <c r="CJ1002" s="279"/>
      <c r="CK1002" s="279"/>
      <c r="CL1002" s="279"/>
      <c r="CM1002" s="279"/>
      <c r="CN1002" s="382"/>
    </row>
    <row r="1003" x14ac:dyDescent="0.3">
      <c r="B1003" s="361"/>
      <c r="C1003" s="279"/>
      <c r="D1003" s="280"/>
      <c r="E1003" s="287"/>
      <c r="F1003" s="287"/>
      <c r="G1003" s="287"/>
      <c r="H1003" s="1292">
        <f t="shared" si="42"/>
        <v>46</v>
      </c>
      <c r="I1003" s="1190" t="str">
        <f>'I. Stream &amp; Compound Data'!P307</f>
        <v/>
      </c>
      <c r="J1003" s="1295" t="str">
        <f>IF(I187="","",IF('I. Stream &amp; Compound Data'!CS307="",0,'I. Stream &amp; Compound Data'!CS307))</f>
        <v/>
      </c>
      <c r="K1003" s="1312" t="str">
        <f t="shared" si="45"/>
        <v/>
      </c>
      <c r="L1003" s="301" t="str">
        <f t="shared" si="46"/>
        <v/>
      </c>
      <c r="M1003" s="296"/>
      <c r="N1003" s="280"/>
      <c r="O1003" s="280"/>
      <c r="P1003" s="279"/>
      <c r="Q1003" s="297"/>
      <c r="R1003" s="298"/>
      <c r="S1003" s="298"/>
      <c r="T1003" s="299"/>
      <c r="U1003" s="279"/>
      <c r="V1003" s="279"/>
      <c r="W1003" s="279"/>
      <c r="X1003" s="279"/>
      <c r="Y1003" s="279"/>
      <c r="Z1003" s="279"/>
      <c r="AA1003" s="279"/>
      <c r="AB1003" s="279"/>
      <c r="AC1003" s="279"/>
      <c r="AD1003" s="279"/>
      <c r="AE1003" s="279"/>
      <c r="AF1003" s="279"/>
      <c r="AG1003" s="279"/>
      <c r="AH1003" s="279"/>
      <c r="AI1003" s="279"/>
      <c r="AJ1003" s="279"/>
      <c r="AK1003" s="279"/>
      <c r="AL1003" s="279"/>
      <c r="AM1003" s="279"/>
      <c r="AN1003" s="279"/>
      <c r="AO1003" s="279"/>
      <c r="AP1003" s="279"/>
      <c r="AQ1003" s="279"/>
      <c r="AR1003" s="279"/>
      <c r="AS1003" s="279"/>
      <c r="AT1003" s="279"/>
      <c r="AU1003" s="279"/>
      <c r="AV1003" s="279"/>
      <c r="AW1003" s="279"/>
      <c r="AX1003" s="279"/>
      <c r="AY1003" s="279"/>
      <c r="AZ1003" s="279"/>
      <c r="BA1003" s="279"/>
      <c r="BB1003" s="279"/>
      <c r="BC1003" s="279"/>
      <c r="BD1003" s="279"/>
      <c r="BE1003" s="279"/>
      <c r="BF1003" s="279"/>
      <c r="BG1003" s="279"/>
      <c r="BH1003" s="279"/>
      <c r="BI1003" s="279"/>
      <c r="BJ1003" s="279"/>
      <c r="BK1003" s="279"/>
      <c r="BL1003" s="279"/>
      <c r="BM1003" s="279"/>
      <c r="BN1003" s="279"/>
      <c r="BO1003" s="279"/>
      <c r="BP1003" s="279"/>
      <c r="BQ1003" s="279"/>
      <c r="BR1003" s="279"/>
      <c r="BS1003" s="279"/>
      <c r="BT1003" s="279"/>
      <c r="BU1003" s="279"/>
      <c r="BV1003" s="279"/>
      <c r="BW1003" s="279"/>
      <c r="BX1003" s="279"/>
      <c r="BY1003" s="279"/>
      <c r="BZ1003" s="279"/>
      <c r="CA1003" s="279"/>
      <c r="CB1003" s="279"/>
      <c r="CC1003" s="279"/>
      <c r="CD1003" s="279"/>
      <c r="CE1003" s="279"/>
      <c r="CF1003" s="279"/>
      <c r="CG1003" s="279"/>
      <c r="CH1003" s="279"/>
      <c r="CI1003" s="279"/>
      <c r="CJ1003" s="279"/>
      <c r="CK1003" s="279"/>
      <c r="CL1003" s="279"/>
      <c r="CM1003" s="279"/>
      <c r="CN1003" s="382"/>
    </row>
    <row r="1004" x14ac:dyDescent="0.3">
      <c r="B1004" s="361"/>
      <c r="C1004" s="279"/>
      <c r="D1004" s="280"/>
      <c r="E1004" s="287"/>
      <c r="F1004" s="287"/>
      <c r="G1004" s="287"/>
      <c r="H1004" s="1292">
        <f t="shared" si="42"/>
        <v>47</v>
      </c>
      <c r="I1004" s="1190" t="str">
        <f>'I. Stream &amp; Compound Data'!P308</f>
        <v/>
      </c>
      <c r="J1004" s="1295" t="str">
        <f>IF(I188="","",IF('I. Stream &amp; Compound Data'!CS308="",0,'I. Stream &amp; Compound Data'!CS308))</f>
        <v/>
      </c>
      <c r="K1004" s="1312" t="str">
        <f t="shared" si="45"/>
        <v/>
      </c>
      <c r="L1004" s="301" t="str">
        <f t="shared" si="46"/>
        <v/>
      </c>
      <c r="M1004" s="296"/>
      <c r="N1004" s="280"/>
      <c r="O1004" s="280"/>
      <c r="P1004" s="279"/>
      <c r="Q1004" s="297"/>
      <c r="R1004" s="298"/>
      <c r="S1004" s="298"/>
      <c r="T1004" s="299"/>
      <c r="U1004" s="279"/>
      <c r="V1004" s="279"/>
      <c r="W1004" s="279"/>
      <c r="X1004" s="279"/>
      <c r="Y1004" s="279"/>
      <c r="Z1004" s="279"/>
      <c r="AA1004" s="279"/>
      <c r="AB1004" s="279"/>
      <c r="AC1004" s="279"/>
      <c r="AD1004" s="279"/>
      <c r="AE1004" s="279"/>
      <c r="AF1004" s="279"/>
      <c r="AG1004" s="279"/>
      <c r="AH1004" s="279"/>
      <c r="AI1004" s="279"/>
      <c r="AJ1004" s="279"/>
      <c r="AK1004" s="279"/>
      <c r="AL1004" s="279"/>
      <c r="AM1004" s="279"/>
      <c r="AN1004" s="279"/>
      <c r="AO1004" s="279"/>
      <c r="AP1004" s="279"/>
      <c r="AQ1004" s="279"/>
      <c r="AR1004" s="279"/>
      <c r="AS1004" s="279"/>
      <c r="AT1004" s="279"/>
      <c r="AU1004" s="279"/>
      <c r="AV1004" s="279"/>
      <c r="AW1004" s="279"/>
      <c r="AX1004" s="279"/>
      <c r="AY1004" s="279"/>
      <c r="AZ1004" s="279"/>
      <c r="BA1004" s="279"/>
      <c r="BB1004" s="279"/>
      <c r="BC1004" s="279"/>
      <c r="BD1004" s="279"/>
      <c r="BE1004" s="279"/>
      <c r="BF1004" s="279"/>
      <c r="BG1004" s="279"/>
      <c r="BH1004" s="279"/>
      <c r="BI1004" s="279"/>
      <c r="BJ1004" s="279"/>
      <c r="BK1004" s="279"/>
      <c r="BL1004" s="279"/>
      <c r="BM1004" s="279"/>
      <c r="BN1004" s="279"/>
      <c r="BO1004" s="279"/>
      <c r="BP1004" s="279"/>
      <c r="BQ1004" s="279"/>
      <c r="BR1004" s="279"/>
      <c r="BS1004" s="279"/>
      <c r="BT1004" s="279"/>
      <c r="BU1004" s="279"/>
      <c r="BV1004" s="279"/>
      <c r="BW1004" s="279"/>
      <c r="BX1004" s="279"/>
      <c r="BY1004" s="279"/>
      <c r="BZ1004" s="279"/>
      <c r="CA1004" s="279"/>
      <c r="CB1004" s="279"/>
      <c r="CC1004" s="279"/>
      <c r="CD1004" s="279"/>
      <c r="CE1004" s="279"/>
      <c r="CF1004" s="279"/>
      <c r="CG1004" s="279"/>
      <c r="CH1004" s="279"/>
      <c r="CI1004" s="279"/>
      <c r="CJ1004" s="279"/>
      <c r="CK1004" s="279"/>
      <c r="CL1004" s="279"/>
      <c r="CM1004" s="279"/>
      <c r="CN1004" s="382"/>
    </row>
    <row r="1005" x14ac:dyDescent="0.3">
      <c r="B1005" s="361"/>
      <c r="C1005" s="279"/>
      <c r="D1005" s="280"/>
      <c r="E1005" s="287"/>
      <c r="F1005" s="287"/>
      <c r="G1005" s="287"/>
      <c r="H1005" s="1292">
        <f t="shared" si="42"/>
        <v>48</v>
      </c>
      <c r="I1005" s="1190" t="str">
        <f>'I. Stream &amp; Compound Data'!P309</f>
        <v/>
      </c>
      <c r="J1005" s="1295" t="str">
        <f>IF(I189="","",IF('I. Stream &amp; Compound Data'!CS309="",0,'I. Stream &amp; Compound Data'!CS309))</f>
        <v/>
      </c>
      <c r="K1005" s="1312" t="str">
        <f t="shared" si="45"/>
        <v/>
      </c>
      <c r="L1005" s="301" t="str">
        <f t="shared" si="46"/>
        <v/>
      </c>
      <c r="M1005" s="296"/>
      <c r="N1005" s="280"/>
      <c r="O1005" s="280"/>
      <c r="P1005" s="279"/>
      <c r="Q1005" s="297"/>
      <c r="R1005" s="298"/>
      <c r="S1005" s="298"/>
      <c r="T1005" s="299"/>
      <c r="U1005" s="279"/>
      <c r="V1005" s="279"/>
      <c r="W1005" s="279"/>
      <c r="X1005" s="279"/>
      <c r="Y1005" s="279"/>
      <c r="Z1005" s="279"/>
      <c r="AA1005" s="279"/>
      <c r="AB1005" s="279"/>
      <c r="AC1005" s="279"/>
      <c r="AD1005" s="279"/>
      <c r="AE1005" s="279"/>
      <c r="AF1005" s="279"/>
      <c r="AG1005" s="279"/>
      <c r="AH1005" s="279"/>
      <c r="AI1005" s="279"/>
      <c r="AJ1005" s="279"/>
      <c r="AK1005" s="279"/>
      <c r="AL1005" s="279"/>
      <c r="AM1005" s="279"/>
      <c r="AN1005" s="279"/>
      <c r="AO1005" s="279"/>
      <c r="AP1005" s="279"/>
      <c r="AQ1005" s="279"/>
      <c r="AR1005" s="279"/>
      <c r="AS1005" s="279"/>
      <c r="AT1005" s="279"/>
      <c r="AU1005" s="279"/>
      <c r="AV1005" s="279"/>
      <c r="AW1005" s="279"/>
      <c r="AX1005" s="279"/>
      <c r="AY1005" s="279"/>
      <c r="AZ1005" s="279"/>
      <c r="BA1005" s="279"/>
      <c r="BB1005" s="279"/>
      <c r="BC1005" s="279"/>
      <c r="BD1005" s="279"/>
      <c r="BE1005" s="279"/>
      <c r="BF1005" s="279"/>
      <c r="BG1005" s="279"/>
      <c r="BH1005" s="279"/>
      <c r="BI1005" s="279"/>
      <c r="BJ1005" s="279"/>
      <c r="BK1005" s="279"/>
      <c r="BL1005" s="279"/>
      <c r="BM1005" s="279"/>
      <c r="BN1005" s="279"/>
      <c r="BO1005" s="279"/>
      <c r="BP1005" s="279"/>
      <c r="BQ1005" s="279"/>
      <c r="BR1005" s="279"/>
      <c r="BS1005" s="279"/>
      <c r="BT1005" s="279"/>
      <c r="BU1005" s="279"/>
      <c r="BV1005" s="279"/>
      <c r="BW1005" s="279"/>
      <c r="BX1005" s="279"/>
      <c r="BY1005" s="279"/>
      <c r="BZ1005" s="279"/>
      <c r="CA1005" s="279"/>
      <c r="CB1005" s="279"/>
      <c r="CC1005" s="279"/>
      <c r="CD1005" s="279"/>
      <c r="CE1005" s="279"/>
      <c r="CF1005" s="279"/>
      <c r="CG1005" s="279"/>
      <c r="CH1005" s="279"/>
      <c r="CI1005" s="279"/>
      <c r="CJ1005" s="279"/>
      <c r="CK1005" s="279"/>
      <c r="CL1005" s="279"/>
      <c r="CM1005" s="279"/>
      <c r="CN1005" s="382"/>
    </row>
    <row r="1006" x14ac:dyDescent="0.3">
      <c r="B1006" s="361"/>
      <c r="C1006" s="279"/>
      <c r="D1006" s="280"/>
      <c r="E1006" s="287"/>
      <c r="F1006" s="287"/>
      <c r="G1006" s="287"/>
      <c r="H1006" s="1292">
        <f t="shared" si="42"/>
        <v>49</v>
      </c>
      <c r="I1006" s="1190" t="str">
        <f>'I. Stream &amp; Compound Data'!P310</f>
        <v/>
      </c>
      <c r="J1006" s="1295" t="str">
        <f>IF(I190="","",IF('I. Stream &amp; Compound Data'!CS310="",0,'I. Stream &amp; Compound Data'!CS310))</f>
        <v/>
      </c>
      <c r="K1006" s="1312" t="str">
        <f t="shared" si="45"/>
        <v/>
      </c>
      <c r="L1006" s="301" t="str">
        <f t="shared" si="46"/>
        <v/>
      </c>
      <c r="M1006" s="296"/>
      <c r="N1006" s="280"/>
      <c r="O1006" s="280"/>
      <c r="P1006" s="279"/>
      <c r="Q1006" s="297"/>
      <c r="R1006" s="298"/>
      <c r="S1006" s="298"/>
      <c r="T1006" s="299"/>
      <c r="U1006" s="279"/>
      <c r="V1006" s="279"/>
      <c r="W1006" s="279"/>
      <c r="X1006" s="279"/>
      <c r="Y1006" s="279"/>
      <c r="Z1006" s="279"/>
      <c r="AA1006" s="279"/>
      <c r="AB1006" s="279"/>
      <c r="AC1006" s="279"/>
      <c r="AD1006" s="279"/>
      <c r="AE1006" s="279"/>
      <c r="AF1006" s="279"/>
      <c r="AG1006" s="279"/>
      <c r="AH1006" s="279"/>
      <c r="AI1006" s="279"/>
      <c r="AJ1006" s="279"/>
      <c r="AK1006" s="279"/>
      <c r="AL1006" s="279"/>
      <c r="AM1006" s="279"/>
      <c r="AN1006" s="279"/>
      <c r="AO1006" s="279"/>
      <c r="AP1006" s="279"/>
      <c r="AQ1006" s="279"/>
      <c r="AR1006" s="279"/>
      <c r="AS1006" s="279"/>
      <c r="AT1006" s="279"/>
      <c r="AU1006" s="279"/>
      <c r="AV1006" s="279"/>
      <c r="AW1006" s="279"/>
      <c r="AX1006" s="279"/>
      <c r="AY1006" s="279"/>
      <c r="AZ1006" s="279"/>
      <c r="BA1006" s="279"/>
      <c r="BB1006" s="279"/>
      <c r="BC1006" s="279"/>
      <c r="BD1006" s="279"/>
      <c r="BE1006" s="279"/>
      <c r="BF1006" s="279"/>
      <c r="BG1006" s="279"/>
      <c r="BH1006" s="279"/>
      <c r="BI1006" s="279"/>
      <c r="BJ1006" s="279"/>
      <c r="BK1006" s="279"/>
      <c r="BL1006" s="279"/>
      <c r="BM1006" s="279"/>
      <c r="BN1006" s="279"/>
      <c r="BO1006" s="279"/>
      <c r="BP1006" s="279"/>
      <c r="BQ1006" s="279"/>
      <c r="BR1006" s="279"/>
      <c r="BS1006" s="279"/>
      <c r="BT1006" s="279"/>
      <c r="BU1006" s="279"/>
      <c r="BV1006" s="279"/>
      <c r="BW1006" s="279"/>
      <c r="BX1006" s="279"/>
      <c r="BY1006" s="279"/>
      <c r="BZ1006" s="279"/>
      <c r="CA1006" s="279"/>
      <c r="CB1006" s="279"/>
      <c r="CC1006" s="279"/>
      <c r="CD1006" s="279"/>
      <c r="CE1006" s="279"/>
      <c r="CF1006" s="279"/>
      <c r="CG1006" s="279"/>
      <c r="CH1006" s="279"/>
      <c r="CI1006" s="279"/>
      <c r="CJ1006" s="279"/>
      <c r="CK1006" s="279"/>
      <c r="CL1006" s="279"/>
      <c r="CM1006" s="279"/>
      <c r="CN1006" s="382"/>
    </row>
    <row r="1007" ht="16.2" thickBot="true" x14ac:dyDescent="0.35">
      <c r="B1007" s="361"/>
      <c r="C1007" s="279"/>
      <c r="D1007" s="280"/>
      <c r="E1007" s="287"/>
      <c r="F1007" s="287"/>
      <c r="G1007" s="287"/>
      <c r="H1007" s="1298">
        <f t="shared" si="42"/>
        <v>50</v>
      </c>
      <c r="I1007" s="1259" t="str">
        <f>'I. Stream &amp; Compound Data'!P311</f>
        <v/>
      </c>
      <c r="J1007" s="1301" t="str">
        <f>IF(I191="","",IF('I. Stream &amp; Compound Data'!CS311="",0,'I. Stream &amp; Compound Data'!CS311))</f>
        <v/>
      </c>
      <c r="K1007" s="1313" t="str">
        <f t="shared" si="45"/>
        <v/>
      </c>
      <c r="L1007" s="1314" t="str">
        <f t="shared" si="46"/>
        <v/>
      </c>
      <c r="M1007" s="296"/>
      <c r="N1007" s="280"/>
      <c r="O1007" s="280"/>
      <c r="P1007" s="279"/>
      <c r="Q1007" s="297"/>
      <c r="R1007" s="298"/>
      <c r="S1007" s="298"/>
      <c r="T1007" s="299"/>
      <c r="U1007" s="279"/>
      <c r="V1007" s="279"/>
      <c r="W1007" s="279"/>
      <c r="X1007" s="279"/>
      <c r="Y1007" s="279"/>
      <c r="Z1007" s="279"/>
      <c r="AA1007" s="279"/>
      <c r="AB1007" s="279"/>
      <c r="AC1007" s="279"/>
      <c r="AD1007" s="279"/>
      <c r="AE1007" s="279"/>
      <c r="AF1007" s="279"/>
      <c r="AG1007" s="279"/>
      <c r="AH1007" s="279"/>
      <c r="AI1007" s="279"/>
      <c r="AJ1007" s="279"/>
      <c r="AK1007" s="279"/>
      <c r="AL1007" s="279"/>
      <c r="AM1007" s="279"/>
      <c r="AN1007" s="279"/>
      <c r="AO1007" s="279"/>
      <c r="AP1007" s="279"/>
      <c r="AQ1007" s="279"/>
      <c r="AR1007" s="279"/>
      <c r="AS1007" s="279"/>
      <c r="AT1007" s="279"/>
      <c r="AU1007" s="279"/>
      <c r="AV1007" s="279"/>
      <c r="AW1007" s="279"/>
      <c r="AX1007" s="279"/>
      <c r="AY1007" s="279"/>
      <c r="AZ1007" s="279"/>
      <c r="BA1007" s="279"/>
      <c r="BB1007" s="279"/>
      <c r="BC1007" s="279"/>
      <c r="BD1007" s="279"/>
      <c r="BE1007" s="279"/>
      <c r="BF1007" s="279"/>
      <c r="BG1007" s="279"/>
      <c r="BH1007" s="279"/>
      <c r="BI1007" s="279"/>
      <c r="BJ1007" s="279"/>
      <c r="BK1007" s="279"/>
      <c r="BL1007" s="279"/>
      <c r="BM1007" s="279"/>
      <c r="BN1007" s="279"/>
      <c r="BO1007" s="279"/>
      <c r="BP1007" s="279"/>
      <c r="BQ1007" s="279"/>
      <c r="BR1007" s="279"/>
      <c r="BS1007" s="279"/>
      <c r="BT1007" s="279"/>
      <c r="BU1007" s="279"/>
      <c r="BV1007" s="279"/>
      <c r="BW1007" s="279"/>
      <c r="BX1007" s="279"/>
      <c r="BY1007" s="279"/>
      <c r="BZ1007" s="279"/>
      <c r="CA1007" s="279"/>
      <c r="CB1007" s="279"/>
      <c r="CC1007" s="279"/>
      <c r="CD1007" s="279"/>
      <c r="CE1007" s="279"/>
      <c r="CF1007" s="279"/>
      <c r="CG1007" s="279"/>
      <c r="CH1007" s="279"/>
      <c r="CI1007" s="279"/>
      <c r="CJ1007" s="279"/>
      <c r="CK1007" s="279"/>
      <c r="CL1007" s="279"/>
      <c r="CM1007" s="279"/>
      <c r="CN1007" s="382"/>
    </row>
    <row r="1008" ht="16.2" thickBot="true" x14ac:dyDescent="0.35">
      <c r="B1008" s="361"/>
      <c r="C1008" s="279"/>
      <c r="D1008" s="280"/>
      <c r="E1008" s="287"/>
      <c r="F1008" s="287"/>
      <c r="G1008" s="287"/>
      <c r="H1008" s="280"/>
      <c r="I1008" s="279"/>
      <c r="J1008" s="305" t="s">
        <v>88</v>
      </c>
      <c r="K1008" s="1305">
        <f>SUM(K958:K1007)</f>
        <v>0</v>
      </c>
      <c r="L1008" s="1305">
        <f>SUM(L958:L1007)</f>
        <v>2980.7504537999998</v>
      </c>
      <c r="M1008" s="296"/>
      <c r="N1008" s="280"/>
      <c r="O1008" s="280"/>
      <c r="P1008" s="279"/>
      <c r="Q1008" s="297"/>
      <c r="R1008" s="298"/>
      <c r="S1008" s="298"/>
      <c r="T1008" s="299"/>
      <c r="U1008" s="279"/>
      <c r="V1008" s="279"/>
      <c r="W1008" s="279"/>
      <c r="X1008" s="279"/>
      <c r="Y1008" s="279"/>
      <c r="Z1008" s="279"/>
      <c r="AA1008" s="279"/>
      <c r="AB1008" s="279"/>
      <c r="AC1008" s="279"/>
      <c r="AD1008" s="279"/>
      <c r="AE1008" s="279"/>
      <c r="AF1008" s="279"/>
      <c r="AG1008" s="279"/>
      <c r="AH1008" s="279"/>
      <c r="AI1008" s="279"/>
      <c r="AJ1008" s="279"/>
      <c r="AK1008" s="279"/>
      <c r="AL1008" s="279"/>
      <c r="AM1008" s="279"/>
      <c r="AN1008" s="279"/>
      <c r="AO1008" s="279"/>
      <c r="AP1008" s="279"/>
      <c r="AQ1008" s="279"/>
      <c r="AR1008" s="279"/>
      <c r="AS1008" s="279"/>
      <c r="AT1008" s="279"/>
      <c r="AU1008" s="279"/>
      <c r="AV1008" s="279"/>
      <c r="AW1008" s="279"/>
      <c r="AX1008" s="279"/>
      <c r="AY1008" s="279"/>
      <c r="AZ1008" s="279"/>
      <c r="BA1008" s="279"/>
      <c r="BB1008" s="279"/>
      <c r="BC1008" s="279"/>
      <c r="BD1008" s="279"/>
      <c r="BE1008" s="279"/>
      <c r="BF1008" s="279"/>
      <c r="BG1008" s="279"/>
      <c r="BH1008" s="279"/>
      <c r="BI1008" s="279"/>
      <c r="BJ1008" s="279"/>
      <c r="BK1008" s="279"/>
      <c r="BL1008" s="279"/>
      <c r="BM1008" s="279"/>
      <c r="BN1008" s="279"/>
      <c r="BO1008" s="279"/>
      <c r="BP1008" s="279"/>
      <c r="BQ1008" s="279"/>
      <c r="BR1008" s="279"/>
      <c r="BS1008" s="279"/>
      <c r="BT1008" s="279"/>
      <c r="BU1008" s="279"/>
      <c r="BV1008" s="279"/>
      <c r="BW1008" s="279"/>
      <c r="BX1008" s="279"/>
      <c r="BY1008" s="279"/>
      <c r="BZ1008" s="279"/>
      <c r="CA1008" s="279"/>
      <c r="CB1008" s="279"/>
      <c r="CC1008" s="279"/>
      <c r="CD1008" s="279"/>
      <c r="CE1008" s="279"/>
      <c r="CF1008" s="279"/>
      <c r="CG1008" s="279"/>
      <c r="CH1008" s="279"/>
      <c r="CI1008" s="279"/>
      <c r="CJ1008" s="279"/>
      <c r="CK1008" s="279"/>
      <c r="CL1008" s="279"/>
      <c r="CM1008" s="279"/>
      <c r="CN1008" s="382"/>
    </row>
    <row r="1009" x14ac:dyDescent="0.3">
      <c r="B1009" s="361"/>
      <c r="C1009" s="279"/>
      <c r="D1009" s="280"/>
      <c r="E1009" s="287"/>
      <c r="F1009" s="287"/>
      <c r="G1009" s="287"/>
      <c r="H1009" s="280"/>
      <c r="I1009" s="279"/>
      <c r="J1009" s="305"/>
      <c r="K1009" s="287"/>
      <c r="L1009" s="287"/>
      <c r="M1009" s="296"/>
      <c r="N1009" s="280"/>
      <c r="O1009" s="280"/>
      <c r="P1009" s="279"/>
      <c r="Q1009" s="297"/>
      <c r="R1009" s="298"/>
      <c r="S1009" s="298"/>
      <c r="T1009" s="299"/>
      <c r="U1009" s="279"/>
      <c r="V1009" s="279"/>
      <c r="W1009" s="279"/>
      <c r="X1009" s="279"/>
      <c r="Y1009" s="279"/>
      <c r="Z1009" s="279"/>
      <c r="AA1009" s="279"/>
      <c r="AB1009" s="279"/>
      <c r="AC1009" s="279"/>
      <c r="AD1009" s="279"/>
      <c r="AE1009" s="279"/>
      <c r="AF1009" s="279"/>
      <c r="AG1009" s="279"/>
      <c r="AH1009" s="279"/>
      <c r="AI1009" s="279"/>
      <c r="AJ1009" s="279"/>
      <c r="AK1009" s="279"/>
      <c r="AL1009" s="279"/>
      <c r="AM1009" s="279"/>
      <c r="AN1009" s="279"/>
      <c r="AO1009" s="279"/>
      <c r="AP1009" s="279"/>
      <c r="AQ1009" s="279"/>
      <c r="AR1009" s="279"/>
      <c r="AS1009" s="279"/>
      <c r="AT1009" s="279"/>
      <c r="AU1009" s="279"/>
      <c r="AV1009" s="279"/>
      <c r="AW1009" s="279"/>
      <c r="AX1009" s="279"/>
      <c r="AY1009" s="279"/>
      <c r="AZ1009" s="279"/>
      <c r="BA1009" s="279"/>
      <c r="BB1009" s="279"/>
      <c r="BC1009" s="279"/>
      <c r="BD1009" s="279"/>
      <c r="BE1009" s="279"/>
      <c r="BF1009" s="279"/>
      <c r="BG1009" s="279"/>
      <c r="BH1009" s="279"/>
      <c r="BI1009" s="279"/>
      <c r="BJ1009" s="279"/>
      <c r="BK1009" s="279"/>
      <c r="BL1009" s="279"/>
      <c r="BM1009" s="279"/>
      <c r="BN1009" s="279"/>
      <c r="BO1009" s="279"/>
      <c r="BP1009" s="279"/>
      <c r="BQ1009" s="279"/>
      <c r="BR1009" s="279"/>
      <c r="BS1009" s="279"/>
      <c r="BT1009" s="279"/>
      <c r="BU1009" s="279"/>
      <c r="BV1009" s="279"/>
      <c r="BW1009" s="279"/>
      <c r="BX1009" s="279"/>
      <c r="BY1009" s="279"/>
      <c r="BZ1009" s="279"/>
      <c r="CA1009" s="279"/>
      <c r="CB1009" s="279"/>
      <c r="CC1009" s="279"/>
      <c r="CD1009" s="279"/>
      <c r="CE1009" s="279"/>
      <c r="CF1009" s="279"/>
      <c r="CG1009" s="279"/>
      <c r="CH1009" s="279"/>
      <c r="CI1009" s="279"/>
      <c r="CJ1009" s="279"/>
      <c r="CK1009" s="279"/>
      <c r="CL1009" s="279"/>
      <c r="CM1009" s="279"/>
      <c r="CN1009" s="382"/>
    </row>
    <row r="1010" x14ac:dyDescent="0.3">
      <c r="B1010" s="361"/>
      <c r="C1010" s="279"/>
      <c r="D1010" s="280"/>
      <c r="E1010" s="287"/>
      <c r="F1010" s="287"/>
      <c r="G1010" s="287"/>
      <c r="H1010" s="280"/>
      <c r="I1010" s="279"/>
      <c r="J1010" s="305"/>
      <c r="K1010" s="287"/>
      <c r="L1010" s="287"/>
      <c r="M1010" s="296"/>
      <c r="N1010" s="280"/>
      <c r="O1010" s="280"/>
      <c r="P1010" s="279"/>
      <c r="Q1010" s="297"/>
      <c r="R1010" s="298"/>
      <c r="S1010" s="298"/>
      <c r="T1010" s="299"/>
      <c r="U1010" s="279"/>
      <c r="V1010" s="279"/>
      <c r="W1010" s="279"/>
      <c r="X1010" s="279"/>
      <c r="Y1010" s="279"/>
      <c r="Z1010" s="279"/>
      <c r="AA1010" s="279"/>
      <c r="AB1010" s="279"/>
      <c r="AC1010" s="279"/>
      <c r="AD1010" s="279"/>
      <c r="AE1010" s="279"/>
      <c r="AF1010" s="279"/>
      <c r="AG1010" s="279"/>
      <c r="AH1010" s="279"/>
      <c r="AI1010" s="279"/>
      <c r="AJ1010" s="279"/>
      <c r="AK1010" s="279"/>
      <c r="AL1010" s="279"/>
      <c r="AM1010" s="279"/>
      <c r="AN1010" s="279"/>
      <c r="AO1010" s="279"/>
      <c r="AP1010" s="279"/>
      <c r="AQ1010" s="279"/>
      <c r="AR1010" s="279"/>
      <c r="AS1010" s="279"/>
      <c r="AT1010" s="279"/>
      <c r="AU1010" s="279"/>
      <c r="AV1010" s="279"/>
      <c r="AW1010" s="279"/>
      <c r="AX1010" s="279"/>
      <c r="AY1010" s="279"/>
      <c r="AZ1010" s="279"/>
      <c r="BA1010" s="279"/>
      <c r="BB1010" s="279"/>
      <c r="BC1010" s="279"/>
      <c r="BD1010" s="279"/>
      <c r="BE1010" s="279"/>
      <c r="BF1010" s="279"/>
      <c r="BG1010" s="279"/>
      <c r="BH1010" s="279"/>
      <c r="BI1010" s="279"/>
      <c r="BJ1010" s="279"/>
      <c r="BK1010" s="279"/>
      <c r="BL1010" s="279"/>
      <c r="BM1010" s="279"/>
      <c r="BN1010" s="279"/>
      <c r="BO1010" s="279"/>
      <c r="BP1010" s="279"/>
      <c r="BQ1010" s="279"/>
      <c r="BR1010" s="279"/>
      <c r="BS1010" s="279"/>
      <c r="BT1010" s="279"/>
      <c r="BU1010" s="279"/>
      <c r="BV1010" s="279"/>
      <c r="BW1010" s="279"/>
      <c r="BX1010" s="279"/>
      <c r="BY1010" s="279"/>
      <c r="BZ1010" s="279"/>
      <c r="CA1010" s="279"/>
      <c r="CB1010" s="279"/>
      <c r="CC1010" s="279"/>
      <c r="CD1010" s="279"/>
      <c r="CE1010" s="279"/>
      <c r="CF1010" s="279"/>
      <c r="CG1010" s="279"/>
      <c r="CH1010" s="279"/>
      <c r="CI1010" s="279"/>
      <c r="CJ1010" s="279"/>
      <c r="CK1010" s="279"/>
      <c r="CL1010" s="279"/>
      <c r="CM1010" s="279"/>
      <c r="CN1010" s="382"/>
    </row>
    <row r="1011" ht="16.5" customHeight="true" x14ac:dyDescent="0.3">
      <c r="B1011" s="361"/>
      <c r="C1011" s="279"/>
      <c r="D1011" s="280"/>
      <c r="E1011" s="287"/>
      <c r="F1011" s="287"/>
      <c r="G1011" s="287"/>
      <c r="H1011" s="280"/>
      <c r="I1011" s="279"/>
      <c r="J1011" s="279"/>
      <c r="K1011" s="279"/>
      <c r="L1011" s="280"/>
      <c r="M1011" s="296"/>
      <c r="N1011" s="280"/>
      <c r="O1011" s="280"/>
      <c r="P1011" s="279"/>
      <c r="Q1011" s="297"/>
      <c r="R1011" s="298"/>
      <c r="S1011" s="298"/>
      <c r="T1011" s="299"/>
      <c r="U1011" s="279"/>
      <c r="V1011" s="279"/>
      <c r="W1011" s="279"/>
      <c r="X1011" s="279"/>
      <c r="Y1011" s="279"/>
      <c r="Z1011" s="279"/>
      <c r="AA1011" s="279"/>
      <c r="AB1011" s="279"/>
      <c r="AC1011" s="279"/>
      <c r="AD1011" s="279"/>
      <c r="AE1011" s="279"/>
      <c r="AF1011" s="279"/>
      <c r="AG1011" s="279"/>
      <c r="AH1011" s="279"/>
      <c r="AI1011" s="279"/>
      <c r="AJ1011" s="279"/>
      <c r="AK1011" s="279"/>
      <c r="AL1011" s="279"/>
      <c r="AM1011" s="279"/>
      <c r="AN1011" s="279"/>
      <c r="AO1011" s="279"/>
      <c r="AP1011" s="279"/>
      <c r="AQ1011" s="279"/>
      <c r="AR1011" s="279"/>
      <c r="AS1011" s="279"/>
      <c r="AT1011" s="279"/>
      <c r="AU1011" s="279"/>
      <c r="AV1011" s="279"/>
      <c r="AW1011" s="279"/>
      <c r="AX1011" s="279"/>
      <c r="AY1011" s="279"/>
      <c r="AZ1011" s="279"/>
      <c r="BA1011" s="279"/>
      <c r="BB1011" s="279"/>
      <c r="BC1011" s="279"/>
      <c r="BD1011" s="279"/>
      <c r="BE1011" s="279"/>
      <c r="BF1011" s="279"/>
      <c r="BG1011" s="279"/>
      <c r="BH1011" s="279"/>
      <c r="BI1011" s="279"/>
      <c r="BJ1011" s="279"/>
      <c r="BK1011" s="279"/>
      <c r="BL1011" s="279"/>
      <c r="BM1011" s="279"/>
      <c r="BN1011" s="279"/>
      <c r="BO1011" s="279"/>
      <c r="BP1011" s="279"/>
      <c r="BQ1011" s="279"/>
      <c r="BR1011" s="279"/>
      <c r="BS1011" s="279"/>
      <c r="BT1011" s="279"/>
      <c r="BU1011" s="279"/>
      <c r="BV1011" s="279"/>
      <c r="BW1011" s="279"/>
      <c r="BX1011" s="279"/>
      <c r="BY1011" s="279"/>
      <c r="BZ1011" s="279"/>
      <c r="CA1011" s="279"/>
      <c r="CB1011" s="279"/>
      <c r="CC1011" s="279"/>
      <c r="CD1011" s="279"/>
      <c r="CE1011" s="279"/>
      <c r="CF1011" s="279"/>
      <c r="CG1011" s="279"/>
      <c r="CH1011" s="279"/>
      <c r="CI1011" s="279"/>
      <c r="CJ1011" s="279"/>
      <c r="CK1011" s="279"/>
      <c r="CL1011" s="279"/>
      <c r="CM1011" s="279"/>
      <c r="CN1011" s="382"/>
    </row>
    <row r="1012" x14ac:dyDescent="0.3">
      <c r="B1012" s="361"/>
      <c r="C1012" s="279"/>
      <c r="D1012" s="280"/>
      <c r="E1012" s="287"/>
      <c r="F1012" s="287"/>
      <c r="G1012" s="287"/>
      <c r="H1012" s="280"/>
      <c r="I1012" s="279"/>
      <c r="J1012" s="279"/>
      <c r="K1012" s="279"/>
      <c r="L1012" s="280"/>
      <c r="M1012" s="296"/>
      <c r="N1012" s="280"/>
      <c r="O1012" s="280"/>
      <c r="P1012" s="279"/>
      <c r="Q1012" s="297"/>
      <c r="R1012" s="298"/>
      <c r="S1012" s="298"/>
      <c r="T1012" s="299"/>
      <c r="U1012" s="279"/>
      <c r="V1012" s="279"/>
      <c r="W1012" s="279"/>
      <c r="X1012" s="279"/>
      <c r="Y1012" s="279"/>
      <c r="Z1012" s="279"/>
      <c r="AA1012" s="279"/>
      <c r="AB1012" s="279"/>
      <c r="AC1012" s="279"/>
      <c r="AD1012" s="279"/>
      <c r="AE1012" s="279"/>
      <c r="AF1012" s="279"/>
      <c r="AG1012" s="279"/>
      <c r="AH1012" s="279"/>
      <c r="AI1012" s="279"/>
      <c r="AJ1012" s="279"/>
      <c r="AK1012" s="279"/>
      <c r="AL1012" s="279"/>
      <c r="AM1012" s="279"/>
      <c r="AN1012" s="279"/>
      <c r="AO1012" s="279"/>
      <c r="AP1012" s="279"/>
      <c r="AQ1012" s="279"/>
      <c r="AR1012" s="279"/>
      <c r="AS1012" s="279"/>
      <c r="AT1012" s="279"/>
      <c r="AU1012" s="279"/>
      <c r="AV1012" s="279"/>
      <c r="AW1012" s="279"/>
      <c r="AX1012" s="279"/>
      <c r="AY1012" s="279"/>
      <c r="AZ1012" s="279"/>
      <c r="BA1012" s="279"/>
      <c r="BB1012" s="279"/>
      <c r="BC1012" s="279"/>
      <c r="BD1012" s="279"/>
      <c r="BE1012" s="279"/>
      <c r="BF1012" s="279"/>
      <c r="BG1012" s="279"/>
      <c r="BH1012" s="279"/>
      <c r="BI1012" s="279"/>
      <c r="BJ1012" s="279"/>
      <c r="BK1012" s="279"/>
      <c r="BL1012" s="279"/>
      <c r="BM1012" s="279"/>
      <c r="BN1012" s="279"/>
      <c r="BO1012" s="279"/>
      <c r="BP1012" s="279"/>
      <c r="BQ1012" s="279"/>
      <c r="BR1012" s="279"/>
      <c r="BS1012" s="279"/>
      <c r="BT1012" s="279"/>
      <c r="BU1012" s="279"/>
      <c r="BV1012" s="279"/>
      <c r="BW1012" s="279"/>
      <c r="BX1012" s="279"/>
      <c r="BY1012" s="279"/>
      <c r="BZ1012" s="279"/>
      <c r="CA1012" s="279"/>
      <c r="CB1012" s="279"/>
      <c r="CC1012" s="279"/>
      <c r="CD1012" s="279"/>
      <c r="CE1012" s="279"/>
      <c r="CF1012" s="279"/>
      <c r="CG1012" s="279"/>
      <c r="CH1012" s="279"/>
      <c r="CI1012" s="279"/>
      <c r="CJ1012" s="279"/>
      <c r="CK1012" s="279"/>
      <c r="CL1012" s="279"/>
      <c r="CM1012" s="279"/>
      <c r="CN1012" s="382"/>
    </row>
    <row r="1013" ht="16.2" thickBot="true" x14ac:dyDescent="0.35">
      <c r="B1013" s="361"/>
      <c r="C1013" s="279"/>
      <c r="D1013" s="280"/>
      <c r="E1013" s="287"/>
      <c r="F1013" s="287"/>
      <c r="G1013" s="287"/>
      <c r="H1013" s="280"/>
      <c r="I1013" s="279"/>
      <c r="J1013" s="279"/>
      <c r="K1013" s="279"/>
      <c r="L1013" s="280"/>
      <c r="M1013" s="296"/>
      <c r="N1013" s="280"/>
      <c r="O1013" s="280"/>
      <c r="P1013" s="279"/>
      <c r="Q1013" s="297"/>
      <c r="R1013" s="298"/>
      <c r="S1013" s="298"/>
      <c r="T1013" s="299"/>
      <c r="U1013" s="279"/>
      <c r="V1013" s="279"/>
      <c r="W1013" s="279"/>
      <c r="X1013" s="279"/>
      <c r="Y1013" s="279"/>
      <c r="Z1013" s="279"/>
      <c r="AA1013" s="279"/>
      <c r="AB1013" s="279"/>
      <c r="AC1013" s="279"/>
      <c r="AD1013" s="279"/>
      <c r="AE1013" s="279"/>
      <c r="AF1013" s="279"/>
      <c r="AG1013" s="279"/>
      <c r="AH1013" s="279"/>
      <c r="AI1013" s="279"/>
      <c r="AJ1013" s="279"/>
      <c r="AK1013" s="279"/>
      <c r="AL1013" s="279"/>
      <c r="AM1013" s="279"/>
      <c r="AN1013" s="279"/>
      <c r="AO1013" s="279"/>
      <c r="AP1013" s="279"/>
      <c r="AQ1013" s="279"/>
      <c r="AR1013" s="279"/>
      <c r="AS1013" s="279"/>
      <c r="AT1013" s="279"/>
      <c r="AU1013" s="279"/>
      <c r="AV1013" s="279"/>
      <c r="AW1013" s="279"/>
      <c r="AX1013" s="279"/>
      <c r="AY1013" s="279"/>
      <c r="AZ1013" s="279"/>
      <c r="BA1013" s="279"/>
      <c r="BB1013" s="279"/>
      <c r="BC1013" s="279"/>
      <c r="BD1013" s="279"/>
      <c r="BE1013" s="279"/>
      <c r="BF1013" s="279"/>
      <c r="BG1013" s="279"/>
      <c r="BH1013" s="279"/>
      <c r="BI1013" s="279"/>
      <c r="BJ1013" s="279"/>
      <c r="BK1013" s="279"/>
      <c r="BL1013" s="279"/>
      <c r="BM1013" s="279"/>
      <c r="BN1013" s="279"/>
      <c r="BO1013" s="279"/>
      <c r="BP1013" s="279"/>
      <c r="BQ1013" s="279"/>
      <c r="BR1013" s="279"/>
      <c r="BS1013" s="279"/>
      <c r="BT1013" s="279"/>
      <c r="BU1013" s="279"/>
      <c r="BV1013" s="279"/>
      <c r="BW1013" s="279"/>
      <c r="BX1013" s="279"/>
      <c r="BY1013" s="279"/>
      <c r="BZ1013" s="279"/>
      <c r="CA1013" s="279"/>
      <c r="CB1013" s="279"/>
      <c r="CC1013" s="279"/>
      <c r="CD1013" s="279"/>
      <c r="CE1013" s="279"/>
      <c r="CF1013" s="279"/>
      <c r="CG1013" s="279"/>
      <c r="CH1013" s="279"/>
      <c r="CI1013" s="279"/>
      <c r="CJ1013" s="279"/>
      <c r="CK1013" s="279"/>
      <c r="CL1013" s="279"/>
      <c r="CM1013" s="279"/>
      <c r="CN1013" s="382"/>
    </row>
    <row r="1014" ht="27" customHeight="true" thickBot="true" x14ac:dyDescent="0.35">
      <c r="B1014" s="361"/>
      <c r="C1014" s="279"/>
      <c r="D1014" s="280"/>
      <c r="E1014" s="287"/>
      <c r="F1014" s="287"/>
      <c r="G1014" s="287"/>
      <c r="H1014" s="1950" t="s">
        <v>424</v>
      </c>
      <c r="I1014" s="1951"/>
      <c r="J1014" s="1951"/>
      <c r="K1014" s="1951"/>
      <c r="L1014" s="1952"/>
      <c r="M1014" s="296"/>
      <c r="N1014" s="280"/>
      <c r="O1014" s="280"/>
      <c r="P1014" s="279"/>
      <c r="Q1014" s="297"/>
      <c r="R1014" s="298"/>
      <c r="S1014" s="298"/>
      <c r="T1014" s="299"/>
      <c r="U1014" s="279"/>
      <c r="V1014" s="279"/>
      <c r="W1014" s="279"/>
      <c r="X1014" s="279"/>
      <c r="Y1014" s="279"/>
      <c r="Z1014" s="279"/>
      <c r="AA1014" s="279"/>
      <c r="AB1014" s="279"/>
      <c r="AC1014" s="279"/>
      <c r="AD1014" s="279"/>
      <c r="AE1014" s="279"/>
      <c r="AF1014" s="279"/>
      <c r="AG1014" s="279"/>
      <c r="AH1014" s="279"/>
      <c r="AI1014" s="279"/>
      <c r="AJ1014" s="279"/>
      <c r="AK1014" s="279"/>
      <c r="AL1014" s="279"/>
      <c r="AM1014" s="279"/>
      <c r="AN1014" s="279"/>
      <c r="AO1014" s="279"/>
      <c r="AP1014" s="279"/>
      <c r="AQ1014" s="279"/>
      <c r="AR1014" s="279"/>
      <c r="AS1014" s="279"/>
      <c r="AT1014" s="279"/>
      <c r="AU1014" s="279"/>
      <c r="AV1014" s="279"/>
      <c r="AW1014" s="279"/>
      <c r="AX1014" s="279"/>
      <c r="AY1014" s="279"/>
      <c r="AZ1014" s="279"/>
      <c r="BA1014" s="279"/>
      <c r="BB1014" s="279"/>
      <c r="BC1014" s="279"/>
      <c r="BD1014" s="279"/>
      <c r="BE1014" s="279"/>
      <c r="BF1014" s="279"/>
      <c r="BG1014" s="279"/>
      <c r="BH1014" s="279"/>
      <c r="BI1014" s="279"/>
      <c r="BJ1014" s="279"/>
      <c r="BK1014" s="279"/>
      <c r="BL1014" s="279"/>
      <c r="BM1014" s="279"/>
      <c r="BN1014" s="279"/>
      <c r="BO1014" s="279"/>
      <c r="BP1014" s="279"/>
      <c r="BQ1014" s="279"/>
      <c r="BR1014" s="279"/>
      <c r="BS1014" s="279"/>
      <c r="BT1014" s="279"/>
      <c r="BU1014" s="279"/>
      <c r="BV1014" s="279"/>
      <c r="BW1014" s="279"/>
      <c r="BX1014" s="279"/>
      <c r="BY1014" s="279"/>
      <c r="BZ1014" s="279"/>
      <c r="CA1014" s="279"/>
      <c r="CB1014" s="279"/>
      <c r="CC1014" s="279"/>
      <c r="CD1014" s="279"/>
      <c r="CE1014" s="279"/>
      <c r="CF1014" s="279"/>
      <c r="CG1014" s="279"/>
      <c r="CH1014" s="279"/>
      <c r="CI1014" s="279"/>
      <c r="CJ1014" s="279"/>
      <c r="CK1014" s="279"/>
      <c r="CL1014" s="279"/>
      <c r="CM1014" s="279"/>
      <c r="CN1014" s="382"/>
    </row>
    <row r="1015" x14ac:dyDescent="0.3">
      <c r="B1015" s="361"/>
      <c r="C1015" s="279"/>
      <c r="D1015" s="280"/>
      <c r="E1015" s="287"/>
      <c r="F1015" s="287"/>
      <c r="G1015" s="287"/>
      <c r="H1015" s="282" t="s">
        <v>1469</v>
      </c>
      <c r="I1015" s="1166" t="s">
        <v>289</v>
      </c>
      <c r="J1015" s="1166" t="s">
        <v>425</v>
      </c>
      <c r="K1015" s="1186" t="s">
        <v>426</v>
      </c>
      <c r="L1015" s="291" t="s">
        <v>427</v>
      </c>
      <c r="M1015" s="296"/>
      <c r="N1015" s="280"/>
      <c r="O1015" s="280"/>
      <c r="P1015" s="279"/>
      <c r="Q1015" s="297"/>
      <c r="R1015" s="298"/>
      <c r="S1015" s="298"/>
      <c r="T1015" s="299"/>
      <c r="U1015" s="279"/>
      <c r="V1015" s="279"/>
      <c r="W1015" s="279"/>
      <c r="X1015" s="279"/>
      <c r="Y1015" s="279"/>
      <c r="Z1015" s="279"/>
      <c r="AA1015" s="279"/>
      <c r="AB1015" s="279"/>
      <c r="AC1015" s="279"/>
      <c r="AD1015" s="279"/>
      <c r="AE1015" s="279"/>
      <c r="AF1015" s="279"/>
      <c r="AG1015" s="279"/>
      <c r="AH1015" s="279"/>
      <c r="AI1015" s="279"/>
      <c r="AJ1015" s="279"/>
      <c r="AK1015" s="279"/>
      <c r="AL1015" s="279"/>
      <c r="AM1015" s="279"/>
      <c r="AN1015" s="279"/>
      <c r="AO1015" s="279"/>
      <c r="AP1015" s="279"/>
      <c r="AQ1015" s="279"/>
      <c r="AR1015" s="279"/>
      <c r="AS1015" s="279"/>
      <c r="AT1015" s="279"/>
      <c r="AU1015" s="279"/>
      <c r="AV1015" s="279"/>
      <c r="AW1015" s="279"/>
      <c r="AX1015" s="279"/>
      <c r="AY1015" s="279"/>
      <c r="AZ1015" s="279"/>
      <c r="BA1015" s="279"/>
      <c r="BB1015" s="279"/>
      <c r="BC1015" s="279"/>
      <c r="BD1015" s="279"/>
      <c r="BE1015" s="279"/>
      <c r="BF1015" s="279"/>
      <c r="BG1015" s="279"/>
      <c r="BH1015" s="279"/>
      <c r="BI1015" s="279"/>
      <c r="BJ1015" s="279"/>
      <c r="BK1015" s="279"/>
      <c r="BL1015" s="279"/>
      <c r="BM1015" s="279"/>
      <c r="BN1015" s="279"/>
      <c r="BO1015" s="279"/>
      <c r="BP1015" s="279"/>
      <c r="BQ1015" s="279"/>
      <c r="BR1015" s="279"/>
      <c r="BS1015" s="279"/>
      <c r="BT1015" s="279"/>
      <c r="BU1015" s="279"/>
      <c r="BV1015" s="279"/>
      <c r="BW1015" s="279"/>
      <c r="BX1015" s="279"/>
      <c r="BY1015" s="279"/>
      <c r="BZ1015" s="279"/>
      <c r="CA1015" s="279"/>
      <c r="CB1015" s="279"/>
      <c r="CC1015" s="279"/>
      <c r="CD1015" s="279"/>
      <c r="CE1015" s="279"/>
      <c r="CF1015" s="279"/>
      <c r="CG1015" s="279"/>
      <c r="CH1015" s="279"/>
      <c r="CI1015" s="279"/>
      <c r="CJ1015" s="279"/>
      <c r="CK1015" s="279"/>
      <c r="CL1015" s="279"/>
      <c r="CM1015" s="279"/>
      <c r="CN1015" s="382"/>
    </row>
    <row r="1016" x14ac:dyDescent="0.3">
      <c r="B1016" s="361"/>
      <c r="C1016" s="279"/>
      <c r="D1016" s="280"/>
      <c r="E1016" s="287"/>
      <c r="F1016" s="287"/>
      <c r="G1016" s="287"/>
      <c r="H1016" s="1292">
        <f t="shared" ref="H1016:H1065" si="47">H142</f>
        <v>1</v>
      </c>
      <c r="I1016" s="1190">
        <f>'I. Stream &amp; Compound Data'!P262</f>
        <v>2980.7504537999998</v>
      </c>
      <c r="J1016" s="1295">
        <f>IF(I142="","",IF('I. Stream &amp; Compound Data'!BQ262&lt;&gt;"",'I. Stream &amp; Compound Data'!BQ262,'I. Stream &amp; Compound Data'!BR262))</f>
        <v>0</v>
      </c>
      <c r="K1016" s="1295">
        <f t="shared" ref="K1016:K1034" si="48">IF(I142="","",I1016*J1016)</f>
        <v>0</v>
      </c>
      <c r="L1016" s="1317">
        <f>IF(K1016="","",(IF(J1016=0,1,J1016))*I1016)</f>
        <v>2980.7504537999998</v>
      </c>
      <c r="M1016" s="296"/>
      <c r="N1016" s="280"/>
      <c r="O1016" s="280"/>
      <c r="P1016" s="279"/>
      <c r="Q1016" s="297"/>
      <c r="R1016" s="298"/>
      <c r="S1016" s="298"/>
      <c r="T1016" s="299"/>
      <c r="U1016" s="279"/>
      <c r="V1016" s="279"/>
      <c r="W1016" s="279"/>
      <c r="X1016" s="279"/>
      <c r="Y1016" s="279"/>
      <c r="Z1016" s="279"/>
      <c r="AA1016" s="279"/>
      <c r="AB1016" s="279"/>
      <c r="AC1016" s="279"/>
      <c r="AD1016" s="279"/>
      <c r="AE1016" s="279"/>
      <c r="AF1016" s="279"/>
      <c r="AG1016" s="279"/>
      <c r="AH1016" s="279"/>
      <c r="AI1016" s="279"/>
      <c r="AJ1016" s="279"/>
      <c r="AK1016" s="279"/>
      <c r="AL1016" s="279"/>
      <c r="AM1016" s="279"/>
      <c r="AN1016" s="279"/>
      <c r="AO1016" s="279"/>
      <c r="AP1016" s="279"/>
      <c r="AQ1016" s="279"/>
      <c r="AR1016" s="279"/>
      <c r="AS1016" s="279"/>
      <c r="AT1016" s="279"/>
      <c r="AU1016" s="279"/>
      <c r="AV1016" s="279"/>
      <c r="AW1016" s="279"/>
      <c r="AX1016" s="279"/>
      <c r="AY1016" s="279"/>
      <c r="AZ1016" s="279"/>
      <c r="BA1016" s="279"/>
      <c r="BB1016" s="279"/>
      <c r="BC1016" s="279"/>
      <c r="BD1016" s="279"/>
      <c r="BE1016" s="279"/>
      <c r="BF1016" s="279"/>
      <c r="BG1016" s="279"/>
      <c r="BH1016" s="279"/>
      <c r="BI1016" s="279"/>
      <c r="BJ1016" s="279"/>
      <c r="BK1016" s="279"/>
      <c r="BL1016" s="279"/>
      <c r="BM1016" s="279"/>
      <c r="BN1016" s="279"/>
      <c r="BO1016" s="279"/>
      <c r="BP1016" s="279"/>
      <c r="BQ1016" s="279"/>
      <c r="BR1016" s="279"/>
      <c r="BS1016" s="279"/>
      <c r="BT1016" s="279"/>
      <c r="BU1016" s="279"/>
      <c r="BV1016" s="279"/>
      <c r="BW1016" s="279"/>
      <c r="BX1016" s="279"/>
      <c r="BY1016" s="279"/>
      <c r="BZ1016" s="279"/>
      <c r="CA1016" s="279"/>
      <c r="CB1016" s="279"/>
      <c r="CC1016" s="279"/>
      <c r="CD1016" s="279"/>
      <c r="CE1016" s="279"/>
      <c r="CF1016" s="279"/>
      <c r="CG1016" s="279"/>
      <c r="CH1016" s="279"/>
      <c r="CI1016" s="279"/>
      <c r="CJ1016" s="279"/>
      <c r="CK1016" s="279"/>
      <c r="CL1016" s="279"/>
      <c r="CM1016" s="279"/>
      <c r="CN1016" s="382"/>
    </row>
    <row r="1017" x14ac:dyDescent="0.3">
      <c r="B1017" s="361"/>
      <c r="C1017" s="279"/>
      <c r="D1017" s="280"/>
      <c r="E1017" s="287"/>
      <c r="F1017" s="287"/>
      <c r="G1017" s="287"/>
      <c r="H1017" s="1292">
        <f t="shared" si="47"/>
        <v>2</v>
      </c>
      <c r="I1017" s="1190">
        <f>'I. Stream &amp; Compound Data'!P263</f>
        <v>0</v>
      </c>
      <c r="J1017" s="1295">
        <f>IF(I143="","",IF('I. Stream &amp; Compound Data'!BQ263&lt;&gt;"",'I. Stream &amp; Compound Data'!BQ263,'I. Stream &amp; Compound Data'!BR263))</f>
        <v>0</v>
      </c>
      <c r="K1017" s="1295">
        <f t="shared" si="48"/>
        <v>0</v>
      </c>
      <c r="L1017" s="1317">
        <f t="shared" ref="L1017:L1034" si="49">IF(K1017="","",(IF(J1017=0,1,J1017))*I1017)</f>
        <v>0</v>
      </c>
      <c r="M1017" s="296"/>
      <c r="N1017" s="280"/>
      <c r="O1017" s="280"/>
      <c r="P1017" s="279"/>
      <c r="Q1017" s="297"/>
      <c r="R1017" s="298"/>
      <c r="S1017" s="298"/>
      <c r="T1017" s="299"/>
      <c r="U1017" s="279"/>
      <c r="V1017" s="279"/>
      <c r="W1017" s="279"/>
      <c r="X1017" s="279"/>
      <c r="Y1017" s="279"/>
      <c r="Z1017" s="279"/>
      <c r="AA1017" s="279"/>
      <c r="AB1017" s="279"/>
      <c r="AC1017" s="279"/>
      <c r="AD1017" s="279"/>
      <c r="AE1017" s="279"/>
      <c r="AF1017" s="279"/>
      <c r="AG1017" s="279"/>
      <c r="AH1017" s="279"/>
      <c r="AI1017" s="279"/>
      <c r="AJ1017" s="279"/>
      <c r="AK1017" s="279"/>
      <c r="AL1017" s="279"/>
      <c r="AM1017" s="279"/>
      <c r="AN1017" s="279"/>
      <c r="AO1017" s="279"/>
      <c r="AP1017" s="279"/>
      <c r="AQ1017" s="279"/>
      <c r="AR1017" s="279"/>
      <c r="AS1017" s="279"/>
      <c r="AT1017" s="279"/>
      <c r="AU1017" s="279"/>
      <c r="AV1017" s="279"/>
      <c r="AW1017" s="279"/>
      <c r="AX1017" s="279"/>
      <c r="AY1017" s="279"/>
      <c r="AZ1017" s="279"/>
      <c r="BA1017" s="279"/>
      <c r="BB1017" s="279"/>
      <c r="BC1017" s="279"/>
      <c r="BD1017" s="279"/>
      <c r="BE1017" s="279"/>
      <c r="BF1017" s="279"/>
      <c r="BG1017" s="279"/>
      <c r="BH1017" s="279"/>
      <c r="BI1017" s="279"/>
      <c r="BJ1017" s="279"/>
      <c r="BK1017" s="279"/>
      <c r="BL1017" s="279"/>
      <c r="BM1017" s="279"/>
      <c r="BN1017" s="279"/>
      <c r="BO1017" s="279"/>
      <c r="BP1017" s="279"/>
      <c r="BQ1017" s="279"/>
      <c r="BR1017" s="279"/>
      <c r="BS1017" s="279"/>
      <c r="BT1017" s="279"/>
      <c r="BU1017" s="279"/>
      <c r="BV1017" s="279"/>
      <c r="BW1017" s="279"/>
      <c r="BX1017" s="279"/>
      <c r="BY1017" s="279"/>
      <c r="BZ1017" s="279"/>
      <c r="CA1017" s="279"/>
      <c r="CB1017" s="279"/>
      <c r="CC1017" s="279"/>
      <c r="CD1017" s="279"/>
      <c r="CE1017" s="279"/>
      <c r="CF1017" s="279"/>
      <c r="CG1017" s="279"/>
      <c r="CH1017" s="279"/>
      <c r="CI1017" s="279"/>
      <c r="CJ1017" s="279"/>
      <c r="CK1017" s="279"/>
      <c r="CL1017" s="279"/>
      <c r="CM1017" s="279"/>
      <c r="CN1017" s="382"/>
    </row>
    <row r="1018" x14ac:dyDescent="0.3">
      <c r="B1018" s="361"/>
      <c r="C1018" s="279"/>
      <c r="D1018" s="280"/>
      <c r="E1018" s="287"/>
      <c r="F1018" s="287"/>
      <c r="G1018" s="287"/>
      <c r="H1018" s="1292">
        <f t="shared" si="47"/>
        <v>3</v>
      </c>
      <c r="I1018" s="1190">
        <f>'I. Stream &amp; Compound Data'!P264</f>
        <v>0</v>
      </c>
      <c r="J1018" s="1295">
        <f>IF(I144="","",IF('I. Stream &amp; Compound Data'!BQ264&lt;&gt;"",'I. Stream &amp; Compound Data'!BQ264,'I. Stream &amp; Compound Data'!BR264))</f>
        <v>0</v>
      </c>
      <c r="K1018" s="1295">
        <f t="shared" si="48"/>
        <v>0</v>
      </c>
      <c r="L1018" s="1317">
        <f t="shared" si="49"/>
        <v>0</v>
      </c>
      <c r="M1018" s="296"/>
      <c r="N1018" s="280"/>
      <c r="O1018" s="280"/>
      <c r="P1018" s="279"/>
      <c r="Q1018" s="297"/>
      <c r="R1018" s="298"/>
      <c r="S1018" s="298"/>
      <c r="T1018" s="299"/>
      <c r="U1018" s="279"/>
      <c r="V1018" s="279"/>
      <c r="W1018" s="279"/>
      <c r="X1018" s="279"/>
      <c r="Y1018" s="279"/>
      <c r="Z1018" s="279"/>
      <c r="AA1018" s="279"/>
      <c r="AB1018" s="279"/>
      <c r="AC1018" s="279"/>
      <c r="AD1018" s="279"/>
      <c r="AE1018" s="279"/>
      <c r="AF1018" s="279"/>
      <c r="AG1018" s="279"/>
      <c r="AH1018" s="279"/>
      <c r="AI1018" s="279"/>
      <c r="AJ1018" s="279"/>
      <c r="AK1018" s="279"/>
      <c r="AL1018" s="279"/>
      <c r="AM1018" s="279"/>
      <c r="AN1018" s="279"/>
      <c r="AO1018" s="279"/>
      <c r="AP1018" s="279"/>
      <c r="AQ1018" s="279"/>
      <c r="AR1018" s="279"/>
      <c r="AS1018" s="279"/>
      <c r="AT1018" s="279"/>
      <c r="AU1018" s="279"/>
      <c r="AV1018" s="279"/>
      <c r="AW1018" s="279"/>
      <c r="AX1018" s="279"/>
      <c r="AY1018" s="279"/>
      <c r="AZ1018" s="279"/>
      <c r="BA1018" s="279"/>
      <c r="BB1018" s="279"/>
      <c r="BC1018" s="279"/>
      <c r="BD1018" s="279"/>
      <c r="BE1018" s="279"/>
      <c r="BF1018" s="279"/>
      <c r="BG1018" s="279"/>
      <c r="BH1018" s="279"/>
      <c r="BI1018" s="279"/>
      <c r="BJ1018" s="279"/>
      <c r="BK1018" s="279"/>
      <c r="BL1018" s="279"/>
      <c r="BM1018" s="279"/>
      <c r="BN1018" s="279"/>
      <c r="BO1018" s="279"/>
      <c r="BP1018" s="279"/>
      <c r="BQ1018" s="279"/>
      <c r="BR1018" s="279"/>
      <c r="BS1018" s="279"/>
      <c r="BT1018" s="279"/>
      <c r="BU1018" s="279"/>
      <c r="BV1018" s="279"/>
      <c r="BW1018" s="279"/>
      <c r="BX1018" s="279"/>
      <c r="BY1018" s="279"/>
      <c r="BZ1018" s="279"/>
      <c r="CA1018" s="279"/>
      <c r="CB1018" s="279"/>
      <c r="CC1018" s="279"/>
      <c r="CD1018" s="279"/>
      <c r="CE1018" s="279"/>
      <c r="CF1018" s="279"/>
      <c r="CG1018" s="279"/>
      <c r="CH1018" s="279"/>
      <c r="CI1018" s="279"/>
      <c r="CJ1018" s="279"/>
      <c r="CK1018" s="279"/>
      <c r="CL1018" s="279"/>
      <c r="CM1018" s="279"/>
      <c r="CN1018" s="382"/>
    </row>
    <row r="1019" x14ac:dyDescent="0.3">
      <c r="B1019" s="361"/>
      <c r="C1019" s="279"/>
      <c r="D1019" s="280"/>
      <c r="E1019" s="287"/>
      <c r="F1019" s="287"/>
      <c r="G1019" s="287"/>
      <c r="H1019" s="1292">
        <f t="shared" si="47"/>
        <v>4</v>
      </c>
      <c r="I1019" s="1190">
        <f>'I. Stream &amp; Compound Data'!P265</f>
        <v>0</v>
      </c>
      <c r="J1019" s="1295">
        <f>IF(I145="","",IF('I. Stream &amp; Compound Data'!BQ265&lt;&gt;"",'I. Stream &amp; Compound Data'!BQ265,'I. Stream &amp; Compound Data'!BR265))</f>
        <v>0</v>
      </c>
      <c r="K1019" s="1295">
        <f t="shared" si="48"/>
        <v>0</v>
      </c>
      <c r="L1019" s="1317">
        <f t="shared" si="49"/>
        <v>0</v>
      </c>
      <c r="M1019" s="296"/>
      <c r="N1019" s="280"/>
      <c r="O1019" s="280"/>
      <c r="P1019" s="279"/>
      <c r="Q1019" s="297"/>
      <c r="R1019" s="298"/>
      <c r="S1019" s="298"/>
      <c r="T1019" s="299"/>
      <c r="U1019" s="279"/>
      <c r="V1019" s="279"/>
      <c r="W1019" s="279"/>
      <c r="X1019" s="279"/>
      <c r="Y1019" s="279"/>
      <c r="Z1019" s="279"/>
      <c r="AA1019" s="279"/>
      <c r="AB1019" s="279"/>
      <c r="AC1019" s="279"/>
      <c r="AD1019" s="279"/>
      <c r="AE1019" s="279"/>
      <c r="AF1019" s="279"/>
      <c r="AG1019" s="279"/>
      <c r="AH1019" s="279"/>
      <c r="AI1019" s="279"/>
      <c r="AJ1019" s="279"/>
      <c r="AK1019" s="279"/>
      <c r="AL1019" s="279"/>
      <c r="AM1019" s="279"/>
      <c r="AN1019" s="279"/>
      <c r="AO1019" s="279"/>
      <c r="AP1019" s="279"/>
      <c r="AQ1019" s="279"/>
      <c r="AR1019" s="279"/>
      <c r="AS1019" s="279"/>
      <c r="AT1019" s="279"/>
      <c r="AU1019" s="279"/>
      <c r="AV1019" s="279"/>
      <c r="AW1019" s="279"/>
      <c r="AX1019" s="279"/>
      <c r="AY1019" s="279"/>
      <c r="AZ1019" s="279"/>
      <c r="BA1019" s="279"/>
      <c r="BB1019" s="279"/>
      <c r="BC1019" s="279"/>
      <c r="BD1019" s="279"/>
      <c r="BE1019" s="279"/>
      <c r="BF1019" s="279"/>
      <c r="BG1019" s="279"/>
      <c r="BH1019" s="279"/>
      <c r="BI1019" s="279"/>
      <c r="BJ1019" s="279"/>
      <c r="BK1019" s="279"/>
      <c r="BL1019" s="279"/>
      <c r="BM1019" s="279"/>
      <c r="BN1019" s="279"/>
      <c r="BO1019" s="279"/>
      <c r="BP1019" s="279"/>
      <c r="BQ1019" s="279"/>
      <c r="BR1019" s="279"/>
      <c r="BS1019" s="279"/>
      <c r="BT1019" s="279"/>
      <c r="BU1019" s="279"/>
      <c r="BV1019" s="279"/>
      <c r="BW1019" s="279"/>
      <c r="BX1019" s="279"/>
      <c r="BY1019" s="279"/>
      <c r="BZ1019" s="279"/>
      <c r="CA1019" s="279"/>
      <c r="CB1019" s="279"/>
      <c r="CC1019" s="279"/>
      <c r="CD1019" s="279"/>
      <c r="CE1019" s="279"/>
      <c r="CF1019" s="279"/>
      <c r="CG1019" s="279"/>
      <c r="CH1019" s="279"/>
      <c r="CI1019" s="279"/>
      <c r="CJ1019" s="279"/>
      <c r="CK1019" s="279"/>
      <c r="CL1019" s="279"/>
      <c r="CM1019" s="279"/>
      <c r="CN1019" s="382"/>
    </row>
    <row r="1020" x14ac:dyDescent="0.3">
      <c r="B1020" s="361"/>
      <c r="C1020" s="279"/>
      <c r="D1020" s="280"/>
      <c r="E1020" s="287"/>
      <c r="F1020" s="287"/>
      <c r="G1020" s="287"/>
      <c r="H1020" s="1292">
        <f t="shared" si="47"/>
        <v>5</v>
      </c>
      <c r="I1020" s="1190" t="str">
        <f>'I. Stream &amp; Compound Data'!P266</f>
        <v/>
      </c>
      <c r="J1020" s="1295" t="str">
        <f>IF(I146="","",IF('I. Stream &amp; Compound Data'!BQ266&lt;&gt;"",'I. Stream &amp; Compound Data'!BQ266,'I. Stream &amp; Compound Data'!BR266))</f>
        <v/>
      </c>
      <c r="K1020" s="1295" t="str">
        <f t="shared" si="48"/>
        <v/>
      </c>
      <c r="L1020" s="1317" t="str">
        <f t="shared" si="49"/>
        <v/>
      </c>
      <c r="M1020" s="296"/>
      <c r="N1020" s="280"/>
      <c r="O1020" s="280"/>
      <c r="P1020" s="279"/>
      <c r="Q1020" s="297"/>
      <c r="R1020" s="298"/>
      <c r="S1020" s="298"/>
      <c r="T1020" s="299"/>
      <c r="U1020" s="279"/>
      <c r="V1020" s="279"/>
      <c r="W1020" s="279"/>
      <c r="X1020" s="279"/>
      <c r="Y1020" s="279"/>
      <c r="Z1020" s="279"/>
      <c r="AA1020" s="279"/>
      <c r="AB1020" s="279"/>
      <c r="AC1020" s="279"/>
      <c r="AD1020" s="279"/>
      <c r="AE1020" s="279"/>
      <c r="AF1020" s="279"/>
      <c r="AG1020" s="279"/>
      <c r="AH1020" s="279"/>
      <c r="AI1020" s="279"/>
      <c r="AJ1020" s="279"/>
      <c r="AK1020" s="279"/>
      <c r="AL1020" s="279"/>
      <c r="AM1020" s="279"/>
      <c r="AN1020" s="279"/>
      <c r="AO1020" s="279"/>
      <c r="AP1020" s="279"/>
      <c r="AQ1020" s="279"/>
      <c r="AR1020" s="279"/>
      <c r="AS1020" s="279"/>
      <c r="AT1020" s="279"/>
      <c r="AU1020" s="279"/>
      <c r="AV1020" s="279"/>
      <c r="AW1020" s="279"/>
      <c r="AX1020" s="279"/>
      <c r="AY1020" s="279"/>
      <c r="AZ1020" s="279"/>
      <c r="BA1020" s="279"/>
      <c r="BB1020" s="279"/>
      <c r="BC1020" s="279"/>
      <c r="BD1020" s="279"/>
      <c r="BE1020" s="279"/>
      <c r="BF1020" s="279"/>
      <c r="BG1020" s="279"/>
      <c r="BH1020" s="279"/>
      <c r="BI1020" s="279"/>
      <c r="BJ1020" s="279"/>
      <c r="BK1020" s="279"/>
      <c r="BL1020" s="279"/>
      <c r="BM1020" s="279"/>
      <c r="BN1020" s="279"/>
      <c r="BO1020" s="279"/>
      <c r="BP1020" s="279"/>
      <c r="BQ1020" s="279"/>
      <c r="BR1020" s="279"/>
      <c r="BS1020" s="279"/>
      <c r="BT1020" s="279"/>
      <c r="BU1020" s="279"/>
      <c r="BV1020" s="279"/>
      <c r="BW1020" s="279"/>
      <c r="BX1020" s="279"/>
      <c r="BY1020" s="279"/>
      <c r="BZ1020" s="279"/>
      <c r="CA1020" s="279"/>
      <c r="CB1020" s="279"/>
      <c r="CC1020" s="279"/>
      <c r="CD1020" s="279"/>
      <c r="CE1020" s="279"/>
      <c r="CF1020" s="279"/>
      <c r="CG1020" s="279"/>
      <c r="CH1020" s="279"/>
      <c r="CI1020" s="279"/>
      <c r="CJ1020" s="279"/>
      <c r="CK1020" s="279"/>
      <c r="CL1020" s="279"/>
      <c r="CM1020" s="279"/>
      <c r="CN1020" s="382"/>
    </row>
    <row r="1021" x14ac:dyDescent="0.3">
      <c r="B1021" s="361"/>
      <c r="C1021" s="279"/>
      <c r="D1021" s="280"/>
      <c r="E1021" s="287"/>
      <c r="F1021" s="287"/>
      <c r="G1021" s="287"/>
      <c r="H1021" s="1292">
        <f t="shared" si="47"/>
        <v>6</v>
      </c>
      <c r="I1021" s="1190" t="str">
        <f>'I. Stream &amp; Compound Data'!P267</f>
        <v/>
      </c>
      <c r="J1021" s="1295" t="str">
        <f>IF(I147="","",IF('I. Stream &amp; Compound Data'!BQ267&lt;&gt;"",'I. Stream &amp; Compound Data'!BQ267,'I. Stream &amp; Compound Data'!BR267))</f>
        <v/>
      </c>
      <c r="K1021" s="1295" t="str">
        <f t="shared" si="48"/>
        <v/>
      </c>
      <c r="L1021" s="1317" t="str">
        <f t="shared" si="49"/>
        <v/>
      </c>
      <c r="M1021" s="296"/>
      <c r="N1021" s="280"/>
      <c r="O1021" s="280"/>
      <c r="P1021" s="279"/>
      <c r="Q1021" s="297"/>
      <c r="R1021" s="298"/>
      <c r="S1021" s="298"/>
      <c r="T1021" s="299"/>
      <c r="U1021" s="279"/>
      <c r="V1021" s="279"/>
      <c r="W1021" s="279"/>
      <c r="X1021" s="279"/>
      <c r="Y1021" s="279"/>
      <c r="Z1021" s="279"/>
      <c r="AA1021" s="279"/>
      <c r="AB1021" s="279"/>
      <c r="AC1021" s="279"/>
      <c r="AD1021" s="279"/>
      <c r="AE1021" s="279"/>
      <c r="AF1021" s="279"/>
      <c r="AG1021" s="279"/>
      <c r="AH1021" s="279"/>
      <c r="AI1021" s="279"/>
      <c r="AJ1021" s="279"/>
      <c r="AK1021" s="279"/>
      <c r="AL1021" s="279"/>
      <c r="AM1021" s="279"/>
      <c r="AN1021" s="279"/>
      <c r="AO1021" s="279"/>
      <c r="AP1021" s="279"/>
      <c r="AQ1021" s="279"/>
      <c r="AR1021" s="279"/>
      <c r="AS1021" s="279"/>
      <c r="AT1021" s="279"/>
      <c r="AU1021" s="279"/>
      <c r="AV1021" s="279"/>
      <c r="AW1021" s="279"/>
      <c r="AX1021" s="279"/>
      <c r="AY1021" s="279"/>
      <c r="AZ1021" s="279"/>
      <c r="BA1021" s="279"/>
      <c r="BB1021" s="279"/>
      <c r="BC1021" s="279"/>
      <c r="BD1021" s="279"/>
      <c r="BE1021" s="279"/>
      <c r="BF1021" s="279"/>
      <c r="BG1021" s="279"/>
      <c r="BH1021" s="279"/>
      <c r="BI1021" s="279"/>
      <c r="BJ1021" s="279"/>
      <c r="BK1021" s="279"/>
      <c r="BL1021" s="279"/>
      <c r="BM1021" s="279"/>
      <c r="BN1021" s="279"/>
      <c r="BO1021" s="279"/>
      <c r="BP1021" s="279"/>
      <c r="BQ1021" s="279"/>
      <c r="BR1021" s="279"/>
      <c r="BS1021" s="279"/>
      <c r="BT1021" s="279"/>
      <c r="BU1021" s="279"/>
      <c r="BV1021" s="279"/>
      <c r="BW1021" s="279"/>
      <c r="BX1021" s="279"/>
      <c r="BY1021" s="279"/>
      <c r="BZ1021" s="279"/>
      <c r="CA1021" s="279"/>
      <c r="CB1021" s="279"/>
      <c r="CC1021" s="279"/>
      <c r="CD1021" s="279"/>
      <c r="CE1021" s="279"/>
      <c r="CF1021" s="279"/>
      <c r="CG1021" s="279"/>
      <c r="CH1021" s="279"/>
      <c r="CI1021" s="279"/>
      <c r="CJ1021" s="279"/>
      <c r="CK1021" s="279"/>
      <c r="CL1021" s="279"/>
      <c r="CM1021" s="279"/>
      <c r="CN1021" s="382"/>
    </row>
    <row r="1022" x14ac:dyDescent="0.3">
      <c r="B1022" s="361"/>
      <c r="C1022" s="279"/>
      <c r="D1022" s="280"/>
      <c r="E1022" s="287"/>
      <c r="F1022" s="287"/>
      <c r="G1022" s="287"/>
      <c r="H1022" s="1292">
        <f t="shared" si="47"/>
        <v>7</v>
      </c>
      <c r="I1022" s="1190" t="str">
        <f>'I. Stream &amp; Compound Data'!P268</f>
        <v/>
      </c>
      <c r="J1022" s="1295" t="str">
        <f>IF(I148="","",IF('I. Stream &amp; Compound Data'!BQ268&lt;&gt;"",'I. Stream &amp; Compound Data'!BQ268,'I. Stream &amp; Compound Data'!BR268))</f>
        <v/>
      </c>
      <c r="K1022" s="1295" t="str">
        <f t="shared" si="48"/>
        <v/>
      </c>
      <c r="L1022" s="1317" t="str">
        <f t="shared" si="49"/>
        <v/>
      </c>
      <c r="M1022" s="296"/>
      <c r="N1022" s="280"/>
      <c r="O1022" s="280"/>
      <c r="P1022" s="279"/>
      <c r="Q1022" s="297"/>
      <c r="R1022" s="298"/>
      <c r="S1022" s="298"/>
      <c r="T1022" s="299"/>
      <c r="U1022" s="279"/>
      <c r="V1022" s="279"/>
      <c r="W1022" s="279"/>
      <c r="X1022" s="279"/>
      <c r="Y1022" s="279"/>
      <c r="Z1022" s="279"/>
      <c r="AA1022" s="279"/>
      <c r="AB1022" s="279"/>
      <c r="AC1022" s="279"/>
      <c r="AD1022" s="279"/>
      <c r="AE1022" s="279"/>
      <c r="AF1022" s="279"/>
      <c r="AG1022" s="279"/>
      <c r="AH1022" s="279"/>
      <c r="AI1022" s="279"/>
      <c r="AJ1022" s="279"/>
      <c r="AK1022" s="279"/>
      <c r="AL1022" s="279"/>
      <c r="AM1022" s="279"/>
      <c r="AN1022" s="279"/>
      <c r="AO1022" s="279"/>
      <c r="AP1022" s="279"/>
      <c r="AQ1022" s="279"/>
      <c r="AR1022" s="279"/>
      <c r="AS1022" s="279"/>
      <c r="AT1022" s="279"/>
      <c r="AU1022" s="279"/>
      <c r="AV1022" s="279"/>
      <c r="AW1022" s="279"/>
      <c r="AX1022" s="279"/>
      <c r="AY1022" s="279"/>
      <c r="AZ1022" s="279"/>
      <c r="BA1022" s="279"/>
      <c r="BB1022" s="279"/>
      <c r="BC1022" s="279"/>
      <c r="BD1022" s="279"/>
      <c r="BE1022" s="279"/>
      <c r="BF1022" s="279"/>
      <c r="BG1022" s="279"/>
      <c r="BH1022" s="279"/>
      <c r="BI1022" s="279"/>
      <c r="BJ1022" s="279"/>
      <c r="BK1022" s="279"/>
      <c r="BL1022" s="279"/>
      <c r="BM1022" s="279"/>
      <c r="BN1022" s="279"/>
      <c r="BO1022" s="279"/>
      <c r="BP1022" s="279"/>
      <c r="BQ1022" s="279"/>
      <c r="BR1022" s="279"/>
      <c r="BS1022" s="279"/>
      <c r="BT1022" s="279"/>
      <c r="BU1022" s="279"/>
      <c r="BV1022" s="279"/>
      <c r="BW1022" s="279"/>
      <c r="BX1022" s="279"/>
      <c r="BY1022" s="279"/>
      <c r="BZ1022" s="279"/>
      <c r="CA1022" s="279"/>
      <c r="CB1022" s="279"/>
      <c r="CC1022" s="279"/>
      <c r="CD1022" s="279"/>
      <c r="CE1022" s="279"/>
      <c r="CF1022" s="279"/>
      <c r="CG1022" s="279"/>
      <c r="CH1022" s="279"/>
      <c r="CI1022" s="279"/>
      <c r="CJ1022" s="279"/>
      <c r="CK1022" s="279"/>
      <c r="CL1022" s="279"/>
      <c r="CM1022" s="279"/>
      <c r="CN1022" s="382"/>
    </row>
    <row r="1023" x14ac:dyDescent="0.3">
      <c r="B1023" s="361"/>
      <c r="C1023" s="279"/>
      <c r="D1023" s="280"/>
      <c r="E1023" s="287"/>
      <c r="F1023" s="287"/>
      <c r="G1023" s="287"/>
      <c r="H1023" s="1292">
        <f t="shared" si="47"/>
        <v>8</v>
      </c>
      <c r="I1023" s="1190" t="str">
        <f>'I. Stream &amp; Compound Data'!P269</f>
        <v/>
      </c>
      <c r="J1023" s="1295" t="str">
        <f>IF(I149="","",IF('I. Stream &amp; Compound Data'!BQ269&lt;&gt;"",'I. Stream &amp; Compound Data'!BQ269,'I. Stream &amp; Compound Data'!BR269))</f>
        <v/>
      </c>
      <c r="K1023" s="1295" t="str">
        <f t="shared" si="48"/>
        <v/>
      </c>
      <c r="L1023" s="1317" t="str">
        <f t="shared" si="49"/>
        <v/>
      </c>
      <c r="M1023" s="296"/>
      <c r="N1023" s="280"/>
      <c r="O1023" s="280"/>
      <c r="P1023" s="279"/>
      <c r="Q1023" s="297"/>
      <c r="R1023" s="298"/>
      <c r="S1023" s="298"/>
      <c r="T1023" s="299"/>
      <c r="U1023" s="279"/>
      <c r="V1023" s="279"/>
      <c r="W1023" s="279"/>
      <c r="X1023" s="279"/>
      <c r="Y1023" s="279"/>
      <c r="Z1023" s="279"/>
      <c r="AA1023" s="279"/>
      <c r="AB1023" s="279"/>
      <c r="AC1023" s="279"/>
      <c r="AD1023" s="279"/>
      <c r="AE1023" s="279"/>
      <c r="AF1023" s="279"/>
      <c r="AG1023" s="279"/>
      <c r="AH1023" s="279"/>
      <c r="AI1023" s="279"/>
      <c r="AJ1023" s="279"/>
      <c r="AK1023" s="279"/>
      <c r="AL1023" s="279"/>
      <c r="AM1023" s="279"/>
      <c r="AN1023" s="279"/>
      <c r="AO1023" s="279"/>
      <c r="AP1023" s="279"/>
      <c r="AQ1023" s="279"/>
      <c r="AR1023" s="279"/>
      <c r="AS1023" s="279"/>
      <c r="AT1023" s="279"/>
      <c r="AU1023" s="279"/>
      <c r="AV1023" s="279"/>
      <c r="AW1023" s="279"/>
      <c r="AX1023" s="279"/>
      <c r="AY1023" s="279"/>
      <c r="AZ1023" s="279"/>
      <c r="BA1023" s="279"/>
      <c r="BB1023" s="279"/>
      <c r="BC1023" s="279"/>
      <c r="BD1023" s="279"/>
      <c r="BE1023" s="279"/>
      <c r="BF1023" s="279"/>
      <c r="BG1023" s="279"/>
      <c r="BH1023" s="279"/>
      <c r="BI1023" s="279"/>
      <c r="BJ1023" s="279"/>
      <c r="BK1023" s="279"/>
      <c r="BL1023" s="279"/>
      <c r="BM1023" s="279"/>
      <c r="BN1023" s="279"/>
      <c r="BO1023" s="279"/>
      <c r="BP1023" s="279"/>
      <c r="BQ1023" s="279"/>
      <c r="BR1023" s="279"/>
      <c r="BS1023" s="279"/>
      <c r="BT1023" s="279"/>
      <c r="BU1023" s="279"/>
      <c r="BV1023" s="279"/>
      <c r="BW1023" s="279"/>
      <c r="BX1023" s="279"/>
      <c r="BY1023" s="279"/>
      <c r="BZ1023" s="279"/>
      <c r="CA1023" s="279"/>
      <c r="CB1023" s="279"/>
      <c r="CC1023" s="279"/>
      <c r="CD1023" s="279"/>
      <c r="CE1023" s="279"/>
      <c r="CF1023" s="279"/>
      <c r="CG1023" s="279"/>
      <c r="CH1023" s="279"/>
      <c r="CI1023" s="279"/>
      <c r="CJ1023" s="279"/>
      <c r="CK1023" s="279"/>
      <c r="CL1023" s="279"/>
      <c r="CM1023" s="279"/>
      <c r="CN1023" s="382"/>
    </row>
    <row r="1024" x14ac:dyDescent="0.3">
      <c r="B1024" s="361"/>
      <c r="C1024" s="279"/>
      <c r="D1024" s="280"/>
      <c r="E1024" s="287"/>
      <c r="F1024" s="287"/>
      <c r="G1024" s="287"/>
      <c r="H1024" s="1292">
        <f t="shared" si="47"/>
        <v>9</v>
      </c>
      <c r="I1024" s="1190" t="str">
        <f>'I. Stream &amp; Compound Data'!P270</f>
        <v/>
      </c>
      <c r="J1024" s="1295" t="str">
        <f>IF(I150="","",IF('I. Stream &amp; Compound Data'!BQ270&lt;&gt;"",'I. Stream &amp; Compound Data'!BQ270,'I. Stream &amp; Compound Data'!BR270))</f>
        <v/>
      </c>
      <c r="K1024" s="1295" t="str">
        <f t="shared" si="48"/>
        <v/>
      </c>
      <c r="L1024" s="1317" t="str">
        <f t="shared" si="49"/>
        <v/>
      </c>
      <c r="M1024" s="296"/>
      <c r="N1024" s="280"/>
      <c r="O1024" s="280"/>
      <c r="P1024" s="279"/>
      <c r="Q1024" s="297"/>
      <c r="R1024" s="298"/>
      <c r="S1024" s="298"/>
      <c r="T1024" s="299"/>
      <c r="U1024" s="279"/>
      <c r="V1024" s="279"/>
      <c r="W1024" s="279"/>
      <c r="X1024" s="279"/>
      <c r="Y1024" s="279"/>
      <c r="Z1024" s="279"/>
      <c r="AA1024" s="279"/>
      <c r="AB1024" s="279"/>
      <c r="AC1024" s="279"/>
      <c r="AD1024" s="279"/>
      <c r="AE1024" s="279"/>
      <c r="AF1024" s="279"/>
      <c r="AG1024" s="279"/>
      <c r="AH1024" s="279"/>
      <c r="AI1024" s="279"/>
      <c r="AJ1024" s="279"/>
      <c r="AK1024" s="279"/>
      <c r="AL1024" s="279"/>
      <c r="AM1024" s="279"/>
      <c r="AN1024" s="279"/>
      <c r="AO1024" s="279"/>
      <c r="AP1024" s="279"/>
      <c r="AQ1024" s="279"/>
      <c r="AR1024" s="279"/>
      <c r="AS1024" s="279"/>
      <c r="AT1024" s="279"/>
      <c r="AU1024" s="279"/>
      <c r="AV1024" s="279"/>
      <c r="AW1024" s="279"/>
      <c r="AX1024" s="279"/>
      <c r="AY1024" s="279"/>
      <c r="AZ1024" s="279"/>
      <c r="BA1024" s="279"/>
      <c r="BB1024" s="279"/>
      <c r="BC1024" s="279"/>
      <c r="BD1024" s="279"/>
      <c r="BE1024" s="279"/>
      <c r="BF1024" s="279"/>
      <c r="BG1024" s="279"/>
      <c r="BH1024" s="279"/>
      <c r="BI1024" s="279"/>
      <c r="BJ1024" s="279"/>
      <c r="BK1024" s="279"/>
      <c r="BL1024" s="279"/>
      <c r="BM1024" s="279"/>
      <c r="BN1024" s="279"/>
      <c r="BO1024" s="279"/>
      <c r="BP1024" s="279"/>
      <c r="BQ1024" s="279"/>
      <c r="BR1024" s="279"/>
      <c r="BS1024" s="279"/>
      <c r="BT1024" s="279"/>
      <c r="BU1024" s="279"/>
      <c r="BV1024" s="279"/>
      <c r="BW1024" s="279"/>
      <c r="BX1024" s="279"/>
      <c r="BY1024" s="279"/>
      <c r="BZ1024" s="279"/>
      <c r="CA1024" s="279"/>
      <c r="CB1024" s="279"/>
      <c r="CC1024" s="279"/>
      <c r="CD1024" s="279"/>
      <c r="CE1024" s="279"/>
      <c r="CF1024" s="279"/>
      <c r="CG1024" s="279"/>
      <c r="CH1024" s="279"/>
      <c r="CI1024" s="279"/>
      <c r="CJ1024" s="279"/>
      <c r="CK1024" s="279"/>
      <c r="CL1024" s="279"/>
      <c r="CM1024" s="279"/>
      <c r="CN1024" s="382"/>
    </row>
    <row r="1025" x14ac:dyDescent="0.3">
      <c r="B1025" s="361"/>
      <c r="C1025" s="279"/>
      <c r="D1025" s="280"/>
      <c r="E1025" s="287"/>
      <c r="F1025" s="287"/>
      <c r="G1025" s="287"/>
      <c r="H1025" s="1292">
        <f t="shared" si="47"/>
        <v>10</v>
      </c>
      <c r="I1025" s="1190" t="str">
        <f>'I. Stream &amp; Compound Data'!P271</f>
        <v/>
      </c>
      <c r="J1025" s="1295" t="str">
        <f>IF(I151="","",IF('I. Stream &amp; Compound Data'!BQ271&lt;&gt;"",'I. Stream &amp; Compound Data'!BQ271,'I. Stream &amp; Compound Data'!BR271))</f>
        <v/>
      </c>
      <c r="K1025" s="1295" t="str">
        <f t="shared" si="48"/>
        <v/>
      </c>
      <c r="L1025" s="1317" t="str">
        <f t="shared" si="49"/>
        <v/>
      </c>
      <c r="M1025" s="296"/>
      <c r="N1025" s="280"/>
      <c r="O1025" s="280"/>
      <c r="P1025" s="279"/>
      <c r="Q1025" s="297"/>
      <c r="R1025" s="298"/>
      <c r="S1025" s="298"/>
      <c r="T1025" s="299"/>
      <c r="U1025" s="279"/>
      <c r="V1025" s="279"/>
      <c r="W1025" s="279"/>
      <c r="X1025" s="279"/>
      <c r="Y1025" s="279"/>
      <c r="Z1025" s="279"/>
      <c r="AA1025" s="279"/>
      <c r="AB1025" s="279"/>
      <c r="AC1025" s="279"/>
      <c r="AD1025" s="279"/>
      <c r="AE1025" s="279"/>
      <c r="AF1025" s="279"/>
      <c r="AG1025" s="279"/>
      <c r="AH1025" s="279"/>
      <c r="AI1025" s="279"/>
      <c r="AJ1025" s="279"/>
      <c r="AK1025" s="279"/>
      <c r="AL1025" s="279"/>
      <c r="AM1025" s="279"/>
      <c r="AN1025" s="279"/>
      <c r="AO1025" s="279"/>
      <c r="AP1025" s="279"/>
      <c r="AQ1025" s="279"/>
      <c r="AR1025" s="279"/>
      <c r="AS1025" s="279"/>
      <c r="AT1025" s="279"/>
      <c r="AU1025" s="279"/>
      <c r="AV1025" s="279"/>
      <c r="AW1025" s="279"/>
      <c r="AX1025" s="279"/>
      <c r="AY1025" s="279"/>
      <c r="AZ1025" s="279"/>
      <c r="BA1025" s="279"/>
      <c r="BB1025" s="279"/>
      <c r="BC1025" s="279"/>
      <c r="BD1025" s="279"/>
      <c r="BE1025" s="279"/>
      <c r="BF1025" s="279"/>
      <c r="BG1025" s="279"/>
      <c r="BH1025" s="279"/>
      <c r="BI1025" s="279"/>
      <c r="BJ1025" s="279"/>
      <c r="BK1025" s="279"/>
      <c r="BL1025" s="279"/>
      <c r="BM1025" s="279"/>
      <c r="BN1025" s="279"/>
      <c r="BO1025" s="279"/>
      <c r="BP1025" s="279"/>
      <c r="BQ1025" s="279"/>
      <c r="BR1025" s="279"/>
      <c r="BS1025" s="279"/>
      <c r="BT1025" s="279"/>
      <c r="BU1025" s="279"/>
      <c r="BV1025" s="279"/>
      <c r="BW1025" s="279"/>
      <c r="BX1025" s="279"/>
      <c r="BY1025" s="279"/>
      <c r="BZ1025" s="279"/>
      <c r="CA1025" s="279"/>
      <c r="CB1025" s="279"/>
      <c r="CC1025" s="279"/>
      <c r="CD1025" s="279"/>
      <c r="CE1025" s="279"/>
      <c r="CF1025" s="279"/>
      <c r="CG1025" s="279"/>
      <c r="CH1025" s="279"/>
      <c r="CI1025" s="279"/>
      <c r="CJ1025" s="279"/>
      <c r="CK1025" s="279"/>
      <c r="CL1025" s="279"/>
      <c r="CM1025" s="279"/>
      <c r="CN1025" s="382"/>
    </row>
    <row r="1026" x14ac:dyDescent="0.3">
      <c r="B1026" s="361"/>
      <c r="C1026" s="279"/>
      <c r="D1026" s="280"/>
      <c r="E1026" s="287"/>
      <c r="F1026" s="287"/>
      <c r="G1026" s="287"/>
      <c r="H1026" s="1292">
        <f t="shared" si="47"/>
        <v>11</v>
      </c>
      <c r="I1026" s="1190" t="str">
        <f>'I. Stream &amp; Compound Data'!P272</f>
        <v/>
      </c>
      <c r="J1026" s="1295" t="str">
        <f>IF(I152="","",IF('I. Stream &amp; Compound Data'!BQ272&lt;&gt;"",'I. Stream &amp; Compound Data'!BQ272,'I. Stream &amp; Compound Data'!BR272))</f>
        <v/>
      </c>
      <c r="K1026" s="1295" t="str">
        <f t="shared" si="48"/>
        <v/>
      </c>
      <c r="L1026" s="1317" t="str">
        <f t="shared" si="49"/>
        <v/>
      </c>
      <c r="M1026" s="296"/>
      <c r="N1026" s="280"/>
      <c r="O1026" s="280"/>
      <c r="P1026" s="279"/>
      <c r="Q1026" s="297"/>
      <c r="R1026" s="298"/>
      <c r="S1026" s="298"/>
      <c r="T1026" s="299"/>
      <c r="U1026" s="279"/>
      <c r="V1026" s="279"/>
      <c r="W1026" s="279"/>
      <c r="X1026" s="279"/>
      <c r="Y1026" s="279"/>
      <c r="Z1026" s="279"/>
      <c r="AA1026" s="279"/>
      <c r="AB1026" s="279"/>
      <c r="AC1026" s="279"/>
      <c r="AD1026" s="279"/>
      <c r="AE1026" s="279"/>
      <c r="AF1026" s="279"/>
      <c r="AG1026" s="279"/>
      <c r="AH1026" s="279"/>
      <c r="AI1026" s="279"/>
      <c r="AJ1026" s="279"/>
      <c r="AK1026" s="279"/>
      <c r="AL1026" s="279"/>
      <c r="AM1026" s="279"/>
      <c r="AN1026" s="279"/>
      <c r="AO1026" s="279"/>
      <c r="AP1026" s="279"/>
      <c r="AQ1026" s="279"/>
      <c r="AR1026" s="279"/>
      <c r="AS1026" s="279"/>
      <c r="AT1026" s="279"/>
      <c r="AU1026" s="279"/>
      <c r="AV1026" s="279"/>
      <c r="AW1026" s="279"/>
      <c r="AX1026" s="279"/>
      <c r="AY1026" s="279"/>
      <c r="AZ1026" s="279"/>
      <c r="BA1026" s="279"/>
      <c r="BB1026" s="279"/>
      <c r="BC1026" s="279"/>
      <c r="BD1026" s="279"/>
      <c r="BE1026" s="279"/>
      <c r="BF1026" s="279"/>
      <c r="BG1026" s="279"/>
      <c r="BH1026" s="279"/>
      <c r="BI1026" s="279"/>
      <c r="BJ1026" s="279"/>
      <c r="BK1026" s="279"/>
      <c r="BL1026" s="279"/>
      <c r="BM1026" s="279"/>
      <c r="BN1026" s="279"/>
      <c r="BO1026" s="279"/>
      <c r="BP1026" s="279"/>
      <c r="BQ1026" s="279"/>
      <c r="BR1026" s="279"/>
      <c r="BS1026" s="279"/>
      <c r="BT1026" s="279"/>
      <c r="BU1026" s="279"/>
      <c r="BV1026" s="279"/>
      <c r="BW1026" s="279"/>
      <c r="BX1026" s="279"/>
      <c r="BY1026" s="279"/>
      <c r="BZ1026" s="279"/>
      <c r="CA1026" s="279"/>
      <c r="CB1026" s="279"/>
      <c r="CC1026" s="279"/>
      <c r="CD1026" s="279"/>
      <c r="CE1026" s="279"/>
      <c r="CF1026" s="279"/>
      <c r="CG1026" s="279"/>
      <c r="CH1026" s="279"/>
      <c r="CI1026" s="279"/>
      <c r="CJ1026" s="279"/>
      <c r="CK1026" s="279"/>
      <c r="CL1026" s="279"/>
      <c r="CM1026" s="279"/>
      <c r="CN1026" s="382"/>
    </row>
    <row r="1027" x14ac:dyDescent="0.3">
      <c r="B1027" s="361"/>
      <c r="C1027" s="279"/>
      <c r="D1027" s="280"/>
      <c r="E1027" s="287"/>
      <c r="F1027" s="287"/>
      <c r="G1027" s="287"/>
      <c r="H1027" s="1292">
        <f t="shared" si="47"/>
        <v>12</v>
      </c>
      <c r="I1027" s="1190" t="str">
        <f>'I. Stream &amp; Compound Data'!P273</f>
        <v/>
      </c>
      <c r="J1027" s="1295" t="str">
        <f>IF(I153="","",IF('I. Stream &amp; Compound Data'!BQ273&lt;&gt;"",'I. Stream &amp; Compound Data'!BQ273,'I. Stream &amp; Compound Data'!BR273))</f>
        <v/>
      </c>
      <c r="K1027" s="1295" t="str">
        <f t="shared" si="48"/>
        <v/>
      </c>
      <c r="L1027" s="1317" t="str">
        <f t="shared" si="49"/>
        <v/>
      </c>
      <c r="M1027" s="296"/>
      <c r="N1027" s="280"/>
      <c r="O1027" s="280"/>
      <c r="P1027" s="279"/>
      <c r="Q1027" s="297"/>
      <c r="R1027" s="298"/>
      <c r="S1027" s="298"/>
      <c r="T1027" s="299"/>
      <c r="U1027" s="279"/>
      <c r="V1027" s="279"/>
      <c r="W1027" s="279"/>
      <c r="X1027" s="279"/>
      <c r="Y1027" s="279"/>
      <c r="Z1027" s="279"/>
      <c r="AA1027" s="279"/>
      <c r="AB1027" s="279"/>
      <c r="AC1027" s="279"/>
      <c r="AD1027" s="279"/>
      <c r="AE1027" s="279"/>
      <c r="AF1027" s="279"/>
      <c r="AG1027" s="279"/>
      <c r="AH1027" s="279"/>
      <c r="AI1027" s="279"/>
      <c r="AJ1027" s="279"/>
      <c r="AK1027" s="279"/>
      <c r="AL1027" s="279"/>
      <c r="AM1027" s="279"/>
      <c r="AN1027" s="279"/>
      <c r="AO1027" s="279"/>
      <c r="AP1027" s="279"/>
      <c r="AQ1027" s="279"/>
      <c r="AR1027" s="279"/>
      <c r="AS1027" s="279"/>
      <c r="AT1027" s="279"/>
      <c r="AU1027" s="279"/>
      <c r="AV1027" s="279"/>
      <c r="AW1027" s="279"/>
      <c r="AX1027" s="279"/>
      <c r="AY1027" s="279"/>
      <c r="AZ1027" s="279"/>
      <c r="BA1027" s="279"/>
      <c r="BB1027" s="279"/>
      <c r="BC1027" s="279"/>
      <c r="BD1027" s="279"/>
      <c r="BE1027" s="279"/>
      <c r="BF1027" s="279"/>
      <c r="BG1027" s="279"/>
      <c r="BH1027" s="279"/>
      <c r="BI1027" s="279"/>
      <c r="BJ1027" s="279"/>
      <c r="BK1027" s="279"/>
      <c r="BL1027" s="279"/>
      <c r="BM1027" s="279"/>
      <c r="BN1027" s="279"/>
      <c r="BO1027" s="279"/>
      <c r="BP1027" s="279"/>
      <c r="BQ1027" s="279"/>
      <c r="BR1027" s="279"/>
      <c r="BS1027" s="279"/>
      <c r="BT1027" s="279"/>
      <c r="BU1027" s="279"/>
      <c r="BV1027" s="279"/>
      <c r="BW1027" s="279"/>
      <c r="BX1027" s="279"/>
      <c r="BY1027" s="279"/>
      <c r="BZ1027" s="279"/>
      <c r="CA1027" s="279"/>
      <c r="CB1027" s="279"/>
      <c r="CC1027" s="279"/>
      <c r="CD1027" s="279"/>
      <c r="CE1027" s="279"/>
      <c r="CF1027" s="279"/>
      <c r="CG1027" s="279"/>
      <c r="CH1027" s="279"/>
      <c r="CI1027" s="279"/>
      <c r="CJ1027" s="279"/>
      <c r="CK1027" s="279"/>
      <c r="CL1027" s="279"/>
      <c r="CM1027" s="279"/>
      <c r="CN1027" s="382"/>
    </row>
    <row r="1028" x14ac:dyDescent="0.3">
      <c r="B1028" s="361"/>
      <c r="C1028" s="279"/>
      <c r="D1028" s="280"/>
      <c r="E1028" s="287"/>
      <c r="F1028" s="287"/>
      <c r="G1028" s="287"/>
      <c r="H1028" s="1292">
        <f t="shared" si="47"/>
        <v>13</v>
      </c>
      <c r="I1028" s="1190" t="str">
        <f>'I. Stream &amp; Compound Data'!P274</f>
        <v/>
      </c>
      <c r="J1028" s="1295" t="str">
        <f>IF(I154="","",IF('I. Stream &amp; Compound Data'!BQ274&lt;&gt;"",'I. Stream &amp; Compound Data'!BQ274,'I. Stream &amp; Compound Data'!BR274))</f>
        <v/>
      </c>
      <c r="K1028" s="1295" t="str">
        <f t="shared" si="48"/>
        <v/>
      </c>
      <c r="L1028" s="1317" t="str">
        <f t="shared" si="49"/>
        <v/>
      </c>
      <c r="M1028" s="296"/>
      <c r="N1028" s="280"/>
      <c r="O1028" s="280"/>
      <c r="P1028" s="279"/>
      <c r="Q1028" s="297"/>
      <c r="R1028" s="298"/>
      <c r="S1028" s="298"/>
      <c r="T1028" s="299"/>
      <c r="U1028" s="279"/>
      <c r="V1028" s="279"/>
      <c r="W1028" s="279"/>
      <c r="X1028" s="279"/>
      <c r="Y1028" s="279"/>
      <c r="Z1028" s="279"/>
      <c r="AA1028" s="279"/>
      <c r="AB1028" s="279"/>
      <c r="AC1028" s="279"/>
      <c r="AD1028" s="279"/>
      <c r="AE1028" s="279"/>
      <c r="AF1028" s="279"/>
      <c r="AG1028" s="279"/>
      <c r="AH1028" s="279"/>
      <c r="AI1028" s="279"/>
      <c r="AJ1028" s="279"/>
      <c r="AK1028" s="279"/>
      <c r="AL1028" s="279"/>
      <c r="AM1028" s="279"/>
      <c r="AN1028" s="279"/>
      <c r="AO1028" s="279"/>
      <c r="AP1028" s="279"/>
      <c r="AQ1028" s="279"/>
      <c r="AR1028" s="279"/>
      <c r="AS1028" s="279"/>
      <c r="AT1028" s="279"/>
      <c r="AU1028" s="279"/>
      <c r="AV1028" s="279"/>
      <c r="AW1028" s="279"/>
      <c r="AX1028" s="279"/>
      <c r="AY1028" s="279"/>
      <c r="AZ1028" s="279"/>
      <c r="BA1028" s="279"/>
      <c r="BB1028" s="279"/>
      <c r="BC1028" s="279"/>
      <c r="BD1028" s="279"/>
      <c r="BE1028" s="279"/>
      <c r="BF1028" s="279"/>
      <c r="BG1028" s="279"/>
      <c r="BH1028" s="279"/>
      <c r="BI1028" s="279"/>
      <c r="BJ1028" s="279"/>
      <c r="BK1028" s="279"/>
      <c r="BL1028" s="279"/>
      <c r="BM1028" s="279"/>
      <c r="BN1028" s="279"/>
      <c r="BO1028" s="279"/>
      <c r="BP1028" s="279"/>
      <c r="BQ1028" s="279"/>
      <c r="BR1028" s="279"/>
      <c r="BS1028" s="279"/>
      <c r="BT1028" s="279"/>
      <c r="BU1028" s="279"/>
      <c r="BV1028" s="279"/>
      <c r="BW1028" s="279"/>
      <c r="BX1028" s="279"/>
      <c r="BY1028" s="279"/>
      <c r="BZ1028" s="279"/>
      <c r="CA1028" s="279"/>
      <c r="CB1028" s="279"/>
      <c r="CC1028" s="279"/>
      <c r="CD1028" s="279"/>
      <c r="CE1028" s="279"/>
      <c r="CF1028" s="279"/>
      <c r="CG1028" s="279"/>
      <c r="CH1028" s="279"/>
      <c r="CI1028" s="279"/>
      <c r="CJ1028" s="279"/>
      <c r="CK1028" s="279"/>
      <c r="CL1028" s="279"/>
      <c r="CM1028" s="279"/>
      <c r="CN1028" s="382"/>
    </row>
    <row r="1029" x14ac:dyDescent="0.3">
      <c r="B1029" s="361"/>
      <c r="C1029" s="279"/>
      <c r="D1029" s="280"/>
      <c r="E1029" s="287"/>
      <c r="F1029" s="287"/>
      <c r="G1029" s="287"/>
      <c r="H1029" s="1292">
        <f t="shared" si="47"/>
        <v>14</v>
      </c>
      <c r="I1029" s="1190" t="str">
        <f>'I. Stream &amp; Compound Data'!P275</f>
        <v/>
      </c>
      <c r="J1029" s="1295" t="str">
        <f>IF(I155="","",IF('I. Stream &amp; Compound Data'!BQ275&lt;&gt;"",'I. Stream &amp; Compound Data'!BQ275,'I. Stream &amp; Compound Data'!BR275))</f>
        <v/>
      </c>
      <c r="K1029" s="1295" t="str">
        <f t="shared" si="48"/>
        <v/>
      </c>
      <c r="L1029" s="1317" t="str">
        <f t="shared" si="49"/>
        <v/>
      </c>
      <c r="M1029" s="296"/>
      <c r="N1029" s="280"/>
      <c r="O1029" s="280"/>
      <c r="P1029" s="279"/>
      <c r="Q1029" s="297"/>
      <c r="R1029" s="298"/>
      <c r="S1029" s="298"/>
      <c r="T1029" s="299"/>
      <c r="U1029" s="279"/>
      <c r="V1029" s="279"/>
      <c r="W1029" s="279"/>
      <c r="X1029" s="279"/>
      <c r="Y1029" s="279"/>
      <c r="Z1029" s="279"/>
      <c r="AA1029" s="279"/>
      <c r="AB1029" s="279"/>
      <c r="AC1029" s="279"/>
      <c r="AD1029" s="279"/>
      <c r="AE1029" s="279"/>
      <c r="AF1029" s="279"/>
      <c r="AG1029" s="279"/>
      <c r="AH1029" s="279"/>
      <c r="AI1029" s="279"/>
      <c r="AJ1029" s="279"/>
      <c r="AK1029" s="279"/>
      <c r="AL1029" s="279"/>
      <c r="AM1029" s="279"/>
      <c r="AN1029" s="279"/>
      <c r="AO1029" s="279"/>
      <c r="AP1029" s="279"/>
      <c r="AQ1029" s="279"/>
      <c r="AR1029" s="279"/>
      <c r="AS1029" s="279"/>
      <c r="AT1029" s="279"/>
      <c r="AU1029" s="279"/>
      <c r="AV1029" s="279"/>
      <c r="AW1029" s="279"/>
      <c r="AX1029" s="279"/>
      <c r="AY1029" s="279"/>
      <c r="AZ1029" s="279"/>
      <c r="BA1029" s="279"/>
      <c r="BB1029" s="279"/>
      <c r="BC1029" s="279"/>
      <c r="BD1029" s="279"/>
      <c r="BE1029" s="279"/>
      <c r="BF1029" s="279"/>
      <c r="BG1029" s="279"/>
      <c r="BH1029" s="279"/>
      <c r="BI1029" s="279"/>
      <c r="BJ1029" s="279"/>
      <c r="BK1029" s="279"/>
      <c r="BL1029" s="279"/>
      <c r="BM1029" s="279"/>
      <c r="BN1029" s="279"/>
      <c r="BO1029" s="279"/>
      <c r="BP1029" s="279"/>
      <c r="BQ1029" s="279"/>
      <c r="BR1029" s="279"/>
      <c r="BS1029" s="279"/>
      <c r="BT1029" s="279"/>
      <c r="BU1029" s="279"/>
      <c r="BV1029" s="279"/>
      <c r="BW1029" s="279"/>
      <c r="BX1029" s="279"/>
      <c r="BY1029" s="279"/>
      <c r="BZ1029" s="279"/>
      <c r="CA1029" s="279"/>
      <c r="CB1029" s="279"/>
      <c r="CC1029" s="279"/>
      <c r="CD1029" s="279"/>
      <c r="CE1029" s="279"/>
      <c r="CF1029" s="279"/>
      <c r="CG1029" s="279"/>
      <c r="CH1029" s="279"/>
      <c r="CI1029" s="279"/>
      <c r="CJ1029" s="279"/>
      <c r="CK1029" s="279"/>
      <c r="CL1029" s="279"/>
      <c r="CM1029" s="279"/>
      <c r="CN1029" s="382"/>
    </row>
    <row r="1030" x14ac:dyDescent="0.3">
      <c r="B1030" s="361"/>
      <c r="C1030" s="279"/>
      <c r="D1030" s="280"/>
      <c r="E1030" s="287"/>
      <c r="F1030" s="287"/>
      <c r="G1030" s="287"/>
      <c r="H1030" s="1292">
        <f t="shared" si="47"/>
        <v>15</v>
      </c>
      <c r="I1030" s="1190" t="str">
        <f>'I. Stream &amp; Compound Data'!P276</f>
        <v/>
      </c>
      <c r="J1030" s="1295" t="str">
        <f>IF(I156="","",IF('I. Stream &amp; Compound Data'!BQ276&lt;&gt;"",'I. Stream &amp; Compound Data'!BQ276,'I. Stream &amp; Compound Data'!BR276))</f>
        <v/>
      </c>
      <c r="K1030" s="1295" t="str">
        <f t="shared" si="48"/>
        <v/>
      </c>
      <c r="L1030" s="1317" t="str">
        <f t="shared" si="49"/>
        <v/>
      </c>
      <c r="M1030" s="296"/>
      <c r="N1030" s="280"/>
      <c r="O1030" s="280"/>
      <c r="P1030" s="279"/>
      <c r="Q1030" s="297"/>
      <c r="R1030" s="298"/>
      <c r="S1030" s="298"/>
      <c r="T1030" s="299"/>
      <c r="U1030" s="279"/>
      <c r="V1030" s="279"/>
      <c r="W1030" s="279"/>
      <c r="X1030" s="279"/>
      <c r="Y1030" s="279"/>
      <c r="Z1030" s="279"/>
      <c r="AA1030" s="279"/>
      <c r="AB1030" s="279"/>
      <c r="AC1030" s="279"/>
      <c r="AD1030" s="279"/>
      <c r="AE1030" s="279"/>
      <c r="AF1030" s="279"/>
      <c r="AG1030" s="279"/>
      <c r="AH1030" s="279"/>
      <c r="AI1030" s="279"/>
      <c r="AJ1030" s="279"/>
      <c r="AK1030" s="279"/>
      <c r="AL1030" s="279"/>
      <c r="AM1030" s="279"/>
      <c r="AN1030" s="279"/>
      <c r="AO1030" s="279"/>
      <c r="AP1030" s="279"/>
      <c r="AQ1030" s="279"/>
      <c r="AR1030" s="279"/>
      <c r="AS1030" s="279"/>
      <c r="AT1030" s="279"/>
      <c r="AU1030" s="279"/>
      <c r="AV1030" s="279"/>
      <c r="AW1030" s="279"/>
      <c r="AX1030" s="279"/>
      <c r="AY1030" s="279"/>
      <c r="AZ1030" s="279"/>
      <c r="BA1030" s="279"/>
      <c r="BB1030" s="279"/>
      <c r="BC1030" s="279"/>
      <c r="BD1030" s="279"/>
      <c r="BE1030" s="279"/>
      <c r="BF1030" s="279"/>
      <c r="BG1030" s="279"/>
      <c r="BH1030" s="279"/>
      <c r="BI1030" s="279"/>
      <c r="BJ1030" s="279"/>
      <c r="BK1030" s="279"/>
      <c r="BL1030" s="279"/>
      <c r="BM1030" s="279"/>
      <c r="BN1030" s="279"/>
      <c r="BO1030" s="279"/>
      <c r="BP1030" s="279"/>
      <c r="BQ1030" s="279"/>
      <c r="BR1030" s="279"/>
      <c r="BS1030" s="279"/>
      <c r="BT1030" s="279"/>
      <c r="BU1030" s="279"/>
      <c r="BV1030" s="279"/>
      <c r="BW1030" s="279"/>
      <c r="BX1030" s="279"/>
      <c r="BY1030" s="279"/>
      <c r="BZ1030" s="279"/>
      <c r="CA1030" s="279"/>
      <c r="CB1030" s="279"/>
      <c r="CC1030" s="279"/>
      <c r="CD1030" s="279"/>
      <c r="CE1030" s="279"/>
      <c r="CF1030" s="279"/>
      <c r="CG1030" s="279"/>
      <c r="CH1030" s="279"/>
      <c r="CI1030" s="279"/>
      <c r="CJ1030" s="279"/>
      <c r="CK1030" s="279"/>
      <c r="CL1030" s="279"/>
      <c r="CM1030" s="279"/>
      <c r="CN1030" s="382"/>
    </row>
    <row r="1031" x14ac:dyDescent="0.3">
      <c r="B1031" s="361"/>
      <c r="C1031" s="279"/>
      <c r="D1031" s="280"/>
      <c r="E1031" s="287"/>
      <c r="F1031" s="287"/>
      <c r="G1031" s="287"/>
      <c r="H1031" s="1292">
        <f t="shared" si="47"/>
        <v>16</v>
      </c>
      <c r="I1031" s="1190" t="str">
        <f>'I. Stream &amp; Compound Data'!P277</f>
        <v/>
      </c>
      <c r="J1031" s="1295" t="str">
        <f>IF(I157="","",IF('I. Stream &amp; Compound Data'!BQ277&lt;&gt;"",'I. Stream &amp; Compound Data'!BQ277,'I. Stream &amp; Compound Data'!BR277))</f>
        <v/>
      </c>
      <c r="K1031" s="1295" t="str">
        <f t="shared" si="48"/>
        <v/>
      </c>
      <c r="L1031" s="1317" t="str">
        <f t="shared" si="49"/>
        <v/>
      </c>
      <c r="M1031" s="287"/>
      <c r="N1031" s="296"/>
      <c r="O1031" s="280"/>
      <c r="P1031" s="280"/>
      <c r="Q1031" s="279"/>
      <c r="R1031" s="297"/>
      <c r="S1031" s="298"/>
      <c r="T1031" s="298"/>
      <c r="U1031" s="299"/>
      <c r="V1031" s="279"/>
      <c r="W1031" s="279"/>
      <c r="X1031" s="279"/>
      <c r="Y1031" s="279"/>
      <c r="Z1031" s="279"/>
      <c r="AA1031" s="279"/>
      <c r="AB1031" s="279"/>
      <c r="AC1031" s="279"/>
      <c r="AD1031" s="279"/>
      <c r="AE1031" s="279"/>
      <c r="AF1031" s="279"/>
      <c r="AG1031" s="279"/>
      <c r="AH1031" s="279"/>
      <c r="AI1031" s="279"/>
      <c r="AJ1031" s="279"/>
      <c r="AK1031" s="279"/>
      <c r="AL1031" s="279"/>
      <c r="AM1031" s="279"/>
      <c r="AN1031" s="279"/>
      <c r="AO1031" s="279"/>
      <c r="AP1031" s="279"/>
      <c r="AQ1031" s="279"/>
      <c r="AR1031" s="279"/>
      <c r="AS1031" s="279"/>
      <c r="AT1031" s="279"/>
      <c r="AU1031" s="279"/>
      <c r="AV1031" s="279"/>
      <c r="AW1031" s="279"/>
      <c r="AX1031" s="279"/>
      <c r="AY1031" s="279"/>
      <c r="AZ1031" s="279"/>
      <c r="BA1031" s="279"/>
      <c r="BB1031" s="279"/>
      <c r="BC1031" s="279"/>
      <c r="BD1031" s="279"/>
      <c r="BE1031" s="279"/>
      <c r="BF1031" s="279"/>
      <c r="BG1031" s="279"/>
      <c r="BH1031" s="279"/>
      <c r="BI1031" s="279"/>
      <c r="BJ1031" s="279"/>
      <c r="BK1031" s="279"/>
      <c r="BL1031" s="279"/>
      <c r="BM1031" s="279"/>
      <c r="BN1031" s="279"/>
      <c r="BO1031" s="279"/>
      <c r="BP1031" s="279"/>
      <c r="BQ1031" s="279"/>
      <c r="BR1031" s="279"/>
      <c r="BS1031" s="279"/>
      <c r="BT1031" s="279"/>
      <c r="BU1031" s="279"/>
      <c r="BV1031" s="279"/>
      <c r="BW1031" s="279"/>
      <c r="BX1031" s="279"/>
      <c r="BY1031" s="279"/>
      <c r="BZ1031" s="279"/>
      <c r="CA1031" s="279"/>
      <c r="CB1031" s="279"/>
      <c r="CC1031" s="279"/>
      <c r="CD1031" s="279"/>
      <c r="CE1031" s="279"/>
      <c r="CF1031" s="279"/>
      <c r="CG1031" s="279"/>
      <c r="CH1031" s="279"/>
      <c r="CI1031" s="279"/>
      <c r="CJ1031" s="279"/>
      <c r="CK1031" s="279"/>
      <c r="CL1031" s="279"/>
      <c r="CM1031" s="279"/>
      <c r="CN1031" s="382"/>
    </row>
    <row r="1032" x14ac:dyDescent="0.3">
      <c r="B1032" s="361"/>
      <c r="C1032" s="279"/>
      <c r="D1032" s="280"/>
      <c r="E1032" s="287"/>
      <c r="F1032" s="287"/>
      <c r="G1032" s="287"/>
      <c r="H1032" s="1292">
        <f t="shared" si="47"/>
        <v>17</v>
      </c>
      <c r="I1032" s="1190" t="str">
        <f>'I. Stream &amp; Compound Data'!P278</f>
        <v/>
      </c>
      <c r="J1032" s="1295" t="str">
        <f>IF(I158="","",IF('I. Stream &amp; Compound Data'!BQ278&lt;&gt;"",'I. Stream &amp; Compound Data'!BQ278,'I. Stream &amp; Compound Data'!BR278))</f>
        <v/>
      </c>
      <c r="K1032" s="1295" t="str">
        <f t="shared" si="48"/>
        <v/>
      </c>
      <c r="L1032" s="1317" t="str">
        <f t="shared" si="49"/>
        <v/>
      </c>
      <c r="M1032" s="287"/>
      <c r="N1032" s="296"/>
      <c r="O1032" s="280"/>
      <c r="P1032" s="280"/>
      <c r="Q1032" s="279"/>
      <c r="R1032" s="297"/>
      <c r="S1032" s="298"/>
      <c r="T1032" s="298"/>
      <c r="U1032" s="299"/>
      <c r="V1032" s="279"/>
      <c r="W1032" s="279"/>
      <c r="X1032" s="279"/>
      <c r="Y1032" s="279"/>
      <c r="Z1032" s="279"/>
      <c r="AA1032" s="279"/>
      <c r="AB1032" s="279"/>
      <c r="AC1032" s="279"/>
      <c r="AD1032" s="279"/>
      <c r="AE1032" s="279"/>
      <c r="AF1032" s="279"/>
      <c r="AG1032" s="279"/>
      <c r="AH1032" s="279"/>
      <c r="AI1032" s="279"/>
      <c r="AJ1032" s="279"/>
      <c r="AK1032" s="279"/>
      <c r="AL1032" s="279"/>
      <c r="AM1032" s="279"/>
      <c r="AN1032" s="279"/>
      <c r="AO1032" s="279"/>
      <c r="AP1032" s="279"/>
      <c r="AQ1032" s="279"/>
      <c r="AR1032" s="279"/>
      <c r="AS1032" s="279"/>
      <c r="AT1032" s="279"/>
      <c r="AU1032" s="279"/>
      <c r="AV1032" s="279"/>
      <c r="AW1032" s="279"/>
      <c r="AX1032" s="279"/>
      <c r="AY1032" s="279"/>
      <c r="AZ1032" s="279"/>
      <c r="BA1032" s="279"/>
      <c r="BB1032" s="279"/>
      <c r="BC1032" s="279"/>
      <c r="BD1032" s="279"/>
      <c r="BE1032" s="279"/>
      <c r="BF1032" s="279"/>
      <c r="BG1032" s="279"/>
      <c r="BH1032" s="279"/>
      <c r="BI1032" s="279"/>
      <c r="BJ1032" s="279"/>
      <c r="BK1032" s="279"/>
      <c r="BL1032" s="279"/>
      <c r="BM1032" s="279"/>
      <c r="BN1032" s="279"/>
      <c r="BO1032" s="279"/>
      <c r="BP1032" s="279"/>
      <c r="BQ1032" s="279"/>
      <c r="BR1032" s="279"/>
      <c r="BS1032" s="279"/>
      <c r="BT1032" s="279"/>
      <c r="BU1032" s="279"/>
      <c r="BV1032" s="279"/>
      <c r="BW1032" s="279"/>
      <c r="BX1032" s="279"/>
      <c r="BY1032" s="279"/>
      <c r="BZ1032" s="279"/>
      <c r="CA1032" s="279"/>
      <c r="CB1032" s="279"/>
      <c r="CC1032" s="279"/>
      <c r="CD1032" s="279"/>
      <c r="CE1032" s="279"/>
      <c r="CF1032" s="279"/>
      <c r="CG1032" s="279"/>
      <c r="CH1032" s="279"/>
      <c r="CI1032" s="279"/>
      <c r="CJ1032" s="279"/>
      <c r="CK1032" s="279"/>
      <c r="CL1032" s="279"/>
      <c r="CM1032" s="279"/>
      <c r="CN1032" s="382"/>
    </row>
    <row r="1033" x14ac:dyDescent="0.3">
      <c r="B1033" s="361"/>
      <c r="C1033" s="279"/>
      <c r="D1033" s="280"/>
      <c r="E1033" s="287"/>
      <c r="F1033" s="287"/>
      <c r="G1033" s="287"/>
      <c r="H1033" s="1292">
        <f t="shared" si="47"/>
        <v>18</v>
      </c>
      <c r="I1033" s="1190" t="str">
        <f>'I. Stream &amp; Compound Data'!P279</f>
        <v/>
      </c>
      <c r="J1033" s="1295" t="str">
        <f>IF(I159="","",IF('I. Stream &amp; Compound Data'!BQ279&lt;&gt;"",'I. Stream &amp; Compound Data'!BQ279,'I. Stream &amp; Compound Data'!BR279))</f>
        <v/>
      </c>
      <c r="K1033" s="1295" t="str">
        <f t="shared" si="48"/>
        <v/>
      </c>
      <c r="L1033" s="1317" t="str">
        <f t="shared" si="49"/>
        <v/>
      </c>
      <c r="M1033" s="306"/>
      <c r="N1033" s="280"/>
      <c r="O1033" s="280"/>
      <c r="P1033" s="279"/>
      <c r="Q1033" s="297"/>
      <c r="R1033" s="298"/>
      <c r="S1033" s="298"/>
      <c r="T1033" s="299"/>
      <c r="U1033" s="279"/>
      <c r="V1033" s="279"/>
      <c r="W1033" s="279"/>
      <c r="X1033" s="279"/>
      <c r="Y1033" s="279"/>
      <c r="Z1033" s="279"/>
      <c r="AA1033" s="279"/>
      <c r="AB1033" s="279"/>
      <c r="AC1033" s="279"/>
      <c r="AD1033" s="279"/>
      <c r="AE1033" s="279"/>
      <c r="AF1033" s="279"/>
      <c r="AG1033" s="279"/>
      <c r="AH1033" s="279"/>
      <c r="AI1033" s="279"/>
      <c r="AJ1033" s="279"/>
      <c r="AK1033" s="279"/>
      <c r="AL1033" s="279"/>
      <c r="AM1033" s="279"/>
      <c r="AN1033" s="279"/>
      <c r="AO1033" s="279"/>
      <c r="AP1033" s="279"/>
      <c r="AQ1033" s="279"/>
      <c r="AR1033" s="279"/>
      <c r="AS1033" s="279"/>
      <c r="AT1033" s="279"/>
      <c r="AU1033" s="279"/>
      <c r="AV1033" s="279"/>
      <c r="AW1033" s="279"/>
      <c r="AX1033" s="279"/>
      <c r="AY1033" s="279"/>
      <c r="AZ1033" s="279"/>
      <c r="BA1033" s="279"/>
      <c r="BB1033" s="279"/>
      <c r="BC1033" s="279"/>
      <c r="BD1033" s="279"/>
      <c r="BE1033" s="279"/>
      <c r="BF1033" s="279"/>
      <c r="BG1033" s="279"/>
      <c r="BH1033" s="279"/>
      <c r="BI1033" s="279"/>
      <c r="BJ1033" s="279"/>
      <c r="BK1033" s="279"/>
      <c r="BL1033" s="279"/>
      <c r="BM1033" s="279"/>
      <c r="BN1033" s="279"/>
      <c r="BO1033" s="279"/>
      <c r="BP1033" s="279"/>
      <c r="BQ1033" s="279"/>
      <c r="BR1033" s="279"/>
      <c r="BS1033" s="279"/>
      <c r="BT1033" s="279"/>
      <c r="BU1033" s="279"/>
      <c r="BV1033" s="279"/>
      <c r="BW1033" s="279"/>
      <c r="BX1033" s="279"/>
      <c r="BY1033" s="279"/>
      <c r="BZ1033" s="279"/>
      <c r="CA1033" s="279"/>
      <c r="CB1033" s="279"/>
      <c r="CC1033" s="279"/>
      <c r="CD1033" s="279"/>
      <c r="CE1033" s="279"/>
      <c r="CF1033" s="279"/>
      <c r="CG1033" s="279"/>
      <c r="CH1033" s="279"/>
      <c r="CI1033" s="279"/>
      <c r="CJ1033" s="279"/>
      <c r="CK1033" s="279"/>
      <c r="CL1033" s="279"/>
      <c r="CM1033" s="279"/>
      <c r="CN1033" s="382"/>
    </row>
    <row r="1034" x14ac:dyDescent="0.3">
      <c r="B1034" s="361"/>
      <c r="C1034" s="279"/>
      <c r="D1034" s="280"/>
      <c r="E1034" s="287"/>
      <c r="F1034" s="287"/>
      <c r="G1034" s="287"/>
      <c r="H1034" s="1292">
        <f t="shared" si="47"/>
        <v>19</v>
      </c>
      <c r="I1034" s="1190" t="str">
        <f>'I. Stream &amp; Compound Data'!P280</f>
        <v/>
      </c>
      <c r="J1034" s="1295" t="str">
        <f>IF(I160="","",IF('I. Stream &amp; Compound Data'!BQ280&lt;&gt;"",'I. Stream &amp; Compound Data'!BQ280,'I. Stream &amp; Compound Data'!BR280))</f>
        <v/>
      </c>
      <c r="K1034" s="1295" t="str">
        <f t="shared" si="48"/>
        <v/>
      </c>
      <c r="L1034" s="1317" t="str">
        <f t="shared" si="49"/>
        <v/>
      </c>
      <c r="M1034" s="296"/>
      <c r="N1034" s="280"/>
      <c r="O1034" s="280"/>
      <c r="P1034" s="279"/>
      <c r="Q1034" s="297"/>
      <c r="R1034" s="298"/>
      <c r="S1034" s="298"/>
      <c r="T1034" s="299"/>
      <c r="U1034" s="279"/>
      <c r="V1034" s="279"/>
      <c r="W1034" s="279"/>
      <c r="X1034" s="279"/>
      <c r="Y1034" s="279"/>
      <c r="Z1034" s="279"/>
      <c r="AA1034" s="279"/>
      <c r="AB1034" s="279"/>
      <c r="AC1034" s="279"/>
      <c r="AD1034" s="279"/>
      <c r="AE1034" s="279"/>
      <c r="AF1034" s="279"/>
      <c r="AG1034" s="279"/>
      <c r="AH1034" s="279"/>
      <c r="AI1034" s="279"/>
      <c r="AJ1034" s="279"/>
      <c r="AK1034" s="279"/>
      <c r="AL1034" s="279"/>
      <c r="AM1034" s="279"/>
      <c r="AN1034" s="279"/>
      <c r="AO1034" s="279"/>
      <c r="AP1034" s="279"/>
      <c r="AQ1034" s="279"/>
      <c r="AR1034" s="279"/>
      <c r="AS1034" s="279"/>
      <c r="AT1034" s="279"/>
      <c r="AU1034" s="279"/>
      <c r="AV1034" s="279"/>
      <c r="AW1034" s="279"/>
      <c r="AX1034" s="279"/>
      <c r="AY1034" s="279"/>
      <c r="AZ1034" s="279"/>
      <c r="BA1034" s="279"/>
      <c r="BB1034" s="279"/>
      <c r="BC1034" s="279"/>
      <c r="BD1034" s="279"/>
      <c r="BE1034" s="279"/>
      <c r="BF1034" s="279"/>
      <c r="BG1034" s="279"/>
      <c r="BH1034" s="279"/>
      <c r="BI1034" s="279"/>
      <c r="BJ1034" s="279"/>
      <c r="BK1034" s="279"/>
      <c r="BL1034" s="279"/>
      <c r="BM1034" s="279"/>
      <c r="BN1034" s="279"/>
      <c r="BO1034" s="279"/>
      <c r="BP1034" s="279"/>
      <c r="BQ1034" s="279"/>
      <c r="BR1034" s="279"/>
      <c r="BS1034" s="279"/>
      <c r="BT1034" s="279"/>
      <c r="BU1034" s="279"/>
      <c r="BV1034" s="279"/>
      <c r="BW1034" s="279"/>
      <c r="BX1034" s="279"/>
      <c r="BY1034" s="279"/>
      <c r="BZ1034" s="279"/>
      <c r="CA1034" s="279"/>
      <c r="CB1034" s="279"/>
      <c r="CC1034" s="279"/>
      <c r="CD1034" s="279"/>
      <c r="CE1034" s="279"/>
      <c r="CF1034" s="279"/>
      <c r="CG1034" s="279"/>
      <c r="CH1034" s="279"/>
      <c r="CI1034" s="279"/>
      <c r="CJ1034" s="279"/>
      <c r="CK1034" s="279"/>
      <c r="CL1034" s="279"/>
      <c r="CM1034" s="279"/>
      <c r="CN1034" s="382"/>
    </row>
    <row r="1035" x14ac:dyDescent="0.3">
      <c r="B1035" s="361"/>
      <c r="C1035" s="279"/>
      <c r="D1035" s="280"/>
      <c r="E1035" s="287"/>
      <c r="F1035" s="287"/>
      <c r="G1035" s="287"/>
      <c r="H1035" s="1292">
        <f t="shared" si="47"/>
        <v>20</v>
      </c>
      <c r="I1035" s="1190" t="str">
        <f>'I. Stream &amp; Compound Data'!P281</f>
        <v/>
      </c>
      <c r="J1035" s="1295" t="str">
        <f>IF(I161="","",IF('I. Stream &amp; Compound Data'!BQ281&lt;&gt;"",'I. Stream &amp; Compound Data'!BQ281,'I. Stream &amp; Compound Data'!BR281))</f>
        <v/>
      </c>
      <c r="K1035" s="1295" t="str">
        <f t="shared" ref="K1035:K1065" si="50">IF(I161="","",I1035*J1035)</f>
        <v/>
      </c>
      <c r="L1035" s="1317" t="str">
        <f t="shared" ref="L1035:L1065" si="51">IF(K1035="","",(IF(J1035=0,1,J1035))*I1035)</f>
        <v/>
      </c>
      <c r="M1035" s="296"/>
      <c r="N1035" s="280"/>
      <c r="O1035" s="280"/>
      <c r="P1035" s="279"/>
      <c r="Q1035" s="297"/>
      <c r="R1035" s="298"/>
      <c r="S1035" s="298"/>
      <c r="T1035" s="299"/>
      <c r="U1035" s="279"/>
      <c r="V1035" s="279"/>
      <c r="W1035" s="279"/>
      <c r="X1035" s="279"/>
      <c r="Y1035" s="279"/>
      <c r="Z1035" s="279"/>
      <c r="AA1035" s="279"/>
      <c r="AB1035" s="279"/>
      <c r="AC1035" s="279"/>
      <c r="AD1035" s="279"/>
      <c r="AE1035" s="279"/>
      <c r="AF1035" s="279"/>
      <c r="AG1035" s="279"/>
      <c r="AH1035" s="279"/>
      <c r="AI1035" s="279"/>
      <c r="AJ1035" s="279"/>
      <c r="AK1035" s="279"/>
      <c r="AL1035" s="279"/>
      <c r="AM1035" s="279"/>
      <c r="AN1035" s="279"/>
      <c r="AO1035" s="279"/>
      <c r="AP1035" s="279"/>
      <c r="AQ1035" s="279"/>
      <c r="AR1035" s="279"/>
      <c r="AS1035" s="279"/>
      <c r="AT1035" s="279"/>
      <c r="AU1035" s="279"/>
      <c r="AV1035" s="279"/>
      <c r="AW1035" s="279"/>
      <c r="AX1035" s="279"/>
      <c r="AY1035" s="279"/>
      <c r="AZ1035" s="279"/>
      <c r="BA1035" s="279"/>
      <c r="BB1035" s="279"/>
      <c r="BC1035" s="279"/>
      <c r="BD1035" s="279"/>
      <c r="BE1035" s="279"/>
      <c r="BF1035" s="279"/>
      <c r="BG1035" s="279"/>
      <c r="BH1035" s="279"/>
      <c r="BI1035" s="279"/>
      <c r="BJ1035" s="279"/>
      <c r="BK1035" s="279"/>
      <c r="BL1035" s="279"/>
      <c r="BM1035" s="279"/>
      <c r="BN1035" s="279"/>
      <c r="BO1035" s="279"/>
      <c r="BP1035" s="279"/>
      <c r="BQ1035" s="279"/>
      <c r="BR1035" s="279"/>
      <c r="BS1035" s="279"/>
      <c r="BT1035" s="279"/>
      <c r="BU1035" s="279"/>
      <c r="BV1035" s="279"/>
      <c r="BW1035" s="279"/>
      <c r="BX1035" s="279"/>
      <c r="BY1035" s="279"/>
      <c r="BZ1035" s="279"/>
      <c r="CA1035" s="279"/>
      <c r="CB1035" s="279"/>
      <c r="CC1035" s="279"/>
      <c r="CD1035" s="279"/>
      <c r="CE1035" s="279"/>
      <c r="CF1035" s="279"/>
      <c r="CG1035" s="279"/>
      <c r="CH1035" s="279"/>
      <c r="CI1035" s="279"/>
      <c r="CJ1035" s="279"/>
      <c r="CK1035" s="279"/>
      <c r="CL1035" s="279"/>
      <c r="CM1035" s="279"/>
      <c r="CN1035" s="382"/>
    </row>
    <row r="1036" x14ac:dyDescent="0.3">
      <c r="B1036" s="361"/>
      <c r="C1036" s="279"/>
      <c r="D1036" s="280"/>
      <c r="E1036" s="287"/>
      <c r="F1036" s="287"/>
      <c r="G1036" s="287"/>
      <c r="H1036" s="1292">
        <f t="shared" si="47"/>
        <v>21</v>
      </c>
      <c r="I1036" s="1190" t="str">
        <f>'I. Stream &amp; Compound Data'!P282</f>
        <v/>
      </c>
      <c r="J1036" s="1295" t="str">
        <f>IF(I162="","",IF('I. Stream &amp; Compound Data'!BQ282&lt;&gt;"",'I. Stream &amp; Compound Data'!BQ282,'I. Stream &amp; Compound Data'!BR282))</f>
        <v/>
      </c>
      <c r="K1036" s="1295" t="str">
        <f t="shared" si="50"/>
        <v/>
      </c>
      <c r="L1036" s="1317" t="str">
        <f t="shared" si="51"/>
        <v/>
      </c>
      <c r="M1036" s="296"/>
      <c r="N1036" s="280"/>
      <c r="O1036" s="280"/>
      <c r="P1036" s="279"/>
      <c r="Q1036" s="297"/>
      <c r="R1036" s="298"/>
      <c r="S1036" s="298"/>
      <c r="T1036" s="299"/>
      <c r="U1036" s="279"/>
      <c r="V1036" s="279"/>
      <c r="W1036" s="279"/>
      <c r="X1036" s="279"/>
      <c r="Y1036" s="279"/>
      <c r="Z1036" s="279"/>
      <c r="AA1036" s="279"/>
      <c r="AB1036" s="279"/>
      <c r="AC1036" s="279"/>
      <c r="AD1036" s="279"/>
      <c r="AE1036" s="279"/>
      <c r="AF1036" s="279"/>
      <c r="AG1036" s="279"/>
      <c r="AH1036" s="279"/>
      <c r="AI1036" s="279"/>
      <c r="AJ1036" s="279"/>
      <c r="AK1036" s="279"/>
      <c r="AL1036" s="279"/>
      <c r="AM1036" s="279"/>
      <c r="AN1036" s="279"/>
      <c r="AO1036" s="279"/>
      <c r="AP1036" s="279"/>
      <c r="AQ1036" s="279"/>
      <c r="AR1036" s="279"/>
      <c r="AS1036" s="279"/>
      <c r="AT1036" s="279"/>
      <c r="AU1036" s="279"/>
      <c r="AV1036" s="279"/>
      <c r="AW1036" s="279"/>
      <c r="AX1036" s="279"/>
      <c r="AY1036" s="279"/>
      <c r="AZ1036" s="279"/>
      <c r="BA1036" s="279"/>
      <c r="BB1036" s="279"/>
      <c r="BC1036" s="279"/>
      <c r="BD1036" s="279"/>
      <c r="BE1036" s="279"/>
      <c r="BF1036" s="279"/>
      <c r="BG1036" s="279"/>
      <c r="BH1036" s="279"/>
      <c r="BI1036" s="279"/>
      <c r="BJ1036" s="279"/>
      <c r="BK1036" s="279"/>
      <c r="BL1036" s="279"/>
      <c r="BM1036" s="279"/>
      <c r="BN1036" s="279"/>
      <c r="BO1036" s="279"/>
      <c r="BP1036" s="279"/>
      <c r="BQ1036" s="279"/>
      <c r="BR1036" s="279"/>
      <c r="BS1036" s="279"/>
      <c r="BT1036" s="279"/>
      <c r="BU1036" s="279"/>
      <c r="BV1036" s="279"/>
      <c r="BW1036" s="279"/>
      <c r="BX1036" s="279"/>
      <c r="BY1036" s="279"/>
      <c r="BZ1036" s="279"/>
      <c r="CA1036" s="279"/>
      <c r="CB1036" s="279"/>
      <c r="CC1036" s="279"/>
      <c r="CD1036" s="279"/>
      <c r="CE1036" s="279"/>
      <c r="CF1036" s="279"/>
      <c r="CG1036" s="279"/>
      <c r="CH1036" s="279"/>
      <c r="CI1036" s="279"/>
      <c r="CJ1036" s="279"/>
      <c r="CK1036" s="279"/>
      <c r="CL1036" s="279"/>
      <c r="CM1036" s="279"/>
      <c r="CN1036" s="382"/>
    </row>
    <row r="1037" x14ac:dyDescent="0.3">
      <c r="B1037" s="361"/>
      <c r="C1037" s="279"/>
      <c r="D1037" s="280"/>
      <c r="E1037" s="287"/>
      <c r="F1037" s="287"/>
      <c r="G1037" s="287"/>
      <c r="H1037" s="1292">
        <f t="shared" si="47"/>
        <v>22</v>
      </c>
      <c r="I1037" s="1190" t="str">
        <f>'I. Stream &amp; Compound Data'!P283</f>
        <v/>
      </c>
      <c r="J1037" s="1295" t="str">
        <f>IF(I163="","",IF('I. Stream &amp; Compound Data'!BQ283&lt;&gt;"",'I. Stream &amp; Compound Data'!BQ283,'I. Stream &amp; Compound Data'!BR283))</f>
        <v/>
      </c>
      <c r="K1037" s="1295" t="str">
        <f t="shared" si="50"/>
        <v/>
      </c>
      <c r="L1037" s="1317" t="str">
        <f t="shared" si="51"/>
        <v/>
      </c>
      <c r="M1037" s="296"/>
      <c r="N1037" s="280"/>
      <c r="O1037" s="280"/>
      <c r="P1037" s="279"/>
      <c r="Q1037" s="297"/>
      <c r="R1037" s="298"/>
      <c r="S1037" s="298"/>
      <c r="T1037" s="299"/>
      <c r="U1037" s="279"/>
      <c r="V1037" s="279"/>
      <c r="W1037" s="279"/>
      <c r="X1037" s="279"/>
      <c r="Y1037" s="279"/>
      <c r="Z1037" s="279"/>
      <c r="AA1037" s="279"/>
      <c r="AB1037" s="279"/>
      <c r="AC1037" s="279"/>
      <c r="AD1037" s="279"/>
      <c r="AE1037" s="279"/>
      <c r="AF1037" s="279"/>
      <c r="AG1037" s="279"/>
      <c r="AH1037" s="279"/>
      <c r="AI1037" s="279"/>
      <c r="AJ1037" s="279"/>
      <c r="AK1037" s="279"/>
      <c r="AL1037" s="279"/>
      <c r="AM1037" s="279"/>
      <c r="AN1037" s="279"/>
      <c r="AO1037" s="279"/>
      <c r="AP1037" s="279"/>
      <c r="AQ1037" s="279"/>
      <c r="AR1037" s="279"/>
      <c r="AS1037" s="279"/>
      <c r="AT1037" s="279"/>
      <c r="AU1037" s="279"/>
      <c r="AV1037" s="279"/>
      <c r="AW1037" s="279"/>
      <c r="AX1037" s="279"/>
      <c r="AY1037" s="279"/>
      <c r="AZ1037" s="279"/>
      <c r="BA1037" s="279"/>
      <c r="BB1037" s="279"/>
      <c r="BC1037" s="279"/>
      <c r="BD1037" s="279"/>
      <c r="BE1037" s="279"/>
      <c r="BF1037" s="279"/>
      <c r="BG1037" s="279"/>
      <c r="BH1037" s="279"/>
      <c r="BI1037" s="279"/>
      <c r="BJ1037" s="279"/>
      <c r="BK1037" s="279"/>
      <c r="BL1037" s="279"/>
      <c r="BM1037" s="279"/>
      <c r="BN1037" s="279"/>
      <c r="BO1037" s="279"/>
      <c r="BP1037" s="279"/>
      <c r="BQ1037" s="279"/>
      <c r="BR1037" s="279"/>
      <c r="BS1037" s="279"/>
      <c r="BT1037" s="279"/>
      <c r="BU1037" s="279"/>
      <c r="BV1037" s="279"/>
      <c r="BW1037" s="279"/>
      <c r="BX1037" s="279"/>
      <c r="BY1037" s="279"/>
      <c r="BZ1037" s="279"/>
      <c r="CA1037" s="279"/>
      <c r="CB1037" s="279"/>
      <c r="CC1037" s="279"/>
      <c r="CD1037" s="279"/>
      <c r="CE1037" s="279"/>
      <c r="CF1037" s="279"/>
      <c r="CG1037" s="279"/>
      <c r="CH1037" s="279"/>
      <c r="CI1037" s="279"/>
      <c r="CJ1037" s="279"/>
      <c r="CK1037" s="279"/>
      <c r="CL1037" s="279"/>
      <c r="CM1037" s="279"/>
      <c r="CN1037" s="382"/>
    </row>
    <row r="1038" x14ac:dyDescent="0.3">
      <c r="B1038" s="361"/>
      <c r="C1038" s="279"/>
      <c r="D1038" s="280"/>
      <c r="E1038" s="287"/>
      <c r="F1038" s="287"/>
      <c r="G1038" s="287"/>
      <c r="H1038" s="1292">
        <f t="shared" si="47"/>
        <v>23</v>
      </c>
      <c r="I1038" s="1190" t="str">
        <f>'I. Stream &amp; Compound Data'!P284</f>
        <v/>
      </c>
      <c r="J1038" s="1295" t="str">
        <f>IF(I164="","",IF('I. Stream &amp; Compound Data'!BQ284&lt;&gt;"",'I. Stream &amp; Compound Data'!BQ284,'I. Stream &amp; Compound Data'!BR284))</f>
        <v/>
      </c>
      <c r="K1038" s="1295" t="str">
        <f t="shared" si="50"/>
        <v/>
      </c>
      <c r="L1038" s="1317" t="str">
        <f t="shared" si="51"/>
        <v/>
      </c>
      <c r="M1038" s="296"/>
      <c r="N1038" s="280"/>
      <c r="O1038" s="280"/>
      <c r="P1038" s="279"/>
      <c r="Q1038" s="297"/>
      <c r="R1038" s="298"/>
      <c r="S1038" s="298"/>
      <c r="T1038" s="299"/>
      <c r="U1038" s="279"/>
      <c r="V1038" s="279"/>
      <c r="W1038" s="279"/>
      <c r="X1038" s="279"/>
      <c r="Y1038" s="279"/>
      <c r="Z1038" s="279"/>
      <c r="AA1038" s="279"/>
      <c r="AB1038" s="279"/>
      <c r="AC1038" s="279"/>
      <c r="AD1038" s="279"/>
      <c r="AE1038" s="279"/>
      <c r="AF1038" s="279"/>
      <c r="AG1038" s="279"/>
      <c r="AH1038" s="279"/>
      <c r="AI1038" s="279"/>
      <c r="AJ1038" s="279"/>
      <c r="AK1038" s="279"/>
      <c r="AL1038" s="279"/>
      <c r="AM1038" s="279"/>
      <c r="AN1038" s="279"/>
      <c r="AO1038" s="279"/>
      <c r="AP1038" s="279"/>
      <c r="AQ1038" s="279"/>
      <c r="AR1038" s="279"/>
      <c r="AS1038" s="279"/>
      <c r="AT1038" s="279"/>
      <c r="AU1038" s="279"/>
      <c r="AV1038" s="279"/>
      <c r="AW1038" s="279"/>
      <c r="AX1038" s="279"/>
      <c r="AY1038" s="279"/>
      <c r="AZ1038" s="279"/>
      <c r="BA1038" s="279"/>
      <c r="BB1038" s="279"/>
      <c r="BC1038" s="279"/>
      <c r="BD1038" s="279"/>
      <c r="BE1038" s="279"/>
      <c r="BF1038" s="279"/>
      <c r="BG1038" s="279"/>
      <c r="BH1038" s="279"/>
      <c r="BI1038" s="279"/>
      <c r="BJ1038" s="279"/>
      <c r="BK1038" s="279"/>
      <c r="BL1038" s="279"/>
      <c r="BM1038" s="279"/>
      <c r="BN1038" s="279"/>
      <c r="BO1038" s="279"/>
      <c r="BP1038" s="279"/>
      <c r="BQ1038" s="279"/>
      <c r="BR1038" s="279"/>
      <c r="BS1038" s="279"/>
      <c r="BT1038" s="279"/>
      <c r="BU1038" s="279"/>
      <c r="BV1038" s="279"/>
      <c r="BW1038" s="279"/>
      <c r="BX1038" s="279"/>
      <c r="BY1038" s="279"/>
      <c r="BZ1038" s="279"/>
      <c r="CA1038" s="279"/>
      <c r="CB1038" s="279"/>
      <c r="CC1038" s="279"/>
      <c r="CD1038" s="279"/>
      <c r="CE1038" s="279"/>
      <c r="CF1038" s="279"/>
      <c r="CG1038" s="279"/>
      <c r="CH1038" s="279"/>
      <c r="CI1038" s="279"/>
      <c r="CJ1038" s="279"/>
      <c r="CK1038" s="279"/>
      <c r="CL1038" s="279"/>
      <c r="CM1038" s="279"/>
      <c r="CN1038" s="382"/>
    </row>
    <row r="1039" x14ac:dyDescent="0.3">
      <c r="B1039" s="361"/>
      <c r="C1039" s="279"/>
      <c r="D1039" s="280"/>
      <c r="E1039" s="287"/>
      <c r="F1039" s="287"/>
      <c r="G1039" s="287"/>
      <c r="H1039" s="1292">
        <f t="shared" si="47"/>
        <v>24</v>
      </c>
      <c r="I1039" s="1190" t="str">
        <f>'I. Stream &amp; Compound Data'!P285</f>
        <v/>
      </c>
      <c r="J1039" s="1295" t="str">
        <f>IF(I165="","",IF('I. Stream &amp; Compound Data'!BQ285&lt;&gt;"",'I. Stream &amp; Compound Data'!BQ285,'I. Stream &amp; Compound Data'!BR285))</f>
        <v/>
      </c>
      <c r="K1039" s="1295" t="str">
        <f t="shared" si="50"/>
        <v/>
      </c>
      <c r="L1039" s="1317" t="str">
        <f t="shared" si="51"/>
        <v/>
      </c>
      <c r="M1039" s="296"/>
      <c r="N1039" s="280"/>
      <c r="O1039" s="280"/>
      <c r="P1039" s="279"/>
      <c r="Q1039" s="297"/>
      <c r="R1039" s="298"/>
      <c r="S1039" s="298"/>
      <c r="T1039" s="299"/>
      <c r="U1039" s="279"/>
      <c r="V1039" s="279"/>
      <c r="W1039" s="279"/>
      <c r="X1039" s="279"/>
      <c r="Y1039" s="279"/>
      <c r="Z1039" s="279"/>
      <c r="AA1039" s="279"/>
      <c r="AB1039" s="279"/>
      <c r="AC1039" s="279"/>
      <c r="AD1039" s="279"/>
      <c r="AE1039" s="279"/>
      <c r="AF1039" s="279"/>
      <c r="AG1039" s="279"/>
      <c r="AH1039" s="279"/>
      <c r="AI1039" s="279"/>
      <c r="AJ1039" s="279"/>
      <c r="AK1039" s="279"/>
      <c r="AL1039" s="279"/>
      <c r="AM1039" s="279"/>
      <c r="AN1039" s="279"/>
      <c r="AO1039" s="279"/>
      <c r="AP1039" s="279"/>
      <c r="AQ1039" s="279"/>
      <c r="AR1039" s="279"/>
      <c r="AS1039" s="279"/>
      <c r="AT1039" s="279"/>
      <c r="AU1039" s="279"/>
      <c r="AV1039" s="279"/>
      <c r="AW1039" s="279"/>
      <c r="AX1039" s="279"/>
      <c r="AY1039" s="279"/>
      <c r="AZ1039" s="279"/>
      <c r="BA1039" s="279"/>
      <c r="BB1039" s="279"/>
      <c r="BC1039" s="279"/>
      <c r="BD1039" s="279"/>
      <c r="BE1039" s="279"/>
      <c r="BF1039" s="279"/>
      <c r="BG1039" s="279"/>
      <c r="BH1039" s="279"/>
      <c r="BI1039" s="279"/>
      <c r="BJ1039" s="279"/>
      <c r="BK1039" s="279"/>
      <c r="BL1039" s="279"/>
      <c r="BM1039" s="279"/>
      <c r="BN1039" s="279"/>
      <c r="BO1039" s="279"/>
      <c r="BP1039" s="279"/>
      <c r="BQ1039" s="279"/>
      <c r="BR1039" s="279"/>
      <c r="BS1039" s="279"/>
      <c r="BT1039" s="279"/>
      <c r="BU1039" s="279"/>
      <c r="BV1039" s="279"/>
      <c r="BW1039" s="279"/>
      <c r="BX1039" s="279"/>
      <c r="BY1039" s="279"/>
      <c r="BZ1039" s="279"/>
      <c r="CA1039" s="279"/>
      <c r="CB1039" s="279"/>
      <c r="CC1039" s="279"/>
      <c r="CD1039" s="279"/>
      <c r="CE1039" s="279"/>
      <c r="CF1039" s="279"/>
      <c r="CG1039" s="279"/>
      <c r="CH1039" s="279"/>
      <c r="CI1039" s="279"/>
      <c r="CJ1039" s="279"/>
      <c r="CK1039" s="279"/>
      <c r="CL1039" s="279"/>
      <c r="CM1039" s="279"/>
      <c r="CN1039" s="382"/>
    </row>
    <row r="1040" x14ac:dyDescent="0.3">
      <c r="B1040" s="361"/>
      <c r="C1040" s="279"/>
      <c r="D1040" s="280"/>
      <c r="E1040" s="287"/>
      <c r="F1040" s="287"/>
      <c r="G1040" s="287"/>
      <c r="H1040" s="1292">
        <f t="shared" si="47"/>
        <v>25</v>
      </c>
      <c r="I1040" s="1190" t="str">
        <f>'I. Stream &amp; Compound Data'!P286</f>
        <v/>
      </c>
      <c r="J1040" s="1295" t="str">
        <f>IF(I166="","",IF('I. Stream &amp; Compound Data'!BQ286&lt;&gt;"",'I. Stream &amp; Compound Data'!BQ286,'I. Stream &amp; Compound Data'!BR286))</f>
        <v/>
      </c>
      <c r="K1040" s="1295" t="str">
        <f t="shared" si="50"/>
        <v/>
      </c>
      <c r="L1040" s="1317" t="str">
        <f t="shared" si="51"/>
        <v/>
      </c>
      <c r="M1040" s="296"/>
      <c r="N1040" s="280"/>
      <c r="O1040" s="280"/>
      <c r="P1040" s="279"/>
      <c r="Q1040" s="297"/>
      <c r="R1040" s="298"/>
      <c r="S1040" s="298"/>
      <c r="T1040" s="299"/>
      <c r="U1040" s="279"/>
      <c r="V1040" s="279"/>
      <c r="W1040" s="279"/>
      <c r="X1040" s="279"/>
      <c r="Y1040" s="279"/>
      <c r="Z1040" s="279"/>
      <c r="AA1040" s="279"/>
      <c r="AB1040" s="279"/>
      <c r="AC1040" s="279"/>
      <c r="AD1040" s="279"/>
      <c r="AE1040" s="279"/>
      <c r="AF1040" s="279"/>
      <c r="AG1040" s="279"/>
      <c r="AH1040" s="279"/>
      <c r="AI1040" s="279"/>
      <c r="AJ1040" s="279"/>
      <c r="AK1040" s="279"/>
      <c r="AL1040" s="279"/>
      <c r="AM1040" s="279"/>
      <c r="AN1040" s="279"/>
      <c r="AO1040" s="279"/>
      <c r="AP1040" s="279"/>
      <c r="AQ1040" s="279"/>
      <c r="AR1040" s="279"/>
      <c r="AS1040" s="279"/>
      <c r="AT1040" s="279"/>
      <c r="AU1040" s="279"/>
      <c r="AV1040" s="279"/>
      <c r="AW1040" s="279"/>
      <c r="AX1040" s="279"/>
      <c r="AY1040" s="279"/>
      <c r="AZ1040" s="279"/>
      <c r="BA1040" s="279"/>
      <c r="BB1040" s="279"/>
      <c r="BC1040" s="279"/>
      <c r="BD1040" s="279"/>
      <c r="BE1040" s="279"/>
      <c r="BF1040" s="279"/>
      <c r="BG1040" s="279"/>
      <c r="BH1040" s="279"/>
      <c r="BI1040" s="279"/>
      <c r="BJ1040" s="279"/>
      <c r="BK1040" s="279"/>
      <c r="BL1040" s="279"/>
      <c r="BM1040" s="279"/>
      <c r="BN1040" s="279"/>
      <c r="BO1040" s="279"/>
      <c r="BP1040" s="279"/>
      <c r="BQ1040" s="279"/>
      <c r="BR1040" s="279"/>
      <c r="BS1040" s="279"/>
      <c r="BT1040" s="279"/>
      <c r="BU1040" s="279"/>
      <c r="BV1040" s="279"/>
      <c r="BW1040" s="279"/>
      <c r="BX1040" s="279"/>
      <c r="BY1040" s="279"/>
      <c r="BZ1040" s="279"/>
      <c r="CA1040" s="279"/>
      <c r="CB1040" s="279"/>
      <c r="CC1040" s="279"/>
      <c r="CD1040" s="279"/>
      <c r="CE1040" s="279"/>
      <c r="CF1040" s="279"/>
      <c r="CG1040" s="279"/>
      <c r="CH1040" s="279"/>
      <c r="CI1040" s="279"/>
      <c r="CJ1040" s="279"/>
      <c r="CK1040" s="279"/>
      <c r="CL1040" s="279"/>
      <c r="CM1040" s="279"/>
      <c r="CN1040" s="382"/>
    </row>
    <row r="1041" x14ac:dyDescent="0.3">
      <c r="B1041" s="361"/>
      <c r="C1041" s="279"/>
      <c r="D1041" s="280"/>
      <c r="E1041" s="287"/>
      <c r="F1041" s="287"/>
      <c r="G1041" s="287"/>
      <c r="H1041" s="1292">
        <f t="shared" si="47"/>
        <v>26</v>
      </c>
      <c r="I1041" s="1190" t="str">
        <f>'I. Stream &amp; Compound Data'!P287</f>
        <v/>
      </c>
      <c r="J1041" s="1295" t="str">
        <f>IF(I167="","",IF('I. Stream &amp; Compound Data'!BQ287&lt;&gt;"",'I. Stream &amp; Compound Data'!BQ287,'I. Stream &amp; Compound Data'!BR287))</f>
        <v/>
      </c>
      <c r="K1041" s="1295" t="str">
        <f t="shared" si="50"/>
        <v/>
      </c>
      <c r="L1041" s="1317" t="str">
        <f t="shared" si="51"/>
        <v/>
      </c>
      <c r="M1041" s="296"/>
      <c r="N1041" s="280"/>
      <c r="O1041" s="280"/>
      <c r="P1041" s="279"/>
      <c r="Q1041" s="297"/>
      <c r="R1041" s="298"/>
      <c r="S1041" s="298"/>
      <c r="T1041" s="299"/>
      <c r="U1041" s="279"/>
      <c r="V1041" s="279"/>
      <c r="W1041" s="279"/>
      <c r="X1041" s="279"/>
      <c r="Y1041" s="279"/>
      <c r="Z1041" s="279"/>
      <c r="AA1041" s="279"/>
      <c r="AB1041" s="279"/>
      <c r="AC1041" s="279"/>
      <c r="AD1041" s="279"/>
      <c r="AE1041" s="279"/>
      <c r="AF1041" s="279"/>
      <c r="AG1041" s="279"/>
      <c r="AH1041" s="279"/>
      <c r="AI1041" s="279"/>
      <c r="AJ1041" s="279"/>
      <c r="AK1041" s="279"/>
      <c r="AL1041" s="279"/>
      <c r="AM1041" s="279"/>
      <c r="AN1041" s="279"/>
      <c r="AO1041" s="279"/>
      <c r="AP1041" s="279"/>
      <c r="AQ1041" s="279"/>
      <c r="AR1041" s="279"/>
      <c r="AS1041" s="279"/>
      <c r="AT1041" s="279"/>
      <c r="AU1041" s="279"/>
      <c r="AV1041" s="279"/>
      <c r="AW1041" s="279"/>
      <c r="AX1041" s="279"/>
      <c r="AY1041" s="279"/>
      <c r="AZ1041" s="279"/>
      <c r="BA1041" s="279"/>
      <c r="BB1041" s="279"/>
      <c r="BC1041" s="279"/>
      <c r="BD1041" s="279"/>
      <c r="BE1041" s="279"/>
      <c r="BF1041" s="279"/>
      <c r="BG1041" s="279"/>
      <c r="BH1041" s="279"/>
      <c r="BI1041" s="279"/>
      <c r="BJ1041" s="279"/>
      <c r="BK1041" s="279"/>
      <c r="BL1041" s="279"/>
      <c r="BM1041" s="279"/>
      <c r="BN1041" s="279"/>
      <c r="BO1041" s="279"/>
      <c r="BP1041" s="279"/>
      <c r="BQ1041" s="279"/>
      <c r="BR1041" s="279"/>
      <c r="BS1041" s="279"/>
      <c r="BT1041" s="279"/>
      <c r="BU1041" s="279"/>
      <c r="BV1041" s="279"/>
      <c r="BW1041" s="279"/>
      <c r="BX1041" s="279"/>
      <c r="BY1041" s="279"/>
      <c r="BZ1041" s="279"/>
      <c r="CA1041" s="279"/>
      <c r="CB1041" s="279"/>
      <c r="CC1041" s="279"/>
      <c r="CD1041" s="279"/>
      <c r="CE1041" s="279"/>
      <c r="CF1041" s="279"/>
      <c r="CG1041" s="279"/>
      <c r="CH1041" s="279"/>
      <c r="CI1041" s="279"/>
      <c r="CJ1041" s="279"/>
      <c r="CK1041" s="279"/>
      <c r="CL1041" s="279"/>
      <c r="CM1041" s="279"/>
      <c r="CN1041" s="382"/>
    </row>
    <row r="1042" x14ac:dyDescent="0.3">
      <c r="B1042" s="361"/>
      <c r="C1042" s="279"/>
      <c r="D1042" s="280"/>
      <c r="E1042" s="287"/>
      <c r="F1042" s="287"/>
      <c r="G1042" s="287"/>
      <c r="H1042" s="1292">
        <f t="shared" si="47"/>
        <v>27</v>
      </c>
      <c r="I1042" s="1190" t="str">
        <f>'I. Stream &amp; Compound Data'!P288</f>
        <v/>
      </c>
      <c r="J1042" s="1295" t="str">
        <f>IF(I168="","",IF('I. Stream &amp; Compound Data'!BQ288&lt;&gt;"",'I. Stream &amp; Compound Data'!BQ288,'I. Stream &amp; Compound Data'!BR288))</f>
        <v/>
      </c>
      <c r="K1042" s="1295" t="str">
        <f t="shared" si="50"/>
        <v/>
      </c>
      <c r="L1042" s="1317" t="str">
        <f t="shared" si="51"/>
        <v/>
      </c>
      <c r="M1042" s="296"/>
      <c r="N1042" s="280"/>
      <c r="O1042" s="280"/>
      <c r="P1042" s="279"/>
      <c r="Q1042" s="297"/>
      <c r="R1042" s="298"/>
      <c r="S1042" s="298"/>
      <c r="T1042" s="299"/>
      <c r="U1042" s="279"/>
      <c r="V1042" s="279"/>
      <c r="W1042" s="279"/>
      <c r="X1042" s="279"/>
      <c r="Y1042" s="279"/>
      <c r="Z1042" s="279"/>
      <c r="AA1042" s="279"/>
      <c r="AB1042" s="279"/>
      <c r="AC1042" s="279"/>
      <c r="AD1042" s="279"/>
      <c r="AE1042" s="279"/>
      <c r="AF1042" s="279"/>
      <c r="AG1042" s="279"/>
      <c r="AH1042" s="279"/>
      <c r="AI1042" s="279"/>
      <c r="AJ1042" s="279"/>
      <c r="AK1042" s="279"/>
      <c r="AL1042" s="279"/>
      <c r="AM1042" s="279"/>
      <c r="AN1042" s="279"/>
      <c r="AO1042" s="279"/>
      <c r="AP1042" s="279"/>
      <c r="AQ1042" s="279"/>
      <c r="AR1042" s="279"/>
      <c r="AS1042" s="279"/>
      <c r="AT1042" s="279"/>
      <c r="AU1042" s="279"/>
      <c r="AV1042" s="279"/>
      <c r="AW1042" s="279"/>
      <c r="AX1042" s="279"/>
      <c r="AY1042" s="279"/>
      <c r="AZ1042" s="279"/>
      <c r="BA1042" s="279"/>
      <c r="BB1042" s="279"/>
      <c r="BC1042" s="279"/>
      <c r="BD1042" s="279"/>
      <c r="BE1042" s="279"/>
      <c r="BF1042" s="279"/>
      <c r="BG1042" s="279"/>
      <c r="BH1042" s="279"/>
      <c r="BI1042" s="279"/>
      <c r="BJ1042" s="279"/>
      <c r="BK1042" s="279"/>
      <c r="BL1042" s="279"/>
      <c r="BM1042" s="279"/>
      <c r="BN1042" s="279"/>
      <c r="BO1042" s="279"/>
      <c r="BP1042" s="279"/>
      <c r="BQ1042" s="279"/>
      <c r="BR1042" s="279"/>
      <c r="BS1042" s="279"/>
      <c r="BT1042" s="279"/>
      <c r="BU1042" s="279"/>
      <c r="BV1042" s="279"/>
      <c r="BW1042" s="279"/>
      <c r="BX1042" s="279"/>
      <c r="BY1042" s="279"/>
      <c r="BZ1042" s="279"/>
      <c r="CA1042" s="279"/>
      <c r="CB1042" s="279"/>
      <c r="CC1042" s="279"/>
      <c r="CD1042" s="279"/>
      <c r="CE1042" s="279"/>
      <c r="CF1042" s="279"/>
      <c r="CG1042" s="279"/>
      <c r="CH1042" s="279"/>
      <c r="CI1042" s="279"/>
      <c r="CJ1042" s="279"/>
      <c r="CK1042" s="279"/>
      <c r="CL1042" s="279"/>
      <c r="CM1042" s="279"/>
      <c r="CN1042" s="382"/>
    </row>
    <row r="1043" x14ac:dyDescent="0.3">
      <c r="B1043" s="361"/>
      <c r="C1043" s="279"/>
      <c r="D1043" s="280"/>
      <c r="E1043" s="287"/>
      <c r="F1043" s="287"/>
      <c r="G1043" s="287"/>
      <c r="H1043" s="1292">
        <f t="shared" si="47"/>
        <v>28</v>
      </c>
      <c r="I1043" s="1190" t="str">
        <f>'I. Stream &amp; Compound Data'!P289</f>
        <v/>
      </c>
      <c r="J1043" s="1295" t="str">
        <f>IF(I169="","",IF('I. Stream &amp; Compound Data'!BQ289&lt;&gt;"",'I. Stream &amp; Compound Data'!BQ289,'I. Stream &amp; Compound Data'!BR289))</f>
        <v/>
      </c>
      <c r="K1043" s="1295" t="str">
        <f t="shared" si="50"/>
        <v/>
      </c>
      <c r="L1043" s="1317" t="str">
        <f t="shared" si="51"/>
        <v/>
      </c>
      <c r="M1043" s="296"/>
      <c r="N1043" s="280"/>
      <c r="O1043" s="280"/>
      <c r="P1043" s="279"/>
      <c r="Q1043" s="297"/>
      <c r="R1043" s="298"/>
      <c r="S1043" s="298"/>
      <c r="T1043" s="299"/>
      <c r="U1043" s="279"/>
      <c r="V1043" s="279"/>
      <c r="W1043" s="279"/>
      <c r="X1043" s="279"/>
      <c r="Y1043" s="279"/>
      <c r="Z1043" s="279"/>
      <c r="AA1043" s="279"/>
      <c r="AB1043" s="279"/>
      <c r="AC1043" s="279"/>
      <c r="AD1043" s="279"/>
      <c r="AE1043" s="279"/>
      <c r="AF1043" s="279"/>
      <c r="AG1043" s="279"/>
      <c r="AH1043" s="279"/>
      <c r="AI1043" s="279"/>
      <c r="AJ1043" s="279"/>
      <c r="AK1043" s="279"/>
      <c r="AL1043" s="279"/>
      <c r="AM1043" s="279"/>
      <c r="AN1043" s="279"/>
      <c r="AO1043" s="279"/>
      <c r="AP1043" s="279"/>
      <c r="AQ1043" s="279"/>
      <c r="AR1043" s="279"/>
      <c r="AS1043" s="279"/>
      <c r="AT1043" s="279"/>
      <c r="AU1043" s="279"/>
      <c r="AV1043" s="279"/>
      <c r="AW1043" s="279"/>
      <c r="AX1043" s="279"/>
      <c r="AY1043" s="279"/>
      <c r="AZ1043" s="279"/>
      <c r="BA1043" s="279"/>
      <c r="BB1043" s="279"/>
      <c r="BC1043" s="279"/>
      <c r="BD1043" s="279"/>
      <c r="BE1043" s="279"/>
      <c r="BF1043" s="279"/>
      <c r="BG1043" s="279"/>
      <c r="BH1043" s="279"/>
      <c r="BI1043" s="279"/>
      <c r="BJ1043" s="279"/>
      <c r="BK1043" s="279"/>
      <c r="BL1043" s="279"/>
      <c r="BM1043" s="279"/>
      <c r="BN1043" s="279"/>
      <c r="BO1043" s="279"/>
      <c r="BP1043" s="279"/>
      <c r="BQ1043" s="279"/>
      <c r="BR1043" s="279"/>
      <c r="BS1043" s="279"/>
      <c r="BT1043" s="279"/>
      <c r="BU1043" s="279"/>
      <c r="BV1043" s="279"/>
      <c r="BW1043" s="279"/>
      <c r="BX1043" s="279"/>
      <c r="BY1043" s="279"/>
      <c r="BZ1043" s="279"/>
      <c r="CA1043" s="279"/>
      <c r="CB1043" s="279"/>
      <c r="CC1043" s="279"/>
      <c r="CD1043" s="279"/>
      <c r="CE1043" s="279"/>
      <c r="CF1043" s="279"/>
      <c r="CG1043" s="279"/>
      <c r="CH1043" s="279"/>
      <c r="CI1043" s="279"/>
      <c r="CJ1043" s="279"/>
      <c r="CK1043" s="279"/>
      <c r="CL1043" s="279"/>
      <c r="CM1043" s="279"/>
      <c r="CN1043" s="382"/>
    </row>
    <row r="1044" x14ac:dyDescent="0.3">
      <c r="B1044" s="361"/>
      <c r="C1044" s="279"/>
      <c r="D1044" s="280"/>
      <c r="E1044" s="287"/>
      <c r="F1044" s="287"/>
      <c r="G1044" s="287"/>
      <c r="H1044" s="1292">
        <f t="shared" si="47"/>
        <v>29</v>
      </c>
      <c r="I1044" s="1190" t="str">
        <f>'I. Stream &amp; Compound Data'!P290</f>
        <v/>
      </c>
      <c r="J1044" s="1295" t="str">
        <f>IF(I170="","",IF('I. Stream &amp; Compound Data'!BQ290&lt;&gt;"",'I. Stream &amp; Compound Data'!BQ290,'I. Stream &amp; Compound Data'!BR290))</f>
        <v/>
      </c>
      <c r="K1044" s="1295" t="str">
        <f t="shared" si="50"/>
        <v/>
      </c>
      <c r="L1044" s="1317" t="str">
        <f t="shared" si="51"/>
        <v/>
      </c>
      <c r="M1044" s="296"/>
      <c r="N1044" s="280"/>
      <c r="O1044" s="280"/>
      <c r="P1044" s="279"/>
      <c r="Q1044" s="297"/>
      <c r="R1044" s="298"/>
      <c r="S1044" s="298"/>
      <c r="T1044" s="299"/>
      <c r="U1044" s="279"/>
      <c r="V1044" s="279"/>
      <c r="W1044" s="279"/>
      <c r="X1044" s="279"/>
      <c r="Y1044" s="279"/>
      <c r="Z1044" s="279"/>
      <c r="AA1044" s="279"/>
      <c r="AB1044" s="279"/>
      <c r="AC1044" s="279"/>
      <c r="AD1044" s="279"/>
      <c r="AE1044" s="279"/>
      <c r="AF1044" s="279"/>
      <c r="AG1044" s="279"/>
      <c r="AH1044" s="279"/>
      <c r="AI1044" s="279"/>
      <c r="AJ1044" s="279"/>
      <c r="AK1044" s="279"/>
      <c r="AL1044" s="279"/>
      <c r="AM1044" s="279"/>
      <c r="AN1044" s="279"/>
      <c r="AO1044" s="279"/>
      <c r="AP1044" s="279"/>
      <c r="AQ1044" s="279"/>
      <c r="AR1044" s="279"/>
      <c r="AS1044" s="279"/>
      <c r="AT1044" s="279"/>
      <c r="AU1044" s="279"/>
      <c r="AV1044" s="279"/>
      <c r="AW1044" s="279"/>
      <c r="AX1044" s="279"/>
      <c r="AY1044" s="279"/>
      <c r="AZ1044" s="279"/>
      <c r="BA1044" s="279"/>
      <c r="BB1044" s="279"/>
      <c r="BC1044" s="279"/>
      <c r="BD1044" s="279"/>
      <c r="BE1044" s="279"/>
      <c r="BF1044" s="279"/>
      <c r="BG1044" s="279"/>
      <c r="BH1044" s="279"/>
      <c r="BI1044" s="279"/>
      <c r="BJ1044" s="279"/>
      <c r="BK1044" s="279"/>
      <c r="BL1044" s="279"/>
      <c r="BM1044" s="279"/>
      <c r="BN1044" s="279"/>
      <c r="BO1044" s="279"/>
      <c r="BP1044" s="279"/>
      <c r="BQ1044" s="279"/>
      <c r="BR1044" s="279"/>
      <c r="BS1044" s="279"/>
      <c r="BT1044" s="279"/>
      <c r="BU1044" s="279"/>
      <c r="BV1044" s="279"/>
      <c r="BW1044" s="279"/>
      <c r="BX1044" s="279"/>
      <c r="BY1044" s="279"/>
      <c r="BZ1044" s="279"/>
      <c r="CA1044" s="279"/>
      <c r="CB1044" s="279"/>
      <c r="CC1044" s="279"/>
      <c r="CD1044" s="279"/>
      <c r="CE1044" s="279"/>
      <c r="CF1044" s="279"/>
      <c r="CG1044" s="279"/>
      <c r="CH1044" s="279"/>
      <c r="CI1044" s="279"/>
      <c r="CJ1044" s="279"/>
      <c r="CK1044" s="279"/>
      <c r="CL1044" s="279"/>
      <c r="CM1044" s="279"/>
      <c r="CN1044" s="382"/>
    </row>
    <row r="1045" x14ac:dyDescent="0.3">
      <c r="B1045" s="361"/>
      <c r="C1045" s="279"/>
      <c r="D1045" s="280"/>
      <c r="E1045" s="287"/>
      <c r="F1045" s="287"/>
      <c r="G1045" s="287"/>
      <c r="H1045" s="1292">
        <f t="shared" si="47"/>
        <v>30</v>
      </c>
      <c r="I1045" s="1190" t="str">
        <f>'I. Stream &amp; Compound Data'!P291</f>
        <v/>
      </c>
      <c r="J1045" s="1295" t="str">
        <f>IF(I171="","",IF('I. Stream &amp; Compound Data'!BQ291&lt;&gt;"",'I. Stream &amp; Compound Data'!BQ291,'I. Stream &amp; Compound Data'!BR291))</f>
        <v/>
      </c>
      <c r="K1045" s="1295" t="str">
        <f t="shared" si="50"/>
        <v/>
      </c>
      <c r="L1045" s="1317" t="str">
        <f t="shared" si="51"/>
        <v/>
      </c>
      <c r="M1045" s="296"/>
      <c r="N1045" s="280"/>
      <c r="O1045" s="280"/>
      <c r="P1045" s="279"/>
      <c r="Q1045" s="297"/>
      <c r="R1045" s="298"/>
      <c r="S1045" s="298"/>
      <c r="T1045" s="299"/>
      <c r="U1045" s="279"/>
      <c r="V1045" s="279"/>
      <c r="W1045" s="279"/>
      <c r="X1045" s="279"/>
      <c r="Y1045" s="279"/>
      <c r="Z1045" s="279"/>
      <c r="AA1045" s="279"/>
      <c r="AB1045" s="279"/>
      <c r="AC1045" s="279"/>
      <c r="AD1045" s="279"/>
      <c r="AE1045" s="279"/>
      <c r="AF1045" s="279"/>
      <c r="AG1045" s="279"/>
      <c r="AH1045" s="279"/>
      <c r="AI1045" s="279"/>
      <c r="AJ1045" s="279"/>
      <c r="AK1045" s="279"/>
      <c r="AL1045" s="279"/>
      <c r="AM1045" s="279"/>
      <c r="AN1045" s="279"/>
      <c r="AO1045" s="279"/>
      <c r="AP1045" s="279"/>
      <c r="AQ1045" s="279"/>
      <c r="AR1045" s="279"/>
      <c r="AS1045" s="279"/>
      <c r="AT1045" s="279"/>
      <c r="AU1045" s="279"/>
      <c r="AV1045" s="279"/>
      <c r="AW1045" s="279"/>
      <c r="AX1045" s="279"/>
      <c r="AY1045" s="279"/>
      <c r="AZ1045" s="279"/>
      <c r="BA1045" s="279"/>
      <c r="BB1045" s="279"/>
      <c r="BC1045" s="279"/>
      <c r="BD1045" s="279"/>
      <c r="BE1045" s="279"/>
      <c r="BF1045" s="279"/>
      <c r="BG1045" s="279"/>
      <c r="BH1045" s="279"/>
      <c r="BI1045" s="279"/>
      <c r="BJ1045" s="279"/>
      <c r="BK1045" s="279"/>
      <c r="BL1045" s="279"/>
      <c r="BM1045" s="279"/>
      <c r="BN1045" s="279"/>
      <c r="BO1045" s="279"/>
      <c r="BP1045" s="279"/>
      <c r="BQ1045" s="279"/>
      <c r="BR1045" s="279"/>
      <c r="BS1045" s="279"/>
      <c r="BT1045" s="279"/>
      <c r="BU1045" s="279"/>
      <c r="BV1045" s="279"/>
      <c r="BW1045" s="279"/>
      <c r="BX1045" s="279"/>
      <c r="BY1045" s="279"/>
      <c r="BZ1045" s="279"/>
      <c r="CA1045" s="279"/>
      <c r="CB1045" s="279"/>
      <c r="CC1045" s="279"/>
      <c r="CD1045" s="279"/>
      <c r="CE1045" s="279"/>
      <c r="CF1045" s="279"/>
      <c r="CG1045" s="279"/>
      <c r="CH1045" s="279"/>
      <c r="CI1045" s="279"/>
      <c r="CJ1045" s="279"/>
      <c r="CK1045" s="279"/>
      <c r="CL1045" s="279"/>
      <c r="CM1045" s="279"/>
      <c r="CN1045" s="382"/>
    </row>
    <row r="1046" x14ac:dyDescent="0.3">
      <c r="B1046" s="361"/>
      <c r="C1046" s="279"/>
      <c r="D1046" s="280"/>
      <c r="E1046" s="287"/>
      <c r="F1046" s="287"/>
      <c r="G1046" s="287"/>
      <c r="H1046" s="1292">
        <f t="shared" si="47"/>
        <v>31</v>
      </c>
      <c r="I1046" s="1190" t="str">
        <f>'I. Stream &amp; Compound Data'!P292</f>
        <v/>
      </c>
      <c r="J1046" s="1295" t="str">
        <f>IF(I172="","",IF('I. Stream &amp; Compound Data'!BQ292&lt;&gt;"",'I. Stream &amp; Compound Data'!BQ292,'I. Stream &amp; Compound Data'!BR292))</f>
        <v/>
      </c>
      <c r="K1046" s="1295" t="str">
        <f t="shared" si="50"/>
        <v/>
      </c>
      <c r="L1046" s="1317" t="str">
        <f t="shared" si="51"/>
        <v/>
      </c>
      <c r="M1046" s="296"/>
      <c r="N1046" s="280"/>
      <c r="O1046" s="280"/>
      <c r="P1046" s="279"/>
      <c r="Q1046" s="297"/>
      <c r="R1046" s="298"/>
      <c r="S1046" s="298"/>
      <c r="T1046" s="299"/>
      <c r="U1046" s="279"/>
      <c r="V1046" s="279"/>
      <c r="W1046" s="279"/>
      <c r="X1046" s="279"/>
      <c r="Y1046" s="279"/>
      <c r="Z1046" s="279"/>
      <c r="AA1046" s="279"/>
      <c r="AB1046" s="279"/>
      <c r="AC1046" s="279"/>
      <c r="AD1046" s="279"/>
      <c r="AE1046" s="279"/>
      <c r="AF1046" s="279"/>
      <c r="AG1046" s="279"/>
      <c r="AH1046" s="279"/>
      <c r="AI1046" s="279"/>
      <c r="AJ1046" s="279"/>
      <c r="AK1046" s="279"/>
      <c r="AL1046" s="279"/>
      <c r="AM1046" s="279"/>
      <c r="AN1046" s="279"/>
      <c r="AO1046" s="279"/>
      <c r="AP1046" s="279"/>
      <c r="AQ1046" s="279"/>
      <c r="AR1046" s="279"/>
      <c r="AS1046" s="279"/>
      <c r="AT1046" s="279"/>
      <c r="AU1046" s="279"/>
      <c r="AV1046" s="279"/>
      <c r="AW1046" s="279"/>
      <c r="AX1046" s="279"/>
      <c r="AY1046" s="279"/>
      <c r="AZ1046" s="279"/>
      <c r="BA1046" s="279"/>
      <c r="BB1046" s="279"/>
      <c r="BC1046" s="279"/>
      <c r="BD1046" s="279"/>
      <c r="BE1046" s="279"/>
      <c r="BF1046" s="279"/>
      <c r="BG1046" s="279"/>
      <c r="BH1046" s="279"/>
      <c r="BI1046" s="279"/>
      <c r="BJ1046" s="279"/>
      <c r="BK1046" s="279"/>
      <c r="BL1046" s="279"/>
      <c r="BM1046" s="279"/>
      <c r="BN1046" s="279"/>
      <c r="BO1046" s="279"/>
      <c r="BP1046" s="279"/>
      <c r="BQ1046" s="279"/>
      <c r="BR1046" s="279"/>
      <c r="BS1046" s="279"/>
      <c r="BT1046" s="279"/>
      <c r="BU1046" s="279"/>
      <c r="BV1046" s="279"/>
      <c r="BW1046" s="279"/>
      <c r="BX1046" s="279"/>
      <c r="BY1046" s="279"/>
      <c r="BZ1046" s="279"/>
      <c r="CA1046" s="279"/>
      <c r="CB1046" s="279"/>
      <c r="CC1046" s="279"/>
      <c r="CD1046" s="279"/>
      <c r="CE1046" s="279"/>
      <c r="CF1046" s="279"/>
      <c r="CG1046" s="279"/>
      <c r="CH1046" s="279"/>
      <c r="CI1046" s="279"/>
      <c r="CJ1046" s="279"/>
      <c r="CK1046" s="279"/>
      <c r="CL1046" s="279"/>
      <c r="CM1046" s="279"/>
      <c r="CN1046" s="382"/>
    </row>
    <row r="1047" x14ac:dyDescent="0.3">
      <c r="B1047" s="361"/>
      <c r="C1047" s="279"/>
      <c r="D1047" s="280"/>
      <c r="E1047" s="287"/>
      <c r="F1047" s="287"/>
      <c r="G1047" s="287"/>
      <c r="H1047" s="1292">
        <f t="shared" si="47"/>
        <v>32</v>
      </c>
      <c r="I1047" s="1190" t="str">
        <f>'I. Stream &amp; Compound Data'!P293</f>
        <v/>
      </c>
      <c r="J1047" s="1295" t="str">
        <f>IF(I173="","",IF('I. Stream &amp; Compound Data'!BQ293&lt;&gt;"",'I. Stream &amp; Compound Data'!BQ293,'I. Stream &amp; Compound Data'!BR293))</f>
        <v/>
      </c>
      <c r="K1047" s="1295" t="str">
        <f t="shared" si="50"/>
        <v/>
      </c>
      <c r="L1047" s="1317" t="str">
        <f t="shared" si="51"/>
        <v/>
      </c>
      <c r="M1047" s="296"/>
      <c r="N1047" s="280"/>
      <c r="O1047" s="280"/>
      <c r="P1047" s="279"/>
      <c r="Q1047" s="297"/>
      <c r="R1047" s="298"/>
      <c r="S1047" s="298"/>
      <c r="T1047" s="299"/>
      <c r="U1047" s="279"/>
      <c r="V1047" s="279"/>
      <c r="W1047" s="279"/>
      <c r="X1047" s="279"/>
      <c r="Y1047" s="279"/>
      <c r="Z1047" s="279"/>
      <c r="AA1047" s="279"/>
      <c r="AB1047" s="279"/>
      <c r="AC1047" s="279"/>
      <c r="AD1047" s="279"/>
      <c r="AE1047" s="279"/>
      <c r="AF1047" s="279"/>
      <c r="AG1047" s="279"/>
      <c r="AH1047" s="279"/>
      <c r="AI1047" s="279"/>
      <c r="AJ1047" s="279"/>
      <c r="AK1047" s="279"/>
      <c r="AL1047" s="279"/>
      <c r="AM1047" s="279"/>
      <c r="AN1047" s="279"/>
      <c r="AO1047" s="279"/>
      <c r="AP1047" s="279"/>
      <c r="AQ1047" s="279"/>
      <c r="AR1047" s="279"/>
      <c r="AS1047" s="279"/>
      <c r="AT1047" s="279"/>
      <c r="AU1047" s="279"/>
      <c r="AV1047" s="279"/>
      <c r="AW1047" s="279"/>
      <c r="AX1047" s="279"/>
      <c r="AY1047" s="279"/>
      <c r="AZ1047" s="279"/>
      <c r="BA1047" s="279"/>
      <c r="BB1047" s="279"/>
      <c r="BC1047" s="279"/>
      <c r="BD1047" s="279"/>
      <c r="BE1047" s="279"/>
      <c r="BF1047" s="279"/>
      <c r="BG1047" s="279"/>
      <c r="BH1047" s="279"/>
      <c r="BI1047" s="279"/>
      <c r="BJ1047" s="279"/>
      <c r="BK1047" s="279"/>
      <c r="BL1047" s="279"/>
      <c r="BM1047" s="279"/>
      <c r="BN1047" s="279"/>
      <c r="BO1047" s="279"/>
      <c r="BP1047" s="279"/>
      <c r="BQ1047" s="279"/>
      <c r="BR1047" s="279"/>
      <c r="BS1047" s="279"/>
      <c r="BT1047" s="279"/>
      <c r="BU1047" s="279"/>
      <c r="BV1047" s="279"/>
      <c r="BW1047" s="279"/>
      <c r="BX1047" s="279"/>
      <c r="BY1047" s="279"/>
      <c r="BZ1047" s="279"/>
      <c r="CA1047" s="279"/>
      <c r="CB1047" s="279"/>
      <c r="CC1047" s="279"/>
      <c r="CD1047" s="279"/>
      <c r="CE1047" s="279"/>
      <c r="CF1047" s="279"/>
      <c r="CG1047" s="279"/>
      <c r="CH1047" s="279"/>
      <c r="CI1047" s="279"/>
      <c r="CJ1047" s="279"/>
      <c r="CK1047" s="279"/>
      <c r="CL1047" s="279"/>
      <c r="CM1047" s="279"/>
      <c r="CN1047" s="382"/>
    </row>
    <row r="1048" x14ac:dyDescent="0.3">
      <c r="B1048" s="361"/>
      <c r="C1048" s="279"/>
      <c r="D1048" s="280"/>
      <c r="E1048" s="287"/>
      <c r="F1048" s="287"/>
      <c r="G1048" s="287"/>
      <c r="H1048" s="1292">
        <f t="shared" si="47"/>
        <v>33</v>
      </c>
      <c r="I1048" s="1190" t="str">
        <f>'I. Stream &amp; Compound Data'!P294</f>
        <v/>
      </c>
      <c r="J1048" s="1295" t="str">
        <f>IF(I174="","",IF('I. Stream &amp; Compound Data'!BQ294&lt;&gt;"",'I. Stream &amp; Compound Data'!BQ294,'I. Stream &amp; Compound Data'!BR294))</f>
        <v/>
      </c>
      <c r="K1048" s="1295" t="str">
        <f t="shared" si="50"/>
        <v/>
      </c>
      <c r="L1048" s="1317" t="str">
        <f t="shared" si="51"/>
        <v/>
      </c>
      <c r="M1048" s="296"/>
      <c r="N1048" s="280"/>
      <c r="O1048" s="280"/>
      <c r="P1048" s="279"/>
      <c r="Q1048" s="297"/>
      <c r="R1048" s="298"/>
      <c r="S1048" s="298"/>
      <c r="T1048" s="299"/>
      <c r="U1048" s="279"/>
      <c r="V1048" s="279"/>
      <c r="W1048" s="279"/>
      <c r="X1048" s="279"/>
      <c r="Y1048" s="279"/>
      <c r="Z1048" s="279"/>
      <c r="AA1048" s="279"/>
      <c r="AB1048" s="279"/>
      <c r="AC1048" s="279"/>
      <c r="AD1048" s="279"/>
      <c r="AE1048" s="279"/>
      <c r="AF1048" s="279"/>
      <c r="AG1048" s="279"/>
      <c r="AH1048" s="279"/>
      <c r="AI1048" s="279"/>
      <c r="AJ1048" s="279"/>
      <c r="AK1048" s="279"/>
      <c r="AL1048" s="279"/>
      <c r="AM1048" s="279"/>
      <c r="AN1048" s="279"/>
      <c r="AO1048" s="279"/>
      <c r="AP1048" s="279"/>
      <c r="AQ1048" s="279"/>
      <c r="AR1048" s="279"/>
      <c r="AS1048" s="279"/>
      <c r="AT1048" s="279"/>
      <c r="AU1048" s="279"/>
      <c r="AV1048" s="279"/>
      <c r="AW1048" s="279"/>
      <c r="AX1048" s="279"/>
      <c r="AY1048" s="279"/>
      <c r="AZ1048" s="279"/>
      <c r="BA1048" s="279"/>
      <c r="BB1048" s="279"/>
      <c r="BC1048" s="279"/>
      <c r="BD1048" s="279"/>
      <c r="BE1048" s="279"/>
      <c r="BF1048" s="279"/>
      <c r="BG1048" s="279"/>
      <c r="BH1048" s="279"/>
      <c r="BI1048" s="279"/>
      <c r="BJ1048" s="279"/>
      <c r="BK1048" s="279"/>
      <c r="BL1048" s="279"/>
      <c r="BM1048" s="279"/>
      <c r="BN1048" s="279"/>
      <c r="BO1048" s="279"/>
      <c r="BP1048" s="279"/>
      <c r="BQ1048" s="279"/>
      <c r="BR1048" s="279"/>
      <c r="BS1048" s="279"/>
      <c r="BT1048" s="279"/>
      <c r="BU1048" s="279"/>
      <c r="BV1048" s="279"/>
      <c r="BW1048" s="279"/>
      <c r="BX1048" s="279"/>
      <c r="BY1048" s="279"/>
      <c r="BZ1048" s="279"/>
      <c r="CA1048" s="279"/>
      <c r="CB1048" s="279"/>
      <c r="CC1048" s="279"/>
      <c r="CD1048" s="279"/>
      <c r="CE1048" s="279"/>
      <c r="CF1048" s="279"/>
      <c r="CG1048" s="279"/>
      <c r="CH1048" s="279"/>
      <c r="CI1048" s="279"/>
      <c r="CJ1048" s="279"/>
      <c r="CK1048" s="279"/>
      <c r="CL1048" s="279"/>
      <c r="CM1048" s="279"/>
      <c r="CN1048" s="382"/>
    </row>
    <row r="1049" x14ac:dyDescent="0.3">
      <c r="B1049" s="361"/>
      <c r="C1049" s="279"/>
      <c r="D1049" s="280"/>
      <c r="E1049" s="287"/>
      <c r="F1049" s="287"/>
      <c r="G1049" s="287"/>
      <c r="H1049" s="1292">
        <f t="shared" si="47"/>
        <v>34</v>
      </c>
      <c r="I1049" s="1190" t="str">
        <f>'I. Stream &amp; Compound Data'!P295</f>
        <v/>
      </c>
      <c r="J1049" s="1295" t="str">
        <f>IF(I175="","",IF('I. Stream &amp; Compound Data'!BQ295&lt;&gt;"",'I. Stream &amp; Compound Data'!BQ295,'I. Stream &amp; Compound Data'!BR295))</f>
        <v/>
      </c>
      <c r="K1049" s="1295" t="str">
        <f t="shared" si="50"/>
        <v/>
      </c>
      <c r="L1049" s="1317" t="str">
        <f t="shared" si="51"/>
        <v/>
      </c>
      <c r="M1049" s="296"/>
      <c r="N1049" s="280"/>
      <c r="O1049" s="280"/>
      <c r="P1049" s="279"/>
      <c r="Q1049" s="297"/>
      <c r="R1049" s="298"/>
      <c r="S1049" s="298"/>
      <c r="T1049" s="299"/>
      <c r="U1049" s="279"/>
      <c r="V1049" s="279"/>
      <c r="W1049" s="279"/>
      <c r="X1049" s="279"/>
      <c r="Y1049" s="279"/>
      <c r="Z1049" s="279"/>
      <c r="AA1049" s="279"/>
      <c r="AB1049" s="279"/>
      <c r="AC1049" s="279"/>
      <c r="AD1049" s="279"/>
      <c r="AE1049" s="279"/>
      <c r="AF1049" s="279"/>
      <c r="AG1049" s="279"/>
      <c r="AH1049" s="279"/>
      <c r="AI1049" s="279"/>
      <c r="AJ1049" s="279"/>
      <c r="AK1049" s="279"/>
      <c r="AL1049" s="279"/>
      <c r="AM1049" s="279"/>
      <c r="AN1049" s="279"/>
      <c r="AO1049" s="279"/>
      <c r="AP1049" s="279"/>
      <c r="AQ1049" s="279"/>
      <c r="AR1049" s="279"/>
      <c r="AS1049" s="279"/>
      <c r="AT1049" s="279"/>
      <c r="AU1049" s="279"/>
      <c r="AV1049" s="279"/>
      <c r="AW1049" s="279"/>
      <c r="AX1049" s="279"/>
      <c r="AY1049" s="279"/>
      <c r="AZ1049" s="279"/>
      <c r="BA1049" s="279"/>
      <c r="BB1049" s="279"/>
      <c r="BC1049" s="279"/>
      <c r="BD1049" s="279"/>
      <c r="BE1049" s="279"/>
      <c r="BF1049" s="279"/>
      <c r="BG1049" s="279"/>
      <c r="BH1049" s="279"/>
      <c r="BI1049" s="279"/>
      <c r="BJ1049" s="279"/>
      <c r="BK1049" s="279"/>
      <c r="BL1049" s="279"/>
      <c r="BM1049" s="279"/>
      <c r="BN1049" s="279"/>
      <c r="BO1049" s="279"/>
      <c r="BP1049" s="279"/>
      <c r="BQ1049" s="279"/>
      <c r="BR1049" s="279"/>
      <c r="BS1049" s="279"/>
      <c r="BT1049" s="279"/>
      <c r="BU1049" s="279"/>
      <c r="BV1049" s="279"/>
      <c r="BW1049" s="279"/>
      <c r="BX1049" s="279"/>
      <c r="BY1049" s="279"/>
      <c r="BZ1049" s="279"/>
      <c r="CA1049" s="279"/>
      <c r="CB1049" s="279"/>
      <c r="CC1049" s="279"/>
      <c r="CD1049" s="279"/>
      <c r="CE1049" s="279"/>
      <c r="CF1049" s="279"/>
      <c r="CG1049" s="279"/>
      <c r="CH1049" s="279"/>
      <c r="CI1049" s="279"/>
      <c r="CJ1049" s="279"/>
      <c r="CK1049" s="279"/>
      <c r="CL1049" s="279"/>
      <c r="CM1049" s="279"/>
      <c r="CN1049" s="382"/>
    </row>
    <row r="1050" x14ac:dyDescent="0.3">
      <c r="B1050" s="361"/>
      <c r="C1050" s="279"/>
      <c r="D1050" s="280"/>
      <c r="E1050" s="287"/>
      <c r="F1050" s="287"/>
      <c r="G1050" s="287"/>
      <c r="H1050" s="1292">
        <f t="shared" si="47"/>
        <v>35</v>
      </c>
      <c r="I1050" s="1190" t="str">
        <f>'I. Stream &amp; Compound Data'!P296</f>
        <v/>
      </c>
      <c r="J1050" s="1295" t="str">
        <f>IF(I176="","",IF('I. Stream &amp; Compound Data'!BQ296&lt;&gt;"",'I. Stream &amp; Compound Data'!BQ296,'I. Stream &amp; Compound Data'!BR296))</f>
        <v/>
      </c>
      <c r="K1050" s="1295" t="str">
        <f t="shared" si="50"/>
        <v/>
      </c>
      <c r="L1050" s="1317" t="str">
        <f t="shared" si="51"/>
        <v/>
      </c>
      <c r="M1050" s="296"/>
      <c r="N1050" s="280"/>
      <c r="O1050" s="280"/>
      <c r="P1050" s="279"/>
      <c r="Q1050" s="297"/>
      <c r="R1050" s="298"/>
      <c r="S1050" s="298"/>
      <c r="T1050" s="299"/>
      <c r="U1050" s="279"/>
      <c r="V1050" s="279"/>
      <c r="W1050" s="279"/>
      <c r="X1050" s="279"/>
      <c r="Y1050" s="279"/>
      <c r="Z1050" s="279"/>
      <c r="AA1050" s="279"/>
      <c r="AB1050" s="279"/>
      <c r="AC1050" s="279"/>
      <c r="AD1050" s="279"/>
      <c r="AE1050" s="279"/>
      <c r="AF1050" s="279"/>
      <c r="AG1050" s="279"/>
      <c r="AH1050" s="279"/>
      <c r="AI1050" s="279"/>
      <c r="AJ1050" s="279"/>
      <c r="AK1050" s="279"/>
      <c r="AL1050" s="279"/>
      <c r="AM1050" s="279"/>
      <c r="AN1050" s="279"/>
      <c r="AO1050" s="279"/>
      <c r="AP1050" s="279"/>
      <c r="AQ1050" s="279"/>
      <c r="AR1050" s="279"/>
      <c r="AS1050" s="279"/>
      <c r="AT1050" s="279"/>
      <c r="AU1050" s="279"/>
      <c r="AV1050" s="279"/>
      <c r="AW1050" s="279"/>
      <c r="AX1050" s="279"/>
      <c r="AY1050" s="279"/>
      <c r="AZ1050" s="279"/>
      <c r="BA1050" s="279"/>
      <c r="BB1050" s="279"/>
      <c r="BC1050" s="279"/>
      <c r="BD1050" s="279"/>
      <c r="BE1050" s="279"/>
      <c r="BF1050" s="279"/>
      <c r="BG1050" s="279"/>
      <c r="BH1050" s="279"/>
      <c r="BI1050" s="279"/>
      <c r="BJ1050" s="279"/>
      <c r="BK1050" s="279"/>
      <c r="BL1050" s="279"/>
      <c r="BM1050" s="279"/>
      <c r="BN1050" s="279"/>
      <c r="BO1050" s="279"/>
      <c r="BP1050" s="279"/>
      <c r="BQ1050" s="279"/>
      <c r="BR1050" s="279"/>
      <c r="BS1050" s="279"/>
      <c r="BT1050" s="279"/>
      <c r="BU1050" s="279"/>
      <c r="BV1050" s="279"/>
      <c r="BW1050" s="279"/>
      <c r="BX1050" s="279"/>
      <c r="BY1050" s="279"/>
      <c r="BZ1050" s="279"/>
      <c r="CA1050" s="279"/>
      <c r="CB1050" s="279"/>
      <c r="CC1050" s="279"/>
      <c r="CD1050" s="279"/>
      <c r="CE1050" s="279"/>
      <c r="CF1050" s="279"/>
      <c r="CG1050" s="279"/>
      <c r="CH1050" s="279"/>
      <c r="CI1050" s="279"/>
      <c r="CJ1050" s="279"/>
      <c r="CK1050" s="279"/>
      <c r="CL1050" s="279"/>
      <c r="CM1050" s="279"/>
      <c r="CN1050" s="382"/>
    </row>
    <row r="1051" x14ac:dyDescent="0.3">
      <c r="B1051" s="361"/>
      <c r="C1051" s="279"/>
      <c r="D1051" s="280"/>
      <c r="E1051" s="287"/>
      <c r="F1051" s="287"/>
      <c r="G1051" s="287"/>
      <c r="H1051" s="1292">
        <f t="shared" si="47"/>
        <v>36</v>
      </c>
      <c r="I1051" s="1190" t="str">
        <f>'I. Stream &amp; Compound Data'!P297</f>
        <v/>
      </c>
      <c r="J1051" s="1295" t="str">
        <f>IF(I177="","",IF('I. Stream &amp; Compound Data'!BQ297&lt;&gt;"",'I. Stream &amp; Compound Data'!BQ297,'I. Stream &amp; Compound Data'!BR297))</f>
        <v/>
      </c>
      <c r="K1051" s="1295" t="str">
        <f t="shared" si="50"/>
        <v/>
      </c>
      <c r="L1051" s="1317" t="str">
        <f t="shared" si="51"/>
        <v/>
      </c>
      <c r="M1051" s="296"/>
      <c r="N1051" s="280"/>
      <c r="O1051" s="280"/>
      <c r="P1051" s="279"/>
      <c r="Q1051" s="297"/>
      <c r="R1051" s="298"/>
      <c r="S1051" s="298"/>
      <c r="T1051" s="299"/>
      <c r="U1051" s="279"/>
      <c r="V1051" s="279"/>
      <c r="W1051" s="279"/>
      <c r="X1051" s="279"/>
      <c r="Y1051" s="279"/>
      <c r="Z1051" s="279"/>
      <c r="AA1051" s="279"/>
      <c r="AB1051" s="279"/>
      <c r="AC1051" s="279"/>
      <c r="AD1051" s="279"/>
      <c r="AE1051" s="279"/>
      <c r="AF1051" s="279"/>
      <c r="AG1051" s="279"/>
      <c r="AH1051" s="279"/>
      <c r="AI1051" s="279"/>
      <c r="AJ1051" s="279"/>
      <c r="AK1051" s="279"/>
      <c r="AL1051" s="279"/>
      <c r="AM1051" s="279"/>
      <c r="AN1051" s="279"/>
      <c r="AO1051" s="279"/>
      <c r="AP1051" s="279"/>
      <c r="AQ1051" s="279"/>
      <c r="AR1051" s="279"/>
      <c r="AS1051" s="279"/>
      <c r="AT1051" s="279"/>
      <c r="AU1051" s="279"/>
      <c r="AV1051" s="279"/>
      <c r="AW1051" s="279"/>
      <c r="AX1051" s="279"/>
      <c r="AY1051" s="279"/>
      <c r="AZ1051" s="279"/>
      <c r="BA1051" s="279"/>
      <c r="BB1051" s="279"/>
      <c r="BC1051" s="279"/>
      <c r="BD1051" s="279"/>
      <c r="BE1051" s="279"/>
      <c r="BF1051" s="279"/>
      <c r="BG1051" s="279"/>
      <c r="BH1051" s="279"/>
      <c r="BI1051" s="279"/>
      <c r="BJ1051" s="279"/>
      <c r="BK1051" s="279"/>
      <c r="BL1051" s="279"/>
      <c r="BM1051" s="279"/>
      <c r="BN1051" s="279"/>
      <c r="BO1051" s="279"/>
      <c r="BP1051" s="279"/>
      <c r="BQ1051" s="279"/>
      <c r="BR1051" s="279"/>
      <c r="BS1051" s="279"/>
      <c r="BT1051" s="279"/>
      <c r="BU1051" s="279"/>
      <c r="BV1051" s="279"/>
      <c r="BW1051" s="279"/>
      <c r="BX1051" s="279"/>
      <c r="BY1051" s="279"/>
      <c r="BZ1051" s="279"/>
      <c r="CA1051" s="279"/>
      <c r="CB1051" s="279"/>
      <c r="CC1051" s="279"/>
      <c r="CD1051" s="279"/>
      <c r="CE1051" s="279"/>
      <c r="CF1051" s="279"/>
      <c r="CG1051" s="279"/>
      <c r="CH1051" s="279"/>
      <c r="CI1051" s="279"/>
      <c r="CJ1051" s="279"/>
      <c r="CK1051" s="279"/>
      <c r="CL1051" s="279"/>
      <c r="CM1051" s="279"/>
      <c r="CN1051" s="382"/>
    </row>
    <row r="1052" x14ac:dyDescent="0.3">
      <c r="B1052" s="361"/>
      <c r="C1052" s="279"/>
      <c r="D1052" s="280"/>
      <c r="E1052" s="287"/>
      <c r="F1052" s="287"/>
      <c r="G1052" s="287"/>
      <c r="H1052" s="1292">
        <f t="shared" si="47"/>
        <v>37</v>
      </c>
      <c r="I1052" s="1190" t="str">
        <f>'I. Stream &amp; Compound Data'!P298</f>
        <v/>
      </c>
      <c r="J1052" s="1295" t="str">
        <f>IF(I178="","",IF('I. Stream &amp; Compound Data'!BQ298&lt;&gt;"",'I. Stream &amp; Compound Data'!BQ298,'I. Stream &amp; Compound Data'!BR298))</f>
        <v/>
      </c>
      <c r="K1052" s="1295" t="str">
        <f t="shared" si="50"/>
        <v/>
      </c>
      <c r="L1052" s="1317" t="str">
        <f t="shared" si="51"/>
        <v/>
      </c>
      <c r="M1052" s="296"/>
      <c r="N1052" s="280"/>
      <c r="O1052" s="280"/>
      <c r="P1052" s="279"/>
      <c r="Q1052" s="297"/>
      <c r="R1052" s="298"/>
      <c r="S1052" s="298"/>
      <c r="T1052" s="299"/>
      <c r="U1052" s="279"/>
      <c r="V1052" s="279"/>
      <c r="W1052" s="279"/>
      <c r="X1052" s="279"/>
      <c r="Y1052" s="279"/>
      <c r="Z1052" s="279"/>
      <c r="AA1052" s="279"/>
      <c r="AB1052" s="279"/>
      <c r="AC1052" s="279"/>
      <c r="AD1052" s="279"/>
      <c r="AE1052" s="279"/>
      <c r="AF1052" s="279"/>
      <c r="AG1052" s="279"/>
      <c r="AH1052" s="279"/>
      <c r="AI1052" s="279"/>
      <c r="AJ1052" s="279"/>
      <c r="AK1052" s="279"/>
      <c r="AL1052" s="279"/>
      <c r="AM1052" s="279"/>
      <c r="AN1052" s="279"/>
      <c r="AO1052" s="279"/>
      <c r="AP1052" s="279"/>
      <c r="AQ1052" s="279"/>
      <c r="AR1052" s="279"/>
      <c r="AS1052" s="279"/>
      <c r="AT1052" s="279"/>
      <c r="AU1052" s="279"/>
      <c r="AV1052" s="279"/>
      <c r="AW1052" s="279"/>
      <c r="AX1052" s="279"/>
      <c r="AY1052" s="279"/>
      <c r="AZ1052" s="279"/>
      <c r="BA1052" s="279"/>
      <c r="BB1052" s="279"/>
      <c r="BC1052" s="279"/>
      <c r="BD1052" s="279"/>
      <c r="BE1052" s="279"/>
      <c r="BF1052" s="279"/>
      <c r="BG1052" s="279"/>
      <c r="BH1052" s="279"/>
      <c r="BI1052" s="279"/>
      <c r="BJ1052" s="279"/>
      <c r="BK1052" s="279"/>
      <c r="BL1052" s="279"/>
      <c r="BM1052" s="279"/>
      <c r="BN1052" s="279"/>
      <c r="BO1052" s="279"/>
      <c r="BP1052" s="279"/>
      <c r="BQ1052" s="279"/>
      <c r="BR1052" s="279"/>
      <c r="BS1052" s="279"/>
      <c r="BT1052" s="279"/>
      <c r="BU1052" s="279"/>
      <c r="BV1052" s="279"/>
      <c r="BW1052" s="279"/>
      <c r="BX1052" s="279"/>
      <c r="BY1052" s="279"/>
      <c r="BZ1052" s="279"/>
      <c r="CA1052" s="279"/>
      <c r="CB1052" s="279"/>
      <c r="CC1052" s="279"/>
      <c r="CD1052" s="279"/>
      <c r="CE1052" s="279"/>
      <c r="CF1052" s="279"/>
      <c r="CG1052" s="279"/>
      <c r="CH1052" s="279"/>
      <c r="CI1052" s="279"/>
      <c r="CJ1052" s="279"/>
      <c r="CK1052" s="279"/>
      <c r="CL1052" s="279"/>
      <c r="CM1052" s="279"/>
      <c r="CN1052" s="382"/>
    </row>
    <row r="1053" x14ac:dyDescent="0.3">
      <c r="B1053" s="361"/>
      <c r="C1053" s="279"/>
      <c r="D1053" s="280"/>
      <c r="E1053" s="287"/>
      <c r="F1053" s="287"/>
      <c r="G1053" s="287"/>
      <c r="H1053" s="1292">
        <f t="shared" si="47"/>
        <v>38</v>
      </c>
      <c r="I1053" s="1190" t="str">
        <f>'I. Stream &amp; Compound Data'!P299</f>
        <v/>
      </c>
      <c r="J1053" s="1295" t="str">
        <f>IF(I179="","",IF('I. Stream &amp; Compound Data'!BQ299&lt;&gt;"",'I. Stream &amp; Compound Data'!BQ299,'I. Stream &amp; Compound Data'!BR299))</f>
        <v/>
      </c>
      <c r="K1053" s="1295" t="str">
        <f t="shared" si="50"/>
        <v/>
      </c>
      <c r="L1053" s="1317" t="str">
        <f t="shared" si="51"/>
        <v/>
      </c>
      <c r="M1053" s="296"/>
      <c r="N1053" s="280"/>
      <c r="O1053" s="280"/>
      <c r="P1053" s="279"/>
      <c r="Q1053" s="297"/>
      <c r="R1053" s="298"/>
      <c r="S1053" s="298"/>
      <c r="T1053" s="299"/>
      <c r="U1053" s="279"/>
      <c r="V1053" s="279"/>
      <c r="W1053" s="279"/>
      <c r="X1053" s="279"/>
      <c r="Y1053" s="279"/>
      <c r="Z1053" s="279"/>
      <c r="AA1053" s="279"/>
      <c r="AB1053" s="279"/>
      <c r="AC1053" s="279"/>
      <c r="AD1053" s="279"/>
      <c r="AE1053" s="279"/>
      <c r="AF1053" s="279"/>
      <c r="AG1053" s="279"/>
      <c r="AH1053" s="279"/>
      <c r="AI1053" s="279"/>
      <c r="AJ1053" s="279"/>
      <c r="AK1053" s="279"/>
      <c r="AL1053" s="279"/>
      <c r="AM1053" s="279"/>
      <c r="AN1053" s="279"/>
      <c r="AO1053" s="279"/>
      <c r="AP1053" s="279"/>
      <c r="AQ1053" s="279"/>
      <c r="AR1053" s="279"/>
      <c r="AS1053" s="279"/>
      <c r="AT1053" s="279"/>
      <c r="AU1053" s="279"/>
      <c r="AV1053" s="279"/>
      <c r="AW1053" s="279"/>
      <c r="AX1053" s="279"/>
      <c r="AY1053" s="279"/>
      <c r="AZ1053" s="279"/>
      <c r="BA1053" s="279"/>
      <c r="BB1053" s="279"/>
      <c r="BC1053" s="279"/>
      <c r="BD1053" s="279"/>
      <c r="BE1053" s="279"/>
      <c r="BF1053" s="279"/>
      <c r="BG1053" s="279"/>
      <c r="BH1053" s="279"/>
      <c r="BI1053" s="279"/>
      <c r="BJ1053" s="279"/>
      <c r="BK1053" s="279"/>
      <c r="BL1053" s="279"/>
      <c r="BM1053" s="279"/>
      <c r="BN1053" s="279"/>
      <c r="BO1053" s="279"/>
      <c r="BP1053" s="279"/>
      <c r="BQ1053" s="279"/>
      <c r="BR1053" s="279"/>
      <c r="BS1053" s="279"/>
      <c r="BT1053" s="279"/>
      <c r="BU1053" s="279"/>
      <c r="BV1053" s="279"/>
      <c r="BW1053" s="279"/>
      <c r="BX1053" s="279"/>
      <c r="BY1053" s="279"/>
      <c r="BZ1053" s="279"/>
      <c r="CA1053" s="279"/>
      <c r="CB1053" s="279"/>
      <c r="CC1053" s="279"/>
      <c r="CD1053" s="279"/>
      <c r="CE1053" s="279"/>
      <c r="CF1053" s="279"/>
      <c r="CG1053" s="279"/>
      <c r="CH1053" s="279"/>
      <c r="CI1053" s="279"/>
      <c r="CJ1053" s="279"/>
      <c r="CK1053" s="279"/>
      <c r="CL1053" s="279"/>
      <c r="CM1053" s="279"/>
      <c r="CN1053" s="382"/>
    </row>
    <row r="1054" x14ac:dyDescent="0.3">
      <c r="B1054" s="361"/>
      <c r="C1054" s="279"/>
      <c r="D1054" s="280"/>
      <c r="E1054" s="287"/>
      <c r="F1054" s="287"/>
      <c r="G1054" s="287"/>
      <c r="H1054" s="1292">
        <f t="shared" si="47"/>
        <v>39</v>
      </c>
      <c r="I1054" s="1190" t="str">
        <f>'I. Stream &amp; Compound Data'!P300</f>
        <v/>
      </c>
      <c r="J1054" s="1295" t="str">
        <f>IF(I180="","",IF('I. Stream &amp; Compound Data'!BQ300&lt;&gt;"",'I. Stream &amp; Compound Data'!BQ300,'I. Stream &amp; Compound Data'!BR300))</f>
        <v/>
      </c>
      <c r="K1054" s="1295" t="str">
        <f t="shared" si="50"/>
        <v/>
      </c>
      <c r="L1054" s="1317" t="str">
        <f t="shared" si="51"/>
        <v/>
      </c>
      <c r="M1054" s="296"/>
      <c r="N1054" s="280"/>
      <c r="O1054" s="280"/>
      <c r="P1054" s="279"/>
      <c r="Q1054" s="297"/>
      <c r="R1054" s="298"/>
      <c r="S1054" s="298"/>
      <c r="T1054" s="299"/>
      <c r="U1054" s="279"/>
      <c r="V1054" s="279"/>
      <c r="W1054" s="279"/>
      <c r="X1054" s="279"/>
      <c r="Y1054" s="279"/>
      <c r="Z1054" s="279"/>
      <c r="AA1054" s="279"/>
      <c r="AB1054" s="279"/>
      <c r="AC1054" s="279"/>
      <c r="AD1054" s="279"/>
      <c r="AE1054" s="279"/>
      <c r="AF1054" s="279"/>
      <c r="AG1054" s="279"/>
      <c r="AH1054" s="279"/>
      <c r="AI1054" s="279"/>
      <c r="AJ1054" s="279"/>
      <c r="AK1054" s="279"/>
      <c r="AL1054" s="279"/>
      <c r="AM1054" s="279"/>
      <c r="AN1054" s="279"/>
      <c r="AO1054" s="279"/>
      <c r="AP1054" s="279"/>
      <c r="AQ1054" s="279"/>
      <c r="AR1054" s="279"/>
      <c r="AS1054" s="279"/>
      <c r="AT1054" s="279"/>
      <c r="AU1054" s="279"/>
      <c r="AV1054" s="279"/>
      <c r="AW1054" s="279"/>
      <c r="AX1054" s="279"/>
      <c r="AY1054" s="279"/>
      <c r="AZ1054" s="279"/>
      <c r="BA1054" s="279"/>
      <c r="BB1054" s="279"/>
      <c r="BC1054" s="279"/>
      <c r="BD1054" s="279"/>
      <c r="BE1054" s="279"/>
      <c r="BF1054" s="279"/>
      <c r="BG1054" s="279"/>
      <c r="BH1054" s="279"/>
      <c r="BI1054" s="279"/>
      <c r="BJ1054" s="279"/>
      <c r="BK1054" s="279"/>
      <c r="BL1054" s="279"/>
      <c r="BM1054" s="279"/>
      <c r="BN1054" s="279"/>
      <c r="BO1054" s="279"/>
      <c r="BP1054" s="279"/>
      <c r="BQ1054" s="279"/>
      <c r="BR1054" s="279"/>
      <c r="BS1054" s="279"/>
      <c r="BT1054" s="279"/>
      <c r="BU1054" s="279"/>
      <c r="BV1054" s="279"/>
      <c r="BW1054" s="279"/>
      <c r="BX1054" s="279"/>
      <c r="BY1054" s="279"/>
      <c r="BZ1054" s="279"/>
      <c r="CA1054" s="279"/>
      <c r="CB1054" s="279"/>
      <c r="CC1054" s="279"/>
      <c r="CD1054" s="279"/>
      <c r="CE1054" s="279"/>
      <c r="CF1054" s="279"/>
      <c r="CG1054" s="279"/>
      <c r="CH1054" s="279"/>
      <c r="CI1054" s="279"/>
      <c r="CJ1054" s="279"/>
      <c r="CK1054" s="279"/>
      <c r="CL1054" s="279"/>
      <c r="CM1054" s="279"/>
      <c r="CN1054" s="382"/>
    </row>
    <row r="1055" x14ac:dyDescent="0.3">
      <c r="B1055" s="361"/>
      <c r="C1055" s="279"/>
      <c r="D1055" s="280"/>
      <c r="E1055" s="287"/>
      <c r="F1055" s="287"/>
      <c r="G1055" s="287"/>
      <c r="H1055" s="1292">
        <f t="shared" si="47"/>
        <v>40</v>
      </c>
      <c r="I1055" s="1190" t="str">
        <f>'I. Stream &amp; Compound Data'!P301</f>
        <v/>
      </c>
      <c r="J1055" s="1295" t="str">
        <f>IF(I181="","",IF('I. Stream &amp; Compound Data'!BQ301&lt;&gt;"",'I. Stream &amp; Compound Data'!BQ301,'I. Stream &amp; Compound Data'!BR301))</f>
        <v/>
      </c>
      <c r="K1055" s="1295" t="str">
        <f t="shared" si="50"/>
        <v/>
      </c>
      <c r="L1055" s="1317" t="str">
        <f t="shared" si="51"/>
        <v/>
      </c>
      <c r="M1055" s="296"/>
      <c r="N1055" s="280"/>
      <c r="O1055" s="280"/>
      <c r="P1055" s="279"/>
      <c r="Q1055" s="297"/>
      <c r="R1055" s="298"/>
      <c r="S1055" s="298"/>
      <c r="T1055" s="299"/>
      <c r="U1055" s="279"/>
      <c r="V1055" s="279"/>
      <c r="W1055" s="279"/>
      <c r="X1055" s="279"/>
      <c r="Y1055" s="279"/>
      <c r="Z1055" s="279"/>
      <c r="AA1055" s="279"/>
      <c r="AB1055" s="279"/>
      <c r="AC1055" s="279"/>
      <c r="AD1055" s="279"/>
      <c r="AE1055" s="279"/>
      <c r="AF1055" s="279"/>
      <c r="AG1055" s="279"/>
      <c r="AH1055" s="279"/>
      <c r="AI1055" s="279"/>
      <c r="AJ1055" s="279"/>
      <c r="AK1055" s="279"/>
      <c r="AL1055" s="279"/>
      <c r="AM1055" s="279"/>
      <c r="AN1055" s="279"/>
      <c r="AO1055" s="279"/>
      <c r="AP1055" s="279"/>
      <c r="AQ1055" s="279"/>
      <c r="AR1055" s="279"/>
      <c r="AS1055" s="279"/>
      <c r="AT1055" s="279"/>
      <c r="AU1055" s="279"/>
      <c r="AV1055" s="279"/>
      <c r="AW1055" s="279"/>
      <c r="AX1055" s="279"/>
      <c r="AY1055" s="279"/>
      <c r="AZ1055" s="279"/>
      <c r="BA1055" s="279"/>
      <c r="BB1055" s="279"/>
      <c r="BC1055" s="279"/>
      <c r="BD1055" s="279"/>
      <c r="BE1055" s="279"/>
      <c r="BF1055" s="279"/>
      <c r="BG1055" s="279"/>
      <c r="BH1055" s="279"/>
      <c r="BI1055" s="279"/>
      <c r="BJ1055" s="279"/>
      <c r="BK1055" s="279"/>
      <c r="BL1055" s="279"/>
      <c r="BM1055" s="279"/>
      <c r="BN1055" s="279"/>
      <c r="BO1055" s="279"/>
      <c r="BP1055" s="279"/>
      <c r="BQ1055" s="279"/>
      <c r="BR1055" s="279"/>
      <c r="BS1055" s="279"/>
      <c r="BT1055" s="279"/>
      <c r="BU1055" s="279"/>
      <c r="BV1055" s="279"/>
      <c r="BW1055" s="279"/>
      <c r="BX1055" s="279"/>
      <c r="BY1055" s="279"/>
      <c r="BZ1055" s="279"/>
      <c r="CA1055" s="279"/>
      <c r="CB1055" s="279"/>
      <c r="CC1055" s="279"/>
      <c r="CD1055" s="279"/>
      <c r="CE1055" s="279"/>
      <c r="CF1055" s="279"/>
      <c r="CG1055" s="279"/>
      <c r="CH1055" s="279"/>
      <c r="CI1055" s="279"/>
      <c r="CJ1055" s="279"/>
      <c r="CK1055" s="279"/>
      <c r="CL1055" s="279"/>
      <c r="CM1055" s="279"/>
      <c r="CN1055" s="382"/>
    </row>
    <row r="1056" x14ac:dyDescent="0.3">
      <c r="B1056" s="361"/>
      <c r="C1056" s="279"/>
      <c r="D1056" s="280"/>
      <c r="E1056" s="287"/>
      <c r="F1056" s="287"/>
      <c r="G1056" s="287"/>
      <c r="H1056" s="1292">
        <f t="shared" si="47"/>
        <v>41</v>
      </c>
      <c r="I1056" s="1190" t="str">
        <f>'I. Stream &amp; Compound Data'!P302</f>
        <v/>
      </c>
      <c r="J1056" s="1295" t="str">
        <f>IF(I182="","",IF('I. Stream &amp; Compound Data'!BQ302&lt;&gt;"",'I. Stream &amp; Compound Data'!BQ302,'I. Stream &amp; Compound Data'!BR302))</f>
        <v/>
      </c>
      <c r="K1056" s="1295" t="str">
        <f t="shared" si="50"/>
        <v/>
      </c>
      <c r="L1056" s="1317" t="str">
        <f t="shared" si="51"/>
        <v/>
      </c>
      <c r="M1056" s="296"/>
      <c r="N1056" s="280"/>
      <c r="O1056" s="280"/>
      <c r="P1056" s="279"/>
      <c r="Q1056" s="297"/>
      <c r="R1056" s="298"/>
      <c r="S1056" s="298"/>
      <c r="T1056" s="299"/>
      <c r="U1056" s="279"/>
      <c r="V1056" s="279"/>
      <c r="W1056" s="279"/>
      <c r="X1056" s="279"/>
      <c r="Y1056" s="279"/>
      <c r="Z1056" s="279"/>
      <c r="AA1056" s="279"/>
      <c r="AB1056" s="279"/>
      <c r="AC1056" s="279"/>
      <c r="AD1056" s="279"/>
      <c r="AE1056" s="279"/>
      <c r="AF1056" s="279"/>
      <c r="AG1056" s="279"/>
      <c r="AH1056" s="279"/>
      <c r="AI1056" s="279"/>
      <c r="AJ1056" s="279"/>
      <c r="AK1056" s="279"/>
      <c r="AL1056" s="279"/>
      <c r="AM1056" s="279"/>
      <c r="AN1056" s="279"/>
      <c r="AO1056" s="279"/>
      <c r="AP1056" s="279"/>
      <c r="AQ1056" s="279"/>
      <c r="AR1056" s="279"/>
      <c r="AS1056" s="279"/>
      <c r="AT1056" s="279"/>
      <c r="AU1056" s="279"/>
      <c r="AV1056" s="279"/>
      <c r="AW1056" s="279"/>
      <c r="AX1056" s="279"/>
      <c r="AY1056" s="279"/>
      <c r="AZ1056" s="279"/>
      <c r="BA1056" s="279"/>
      <c r="BB1056" s="279"/>
      <c r="BC1056" s="279"/>
      <c r="BD1056" s="279"/>
      <c r="BE1056" s="279"/>
      <c r="BF1056" s="279"/>
      <c r="BG1056" s="279"/>
      <c r="BH1056" s="279"/>
      <c r="BI1056" s="279"/>
      <c r="BJ1056" s="279"/>
      <c r="BK1056" s="279"/>
      <c r="BL1056" s="279"/>
      <c r="BM1056" s="279"/>
      <c r="BN1056" s="279"/>
      <c r="BO1056" s="279"/>
      <c r="BP1056" s="279"/>
      <c r="BQ1056" s="279"/>
      <c r="BR1056" s="279"/>
      <c r="BS1056" s="279"/>
      <c r="BT1056" s="279"/>
      <c r="BU1056" s="279"/>
      <c r="BV1056" s="279"/>
      <c r="BW1056" s="279"/>
      <c r="BX1056" s="279"/>
      <c r="BY1056" s="279"/>
      <c r="BZ1056" s="279"/>
      <c r="CA1056" s="279"/>
      <c r="CB1056" s="279"/>
      <c r="CC1056" s="279"/>
      <c r="CD1056" s="279"/>
      <c r="CE1056" s="279"/>
      <c r="CF1056" s="279"/>
      <c r="CG1056" s="279"/>
      <c r="CH1056" s="279"/>
      <c r="CI1056" s="279"/>
      <c r="CJ1056" s="279"/>
      <c r="CK1056" s="279"/>
      <c r="CL1056" s="279"/>
      <c r="CM1056" s="279"/>
      <c r="CN1056" s="382"/>
    </row>
    <row r="1057" x14ac:dyDescent="0.3">
      <c r="B1057" s="361"/>
      <c r="C1057" s="279"/>
      <c r="D1057" s="280"/>
      <c r="E1057" s="287"/>
      <c r="F1057" s="287"/>
      <c r="G1057" s="287"/>
      <c r="H1057" s="1292">
        <f t="shared" si="47"/>
        <v>42</v>
      </c>
      <c r="I1057" s="1190" t="str">
        <f>'I. Stream &amp; Compound Data'!P303</f>
        <v/>
      </c>
      <c r="J1057" s="1295" t="str">
        <f>IF(I183="","",IF('I. Stream &amp; Compound Data'!BQ303&lt;&gt;"",'I. Stream &amp; Compound Data'!BQ303,'I. Stream &amp; Compound Data'!BR303))</f>
        <v/>
      </c>
      <c r="K1057" s="1295" t="str">
        <f t="shared" si="50"/>
        <v/>
      </c>
      <c r="L1057" s="1317" t="str">
        <f t="shared" si="51"/>
        <v/>
      </c>
      <c r="M1057" s="296"/>
      <c r="N1057" s="280"/>
      <c r="O1057" s="280"/>
      <c r="P1057" s="279"/>
      <c r="Q1057" s="297"/>
      <c r="R1057" s="298"/>
      <c r="S1057" s="298"/>
      <c r="T1057" s="299"/>
      <c r="U1057" s="279"/>
      <c r="V1057" s="279"/>
      <c r="W1057" s="279"/>
      <c r="X1057" s="279"/>
      <c r="Y1057" s="279"/>
      <c r="Z1057" s="279"/>
      <c r="AA1057" s="279"/>
      <c r="AB1057" s="279"/>
      <c r="AC1057" s="279"/>
      <c r="AD1057" s="279"/>
      <c r="AE1057" s="279"/>
      <c r="AF1057" s="279"/>
      <c r="AG1057" s="279"/>
      <c r="AH1057" s="279"/>
      <c r="AI1057" s="279"/>
      <c r="AJ1057" s="279"/>
      <c r="AK1057" s="279"/>
      <c r="AL1057" s="279"/>
      <c r="AM1057" s="279"/>
      <c r="AN1057" s="279"/>
      <c r="AO1057" s="279"/>
      <c r="AP1057" s="279"/>
      <c r="AQ1057" s="279"/>
      <c r="AR1057" s="279"/>
      <c r="AS1057" s="279"/>
      <c r="AT1057" s="279"/>
      <c r="AU1057" s="279"/>
      <c r="AV1057" s="279"/>
      <c r="AW1057" s="279"/>
      <c r="AX1057" s="279"/>
      <c r="AY1057" s="279"/>
      <c r="AZ1057" s="279"/>
      <c r="BA1057" s="279"/>
      <c r="BB1057" s="279"/>
      <c r="BC1057" s="279"/>
      <c r="BD1057" s="279"/>
      <c r="BE1057" s="279"/>
      <c r="BF1057" s="279"/>
      <c r="BG1057" s="279"/>
      <c r="BH1057" s="279"/>
      <c r="BI1057" s="279"/>
      <c r="BJ1057" s="279"/>
      <c r="BK1057" s="279"/>
      <c r="BL1057" s="279"/>
      <c r="BM1057" s="279"/>
      <c r="BN1057" s="279"/>
      <c r="BO1057" s="279"/>
      <c r="BP1057" s="279"/>
      <c r="BQ1057" s="279"/>
      <c r="BR1057" s="279"/>
      <c r="BS1057" s="279"/>
      <c r="BT1057" s="279"/>
      <c r="BU1057" s="279"/>
      <c r="BV1057" s="279"/>
      <c r="BW1057" s="279"/>
      <c r="BX1057" s="279"/>
      <c r="BY1057" s="279"/>
      <c r="BZ1057" s="279"/>
      <c r="CA1057" s="279"/>
      <c r="CB1057" s="279"/>
      <c r="CC1057" s="279"/>
      <c r="CD1057" s="279"/>
      <c r="CE1057" s="279"/>
      <c r="CF1057" s="279"/>
      <c r="CG1057" s="279"/>
      <c r="CH1057" s="279"/>
      <c r="CI1057" s="279"/>
      <c r="CJ1057" s="279"/>
      <c r="CK1057" s="279"/>
      <c r="CL1057" s="279"/>
      <c r="CM1057" s="279"/>
      <c r="CN1057" s="382"/>
    </row>
    <row r="1058" x14ac:dyDescent="0.3">
      <c r="B1058" s="361"/>
      <c r="C1058" s="279"/>
      <c r="D1058" s="280"/>
      <c r="E1058" s="287"/>
      <c r="F1058" s="287"/>
      <c r="G1058" s="287"/>
      <c r="H1058" s="1292">
        <f t="shared" si="47"/>
        <v>43</v>
      </c>
      <c r="I1058" s="1190" t="str">
        <f>'I. Stream &amp; Compound Data'!P304</f>
        <v/>
      </c>
      <c r="J1058" s="1295" t="str">
        <f>IF(I184="","",IF('I. Stream &amp; Compound Data'!BQ304&lt;&gt;"",'I. Stream &amp; Compound Data'!BQ304,'I. Stream &amp; Compound Data'!BR304))</f>
        <v/>
      </c>
      <c r="K1058" s="1295" t="str">
        <f t="shared" si="50"/>
        <v/>
      </c>
      <c r="L1058" s="1317" t="str">
        <f t="shared" si="51"/>
        <v/>
      </c>
      <c r="M1058" s="296"/>
      <c r="N1058" s="280"/>
      <c r="O1058" s="280"/>
      <c r="P1058" s="279"/>
      <c r="Q1058" s="297"/>
      <c r="R1058" s="298"/>
      <c r="S1058" s="298"/>
      <c r="T1058" s="299"/>
      <c r="U1058" s="279"/>
      <c r="V1058" s="279"/>
      <c r="W1058" s="279"/>
      <c r="X1058" s="279"/>
      <c r="Y1058" s="279"/>
      <c r="Z1058" s="279"/>
      <c r="AA1058" s="279"/>
      <c r="AB1058" s="279"/>
      <c r="AC1058" s="279"/>
      <c r="AD1058" s="279"/>
      <c r="AE1058" s="279"/>
      <c r="AF1058" s="279"/>
      <c r="AG1058" s="279"/>
      <c r="AH1058" s="279"/>
      <c r="AI1058" s="279"/>
      <c r="AJ1058" s="279"/>
      <c r="AK1058" s="279"/>
      <c r="AL1058" s="279"/>
      <c r="AM1058" s="279"/>
      <c r="AN1058" s="279"/>
      <c r="AO1058" s="279"/>
      <c r="AP1058" s="279"/>
      <c r="AQ1058" s="279"/>
      <c r="AR1058" s="279"/>
      <c r="AS1058" s="279"/>
      <c r="AT1058" s="279"/>
      <c r="AU1058" s="279"/>
      <c r="AV1058" s="279"/>
      <c r="AW1058" s="279"/>
      <c r="AX1058" s="279"/>
      <c r="AY1058" s="279"/>
      <c r="AZ1058" s="279"/>
      <c r="BA1058" s="279"/>
      <c r="BB1058" s="279"/>
      <c r="BC1058" s="279"/>
      <c r="BD1058" s="279"/>
      <c r="BE1058" s="279"/>
      <c r="BF1058" s="279"/>
      <c r="BG1058" s="279"/>
      <c r="BH1058" s="279"/>
      <c r="BI1058" s="279"/>
      <c r="BJ1058" s="279"/>
      <c r="BK1058" s="279"/>
      <c r="BL1058" s="279"/>
      <c r="BM1058" s="279"/>
      <c r="BN1058" s="279"/>
      <c r="BO1058" s="279"/>
      <c r="BP1058" s="279"/>
      <c r="BQ1058" s="279"/>
      <c r="BR1058" s="279"/>
      <c r="BS1058" s="279"/>
      <c r="BT1058" s="279"/>
      <c r="BU1058" s="279"/>
      <c r="BV1058" s="279"/>
      <c r="BW1058" s="279"/>
      <c r="BX1058" s="279"/>
      <c r="BY1058" s="279"/>
      <c r="BZ1058" s="279"/>
      <c r="CA1058" s="279"/>
      <c r="CB1058" s="279"/>
      <c r="CC1058" s="279"/>
      <c r="CD1058" s="279"/>
      <c r="CE1058" s="279"/>
      <c r="CF1058" s="279"/>
      <c r="CG1058" s="279"/>
      <c r="CH1058" s="279"/>
      <c r="CI1058" s="279"/>
      <c r="CJ1058" s="279"/>
      <c r="CK1058" s="279"/>
      <c r="CL1058" s="279"/>
      <c r="CM1058" s="279"/>
      <c r="CN1058" s="382"/>
    </row>
    <row r="1059" x14ac:dyDescent="0.3">
      <c r="B1059" s="361"/>
      <c r="C1059" s="279"/>
      <c r="D1059" s="280"/>
      <c r="E1059" s="287"/>
      <c r="F1059" s="287"/>
      <c r="G1059" s="287"/>
      <c r="H1059" s="1292">
        <f t="shared" si="47"/>
        <v>44</v>
      </c>
      <c r="I1059" s="1190" t="str">
        <f>'I. Stream &amp; Compound Data'!P305</f>
        <v/>
      </c>
      <c r="J1059" s="1295" t="str">
        <f>IF(I185="","",IF('I. Stream &amp; Compound Data'!BQ305&lt;&gt;"",'I. Stream &amp; Compound Data'!BQ305,'I. Stream &amp; Compound Data'!BR305))</f>
        <v/>
      </c>
      <c r="K1059" s="1295" t="str">
        <f t="shared" si="50"/>
        <v/>
      </c>
      <c r="L1059" s="1317" t="str">
        <f t="shared" si="51"/>
        <v/>
      </c>
      <c r="M1059" s="296"/>
      <c r="N1059" s="280"/>
      <c r="O1059" s="280"/>
      <c r="P1059" s="279"/>
      <c r="Q1059" s="297"/>
      <c r="R1059" s="298"/>
      <c r="S1059" s="298"/>
      <c r="T1059" s="299"/>
      <c r="U1059" s="279"/>
      <c r="V1059" s="279"/>
      <c r="W1059" s="279"/>
      <c r="X1059" s="279"/>
      <c r="Y1059" s="279"/>
      <c r="Z1059" s="279"/>
      <c r="AA1059" s="279"/>
      <c r="AB1059" s="279"/>
      <c r="AC1059" s="279"/>
      <c r="AD1059" s="279"/>
      <c r="AE1059" s="279"/>
      <c r="AF1059" s="279"/>
      <c r="AG1059" s="279"/>
      <c r="AH1059" s="279"/>
      <c r="AI1059" s="279"/>
      <c r="AJ1059" s="279"/>
      <c r="AK1059" s="279"/>
      <c r="AL1059" s="279"/>
      <c r="AM1059" s="279"/>
      <c r="AN1059" s="279"/>
      <c r="AO1059" s="279"/>
      <c r="AP1059" s="279"/>
      <c r="AQ1059" s="279"/>
      <c r="AR1059" s="279"/>
      <c r="AS1059" s="279"/>
      <c r="AT1059" s="279"/>
      <c r="AU1059" s="279"/>
      <c r="AV1059" s="279"/>
      <c r="AW1059" s="279"/>
      <c r="AX1059" s="279"/>
      <c r="AY1059" s="279"/>
      <c r="AZ1059" s="279"/>
      <c r="BA1059" s="279"/>
      <c r="BB1059" s="279"/>
      <c r="BC1059" s="279"/>
      <c r="BD1059" s="279"/>
      <c r="BE1059" s="279"/>
      <c r="BF1059" s="279"/>
      <c r="BG1059" s="279"/>
      <c r="BH1059" s="279"/>
      <c r="BI1059" s="279"/>
      <c r="BJ1059" s="279"/>
      <c r="BK1059" s="279"/>
      <c r="BL1059" s="279"/>
      <c r="BM1059" s="279"/>
      <c r="BN1059" s="279"/>
      <c r="BO1059" s="279"/>
      <c r="BP1059" s="279"/>
      <c r="BQ1059" s="279"/>
      <c r="BR1059" s="279"/>
      <c r="BS1059" s="279"/>
      <c r="BT1059" s="279"/>
      <c r="BU1059" s="279"/>
      <c r="BV1059" s="279"/>
      <c r="BW1059" s="279"/>
      <c r="BX1059" s="279"/>
      <c r="BY1059" s="279"/>
      <c r="BZ1059" s="279"/>
      <c r="CA1059" s="279"/>
      <c r="CB1059" s="279"/>
      <c r="CC1059" s="279"/>
      <c r="CD1059" s="279"/>
      <c r="CE1059" s="279"/>
      <c r="CF1059" s="279"/>
      <c r="CG1059" s="279"/>
      <c r="CH1059" s="279"/>
      <c r="CI1059" s="279"/>
      <c r="CJ1059" s="279"/>
      <c r="CK1059" s="279"/>
      <c r="CL1059" s="279"/>
      <c r="CM1059" s="279"/>
      <c r="CN1059" s="382"/>
    </row>
    <row r="1060" x14ac:dyDescent="0.3">
      <c r="B1060" s="361"/>
      <c r="C1060" s="279"/>
      <c r="D1060" s="280"/>
      <c r="E1060" s="287"/>
      <c r="F1060" s="287"/>
      <c r="G1060" s="287"/>
      <c r="H1060" s="1292">
        <f t="shared" si="47"/>
        <v>45</v>
      </c>
      <c r="I1060" s="1190" t="str">
        <f>'I. Stream &amp; Compound Data'!P306</f>
        <v/>
      </c>
      <c r="J1060" s="1295" t="str">
        <f>IF(I186="","",IF('I. Stream &amp; Compound Data'!BQ306&lt;&gt;"",'I. Stream &amp; Compound Data'!BQ306,'I. Stream &amp; Compound Data'!BR306))</f>
        <v/>
      </c>
      <c r="K1060" s="1295" t="str">
        <f t="shared" si="50"/>
        <v/>
      </c>
      <c r="L1060" s="1317" t="str">
        <f t="shared" si="51"/>
        <v/>
      </c>
      <c r="M1060" s="296"/>
      <c r="N1060" s="280"/>
      <c r="O1060" s="280"/>
      <c r="P1060" s="279"/>
      <c r="Q1060" s="297"/>
      <c r="R1060" s="298"/>
      <c r="S1060" s="298"/>
      <c r="T1060" s="299"/>
      <c r="U1060" s="279"/>
      <c r="V1060" s="279"/>
      <c r="W1060" s="279"/>
      <c r="X1060" s="279"/>
      <c r="Y1060" s="279"/>
      <c r="Z1060" s="279"/>
      <c r="AA1060" s="279"/>
      <c r="AB1060" s="279"/>
      <c r="AC1060" s="279"/>
      <c r="AD1060" s="279"/>
      <c r="AE1060" s="279"/>
      <c r="AF1060" s="279"/>
      <c r="AG1060" s="279"/>
      <c r="AH1060" s="279"/>
      <c r="AI1060" s="279"/>
      <c r="AJ1060" s="279"/>
      <c r="AK1060" s="279"/>
      <c r="AL1060" s="279"/>
      <c r="AM1060" s="279"/>
      <c r="AN1060" s="279"/>
      <c r="AO1060" s="279"/>
      <c r="AP1060" s="279"/>
      <c r="AQ1060" s="279"/>
      <c r="AR1060" s="279"/>
      <c r="AS1060" s="279"/>
      <c r="AT1060" s="279"/>
      <c r="AU1060" s="279"/>
      <c r="AV1060" s="279"/>
      <c r="AW1060" s="279"/>
      <c r="AX1060" s="279"/>
      <c r="AY1060" s="279"/>
      <c r="AZ1060" s="279"/>
      <c r="BA1060" s="279"/>
      <c r="BB1060" s="279"/>
      <c r="BC1060" s="279"/>
      <c r="BD1060" s="279"/>
      <c r="BE1060" s="279"/>
      <c r="BF1060" s="279"/>
      <c r="BG1060" s="279"/>
      <c r="BH1060" s="279"/>
      <c r="BI1060" s="279"/>
      <c r="BJ1060" s="279"/>
      <c r="BK1060" s="279"/>
      <c r="BL1060" s="279"/>
      <c r="BM1060" s="279"/>
      <c r="BN1060" s="279"/>
      <c r="BO1060" s="279"/>
      <c r="BP1060" s="279"/>
      <c r="BQ1060" s="279"/>
      <c r="BR1060" s="279"/>
      <c r="BS1060" s="279"/>
      <c r="BT1060" s="279"/>
      <c r="BU1060" s="279"/>
      <c r="BV1060" s="279"/>
      <c r="BW1060" s="279"/>
      <c r="BX1060" s="279"/>
      <c r="BY1060" s="279"/>
      <c r="BZ1060" s="279"/>
      <c r="CA1060" s="279"/>
      <c r="CB1060" s="279"/>
      <c r="CC1060" s="279"/>
      <c r="CD1060" s="279"/>
      <c r="CE1060" s="279"/>
      <c r="CF1060" s="279"/>
      <c r="CG1060" s="279"/>
      <c r="CH1060" s="279"/>
      <c r="CI1060" s="279"/>
      <c r="CJ1060" s="279"/>
      <c r="CK1060" s="279"/>
      <c r="CL1060" s="279"/>
      <c r="CM1060" s="279"/>
      <c r="CN1060" s="382"/>
    </row>
    <row r="1061" x14ac:dyDescent="0.3">
      <c r="B1061" s="361"/>
      <c r="C1061" s="279"/>
      <c r="D1061" s="280"/>
      <c r="E1061" s="287"/>
      <c r="F1061" s="287"/>
      <c r="G1061" s="287"/>
      <c r="H1061" s="1292">
        <f t="shared" si="47"/>
        <v>46</v>
      </c>
      <c r="I1061" s="1190" t="str">
        <f>'I. Stream &amp; Compound Data'!P307</f>
        <v/>
      </c>
      <c r="J1061" s="1295" t="str">
        <f>IF(I187="","",IF('I. Stream &amp; Compound Data'!BQ307&lt;&gt;"",'I. Stream &amp; Compound Data'!BQ307,'I. Stream &amp; Compound Data'!BR307))</f>
        <v/>
      </c>
      <c r="K1061" s="1295" t="str">
        <f t="shared" si="50"/>
        <v/>
      </c>
      <c r="L1061" s="1317" t="str">
        <f t="shared" si="51"/>
        <v/>
      </c>
      <c r="M1061" s="296"/>
      <c r="N1061" s="280"/>
      <c r="O1061" s="280"/>
      <c r="P1061" s="279"/>
      <c r="Q1061" s="297"/>
      <c r="R1061" s="298"/>
      <c r="S1061" s="298"/>
      <c r="T1061" s="299"/>
      <c r="U1061" s="279"/>
      <c r="V1061" s="279"/>
      <c r="W1061" s="279"/>
      <c r="X1061" s="279"/>
      <c r="Y1061" s="279"/>
      <c r="Z1061" s="279"/>
      <c r="AA1061" s="279"/>
      <c r="AB1061" s="279"/>
      <c r="AC1061" s="279"/>
      <c r="AD1061" s="279"/>
      <c r="AE1061" s="279"/>
      <c r="AF1061" s="279"/>
      <c r="AG1061" s="279"/>
      <c r="AH1061" s="279"/>
      <c r="AI1061" s="279"/>
      <c r="AJ1061" s="279"/>
      <c r="AK1061" s="279"/>
      <c r="AL1061" s="279"/>
      <c r="AM1061" s="279"/>
      <c r="AN1061" s="279"/>
      <c r="AO1061" s="279"/>
      <c r="AP1061" s="279"/>
      <c r="AQ1061" s="279"/>
      <c r="AR1061" s="279"/>
      <c r="AS1061" s="279"/>
      <c r="AT1061" s="279"/>
      <c r="AU1061" s="279"/>
      <c r="AV1061" s="279"/>
      <c r="AW1061" s="279"/>
      <c r="AX1061" s="279"/>
      <c r="AY1061" s="279"/>
      <c r="AZ1061" s="279"/>
      <c r="BA1061" s="279"/>
      <c r="BB1061" s="279"/>
      <c r="BC1061" s="279"/>
      <c r="BD1061" s="279"/>
      <c r="BE1061" s="279"/>
      <c r="BF1061" s="279"/>
      <c r="BG1061" s="279"/>
      <c r="BH1061" s="279"/>
      <c r="BI1061" s="279"/>
      <c r="BJ1061" s="279"/>
      <c r="BK1061" s="279"/>
      <c r="BL1061" s="279"/>
      <c r="BM1061" s="279"/>
      <c r="BN1061" s="279"/>
      <c r="BO1061" s="279"/>
      <c r="BP1061" s="279"/>
      <c r="BQ1061" s="279"/>
      <c r="BR1061" s="279"/>
      <c r="BS1061" s="279"/>
      <c r="BT1061" s="279"/>
      <c r="BU1061" s="279"/>
      <c r="BV1061" s="279"/>
      <c r="BW1061" s="279"/>
      <c r="BX1061" s="279"/>
      <c r="BY1061" s="279"/>
      <c r="BZ1061" s="279"/>
      <c r="CA1061" s="279"/>
      <c r="CB1061" s="279"/>
      <c r="CC1061" s="279"/>
      <c r="CD1061" s="279"/>
      <c r="CE1061" s="279"/>
      <c r="CF1061" s="279"/>
      <c r="CG1061" s="279"/>
      <c r="CH1061" s="279"/>
      <c r="CI1061" s="279"/>
      <c r="CJ1061" s="279"/>
      <c r="CK1061" s="279"/>
      <c r="CL1061" s="279"/>
      <c r="CM1061" s="279"/>
      <c r="CN1061" s="382"/>
    </row>
    <row r="1062" x14ac:dyDescent="0.3">
      <c r="B1062" s="361"/>
      <c r="C1062" s="279"/>
      <c r="D1062" s="280"/>
      <c r="E1062" s="287"/>
      <c r="F1062" s="287"/>
      <c r="G1062" s="287"/>
      <c r="H1062" s="1292">
        <f t="shared" si="47"/>
        <v>47</v>
      </c>
      <c r="I1062" s="1190" t="str">
        <f>'I. Stream &amp; Compound Data'!P308</f>
        <v/>
      </c>
      <c r="J1062" s="1295" t="str">
        <f>IF(I188="","",IF('I. Stream &amp; Compound Data'!BQ308&lt;&gt;"",'I. Stream &amp; Compound Data'!BQ308,'I. Stream &amp; Compound Data'!BR308))</f>
        <v/>
      </c>
      <c r="K1062" s="1295" t="str">
        <f t="shared" si="50"/>
        <v/>
      </c>
      <c r="L1062" s="1317" t="str">
        <f t="shared" si="51"/>
        <v/>
      </c>
      <c r="M1062" s="296"/>
      <c r="N1062" s="280"/>
      <c r="O1062" s="280"/>
      <c r="P1062" s="279"/>
      <c r="Q1062" s="297"/>
      <c r="R1062" s="298"/>
      <c r="S1062" s="298"/>
      <c r="T1062" s="299"/>
      <c r="U1062" s="279"/>
      <c r="V1062" s="279"/>
      <c r="W1062" s="279"/>
      <c r="X1062" s="279"/>
      <c r="Y1062" s="279"/>
      <c r="Z1062" s="279"/>
      <c r="AA1062" s="279"/>
      <c r="AB1062" s="279"/>
      <c r="AC1062" s="279"/>
      <c r="AD1062" s="279"/>
      <c r="AE1062" s="279"/>
      <c r="AF1062" s="279"/>
      <c r="AG1062" s="279"/>
      <c r="AH1062" s="279"/>
      <c r="AI1062" s="279"/>
      <c r="AJ1062" s="279"/>
      <c r="AK1062" s="279"/>
      <c r="AL1062" s="279"/>
      <c r="AM1062" s="279"/>
      <c r="AN1062" s="279"/>
      <c r="AO1062" s="279"/>
      <c r="AP1062" s="279"/>
      <c r="AQ1062" s="279"/>
      <c r="AR1062" s="279"/>
      <c r="AS1062" s="279"/>
      <c r="AT1062" s="279"/>
      <c r="AU1062" s="279"/>
      <c r="AV1062" s="279"/>
      <c r="AW1062" s="279"/>
      <c r="AX1062" s="279"/>
      <c r="AY1062" s="279"/>
      <c r="AZ1062" s="279"/>
      <c r="BA1062" s="279"/>
      <c r="BB1062" s="279"/>
      <c r="BC1062" s="279"/>
      <c r="BD1062" s="279"/>
      <c r="BE1062" s="279"/>
      <c r="BF1062" s="279"/>
      <c r="BG1062" s="279"/>
      <c r="BH1062" s="279"/>
      <c r="BI1062" s="279"/>
      <c r="BJ1062" s="279"/>
      <c r="BK1062" s="279"/>
      <c r="BL1062" s="279"/>
      <c r="BM1062" s="279"/>
      <c r="BN1062" s="279"/>
      <c r="BO1062" s="279"/>
      <c r="BP1062" s="279"/>
      <c r="BQ1062" s="279"/>
      <c r="BR1062" s="279"/>
      <c r="BS1062" s="279"/>
      <c r="BT1062" s="279"/>
      <c r="BU1062" s="279"/>
      <c r="BV1062" s="279"/>
      <c r="BW1062" s="279"/>
      <c r="BX1062" s="279"/>
      <c r="BY1062" s="279"/>
      <c r="BZ1062" s="279"/>
      <c r="CA1062" s="279"/>
      <c r="CB1062" s="279"/>
      <c r="CC1062" s="279"/>
      <c r="CD1062" s="279"/>
      <c r="CE1062" s="279"/>
      <c r="CF1062" s="279"/>
      <c r="CG1062" s="279"/>
      <c r="CH1062" s="279"/>
      <c r="CI1062" s="279"/>
      <c r="CJ1062" s="279"/>
      <c r="CK1062" s="279"/>
      <c r="CL1062" s="279"/>
      <c r="CM1062" s="279"/>
      <c r="CN1062" s="382"/>
    </row>
    <row r="1063" x14ac:dyDescent="0.3">
      <c r="B1063" s="361"/>
      <c r="C1063" s="279"/>
      <c r="D1063" s="280"/>
      <c r="E1063" s="287"/>
      <c r="F1063" s="287"/>
      <c r="G1063" s="287"/>
      <c r="H1063" s="1292">
        <f t="shared" si="47"/>
        <v>48</v>
      </c>
      <c r="I1063" s="1190" t="str">
        <f>'I. Stream &amp; Compound Data'!P309</f>
        <v/>
      </c>
      <c r="J1063" s="1295" t="str">
        <f>IF(I189="","",IF('I. Stream &amp; Compound Data'!BQ309&lt;&gt;"",'I. Stream &amp; Compound Data'!BQ309,'I. Stream &amp; Compound Data'!BR309))</f>
        <v/>
      </c>
      <c r="K1063" s="1295" t="str">
        <f t="shared" si="50"/>
        <v/>
      </c>
      <c r="L1063" s="1317" t="str">
        <f t="shared" si="51"/>
        <v/>
      </c>
      <c r="M1063" s="296"/>
      <c r="N1063" s="280"/>
      <c r="O1063" s="280"/>
      <c r="P1063" s="279"/>
      <c r="Q1063" s="297"/>
      <c r="R1063" s="298"/>
      <c r="S1063" s="298"/>
      <c r="T1063" s="299"/>
      <c r="U1063" s="279"/>
      <c r="V1063" s="279"/>
      <c r="W1063" s="279"/>
      <c r="X1063" s="279"/>
      <c r="Y1063" s="279"/>
      <c r="Z1063" s="279"/>
      <c r="AA1063" s="279"/>
      <c r="AB1063" s="279"/>
      <c r="AC1063" s="279"/>
      <c r="AD1063" s="279"/>
      <c r="AE1063" s="279"/>
      <c r="AF1063" s="279"/>
      <c r="AG1063" s="279"/>
      <c r="AH1063" s="279"/>
      <c r="AI1063" s="279"/>
      <c r="AJ1063" s="279"/>
      <c r="AK1063" s="279"/>
      <c r="AL1063" s="279"/>
      <c r="AM1063" s="279"/>
      <c r="AN1063" s="279"/>
      <c r="AO1063" s="279"/>
      <c r="AP1063" s="279"/>
      <c r="AQ1063" s="279"/>
      <c r="AR1063" s="279"/>
      <c r="AS1063" s="279"/>
      <c r="AT1063" s="279"/>
      <c r="AU1063" s="279"/>
      <c r="AV1063" s="279"/>
      <c r="AW1063" s="279"/>
      <c r="AX1063" s="279"/>
      <c r="AY1063" s="279"/>
      <c r="AZ1063" s="279"/>
      <c r="BA1063" s="279"/>
      <c r="BB1063" s="279"/>
      <c r="BC1063" s="279"/>
      <c r="BD1063" s="279"/>
      <c r="BE1063" s="279"/>
      <c r="BF1063" s="279"/>
      <c r="BG1063" s="279"/>
      <c r="BH1063" s="279"/>
      <c r="BI1063" s="279"/>
      <c r="BJ1063" s="279"/>
      <c r="BK1063" s="279"/>
      <c r="BL1063" s="279"/>
      <c r="BM1063" s="279"/>
      <c r="BN1063" s="279"/>
      <c r="BO1063" s="279"/>
      <c r="BP1063" s="279"/>
      <c r="BQ1063" s="279"/>
      <c r="BR1063" s="279"/>
      <c r="BS1063" s="279"/>
      <c r="BT1063" s="279"/>
      <c r="BU1063" s="279"/>
      <c r="BV1063" s="279"/>
      <c r="BW1063" s="279"/>
      <c r="BX1063" s="279"/>
      <c r="BY1063" s="279"/>
      <c r="BZ1063" s="279"/>
      <c r="CA1063" s="279"/>
      <c r="CB1063" s="279"/>
      <c r="CC1063" s="279"/>
      <c r="CD1063" s="279"/>
      <c r="CE1063" s="279"/>
      <c r="CF1063" s="279"/>
      <c r="CG1063" s="279"/>
      <c r="CH1063" s="279"/>
      <c r="CI1063" s="279"/>
      <c r="CJ1063" s="279"/>
      <c r="CK1063" s="279"/>
      <c r="CL1063" s="279"/>
      <c r="CM1063" s="279"/>
      <c r="CN1063" s="382"/>
    </row>
    <row r="1064" x14ac:dyDescent="0.3">
      <c r="B1064" s="361"/>
      <c r="C1064" s="279"/>
      <c r="D1064" s="280"/>
      <c r="E1064" s="287"/>
      <c r="F1064" s="287"/>
      <c r="G1064" s="287"/>
      <c r="H1064" s="1292">
        <f t="shared" si="47"/>
        <v>49</v>
      </c>
      <c r="I1064" s="1190" t="str">
        <f>'I. Stream &amp; Compound Data'!P310</f>
        <v/>
      </c>
      <c r="J1064" s="1295" t="str">
        <f>IF(I190="","",IF('I. Stream &amp; Compound Data'!BQ310&lt;&gt;"",'I. Stream &amp; Compound Data'!BQ310,'I. Stream &amp; Compound Data'!BR310))</f>
        <v/>
      </c>
      <c r="K1064" s="1295" t="str">
        <f t="shared" si="50"/>
        <v/>
      </c>
      <c r="L1064" s="1317" t="str">
        <f t="shared" si="51"/>
        <v/>
      </c>
      <c r="M1064" s="296"/>
      <c r="N1064" s="280"/>
      <c r="O1064" s="280"/>
      <c r="P1064" s="279"/>
      <c r="Q1064" s="297"/>
      <c r="R1064" s="298"/>
      <c r="S1064" s="298"/>
      <c r="T1064" s="299"/>
      <c r="U1064" s="279"/>
      <c r="V1064" s="279"/>
      <c r="W1064" s="279"/>
      <c r="X1064" s="279"/>
      <c r="Y1064" s="279"/>
      <c r="Z1064" s="279"/>
      <c r="AA1064" s="279"/>
      <c r="AB1064" s="279"/>
      <c r="AC1064" s="279"/>
      <c r="AD1064" s="279"/>
      <c r="AE1064" s="279"/>
      <c r="AF1064" s="279"/>
      <c r="AG1064" s="279"/>
      <c r="AH1064" s="279"/>
      <c r="AI1064" s="279"/>
      <c r="AJ1064" s="279"/>
      <c r="AK1064" s="279"/>
      <c r="AL1064" s="279"/>
      <c r="AM1064" s="279"/>
      <c r="AN1064" s="279"/>
      <c r="AO1064" s="279"/>
      <c r="AP1064" s="279"/>
      <c r="AQ1064" s="279"/>
      <c r="AR1064" s="279"/>
      <c r="AS1064" s="279"/>
      <c r="AT1064" s="279"/>
      <c r="AU1064" s="279"/>
      <c r="AV1064" s="279"/>
      <c r="AW1064" s="279"/>
      <c r="AX1064" s="279"/>
      <c r="AY1064" s="279"/>
      <c r="AZ1064" s="279"/>
      <c r="BA1064" s="279"/>
      <c r="BB1064" s="279"/>
      <c r="BC1064" s="279"/>
      <c r="BD1064" s="279"/>
      <c r="BE1064" s="279"/>
      <c r="BF1064" s="279"/>
      <c r="BG1064" s="279"/>
      <c r="BH1064" s="279"/>
      <c r="BI1064" s="279"/>
      <c r="BJ1064" s="279"/>
      <c r="BK1064" s="279"/>
      <c r="BL1064" s="279"/>
      <c r="BM1064" s="279"/>
      <c r="BN1064" s="279"/>
      <c r="BO1064" s="279"/>
      <c r="BP1064" s="279"/>
      <c r="BQ1064" s="279"/>
      <c r="BR1064" s="279"/>
      <c r="BS1064" s="279"/>
      <c r="BT1064" s="279"/>
      <c r="BU1064" s="279"/>
      <c r="BV1064" s="279"/>
      <c r="BW1064" s="279"/>
      <c r="BX1064" s="279"/>
      <c r="BY1064" s="279"/>
      <c r="BZ1064" s="279"/>
      <c r="CA1064" s="279"/>
      <c r="CB1064" s="279"/>
      <c r="CC1064" s="279"/>
      <c r="CD1064" s="279"/>
      <c r="CE1064" s="279"/>
      <c r="CF1064" s="279"/>
      <c r="CG1064" s="279"/>
      <c r="CH1064" s="279"/>
      <c r="CI1064" s="279"/>
      <c r="CJ1064" s="279"/>
      <c r="CK1064" s="279"/>
      <c r="CL1064" s="279"/>
      <c r="CM1064" s="279"/>
      <c r="CN1064" s="382"/>
    </row>
    <row r="1065" ht="16.2" thickBot="true" x14ac:dyDescent="0.35">
      <c r="B1065" s="361"/>
      <c r="C1065" s="279"/>
      <c r="D1065" s="280"/>
      <c r="E1065" s="287"/>
      <c r="F1065" s="287"/>
      <c r="G1065" s="287"/>
      <c r="H1065" s="1298">
        <f t="shared" si="47"/>
        <v>50</v>
      </c>
      <c r="I1065" s="1259" t="str">
        <f>'I. Stream &amp; Compound Data'!P311</f>
        <v/>
      </c>
      <c r="J1065" s="1301" t="str">
        <f>IF(I191="","",IF('I. Stream &amp; Compound Data'!BQ311&lt;&gt;"",'I. Stream &amp; Compound Data'!BQ311,'I. Stream &amp; Compound Data'!BR311))</f>
        <v/>
      </c>
      <c r="K1065" s="1301" t="str">
        <f t="shared" si="50"/>
        <v/>
      </c>
      <c r="L1065" s="1318" t="str">
        <f t="shared" si="51"/>
        <v/>
      </c>
      <c r="M1065" s="296"/>
      <c r="N1065" s="280"/>
      <c r="O1065" s="280"/>
      <c r="P1065" s="279"/>
      <c r="Q1065" s="297"/>
      <c r="R1065" s="298"/>
      <c r="S1065" s="298"/>
      <c r="T1065" s="299"/>
      <c r="U1065" s="279"/>
      <c r="V1065" s="279"/>
      <c r="W1065" s="279"/>
      <c r="X1065" s="279"/>
      <c r="Y1065" s="279"/>
      <c r="Z1065" s="279"/>
      <c r="AA1065" s="279"/>
      <c r="AB1065" s="279"/>
      <c r="AC1065" s="279"/>
      <c r="AD1065" s="279"/>
      <c r="AE1065" s="279"/>
      <c r="AF1065" s="279"/>
      <c r="AG1065" s="279"/>
      <c r="AH1065" s="279"/>
      <c r="AI1065" s="279"/>
      <c r="AJ1065" s="279"/>
      <c r="AK1065" s="279"/>
      <c r="AL1065" s="279"/>
      <c r="AM1065" s="279"/>
      <c r="AN1065" s="279"/>
      <c r="AO1065" s="279"/>
      <c r="AP1065" s="279"/>
      <c r="AQ1065" s="279"/>
      <c r="AR1065" s="279"/>
      <c r="AS1065" s="279"/>
      <c r="AT1065" s="279"/>
      <c r="AU1065" s="279"/>
      <c r="AV1065" s="279"/>
      <c r="AW1065" s="279"/>
      <c r="AX1065" s="279"/>
      <c r="AY1065" s="279"/>
      <c r="AZ1065" s="279"/>
      <c r="BA1065" s="279"/>
      <c r="BB1065" s="279"/>
      <c r="BC1065" s="279"/>
      <c r="BD1065" s="279"/>
      <c r="BE1065" s="279"/>
      <c r="BF1065" s="279"/>
      <c r="BG1065" s="279"/>
      <c r="BH1065" s="279"/>
      <c r="BI1065" s="279"/>
      <c r="BJ1065" s="279"/>
      <c r="BK1065" s="279"/>
      <c r="BL1065" s="279"/>
      <c r="BM1065" s="279"/>
      <c r="BN1065" s="279"/>
      <c r="BO1065" s="279"/>
      <c r="BP1065" s="279"/>
      <c r="BQ1065" s="279"/>
      <c r="BR1065" s="279"/>
      <c r="BS1065" s="279"/>
      <c r="BT1065" s="279"/>
      <c r="BU1065" s="279"/>
      <c r="BV1065" s="279"/>
      <c r="BW1065" s="279"/>
      <c r="BX1065" s="279"/>
      <c r="BY1065" s="279"/>
      <c r="BZ1065" s="279"/>
      <c r="CA1065" s="279"/>
      <c r="CB1065" s="279"/>
      <c r="CC1065" s="279"/>
      <c r="CD1065" s="279"/>
      <c r="CE1065" s="279"/>
      <c r="CF1065" s="279"/>
      <c r="CG1065" s="279"/>
      <c r="CH1065" s="279"/>
      <c r="CI1065" s="279"/>
      <c r="CJ1065" s="279"/>
      <c r="CK1065" s="279"/>
      <c r="CL1065" s="279"/>
      <c r="CM1065" s="279"/>
      <c r="CN1065" s="382"/>
    </row>
    <row r="1066" ht="16.2" thickBot="true" x14ac:dyDescent="0.35">
      <c r="B1066" s="361"/>
      <c r="C1066" s="279"/>
      <c r="D1066" s="280"/>
      <c r="E1066" s="287"/>
      <c r="F1066" s="287"/>
      <c r="G1066" s="287"/>
      <c r="H1066" s="280"/>
      <c r="I1066" s="279"/>
      <c r="J1066" s="305" t="s">
        <v>88</v>
      </c>
      <c r="K1066" s="1305">
        <f>SUM(K1016:K1065)</f>
        <v>0</v>
      </c>
      <c r="L1066" s="1305">
        <f>SUM(L1016:L1065)</f>
        <v>2980.7504537999998</v>
      </c>
      <c r="M1066" s="296"/>
      <c r="N1066" s="280"/>
      <c r="O1066" s="280"/>
      <c r="P1066" s="279"/>
      <c r="Q1066" s="297"/>
      <c r="R1066" s="298"/>
      <c r="S1066" s="298"/>
      <c r="T1066" s="299"/>
      <c r="U1066" s="279"/>
      <c r="V1066" s="279"/>
      <c r="W1066" s="279"/>
      <c r="X1066" s="279"/>
      <c r="Y1066" s="279"/>
      <c r="Z1066" s="279"/>
      <c r="AA1066" s="279"/>
      <c r="AB1066" s="279"/>
      <c r="AC1066" s="279"/>
      <c r="AD1066" s="279"/>
      <c r="AE1066" s="279"/>
      <c r="AF1066" s="279"/>
      <c r="AG1066" s="279"/>
      <c r="AH1066" s="279"/>
      <c r="AI1066" s="279"/>
      <c r="AJ1066" s="279"/>
      <c r="AK1066" s="279"/>
      <c r="AL1066" s="279"/>
      <c r="AM1066" s="279"/>
      <c r="AN1066" s="279"/>
      <c r="AO1066" s="279"/>
      <c r="AP1066" s="279"/>
      <c r="AQ1066" s="279"/>
      <c r="AR1066" s="279"/>
      <c r="AS1066" s="279"/>
      <c r="AT1066" s="279"/>
      <c r="AU1066" s="279"/>
      <c r="AV1066" s="279"/>
      <c r="AW1066" s="279"/>
      <c r="AX1066" s="279"/>
      <c r="AY1066" s="279"/>
      <c r="AZ1066" s="279"/>
      <c r="BA1066" s="279"/>
      <c r="BB1066" s="279"/>
      <c r="BC1066" s="279"/>
      <c r="BD1066" s="279"/>
      <c r="BE1066" s="279"/>
      <c r="BF1066" s="279"/>
      <c r="BG1066" s="279"/>
      <c r="BH1066" s="279"/>
      <c r="BI1066" s="279"/>
      <c r="BJ1066" s="279"/>
      <c r="BK1066" s="279"/>
      <c r="BL1066" s="279"/>
      <c r="BM1066" s="279"/>
      <c r="BN1066" s="279"/>
      <c r="BO1066" s="279"/>
      <c r="BP1066" s="279"/>
      <c r="BQ1066" s="279"/>
      <c r="BR1066" s="279"/>
      <c r="BS1066" s="279"/>
      <c r="BT1066" s="279"/>
      <c r="BU1066" s="279"/>
      <c r="BV1066" s="279"/>
      <c r="BW1066" s="279"/>
      <c r="BX1066" s="279"/>
      <c r="BY1066" s="279"/>
      <c r="BZ1066" s="279"/>
      <c r="CA1066" s="279"/>
      <c r="CB1066" s="279"/>
      <c r="CC1066" s="279"/>
      <c r="CD1066" s="279"/>
      <c r="CE1066" s="279"/>
      <c r="CF1066" s="279"/>
      <c r="CG1066" s="279"/>
      <c r="CH1066" s="279"/>
      <c r="CI1066" s="279"/>
      <c r="CJ1066" s="279"/>
      <c r="CK1066" s="279"/>
      <c r="CL1066" s="279"/>
      <c r="CM1066" s="279"/>
      <c r="CN1066" s="382"/>
    </row>
    <row r="1067" x14ac:dyDescent="0.3">
      <c r="B1067" s="361"/>
      <c r="C1067" s="279"/>
      <c r="D1067" s="280"/>
      <c r="E1067" s="287"/>
      <c r="F1067" s="287"/>
      <c r="G1067" s="287"/>
      <c r="H1067" s="280"/>
      <c r="I1067" s="279"/>
      <c r="J1067" s="305"/>
      <c r="K1067" s="287"/>
      <c r="L1067" s="287"/>
      <c r="M1067" s="296"/>
      <c r="N1067" s="280"/>
      <c r="O1067" s="280"/>
      <c r="P1067" s="279"/>
      <c r="Q1067" s="297"/>
      <c r="R1067" s="298"/>
      <c r="S1067" s="298"/>
      <c r="T1067" s="299"/>
      <c r="U1067" s="279"/>
      <c r="V1067" s="279"/>
      <c r="W1067" s="279"/>
      <c r="X1067" s="279"/>
      <c r="Y1067" s="279"/>
      <c r="Z1067" s="279"/>
      <c r="AA1067" s="279"/>
      <c r="AB1067" s="279"/>
      <c r="AC1067" s="279"/>
      <c r="AD1067" s="279"/>
      <c r="AE1067" s="279"/>
      <c r="AF1067" s="279"/>
      <c r="AG1067" s="279"/>
      <c r="AH1067" s="279"/>
      <c r="AI1067" s="279"/>
      <c r="AJ1067" s="279"/>
      <c r="AK1067" s="279"/>
      <c r="AL1067" s="279"/>
      <c r="AM1067" s="279"/>
      <c r="AN1067" s="279"/>
      <c r="AO1067" s="279"/>
      <c r="AP1067" s="279"/>
      <c r="AQ1067" s="279"/>
      <c r="AR1067" s="279"/>
      <c r="AS1067" s="279"/>
      <c r="AT1067" s="279"/>
      <c r="AU1067" s="279"/>
      <c r="AV1067" s="279"/>
      <c r="AW1067" s="279"/>
      <c r="AX1067" s="279"/>
      <c r="AY1067" s="279"/>
      <c r="AZ1067" s="279"/>
      <c r="BA1067" s="279"/>
      <c r="BB1067" s="279"/>
      <c r="BC1067" s="279"/>
      <c r="BD1067" s="279"/>
      <c r="BE1067" s="279"/>
      <c r="BF1067" s="279"/>
      <c r="BG1067" s="279"/>
      <c r="BH1067" s="279"/>
      <c r="BI1067" s="279"/>
      <c r="BJ1067" s="279"/>
      <c r="BK1067" s="279"/>
      <c r="BL1067" s="279"/>
      <c r="BM1067" s="279"/>
      <c r="BN1067" s="279"/>
      <c r="BO1067" s="279"/>
      <c r="BP1067" s="279"/>
      <c r="BQ1067" s="279"/>
      <c r="BR1067" s="279"/>
      <c r="BS1067" s="279"/>
      <c r="BT1067" s="279"/>
      <c r="BU1067" s="279"/>
      <c r="BV1067" s="279"/>
      <c r="BW1067" s="279"/>
      <c r="BX1067" s="279"/>
      <c r="BY1067" s="279"/>
      <c r="BZ1067" s="279"/>
      <c r="CA1067" s="279"/>
      <c r="CB1067" s="279"/>
      <c r="CC1067" s="279"/>
      <c r="CD1067" s="279"/>
      <c r="CE1067" s="279"/>
      <c r="CF1067" s="279"/>
      <c r="CG1067" s="279"/>
      <c r="CH1067" s="279"/>
      <c r="CI1067" s="279"/>
      <c r="CJ1067" s="279"/>
      <c r="CK1067" s="279"/>
      <c r="CL1067" s="279"/>
      <c r="CM1067" s="279"/>
      <c r="CN1067" s="382"/>
    </row>
    <row r="1068" x14ac:dyDescent="0.3">
      <c r="B1068" s="361"/>
      <c r="C1068" s="279"/>
      <c r="D1068" s="280"/>
      <c r="E1068" s="287"/>
      <c r="F1068" s="287"/>
      <c r="G1068" s="287"/>
      <c r="H1068" s="280"/>
      <c r="I1068" s="279"/>
      <c r="J1068" s="305"/>
      <c r="K1068" s="287"/>
      <c r="L1068" s="287"/>
      <c r="M1068" s="296"/>
      <c r="N1068" s="280"/>
      <c r="O1068" s="280"/>
      <c r="P1068" s="279"/>
      <c r="Q1068" s="297"/>
      <c r="R1068" s="298"/>
      <c r="S1068" s="298"/>
      <c r="T1068" s="299"/>
      <c r="U1068" s="279"/>
      <c r="V1068" s="279"/>
      <c r="W1068" s="279"/>
      <c r="X1068" s="279"/>
      <c r="Y1068" s="279"/>
      <c r="Z1068" s="279"/>
      <c r="AA1068" s="279"/>
      <c r="AB1068" s="279"/>
      <c r="AC1068" s="279"/>
      <c r="AD1068" s="279"/>
      <c r="AE1068" s="279"/>
      <c r="AF1068" s="279"/>
      <c r="AG1068" s="279"/>
      <c r="AH1068" s="279"/>
      <c r="AI1068" s="279"/>
      <c r="AJ1068" s="279"/>
      <c r="AK1068" s="279"/>
      <c r="AL1068" s="279"/>
      <c r="AM1068" s="279"/>
      <c r="AN1068" s="279"/>
      <c r="AO1068" s="279"/>
      <c r="AP1068" s="279"/>
      <c r="AQ1068" s="279"/>
      <c r="AR1068" s="279"/>
      <c r="AS1068" s="279"/>
      <c r="AT1068" s="279"/>
      <c r="AU1068" s="279"/>
      <c r="AV1068" s="279"/>
      <c r="AW1068" s="279"/>
      <c r="AX1068" s="279"/>
      <c r="AY1068" s="279"/>
      <c r="AZ1068" s="279"/>
      <c r="BA1068" s="279"/>
      <c r="BB1068" s="279"/>
      <c r="BC1068" s="279"/>
      <c r="BD1068" s="279"/>
      <c r="BE1068" s="279"/>
      <c r="BF1068" s="279"/>
      <c r="BG1068" s="279"/>
      <c r="BH1068" s="279"/>
      <c r="BI1068" s="279"/>
      <c r="BJ1068" s="279"/>
      <c r="BK1068" s="279"/>
      <c r="BL1068" s="279"/>
      <c r="BM1068" s="279"/>
      <c r="BN1068" s="279"/>
      <c r="BO1068" s="279"/>
      <c r="BP1068" s="279"/>
      <c r="BQ1068" s="279"/>
      <c r="BR1068" s="279"/>
      <c r="BS1068" s="279"/>
      <c r="BT1068" s="279"/>
      <c r="BU1068" s="279"/>
      <c r="BV1068" s="279"/>
      <c r="BW1068" s="279"/>
      <c r="BX1068" s="279"/>
      <c r="BY1068" s="279"/>
      <c r="BZ1068" s="279"/>
      <c r="CA1068" s="279"/>
      <c r="CB1068" s="279"/>
      <c r="CC1068" s="279"/>
      <c r="CD1068" s="279"/>
      <c r="CE1068" s="279"/>
      <c r="CF1068" s="279"/>
      <c r="CG1068" s="279"/>
      <c r="CH1068" s="279"/>
      <c r="CI1068" s="279"/>
      <c r="CJ1068" s="279"/>
      <c r="CK1068" s="279"/>
      <c r="CL1068" s="279"/>
      <c r="CM1068" s="279"/>
      <c r="CN1068" s="382"/>
    </row>
    <row r="1069" x14ac:dyDescent="0.3">
      <c r="B1069" s="361"/>
      <c r="C1069" s="279"/>
      <c r="D1069" s="280"/>
      <c r="E1069" s="287"/>
      <c r="F1069" s="287"/>
      <c r="G1069" s="287"/>
      <c r="H1069" s="280"/>
      <c r="I1069" s="279"/>
      <c r="J1069" s="279"/>
      <c r="K1069" s="279"/>
      <c r="L1069" s="280"/>
      <c r="M1069" s="296"/>
      <c r="N1069" s="280"/>
      <c r="O1069" s="280"/>
      <c r="P1069" s="279"/>
      <c r="Q1069" s="297"/>
      <c r="R1069" s="298"/>
      <c r="S1069" s="298"/>
      <c r="T1069" s="299"/>
      <c r="U1069" s="279"/>
      <c r="V1069" s="279"/>
      <c r="W1069" s="279"/>
      <c r="X1069" s="279"/>
      <c r="Y1069" s="279"/>
      <c r="Z1069" s="279"/>
      <c r="AA1069" s="279"/>
      <c r="AB1069" s="279"/>
      <c r="AC1069" s="279"/>
      <c r="AD1069" s="279"/>
      <c r="AE1069" s="279"/>
      <c r="AF1069" s="279"/>
      <c r="AG1069" s="279"/>
      <c r="AH1069" s="279"/>
      <c r="AI1069" s="279"/>
      <c r="AJ1069" s="279"/>
      <c r="AK1069" s="279"/>
      <c r="AL1069" s="279"/>
      <c r="AM1069" s="279"/>
      <c r="AN1069" s="279"/>
      <c r="AO1069" s="279"/>
      <c r="AP1069" s="279"/>
      <c r="AQ1069" s="279"/>
      <c r="AR1069" s="279"/>
      <c r="AS1069" s="279"/>
      <c r="AT1069" s="279"/>
      <c r="AU1069" s="279"/>
      <c r="AV1069" s="279"/>
      <c r="AW1069" s="279"/>
      <c r="AX1069" s="279"/>
      <c r="AY1069" s="279"/>
      <c r="AZ1069" s="279"/>
      <c r="BA1069" s="279"/>
      <c r="BB1069" s="279"/>
      <c r="BC1069" s="279"/>
      <c r="BD1069" s="279"/>
      <c r="BE1069" s="279"/>
      <c r="BF1069" s="279"/>
      <c r="BG1069" s="279"/>
      <c r="BH1069" s="279"/>
      <c r="BI1069" s="279"/>
      <c r="BJ1069" s="279"/>
      <c r="BK1069" s="279"/>
      <c r="BL1069" s="279"/>
      <c r="BM1069" s="279"/>
      <c r="BN1069" s="279"/>
      <c r="BO1069" s="279"/>
      <c r="BP1069" s="279"/>
      <c r="BQ1069" s="279"/>
      <c r="BR1069" s="279"/>
      <c r="BS1069" s="279"/>
      <c r="BT1069" s="279"/>
      <c r="BU1069" s="279"/>
      <c r="BV1069" s="279"/>
      <c r="BW1069" s="279"/>
      <c r="BX1069" s="279"/>
      <c r="BY1069" s="279"/>
      <c r="BZ1069" s="279"/>
      <c r="CA1069" s="279"/>
      <c r="CB1069" s="279"/>
      <c r="CC1069" s="279"/>
      <c r="CD1069" s="279"/>
      <c r="CE1069" s="279"/>
      <c r="CF1069" s="279"/>
      <c r="CG1069" s="279"/>
      <c r="CH1069" s="279"/>
      <c r="CI1069" s="279"/>
      <c r="CJ1069" s="279"/>
      <c r="CK1069" s="279"/>
      <c r="CL1069" s="279"/>
      <c r="CM1069" s="279"/>
      <c r="CN1069" s="382"/>
    </row>
    <row r="1070" x14ac:dyDescent="0.3">
      <c r="B1070" s="361"/>
      <c r="C1070" s="279"/>
      <c r="D1070" s="280"/>
      <c r="E1070" s="287"/>
      <c r="F1070" s="287"/>
      <c r="G1070" s="287"/>
      <c r="H1070" s="280"/>
      <c r="I1070" s="279"/>
      <c r="J1070" s="279"/>
      <c r="K1070" s="279"/>
      <c r="L1070" s="280"/>
      <c r="M1070" s="296"/>
      <c r="N1070" s="280"/>
      <c r="O1070" s="280"/>
      <c r="P1070" s="279"/>
      <c r="Q1070" s="297"/>
      <c r="R1070" s="298"/>
      <c r="S1070" s="298"/>
      <c r="T1070" s="299"/>
      <c r="U1070" s="279"/>
      <c r="V1070" s="279"/>
      <c r="W1070" s="279"/>
      <c r="X1070" s="279"/>
      <c r="Y1070" s="279"/>
      <c r="Z1070" s="279"/>
      <c r="AA1070" s="279"/>
      <c r="AB1070" s="279"/>
      <c r="AC1070" s="279"/>
      <c r="AD1070" s="279"/>
      <c r="AE1070" s="279"/>
      <c r="AF1070" s="279"/>
      <c r="AG1070" s="279"/>
      <c r="AH1070" s="279"/>
      <c r="AI1070" s="279"/>
      <c r="AJ1070" s="279"/>
      <c r="AK1070" s="279"/>
      <c r="AL1070" s="279"/>
      <c r="AM1070" s="279"/>
      <c r="AN1070" s="279"/>
      <c r="AO1070" s="279"/>
      <c r="AP1070" s="279"/>
      <c r="AQ1070" s="279"/>
      <c r="AR1070" s="279"/>
      <c r="AS1070" s="279"/>
      <c r="AT1070" s="279"/>
      <c r="AU1070" s="279"/>
      <c r="AV1070" s="279"/>
      <c r="AW1070" s="279"/>
      <c r="AX1070" s="279"/>
      <c r="AY1070" s="279"/>
      <c r="AZ1070" s="279"/>
      <c r="BA1070" s="279"/>
      <c r="BB1070" s="279"/>
      <c r="BC1070" s="279"/>
      <c r="BD1070" s="279"/>
      <c r="BE1070" s="279"/>
      <c r="BF1070" s="279"/>
      <c r="BG1070" s="279"/>
      <c r="BH1070" s="279"/>
      <c r="BI1070" s="279"/>
      <c r="BJ1070" s="279"/>
      <c r="BK1070" s="279"/>
      <c r="BL1070" s="279"/>
      <c r="BM1070" s="279"/>
      <c r="BN1070" s="279"/>
      <c r="BO1070" s="279"/>
      <c r="BP1070" s="279"/>
      <c r="BQ1070" s="279"/>
      <c r="BR1070" s="279"/>
      <c r="BS1070" s="279"/>
      <c r="BT1070" s="279"/>
      <c r="BU1070" s="279"/>
      <c r="BV1070" s="279"/>
      <c r="BW1070" s="279"/>
      <c r="BX1070" s="279"/>
      <c r="BY1070" s="279"/>
      <c r="BZ1070" s="279"/>
      <c r="CA1070" s="279"/>
      <c r="CB1070" s="279"/>
      <c r="CC1070" s="279"/>
      <c r="CD1070" s="279"/>
      <c r="CE1070" s="279"/>
      <c r="CF1070" s="279"/>
      <c r="CG1070" s="279"/>
      <c r="CH1070" s="279"/>
      <c r="CI1070" s="279"/>
      <c r="CJ1070" s="279"/>
      <c r="CK1070" s="279"/>
      <c r="CL1070" s="279"/>
      <c r="CM1070" s="279"/>
      <c r="CN1070" s="382"/>
    </row>
    <row r="1071" ht="16.2" thickBot="true" x14ac:dyDescent="0.35">
      <c r="B1071" s="361"/>
      <c r="C1071" s="279"/>
      <c r="D1071" s="280"/>
      <c r="E1071" s="287"/>
      <c r="F1071" s="287"/>
      <c r="G1071" s="287"/>
      <c r="H1071" s="280"/>
      <c r="I1071" s="279"/>
      <c r="J1071" s="279"/>
      <c r="K1071" s="279"/>
      <c r="L1071" s="280"/>
      <c r="M1071" s="296"/>
      <c r="N1071" s="280"/>
      <c r="O1071" s="280"/>
      <c r="P1071" s="279"/>
      <c r="Q1071" s="297"/>
      <c r="R1071" s="298"/>
      <c r="S1071" s="298"/>
      <c r="T1071" s="299"/>
      <c r="U1071" s="279"/>
      <c r="V1071" s="279"/>
      <c r="W1071" s="279"/>
      <c r="X1071" s="279"/>
      <c r="Y1071" s="279"/>
      <c r="Z1071" s="279"/>
      <c r="AA1071" s="279"/>
      <c r="AB1071" s="279"/>
      <c r="AC1071" s="279"/>
      <c r="AD1071" s="279"/>
      <c r="AE1071" s="279"/>
      <c r="AF1071" s="279"/>
      <c r="AG1071" s="279"/>
      <c r="AH1071" s="279"/>
      <c r="AI1071" s="279"/>
      <c r="AJ1071" s="279"/>
      <c r="AK1071" s="279"/>
      <c r="AL1071" s="279"/>
      <c r="AM1071" s="279"/>
      <c r="AN1071" s="279"/>
      <c r="AO1071" s="279"/>
      <c r="AP1071" s="279"/>
      <c r="AQ1071" s="279"/>
      <c r="AR1071" s="279"/>
      <c r="AS1071" s="279"/>
      <c r="AT1071" s="279"/>
      <c r="AU1071" s="279"/>
      <c r="AV1071" s="279"/>
      <c r="AW1071" s="279"/>
      <c r="AX1071" s="279"/>
      <c r="AY1071" s="279"/>
      <c r="AZ1071" s="279"/>
      <c r="BA1071" s="279"/>
      <c r="BB1071" s="279"/>
      <c r="BC1071" s="279"/>
      <c r="BD1071" s="279"/>
      <c r="BE1071" s="279"/>
      <c r="BF1071" s="279"/>
      <c r="BG1071" s="279"/>
      <c r="BH1071" s="279"/>
      <c r="BI1071" s="279"/>
      <c r="BJ1071" s="279"/>
      <c r="BK1071" s="279"/>
      <c r="BL1071" s="279"/>
      <c r="BM1071" s="279"/>
      <c r="BN1071" s="279"/>
      <c r="BO1071" s="279"/>
      <c r="BP1071" s="279"/>
      <c r="BQ1071" s="279"/>
      <c r="BR1071" s="279"/>
      <c r="BS1071" s="279"/>
      <c r="BT1071" s="279"/>
      <c r="BU1071" s="279"/>
      <c r="BV1071" s="279"/>
      <c r="BW1071" s="279"/>
      <c r="BX1071" s="279"/>
      <c r="BY1071" s="279"/>
      <c r="BZ1071" s="279"/>
      <c r="CA1071" s="279"/>
      <c r="CB1071" s="279"/>
      <c r="CC1071" s="279"/>
      <c r="CD1071" s="279"/>
      <c r="CE1071" s="279"/>
      <c r="CF1071" s="279"/>
      <c r="CG1071" s="279"/>
      <c r="CH1071" s="279"/>
      <c r="CI1071" s="279"/>
      <c r="CJ1071" s="279"/>
      <c r="CK1071" s="279"/>
      <c r="CL1071" s="279"/>
      <c r="CM1071" s="279"/>
      <c r="CN1071" s="382"/>
    </row>
    <row r="1072" ht="28.5" customHeight="true" thickBot="true" x14ac:dyDescent="0.35">
      <c r="B1072" s="361"/>
      <c r="C1072" s="279"/>
      <c r="D1072" s="280"/>
      <c r="E1072" s="287"/>
      <c r="F1072" s="287"/>
      <c r="G1072" s="287"/>
      <c r="H1072" s="1950" t="s">
        <v>631</v>
      </c>
      <c r="I1072" s="1951"/>
      <c r="J1072" s="1951"/>
      <c r="K1072" s="1951"/>
      <c r="L1072" s="1952"/>
      <c r="M1072" s="296"/>
      <c r="N1072" s="280"/>
      <c r="O1072" s="280"/>
      <c r="P1072" s="279"/>
      <c r="Q1072" s="297"/>
      <c r="R1072" s="298"/>
      <c r="S1072" s="298"/>
      <c r="T1072" s="299"/>
      <c r="U1072" s="279"/>
      <c r="V1072" s="279"/>
      <c r="W1072" s="279"/>
      <c r="X1072" s="279"/>
      <c r="Y1072" s="279"/>
      <c r="Z1072" s="279"/>
      <c r="AA1072" s="279"/>
      <c r="AB1072" s="279"/>
      <c r="AC1072" s="279"/>
      <c r="AD1072" s="279"/>
      <c r="AE1072" s="279"/>
      <c r="AF1072" s="279"/>
      <c r="AG1072" s="279"/>
      <c r="AH1072" s="279"/>
      <c r="AI1072" s="279"/>
      <c r="AJ1072" s="279"/>
      <c r="AK1072" s="279"/>
      <c r="AL1072" s="279"/>
      <c r="AM1072" s="279"/>
      <c r="AN1072" s="279"/>
      <c r="AO1072" s="279"/>
      <c r="AP1072" s="279"/>
      <c r="AQ1072" s="279"/>
      <c r="AR1072" s="279"/>
      <c r="AS1072" s="279"/>
      <c r="AT1072" s="279"/>
      <c r="AU1072" s="279"/>
      <c r="AV1072" s="279"/>
      <c r="AW1072" s="279"/>
      <c r="AX1072" s="279"/>
      <c r="AY1072" s="279"/>
      <c r="AZ1072" s="279"/>
      <c r="BA1072" s="279"/>
      <c r="BB1072" s="279"/>
      <c r="BC1072" s="279"/>
      <c r="BD1072" s="279"/>
      <c r="BE1072" s="279"/>
      <c r="BF1072" s="279"/>
      <c r="BG1072" s="279"/>
      <c r="BH1072" s="279"/>
      <c r="BI1072" s="279"/>
      <c r="BJ1072" s="279"/>
      <c r="BK1072" s="279"/>
      <c r="BL1072" s="279"/>
      <c r="BM1072" s="279"/>
      <c r="BN1072" s="279"/>
      <c r="BO1072" s="279"/>
      <c r="BP1072" s="279"/>
      <c r="BQ1072" s="279"/>
      <c r="BR1072" s="279"/>
      <c r="BS1072" s="279"/>
      <c r="BT1072" s="279"/>
      <c r="BU1072" s="279"/>
      <c r="BV1072" s="279"/>
      <c r="BW1072" s="279"/>
      <c r="BX1072" s="279"/>
      <c r="BY1072" s="279"/>
      <c r="BZ1072" s="279"/>
      <c r="CA1072" s="279"/>
      <c r="CB1072" s="279"/>
      <c r="CC1072" s="279"/>
      <c r="CD1072" s="279"/>
      <c r="CE1072" s="279"/>
      <c r="CF1072" s="279"/>
      <c r="CG1072" s="279"/>
      <c r="CH1072" s="279"/>
      <c r="CI1072" s="279"/>
      <c r="CJ1072" s="279"/>
      <c r="CK1072" s="279"/>
      <c r="CL1072" s="279"/>
      <c r="CM1072" s="279"/>
      <c r="CN1072" s="382"/>
    </row>
    <row r="1073" x14ac:dyDescent="0.3">
      <c r="B1073" s="361"/>
      <c r="C1073" s="279"/>
      <c r="D1073" s="280"/>
      <c r="E1073" s="287"/>
      <c r="F1073" s="287"/>
      <c r="G1073" s="287"/>
      <c r="H1073" s="282" t="s">
        <v>1469</v>
      </c>
      <c r="I1073" s="1166" t="s">
        <v>289</v>
      </c>
      <c r="J1073" s="1166" t="s">
        <v>632</v>
      </c>
      <c r="K1073" s="1186" t="s">
        <v>645</v>
      </c>
      <c r="L1073" s="291" t="s">
        <v>633</v>
      </c>
      <c r="M1073" s="296"/>
      <c r="N1073" s="280"/>
      <c r="O1073" s="280"/>
      <c r="P1073" s="279"/>
      <c r="Q1073" s="297"/>
      <c r="R1073" s="298"/>
      <c r="S1073" s="298"/>
      <c r="T1073" s="299"/>
      <c r="U1073" s="279"/>
      <c r="V1073" s="279"/>
      <c r="W1073" s="279"/>
      <c r="X1073" s="279"/>
      <c r="Y1073" s="279"/>
      <c r="Z1073" s="279"/>
      <c r="AA1073" s="279"/>
      <c r="AB1073" s="279"/>
      <c r="AC1073" s="279"/>
      <c r="AD1073" s="279"/>
      <c r="AE1073" s="279"/>
      <c r="AF1073" s="279"/>
      <c r="AG1073" s="279"/>
      <c r="AH1073" s="279"/>
      <c r="AI1073" s="279"/>
      <c r="AJ1073" s="279"/>
      <c r="AK1073" s="279"/>
      <c r="AL1073" s="279"/>
      <c r="AM1073" s="279"/>
      <c r="AN1073" s="279"/>
      <c r="AO1073" s="279"/>
      <c r="AP1073" s="279"/>
      <c r="AQ1073" s="279"/>
      <c r="AR1073" s="279"/>
      <c r="AS1073" s="279"/>
      <c r="AT1073" s="279"/>
      <c r="AU1073" s="279"/>
      <c r="AV1073" s="279"/>
      <c r="AW1073" s="279"/>
      <c r="AX1073" s="279"/>
      <c r="AY1073" s="279"/>
      <c r="AZ1073" s="279"/>
      <c r="BA1073" s="279"/>
      <c r="BB1073" s="279"/>
      <c r="BC1073" s="279"/>
      <c r="BD1073" s="279"/>
      <c r="BE1073" s="279"/>
      <c r="BF1073" s="279"/>
      <c r="BG1073" s="279"/>
      <c r="BH1073" s="279"/>
      <c r="BI1073" s="279"/>
      <c r="BJ1073" s="279"/>
      <c r="BK1073" s="279"/>
      <c r="BL1073" s="279"/>
      <c r="BM1073" s="279"/>
      <c r="BN1073" s="279"/>
      <c r="BO1073" s="279"/>
      <c r="BP1073" s="279"/>
      <c r="BQ1073" s="279"/>
      <c r="BR1073" s="279"/>
      <c r="BS1073" s="279"/>
      <c r="BT1073" s="279"/>
      <c r="BU1073" s="279"/>
      <c r="BV1073" s="279"/>
      <c r="BW1073" s="279"/>
      <c r="BX1073" s="279"/>
      <c r="BY1073" s="279"/>
      <c r="BZ1073" s="279"/>
      <c r="CA1073" s="279"/>
      <c r="CB1073" s="279"/>
      <c r="CC1073" s="279"/>
      <c r="CD1073" s="279"/>
      <c r="CE1073" s="279"/>
      <c r="CF1073" s="279"/>
      <c r="CG1073" s="279"/>
      <c r="CH1073" s="279"/>
      <c r="CI1073" s="279"/>
      <c r="CJ1073" s="279"/>
      <c r="CK1073" s="279"/>
      <c r="CL1073" s="279"/>
      <c r="CM1073" s="279"/>
      <c r="CN1073" s="382"/>
    </row>
    <row r="1074" x14ac:dyDescent="0.3">
      <c r="B1074" s="361"/>
      <c r="C1074" s="279"/>
      <c r="D1074" s="280"/>
      <c r="E1074" s="287"/>
      <c r="F1074" s="287"/>
      <c r="G1074" s="287"/>
      <c r="H1074" s="1292">
        <f t="shared" ref="H1074:H1123" si="52">H142</f>
        <v>1</v>
      </c>
      <c r="I1074" s="1190">
        <f>'I. Stream &amp; Compound Data'!P262</f>
        <v>2980.7504537999998</v>
      </c>
      <c r="J1074" s="1295">
        <f>IF(I142="","",IF('I. Stream &amp; Compound Data'!BU262&lt;&gt;"",'I. Stream &amp; Compound Data'!BU262,'I. Stream &amp; Compound Data'!BV262))</f>
        <v>0</v>
      </c>
      <c r="K1074" s="1295">
        <f t="shared" ref="K1074:K1092" si="53">IF(I142="","",I1074*J1074)</f>
        <v>0</v>
      </c>
      <c r="L1074" s="1317">
        <f>IF(K1074="","",(IF(J1074=0,1,J1074))*I1074)</f>
        <v>2980.7504537999998</v>
      </c>
      <c r="M1074" s="296"/>
      <c r="N1074" s="280"/>
      <c r="O1074" s="280"/>
      <c r="P1074" s="279"/>
      <c r="Q1074" s="297"/>
      <c r="R1074" s="298"/>
      <c r="S1074" s="298"/>
      <c r="T1074" s="299"/>
      <c r="U1074" s="279"/>
      <c r="V1074" s="279"/>
      <c r="W1074" s="279"/>
      <c r="X1074" s="279"/>
      <c r="Y1074" s="279"/>
      <c r="Z1074" s="279"/>
      <c r="AA1074" s="279"/>
      <c r="AB1074" s="279"/>
      <c r="AC1074" s="279"/>
      <c r="AD1074" s="279"/>
      <c r="AE1074" s="279"/>
      <c r="AF1074" s="279"/>
      <c r="AG1074" s="279"/>
      <c r="AH1074" s="279"/>
      <c r="AI1074" s="279"/>
      <c r="AJ1074" s="279"/>
      <c r="AK1074" s="279"/>
      <c r="AL1074" s="279"/>
      <c r="AM1074" s="279"/>
      <c r="AN1074" s="279"/>
      <c r="AO1074" s="279"/>
      <c r="AP1074" s="279"/>
      <c r="AQ1074" s="279"/>
      <c r="AR1074" s="279"/>
      <c r="AS1074" s="279"/>
      <c r="AT1074" s="279"/>
      <c r="AU1074" s="279"/>
      <c r="AV1074" s="279"/>
      <c r="AW1074" s="279"/>
      <c r="AX1074" s="279"/>
      <c r="AY1074" s="279"/>
      <c r="AZ1074" s="279"/>
      <c r="BA1074" s="279"/>
      <c r="BB1074" s="279"/>
      <c r="BC1074" s="279"/>
      <c r="BD1074" s="279"/>
      <c r="BE1074" s="279"/>
      <c r="BF1074" s="279"/>
      <c r="BG1074" s="279"/>
      <c r="BH1074" s="279"/>
      <c r="BI1074" s="279"/>
      <c r="BJ1074" s="279"/>
      <c r="BK1074" s="279"/>
      <c r="BL1074" s="279"/>
      <c r="BM1074" s="279"/>
      <c r="BN1074" s="279"/>
      <c r="BO1074" s="279"/>
      <c r="BP1074" s="279"/>
      <c r="BQ1074" s="279"/>
      <c r="BR1074" s="279"/>
      <c r="BS1074" s="279"/>
      <c r="BT1074" s="279"/>
      <c r="BU1074" s="279"/>
      <c r="BV1074" s="279"/>
      <c r="BW1074" s="279"/>
      <c r="BX1074" s="279"/>
      <c r="BY1074" s="279"/>
      <c r="BZ1074" s="279"/>
      <c r="CA1074" s="279"/>
      <c r="CB1074" s="279"/>
      <c r="CC1074" s="279"/>
      <c r="CD1074" s="279"/>
      <c r="CE1074" s="279"/>
      <c r="CF1074" s="279"/>
      <c r="CG1074" s="279"/>
      <c r="CH1074" s="279"/>
      <c r="CI1074" s="279"/>
      <c r="CJ1074" s="279"/>
      <c r="CK1074" s="279"/>
      <c r="CL1074" s="279"/>
      <c r="CM1074" s="279"/>
      <c r="CN1074" s="382"/>
    </row>
    <row r="1075" x14ac:dyDescent="0.3">
      <c r="B1075" s="361"/>
      <c r="C1075" s="279"/>
      <c r="D1075" s="280"/>
      <c r="E1075" s="287"/>
      <c r="F1075" s="287"/>
      <c r="G1075" s="287"/>
      <c r="H1075" s="1292">
        <f t="shared" si="52"/>
        <v>2</v>
      </c>
      <c r="I1075" s="1190">
        <f>'I. Stream &amp; Compound Data'!P263</f>
        <v>0</v>
      </c>
      <c r="J1075" s="1295">
        <f>IF(I143="","",IF('I. Stream &amp; Compound Data'!BU263&lt;&gt;"",'I. Stream &amp; Compound Data'!BU263,'I. Stream &amp; Compound Data'!BV263))</f>
        <v>0</v>
      </c>
      <c r="K1075" s="1295">
        <f t="shared" si="53"/>
        <v>0</v>
      </c>
      <c r="L1075" s="1317">
        <f t="shared" ref="L1075:L1092" si="54">IF(K1075="","",(IF(J1075=0,1,J1075))*I1075)</f>
        <v>0</v>
      </c>
      <c r="M1075" s="296"/>
      <c r="N1075" s="280"/>
      <c r="O1075" s="280"/>
      <c r="P1075" s="279"/>
      <c r="Q1075" s="297"/>
      <c r="R1075" s="298"/>
      <c r="S1075" s="298"/>
      <c r="T1075" s="299"/>
      <c r="U1075" s="279"/>
      <c r="V1075" s="279"/>
      <c r="W1075" s="279"/>
      <c r="X1075" s="279"/>
      <c r="Y1075" s="279"/>
      <c r="Z1075" s="279"/>
      <c r="AA1075" s="279"/>
      <c r="AB1075" s="279"/>
      <c r="AC1075" s="279"/>
      <c r="AD1075" s="279"/>
      <c r="AE1075" s="279"/>
      <c r="AF1075" s="279"/>
      <c r="AG1075" s="279"/>
      <c r="AH1075" s="279"/>
      <c r="AI1075" s="279"/>
      <c r="AJ1075" s="279"/>
      <c r="AK1075" s="279"/>
      <c r="AL1075" s="279"/>
      <c r="AM1075" s="279"/>
      <c r="AN1075" s="279"/>
      <c r="AO1075" s="279"/>
      <c r="AP1075" s="279"/>
      <c r="AQ1075" s="279"/>
      <c r="AR1075" s="279"/>
      <c r="AS1075" s="279"/>
      <c r="AT1075" s="279"/>
      <c r="AU1075" s="279"/>
      <c r="AV1075" s="279"/>
      <c r="AW1075" s="279"/>
      <c r="AX1075" s="279"/>
      <c r="AY1075" s="279"/>
      <c r="AZ1075" s="279"/>
      <c r="BA1075" s="279"/>
      <c r="BB1075" s="279"/>
      <c r="BC1075" s="279"/>
      <c r="BD1075" s="279"/>
      <c r="BE1075" s="279"/>
      <c r="BF1075" s="279"/>
      <c r="BG1075" s="279"/>
      <c r="BH1075" s="279"/>
      <c r="BI1075" s="279"/>
      <c r="BJ1075" s="279"/>
      <c r="BK1075" s="279"/>
      <c r="BL1075" s="279"/>
      <c r="BM1075" s="279"/>
      <c r="BN1075" s="279"/>
      <c r="BO1075" s="279"/>
      <c r="BP1075" s="279"/>
      <c r="BQ1075" s="279"/>
      <c r="BR1075" s="279"/>
      <c r="BS1075" s="279"/>
      <c r="BT1075" s="279"/>
      <c r="BU1075" s="279"/>
      <c r="BV1075" s="279"/>
      <c r="BW1075" s="279"/>
      <c r="BX1075" s="279"/>
      <c r="BY1075" s="279"/>
      <c r="BZ1075" s="279"/>
      <c r="CA1075" s="279"/>
      <c r="CB1075" s="279"/>
      <c r="CC1075" s="279"/>
      <c r="CD1075" s="279"/>
      <c r="CE1075" s="279"/>
      <c r="CF1075" s="279"/>
      <c r="CG1075" s="279"/>
      <c r="CH1075" s="279"/>
      <c r="CI1075" s="279"/>
      <c r="CJ1075" s="279"/>
      <c r="CK1075" s="279"/>
      <c r="CL1075" s="279"/>
      <c r="CM1075" s="279"/>
      <c r="CN1075" s="382"/>
    </row>
    <row r="1076" x14ac:dyDescent="0.3">
      <c r="B1076" s="361"/>
      <c r="C1076" s="279"/>
      <c r="D1076" s="280"/>
      <c r="E1076" s="287"/>
      <c r="F1076" s="287"/>
      <c r="G1076" s="287"/>
      <c r="H1076" s="1292">
        <f t="shared" si="52"/>
        <v>3</v>
      </c>
      <c r="I1076" s="1190">
        <f>'I. Stream &amp; Compound Data'!P264</f>
        <v>0</v>
      </c>
      <c r="J1076" s="1295">
        <f>IF(I144="","",IF('I. Stream &amp; Compound Data'!BU264&lt;&gt;"",'I. Stream &amp; Compound Data'!BU264,'I. Stream &amp; Compound Data'!BV264))</f>
        <v>0</v>
      </c>
      <c r="K1076" s="1295">
        <f t="shared" si="53"/>
        <v>0</v>
      </c>
      <c r="L1076" s="1317">
        <f t="shared" si="54"/>
        <v>0</v>
      </c>
      <c r="M1076" s="296"/>
      <c r="N1076" s="280"/>
      <c r="O1076" s="280"/>
      <c r="P1076" s="279"/>
      <c r="Q1076" s="297"/>
      <c r="R1076" s="298"/>
      <c r="S1076" s="298"/>
      <c r="T1076" s="299"/>
      <c r="U1076" s="279"/>
      <c r="V1076" s="279"/>
      <c r="W1076" s="279"/>
      <c r="X1076" s="279"/>
      <c r="Y1076" s="279"/>
      <c r="Z1076" s="279"/>
      <c r="AA1076" s="279"/>
      <c r="AB1076" s="279"/>
      <c r="AC1076" s="279"/>
      <c r="AD1076" s="279"/>
      <c r="AE1076" s="279"/>
      <c r="AF1076" s="279"/>
      <c r="AG1076" s="279"/>
      <c r="AH1076" s="279"/>
      <c r="AI1076" s="279"/>
      <c r="AJ1076" s="279"/>
      <c r="AK1076" s="279"/>
      <c r="AL1076" s="279"/>
      <c r="AM1076" s="279"/>
      <c r="AN1076" s="279"/>
      <c r="AO1076" s="279"/>
      <c r="AP1076" s="279"/>
      <c r="AQ1076" s="279"/>
      <c r="AR1076" s="279"/>
      <c r="AS1076" s="279"/>
      <c r="AT1076" s="279"/>
      <c r="AU1076" s="279"/>
      <c r="AV1076" s="279"/>
      <c r="AW1076" s="279"/>
      <c r="AX1076" s="279"/>
      <c r="AY1076" s="279"/>
      <c r="AZ1076" s="279"/>
      <c r="BA1076" s="279"/>
      <c r="BB1076" s="279"/>
      <c r="BC1076" s="279"/>
      <c r="BD1076" s="279"/>
      <c r="BE1076" s="279"/>
      <c r="BF1076" s="279"/>
      <c r="BG1076" s="279"/>
      <c r="BH1076" s="279"/>
      <c r="BI1076" s="279"/>
      <c r="BJ1076" s="279"/>
      <c r="BK1076" s="279"/>
      <c r="BL1076" s="279"/>
      <c r="BM1076" s="279"/>
      <c r="BN1076" s="279"/>
      <c r="BO1076" s="279"/>
      <c r="BP1076" s="279"/>
      <c r="BQ1076" s="279"/>
      <c r="BR1076" s="279"/>
      <c r="BS1076" s="279"/>
      <c r="BT1076" s="279"/>
      <c r="BU1076" s="279"/>
      <c r="BV1076" s="279"/>
      <c r="BW1076" s="279"/>
      <c r="BX1076" s="279"/>
      <c r="BY1076" s="279"/>
      <c r="BZ1076" s="279"/>
      <c r="CA1076" s="279"/>
      <c r="CB1076" s="279"/>
      <c r="CC1076" s="279"/>
      <c r="CD1076" s="279"/>
      <c r="CE1076" s="279"/>
      <c r="CF1076" s="279"/>
      <c r="CG1076" s="279"/>
      <c r="CH1076" s="279"/>
      <c r="CI1076" s="279"/>
      <c r="CJ1076" s="279"/>
      <c r="CK1076" s="279"/>
      <c r="CL1076" s="279"/>
      <c r="CM1076" s="279"/>
      <c r="CN1076" s="382"/>
    </row>
    <row r="1077" x14ac:dyDescent="0.3">
      <c r="B1077" s="361"/>
      <c r="C1077" s="279"/>
      <c r="D1077" s="280"/>
      <c r="E1077" s="287"/>
      <c r="F1077" s="287"/>
      <c r="G1077" s="287"/>
      <c r="H1077" s="1292">
        <f t="shared" si="52"/>
        <v>4</v>
      </c>
      <c r="I1077" s="1190">
        <f>'I. Stream &amp; Compound Data'!P265</f>
        <v>0</v>
      </c>
      <c r="J1077" s="1295">
        <f>IF(I145="","",IF('I. Stream &amp; Compound Data'!BU265&lt;&gt;"",'I. Stream &amp; Compound Data'!BU265,'I. Stream &amp; Compound Data'!BV265))</f>
        <v>0</v>
      </c>
      <c r="K1077" s="1295">
        <f t="shared" si="53"/>
        <v>0</v>
      </c>
      <c r="L1077" s="1317">
        <f t="shared" si="54"/>
        <v>0</v>
      </c>
      <c r="M1077" s="296"/>
      <c r="N1077" s="280"/>
      <c r="O1077" s="280"/>
      <c r="P1077" s="279"/>
      <c r="Q1077" s="297"/>
      <c r="R1077" s="298"/>
      <c r="S1077" s="298"/>
      <c r="T1077" s="299"/>
      <c r="U1077" s="279"/>
      <c r="V1077" s="279"/>
      <c r="W1077" s="279"/>
      <c r="X1077" s="279"/>
      <c r="Y1077" s="279"/>
      <c r="Z1077" s="279"/>
      <c r="AA1077" s="279"/>
      <c r="AB1077" s="279"/>
      <c r="AC1077" s="279"/>
      <c r="AD1077" s="279"/>
      <c r="AE1077" s="279"/>
      <c r="AF1077" s="279"/>
      <c r="AG1077" s="279"/>
      <c r="AH1077" s="279"/>
      <c r="AI1077" s="279"/>
      <c r="AJ1077" s="279"/>
      <c r="AK1077" s="279"/>
      <c r="AL1077" s="279"/>
      <c r="AM1077" s="279"/>
      <c r="AN1077" s="279"/>
      <c r="AO1077" s="279"/>
      <c r="AP1077" s="279"/>
      <c r="AQ1077" s="279"/>
      <c r="AR1077" s="279"/>
      <c r="AS1077" s="279"/>
      <c r="AT1077" s="279"/>
      <c r="AU1077" s="279"/>
      <c r="AV1077" s="279"/>
      <c r="AW1077" s="279"/>
      <c r="AX1077" s="279"/>
      <c r="AY1077" s="279"/>
      <c r="AZ1077" s="279"/>
      <c r="BA1077" s="279"/>
      <c r="BB1077" s="279"/>
      <c r="BC1077" s="279"/>
      <c r="BD1077" s="279"/>
      <c r="BE1077" s="279"/>
      <c r="BF1077" s="279"/>
      <c r="BG1077" s="279"/>
      <c r="BH1077" s="279"/>
      <c r="BI1077" s="279"/>
      <c r="BJ1077" s="279"/>
      <c r="BK1077" s="279"/>
      <c r="BL1077" s="279"/>
      <c r="BM1077" s="279"/>
      <c r="BN1077" s="279"/>
      <c r="BO1077" s="279"/>
      <c r="BP1077" s="279"/>
      <c r="BQ1077" s="279"/>
      <c r="BR1077" s="279"/>
      <c r="BS1077" s="279"/>
      <c r="BT1077" s="279"/>
      <c r="BU1077" s="279"/>
      <c r="BV1077" s="279"/>
      <c r="BW1077" s="279"/>
      <c r="BX1077" s="279"/>
      <c r="BY1077" s="279"/>
      <c r="BZ1077" s="279"/>
      <c r="CA1077" s="279"/>
      <c r="CB1077" s="279"/>
      <c r="CC1077" s="279"/>
      <c r="CD1077" s="279"/>
      <c r="CE1077" s="279"/>
      <c r="CF1077" s="279"/>
      <c r="CG1077" s="279"/>
      <c r="CH1077" s="279"/>
      <c r="CI1077" s="279"/>
      <c r="CJ1077" s="279"/>
      <c r="CK1077" s="279"/>
      <c r="CL1077" s="279"/>
      <c r="CM1077" s="279"/>
      <c r="CN1077" s="382"/>
    </row>
    <row r="1078" x14ac:dyDescent="0.3">
      <c r="B1078" s="361"/>
      <c r="C1078" s="279"/>
      <c r="D1078" s="280"/>
      <c r="E1078" s="287"/>
      <c r="F1078" s="287"/>
      <c r="G1078" s="287"/>
      <c r="H1078" s="1292">
        <f t="shared" si="52"/>
        <v>5</v>
      </c>
      <c r="I1078" s="1190" t="str">
        <f>'I. Stream &amp; Compound Data'!P266</f>
        <v/>
      </c>
      <c r="J1078" s="1295" t="str">
        <f>IF(I146="","",IF('I. Stream &amp; Compound Data'!BU266&lt;&gt;"",'I. Stream &amp; Compound Data'!BU266,'I. Stream &amp; Compound Data'!BV266))</f>
        <v/>
      </c>
      <c r="K1078" s="1295" t="str">
        <f t="shared" si="53"/>
        <v/>
      </c>
      <c r="L1078" s="1317" t="str">
        <f t="shared" si="54"/>
        <v/>
      </c>
      <c r="M1078" s="296"/>
      <c r="N1078" s="280"/>
      <c r="O1078" s="280"/>
      <c r="P1078" s="279"/>
      <c r="Q1078" s="297"/>
      <c r="R1078" s="298"/>
      <c r="S1078" s="298"/>
      <c r="T1078" s="299"/>
      <c r="U1078" s="279"/>
      <c r="V1078" s="279"/>
      <c r="W1078" s="279"/>
      <c r="X1078" s="279"/>
      <c r="Y1078" s="279"/>
      <c r="Z1078" s="279"/>
      <c r="AA1078" s="279"/>
      <c r="AB1078" s="279"/>
      <c r="AC1078" s="279"/>
      <c r="AD1078" s="279"/>
      <c r="AE1078" s="279"/>
      <c r="AF1078" s="279"/>
      <c r="AG1078" s="279"/>
      <c r="AH1078" s="279"/>
      <c r="AI1078" s="279"/>
      <c r="AJ1078" s="279"/>
      <c r="AK1078" s="279"/>
      <c r="AL1078" s="279"/>
      <c r="AM1078" s="279"/>
      <c r="AN1078" s="279"/>
      <c r="AO1078" s="279"/>
      <c r="AP1078" s="279"/>
      <c r="AQ1078" s="279"/>
      <c r="AR1078" s="279"/>
      <c r="AS1078" s="279"/>
      <c r="AT1078" s="279"/>
      <c r="AU1078" s="279"/>
      <c r="AV1078" s="279"/>
      <c r="AW1078" s="279"/>
      <c r="AX1078" s="279"/>
      <c r="AY1078" s="279"/>
      <c r="AZ1078" s="279"/>
      <c r="BA1078" s="279"/>
      <c r="BB1078" s="279"/>
      <c r="BC1078" s="279"/>
      <c r="BD1078" s="279"/>
      <c r="BE1078" s="279"/>
      <c r="BF1078" s="279"/>
      <c r="BG1078" s="279"/>
      <c r="BH1078" s="279"/>
      <c r="BI1078" s="279"/>
      <c r="BJ1078" s="279"/>
      <c r="BK1078" s="279"/>
      <c r="BL1078" s="279"/>
      <c r="BM1078" s="279"/>
      <c r="BN1078" s="279"/>
      <c r="BO1078" s="279"/>
      <c r="BP1078" s="279"/>
      <c r="BQ1078" s="279"/>
      <c r="BR1078" s="279"/>
      <c r="BS1078" s="279"/>
      <c r="BT1078" s="279"/>
      <c r="BU1078" s="279"/>
      <c r="BV1078" s="279"/>
      <c r="BW1078" s="279"/>
      <c r="BX1078" s="279"/>
      <c r="BY1078" s="279"/>
      <c r="BZ1078" s="279"/>
      <c r="CA1078" s="279"/>
      <c r="CB1078" s="279"/>
      <c r="CC1078" s="279"/>
      <c r="CD1078" s="279"/>
      <c r="CE1078" s="279"/>
      <c r="CF1078" s="279"/>
      <c r="CG1078" s="279"/>
      <c r="CH1078" s="279"/>
      <c r="CI1078" s="279"/>
      <c r="CJ1078" s="279"/>
      <c r="CK1078" s="279"/>
      <c r="CL1078" s="279"/>
      <c r="CM1078" s="279"/>
      <c r="CN1078" s="382"/>
    </row>
    <row r="1079" x14ac:dyDescent="0.3">
      <c r="B1079" s="361"/>
      <c r="C1079" s="279"/>
      <c r="D1079" s="280"/>
      <c r="E1079" s="287"/>
      <c r="F1079" s="287"/>
      <c r="G1079" s="287"/>
      <c r="H1079" s="1292">
        <f t="shared" si="52"/>
        <v>6</v>
      </c>
      <c r="I1079" s="1190" t="str">
        <f>'I. Stream &amp; Compound Data'!P267</f>
        <v/>
      </c>
      <c r="J1079" s="1295" t="str">
        <f>IF(I147="","",IF('I. Stream &amp; Compound Data'!BU267&lt;&gt;"",'I. Stream &amp; Compound Data'!BU267,'I. Stream &amp; Compound Data'!BV267))</f>
        <v/>
      </c>
      <c r="K1079" s="1295" t="str">
        <f t="shared" si="53"/>
        <v/>
      </c>
      <c r="L1079" s="1317" t="str">
        <f t="shared" si="54"/>
        <v/>
      </c>
      <c r="M1079" s="296"/>
      <c r="N1079" s="280"/>
      <c r="O1079" s="280"/>
      <c r="P1079" s="279"/>
      <c r="Q1079" s="297"/>
      <c r="R1079" s="298"/>
      <c r="S1079" s="298"/>
      <c r="T1079" s="299"/>
      <c r="U1079" s="279"/>
      <c r="V1079" s="279"/>
      <c r="W1079" s="279"/>
      <c r="X1079" s="279"/>
      <c r="Y1079" s="279"/>
      <c r="Z1079" s="279"/>
      <c r="AA1079" s="279"/>
      <c r="AB1079" s="279"/>
      <c r="AC1079" s="279"/>
      <c r="AD1079" s="279"/>
      <c r="AE1079" s="279"/>
      <c r="AF1079" s="279"/>
      <c r="AG1079" s="279"/>
      <c r="AH1079" s="279"/>
      <c r="AI1079" s="279"/>
      <c r="AJ1079" s="279"/>
      <c r="AK1079" s="279"/>
      <c r="AL1079" s="279"/>
      <c r="AM1079" s="279"/>
      <c r="AN1079" s="279"/>
      <c r="AO1079" s="279"/>
      <c r="AP1079" s="279"/>
      <c r="AQ1079" s="279"/>
      <c r="AR1079" s="279"/>
      <c r="AS1079" s="279"/>
      <c r="AT1079" s="279"/>
      <c r="AU1079" s="279"/>
      <c r="AV1079" s="279"/>
      <c r="AW1079" s="279"/>
      <c r="AX1079" s="279"/>
      <c r="AY1079" s="279"/>
      <c r="AZ1079" s="279"/>
      <c r="BA1079" s="279"/>
      <c r="BB1079" s="279"/>
      <c r="BC1079" s="279"/>
      <c r="BD1079" s="279"/>
      <c r="BE1079" s="279"/>
      <c r="BF1079" s="279"/>
      <c r="BG1079" s="279"/>
      <c r="BH1079" s="279"/>
      <c r="BI1079" s="279"/>
      <c r="BJ1079" s="279"/>
      <c r="BK1079" s="279"/>
      <c r="BL1079" s="279"/>
      <c r="BM1079" s="279"/>
      <c r="BN1079" s="279"/>
      <c r="BO1079" s="279"/>
      <c r="BP1079" s="279"/>
      <c r="BQ1079" s="279"/>
      <c r="BR1079" s="279"/>
      <c r="BS1079" s="279"/>
      <c r="BT1079" s="279"/>
      <c r="BU1079" s="279"/>
      <c r="BV1079" s="279"/>
      <c r="BW1079" s="279"/>
      <c r="BX1079" s="279"/>
      <c r="BY1079" s="279"/>
      <c r="BZ1079" s="279"/>
      <c r="CA1079" s="279"/>
      <c r="CB1079" s="279"/>
      <c r="CC1079" s="279"/>
      <c r="CD1079" s="279"/>
      <c r="CE1079" s="279"/>
      <c r="CF1079" s="279"/>
      <c r="CG1079" s="279"/>
      <c r="CH1079" s="279"/>
      <c r="CI1079" s="279"/>
      <c r="CJ1079" s="279"/>
      <c r="CK1079" s="279"/>
      <c r="CL1079" s="279"/>
      <c r="CM1079" s="279"/>
      <c r="CN1079" s="382"/>
    </row>
    <row r="1080" x14ac:dyDescent="0.3">
      <c r="B1080" s="361"/>
      <c r="C1080" s="279"/>
      <c r="D1080" s="280"/>
      <c r="E1080" s="287"/>
      <c r="F1080" s="287"/>
      <c r="G1080" s="287"/>
      <c r="H1080" s="1292">
        <f t="shared" si="52"/>
        <v>7</v>
      </c>
      <c r="I1080" s="1190" t="str">
        <f>'I. Stream &amp; Compound Data'!P268</f>
        <v/>
      </c>
      <c r="J1080" s="1295" t="str">
        <f>IF(I148="","",IF('I. Stream &amp; Compound Data'!BU268&lt;&gt;"",'I. Stream &amp; Compound Data'!BU268,'I. Stream &amp; Compound Data'!BV268))</f>
        <v/>
      </c>
      <c r="K1080" s="1295" t="str">
        <f t="shared" si="53"/>
        <v/>
      </c>
      <c r="L1080" s="1317" t="str">
        <f t="shared" si="54"/>
        <v/>
      </c>
      <c r="M1080" s="296"/>
      <c r="N1080" s="280"/>
      <c r="O1080" s="280"/>
      <c r="P1080" s="279"/>
      <c r="Q1080" s="297"/>
      <c r="R1080" s="298"/>
      <c r="S1080" s="298"/>
      <c r="T1080" s="299"/>
      <c r="U1080" s="279"/>
      <c r="V1080" s="279"/>
      <c r="W1080" s="279"/>
      <c r="X1080" s="279"/>
      <c r="Y1080" s="279"/>
      <c r="Z1080" s="279"/>
      <c r="AA1080" s="279"/>
      <c r="AB1080" s="279"/>
      <c r="AC1080" s="279"/>
      <c r="AD1080" s="279"/>
      <c r="AE1080" s="279"/>
      <c r="AF1080" s="279"/>
      <c r="AG1080" s="279"/>
      <c r="AH1080" s="279"/>
      <c r="AI1080" s="279"/>
      <c r="AJ1080" s="279"/>
      <c r="AK1080" s="279"/>
      <c r="AL1080" s="279"/>
      <c r="AM1080" s="279"/>
      <c r="AN1080" s="279"/>
      <c r="AO1080" s="279"/>
      <c r="AP1080" s="279"/>
      <c r="AQ1080" s="279"/>
      <c r="AR1080" s="279"/>
      <c r="AS1080" s="279"/>
      <c r="AT1080" s="279"/>
      <c r="AU1080" s="279"/>
      <c r="AV1080" s="279"/>
      <c r="AW1080" s="279"/>
      <c r="AX1080" s="279"/>
      <c r="AY1080" s="279"/>
      <c r="AZ1080" s="279"/>
      <c r="BA1080" s="279"/>
      <c r="BB1080" s="279"/>
      <c r="BC1080" s="279"/>
      <c r="BD1080" s="279"/>
      <c r="BE1080" s="279"/>
      <c r="BF1080" s="279"/>
      <c r="BG1080" s="279"/>
      <c r="BH1080" s="279"/>
      <c r="BI1080" s="279"/>
      <c r="BJ1080" s="279"/>
      <c r="BK1080" s="279"/>
      <c r="BL1080" s="279"/>
      <c r="BM1080" s="279"/>
      <c r="BN1080" s="279"/>
      <c r="BO1080" s="279"/>
      <c r="BP1080" s="279"/>
      <c r="BQ1080" s="279"/>
      <c r="BR1080" s="279"/>
      <c r="BS1080" s="279"/>
      <c r="BT1080" s="279"/>
      <c r="BU1080" s="279"/>
      <c r="BV1080" s="279"/>
      <c r="BW1080" s="279"/>
      <c r="BX1080" s="279"/>
      <c r="BY1080" s="279"/>
      <c r="BZ1080" s="279"/>
      <c r="CA1080" s="279"/>
      <c r="CB1080" s="279"/>
      <c r="CC1080" s="279"/>
      <c r="CD1080" s="279"/>
      <c r="CE1080" s="279"/>
      <c r="CF1080" s="279"/>
      <c r="CG1080" s="279"/>
      <c r="CH1080" s="279"/>
      <c r="CI1080" s="279"/>
      <c r="CJ1080" s="279"/>
      <c r="CK1080" s="279"/>
      <c r="CL1080" s="279"/>
      <c r="CM1080" s="279"/>
      <c r="CN1080" s="382"/>
    </row>
    <row r="1081" x14ac:dyDescent="0.3">
      <c r="B1081" s="361"/>
      <c r="C1081" s="279"/>
      <c r="D1081" s="280"/>
      <c r="E1081" s="287"/>
      <c r="F1081" s="287"/>
      <c r="G1081" s="287"/>
      <c r="H1081" s="1292">
        <f t="shared" si="52"/>
        <v>8</v>
      </c>
      <c r="I1081" s="1190" t="str">
        <f>'I. Stream &amp; Compound Data'!P269</f>
        <v/>
      </c>
      <c r="J1081" s="1295" t="str">
        <f>IF(I149="","",IF('I. Stream &amp; Compound Data'!BU269&lt;&gt;"",'I. Stream &amp; Compound Data'!BU269,'I. Stream &amp; Compound Data'!BV269))</f>
        <v/>
      </c>
      <c r="K1081" s="1295" t="str">
        <f t="shared" si="53"/>
        <v/>
      </c>
      <c r="L1081" s="1317" t="str">
        <f t="shared" si="54"/>
        <v/>
      </c>
      <c r="M1081" s="296"/>
      <c r="N1081" s="280"/>
      <c r="O1081" s="280"/>
      <c r="P1081" s="279"/>
      <c r="Q1081" s="297"/>
      <c r="R1081" s="298"/>
      <c r="S1081" s="298"/>
      <c r="T1081" s="299"/>
      <c r="U1081" s="279"/>
      <c r="V1081" s="279"/>
      <c r="W1081" s="279"/>
      <c r="X1081" s="279"/>
      <c r="Y1081" s="279"/>
      <c r="Z1081" s="279"/>
      <c r="AA1081" s="279"/>
      <c r="AB1081" s="279"/>
      <c r="AC1081" s="279"/>
      <c r="AD1081" s="279"/>
      <c r="AE1081" s="279"/>
      <c r="AF1081" s="279"/>
      <c r="AG1081" s="279"/>
      <c r="AH1081" s="279"/>
      <c r="AI1081" s="279"/>
      <c r="AJ1081" s="279"/>
      <c r="AK1081" s="279"/>
      <c r="AL1081" s="279"/>
      <c r="AM1081" s="279"/>
      <c r="AN1081" s="279"/>
      <c r="AO1081" s="279"/>
      <c r="AP1081" s="279"/>
      <c r="AQ1081" s="279"/>
      <c r="AR1081" s="279"/>
      <c r="AS1081" s="279"/>
      <c r="AT1081" s="279"/>
      <c r="AU1081" s="279"/>
      <c r="AV1081" s="279"/>
      <c r="AW1081" s="279"/>
      <c r="AX1081" s="279"/>
      <c r="AY1081" s="279"/>
      <c r="AZ1081" s="279"/>
      <c r="BA1081" s="279"/>
      <c r="BB1081" s="279"/>
      <c r="BC1081" s="279"/>
      <c r="BD1081" s="279"/>
      <c r="BE1081" s="279"/>
      <c r="BF1081" s="279"/>
      <c r="BG1081" s="279"/>
      <c r="BH1081" s="279"/>
      <c r="BI1081" s="279"/>
      <c r="BJ1081" s="279"/>
      <c r="BK1081" s="279"/>
      <c r="BL1081" s="279"/>
      <c r="BM1081" s="279"/>
      <c r="BN1081" s="279"/>
      <c r="BO1081" s="279"/>
      <c r="BP1081" s="279"/>
      <c r="BQ1081" s="279"/>
      <c r="BR1081" s="279"/>
      <c r="BS1081" s="279"/>
      <c r="BT1081" s="279"/>
      <c r="BU1081" s="279"/>
      <c r="BV1081" s="279"/>
      <c r="BW1081" s="279"/>
      <c r="BX1081" s="279"/>
      <c r="BY1081" s="279"/>
      <c r="BZ1081" s="279"/>
      <c r="CA1081" s="279"/>
      <c r="CB1081" s="279"/>
      <c r="CC1081" s="279"/>
      <c r="CD1081" s="279"/>
      <c r="CE1081" s="279"/>
      <c r="CF1081" s="279"/>
      <c r="CG1081" s="279"/>
      <c r="CH1081" s="279"/>
      <c r="CI1081" s="279"/>
      <c r="CJ1081" s="279"/>
      <c r="CK1081" s="279"/>
      <c r="CL1081" s="279"/>
      <c r="CM1081" s="279"/>
      <c r="CN1081" s="382"/>
    </row>
    <row r="1082" x14ac:dyDescent="0.3">
      <c r="B1082" s="361"/>
      <c r="C1082" s="279"/>
      <c r="D1082" s="280"/>
      <c r="E1082" s="287"/>
      <c r="F1082" s="287"/>
      <c r="G1082" s="287"/>
      <c r="H1082" s="1292">
        <f t="shared" si="52"/>
        <v>9</v>
      </c>
      <c r="I1082" s="1190" t="str">
        <f>'I. Stream &amp; Compound Data'!P270</f>
        <v/>
      </c>
      <c r="J1082" s="1295" t="str">
        <f>IF(I150="","",IF('I. Stream &amp; Compound Data'!BU270&lt;&gt;"",'I. Stream &amp; Compound Data'!BU270,'I. Stream &amp; Compound Data'!BV270))</f>
        <v/>
      </c>
      <c r="K1082" s="1295" t="str">
        <f t="shared" si="53"/>
        <v/>
      </c>
      <c r="L1082" s="1317" t="str">
        <f t="shared" si="54"/>
        <v/>
      </c>
      <c r="M1082" s="296"/>
      <c r="N1082" s="280"/>
      <c r="O1082" s="280"/>
      <c r="P1082" s="279"/>
      <c r="Q1082" s="297"/>
      <c r="R1082" s="298"/>
      <c r="S1082" s="298"/>
      <c r="T1082" s="299"/>
      <c r="U1082" s="279"/>
      <c r="V1082" s="279"/>
      <c r="W1082" s="279"/>
      <c r="X1082" s="279"/>
      <c r="Y1082" s="279"/>
      <c r="Z1082" s="279"/>
      <c r="AA1082" s="279"/>
      <c r="AB1082" s="279"/>
      <c r="AC1082" s="279"/>
      <c r="AD1082" s="279"/>
      <c r="AE1082" s="279"/>
      <c r="AF1082" s="279"/>
      <c r="AG1082" s="279"/>
      <c r="AH1082" s="279"/>
      <c r="AI1082" s="279"/>
      <c r="AJ1082" s="279"/>
      <c r="AK1082" s="279"/>
      <c r="AL1082" s="279"/>
      <c r="AM1082" s="279"/>
      <c r="AN1082" s="279"/>
      <c r="AO1082" s="279"/>
      <c r="AP1082" s="279"/>
      <c r="AQ1082" s="279"/>
      <c r="AR1082" s="279"/>
      <c r="AS1082" s="279"/>
      <c r="AT1082" s="279"/>
      <c r="AU1082" s="279"/>
      <c r="AV1082" s="279"/>
      <c r="AW1082" s="279"/>
      <c r="AX1082" s="279"/>
      <c r="AY1082" s="279"/>
      <c r="AZ1082" s="279"/>
      <c r="BA1082" s="279"/>
      <c r="BB1082" s="279"/>
      <c r="BC1082" s="279"/>
      <c r="BD1082" s="279"/>
      <c r="BE1082" s="279"/>
      <c r="BF1082" s="279"/>
      <c r="BG1082" s="279"/>
      <c r="BH1082" s="279"/>
      <c r="BI1082" s="279"/>
      <c r="BJ1082" s="279"/>
      <c r="BK1082" s="279"/>
      <c r="BL1082" s="279"/>
      <c r="BM1082" s="279"/>
      <c r="BN1082" s="279"/>
      <c r="BO1082" s="279"/>
      <c r="BP1082" s="279"/>
      <c r="BQ1082" s="279"/>
      <c r="BR1082" s="279"/>
      <c r="BS1082" s="279"/>
      <c r="BT1082" s="279"/>
      <c r="BU1082" s="279"/>
      <c r="BV1082" s="279"/>
      <c r="BW1082" s="279"/>
      <c r="BX1082" s="279"/>
      <c r="BY1082" s="279"/>
      <c r="BZ1082" s="279"/>
      <c r="CA1082" s="279"/>
      <c r="CB1082" s="279"/>
      <c r="CC1082" s="279"/>
      <c r="CD1082" s="279"/>
      <c r="CE1082" s="279"/>
      <c r="CF1082" s="279"/>
      <c r="CG1082" s="279"/>
      <c r="CH1082" s="279"/>
      <c r="CI1082" s="279"/>
      <c r="CJ1082" s="279"/>
      <c r="CK1082" s="279"/>
      <c r="CL1082" s="279"/>
      <c r="CM1082" s="279"/>
      <c r="CN1082" s="382"/>
    </row>
    <row r="1083" x14ac:dyDescent="0.3">
      <c r="B1083" s="361"/>
      <c r="C1083" s="279"/>
      <c r="D1083" s="280"/>
      <c r="E1083" s="287"/>
      <c r="F1083" s="287"/>
      <c r="G1083" s="287"/>
      <c r="H1083" s="1292">
        <f t="shared" si="52"/>
        <v>10</v>
      </c>
      <c r="I1083" s="1190" t="str">
        <f>'I. Stream &amp; Compound Data'!P271</f>
        <v/>
      </c>
      <c r="J1083" s="1295" t="str">
        <f>IF(I151="","",IF('I. Stream &amp; Compound Data'!BU271&lt;&gt;"",'I. Stream &amp; Compound Data'!BU271,'I. Stream &amp; Compound Data'!BV271))</f>
        <v/>
      </c>
      <c r="K1083" s="1295" t="str">
        <f t="shared" si="53"/>
        <v/>
      </c>
      <c r="L1083" s="1317" t="str">
        <f t="shared" si="54"/>
        <v/>
      </c>
      <c r="M1083" s="296"/>
      <c r="N1083" s="280"/>
      <c r="O1083" s="280"/>
      <c r="P1083" s="279"/>
      <c r="Q1083" s="297"/>
      <c r="R1083" s="298"/>
      <c r="S1083" s="298"/>
      <c r="T1083" s="299"/>
      <c r="U1083" s="279"/>
      <c r="V1083" s="279"/>
      <c r="W1083" s="279"/>
      <c r="X1083" s="279"/>
      <c r="Y1083" s="279"/>
      <c r="Z1083" s="279"/>
      <c r="AA1083" s="279"/>
      <c r="AB1083" s="279"/>
      <c r="AC1083" s="279"/>
      <c r="AD1083" s="279"/>
      <c r="AE1083" s="279"/>
      <c r="AF1083" s="279"/>
      <c r="AG1083" s="279"/>
      <c r="AH1083" s="279"/>
      <c r="AI1083" s="279"/>
      <c r="AJ1083" s="279"/>
      <c r="AK1083" s="279"/>
      <c r="AL1083" s="279"/>
      <c r="AM1083" s="279"/>
      <c r="AN1083" s="279"/>
      <c r="AO1083" s="279"/>
      <c r="AP1083" s="279"/>
      <c r="AQ1083" s="279"/>
      <c r="AR1083" s="279"/>
      <c r="AS1083" s="279"/>
      <c r="AT1083" s="279"/>
      <c r="AU1083" s="279"/>
      <c r="AV1083" s="279"/>
      <c r="AW1083" s="279"/>
      <c r="AX1083" s="279"/>
      <c r="AY1083" s="279"/>
      <c r="AZ1083" s="279"/>
      <c r="BA1083" s="279"/>
      <c r="BB1083" s="279"/>
      <c r="BC1083" s="279"/>
      <c r="BD1083" s="279"/>
      <c r="BE1083" s="279"/>
      <c r="BF1083" s="279"/>
      <c r="BG1083" s="279"/>
      <c r="BH1083" s="279"/>
      <c r="BI1083" s="279"/>
      <c r="BJ1083" s="279"/>
      <c r="BK1083" s="279"/>
      <c r="BL1083" s="279"/>
      <c r="BM1083" s="279"/>
      <c r="BN1083" s="279"/>
      <c r="BO1083" s="279"/>
      <c r="BP1083" s="279"/>
      <c r="BQ1083" s="279"/>
      <c r="BR1083" s="279"/>
      <c r="BS1083" s="279"/>
      <c r="BT1083" s="279"/>
      <c r="BU1083" s="279"/>
      <c r="BV1083" s="279"/>
      <c r="BW1083" s="279"/>
      <c r="BX1083" s="279"/>
      <c r="BY1083" s="279"/>
      <c r="BZ1083" s="279"/>
      <c r="CA1083" s="279"/>
      <c r="CB1083" s="279"/>
      <c r="CC1083" s="279"/>
      <c r="CD1083" s="279"/>
      <c r="CE1083" s="279"/>
      <c r="CF1083" s="279"/>
      <c r="CG1083" s="279"/>
      <c r="CH1083" s="279"/>
      <c r="CI1083" s="279"/>
      <c r="CJ1083" s="279"/>
      <c r="CK1083" s="279"/>
      <c r="CL1083" s="279"/>
      <c r="CM1083" s="279"/>
      <c r="CN1083" s="382"/>
    </row>
    <row r="1084" x14ac:dyDescent="0.3">
      <c r="B1084" s="361"/>
      <c r="C1084" s="279"/>
      <c r="D1084" s="280"/>
      <c r="E1084" s="287"/>
      <c r="F1084" s="287"/>
      <c r="G1084" s="287"/>
      <c r="H1084" s="1292">
        <f t="shared" si="52"/>
        <v>11</v>
      </c>
      <c r="I1084" s="1190" t="str">
        <f>'I. Stream &amp; Compound Data'!P272</f>
        <v/>
      </c>
      <c r="J1084" s="1295" t="str">
        <f>IF(I152="","",IF('I. Stream &amp; Compound Data'!BU272&lt;&gt;"",'I. Stream &amp; Compound Data'!BU272,'I. Stream &amp; Compound Data'!BV272))</f>
        <v/>
      </c>
      <c r="K1084" s="1295" t="str">
        <f t="shared" si="53"/>
        <v/>
      </c>
      <c r="L1084" s="1317" t="str">
        <f t="shared" si="54"/>
        <v/>
      </c>
      <c r="M1084" s="296"/>
      <c r="N1084" s="280"/>
      <c r="O1084" s="280"/>
      <c r="P1084" s="279"/>
      <c r="Q1084" s="297"/>
      <c r="R1084" s="298"/>
      <c r="S1084" s="298"/>
      <c r="T1084" s="299"/>
      <c r="U1084" s="279"/>
      <c r="V1084" s="279"/>
      <c r="W1084" s="279"/>
      <c r="X1084" s="279"/>
      <c r="Y1084" s="279"/>
      <c r="Z1084" s="279"/>
      <c r="AA1084" s="279"/>
      <c r="AB1084" s="279"/>
      <c r="AC1084" s="279"/>
      <c r="AD1084" s="279"/>
      <c r="AE1084" s="279"/>
      <c r="AF1084" s="279"/>
      <c r="AG1084" s="279"/>
      <c r="AH1084" s="279"/>
      <c r="AI1084" s="279"/>
      <c r="AJ1084" s="279"/>
      <c r="AK1084" s="279"/>
      <c r="AL1084" s="279"/>
      <c r="AM1084" s="279"/>
      <c r="AN1084" s="279"/>
      <c r="AO1084" s="279"/>
      <c r="AP1084" s="279"/>
      <c r="AQ1084" s="279"/>
      <c r="AR1084" s="279"/>
      <c r="AS1084" s="279"/>
      <c r="AT1084" s="279"/>
      <c r="AU1084" s="279"/>
      <c r="AV1084" s="279"/>
      <c r="AW1084" s="279"/>
      <c r="AX1084" s="279"/>
      <c r="AY1084" s="279"/>
      <c r="AZ1084" s="279"/>
      <c r="BA1084" s="279"/>
      <c r="BB1084" s="279"/>
      <c r="BC1084" s="279"/>
      <c r="BD1084" s="279"/>
      <c r="BE1084" s="279"/>
      <c r="BF1084" s="279"/>
      <c r="BG1084" s="279"/>
      <c r="BH1084" s="279"/>
      <c r="BI1084" s="279"/>
      <c r="BJ1084" s="279"/>
      <c r="BK1084" s="279"/>
      <c r="BL1084" s="279"/>
      <c r="BM1084" s="279"/>
      <c r="BN1084" s="279"/>
      <c r="BO1084" s="279"/>
      <c r="BP1084" s="279"/>
      <c r="BQ1084" s="279"/>
      <c r="BR1084" s="279"/>
      <c r="BS1084" s="279"/>
      <c r="BT1084" s="279"/>
      <c r="BU1084" s="279"/>
      <c r="BV1084" s="279"/>
      <c r="BW1084" s="279"/>
      <c r="BX1084" s="279"/>
      <c r="BY1084" s="279"/>
      <c r="BZ1084" s="279"/>
      <c r="CA1084" s="279"/>
      <c r="CB1084" s="279"/>
      <c r="CC1084" s="279"/>
      <c r="CD1084" s="279"/>
      <c r="CE1084" s="279"/>
      <c r="CF1084" s="279"/>
      <c r="CG1084" s="279"/>
      <c r="CH1084" s="279"/>
      <c r="CI1084" s="279"/>
      <c r="CJ1084" s="279"/>
      <c r="CK1084" s="279"/>
      <c r="CL1084" s="279"/>
      <c r="CM1084" s="279"/>
      <c r="CN1084" s="382"/>
    </row>
    <row r="1085" x14ac:dyDescent="0.3">
      <c r="B1085" s="361"/>
      <c r="C1085" s="279"/>
      <c r="D1085" s="280"/>
      <c r="E1085" s="287"/>
      <c r="F1085" s="287"/>
      <c r="G1085" s="287"/>
      <c r="H1085" s="1292">
        <f t="shared" si="52"/>
        <v>12</v>
      </c>
      <c r="I1085" s="1190" t="str">
        <f>'I. Stream &amp; Compound Data'!P273</f>
        <v/>
      </c>
      <c r="J1085" s="1295" t="str">
        <f>IF(I153="","",IF('I. Stream &amp; Compound Data'!BU273&lt;&gt;"",'I. Stream &amp; Compound Data'!BU273,'I. Stream &amp; Compound Data'!BV273))</f>
        <v/>
      </c>
      <c r="K1085" s="1295" t="str">
        <f t="shared" si="53"/>
        <v/>
      </c>
      <c r="L1085" s="1317" t="str">
        <f t="shared" si="54"/>
        <v/>
      </c>
      <c r="M1085" s="296"/>
      <c r="N1085" s="280"/>
      <c r="O1085" s="280"/>
      <c r="P1085" s="279"/>
      <c r="Q1085" s="297"/>
      <c r="R1085" s="298"/>
      <c r="S1085" s="298"/>
      <c r="T1085" s="299"/>
      <c r="U1085" s="279"/>
      <c r="V1085" s="279"/>
      <c r="W1085" s="279"/>
      <c r="X1085" s="279"/>
      <c r="Y1085" s="279"/>
      <c r="Z1085" s="279"/>
      <c r="AA1085" s="279"/>
      <c r="AB1085" s="279"/>
      <c r="AC1085" s="279"/>
      <c r="AD1085" s="279"/>
      <c r="AE1085" s="279"/>
      <c r="AF1085" s="279"/>
      <c r="AG1085" s="279"/>
      <c r="AH1085" s="279"/>
      <c r="AI1085" s="279"/>
      <c r="AJ1085" s="279"/>
      <c r="AK1085" s="279"/>
      <c r="AL1085" s="279"/>
      <c r="AM1085" s="279"/>
      <c r="AN1085" s="279"/>
      <c r="AO1085" s="279"/>
      <c r="AP1085" s="279"/>
      <c r="AQ1085" s="279"/>
      <c r="AR1085" s="279"/>
      <c r="AS1085" s="279"/>
      <c r="AT1085" s="279"/>
      <c r="AU1085" s="279"/>
      <c r="AV1085" s="279"/>
      <c r="AW1085" s="279"/>
      <c r="AX1085" s="279"/>
      <c r="AY1085" s="279"/>
      <c r="AZ1085" s="279"/>
      <c r="BA1085" s="279"/>
      <c r="BB1085" s="279"/>
      <c r="BC1085" s="279"/>
      <c r="BD1085" s="279"/>
      <c r="BE1085" s="279"/>
      <c r="BF1085" s="279"/>
      <c r="BG1085" s="279"/>
      <c r="BH1085" s="279"/>
      <c r="BI1085" s="279"/>
      <c r="BJ1085" s="279"/>
      <c r="BK1085" s="279"/>
      <c r="BL1085" s="279"/>
      <c r="BM1085" s="279"/>
      <c r="BN1085" s="279"/>
      <c r="BO1085" s="279"/>
      <c r="BP1085" s="279"/>
      <c r="BQ1085" s="279"/>
      <c r="BR1085" s="279"/>
      <c r="BS1085" s="279"/>
      <c r="BT1085" s="279"/>
      <c r="BU1085" s="279"/>
      <c r="BV1085" s="279"/>
      <c r="BW1085" s="279"/>
      <c r="BX1085" s="279"/>
      <c r="BY1085" s="279"/>
      <c r="BZ1085" s="279"/>
      <c r="CA1085" s="279"/>
      <c r="CB1085" s="279"/>
      <c r="CC1085" s="279"/>
      <c r="CD1085" s="279"/>
      <c r="CE1085" s="279"/>
      <c r="CF1085" s="279"/>
      <c r="CG1085" s="279"/>
      <c r="CH1085" s="279"/>
      <c r="CI1085" s="279"/>
      <c r="CJ1085" s="279"/>
      <c r="CK1085" s="279"/>
      <c r="CL1085" s="279"/>
      <c r="CM1085" s="279"/>
      <c r="CN1085" s="382"/>
    </row>
    <row r="1086" x14ac:dyDescent="0.3">
      <c r="B1086" s="361"/>
      <c r="C1086" s="279"/>
      <c r="D1086" s="280"/>
      <c r="E1086" s="287"/>
      <c r="F1086" s="287"/>
      <c r="G1086" s="287"/>
      <c r="H1086" s="1292">
        <f t="shared" si="52"/>
        <v>13</v>
      </c>
      <c r="I1086" s="1190" t="str">
        <f>'I. Stream &amp; Compound Data'!P274</f>
        <v/>
      </c>
      <c r="J1086" s="1295" t="str">
        <f>IF(I154="","",IF('I. Stream &amp; Compound Data'!BU274&lt;&gt;"",'I. Stream &amp; Compound Data'!BU274,'I. Stream &amp; Compound Data'!BV274))</f>
        <v/>
      </c>
      <c r="K1086" s="1295" t="str">
        <f t="shared" si="53"/>
        <v/>
      </c>
      <c r="L1086" s="1317" t="str">
        <f t="shared" si="54"/>
        <v/>
      </c>
      <c r="M1086" s="287"/>
      <c r="N1086" s="296"/>
      <c r="O1086" s="280"/>
      <c r="P1086" s="280"/>
      <c r="Q1086" s="279"/>
      <c r="R1086" s="297"/>
      <c r="S1086" s="298"/>
      <c r="T1086" s="298"/>
      <c r="U1086" s="299"/>
      <c r="V1086" s="279"/>
      <c r="W1086" s="279"/>
      <c r="X1086" s="279"/>
      <c r="Y1086" s="279"/>
      <c r="Z1086" s="279"/>
      <c r="AA1086" s="279"/>
      <c r="AB1086" s="279"/>
      <c r="AC1086" s="279"/>
      <c r="AD1086" s="279"/>
      <c r="AE1086" s="279"/>
      <c r="AF1086" s="279"/>
      <c r="AG1086" s="279"/>
      <c r="AH1086" s="279"/>
      <c r="AI1086" s="279"/>
      <c r="AJ1086" s="279"/>
      <c r="AK1086" s="279"/>
      <c r="AL1086" s="279"/>
      <c r="AM1086" s="279"/>
      <c r="AN1086" s="279"/>
      <c r="AO1086" s="279"/>
      <c r="AP1086" s="279"/>
      <c r="AQ1086" s="279"/>
      <c r="AR1086" s="279"/>
      <c r="AS1086" s="279"/>
      <c r="AT1086" s="279"/>
      <c r="AU1086" s="279"/>
      <c r="AV1086" s="279"/>
      <c r="AW1086" s="279"/>
      <c r="AX1086" s="279"/>
      <c r="AY1086" s="279"/>
      <c r="AZ1086" s="279"/>
      <c r="BA1086" s="279"/>
      <c r="BB1086" s="279"/>
      <c r="BC1086" s="279"/>
      <c r="BD1086" s="279"/>
      <c r="BE1086" s="279"/>
      <c r="BF1086" s="279"/>
      <c r="BG1086" s="279"/>
      <c r="BH1086" s="279"/>
      <c r="BI1086" s="279"/>
      <c r="BJ1086" s="279"/>
      <c r="BK1086" s="279"/>
      <c r="BL1086" s="279"/>
      <c r="BM1086" s="279"/>
      <c r="BN1086" s="279"/>
      <c r="BO1086" s="279"/>
      <c r="BP1086" s="279"/>
      <c r="BQ1086" s="279"/>
      <c r="BR1086" s="279"/>
      <c r="BS1086" s="279"/>
      <c r="BT1086" s="279"/>
      <c r="BU1086" s="279"/>
      <c r="BV1086" s="279"/>
      <c r="BW1086" s="279"/>
      <c r="BX1086" s="279"/>
      <c r="BY1086" s="279"/>
      <c r="BZ1086" s="279"/>
      <c r="CA1086" s="279"/>
      <c r="CB1086" s="279"/>
      <c r="CC1086" s="279"/>
      <c r="CD1086" s="279"/>
      <c r="CE1086" s="279"/>
      <c r="CF1086" s="279"/>
      <c r="CG1086" s="279"/>
      <c r="CH1086" s="279"/>
      <c r="CI1086" s="279"/>
      <c r="CJ1086" s="279"/>
      <c r="CK1086" s="279"/>
      <c r="CL1086" s="279"/>
      <c r="CM1086" s="279"/>
      <c r="CN1086" s="382"/>
    </row>
    <row r="1087" x14ac:dyDescent="0.3">
      <c r="B1087" s="361"/>
      <c r="C1087" s="279"/>
      <c r="D1087" s="280"/>
      <c r="E1087" s="287"/>
      <c r="F1087" s="287"/>
      <c r="G1087" s="287"/>
      <c r="H1087" s="1292">
        <f t="shared" si="52"/>
        <v>14</v>
      </c>
      <c r="I1087" s="1190" t="str">
        <f>'I. Stream &amp; Compound Data'!P275</f>
        <v/>
      </c>
      <c r="J1087" s="1295" t="str">
        <f>IF(I155="","",IF('I. Stream &amp; Compound Data'!BU275&lt;&gt;"",'I. Stream &amp; Compound Data'!BU275,'I. Stream &amp; Compound Data'!BV275))</f>
        <v/>
      </c>
      <c r="K1087" s="1295" t="str">
        <f t="shared" si="53"/>
        <v/>
      </c>
      <c r="L1087" s="1317" t="str">
        <f t="shared" si="54"/>
        <v/>
      </c>
      <c r="M1087" s="287"/>
      <c r="N1087" s="296"/>
      <c r="O1087" s="280"/>
      <c r="P1087" s="280"/>
      <c r="Q1087" s="279"/>
      <c r="R1087" s="297"/>
      <c r="S1087" s="298"/>
      <c r="T1087" s="298"/>
      <c r="U1087" s="299"/>
      <c r="V1087" s="279"/>
      <c r="W1087" s="279"/>
      <c r="X1087" s="279"/>
      <c r="Y1087" s="279"/>
      <c r="Z1087" s="279"/>
      <c r="AA1087" s="279"/>
      <c r="AB1087" s="279"/>
      <c r="AC1087" s="279"/>
      <c r="AD1087" s="279"/>
      <c r="AE1087" s="279"/>
      <c r="AF1087" s="279"/>
      <c r="AG1087" s="279"/>
      <c r="AH1087" s="279"/>
      <c r="AI1087" s="279"/>
      <c r="AJ1087" s="279"/>
      <c r="AK1087" s="279"/>
      <c r="AL1087" s="279"/>
      <c r="AM1087" s="279"/>
      <c r="AN1087" s="279"/>
      <c r="AO1087" s="279"/>
      <c r="AP1087" s="279"/>
      <c r="AQ1087" s="279"/>
      <c r="AR1087" s="279"/>
      <c r="AS1087" s="279"/>
      <c r="AT1087" s="279"/>
      <c r="AU1087" s="279"/>
      <c r="AV1087" s="279"/>
      <c r="AW1087" s="279"/>
      <c r="AX1087" s="279"/>
      <c r="AY1087" s="279"/>
      <c r="AZ1087" s="279"/>
      <c r="BA1087" s="279"/>
      <c r="BB1087" s="279"/>
      <c r="BC1087" s="279"/>
      <c r="BD1087" s="279"/>
      <c r="BE1087" s="279"/>
      <c r="BF1087" s="279"/>
      <c r="BG1087" s="279"/>
      <c r="BH1087" s="279"/>
      <c r="BI1087" s="279"/>
      <c r="BJ1087" s="279"/>
      <c r="BK1087" s="279"/>
      <c r="BL1087" s="279"/>
      <c r="BM1087" s="279"/>
      <c r="BN1087" s="279"/>
      <c r="BO1087" s="279"/>
      <c r="BP1087" s="279"/>
      <c r="BQ1087" s="279"/>
      <c r="BR1087" s="279"/>
      <c r="BS1087" s="279"/>
      <c r="BT1087" s="279"/>
      <c r="BU1087" s="279"/>
      <c r="BV1087" s="279"/>
      <c r="BW1087" s="279"/>
      <c r="BX1087" s="279"/>
      <c r="BY1087" s="279"/>
      <c r="BZ1087" s="279"/>
      <c r="CA1087" s="279"/>
      <c r="CB1087" s="279"/>
      <c r="CC1087" s="279"/>
      <c r="CD1087" s="279"/>
      <c r="CE1087" s="279"/>
      <c r="CF1087" s="279"/>
      <c r="CG1087" s="279"/>
      <c r="CH1087" s="279"/>
      <c r="CI1087" s="279"/>
      <c r="CJ1087" s="279"/>
      <c r="CK1087" s="279"/>
      <c r="CL1087" s="279"/>
      <c r="CM1087" s="279"/>
      <c r="CN1087" s="382"/>
    </row>
    <row r="1088" x14ac:dyDescent="0.3">
      <c r="B1088" s="361"/>
      <c r="C1088" s="279"/>
      <c r="D1088" s="280"/>
      <c r="E1088" s="287"/>
      <c r="F1088" s="287"/>
      <c r="G1088" s="287"/>
      <c r="H1088" s="1292">
        <f t="shared" si="52"/>
        <v>15</v>
      </c>
      <c r="I1088" s="1190" t="str">
        <f>'I. Stream &amp; Compound Data'!P276</f>
        <v/>
      </c>
      <c r="J1088" s="1295" t="str">
        <f>IF(I156="","",IF('I. Stream &amp; Compound Data'!BU276&lt;&gt;"",'I. Stream &amp; Compound Data'!BU276,'I. Stream &amp; Compound Data'!BV276))</f>
        <v/>
      </c>
      <c r="K1088" s="1295" t="str">
        <f t="shared" si="53"/>
        <v/>
      </c>
      <c r="L1088" s="1317" t="str">
        <f t="shared" si="54"/>
        <v/>
      </c>
      <c r="M1088" s="296"/>
      <c r="N1088" s="280"/>
      <c r="O1088" s="280"/>
      <c r="P1088" s="279"/>
      <c r="Q1088" s="297"/>
      <c r="R1088" s="298"/>
      <c r="S1088" s="298"/>
      <c r="T1088" s="299"/>
      <c r="U1088" s="279"/>
      <c r="V1088" s="279"/>
      <c r="W1088" s="279"/>
      <c r="X1088" s="279"/>
      <c r="Y1088" s="279"/>
      <c r="Z1088" s="279"/>
      <c r="AA1088" s="279"/>
      <c r="AB1088" s="279"/>
      <c r="AC1088" s="279"/>
      <c r="AD1088" s="279"/>
      <c r="AE1088" s="279"/>
      <c r="AF1088" s="279"/>
      <c r="AG1088" s="279"/>
      <c r="AH1088" s="279"/>
      <c r="AI1088" s="279"/>
      <c r="AJ1088" s="279"/>
      <c r="AK1088" s="279"/>
      <c r="AL1088" s="279"/>
      <c r="AM1088" s="279"/>
      <c r="AN1088" s="279"/>
      <c r="AO1088" s="279"/>
      <c r="AP1088" s="279"/>
      <c r="AQ1088" s="279"/>
      <c r="AR1088" s="279"/>
      <c r="AS1088" s="279"/>
      <c r="AT1088" s="279"/>
      <c r="AU1088" s="279"/>
      <c r="AV1088" s="279"/>
      <c r="AW1088" s="279"/>
      <c r="AX1088" s="279"/>
      <c r="AY1088" s="279"/>
      <c r="AZ1088" s="279"/>
      <c r="BA1088" s="279"/>
      <c r="BB1088" s="279"/>
      <c r="BC1088" s="279"/>
      <c r="BD1088" s="279"/>
      <c r="BE1088" s="279"/>
      <c r="BF1088" s="279"/>
      <c r="BG1088" s="279"/>
      <c r="BH1088" s="279"/>
      <c r="BI1088" s="279"/>
      <c r="BJ1088" s="279"/>
      <c r="BK1088" s="279"/>
      <c r="BL1088" s="279"/>
      <c r="BM1088" s="279"/>
      <c r="BN1088" s="279"/>
      <c r="BO1088" s="279"/>
      <c r="BP1088" s="279"/>
      <c r="BQ1088" s="279"/>
      <c r="BR1088" s="279"/>
      <c r="BS1088" s="279"/>
      <c r="BT1088" s="279"/>
      <c r="BU1088" s="279"/>
      <c r="BV1088" s="279"/>
      <c r="BW1088" s="279"/>
      <c r="BX1088" s="279"/>
      <c r="BY1088" s="279"/>
      <c r="BZ1088" s="279"/>
      <c r="CA1088" s="279"/>
      <c r="CB1088" s="279"/>
      <c r="CC1088" s="279"/>
      <c r="CD1088" s="279"/>
      <c r="CE1088" s="279"/>
      <c r="CF1088" s="279"/>
      <c r="CG1088" s="279"/>
      <c r="CH1088" s="279"/>
      <c r="CI1088" s="279"/>
      <c r="CJ1088" s="279"/>
      <c r="CK1088" s="279"/>
      <c r="CL1088" s="279"/>
      <c r="CM1088" s="279"/>
      <c r="CN1088" s="382"/>
    </row>
    <row r="1089" x14ac:dyDescent="0.3">
      <c r="B1089" s="361"/>
      <c r="C1089" s="279"/>
      <c r="D1089" s="280"/>
      <c r="E1089" s="287"/>
      <c r="F1089" s="287"/>
      <c r="G1089" s="287"/>
      <c r="H1089" s="1292">
        <f t="shared" si="52"/>
        <v>16</v>
      </c>
      <c r="I1089" s="1190" t="str">
        <f>'I. Stream &amp; Compound Data'!P277</f>
        <v/>
      </c>
      <c r="J1089" s="1295" t="str">
        <f>IF(I157="","",IF('I. Stream &amp; Compound Data'!BU277&lt;&gt;"",'I. Stream &amp; Compound Data'!BU277,'I. Stream &amp; Compound Data'!BV277))</f>
        <v/>
      </c>
      <c r="K1089" s="1295" t="str">
        <f t="shared" si="53"/>
        <v/>
      </c>
      <c r="L1089" s="1317" t="str">
        <f t="shared" si="54"/>
        <v/>
      </c>
      <c r="M1089" s="296"/>
      <c r="N1089" s="280"/>
      <c r="O1089" s="280"/>
      <c r="P1089" s="279"/>
      <c r="Q1089" s="297"/>
      <c r="R1089" s="298"/>
      <c r="S1089" s="298"/>
      <c r="T1089" s="299"/>
      <c r="U1089" s="279"/>
      <c r="V1089" s="279"/>
      <c r="W1089" s="279"/>
      <c r="X1089" s="279"/>
      <c r="Y1089" s="279"/>
      <c r="Z1089" s="279"/>
      <c r="AA1089" s="279"/>
      <c r="AB1089" s="279"/>
      <c r="AC1089" s="279"/>
      <c r="AD1089" s="279"/>
      <c r="AE1089" s="279"/>
      <c r="AF1089" s="279"/>
      <c r="AG1089" s="279"/>
      <c r="AH1089" s="279"/>
      <c r="AI1089" s="279"/>
      <c r="AJ1089" s="279"/>
      <c r="AK1089" s="279"/>
      <c r="AL1089" s="279"/>
      <c r="AM1089" s="279"/>
      <c r="AN1089" s="279"/>
      <c r="AO1089" s="279"/>
      <c r="AP1089" s="279"/>
      <c r="AQ1089" s="279"/>
      <c r="AR1089" s="279"/>
      <c r="AS1089" s="279"/>
      <c r="AT1089" s="279"/>
      <c r="AU1089" s="279"/>
      <c r="AV1089" s="279"/>
      <c r="AW1089" s="279"/>
      <c r="AX1089" s="279"/>
      <c r="AY1089" s="279"/>
      <c r="AZ1089" s="279"/>
      <c r="BA1089" s="279"/>
      <c r="BB1089" s="279"/>
      <c r="BC1089" s="279"/>
      <c r="BD1089" s="279"/>
      <c r="BE1089" s="279"/>
      <c r="BF1089" s="279"/>
      <c r="BG1089" s="279"/>
      <c r="BH1089" s="279"/>
      <c r="BI1089" s="279"/>
      <c r="BJ1089" s="279"/>
      <c r="BK1089" s="279"/>
      <c r="BL1089" s="279"/>
      <c r="BM1089" s="279"/>
      <c r="BN1089" s="279"/>
      <c r="BO1089" s="279"/>
      <c r="BP1089" s="279"/>
      <c r="BQ1089" s="279"/>
      <c r="BR1089" s="279"/>
      <c r="BS1089" s="279"/>
      <c r="BT1089" s="279"/>
      <c r="BU1089" s="279"/>
      <c r="BV1089" s="279"/>
      <c r="BW1089" s="279"/>
      <c r="BX1089" s="279"/>
      <c r="BY1089" s="279"/>
      <c r="BZ1089" s="279"/>
      <c r="CA1089" s="279"/>
      <c r="CB1089" s="279"/>
      <c r="CC1089" s="279"/>
      <c r="CD1089" s="279"/>
      <c r="CE1089" s="279"/>
      <c r="CF1089" s="279"/>
      <c r="CG1089" s="279"/>
      <c r="CH1089" s="279"/>
      <c r="CI1089" s="279"/>
      <c r="CJ1089" s="279"/>
      <c r="CK1089" s="279"/>
      <c r="CL1089" s="279"/>
      <c r="CM1089" s="279"/>
      <c r="CN1089" s="382"/>
    </row>
    <row r="1090" x14ac:dyDescent="0.3">
      <c r="B1090" s="361"/>
      <c r="C1090" s="279"/>
      <c r="D1090" s="280"/>
      <c r="E1090" s="287"/>
      <c r="F1090" s="287"/>
      <c r="G1090" s="287"/>
      <c r="H1090" s="1292">
        <f t="shared" si="52"/>
        <v>17</v>
      </c>
      <c r="I1090" s="1190" t="str">
        <f>'I. Stream &amp; Compound Data'!P278</f>
        <v/>
      </c>
      <c r="J1090" s="1295" t="str">
        <f>IF(I158="","",IF('I. Stream &amp; Compound Data'!BU278&lt;&gt;"",'I. Stream &amp; Compound Data'!BU278,'I. Stream &amp; Compound Data'!BV278))</f>
        <v/>
      </c>
      <c r="K1090" s="1295" t="str">
        <f t="shared" si="53"/>
        <v/>
      </c>
      <c r="L1090" s="1317" t="str">
        <f t="shared" si="54"/>
        <v/>
      </c>
      <c r="M1090" s="296"/>
      <c r="N1090" s="280"/>
      <c r="O1090" s="280"/>
      <c r="P1090" s="279"/>
      <c r="Q1090" s="297"/>
      <c r="R1090" s="298"/>
      <c r="S1090" s="298"/>
      <c r="T1090" s="299"/>
      <c r="U1090" s="279"/>
      <c r="V1090" s="279"/>
      <c r="W1090" s="279"/>
      <c r="X1090" s="279"/>
      <c r="Y1090" s="279"/>
      <c r="Z1090" s="279"/>
      <c r="AA1090" s="279"/>
      <c r="AB1090" s="279"/>
      <c r="AC1090" s="279"/>
      <c r="AD1090" s="279"/>
      <c r="AE1090" s="279"/>
      <c r="AF1090" s="279"/>
      <c r="AG1090" s="279"/>
      <c r="AH1090" s="279"/>
      <c r="AI1090" s="279"/>
      <c r="AJ1090" s="279"/>
      <c r="AK1090" s="279"/>
      <c r="AL1090" s="279"/>
      <c r="AM1090" s="279"/>
      <c r="AN1090" s="279"/>
      <c r="AO1090" s="279"/>
      <c r="AP1090" s="279"/>
      <c r="AQ1090" s="279"/>
      <c r="AR1090" s="279"/>
      <c r="AS1090" s="279"/>
      <c r="AT1090" s="279"/>
      <c r="AU1090" s="279"/>
      <c r="AV1090" s="279"/>
      <c r="AW1090" s="279"/>
      <c r="AX1090" s="279"/>
      <c r="AY1090" s="279"/>
      <c r="AZ1090" s="279"/>
      <c r="BA1090" s="279"/>
      <c r="BB1090" s="279"/>
      <c r="BC1090" s="279"/>
      <c r="BD1090" s="279"/>
      <c r="BE1090" s="279"/>
      <c r="BF1090" s="279"/>
      <c r="BG1090" s="279"/>
      <c r="BH1090" s="279"/>
      <c r="BI1090" s="279"/>
      <c r="BJ1090" s="279"/>
      <c r="BK1090" s="279"/>
      <c r="BL1090" s="279"/>
      <c r="BM1090" s="279"/>
      <c r="BN1090" s="279"/>
      <c r="BO1090" s="279"/>
      <c r="BP1090" s="279"/>
      <c r="BQ1090" s="279"/>
      <c r="BR1090" s="279"/>
      <c r="BS1090" s="279"/>
      <c r="BT1090" s="279"/>
      <c r="BU1090" s="279"/>
      <c r="BV1090" s="279"/>
      <c r="BW1090" s="279"/>
      <c r="BX1090" s="279"/>
      <c r="BY1090" s="279"/>
      <c r="BZ1090" s="279"/>
      <c r="CA1090" s="279"/>
      <c r="CB1090" s="279"/>
      <c r="CC1090" s="279"/>
      <c r="CD1090" s="279"/>
      <c r="CE1090" s="279"/>
      <c r="CF1090" s="279"/>
      <c r="CG1090" s="279"/>
      <c r="CH1090" s="279"/>
      <c r="CI1090" s="279"/>
      <c r="CJ1090" s="279"/>
      <c r="CK1090" s="279"/>
      <c r="CL1090" s="279"/>
      <c r="CM1090" s="279"/>
      <c r="CN1090" s="382"/>
    </row>
    <row r="1091" x14ac:dyDescent="0.3">
      <c r="B1091" s="361"/>
      <c r="C1091" s="279"/>
      <c r="D1091" s="280"/>
      <c r="E1091" s="287"/>
      <c r="F1091" s="287"/>
      <c r="G1091" s="287"/>
      <c r="H1091" s="1292">
        <f t="shared" si="52"/>
        <v>18</v>
      </c>
      <c r="I1091" s="1190" t="str">
        <f>'I. Stream &amp; Compound Data'!P279</f>
        <v/>
      </c>
      <c r="J1091" s="1295" t="str">
        <f>IF(I159="","",IF('I. Stream &amp; Compound Data'!BU279&lt;&gt;"",'I. Stream &amp; Compound Data'!BU279,'I. Stream &amp; Compound Data'!BV279))</f>
        <v/>
      </c>
      <c r="K1091" s="1295" t="str">
        <f t="shared" si="53"/>
        <v/>
      </c>
      <c r="L1091" s="1317" t="str">
        <f t="shared" si="54"/>
        <v/>
      </c>
      <c r="M1091" s="296"/>
      <c r="N1091" s="280"/>
      <c r="O1091" s="280"/>
      <c r="P1091" s="279"/>
      <c r="Q1091" s="297"/>
      <c r="R1091" s="298"/>
      <c r="S1091" s="298"/>
      <c r="T1091" s="299"/>
      <c r="U1091" s="279"/>
      <c r="V1091" s="279"/>
      <c r="W1091" s="279"/>
      <c r="X1091" s="279"/>
      <c r="Y1091" s="279"/>
      <c r="Z1091" s="279"/>
      <c r="AA1091" s="279"/>
      <c r="AB1091" s="279"/>
      <c r="AC1091" s="279"/>
      <c r="AD1091" s="279"/>
      <c r="AE1091" s="279"/>
      <c r="AF1091" s="279"/>
      <c r="AG1091" s="279"/>
      <c r="AH1091" s="279"/>
      <c r="AI1091" s="279"/>
      <c r="AJ1091" s="279"/>
      <c r="AK1091" s="279"/>
      <c r="AL1091" s="279"/>
      <c r="AM1091" s="279"/>
      <c r="AN1091" s="279"/>
      <c r="AO1091" s="279"/>
      <c r="AP1091" s="279"/>
      <c r="AQ1091" s="279"/>
      <c r="AR1091" s="279"/>
      <c r="AS1091" s="279"/>
      <c r="AT1091" s="279"/>
      <c r="AU1091" s="279"/>
      <c r="AV1091" s="279"/>
      <c r="AW1091" s="279"/>
      <c r="AX1091" s="279"/>
      <c r="AY1091" s="279"/>
      <c r="AZ1091" s="279"/>
      <c r="BA1091" s="279"/>
      <c r="BB1091" s="279"/>
      <c r="BC1091" s="279"/>
      <c r="BD1091" s="279"/>
      <c r="BE1091" s="279"/>
      <c r="BF1091" s="279"/>
      <c r="BG1091" s="279"/>
      <c r="BH1091" s="279"/>
      <c r="BI1091" s="279"/>
      <c r="BJ1091" s="279"/>
      <c r="BK1091" s="279"/>
      <c r="BL1091" s="279"/>
      <c r="BM1091" s="279"/>
      <c r="BN1091" s="279"/>
      <c r="BO1091" s="279"/>
      <c r="BP1091" s="279"/>
      <c r="BQ1091" s="279"/>
      <c r="BR1091" s="279"/>
      <c r="BS1091" s="279"/>
      <c r="BT1091" s="279"/>
      <c r="BU1091" s="279"/>
      <c r="BV1091" s="279"/>
      <c r="BW1091" s="279"/>
      <c r="BX1091" s="279"/>
      <c r="BY1091" s="279"/>
      <c r="BZ1091" s="279"/>
      <c r="CA1091" s="279"/>
      <c r="CB1091" s="279"/>
      <c r="CC1091" s="279"/>
      <c r="CD1091" s="279"/>
      <c r="CE1091" s="279"/>
      <c r="CF1091" s="279"/>
      <c r="CG1091" s="279"/>
      <c r="CH1091" s="279"/>
      <c r="CI1091" s="279"/>
      <c r="CJ1091" s="279"/>
      <c r="CK1091" s="279"/>
      <c r="CL1091" s="279"/>
      <c r="CM1091" s="279"/>
      <c r="CN1091" s="382"/>
    </row>
    <row r="1092" x14ac:dyDescent="0.3">
      <c r="B1092" s="361"/>
      <c r="C1092" s="279"/>
      <c r="D1092" s="280"/>
      <c r="E1092" s="287"/>
      <c r="F1092" s="287"/>
      <c r="G1092" s="287"/>
      <c r="H1092" s="1292">
        <f t="shared" si="52"/>
        <v>19</v>
      </c>
      <c r="I1092" s="1190" t="str">
        <f>'I. Stream &amp; Compound Data'!P280</f>
        <v/>
      </c>
      <c r="J1092" s="1295" t="str">
        <f>IF(I160="","",IF('I. Stream &amp; Compound Data'!BU280&lt;&gt;"",'I. Stream &amp; Compound Data'!BU280,'I. Stream &amp; Compound Data'!BV280))</f>
        <v/>
      </c>
      <c r="K1092" s="1295" t="str">
        <f t="shared" si="53"/>
        <v/>
      </c>
      <c r="L1092" s="1317" t="str">
        <f t="shared" si="54"/>
        <v/>
      </c>
      <c r="M1092" s="296"/>
      <c r="N1092" s="280"/>
      <c r="O1092" s="280"/>
      <c r="P1092" s="279"/>
      <c r="Q1092" s="297"/>
      <c r="R1092" s="298"/>
      <c r="S1092" s="298"/>
      <c r="T1092" s="299"/>
      <c r="U1092" s="279"/>
      <c r="V1092" s="279"/>
      <c r="W1092" s="279"/>
      <c r="X1092" s="279"/>
      <c r="Y1092" s="279"/>
      <c r="Z1092" s="279"/>
      <c r="AA1092" s="279"/>
      <c r="AB1092" s="279"/>
      <c r="AC1092" s="279"/>
      <c r="AD1092" s="279"/>
      <c r="AE1092" s="279"/>
      <c r="AF1092" s="279"/>
      <c r="AG1092" s="279"/>
      <c r="AH1092" s="279"/>
      <c r="AI1092" s="279"/>
      <c r="AJ1092" s="279"/>
      <c r="AK1092" s="279"/>
      <c r="AL1092" s="279"/>
      <c r="AM1092" s="279"/>
      <c r="AN1092" s="279"/>
      <c r="AO1092" s="279"/>
      <c r="AP1092" s="279"/>
      <c r="AQ1092" s="279"/>
      <c r="AR1092" s="279"/>
      <c r="AS1092" s="279"/>
      <c r="AT1092" s="279"/>
      <c r="AU1092" s="279"/>
      <c r="AV1092" s="279"/>
      <c r="AW1092" s="279"/>
      <c r="AX1092" s="279"/>
      <c r="AY1092" s="279"/>
      <c r="AZ1092" s="279"/>
      <c r="BA1092" s="279"/>
      <c r="BB1092" s="279"/>
      <c r="BC1092" s="279"/>
      <c r="BD1092" s="279"/>
      <c r="BE1092" s="279"/>
      <c r="BF1092" s="279"/>
      <c r="BG1092" s="279"/>
      <c r="BH1092" s="279"/>
      <c r="BI1092" s="279"/>
      <c r="BJ1092" s="279"/>
      <c r="BK1092" s="279"/>
      <c r="BL1092" s="279"/>
      <c r="BM1092" s="279"/>
      <c r="BN1092" s="279"/>
      <c r="BO1092" s="279"/>
      <c r="BP1092" s="279"/>
      <c r="BQ1092" s="279"/>
      <c r="BR1092" s="279"/>
      <c r="BS1092" s="279"/>
      <c r="BT1092" s="279"/>
      <c r="BU1092" s="279"/>
      <c r="BV1092" s="279"/>
      <c r="BW1092" s="279"/>
      <c r="BX1092" s="279"/>
      <c r="BY1092" s="279"/>
      <c r="BZ1092" s="279"/>
      <c r="CA1092" s="279"/>
      <c r="CB1092" s="279"/>
      <c r="CC1092" s="279"/>
      <c r="CD1092" s="279"/>
      <c r="CE1092" s="279"/>
      <c r="CF1092" s="279"/>
      <c r="CG1092" s="279"/>
      <c r="CH1092" s="279"/>
      <c r="CI1092" s="279"/>
      <c r="CJ1092" s="279"/>
      <c r="CK1092" s="279"/>
      <c r="CL1092" s="279"/>
      <c r="CM1092" s="279"/>
      <c r="CN1092" s="382"/>
    </row>
    <row r="1093" x14ac:dyDescent="0.3">
      <c r="B1093" s="361"/>
      <c r="C1093" s="279"/>
      <c r="D1093" s="280"/>
      <c r="E1093" s="287"/>
      <c r="F1093" s="287"/>
      <c r="G1093" s="287"/>
      <c r="H1093" s="1292">
        <f t="shared" si="52"/>
        <v>20</v>
      </c>
      <c r="I1093" s="1190" t="str">
        <f>'I. Stream &amp; Compound Data'!P281</f>
        <v/>
      </c>
      <c r="J1093" s="1295" t="str">
        <f>IF(I161="","",IF('I. Stream &amp; Compound Data'!BU281&lt;&gt;"",'I. Stream &amp; Compound Data'!BU281,'I. Stream &amp; Compound Data'!BV281))</f>
        <v/>
      </c>
      <c r="K1093" s="1295" t="str">
        <f t="shared" ref="K1093:K1123" si="55">IF(I161="","",I1093*J1093)</f>
        <v/>
      </c>
      <c r="L1093" s="1317" t="str">
        <f t="shared" ref="L1093:L1123" si="56">IF(K1093="","",(IF(J1093=0,1,J1093))*I1093)</f>
        <v/>
      </c>
      <c r="M1093" s="296"/>
      <c r="N1093" s="280"/>
      <c r="O1093" s="280"/>
      <c r="P1093" s="279"/>
      <c r="Q1093" s="297"/>
      <c r="R1093" s="298"/>
      <c r="S1093" s="298"/>
      <c r="T1093" s="299"/>
      <c r="U1093" s="279"/>
      <c r="V1093" s="279"/>
      <c r="W1093" s="279"/>
      <c r="X1093" s="279"/>
      <c r="Y1093" s="279"/>
      <c r="Z1093" s="279"/>
      <c r="AA1093" s="279"/>
      <c r="AB1093" s="279"/>
      <c r="AC1093" s="279"/>
      <c r="AD1093" s="279"/>
      <c r="AE1093" s="279"/>
      <c r="AF1093" s="279"/>
      <c r="AG1093" s="279"/>
      <c r="AH1093" s="279"/>
      <c r="AI1093" s="279"/>
      <c r="AJ1093" s="279"/>
      <c r="AK1093" s="279"/>
      <c r="AL1093" s="279"/>
      <c r="AM1093" s="279"/>
      <c r="AN1093" s="279"/>
      <c r="AO1093" s="279"/>
      <c r="AP1093" s="279"/>
      <c r="AQ1093" s="279"/>
      <c r="AR1093" s="279"/>
      <c r="AS1093" s="279"/>
      <c r="AT1093" s="279"/>
      <c r="AU1093" s="279"/>
      <c r="AV1093" s="279"/>
      <c r="AW1093" s="279"/>
      <c r="AX1093" s="279"/>
      <c r="AY1093" s="279"/>
      <c r="AZ1093" s="279"/>
      <c r="BA1093" s="279"/>
      <c r="BB1093" s="279"/>
      <c r="BC1093" s="279"/>
      <c r="BD1093" s="279"/>
      <c r="BE1093" s="279"/>
      <c r="BF1093" s="279"/>
      <c r="BG1093" s="279"/>
      <c r="BH1093" s="279"/>
      <c r="BI1093" s="279"/>
      <c r="BJ1093" s="279"/>
      <c r="BK1093" s="279"/>
      <c r="BL1093" s="279"/>
      <c r="BM1093" s="279"/>
      <c r="BN1093" s="279"/>
      <c r="BO1093" s="279"/>
      <c r="BP1093" s="279"/>
      <c r="BQ1093" s="279"/>
      <c r="BR1093" s="279"/>
      <c r="BS1093" s="279"/>
      <c r="BT1093" s="279"/>
      <c r="BU1093" s="279"/>
      <c r="BV1093" s="279"/>
      <c r="BW1093" s="279"/>
      <c r="BX1093" s="279"/>
      <c r="BY1093" s="279"/>
      <c r="BZ1093" s="279"/>
      <c r="CA1093" s="279"/>
      <c r="CB1093" s="279"/>
      <c r="CC1093" s="279"/>
      <c r="CD1093" s="279"/>
      <c r="CE1093" s="279"/>
      <c r="CF1093" s="279"/>
      <c r="CG1093" s="279"/>
      <c r="CH1093" s="279"/>
      <c r="CI1093" s="279"/>
      <c r="CJ1093" s="279"/>
      <c r="CK1093" s="279"/>
      <c r="CL1093" s="279"/>
      <c r="CM1093" s="279"/>
      <c r="CN1093" s="382"/>
    </row>
    <row r="1094" x14ac:dyDescent="0.3">
      <c r="B1094" s="361"/>
      <c r="C1094" s="279"/>
      <c r="D1094" s="280"/>
      <c r="E1094" s="287"/>
      <c r="F1094" s="287"/>
      <c r="G1094" s="287"/>
      <c r="H1094" s="1292">
        <f t="shared" si="52"/>
        <v>21</v>
      </c>
      <c r="I1094" s="1190" t="str">
        <f>'I. Stream &amp; Compound Data'!P282</f>
        <v/>
      </c>
      <c r="J1094" s="1295" t="str">
        <f>IF(I162="","",IF('I. Stream &amp; Compound Data'!BU282&lt;&gt;"",'I. Stream &amp; Compound Data'!BU282,'I. Stream &amp; Compound Data'!BV282))</f>
        <v/>
      </c>
      <c r="K1094" s="1295" t="str">
        <f t="shared" si="55"/>
        <v/>
      </c>
      <c r="L1094" s="1317" t="str">
        <f t="shared" si="56"/>
        <v/>
      </c>
      <c r="M1094" s="296"/>
      <c r="N1094" s="280"/>
      <c r="O1094" s="280"/>
      <c r="P1094" s="279"/>
      <c r="Q1094" s="297"/>
      <c r="R1094" s="298"/>
      <c r="S1094" s="298"/>
      <c r="T1094" s="299"/>
      <c r="U1094" s="279"/>
      <c r="V1094" s="279"/>
      <c r="W1094" s="279"/>
      <c r="X1094" s="279"/>
      <c r="Y1094" s="279"/>
      <c r="Z1094" s="279"/>
      <c r="AA1094" s="279"/>
      <c r="AB1094" s="279"/>
      <c r="AC1094" s="279"/>
      <c r="AD1094" s="279"/>
      <c r="AE1094" s="279"/>
      <c r="AF1094" s="279"/>
      <c r="AG1094" s="279"/>
      <c r="AH1094" s="279"/>
      <c r="AI1094" s="279"/>
      <c r="AJ1094" s="279"/>
      <c r="AK1094" s="279"/>
      <c r="AL1094" s="279"/>
      <c r="AM1094" s="279"/>
      <c r="AN1094" s="279"/>
      <c r="AO1094" s="279"/>
      <c r="AP1094" s="279"/>
      <c r="AQ1094" s="279"/>
      <c r="AR1094" s="279"/>
      <c r="AS1094" s="279"/>
      <c r="AT1094" s="279"/>
      <c r="AU1094" s="279"/>
      <c r="AV1094" s="279"/>
      <c r="AW1094" s="279"/>
      <c r="AX1094" s="279"/>
      <c r="AY1094" s="279"/>
      <c r="AZ1094" s="279"/>
      <c r="BA1094" s="279"/>
      <c r="BB1094" s="279"/>
      <c r="BC1094" s="279"/>
      <c r="BD1094" s="279"/>
      <c r="BE1094" s="279"/>
      <c r="BF1094" s="279"/>
      <c r="BG1094" s="279"/>
      <c r="BH1094" s="279"/>
      <c r="BI1094" s="279"/>
      <c r="BJ1094" s="279"/>
      <c r="BK1094" s="279"/>
      <c r="BL1094" s="279"/>
      <c r="BM1094" s="279"/>
      <c r="BN1094" s="279"/>
      <c r="BO1094" s="279"/>
      <c r="BP1094" s="279"/>
      <c r="BQ1094" s="279"/>
      <c r="BR1094" s="279"/>
      <c r="BS1094" s="279"/>
      <c r="BT1094" s="279"/>
      <c r="BU1094" s="279"/>
      <c r="BV1094" s="279"/>
      <c r="BW1094" s="279"/>
      <c r="BX1094" s="279"/>
      <c r="BY1094" s="279"/>
      <c r="BZ1094" s="279"/>
      <c r="CA1094" s="279"/>
      <c r="CB1094" s="279"/>
      <c r="CC1094" s="279"/>
      <c r="CD1094" s="279"/>
      <c r="CE1094" s="279"/>
      <c r="CF1094" s="279"/>
      <c r="CG1094" s="279"/>
      <c r="CH1094" s="279"/>
      <c r="CI1094" s="279"/>
      <c r="CJ1094" s="279"/>
      <c r="CK1094" s="279"/>
      <c r="CL1094" s="279"/>
      <c r="CM1094" s="279"/>
      <c r="CN1094" s="382"/>
    </row>
    <row r="1095" x14ac:dyDescent="0.3">
      <c r="B1095" s="361"/>
      <c r="C1095" s="279"/>
      <c r="D1095" s="280"/>
      <c r="E1095" s="287"/>
      <c r="F1095" s="287"/>
      <c r="G1095" s="287"/>
      <c r="H1095" s="1292">
        <f t="shared" si="52"/>
        <v>22</v>
      </c>
      <c r="I1095" s="1190" t="str">
        <f>'I. Stream &amp; Compound Data'!P283</f>
        <v/>
      </c>
      <c r="J1095" s="1295" t="str">
        <f>IF(I163="","",IF('I. Stream &amp; Compound Data'!BU283&lt;&gt;"",'I. Stream &amp; Compound Data'!BU283,'I. Stream &amp; Compound Data'!BV283))</f>
        <v/>
      </c>
      <c r="K1095" s="1295" t="str">
        <f t="shared" si="55"/>
        <v/>
      </c>
      <c r="L1095" s="1317" t="str">
        <f t="shared" si="56"/>
        <v/>
      </c>
      <c r="M1095" s="296"/>
      <c r="N1095" s="280"/>
      <c r="O1095" s="280"/>
      <c r="P1095" s="279"/>
      <c r="Q1095" s="297"/>
      <c r="R1095" s="298"/>
      <c r="S1095" s="298"/>
      <c r="T1095" s="299"/>
      <c r="U1095" s="279"/>
      <c r="V1095" s="279"/>
      <c r="W1095" s="279"/>
      <c r="X1095" s="279"/>
      <c r="Y1095" s="279"/>
      <c r="Z1095" s="279"/>
      <c r="AA1095" s="279"/>
      <c r="AB1095" s="279"/>
      <c r="AC1095" s="279"/>
      <c r="AD1095" s="279"/>
      <c r="AE1095" s="279"/>
      <c r="AF1095" s="279"/>
      <c r="AG1095" s="279"/>
      <c r="AH1095" s="279"/>
      <c r="AI1095" s="279"/>
      <c r="AJ1095" s="279"/>
      <c r="AK1095" s="279"/>
      <c r="AL1095" s="279"/>
      <c r="AM1095" s="279"/>
      <c r="AN1095" s="279"/>
      <c r="AO1095" s="279"/>
      <c r="AP1095" s="279"/>
      <c r="AQ1095" s="279"/>
      <c r="AR1095" s="279"/>
      <c r="AS1095" s="279"/>
      <c r="AT1095" s="279"/>
      <c r="AU1095" s="279"/>
      <c r="AV1095" s="279"/>
      <c r="AW1095" s="279"/>
      <c r="AX1095" s="279"/>
      <c r="AY1095" s="279"/>
      <c r="AZ1095" s="279"/>
      <c r="BA1095" s="279"/>
      <c r="BB1095" s="279"/>
      <c r="BC1095" s="279"/>
      <c r="BD1095" s="279"/>
      <c r="BE1095" s="279"/>
      <c r="BF1095" s="279"/>
      <c r="BG1095" s="279"/>
      <c r="BH1095" s="279"/>
      <c r="BI1095" s="279"/>
      <c r="BJ1095" s="279"/>
      <c r="BK1095" s="279"/>
      <c r="BL1095" s="279"/>
      <c r="BM1095" s="279"/>
      <c r="BN1095" s="279"/>
      <c r="BO1095" s="279"/>
      <c r="BP1095" s="279"/>
      <c r="BQ1095" s="279"/>
      <c r="BR1095" s="279"/>
      <c r="BS1095" s="279"/>
      <c r="BT1095" s="279"/>
      <c r="BU1095" s="279"/>
      <c r="BV1095" s="279"/>
      <c r="BW1095" s="279"/>
      <c r="BX1095" s="279"/>
      <c r="BY1095" s="279"/>
      <c r="BZ1095" s="279"/>
      <c r="CA1095" s="279"/>
      <c r="CB1095" s="279"/>
      <c r="CC1095" s="279"/>
      <c r="CD1095" s="279"/>
      <c r="CE1095" s="279"/>
      <c r="CF1095" s="279"/>
      <c r="CG1095" s="279"/>
      <c r="CH1095" s="279"/>
      <c r="CI1095" s="279"/>
      <c r="CJ1095" s="279"/>
      <c r="CK1095" s="279"/>
      <c r="CL1095" s="279"/>
      <c r="CM1095" s="279"/>
      <c r="CN1095" s="382"/>
    </row>
    <row r="1096" x14ac:dyDescent="0.3">
      <c r="B1096" s="361"/>
      <c r="C1096" s="279"/>
      <c r="D1096" s="280"/>
      <c r="E1096" s="287"/>
      <c r="F1096" s="287"/>
      <c r="G1096" s="287"/>
      <c r="H1096" s="1292">
        <f t="shared" si="52"/>
        <v>23</v>
      </c>
      <c r="I1096" s="1190" t="str">
        <f>'I. Stream &amp; Compound Data'!P284</f>
        <v/>
      </c>
      <c r="J1096" s="1295" t="str">
        <f>IF(I164="","",IF('I. Stream &amp; Compound Data'!BU284&lt;&gt;"",'I. Stream &amp; Compound Data'!BU284,'I. Stream &amp; Compound Data'!BV284))</f>
        <v/>
      </c>
      <c r="K1096" s="1295" t="str">
        <f t="shared" si="55"/>
        <v/>
      </c>
      <c r="L1096" s="1317" t="str">
        <f t="shared" si="56"/>
        <v/>
      </c>
      <c r="M1096" s="296"/>
      <c r="N1096" s="280"/>
      <c r="O1096" s="280"/>
      <c r="P1096" s="279"/>
      <c r="Q1096" s="297"/>
      <c r="R1096" s="298"/>
      <c r="S1096" s="298"/>
      <c r="T1096" s="299"/>
      <c r="U1096" s="279"/>
      <c r="V1096" s="279"/>
      <c r="W1096" s="279"/>
      <c r="X1096" s="279"/>
      <c r="Y1096" s="279"/>
      <c r="Z1096" s="279"/>
      <c r="AA1096" s="279"/>
      <c r="AB1096" s="279"/>
      <c r="AC1096" s="279"/>
      <c r="AD1096" s="279"/>
      <c r="AE1096" s="279"/>
      <c r="AF1096" s="279"/>
      <c r="AG1096" s="279"/>
      <c r="AH1096" s="279"/>
      <c r="AI1096" s="279"/>
      <c r="AJ1096" s="279"/>
      <c r="AK1096" s="279"/>
      <c r="AL1096" s="279"/>
      <c r="AM1096" s="279"/>
      <c r="AN1096" s="279"/>
      <c r="AO1096" s="279"/>
      <c r="AP1096" s="279"/>
      <c r="AQ1096" s="279"/>
      <c r="AR1096" s="279"/>
      <c r="AS1096" s="279"/>
      <c r="AT1096" s="279"/>
      <c r="AU1096" s="279"/>
      <c r="AV1096" s="279"/>
      <c r="AW1096" s="279"/>
      <c r="AX1096" s="279"/>
      <c r="AY1096" s="279"/>
      <c r="AZ1096" s="279"/>
      <c r="BA1096" s="279"/>
      <c r="BB1096" s="279"/>
      <c r="BC1096" s="279"/>
      <c r="BD1096" s="279"/>
      <c r="BE1096" s="279"/>
      <c r="BF1096" s="279"/>
      <c r="BG1096" s="279"/>
      <c r="BH1096" s="279"/>
      <c r="BI1096" s="279"/>
      <c r="BJ1096" s="279"/>
      <c r="BK1096" s="279"/>
      <c r="BL1096" s="279"/>
      <c r="BM1096" s="279"/>
      <c r="BN1096" s="279"/>
      <c r="BO1096" s="279"/>
      <c r="BP1096" s="279"/>
      <c r="BQ1096" s="279"/>
      <c r="BR1096" s="279"/>
      <c r="BS1096" s="279"/>
      <c r="BT1096" s="279"/>
      <c r="BU1096" s="279"/>
      <c r="BV1096" s="279"/>
      <c r="BW1096" s="279"/>
      <c r="BX1096" s="279"/>
      <c r="BY1096" s="279"/>
      <c r="BZ1096" s="279"/>
      <c r="CA1096" s="279"/>
      <c r="CB1096" s="279"/>
      <c r="CC1096" s="279"/>
      <c r="CD1096" s="279"/>
      <c r="CE1096" s="279"/>
      <c r="CF1096" s="279"/>
      <c r="CG1096" s="279"/>
      <c r="CH1096" s="279"/>
      <c r="CI1096" s="279"/>
      <c r="CJ1096" s="279"/>
      <c r="CK1096" s="279"/>
      <c r="CL1096" s="279"/>
      <c r="CM1096" s="279"/>
      <c r="CN1096" s="382"/>
    </row>
    <row r="1097" x14ac:dyDescent="0.3">
      <c r="B1097" s="361"/>
      <c r="C1097" s="279"/>
      <c r="D1097" s="280"/>
      <c r="E1097" s="287"/>
      <c r="F1097" s="287"/>
      <c r="G1097" s="287"/>
      <c r="H1097" s="1292">
        <f t="shared" si="52"/>
        <v>24</v>
      </c>
      <c r="I1097" s="1190" t="str">
        <f>'I. Stream &amp; Compound Data'!P285</f>
        <v/>
      </c>
      <c r="J1097" s="1295" t="str">
        <f>IF(I165="","",IF('I. Stream &amp; Compound Data'!BU285&lt;&gt;"",'I. Stream &amp; Compound Data'!BU285,'I. Stream &amp; Compound Data'!BV285))</f>
        <v/>
      </c>
      <c r="K1097" s="1295" t="str">
        <f t="shared" si="55"/>
        <v/>
      </c>
      <c r="L1097" s="1317" t="str">
        <f t="shared" si="56"/>
        <v/>
      </c>
      <c r="M1097" s="296"/>
      <c r="N1097" s="280"/>
      <c r="O1097" s="280"/>
      <c r="P1097" s="279"/>
      <c r="Q1097" s="297"/>
      <c r="R1097" s="298"/>
      <c r="S1097" s="298"/>
      <c r="T1097" s="299"/>
      <c r="U1097" s="279"/>
      <c r="V1097" s="279"/>
      <c r="W1097" s="279"/>
      <c r="X1097" s="279"/>
      <c r="Y1097" s="279"/>
      <c r="Z1097" s="279"/>
      <c r="AA1097" s="279"/>
      <c r="AB1097" s="279"/>
      <c r="AC1097" s="279"/>
      <c r="AD1097" s="279"/>
      <c r="AE1097" s="279"/>
      <c r="AF1097" s="279"/>
      <c r="AG1097" s="279"/>
      <c r="AH1097" s="279"/>
      <c r="AI1097" s="279"/>
      <c r="AJ1097" s="279"/>
      <c r="AK1097" s="279"/>
      <c r="AL1097" s="279"/>
      <c r="AM1097" s="279"/>
      <c r="AN1097" s="279"/>
      <c r="AO1097" s="279"/>
      <c r="AP1097" s="279"/>
      <c r="AQ1097" s="279"/>
      <c r="AR1097" s="279"/>
      <c r="AS1097" s="279"/>
      <c r="AT1097" s="279"/>
      <c r="AU1097" s="279"/>
      <c r="AV1097" s="279"/>
      <c r="AW1097" s="279"/>
      <c r="AX1097" s="279"/>
      <c r="AY1097" s="279"/>
      <c r="AZ1097" s="279"/>
      <c r="BA1097" s="279"/>
      <c r="BB1097" s="279"/>
      <c r="BC1097" s="279"/>
      <c r="BD1097" s="279"/>
      <c r="BE1097" s="279"/>
      <c r="BF1097" s="279"/>
      <c r="BG1097" s="279"/>
      <c r="BH1097" s="279"/>
      <c r="BI1097" s="279"/>
      <c r="BJ1097" s="279"/>
      <c r="BK1097" s="279"/>
      <c r="BL1097" s="279"/>
      <c r="BM1097" s="279"/>
      <c r="BN1097" s="279"/>
      <c r="BO1097" s="279"/>
      <c r="BP1097" s="279"/>
      <c r="BQ1097" s="279"/>
      <c r="BR1097" s="279"/>
      <c r="BS1097" s="279"/>
      <c r="BT1097" s="279"/>
      <c r="BU1097" s="279"/>
      <c r="BV1097" s="279"/>
      <c r="BW1097" s="279"/>
      <c r="BX1097" s="279"/>
      <c r="BY1097" s="279"/>
      <c r="BZ1097" s="279"/>
      <c r="CA1097" s="279"/>
      <c r="CB1097" s="279"/>
      <c r="CC1097" s="279"/>
      <c r="CD1097" s="279"/>
      <c r="CE1097" s="279"/>
      <c r="CF1097" s="279"/>
      <c r="CG1097" s="279"/>
      <c r="CH1097" s="279"/>
      <c r="CI1097" s="279"/>
      <c r="CJ1097" s="279"/>
      <c r="CK1097" s="279"/>
      <c r="CL1097" s="279"/>
      <c r="CM1097" s="279"/>
      <c r="CN1097" s="382"/>
    </row>
    <row r="1098" x14ac:dyDescent="0.3">
      <c r="B1098" s="361"/>
      <c r="C1098" s="279"/>
      <c r="D1098" s="280"/>
      <c r="E1098" s="287"/>
      <c r="F1098" s="287"/>
      <c r="G1098" s="287"/>
      <c r="H1098" s="1292">
        <f t="shared" si="52"/>
        <v>25</v>
      </c>
      <c r="I1098" s="1190" t="str">
        <f>'I. Stream &amp; Compound Data'!P286</f>
        <v/>
      </c>
      <c r="J1098" s="1295" t="str">
        <f>IF(I166="","",IF('I. Stream &amp; Compound Data'!BU286&lt;&gt;"",'I. Stream &amp; Compound Data'!BU286,'I. Stream &amp; Compound Data'!BV286))</f>
        <v/>
      </c>
      <c r="K1098" s="1295" t="str">
        <f t="shared" si="55"/>
        <v/>
      </c>
      <c r="L1098" s="1317" t="str">
        <f t="shared" si="56"/>
        <v/>
      </c>
      <c r="M1098" s="296"/>
      <c r="N1098" s="280"/>
      <c r="O1098" s="280"/>
      <c r="P1098" s="279"/>
      <c r="Q1098" s="297"/>
      <c r="R1098" s="298"/>
      <c r="S1098" s="298"/>
      <c r="T1098" s="299"/>
      <c r="U1098" s="279"/>
      <c r="V1098" s="279"/>
      <c r="W1098" s="279"/>
      <c r="X1098" s="279"/>
      <c r="Y1098" s="279"/>
      <c r="Z1098" s="279"/>
      <c r="AA1098" s="279"/>
      <c r="AB1098" s="279"/>
      <c r="AC1098" s="279"/>
      <c r="AD1098" s="279"/>
      <c r="AE1098" s="279"/>
      <c r="AF1098" s="279"/>
      <c r="AG1098" s="279"/>
      <c r="AH1098" s="279"/>
      <c r="AI1098" s="279"/>
      <c r="AJ1098" s="279"/>
      <c r="AK1098" s="279"/>
      <c r="AL1098" s="279"/>
      <c r="AM1098" s="279"/>
      <c r="AN1098" s="279"/>
      <c r="AO1098" s="279"/>
      <c r="AP1098" s="279"/>
      <c r="AQ1098" s="279"/>
      <c r="AR1098" s="279"/>
      <c r="AS1098" s="279"/>
      <c r="AT1098" s="279"/>
      <c r="AU1098" s="279"/>
      <c r="AV1098" s="279"/>
      <c r="AW1098" s="279"/>
      <c r="AX1098" s="279"/>
      <c r="AY1098" s="279"/>
      <c r="AZ1098" s="279"/>
      <c r="BA1098" s="279"/>
      <c r="BB1098" s="279"/>
      <c r="BC1098" s="279"/>
      <c r="BD1098" s="279"/>
      <c r="BE1098" s="279"/>
      <c r="BF1098" s="279"/>
      <c r="BG1098" s="279"/>
      <c r="BH1098" s="279"/>
      <c r="BI1098" s="279"/>
      <c r="BJ1098" s="279"/>
      <c r="BK1098" s="279"/>
      <c r="BL1098" s="279"/>
      <c r="BM1098" s="279"/>
      <c r="BN1098" s="279"/>
      <c r="BO1098" s="279"/>
      <c r="BP1098" s="279"/>
      <c r="BQ1098" s="279"/>
      <c r="BR1098" s="279"/>
      <c r="BS1098" s="279"/>
      <c r="BT1098" s="279"/>
      <c r="BU1098" s="279"/>
      <c r="BV1098" s="279"/>
      <c r="BW1098" s="279"/>
      <c r="BX1098" s="279"/>
      <c r="BY1098" s="279"/>
      <c r="BZ1098" s="279"/>
      <c r="CA1098" s="279"/>
      <c r="CB1098" s="279"/>
      <c r="CC1098" s="279"/>
      <c r="CD1098" s="279"/>
      <c r="CE1098" s="279"/>
      <c r="CF1098" s="279"/>
      <c r="CG1098" s="279"/>
      <c r="CH1098" s="279"/>
      <c r="CI1098" s="279"/>
      <c r="CJ1098" s="279"/>
      <c r="CK1098" s="279"/>
      <c r="CL1098" s="279"/>
      <c r="CM1098" s="279"/>
      <c r="CN1098" s="382"/>
    </row>
    <row r="1099" x14ac:dyDescent="0.3">
      <c r="B1099" s="361"/>
      <c r="C1099" s="279"/>
      <c r="D1099" s="280"/>
      <c r="E1099" s="287"/>
      <c r="F1099" s="287"/>
      <c r="G1099" s="287"/>
      <c r="H1099" s="1292">
        <f t="shared" si="52"/>
        <v>26</v>
      </c>
      <c r="I1099" s="1190" t="str">
        <f>'I. Stream &amp; Compound Data'!P287</f>
        <v/>
      </c>
      <c r="J1099" s="1295" t="str">
        <f>IF(I167="","",IF('I. Stream &amp; Compound Data'!BU287&lt;&gt;"",'I. Stream &amp; Compound Data'!BU287,'I. Stream &amp; Compound Data'!BV287))</f>
        <v/>
      </c>
      <c r="K1099" s="1295" t="str">
        <f t="shared" si="55"/>
        <v/>
      </c>
      <c r="L1099" s="1317" t="str">
        <f t="shared" si="56"/>
        <v/>
      </c>
      <c r="M1099" s="296"/>
      <c r="N1099" s="280"/>
      <c r="O1099" s="280"/>
      <c r="P1099" s="279"/>
      <c r="Q1099" s="297"/>
      <c r="R1099" s="298"/>
      <c r="S1099" s="298"/>
      <c r="T1099" s="299"/>
      <c r="U1099" s="279"/>
      <c r="V1099" s="279"/>
      <c r="W1099" s="279"/>
      <c r="X1099" s="279"/>
      <c r="Y1099" s="279"/>
      <c r="Z1099" s="279"/>
      <c r="AA1099" s="279"/>
      <c r="AB1099" s="279"/>
      <c r="AC1099" s="279"/>
      <c r="AD1099" s="279"/>
      <c r="AE1099" s="279"/>
      <c r="AF1099" s="279"/>
      <c r="AG1099" s="279"/>
      <c r="AH1099" s="279"/>
      <c r="AI1099" s="279"/>
      <c r="AJ1099" s="279"/>
      <c r="AK1099" s="279"/>
      <c r="AL1099" s="279"/>
      <c r="AM1099" s="279"/>
      <c r="AN1099" s="279"/>
      <c r="AO1099" s="279"/>
      <c r="AP1099" s="279"/>
      <c r="AQ1099" s="279"/>
      <c r="AR1099" s="279"/>
      <c r="AS1099" s="279"/>
      <c r="AT1099" s="279"/>
      <c r="AU1099" s="279"/>
      <c r="AV1099" s="279"/>
      <c r="AW1099" s="279"/>
      <c r="AX1099" s="279"/>
      <c r="AY1099" s="279"/>
      <c r="AZ1099" s="279"/>
      <c r="BA1099" s="279"/>
      <c r="BB1099" s="279"/>
      <c r="BC1099" s="279"/>
      <c r="BD1099" s="279"/>
      <c r="BE1099" s="279"/>
      <c r="BF1099" s="279"/>
      <c r="BG1099" s="279"/>
      <c r="BH1099" s="279"/>
      <c r="BI1099" s="279"/>
      <c r="BJ1099" s="279"/>
      <c r="BK1099" s="279"/>
      <c r="BL1099" s="279"/>
      <c r="BM1099" s="279"/>
      <c r="BN1099" s="279"/>
      <c r="BO1099" s="279"/>
      <c r="BP1099" s="279"/>
      <c r="BQ1099" s="279"/>
      <c r="BR1099" s="279"/>
      <c r="BS1099" s="279"/>
      <c r="BT1099" s="279"/>
      <c r="BU1099" s="279"/>
      <c r="BV1099" s="279"/>
      <c r="BW1099" s="279"/>
      <c r="BX1099" s="279"/>
      <c r="BY1099" s="279"/>
      <c r="BZ1099" s="279"/>
      <c r="CA1099" s="279"/>
      <c r="CB1099" s="279"/>
      <c r="CC1099" s="279"/>
      <c r="CD1099" s="279"/>
      <c r="CE1099" s="279"/>
      <c r="CF1099" s="279"/>
      <c r="CG1099" s="279"/>
      <c r="CH1099" s="279"/>
      <c r="CI1099" s="279"/>
      <c r="CJ1099" s="279"/>
      <c r="CK1099" s="279"/>
      <c r="CL1099" s="279"/>
      <c r="CM1099" s="279"/>
      <c r="CN1099" s="382"/>
    </row>
    <row r="1100" x14ac:dyDescent="0.3">
      <c r="B1100" s="361"/>
      <c r="C1100" s="279"/>
      <c r="D1100" s="280"/>
      <c r="E1100" s="287"/>
      <c r="F1100" s="287"/>
      <c r="G1100" s="287"/>
      <c r="H1100" s="1292">
        <f t="shared" si="52"/>
        <v>27</v>
      </c>
      <c r="I1100" s="1190" t="str">
        <f>'I. Stream &amp; Compound Data'!P288</f>
        <v/>
      </c>
      <c r="J1100" s="1295" t="str">
        <f>IF(I168="","",IF('I. Stream &amp; Compound Data'!BU288&lt;&gt;"",'I. Stream &amp; Compound Data'!BU288,'I. Stream &amp; Compound Data'!BV288))</f>
        <v/>
      </c>
      <c r="K1100" s="1295" t="str">
        <f t="shared" si="55"/>
        <v/>
      </c>
      <c r="L1100" s="1317" t="str">
        <f t="shared" si="56"/>
        <v/>
      </c>
      <c r="M1100" s="296"/>
      <c r="N1100" s="280"/>
      <c r="O1100" s="280"/>
      <c r="P1100" s="279"/>
      <c r="Q1100" s="297"/>
      <c r="R1100" s="298"/>
      <c r="S1100" s="298"/>
      <c r="T1100" s="299"/>
      <c r="U1100" s="279"/>
      <c r="V1100" s="279"/>
      <c r="W1100" s="279"/>
      <c r="X1100" s="279"/>
      <c r="Y1100" s="279"/>
      <c r="Z1100" s="279"/>
      <c r="AA1100" s="279"/>
      <c r="AB1100" s="279"/>
      <c r="AC1100" s="279"/>
      <c r="AD1100" s="279"/>
      <c r="AE1100" s="279"/>
      <c r="AF1100" s="279"/>
      <c r="AG1100" s="279"/>
      <c r="AH1100" s="279"/>
      <c r="AI1100" s="279"/>
      <c r="AJ1100" s="279"/>
      <c r="AK1100" s="279"/>
      <c r="AL1100" s="279"/>
      <c r="AM1100" s="279"/>
      <c r="AN1100" s="279"/>
      <c r="AO1100" s="279"/>
      <c r="AP1100" s="279"/>
      <c r="AQ1100" s="279"/>
      <c r="AR1100" s="279"/>
      <c r="AS1100" s="279"/>
      <c r="AT1100" s="279"/>
      <c r="AU1100" s="279"/>
      <c r="AV1100" s="279"/>
      <c r="AW1100" s="279"/>
      <c r="AX1100" s="279"/>
      <c r="AY1100" s="279"/>
      <c r="AZ1100" s="279"/>
      <c r="BA1100" s="279"/>
      <c r="BB1100" s="279"/>
      <c r="BC1100" s="279"/>
      <c r="BD1100" s="279"/>
      <c r="BE1100" s="279"/>
      <c r="BF1100" s="279"/>
      <c r="BG1100" s="279"/>
      <c r="BH1100" s="279"/>
      <c r="BI1100" s="279"/>
      <c r="BJ1100" s="279"/>
      <c r="BK1100" s="279"/>
      <c r="BL1100" s="279"/>
      <c r="BM1100" s="279"/>
      <c r="BN1100" s="279"/>
      <c r="BO1100" s="279"/>
      <c r="BP1100" s="279"/>
      <c r="BQ1100" s="279"/>
      <c r="BR1100" s="279"/>
      <c r="BS1100" s="279"/>
      <c r="BT1100" s="279"/>
      <c r="BU1100" s="279"/>
      <c r="BV1100" s="279"/>
      <c r="BW1100" s="279"/>
      <c r="BX1100" s="279"/>
      <c r="BY1100" s="279"/>
      <c r="BZ1100" s="279"/>
      <c r="CA1100" s="279"/>
      <c r="CB1100" s="279"/>
      <c r="CC1100" s="279"/>
      <c r="CD1100" s="279"/>
      <c r="CE1100" s="279"/>
      <c r="CF1100" s="279"/>
      <c r="CG1100" s="279"/>
      <c r="CH1100" s="279"/>
      <c r="CI1100" s="279"/>
      <c r="CJ1100" s="279"/>
      <c r="CK1100" s="279"/>
      <c r="CL1100" s="279"/>
      <c r="CM1100" s="279"/>
      <c r="CN1100" s="382"/>
    </row>
    <row r="1101" x14ac:dyDescent="0.3">
      <c r="B1101" s="361"/>
      <c r="C1101" s="279"/>
      <c r="D1101" s="280"/>
      <c r="E1101" s="287"/>
      <c r="F1101" s="287"/>
      <c r="G1101" s="287"/>
      <c r="H1101" s="1292">
        <f t="shared" si="52"/>
        <v>28</v>
      </c>
      <c r="I1101" s="1190" t="str">
        <f>'I. Stream &amp; Compound Data'!P289</f>
        <v/>
      </c>
      <c r="J1101" s="1295" t="str">
        <f>IF(I169="","",IF('I. Stream &amp; Compound Data'!BU289&lt;&gt;"",'I. Stream &amp; Compound Data'!BU289,'I. Stream &amp; Compound Data'!BV289))</f>
        <v/>
      </c>
      <c r="K1101" s="1295" t="str">
        <f t="shared" si="55"/>
        <v/>
      </c>
      <c r="L1101" s="1317" t="str">
        <f t="shared" si="56"/>
        <v/>
      </c>
      <c r="M1101" s="296"/>
      <c r="N1101" s="280"/>
      <c r="O1101" s="280"/>
      <c r="P1101" s="279"/>
      <c r="Q1101" s="297"/>
      <c r="R1101" s="298"/>
      <c r="S1101" s="298"/>
      <c r="T1101" s="299"/>
      <c r="U1101" s="279"/>
      <c r="V1101" s="279"/>
      <c r="W1101" s="279"/>
      <c r="X1101" s="279"/>
      <c r="Y1101" s="279"/>
      <c r="Z1101" s="279"/>
      <c r="AA1101" s="279"/>
      <c r="AB1101" s="279"/>
      <c r="AC1101" s="279"/>
      <c r="AD1101" s="279"/>
      <c r="AE1101" s="279"/>
      <c r="AF1101" s="279"/>
      <c r="AG1101" s="279"/>
      <c r="AH1101" s="279"/>
      <c r="AI1101" s="279"/>
      <c r="AJ1101" s="279"/>
      <c r="AK1101" s="279"/>
      <c r="AL1101" s="279"/>
      <c r="AM1101" s="279"/>
      <c r="AN1101" s="279"/>
      <c r="AO1101" s="279"/>
      <c r="AP1101" s="279"/>
      <c r="AQ1101" s="279"/>
      <c r="AR1101" s="279"/>
      <c r="AS1101" s="279"/>
      <c r="AT1101" s="279"/>
      <c r="AU1101" s="279"/>
      <c r="AV1101" s="279"/>
      <c r="AW1101" s="279"/>
      <c r="AX1101" s="279"/>
      <c r="AY1101" s="279"/>
      <c r="AZ1101" s="279"/>
      <c r="BA1101" s="279"/>
      <c r="BB1101" s="279"/>
      <c r="BC1101" s="279"/>
      <c r="BD1101" s="279"/>
      <c r="BE1101" s="279"/>
      <c r="BF1101" s="279"/>
      <c r="BG1101" s="279"/>
      <c r="BH1101" s="279"/>
      <c r="BI1101" s="279"/>
      <c r="BJ1101" s="279"/>
      <c r="BK1101" s="279"/>
      <c r="BL1101" s="279"/>
      <c r="BM1101" s="279"/>
      <c r="BN1101" s="279"/>
      <c r="BO1101" s="279"/>
      <c r="BP1101" s="279"/>
      <c r="BQ1101" s="279"/>
      <c r="BR1101" s="279"/>
      <c r="BS1101" s="279"/>
      <c r="BT1101" s="279"/>
      <c r="BU1101" s="279"/>
      <c r="BV1101" s="279"/>
      <c r="BW1101" s="279"/>
      <c r="BX1101" s="279"/>
      <c r="BY1101" s="279"/>
      <c r="BZ1101" s="279"/>
      <c r="CA1101" s="279"/>
      <c r="CB1101" s="279"/>
      <c r="CC1101" s="279"/>
      <c r="CD1101" s="279"/>
      <c r="CE1101" s="279"/>
      <c r="CF1101" s="279"/>
      <c r="CG1101" s="279"/>
      <c r="CH1101" s="279"/>
      <c r="CI1101" s="279"/>
      <c r="CJ1101" s="279"/>
      <c r="CK1101" s="279"/>
      <c r="CL1101" s="279"/>
      <c r="CM1101" s="279"/>
      <c r="CN1101" s="382"/>
    </row>
    <row r="1102" x14ac:dyDescent="0.3">
      <c r="B1102" s="361"/>
      <c r="C1102" s="279"/>
      <c r="D1102" s="280"/>
      <c r="E1102" s="287"/>
      <c r="F1102" s="287"/>
      <c r="G1102" s="287"/>
      <c r="H1102" s="1292">
        <f t="shared" si="52"/>
        <v>29</v>
      </c>
      <c r="I1102" s="1190" t="str">
        <f>'I. Stream &amp; Compound Data'!P290</f>
        <v/>
      </c>
      <c r="J1102" s="1295" t="str">
        <f>IF(I170="","",IF('I. Stream &amp; Compound Data'!BU290&lt;&gt;"",'I. Stream &amp; Compound Data'!BU290,'I. Stream &amp; Compound Data'!BV290))</f>
        <v/>
      </c>
      <c r="K1102" s="1295" t="str">
        <f t="shared" si="55"/>
        <v/>
      </c>
      <c r="L1102" s="1317" t="str">
        <f t="shared" si="56"/>
        <v/>
      </c>
      <c r="M1102" s="296"/>
      <c r="N1102" s="280"/>
      <c r="O1102" s="280"/>
      <c r="P1102" s="279"/>
      <c r="Q1102" s="297"/>
      <c r="R1102" s="298"/>
      <c r="S1102" s="298"/>
      <c r="T1102" s="299"/>
      <c r="U1102" s="279"/>
      <c r="V1102" s="279"/>
      <c r="W1102" s="279"/>
      <c r="X1102" s="279"/>
      <c r="Y1102" s="279"/>
      <c r="Z1102" s="279"/>
      <c r="AA1102" s="279"/>
      <c r="AB1102" s="279"/>
      <c r="AC1102" s="279"/>
      <c r="AD1102" s="279"/>
      <c r="AE1102" s="279"/>
      <c r="AF1102" s="279"/>
      <c r="AG1102" s="279"/>
      <c r="AH1102" s="279"/>
      <c r="AI1102" s="279"/>
      <c r="AJ1102" s="279"/>
      <c r="AK1102" s="279"/>
      <c r="AL1102" s="279"/>
      <c r="AM1102" s="279"/>
      <c r="AN1102" s="279"/>
      <c r="AO1102" s="279"/>
      <c r="AP1102" s="279"/>
      <c r="AQ1102" s="279"/>
      <c r="AR1102" s="279"/>
      <c r="AS1102" s="279"/>
      <c r="AT1102" s="279"/>
      <c r="AU1102" s="279"/>
      <c r="AV1102" s="279"/>
      <c r="AW1102" s="279"/>
      <c r="AX1102" s="279"/>
      <c r="AY1102" s="279"/>
      <c r="AZ1102" s="279"/>
      <c r="BA1102" s="279"/>
      <c r="BB1102" s="279"/>
      <c r="BC1102" s="279"/>
      <c r="BD1102" s="279"/>
      <c r="BE1102" s="279"/>
      <c r="BF1102" s="279"/>
      <c r="BG1102" s="279"/>
      <c r="BH1102" s="279"/>
      <c r="BI1102" s="279"/>
      <c r="BJ1102" s="279"/>
      <c r="BK1102" s="279"/>
      <c r="BL1102" s="279"/>
      <c r="BM1102" s="279"/>
      <c r="BN1102" s="279"/>
      <c r="BO1102" s="279"/>
      <c r="BP1102" s="279"/>
      <c r="BQ1102" s="279"/>
      <c r="BR1102" s="279"/>
      <c r="BS1102" s="279"/>
      <c r="BT1102" s="279"/>
      <c r="BU1102" s="279"/>
      <c r="BV1102" s="279"/>
      <c r="BW1102" s="279"/>
      <c r="BX1102" s="279"/>
      <c r="BY1102" s="279"/>
      <c r="BZ1102" s="279"/>
      <c r="CA1102" s="279"/>
      <c r="CB1102" s="279"/>
      <c r="CC1102" s="279"/>
      <c r="CD1102" s="279"/>
      <c r="CE1102" s="279"/>
      <c r="CF1102" s="279"/>
      <c r="CG1102" s="279"/>
      <c r="CH1102" s="279"/>
      <c r="CI1102" s="279"/>
      <c r="CJ1102" s="279"/>
      <c r="CK1102" s="279"/>
      <c r="CL1102" s="279"/>
      <c r="CM1102" s="279"/>
      <c r="CN1102" s="382"/>
    </row>
    <row r="1103" x14ac:dyDescent="0.3">
      <c r="B1103" s="361"/>
      <c r="C1103" s="279"/>
      <c r="D1103" s="280"/>
      <c r="E1103" s="287"/>
      <c r="F1103" s="287"/>
      <c r="G1103" s="287"/>
      <c r="H1103" s="1292">
        <f t="shared" si="52"/>
        <v>30</v>
      </c>
      <c r="I1103" s="1190" t="str">
        <f>'I. Stream &amp; Compound Data'!P291</f>
        <v/>
      </c>
      <c r="J1103" s="1295" t="str">
        <f>IF(I171="","",IF('I. Stream &amp; Compound Data'!BU291&lt;&gt;"",'I. Stream &amp; Compound Data'!BU291,'I. Stream &amp; Compound Data'!BV291))</f>
        <v/>
      </c>
      <c r="K1103" s="1295" t="str">
        <f t="shared" si="55"/>
        <v/>
      </c>
      <c r="L1103" s="1317" t="str">
        <f t="shared" si="56"/>
        <v/>
      </c>
      <c r="M1103" s="296"/>
      <c r="N1103" s="280"/>
      <c r="O1103" s="280"/>
      <c r="P1103" s="279"/>
      <c r="Q1103" s="297"/>
      <c r="R1103" s="298"/>
      <c r="S1103" s="298"/>
      <c r="T1103" s="299"/>
      <c r="U1103" s="279"/>
      <c r="V1103" s="279"/>
      <c r="W1103" s="279"/>
      <c r="X1103" s="279"/>
      <c r="Y1103" s="279"/>
      <c r="Z1103" s="279"/>
      <c r="AA1103" s="279"/>
      <c r="AB1103" s="279"/>
      <c r="AC1103" s="279"/>
      <c r="AD1103" s="279"/>
      <c r="AE1103" s="279"/>
      <c r="AF1103" s="279"/>
      <c r="AG1103" s="279"/>
      <c r="AH1103" s="279"/>
      <c r="AI1103" s="279"/>
      <c r="AJ1103" s="279"/>
      <c r="AK1103" s="279"/>
      <c r="AL1103" s="279"/>
      <c r="AM1103" s="279"/>
      <c r="AN1103" s="279"/>
      <c r="AO1103" s="279"/>
      <c r="AP1103" s="279"/>
      <c r="AQ1103" s="279"/>
      <c r="AR1103" s="279"/>
      <c r="AS1103" s="279"/>
      <c r="AT1103" s="279"/>
      <c r="AU1103" s="279"/>
      <c r="AV1103" s="279"/>
      <c r="AW1103" s="279"/>
      <c r="AX1103" s="279"/>
      <c r="AY1103" s="279"/>
      <c r="AZ1103" s="279"/>
      <c r="BA1103" s="279"/>
      <c r="BB1103" s="279"/>
      <c r="BC1103" s="279"/>
      <c r="BD1103" s="279"/>
      <c r="BE1103" s="279"/>
      <c r="BF1103" s="279"/>
      <c r="BG1103" s="279"/>
      <c r="BH1103" s="279"/>
      <c r="BI1103" s="279"/>
      <c r="BJ1103" s="279"/>
      <c r="BK1103" s="279"/>
      <c r="BL1103" s="279"/>
      <c r="BM1103" s="279"/>
      <c r="BN1103" s="279"/>
      <c r="BO1103" s="279"/>
      <c r="BP1103" s="279"/>
      <c r="BQ1103" s="279"/>
      <c r="BR1103" s="279"/>
      <c r="BS1103" s="279"/>
      <c r="BT1103" s="279"/>
      <c r="BU1103" s="279"/>
      <c r="BV1103" s="279"/>
      <c r="BW1103" s="279"/>
      <c r="BX1103" s="279"/>
      <c r="BY1103" s="279"/>
      <c r="BZ1103" s="279"/>
      <c r="CA1103" s="279"/>
      <c r="CB1103" s="279"/>
      <c r="CC1103" s="279"/>
      <c r="CD1103" s="279"/>
      <c r="CE1103" s="279"/>
      <c r="CF1103" s="279"/>
      <c r="CG1103" s="279"/>
      <c r="CH1103" s="279"/>
      <c r="CI1103" s="279"/>
      <c r="CJ1103" s="279"/>
      <c r="CK1103" s="279"/>
      <c r="CL1103" s="279"/>
      <c r="CM1103" s="279"/>
      <c r="CN1103" s="382"/>
    </row>
    <row r="1104" x14ac:dyDescent="0.3">
      <c r="B1104" s="361"/>
      <c r="C1104" s="279"/>
      <c r="D1104" s="280"/>
      <c r="E1104" s="287"/>
      <c r="F1104" s="287"/>
      <c r="G1104" s="287"/>
      <c r="H1104" s="1292">
        <f t="shared" si="52"/>
        <v>31</v>
      </c>
      <c r="I1104" s="1190" t="str">
        <f>'I. Stream &amp; Compound Data'!P292</f>
        <v/>
      </c>
      <c r="J1104" s="1295" t="str">
        <f>IF(I172="","",IF('I. Stream &amp; Compound Data'!BU292&lt;&gt;"",'I. Stream &amp; Compound Data'!BU292,'I. Stream &amp; Compound Data'!BV292))</f>
        <v/>
      </c>
      <c r="K1104" s="1295" t="str">
        <f t="shared" si="55"/>
        <v/>
      </c>
      <c r="L1104" s="1317" t="str">
        <f t="shared" si="56"/>
        <v/>
      </c>
      <c r="M1104" s="296"/>
      <c r="N1104" s="280"/>
      <c r="O1104" s="280"/>
      <c r="P1104" s="279"/>
      <c r="Q1104" s="297"/>
      <c r="R1104" s="298"/>
      <c r="S1104" s="298"/>
      <c r="T1104" s="299"/>
      <c r="U1104" s="279"/>
      <c r="V1104" s="279"/>
      <c r="W1104" s="279"/>
      <c r="X1104" s="279"/>
      <c r="Y1104" s="279"/>
      <c r="Z1104" s="279"/>
      <c r="AA1104" s="279"/>
      <c r="AB1104" s="279"/>
      <c r="AC1104" s="279"/>
      <c r="AD1104" s="279"/>
      <c r="AE1104" s="279"/>
      <c r="AF1104" s="279"/>
      <c r="AG1104" s="279"/>
      <c r="AH1104" s="279"/>
      <c r="AI1104" s="279"/>
      <c r="AJ1104" s="279"/>
      <c r="AK1104" s="279"/>
      <c r="AL1104" s="279"/>
      <c r="AM1104" s="279"/>
      <c r="AN1104" s="279"/>
      <c r="AO1104" s="279"/>
      <c r="AP1104" s="279"/>
      <c r="AQ1104" s="279"/>
      <c r="AR1104" s="279"/>
      <c r="AS1104" s="279"/>
      <c r="AT1104" s="279"/>
      <c r="AU1104" s="279"/>
      <c r="AV1104" s="279"/>
      <c r="AW1104" s="279"/>
      <c r="AX1104" s="279"/>
      <c r="AY1104" s="279"/>
      <c r="AZ1104" s="279"/>
      <c r="BA1104" s="279"/>
      <c r="BB1104" s="279"/>
      <c r="BC1104" s="279"/>
      <c r="BD1104" s="279"/>
      <c r="BE1104" s="279"/>
      <c r="BF1104" s="279"/>
      <c r="BG1104" s="279"/>
      <c r="BH1104" s="279"/>
      <c r="BI1104" s="279"/>
      <c r="BJ1104" s="279"/>
      <c r="BK1104" s="279"/>
      <c r="BL1104" s="279"/>
      <c r="BM1104" s="279"/>
      <c r="BN1104" s="279"/>
      <c r="BO1104" s="279"/>
      <c r="BP1104" s="279"/>
      <c r="BQ1104" s="279"/>
      <c r="BR1104" s="279"/>
      <c r="BS1104" s="279"/>
      <c r="BT1104" s="279"/>
      <c r="BU1104" s="279"/>
      <c r="BV1104" s="279"/>
      <c r="BW1104" s="279"/>
      <c r="BX1104" s="279"/>
      <c r="BY1104" s="279"/>
      <c r="BZ1104" s="279"/>
      <c r="CA1104" s="279"/>
      <c r="CB1104" s="279"/>
      <c r="CC1104" s="279"/>
      <c r="CD1104" s="279"/>
      <c r="CE1104" s="279"/>
      <c r="CF1104" s="279"/>
      <c r="CG1104" s="279"/>
      <c r="CH1104" s="279"/>
      <c r="CI1104" s="279"/>
      <c r="CJ1104" s="279"/>
      <c r="CK1104" s="279"/>
      <c r="CL1104" s="279"/>
      <c r="CM1104" s="279"/>
      <c r="CN1104" s="382"/>
    </row>
    <row r="1105" x14ac:dyDescent="0.3">
      <c r="B1105" s="361"/>
      <c r="C1105" s="279"/>
      <c r="D1105" s="280"/>
      <c r="E1105" s="287"/>
      <c r="F1105" s="287"/>
      <c r="G1105" s="287"/>
      <c r="H1105" s="1292">
        <f t="shared" si="52"/>
        <v>32</v>
      </c>
      <c r="I1105" s="1190" t="str">
        <f>'I. Stream &amp; Compound Data'!P293</f>
        <v/>
      </c>
      <c r="J1105" s="1295" t="str">
        <f>IF(I173="","",IF('I. Stream &amp; Compound Data'!BU293&lt;&gt;"",'I. Stream &amp; Compound Data'!BU293,'I. Stream &amp; Compound Data'!BV293))</f>
        <v/>
      </c>
      <c r="K1105" s="1295" t="str">
        <f t="shared" si="55"/>
        <v/>
      </c>
      <c r="L1105" s="1317" t="str">
        <f t="shared" si="56"/>
        <v/>
      </c>
      <c r="M1105" s="296"/>
      <c r="N1105" s="280"/>
      <c r="O1105" s="280"/>
      <c r="P1105" s="279"/>
      <c r="Q1105" s="297"/>
      <c r="R1105" s="298"/>
      <c r="S1105" s="298"/>
      <c r="T1105" s="299"/>
      <c r="U1105" s="279"/>
      <c r="V1105" s="279"/>
      <c r="W1105" s="279"/>
      <c r="X1105" s="279"/>
      <c r="Y1105" s="279"/>
      <c r="Z1105" s="279"/>
      <c r="AA1105" s="279"/>
      <c r="AB1105" s="279"/>
      <c r="AC1105" s="279"/>
      <c r="AD1105" s="279"/>
      <c r="AE1105" s="279"/>
      <c r="AF1105" s="279"/>
      <c r="AG1105" s="279"/>
      <c r="AH1105" s="279"/>
      <c r="AI1105" s="279"/>
      <c r="AJ1105" s="279"/>
      <c r="AK1105" s="279"/>
      <c r="AL1105" s="279"/>
      <c r="AM1105" s="279"/>
      <c r="AN1105" s="279"/>
      <c r="AO1105" s="279"/>
      <c r="AP1105" s="279"/>
      <c r="AQ1105" s="279"/>
      <c r="AR1105" s="279"/>
      <c r="AS1105" s="279"/>
      <c r="AT1105" s="279"/>
      <c r="AU1105" s="279"/>
      <c r="AV1105" s="279"/>
      <c r="AW1105" s="279"/>
      <c r="AX1105" s="279"/>
      <c r="AY1105" s="279"/>
      <c r="AZ1105" s="279"/>
      <c r="BA1105" s="279"/>
      <c r="BB1105" s="279"/>
      <c r="BC1105" s="279"/>
      <c r="BD1105" s="279"/>
      <c r="BE1105" s="279"/>
      <c r="BF1105" s="279"/>
      <c r="BG1105" s="279"/>
      <c r="BH1105" s="279"/>
      <c r="BI1105" s="279"/>
      <c r="BJ1105" s="279"/>
      <c r="BK1105" s="279"/>
      <c r="BL1105" s="279"/>
      <c r="BM1105" s="279"/>
      <c r="BN1105" s="279"/>
      <c r="BO1105" s="279"/>
      <c r="BP1105" s="279"/>
      <c r="BQ1105" s="279"/>
      <c r="BR1105" s="279"/>
      <c r="BS1105" s="279"/>
      <c r="BT1105" s="279"/>
      <c r="BU1105" s="279"/>
      <c r="BV1105" s="279"/>
      <c r="BW1105" s="279"/>
      <c r="BX1105" s="279"/>
      <c r="BY1105" s="279"/>
      <c r="BZ1105" s="279"/>
      <c r="CA1105" s="279"/>
      <c r="CB1105" s="279"/>
      <c r="CC1105" s="279"/>
      <c r="CD1105" s="279"/>
      <c r="CE1105" s="279"/>
      <c r="CF1105" s="279"/>
      <c r="CG1105" s="279"/>
      <c r="CH1105" s="279"/>
      <c r="CI1105" s="279"/>
      <c r="CJ1105" s="279"/>
      <c r="CK1105" s="279"/>
      <c r="CL1105" s="279"/>
      <c r="CM1105" s="279"/>
      <c r="CN1105" s="382"/>
    </row>
    <row r="1106" x14ac:dyDescent="0.3">
      <c r="B1106" s="361"/>
      <c r="C1106" s="279"/>
      <c r="D1106" s="280"/>
      <c r="E1106" s="287"/>
      <c r="F1106" s="287"/>
      <c r="G1106" s="287"/>
      <c r="H1106" s="1292">
        <f t="shared" si="52"/>
        <v>33</v>
      </c>
      <c r="I1106" s="1190" t="str">
        <f>'I. Stream &amp; Compound Data'!P294</f>
        <v/>
      </c>
      <c r="J1106" s="1295" t="str">
        <f>IF(I174="","",IF('I. Stream &amp; Compound Data'!BU294&lt;&gt;"",'I. Stream &amp; Compound Data'!BU294,'I. Stream &amp; Compound Data'!BV294))</f>
        <v/>
      </c>
      <c r="K1106" s="1295" t="str">
        <f t="shared" si="55"/>
        <v/>
      </c>
      <c r="L1106" s="1317" t="str">
        <f t="shared" si="56"/>
        <v/>
      </c>
      <c r="M1106" s="296"/>
      <c r="N1106" s="280"/>
      <c r="O1106" s="280"/>
      <c r="P1106" s="279"/>
      <c r="Q1106" s="297"/>
      <c r="R1106" s="298"/>
      <c r="S1106" s="298"/>
      <c r="T1106" s="299"/>
      <c r="U1106" s="279"/>
      <c r="V1106" s="279"/>
      <c r="W1106" s="279"/>
      <c r="X1106" s="279"/>
      <c r="Y1106" s="279"/>
      <c r="Z1106" s="279"/>
      <c r="AA1106" s="279"/>
      <c r="AB1106" s="279"/>
      <c r="AC1106" s="279"/>
      <c r="AD1106" s="279"/>
      <c r="AE1106" s="279"/>
      <c r="AF1106" s="279"/>
      <c r="AG1106" s="279"/>
      <c r="AH1106" s="279"/>
      <c r="AI1106" s="279"/>
      <c r="AJ1106" s="279"/>
      <c r="AK1106" s="279"/>
      <c r="AL1106" s="279"/>
      <c r="AM1106" s="279"/>
      <c r="AN1106" s="279"/>
      <c r="AO1106" s="279"/>
      <c r="AP1106" s="279"/>
      <c r="AQ1106" s="279"/>
      <c r="AR1106" s="279"/>
      <c r="AS1106" s="279"/>
      <c r="AT1106" s="279"/>
      <c r="AU1106" s="279"/>
      <c r="AV1106" s="279"/>
      <c r="AW1106" s="279"/>
      <c r="AX1106" s="279"/>
      <c r="AY1106" s="279"/>
      <c r="AZ1106" s="279"/>
      <c r="BA1106" s="279"/>
      <c r="BB1106" s="279"/>
      <c r="BC1106" s="279"/>
      <c r="BD1106" s="279"/>
      <c r="BE1106" s="279"/>
      <c r="BF1106" s="279"/>
      <c r="BG1106" s="279"/>
      <c r="BH1106" s="279"/>
      <c r="BI1106" s="279"/>
      <c r="BJ1106" s="279"/>
      <c r="BK1106" s="279"/>
      <c r="BL1106" s="279"/>
      <c r="BM1106" s="279"/>
      <c r="BN1106" s="279"/>
      <c r="BO1106" s="279"/>
      <c r="BP1106" s="279"/>
      <c r="BQ1106" s="279"/>
      <c r="BR1106" s="279"/>
      <c r="BS1106" s="279"/>
      <c r="BT1106" s="279"/>
      <c r="BU1106" s="279"/>
      <c r="BV1106" s="279"/>
      <c r="BW1106" s="279"/>
      <c r="BX1106" s="279"/>
      <c r="BY1106" s="279"/>
      <c r="BZ1106" s="279"/>
      <c r="CA1106" s="279"/>
      <c r="CB1106" s="279"/>
      <c r="CC1106" s="279"/>
      <c r="CD1106" s="279"/>
      <c r="CE1106" s="279"/>
      <c r="CF1106" s="279"/>
      <c r="CG1106" s="279"/>
      <c r="CH1106" s="279"/>
      <c r="CI1106" s="279"/>
      <c r="CJ1106" s="279"/>
      <c r="CK1106" s="279"/>
      <c r="CL1106" s="279"/>
      <c r="CM1106" s="279"/>
      <c r="CN1106" s="382"/>
    </row>
    <row r="1107" x14ac:dyDescent="0.3">
      <c r="B1107" s="361"/>
      <c r="C1107" s="279"/>
      <c r="D1107" s="280"/>
      <c r="E1107" s="287"/>
      <c r="F1107" s="287"/>
      <c r="G1107" s="287"/>
      <c r="H1107" s="1292">
        <f t="shared" si="52"/>
        <v>34</v>
      </c>
      <c r="I1107" s="1190" t="str">
        <f>'I. Stream &amp; Compound Data'!P295</f>
        <v/>
      </c>
      <c r="J1107" s="1295" t="str">
        <f>IF(I175="","",IF('I. Stream &amp; Compound Data'!BU295&lt;&gt;"",'I. Stream &amp; Compound Data'!BU295,'I. Stream &amp; Compound Data'!BV295))</f>
        <v/>
      </c>
      <c r="K1107" s="1295" t="str">
        <f t="shared" si="55"/>
        <v/>
      </c>
      <c r="L1107" s="1317" t="str">
        <f t="shared" si="56"/>
        <v/>
      </c>
      <c r="M1107" s="296"/>
      <c r="N1107" s="280"/>
      <c r="O1107" s="280"/>
      <c r="P1107" s="279"/>
      <c r="Q1107" s="297"/>
      <c r="R1107" s="298"/>
      <c r="S1107" s="298"/>
      <c r="T1107" s="299"/>
      <c r="U1107" s="279"/>
      <c r="V1107" s="279"/>
      <c r="W1107" s="279"/>
      <c r="X1107" s="279"/>
      <c r="Y1107" s="279"/>
      <c r="Z1107" s="279"/>
      <c r="AA1107" s="279"/>
      <c r="AB1107" s="279"/>
      <c r="AC1107" s="279"/>
      <c r="AD1107" s="279"/>
      <c r="AE1107" s="279"/>
      <c r="AF1107" s="279"/>
      <c r="AG1107" s="279"/>
      <c r="AH1107" s="279"/>
      <c r="AI1107" s="279"/>
      <c r="AJ1107" s="279"/>
      <c r="AK1107" s="279"/>
      <c r="AL1107" s="279"/>
      <c r="AM1107" s="279"/>
      <c r="AN1107" s="279"/>
      <c r="AO1107" s="279"/>
      <c r="AP1107" s="279"/>
      <c r="AQ1107" s="279"/>
      <c r="AR1107" s="279"/>
      <c r="AS1107" s="279"/>
      <c r="AT1107" s="279"/>
      <c r="AU1107" s="279"/>
      <c r="AV1107" s="279"/>
      <c r="AW1107" s="279"/>
      <c r="AX1107" s="279"/>
      <c r="AY1107" s="279"/>
      <c r="AZ1107" s="279"/>
      <c r="BA1107" s="279"/>
      <c r="BB1107" s="279"/>
      <c r="BC1107" s="279"/>
      <c r="BD1107" s="279"/>
      <c r="BE1107" s="279"/>
      <c r="BF1107" s="279"/>
      <c r="BG1107" s="279"/>
      <c r="BH1107" s="279"/>
      <c r="BI1107" s="279"/>
      <c r="BJ1107" s="279"/>
      <c r="BK1107" s="279"/>
      <c r="BL1107" s="279"/>
      <c r="BM1107" s="279"/>
      <c r="BN1107" s="279"/>
      <c r="BO1107" s="279"/>
      <c r="BP1107" s="279"/>
      <c r="BQ1107" s="279"/>
      <c r="BR1107" s="279"/>
      <c r="BS1107" s="279"/>
      <c r="BT1107" s="279"/>
      <c r="BU1107" s="279"/>
      <c r="BV1107" s="279"/>
      <c r="BW1107" s="279"/>
      <c r="BX1107" s="279"/>
      <c r="BY1107" s="279"/>
      <c r="BZ1107" s="279"/>
      <c r="CA1107" s="279"/>
      <c r="CB1107" s="279"/>
      <c r="CC1107" s="279"/>
      <c r="CD1107" s="279"/>
      <c r="CE1107" s="279"/>
      <c r="CF1107" s="279"/>
      <c r="CG1107" s="279"/>
      <c r="CH1107" s="279"/>
      <c r="CI1107" s="279"/>
      <c r="CJ1107" s="279"/>
      <c r="CK1107" s="279"/>
      <c r="CL1107" s="279"/>
      <c r="CM1107" s="279"/>
      <c r="CN1107" s="382"/>
    </row>
    <row r="1108" x14ac:dyDescent="0.3">
      <c r="B1108" s="361"/>
      <c r="C1108" s="279"/>
      <c r="D1108" s="280"/>
      <c r="E1108" s="287"/>
      <c r="F1108" s="287"/>
      <c r="G1108" s="287"/>
      <c r="H1108" s="1292">
        <f t="shared" si="52"/>
        <v>35</v>
      </c>
      <c r="I1108" s="1190" t="str">
        <f>'I. Stream &amp; Compound Data'!P296</f>
        <v/>
      </c>
      <c r="J1108" s="1295" t="str">
        <f>IF(I176="","",IF('I. Stream &amp; Compound Data'!BU296&lt;&gt;"",'I. Stream &amp; Compound Data'!BU296,'I. Stream &amp; Compound Data'!BV296))</f>
        <v/>
      </c>
      <c r="K1108" s="1295" t="str">
        <f t="shared" si="55"/>
        <v/>
      </c>
      <c r="L1108" s="1317" t="str">
        <f t="shared" si="56"/>
        <v/>
      </c>
      <c r="M1108" s="296"/>
      <c r="N1108" s="280"/>
      <c r="O1108" s="280"/>
      <c r="P1108" s="279"/>
      <c r="Q1108" s="297"/>
      <c r="R1108" s="298"/>
      <c r="S1108" s="298"/>
      <c r="T1108" s="299"/>
      <c r="U1108" s="279"/>
      <c r="V1108" s="279"/>
      <c r="W1108" s="279"/>
      <c r="X1108" s="279"/>
      <c r="Y1108" s="279"/>
      <c r="Z1108" s="279"/>
      <c r="AA1108" s="279"/>
      <c r="AB1108" s="279"/>
      <c r="AC1108" s="279"/>
      <c r="AD1108" s="279"/>
      <c r="AE1108" s="279"/>
      <c r="AF1108" s="279"/>
      <c r="AG1108" s="279"/>
      <c r="AH1108" s="279"/>
      <c r="AI1108" s="279"/>
      <c r="AJ1108" s="279"/>
      <c r="AK1108" s="279"/>
      <c r="AL1108" s="279"/>
      <c r="AM1108" s="279"/>
      <c r="AN1108" s="279"/>
      <c r="AO1108" s="279"/>
      <c r="AP1108" s="279"/>
      <c r="AQ1108" s="279"/>
      <c r="AR1108" s="279"/>
      <c r="AS1108" s="279"/>
      <c r="AT1108" s="279"/>
      <c r="AU1108" s="279"/>
      <c r="AV1108" s="279"/>
      <c r="AW1108" s="279"/>
      <c r="AX1108" s="279"/>
      <c r="AY1108" s="279"/>
      <c r="AZ1108" s="279"/>
      <c r="BA1108" s="279"/>
      <c r="BB1108" s="279"/>
      <c r="BC1108" s="279"/>
      <c r="BD1108" s="279"/>
      <c r="BE1108" s="279"/>
      <c r="BF1108" s="279"/>
      <c r="BG1108" s="279"/>
      <c r="BH1108" s="279"/>
      <c r="BI1108" s="279"/>
      <c r="BJ1108" s="279"/>
      <c r="BK1108" s="279"/>
      <c r="BL1108" s="279"/>
      <c r="BM1108" s="279"/>
      <c r="BN1108" s="279"/>
      <c r="BO1108" s="279"/>
      <c r="BP1108" s="279"/>
      <c r="BQ1108" s="279"/>
      <c r="BR1108" s="279"/>
      <c r="BS1108" s="279"/>
      <c r="BT1108" s="279"/>
      <c r="BU1108" s="279"/>
      <c r="BV1108" s="279"/>
      <c r="BW1108" s="279"/>
      <c r="BX1108" s="279"/>
      <c r="BY1108" s="279"/>
      <c r="BZ1108" s="279"/>
      <c r="CA1108" s="279"/>
      <c r="CB1108" s="279"/>
      <c r="CC1108" s="279"/>
      <c r="CD1108" s="279"/>
      <c r="CE1108" s="279"/>
      <c r="CF1108" s="279"/>
      <c r="CG1108" s="279"/>
      <c r="CH1108" s="279"/>
      <c r="CI1108" s="279"/>
      <c r="CJ1108" s="279"/>
      <c r="CK1108" s="279"/>
      <c r="CL1108" s="279"/>
      <c r="CM1108" s="279"/>
      <c r="CN1108" s="382"/>
    </row>
    <row r="1109" x14ac:dyDescent="0.3">
      <c r="B1109" s="361"/>
      <c r="C1109" s="279"/>
      <c r="D1109" s="280"/>
      <c r="E1109" s="287"/>
      <c r="F1109" s="287"/>
      <c r="G1109" s="287"/>
      <c r="H1109" s="1292">
        <f t="shared" si="52"/>
        <v>36</v>
      </c>
      <c r="I1109" s="1190" t="str">
        <f>'I. Stream &amp; Compound Data'!P297</f>
        <v/>
      </c>
      <c r="J1109" s="1295" t="str">
        <f>IF(I177="","",IF('I. Stream &amp; Compound Data'!BU297&lt;&gt;"",'I. Stream &amp; Compound Data'!BU297,'I. Stream &amp; Compound Data'!BV297))</f>
        <v/>
      </c>
      <c r="K1109" s="1295" t="str">
        <f t="shared" si="55"/>
        <v/>
      </c>
      <c r="L1109" s="1317" t="str">
        <f t="shared" si="56"/>
        <v/>
      </c>
      <c r="M1109" s="296"/>
      <c r="N1109" s="280"/>
      <c r="O1109" s="280"/>
      <c r="P1109" s="279"/>
      <c r="Q1109" s="297"/>
      <c r="R1109" s="298"/>
      <c r="S1109" s="298"/>
      <c r="T1109" s="299"/>
      <c r="U1109" s="279"/>
      <c r="V1109" s="279"/>
      <c r="W1109" s="279"/>
      <c r="X1109" s="279"/>
      <c r="Y1109" s="279"/>
      <c r="Z1109" s="279"/>
      <c r="AA1109" s="279"/>
      <c r="AB1109" s="279"/>
      <c r="AC1109" s="279"/>
      <c r="AD1109" s="279"/>
      <c r="AE1109" s="279"/>
      <c r="AF1109" s="279"/>
      <c r="AG1109" s="279"/>
      <c r="AH1109" s="279"/>
      <c r="AI1109" s="279"/>
      <c r="AJ1109" s="279"/>
      <c r="AK1109" s="279"/>
      <c r="AL1109" s="279"/>
      <c r="AM1109" s="279"/>
      <c r="AN1109" s="279"/>
      <c r="AO1109" s="279"/>
      <c r="AP1109" s="279"/>
      <c r="AQ1109" s="279"/>
      <c r="AR1109" s="279"/>
      <c r="AS1109" s="279"/>
      <c r="AT1109" s="279"/>
      <c r="AU1109" s="279"/>
      <c r="AV1109" s="279"/>
      <c r="AW1109" s="279"/>
      <c r="AX1109" s="279"/>
      <c r="AY1109" s="279"/>
      <c r="AZ1109" s="279"/>
      <c r="BA1109" s="279"/>
      <c r="BB1109" s="279"/>
      <c r="BC1109" s="279"/>
      <c r="BD1109" s="279"/>
      <c r="BE1109" s="279"/>
      <c r="BF1109" s="279"/>
      <c r="BG1109" s="279"/>
      <c r="BH1109" s="279"/>
      <c r="BI1109" s="279"/>
      <c r="BJ1109" s="279"/>
      <c r="BK1109" s="279"/>
      <c r="BL1109" s="279"/>
      <c r="BM1109" s="279"/>
      <c r="BN1109" s="279"/>
      <c r="BO1109" s="279"/>
      <c r="BP1109" s="279"/>
      <c r="BQ1109" s="279"/>
      <c r="BR1109" s="279"/>
      <c r="BS1109" s="279"/>
      <c r="BT1109" s="279"/>
      <c r="BU1109" s="279"/>
      <c r="BV1109" s="279"/>
      <c r="BW1109" s="279"/>
      <c r="BX1109" s="279"/>
      <c r="BY1109" s="279"/>
      <c r="BZ1109" s="279"/>
      <c r="CA1109" s="279"/>
      <c r="CB1109" s="279"/>
      <c r="CC1109" s="279"/>
      <c r="CD1109" s="279"/>
      <c r="CE1109" s="279"/>
      <c r="CF1109" s="279"/>
      <c r="CG1109" s="279"/>
      <c r="CH1109" s="279"/>
      <c r="CI1109" s="279"/>
      <c r="CJ1109" s="279"/>
      <c r="CK1109" s="279"/>
      <c r="CL1109" s="279"/>
      <c r="CM1109" s="279"/>
      <c r="CN1109" s="382"/>
    </row>
    <row r="1110" x14ac:dyDescent="0.3">
      <c r="B1110" s="361"/>
      <c r="C1110" s="279"/>
      <c r="D1110" s="280"/>
      <c r="E1110" s="287"/>
      <c r="F1110" s="287"/>
      <c r="G1110" s="287"/>
      <c r="H1110" s="1292">
        <f t="shared" si="52"/>
        <v>37</v>
      </c>
      <c r="I1110" s="1190" t="str">
        <f>'I. Stream &amp; Compound Data'!P298</f>
        <v/>
      </c>
      <c r="J1110" s="1295" t="str">
        <f>IF(I178="","",IF('I. Stream &amp; Compound Data'!BU298&lt;&gt;"",'I. Stream &amp; Compound Data'!BU298,'I. Stream &amp; Compound Data'!BV298))</f>
        <v/>
      </c>
      <c r="K1110" s="1295" t="str">
        <f t="shared" si="55"/>
        <v/>
      </c>
      <c r="L1110" s="1317" t="str">
        <f t="shared" si="56"/>
        <v/>
      </c>
      <c r="M1110" s="296"/>
      <c r="N1110" s="280"/>
      <c r="O1110" s="280"/>
      <c r="P1110" s="279"/>
      <c r="Q1110" s="297"/>
      <c r="R1110" s="298"/>
      <c r="S1110" s="298"/>
      <c r="T1110" s="299"/>
      <c r="U1110" s="279"/>
      <c r="V1110" s="279"/>
      <c r="W1110" s="279"/>
      <c r="X1110" s="279"/>
      <c r="Y1110" s="279"/>
      <c r="Z1110" s="279"/>
      <c r="AA1110" s="279"/>
      <c r="AB1110" s="279"/>
      <c r="AC1110" s="279"/>
      <c r="AD1110" s="279"/>
      <c r="AE1110" s="279"/>
      <c r="AF1110" s="279"/>
      <c r="AG1110" s="279"/>
      <c r="AH1110" s="279"/>
      <c r="AI1110" s="279"/>
      <c r="AJ1110" s="279"/>
      <c r="AK1110" s="279"/>
      <c r="AL1110" s="279"/>
      <c r="AM1110" s="279"/>
      <c r="AN1110" s="279"/>
      <c r="AO1110" s="279"/>
      <c r="AP1110" s="279"/>
      <c r="AQ1110" s="279"/>
      <c r="AR1110" s="279"/>
      <c r="AS1110" s="279"/>
      <c r="AT1110" s="279"/>
      <c r="AU1110" s="279"/>
      <c r="AV1110" s="279"/>
      <c r="AW1110" s="279"/>
      <c r="AX1110" s="279"/>
      <c r="AY1110" s="279"/>
      <c r="AZ1110" s="279"/>
      <c r="BA1110" s="279"/>
      <c r="BB1110" s="279"/>
      <c r="BC1110" s="279"/>
      <c r="BD1110" s="279"/>
      <c r="BE1110" s="279"/>
      <c r="BF1110" s="279"/>
      <c r="BG1110" s="279"/>
      <c r="BH1110" s="279"/>
      <c r="BI1110" s="279"/>
      <c r="BJ1110" s="279"/>
      <c r="BK1110" s="279"/>
      <c r="BL1110" s="279"/>
      <c r="BM1110" s="279"/>
      <c r="BN1110" s="279"/>
      <c r="BO1110" s="279"/>
      <c r="BP1110" s="279"/>
      <c r="BQ1110" s="279"/>
      <c r="BR1110" s="279"/>
      <c r="BS1110" s="279"/>
      <c r="BT1110" s="279"/>
      <c r="BU1110" s="279"/>
      <c r="BV1110" s="279"/>
      <c r="BW1110" s="279"/>
      <c r="BX1110" s="279"/>
      <c r="BY1110" s="279"/>
      <c r="BZ1110" s="279"/>
      <c r="CA1110" s="279"/>
      <c r="CB1110" s="279"/>
      <c r="CC1110" s="279"/>
      <c r="CD1110" s="279"/>
      <c r="CE1110" s="279"/>
      <c r="CF1110" s="279"/>
      <c r="CG1110" s="279"/>
      <c r="CH1110" s="279"/>
      <c r="CI1110" s="279"/>
      <c r="CJ1110" s="279"/>
      <c r="CK1110" s="279"/>
      <c r="CL1110" s="279"/>
      <c r="CM1110" s="279"/>
      <c r="CN1110" s="382"/>
    </row>
    <row r="1111" x14ac:dyDescent="0.3">
      <c r="B1111" s="361"/>
      <c r="C1111" s="279"/>
      <c r="D1111" s="280"/>
      <c r="E1111" s="287"/>
      <c r="F1111" s="287"/>
      <c r="G1111" s="287"/>
      <c r="H1111" s="1292">
        <f t="shared" si="52"/>
        <v>38</v>
      </c>
      <c r="I1111" s="1190" t="str">
        <f>'I. Stream &amp; Compound Data'!P299</f>
        <v/>
      </c>
      <c r="J1111" s="1295" t="str">
        <f>IF(I179="","",IF('I. Stream &amp; Compound Data'!BU299&lt;&gt;"",'I. Stream &amp; Compound Data'!BU299,'I. Stream &amp; Compound Data'!BV299))</f>
        <v/>
      </c>
      <c r="K1111" s="1295" t="str">
        <f t="shared" si="55"/>
        <v/>
      </c>
      <c r="L1111" s="1317" t="str">
        <f t="shared" si="56"/>
        <v/>
      </c>
      <c r="M1111" s="296"/>
      <c r="N1111" s="280"/>
      <c r="O1111" s="280"/>
      <c r="P1111" s="279"/>
      <c r="Q1111" s="297"/>
      <c r="R1111" s="298"/>
      <c r="S1111" s="298"/>
      <c r="T1111" s="299"/>
      <c r="U1111" s="279"/>
      <c r="V1111" s="279"/>
      <c r="W1111" s="279"/>
      <c r="X1111" s="279"/>
      <c r="Y1111" s="279"/>
      <c r="Z1111" s="279"/>
      <c r="AA1111" s="279"/>
      <c r="AB1111" s="279"/>
      <c r="AC1111" s="279"/>
      <c r="AD1111" s="279"/>
      <c r="AE1111" s="279"/>
      <c r="AF1111" s="279"/>
      <c r="AG1111" s="279"/>
      <c r="AH1111" s="279"/>
      <c r="AI1111" s="279"/>
      <c r="AJ1111" s="279"/>
      <c r="AK1111" s="279"/>
      <c r="AL1111" s="279"/>
      <c r="AM1111" s="279"/>
      <c r="AN1111" s="279"/>
      <c r="AO1111" s="279"/>
      <c r="AP1111" s="279"/>
      <c r="AQ1111" s="279"/>
      <c r="AR1111" s="279"/>
      <c r="AS1111" s="279"/>
      <c r="AT1111" s="279"/>
      <c r="AU1111" s="279"/>
      <c r="AV1111" s="279"/>
      <c r="AW1111" s="279"/>
      <c r="AX1111" s="279"/>
      <c r="AY1111" s="279"/>
      <c r="AZ1111" s="279"/>
      <c r="BA1111" s="279"/>
      <c r="BB1111" s="279"/>
      <c r="BC1111" s="279"/>
      <c r="BD1111" s="279"/>
      <c r="BE1111" s="279"/>
      <c r="BF1111" s="279"/>
      <c r="BG1111" s="279"/>
      <c r="BH1111" s="279"/>
      <c r="BI1111" s="279"/>
      <c r="BJ1111" s="279"/>
      <c r="BK1111" s="279"/>
      <c r="BL1111" s="279"/>
      <c r="BM1111" s="279"/>
      <c r="BN1111" s="279"/>
      <c r="BO1111" s="279"/>
      <c r="BP1111" s="279"/>
      <c r="BQ1111" s="279"/>
      <c r="BR1111" s="279"/>
      <c r="BS1111" s="279"/>
      <c r="BT1111" s="279"/>
      <c r="BU1111" s="279"/>
      <c r="BV1111" s="279"/>
      <c r="BW1111" s="279"/>
      <c r="BX1111" s="279"/>
      <c r="BY1111" s="279"/>
      <c r="BZ1111" s="279"/>
      <c r="CA1111" s="279"/>
      <c r="CB1111" s="279"/>
      <c r="CC1111" s="279"/>
      <c r="CD1111" s="279"/>
      <c r="CE1111" s="279"/>
      <c r="CF1111" s="279"/>
      <c r="CG1111" s="279"/>
      <c r="CH1111" s="279"/>
      <c r="CI1111" s="279"/>
      <c r="CJ1111" s="279"/>
      <c r="CK1111" s="279"/>
      <c r="CL1111" s="279"/>
      <c r="CM1111" s="279"/>
      <c r="CN1111" s="382"/>
    </row>
    <row r="1112" x14ac:dyDescent="0.3">
      <c r="B1112" s="361"/>
      <c r="C1112" s="279"/>
      <c r="D1112" s="280"/>
      <c r="E1112" s="287"/>
      <c r="F1112" s="287"/>
      <c r="G1112" s="287"/>
      <c r="H1112" s="1292">
        <f t="shared" si="52"/>
        <v>39</v>
      </c>
      <c r="I1112" s="1190" t="str">
        <f>'I. Stream &amp; Compound Data'!P300</f>
        <v/>
      </c>
      <c r="J1112" s="1295" t="str">
        <f>IF(I180="","",IF('I. Stream &amp; Compound Data'!BU300&lt;&gt;"",'I. Stream &amp; Compound Data'!BU300,'I. Stream &amp; Compound Data'!BV300))</f>
        <v/>
      </c>
      <c r="K1112" s="1295" t="str">
        <f t="shared" si="55"/>
        <v/>
      </c>
      <c r="L1112" s="1317" t="str">
        <f t="shared" si="56"/>
        <v/>
      </c>
      <c r="M1112" s="296"/>
      <c r="N1112" s="280"/>
      <c r="O1112" s="280"/>
      <c r="P1112" s="279"/>
      <c r="Q1112" s="297"/>
      <c r="R1112" s="298"/>
      <c r="S1112" s="298"/>
      <c r="T1112" s="299"/>
      <c r="U1112" s="279"/>
      <c r="V1112" s="279"/>
      <c r="W1112" s="279"/>
      <c r="X1112" s="279"/>
      <c r="Y1112" s="279"/>
      <c r="Z1112" s="279"/>
      <c r="AA1112" s="279"/>
      <c r="AB1112" s="279"/>
      <c r="AC1112" s="279"/>
      <c r="AD1112" s="279"/>
      <c r="AE1112" s="279"/>
      <c r="AF1112" s="279"/>
      <c r="AG1112" s="279"/>
      <c r="AH1112" s="279"/>
      <c r="AI1112" s="279"/>
      <c r="AJ1112" s="279"/>
      <c r="AK1112" s="279"/>
      <c r="AL1112" s="279"/>
      <c r="AM1112" s="279"/>
      <c r="AN1112" s="279"/>
      <c r="AO1112" s="279"/>
      <c r="AP1112" s="279"/>
      <c r="AQ1112" s="279"/>
      <c r="AR1112" s="279"/>
      <c r="AS1112" s="279"/>
      <c r="AT1112" s="279"/>
      <c r="AU1112" s="279"/>
      <c r="AV1112" s="279"/>
      <c r="AW1112" s="279"/>
      <c r="AX1112" s="279"/>
      <c r="AY1112" s="279"/>
      <c r="AZ1112" s="279"/>
      <c r="BA1112" s="279"/>
      <c r="BB1112" s="279"/>
      <c r="BC1112" s="279"/>
      <c r="BD1112" s="279"/>
      <c r="BE1112" s="279"/>
      <c r="BF1112" s="279"/>
      <c r="BG1112" s="279"/>
      <c r="BH1112" s="279"/>
      <c r="BI1112" s="279"/>
      <c r="BJ1112" s="279"/>
      <c r="BK1112" s="279"/>
      <c r="BL1112" s="279"/>
      <c r="BM1112" s="279"/>
      <c r="BN1112" s="279"/>
      <c r="BO1112" s="279"/>
      <c r="BP1112" s="279"/>
      <c r="BQ1112" s="279"/>
      <c r="BR1112" s="279"/>
      <c r="BS1112" s="279"/>
      <c r="BT1112" s="279"/>
      <c r="BU1112" s="279"/>
      <c r="BV1112" s="279"/>
      <c r="BW1112" s="279"/>
      <c r="BX1112" s="279"/>
      <c r="BY1112" s="279"/>
      <c r="BZ1112" s="279"/>
      <c r="CA1112" s="279"/>
      <c r="CB1112" s="279"/>
      <c r="CC1112" s="279"/>
      <c r="CD1112" s="279"/>
      <c r="CE1112" s="279"/>
      <c r="CF1112" s="279"/>
      <c r="CG1112" s="279"/>
      <c r="CH1112" s="279"/>
      <c r="CI1112" s="279"/>
      <c r="CJ1112" s="279"/>
      <c r="CK1112" s="279"/>
      <c r="CL1112" s="279"/>
      <c r="CM1112" s="279"/>
      <c r="CN1112" s="382"/>
    </row>
    <row r="1113" x14ac:dyDescent="0.3">
      <c r="B1113" s="361"/>
      <c r="C1113" s="279"/>
      <c r="D1113" s="280"/>
      <c r="E1113" s="287"/>
      <c r="F1113" s="287"/>
      <c r="G1113" s="287"/>
      <c r="H1113" s="1292">
        <f t="shared" si="52"/>
        <v>40</v>
      </c>
      <c r="I1113" s="1190" t="str">
        <f>'I. Stream &amp; Compound Data'!P301</f>
        <v/>
      </c>
      <c r="J1113" s="1295" t="str">
        <f>IF(I181="","",IF('I. Stream &amp; Compound Data'!BU301&lt;&gt;"",'I. Stream &amp; Compound Data'!BU301,'I. Stream &amp; Compound Data'!BV301))</f>
        <v/>
      </c>
      <c r="K1113" s="1295" t="str">
        <f t="shared" si="55"/>
        <v/>
      </c>
      <c r="L1113" s="1317" t="str">
        <f t="shared" si="56"/>
        <v/>
      </c>
      <c r="M1113" s="296"/>
      <c r="N1113" s="280"/>
      <c r="O1113" s="280"/>
      <c r="P1113" s="279"/>
      <c r="Q1113" s="297"/>
      <c r="R1113" s="298"/>
      <c r="S1113" s="298"/>
      <c r="T1113" s="299"/>
      <c r="U1113" s="279"/>
      <c r="V1113" s="279"/>
      <c r="W1113" s="279"/>
      <c r="X1113" s="279"/>
      <c r="Y1113" s="279"/>
      <c r="Z1113" s="279"/>
      <c r="AA1113" s="279"/>
      <c r="AB1113" s="279"/>
      <c r="AC1113" s="279"/>
      <c r="AD1113" s="279"/>
      <c r="AE1113" s="279"/>
      <c r="AF1113" s="279"/>
      <c r="AG1113" s="279"/>
      <c r="AH1113" s="279"/>
      <c r="AI1113" s="279"/>
      <c r="AJ1113" s="279"/>
      <c r="AK1113" s="279"/>
      <c r="AL1113" s="279"/>
      <c r="AM1113" s="279"/>
      <c r="AN1113" s="279"/>
      <c r="AO1113" s="279"/>
      <c r="AP1113" s="279"/>
      <c r="AQ1113" s="279"/>
      <c r="AR1113" s="279"/>
      <c r="AS1113" s="279"/>
      <c r="AT1113" s="279"/>
      <c r="AU1113" s="279"/>
      <c r="AV1113" s="279"/>
      <c r="AW1113" s="279"/>
      <c r="AX1113" s="279"/>
      <c r="AY1113" s="279"/>
      <c r="AZ1113" s="279"/>
      <c r="BA1113" s="279"/>
      <c r="BB1113" s="279"/>
      <c r="BC1113" s="279"/>
      <c r="BD1113" s="279"/>
      <c r="BE1113" s="279"/>
      <c r="BF1113" s="279"/>
      <c r="BG1113" s="279"/>
      <c r="BH1113" s="279"/>
      <c r="BI1113" s="279"/>
      <c r="BJ1113" s="279"/>
      <c r="BK1113" s="279"/>
      <c r="BL1113" s="279"/>
      <c r="BM1113" s="279"/>
      <c r="BN1113" s="279"/>
      <c r="BO1113" s="279"/>
      <c r="BP1113" s="279"/>
      <c r="BQ1113" s="279"/>
      <c r="BR1113" s="279"/>
      <c r="BS1113" s="279"/>
      <c r="BT1113" s="279"/>
      <c r="BU1113" s="279"/>
      <c r="BV1113" s="279"/>
      <c r="BW1113" s="279"/>
      <c r="BX1113" s="279"/>
      <c r="BY1113" s="279"/>
      <c r="BZ1113" s="279"/>
      <c r="CA1113" s="279"/>
      <c r="CB1113" s="279"/>
      <c r="CC1113" s="279"/>
      <c r="CD1113" s="279"/>
      <c r="CE1113" s="279"/>
      <c r="CF1113" s="279"/>
      <c r="CG1113" s="279"/>
      <c r="CH1113" s="279"/>
      <c r="CI1113" s="279"/>
      <c r="CJ1113" s="279"/>
      <c r="CK1113" s="279"/>
      <c r="CL1113" s="279"/>
      <c r="CM1113" s="279"/>
      <c r="CN1113" s="382"/>
    </row>
    <row r="1114" x14ac:dyDescent="0.3">
      <c r="B1114" s="361"/>
      <c r="C1114" s="279"/>
      <c r="D1114" s="280"/>
      <c r="E1114" s="287"/>
      <c r="F1114" s="287"/>
      <c r="G1114" s="287"/>
      <c r="H1114" s="1292">
        <f t="shared" si="52"/>
        <v>41</v>
      </c>
      <c r="I1114" s="1190" t="str">
        <f>'I. Stream &amp; Compound Data'!P302</f>
        <v/>
      </c>
      <c r="J1114" s="1295" t="str">
        <f>IF(I182="","",IF('I. Stream &amp; Compound Data'!BU302&lt;&gt;"",'I. Stream &amp; Compound Data'!BU302,'I. Stream &amp; Compound Data'!BV302))</f>
        <v/>
      </c>
      <c r="K1114" s="1295" t="str">
        <f t="shared" si="55"/>
        <v/>
      </c>
      <c r="L1114" s="1317" t="str">
        <f t="shared" si="56"/>
        <v/>
      </c>
      <c r="M1114" s="296"/>
      <c r="N1114" s="280"/>
      <c r="O1114" s="280"/>
      <c r="P1114" s="279"/>
      <c r="Q1114" s="297"/>
      <c r="R1114" s="298"/>
      <c r="S1114" s="298"/>
      <c r="T1114" s="299"/>
      <c r="U1114" s="279"/>
      <c r="V1114" s="279"/>
      <c r="W1114" s="279"/>
      <c r="X1114" s="279"/>
      <c r="Y1114" s="279"/>
      <c r="Z1114" s="279"/>
      <c r="AA1114" s="279"/>
      <c r="AB1114" s="279"/>
      <c r="AC1114" s="279"/>
      <c r="AD1114" s="279"/>
      <c r="AE1114" s="279"/>
      <c r="AF1114" s="279"/>
      <c r="AG1114" s="279"/>
      <c r="AH1114" s="279"/>
      <c r="AI1114" s="279"/>
      <c r="AJ1114" s="279"/>
      <c r="AK1114" s="279"/>
      <c r="AL1114" s="279"/>
      <c r="AM1114" s="279"/>
      <c r="AN1114" s="279"/>
      <c r="AO1114" s="279"/>
      <c r="AP1114" s="279"/>
      <c r="AQ1114" s="279"/>
      <c r="AR1114" s="279"/>
      <c r="AS1114" s="279"/>
      <c r="AT1114" s="279"/>
      <c r="AU1114" s="279"/>
      <c r="AV1114" s="279"/>
      <c r="AW1114" s="279"/>
      <c r="AX1114" s="279"/>
      <c r="AY1114" s="279"/>
      <c r="AZ1114" s="279"/>
      <c r="BA1114" s="279"/>
      <c r="BB1114" s="279"/>
      <c r="BC1114" s="279"/>
      <c r="BD1114" s="279"/>
      <c r="BE1114" s="279"/>
      <c r="BF1114" s="279"/>
      <c r="BG1114" s="279"/>
      <c r="BH1114" s="279"/>
      <c r="BI1114" s="279"/>
      <c r="BJ1114" s="279"/>
      <c r="BK1114" s="279"/>
      <c r="BL1114" s="279"/>
      <c r="BM1114" s="279"/>
      <c r="BN1114" s="279"/>
      <c r="BO1114" s="279"/>
      <c r="BP1114" s="279"/>
      <c r="BQ1114" s="279"/>
      <c r="BR1114" s="279"/>
      <c r="BS1114" s="279"/>
      <c r="BT1114" s="279"/>
      <c r="BU1114" s="279"/>
      <c r="BV1114" s="279"/>
      <c r="BW1114" s="279"/>
      <c r="BX1114" s="279"/>
      <c r="BY1114" s="279"/>
      <c r="BZ1114" s="279"/>
      <c r="CA1114" s="279"/>
      <c r="CB1114" s="279"/>
      <c r="CC1114" s="279"/>
      <c r="CD1114" s="279"/>
      <c r="CE1114" s="279"/>
      <c r="CF1114" s="279"/>
      <c r="CG1114" s="279"/>
      <c r="CH1114" s="279"/>
      <c r="CI1114" s="279"/>
      <c r="CJ1114" s="279"/>
      <c r="CK1114" s="279"/>
      <c r="CL1114" s="279"/>
      <c r="CM1114" s="279"/>
      <c r="CN1114" s="382"/>
    </row>
    <row r="1115" x14ac:dyDescent="0.3">
      <c r="B1115" s="361"/>
      <c r="C1115" s="279"/>
      <c r="D1115" s="280"/>
      <c r="E1115" s="287"/>
      <c r="F1115" s="287"/>
      <c r="G1115" s="287"/>
      <c r="H1115" s="1292">
        <f t="shared" si="52"/>
        <v>42</v>
      </c>
      <c r="I1115" s="1190" t="str">
        <f>'I. Stream &amp; Compound Data'!P303</f>
        <v/>
      </c>
      <c r="J1115" s="1295" t="str">
        <f>IF(I183="","",IF('I. Stream &amp; Compound Data'!BU303&lt;&gt;"",'I. Stream &amp; Compound Data'!BU303,'I. Stream &amp; Compound Data'!BV303))</f>
        <v/>
      </c>
      <c r="K1115" s="1295" t="str">
        <f t="shared" si="55"/>
        <v/>
      </c>
      <c r="L1115" s="1317" t="str">
        <f t="shared" si="56"/>
        <v/>
      </c>
      <c r="M1115" s="296"/>
      <c r="N1115" s="280"/>
      <c r="O1115" s="280"/>
      <c r="P1115" s="279"/>
      <c r="Q1115" s="297"/>
      <c r="R1115" s="298"/>
      <c r="S1115" s="298"/>
      <c r="T1115" s="299"/>
      <c r="U1115" s="279"/>
      <c r="V1115" s="279"/>
      <c r="W1115" s="279"/>
      <c r="X1115" s="279"/>
      <c r="Y1115" s="279"/>
      <c r="Z1115" s="279"/>
      <c r="AA1115" s="279"/>
      <c r="AB1115" s="279"/>
      <c r="AC1115" s="279"/>
      <c r="AD1115" s="279"/>
      <c r="AE1115" s="279"/>
      <c r="AF1115" s="279"/>
      <c r="AG1115" s="279"/>
      <c r="AH1115" s="279"/>
      <c r="AI1115" s="279"/>
      <c r="AJ1115" s="279"/>
      <c r="AK1115" s="279"/>
      <c r="AL1115" s="279"/>
      <c r="AM1115" s="279"/>
      <c r="AN1115" s="279"/>
      <c r="AO1115" s="279"/>
      <c r="AP1115" s="279"/>
      <c r="AQ1115" s="279"/>
      <c r="AR1115" s="279"/>
      <c r="AS1115" s="279"/>
      <c r="AT1115" s="279"/>
      <c r="AU1115" s="279"/>
      <c r="AV1115" s="279"/>
      <c r="AW1115" s="279"/>
      <c r="AX1115" s="279"/>
      <c r="AY1115" s="279"/>
      <c r="AZ1115" s="279"/>
      <c r="BA1115" s="279"/>
      <c r="BB1115" s="279"/>
      <c r="BC1115" s="279"/>
      <c r="BD1115" s="279"/>
      <c r="BE1115" s="279"/>
      <c r="BF1115" s="279"/>
      <c r="BG1115" s="279"/>
      <c r="BH1115" s="279"/>
      <c r="BI1115" s="279"/>
      <c r="BJ1115" s="279"/>
      <c r="BK1115" s="279"/>
      <c r="BL1115" s="279"/>
      <c r="BM1115" s="279"/>
      <c r="BN1115" s="279"/>
      <c r="BO1115" s="279"/>
      <c r="BP1115" s="279"/>
      <c r="BQ1115" s="279"/>
      <c r="BR1115" s="279"/>
      <c r="BS1115" s="279"/>
      <c r="BT1115" s="279"/>
      <c r="BU1115" s="279"/>
      <c r="BV1115" s="279"/>
      <c r="BW1115" s="279"/>
      <c r="BX1115" s="279"/>
      <c r="BY1115" s="279"/>
      <c r="BZ1115" s="279"/>
      <c r="CA1115" s="279"/>
      <c r="CB1115" s="279"/>
      <c r="CC1115" s="279"/>
      <c r="CD1115" s="279"/>
      <c r="CE1115" s="279"/>
      <c r="CF1115" s="279"/>
      <c r="CG1115" s="279"/>
      <c r="CH1115" s="279"/>
      <c r="CI1115" s="279"/>
      <c r="CJ1115" s="279"/>
      <c r="CK1115" s="279"/>
      <c r="CL1115" s="279"/>
      <c r="CM1115" s="279"/>
      <c r="CN1115" s="382"/>
    </row>
    <row r="1116" x14ac:dyDescent="0.3">
      <c r="B1116" s="361"/>
      <c r="C1116" s="279"/>
      <c r="D1116" s="280"/>
      <c r="E1116" s="287"/>
      <c r="F1116" s="287"/>
      <c r="G1116" s="287"/>
      <c r="H1116" s="1292">
        <f t="shared" si="52"/>
        <v>43</v>
      </c>
      <c r="I1116" s="1190" t="str">
        <f>'I. Stream &amp; Compound Data'!P304</f>
        <v/>
      </c>
      <c r="J1116" s="1295" t="str">
        <f>IF(I184="","",IF('I. Stream &amp; Compound Data'!BU304&lt;&gt;"",'I. Stream &amp; Compound Data'!BU304,'I. Stream &amp; Compound Data'!BV304))</f>
        <v/>
      </c>
      <c r="K1116" s="1295" t="str">
        <f t="shared" si="55"/>
        <v/>
      </c>
      <c r="L1116" s="1317" t="str">
        <f t="shared" si="56"/>
        <v/>
      </c>
      <c r="M1116" s="296"/>
      <c r="N1116" s="280"/>
      <c r="O1116" s="280"/>
      <c r="P1116" s="279"/>
      <c r="Q1116" s="297"/>
      <c r="R1116" s="298"/>
      <c r="S1116" s="298"/>
      <c r="T1116" s="299"/>
      <c r="U1116" s="279"/>
      <c r="V1116" s="279"/>
      <c r="W1116" s="279"/>
      <c r="X1116" s="279"/>
      <c r="Y1116" s="279"/>
      <c r="Z1116" s="279"/>
      <c r="AA1116" s="279"/>
      <c r="AB1116" s="279"/>
      <c r="AC1116" s="279"/>
      <c r="AD1116" s="279"/>
      <c r="AE1116" s="279"/>
      <c r="AF1116" s="279"/>
      <c r="AG1116" s="279"/>
      <c r="AH1116" s="279"/>
      <c r="AI1116" s="279"/>
      <c r="AJ1116" s="279"/>
      <c r="AK1116" s="279"/>
      <c r="AL1116" s="279"/>
      <c r="AM1116" s="279"/>
      <c r="AN1116" s="279"/>
      <c r="AO1116" s="279"/>
      <c r="AP1116" s="279"/>
      <c r="AQ1116" s="279"/>
      <c r="AR1116" s="279"/>
      <c r="AS1116" s="279"/>
      <c r="AT1116" s="279"/>
      <c r="AU1116" s="279"/>
      <c r="AV1116" s="279"/>
      <c r="AW1116" s="279"/>
      <c r="AX1116" s="279"/>
      <c r="AY1116" s="279"/>
      <c r="AZ1116" s="279"/>
      <c r="BA1116" s="279"/>
      <c r="BB1116" s="279"/>
      <c r="BC1116" s="279"/>
      <c r="BD1116" s="279"/>
      <c r="BE1116" s="279"/>
      <c r="BF1116" s="279"/>
      <c r="BG1116" s="279"/>
      <c r="BH1116" s="279"/>
      <c r="BI1116" s="279"/>
      <c r="BJ1116" s="279"/>
      <c r="BK1116" s="279"/>
      <c r="BL1116" s="279"/>
      <c r="BM1116" s="279"/>
      <c r="BN1116" s="279"/>
      <c r="BO1116" s="279"/>
      <c r="BP1116" s="279"/>
      <c r="BQ1116" s="279"/>
      <c r="BR1116" s="279"/>
      <c r="BS1116" s="279"/>
      <c r="BT1116" s="279"/>
      <c r="BU1116" s="279"/>
      <c r="BV1116" s="279"/>
      <c r="BW1116" s="279"/>
      <c r="BX1116" s="279"/>
      <c r="BY1116" s="279"/>
      <c r="BZ1116" s="279"/>
      <c r="CA1116" s="279"/>
      <c r="CB1116" s="279"/>
      <c r="CC1116" s="279"/>
      <c r="CD1116" s="279"/>
      <c r="CE1116" s="279"/>
      <c r="CF1116" s="279"/>
      <c r="CG1116" s="279"/>
      <c r="CH1116" s="279"/>
      <c r="CI1116" s="279"/>
      <c r="CJ1116" s="279"/>
      <c r="CK1116" s="279"/>
      <c r="CL1116" s="279"/>
      <c r="CM1116" s="279"/>
      <c r="CN1116" s="382"/>
    </row>
    <row r="1117" x14ac:dyDescent="0.3">
      <c r="B1117" s="361"/>
      <c r="C1117" s="279"/>
      <c r="D1117" s="280"/>
      <c r="E1117" s="287"/>
      <c r="F1117" s="287"/>
      <c r="G1117" s="287"/>
      <c r="H1117" s="1292">
        <f t="shared" si="52"/>
        <v>44</v>
      </c>
      <c r="I1117" s="1190" t="str">
        <f>'I. Stream &amp; Compound Data'!P305</f>
        <v/>
      </c>
      <c r="J1117" s="1295" t="str">
        <f>IF(I185="","",IF('I. Stream &amp; Compound Data'!BU305&lt;&gt;"",'I. Stream &amp; Compound Data'!BU305,'I. Stream &amp; Compound Data'!BV305))</f>
        <v/>
      </c>
      <c r="K1117" s="1295" t="str">
        <f t="shared" si="55"/>
        <v/>
      </c>
      <c r="L1117" s="1317" t="str">
        <f t="shared" si="56"/>
        <v/>
      </c>
      <c r="M1117" s="296"/>
      <c r="N1117" s="280"/>
      <c r="O1117" s="280"/>
      <c r="P1117" s="279"/>
      <c r="Q1117" s="297"/>
      <c r="R1117" s="298"/>
      <c r="S1117" s="298"/>
      <c r="T1117" s="299"/>
      <c r="U1117" s="279"/>
      <c r="V1117" s="279"/>
      <c r="W1117" s="279"/>
      <c r="X1117" s="279"/>
      <c r="Y1117" s="279"/>
      <c r="Z1117" s="279"/>
      <c r="AA1117" s="279"/>
      <c r="AB1117" s="279"/>
      <c r="AC1117" s="279"/>
      <c r="AD1117" s="279"/>
      <c r="AE1117" s="279"/>
      <c r="AF1117" s="279"/>
      <c r="AG1117" s="279"/>
      <c r="AH1117" s="279"/>
      <c r="AI1117" s="279"/>
      <c r="AJ1117" s="279"/>
      <c r="AK1117" s="279"/>
      <c r="AL1117" s="279"/>
      <c r="AM1117" s="279"/>
      <c r="AN1117" s="279"/>
      <c r="AO1117" s="279"/>
      <c r="AP1117" s="279"/>
      <c r="AQ1117" s="279"/>
      <c r="AR1117" s="279"/>
      <c r="AS1117" s="279"/>
      <c r="AT1117" s="279"/>
      <c r="AU1117" s="279"/>
      <c r="AV1117" s="279"/>
      <c r="AW1117" s="279"/>
      <c r="AX1117" s="279"/>
      <c r="AY1117" s="279"/>
      <c r="AZ1117" s="279"/>
      <c r="BA1117" s="279"/>
      <c r="BB1117" s="279"/>
      <c r="BC1117" s="279"/>
      <c r="BD1117" s="279"/>
      <c r="BE1117" s="279"/>
      <c r="BF1117" s="279"/>
      <c r="BG1117" s="279"/>
      <c r="BH1117" s="279"/>
      <c r="BI1117" s="279"/>
      <c r="BJ1117" s="279"/>
      <c r="BK1117" s="279"/>
      <c r="BL1117" s="279"/>
      <c r="BM1117" s="279"/>
      <c r="BN1117" s="279"/>
      <c r="BO1117" s="279"/>
      <c r="BP1117" s="279"/>
      <c r="BQ1117" s="279"/>
      <c r="BR1117" s="279"/>
      <c r="BS1117" s="279"/>
      <c r="BT1117" s="279"/>
      <c r="BU1117" s="279"/>
      <c r="BV1117" s="279"/>
      <c r="BW1117" s="279"/>
      <c r="BX1117" s="279"/>
      <c r="BY1117" s="279"/>
      <c r="BZ1117" s="279"/>
      <c r="CA1117" s="279"/>
      <c r="CB1117" s="279"/>
      <c r="CC1117" s="279"/>
      <c r="CD1117" s="279"/>
      <c r="CE1117" s="279"/>
      <c r="CF1117" s="279"/>
      <c r="CG1117" s="279"/>
      <c r="CH1117" s="279"/>
      <c r="CI1117" s="279"/>
      <c r="CJ1117" s="279"/>
      <c r="CK1117" s="279"/>
      <c r="CL1117" s="279"/>
      <c r="CM1117" s="279"/>
      <c r="CN1117" s="382"/>
    </row>
    <row r="1118" x14ac:dyDescent="0.3">
      <c r="B1118" s="361"/>
      <c r="C1118" s="279"/>
      <c r="D1118" s="280"/>
      <c r="E1118" s="287"/>
      <c r="F1118" s="287"/>
      <c r="G1118" s="287"/>
      <c r="H1118" s="1292">
        <f t="shared" si="52"/>
        <v>45</v>
      </c>
      <c r="I1118" s="1190" t="str">
        <f>'I. Stream &amp; Compound Data'!P306</f>
        <v/>
      </c>
      <c r="J1118" s="1295" t="str">
        <f>IF(I186="","",IF('I. Stream &amp; Compound Data'!BU306&lt;&gt;"",'I. Stream &amp; Compound Data'!BU306,'I. Stream &amp; Compound Data'!BV306))</f>
        <v/>
      </c>
      <c r="K1118" s="1295" t="str">
        <f t="shared" si="55"/>
        <v/>
      </c>
      <c r="L1118" s="1317" t="str">
        <f t="shared" si="56"/>
        <v/>
      </c>
      <c r="M1118" s="296"/>
      <c r="N1118" s="280"/>
      <c r="O1118" s="280"/>
      <c r="P1118" s="279"/>
      <c r="Q1118" s="297"/>
      <c r="R1118" s="298"/>
      <c r="S1118" s="298"/>
      <c r="T1118" s="299"/>
      <c r="U1118" s="279"/>
      <c r="V1118" s="279"/>
      <c r="W1118" s="279"/>
      <c r="X1118" s="279"/>
      <c r="Y1118" s="279"/>
      <c r="Z1118" s="279"/>
      <c r="AA1118" s="279"/>
      <c r="AB1118" s="279"/>
      <c r="AC1118" s="279"/>
      <c r="AD1118" s="279"/>
      <c r="AE1118" s="279"/>
      <c r="AF1118" s="279"/>
      <c r="AG1118" s="279"/>
      <c r="AH1118" s="279"/>
      <c r="AI1118" s="279"/>
      <c r="AJ1118" s="279"/>
      <c r="AK1118" s="279"/>
      <c r="AL1118" s="279"/>
      <c r="AM1118" s="279"/>
      <c r="AN1118" s="279"/>
      <c r="AO1118" s="279"/>
      <c r="AP1118" s="279"/>
      <c r="AQ1118" s="279"/>
      <c r="AR1118" s="279"/>
      <c r="AS1118" s="279"/>
      <c r="AT1118" s="279"/>
      <c r="AU1118" s="279"/>
      <c r="AV1118" s="279"/>
      <c r="AW1118" s="279"/>
      <c r="AX1118" s="279"/>
      <c r="AY1118" s="279"/>
      <c r="AZ1118" s="279"/>
      <c r="BA1118" s="279"/>
      <c r="BB1118" s="279"/>
      <c r="BC1118" s="279"/>
      <c r="BD1118" s="279"/>
      <c r="BE1118" s="279"/>
      <c r="BF1118" s="279"/>
      <c r="BG1118" s="279"/>
      <c r="BH1118" s="279"/>
      <c r="BI1118" s="279"/>
      <c r="BJ1118" s="279"/>
      <c r="BK1118" s="279"/>
      <c r="BL1118" s="279"/>
      <c r="BM1118" s="279"/>
      <c r="BN1118" s="279"/>
      <c r="BO1118" s="279"/>
      <c r="BP1118" s="279"/>
      <c r="BQ1118" s="279"/>
      <c r="BR1118" s="279"/>
      <c r="BS1118" s="279"/>
      <c r="BT1118" s="279"/>
      <c r="BU1118" s="279"/>
      <c r="BV1118" s="279"/>
      <c r="BW1118" s="279"/>
      <c r="BX1118" s="279"/>
      <c r="BY1118" s="279"/>
      <c r="BZ1118" s="279"/>
      <c r="CA1118" s="279"/>
      <c r="CB1118" s="279"/>
      <c r="CC1118" s="279"/>
      <c r="CD1118" s="279"/>
      <c r="CE1118" s="279"/>
      <c r="CF1118" s="279"/>
      <c r="CG1118" s="279"/>
      <c r="CH1118" s="279"/>
      <c r="CI1118" s="279"/>
      <c r="CJ1118" s="279"/>
      <c r="CK1118" s="279"/>
      <c r="CL1118" s="279"/>
      <c r="CM1118" s="279"/>
      <c r="CN1118" s="382"/>
    </row>
    <row r="1119" x14ac:dyDescent="0.3">
      <c r="B1119" s="361"/>
      <c r="C1119" s="279"/>
      <c r="D1119" s="280"/>
      <c r="E1119" s="287"/>
      <c r="F1119" s="287"/>
      <c r="G1119" s="287"/>
      <c r="H1119" s="1292">
        <f t="shared" si="52"/>
        <v>46</v>
      </c>
      <c r="I1119" s="1190" t="str">
        <f>'I. Stream &amp; Compound Data'!P307</f>
        <v/>
      </c>
      <c r="J1119" s="1295" t="str">
        <f>IF(I187="","",IF('I. Stream &amp; Compound Data'!BU307&lt;&gt;"",'I. Stream &amp; Compound Data'!BU307,'I. Stream &amp; Compound Data'!BV307))</f>
        <v/>
      </c>
      <c r="K1119" s="1295" t="str">
        <f t="shared" si="55"/>
        <v/>
      </c>
      <c r="L1119" s="1317" t="str">
        <f t="shared" si="56"/>
        <v/>
      </c>
      <c r="M1119" s="296"/>
      <c r="N1119" s="280"/>
      <c r="O1119" s="280"/>
      <c r="P1119" s="279"/>
      <c r="Q1119" s="297"/>
      <c r="R1119" s="298"/>
      <c r="S1119" s="298"/>
      <c r="T1119" s="299"/>
      <c r="U1119" s="279"/>
      <c r="V1119" s="279"/>
      <c r="W1119" s="279"/>
      <c r="X1119" s="279"/>
      <c r="Y1119" s="279"/>
      <c r="Z1119" s="279"/>
      <c r="AA1119" s="279"/>
      <c r="AB1119" s="279"/>
      <c r="AC1119" s="279"/>
      <c r="AD1119" s="279"/>
      <c r="AE1119" s="279"/>
      <c r="AF1119" s="279"/>
      <c r="AG1119" s="279"/>
      <c r="AH1119" s="279"/>
      <c r="AI1119" s="279"/>
      <c r="AJ1119" s="279"/>
      <c r="AK1119" s="279"/>
      <c r="AL1119" s="279"/>
      <c r="AM1119" s="279"/>
      <c r="AN1119" s="279"/>
      <c r="AO1119" s="279"/>
      <c r="AP1119" s="279"/>
      <c r="AQ1119" s="279"/>
      <c r="AR1119" s="279"/>
      <c r="AS1119" s="279"/>
      <c r="AT1119" s="279"/>
      <c r="AU1119" s="279"/>
      <c r="AV1119" s="279"/>
      <c r="AW1119" s="279"/>
      <c r="AX1119" s="279"/>
      <c r="AY1119" s="279"/>
      <c r="AZ1119" s="279"/>
      <c r="BA1119" s="279"/>
      <c r="BB1119" s="279"/>
      <c r="BC1119" s="279"/>
      <c r="BD1119" s="279"/>
      <c r="BE1119" s="279"/>
      <c r="BF1119" s="279"/>
      <c r="BG1119" s="279"/>
      <c r="BH1119" s="279"/>
      <c r="BI1119" s="279"/>
      <c r="BJ1119" s="279"/>
      <c r="BK1119" s="279"/>
      <c r="BL1119" s="279"/>
      <c r="BM1119" s="279"/>
      <c r="BN1119" s="279"/>
      <c r="BO1119" s="279"/>
      <c r="BP1119" s="279"/>
      <c r="BQ1119" s="279"/>
      <c r="BR1119" s="279"/>
      <c r="BS1119" s="279"/>
      <c r="BT1119" s="279"/>
      <c r="BU1119" s="279"/>
      <c r="BV1119" s="279"/>
      <c r="BW1119" s="279"/>
      <c r="BX1119" s="279"/>
      <c r="BY1119" s="279"/>
      <c r="BZ1119" s="279"/>
      <c r="CA1119" s="279"/>
      <c r="CB1119" s="279"/>
      <c r="CC1119" s="279"/>
      <c r="CD1119" s="279"/>
      <c r="CE1119" s="279"/>
      <c r="CF1119" s="279"/>
      <c r="CG1119" s="279"/>
      <c r="CH1119" s="279"/>
      <c r="CI1119" s="279"/>
      <c r="CJ1119" s="279"/>
      <c r="CK1119" s="279"/>
      <c r="CL1119" s="279"/>
      <c r="CM1119" s="279"/>
      <c r="CN1119" s="382"/>
    </row>
    <row r="1120" x14ac:dyDescent="0.3">
      <c r="B1120" s="361"/>
      <c r="C1120" s="279"/>
      <c r="D1120" s="280"/>
      <c r="E1120" s="287"/>
      <c r="F1120" s="287"/>
      <c r="G1120" s="287"/>
      <c r="H1120" s="1292">
        <f t="shared" si="52"/>
        <v>47</v>
      </c>
      <c r="I1120" s="1190" t="str">
        <f>'I. Stream &amp; Compound Data'!P308</f>
        <v/>
      </c>
      <c r="J1120" s="1295" t="str">
        <f>IF(I188="","",IF('I. Stream &amp; Compound Data'!BU308&lt;&gt;"",'I. Stream &amp; Compound Data'!BU308,'I. Stream &amp; Compound Data'!BV308))</f>
        <v/>
      </c>
      <c r="K1120" s="1295" t="str">
        <f t="shared" si="55"/>
        <v/>
      </c>
      <c r="L1120" s="1317" t="str">
        <f t="shared" si="56"/>
        <v/>
      </c>
      <c r="M1120" s="296"/>
      <c r="N1120" s="280"/>
      <c r="O1120" s="280"/>
      <c r="P1120" s="279"/>
      <c r="Q1120" s="297"/>
      <c r="R1120" s="298"/>
      <c r="S1120" s="298"/>
      <c r="T1120" s="299"/>
      <c r="U1120" s="279"/>
      <c r="V1120" s="279"/>
      <c r="W1120" s="279"/>
      <c r="X1120" s="279"/>
      <c r="Y1120" s="279"/>
      <c r="Z1120" s="279"/>
      <c r="AA1120" s="279"/>
      <c r="AB1120" s="279"/>
      <c r="AC1120" s="279"/>
      <c r="AD1120" s="279"/>
      <c r="AE1120" s="279"/>
      <c r="AF1120" s="279"/>
      <c r="AG1120" s="279"/>
      <c r="AH1120" s="279"/>
      <c r="AI1120" s="279"/>
      <c r="AJ1120" s="279"/>
      <c r="AK1120" s="279"/>
      <c r="AL1120" s="279"/>
      <c r="AM1120" s="279"/>
      <c r="AN1120" s="279"/>
      <c r="AO1120" s="279"/>
      <c r="AP1120" s="279"/>
      <c r="AQ1120" s="279"/>
      <c r="AR1120" s="279"/>
      <c r="AS1120" s="279"/>
      <c r="AT1120" s="279"/>
      <c r="AU1120" s="279"/>
      <c r="AV1120" s="279"/>
      <c r="AW1120" s="279"/>
      <c r="AX1120" s="279"/>
      <c r="AY1120" s="279"/>
      <c r="AZ1120" s="279"/>
      <c r="BA1120" s="279"/>
      <c r="BB1120" s="279"/>
      <c r="BC1120" s="279"/>
      <c r="BD1120" s="279"/>
      <c r="BE1120" s="279"/>
      <c r="BF1120" s="279"/>
      <c r="BG1120" s="279"/>
      <c r="BH1120" s="279"/>
      <c r="BI1120" s="279"/>
      <c r="BJ1120" s="279"/>
      <c r="BK1120" s="279"/>
      <c r="BL1120" s="279"/>
      <c r="BM1120" s="279"/>
      <c r="BN1120" s="279"/>
      <c r="BO1120" s="279"/>
      <c r="BP1120" s="279"/>
      <c r="BQ1120" s="279"/>
      <c r="BR1120" s="279"/>
      <c r="BS1120" s="279"/>
      <c r="BT1120" s="279"/>
      <c r="BU1120" s="279"/>
      <c r="BV1120" s="279"/>
      <c r="BW1120" s="279"/>
      <c r="BX1120" s="279"/>
      <c r="BY1120" s="279"/>
      <c r="BZ1120" s="279"/>
      <c r="CA1120" s="279"/>
      <c r="CB1120" s="279"/>
      <c r="CC1120" s="279"/>
      <c r="CD1120" s="279"/>
      <c r="CE1120" s="279"/>
      <c r="CF1120" s="279"/>
      <c r="CG1120" s="279"/>
      <c r="CH1120" s="279"/>
      <c r="CI1120" s="279"/>
      <c r="CJ1120" s="279"/>
      <c r="CK1120" s="279"/>
      <c r="CL1120" s="279"/>
      <c r="CM1120" s="279"/>
      <c r="CN1120" s="382"/>
    </row>
    <row r="1121" x14ac:dyDescent="0.3">
      <c r="B1121" s="361"/>
      <c r="C1121" s="279"/>
      <c r="D1121" s="280"/>
      <c r="E1121" s="287"/>
      <c r="F1121" s="287"/>
      <c r="G1121" s="287"/>
      <c r="H1121" s="1292">
        <f t="shared" si="52"/>
        <v>48</v>
      </c>
      <c r="I1121" s="1190" t="str">
        <f>'I. Stream &amp; Compound Data'!P309</f>
        <v/>
      </c>
      <c r="J1121" s="1295" t="str">
        <f>IF(I189="","",IF('I. Stream &amp; Compound Data'!BU309&lt;&gt;"",'I. Stream &amp; Compound Data'!BU309,'I. Stream &amp; Compound Data'!BV309))</f>
        <v/>
      </c>
      <c r="K1121" s="1295" t="str">
        <f t="shared" si="55"/>
        <v/>
      </c>
      <c r="L1121" s="1317" t="str">
        <f t="shared" si="56"/>
        <v/>
      </c>
      <c r="M1121" s="296"/>
      <c r="N1121" s="280"/>
      <c r="O1121" s="280"/>
      <c r="P1121" s="279"/>
      <c r="Q1121" s="297"/>
      <c r="R1121" s="298"/>
      <c r="S1121" s="298"/>
      <c r="T1121" s="299"/>
      <c r="U1121" s="279"/>
      <c r="V1121" s="279"/>
      <c r="W1121" s="279"/>
      <c r="X1121" s="279"/>
      <c r="Y1121" s="279"/>
      <c r="Z1121" s="279"/>
      <c r="AA1121" s="279"/>
      <c r="AB1121" s="279"/>
      <c r="AC1121" s="279"/>
      <c r="AD1121" s="279"/>
      <c r="AE1121" s="279"/>
      <c r="AF1121" s="279"/>
      <c r="AG1121" s="279"/>
      <c r="AH1121" s="279"/>
      <c r="AI1121" s="279"/>
      <c r="AJ1121" s="279"/>
      <c r="AK1121" s="279"/>
      <c r="AL1121" s="279"/>
      <c r="AM1121" s="279"/>
      <c r="AN1121" s="279"/>
      <c r="AO1121" s="279"/>
      <c r="AP1121" s="279"/>
      <c r="AQ1121" s="279"/>
      <c r="AR1121" s="279"/>
      <c r="AS1121" s="279"/>
      <c r="AT1121" s="279"/>
      <c r="AU1121" s="279"/>
      <c r="AV1121" s="279"/>
      <c r="AW1121" s="279"/>
      <c r="AX1121" s="279"/>
      <c r="AY1121" s="279"/>
      <c r="AZ1121" s="279"/>
      <c r="BA1121" s="279"/>
      <c r="BB1121" s="279"/>
      <c r="BC1121" s="279"/>
      <c r="BD1121" s="279"/>
      <c r="BE1121" s="279"/>
      <c r="BF1121" s="279"/>
      <c r="BG1121" s="279"/>
      <c r="BH1121" s="279"/>
      <c r="BI1121" s="279"/>
      <c r="BJ1121" s="279"/>
      <c r="BK1121" s="279"/>
      <c r="BL1121" s="279"/>
      <c r="BM1121" s="279"/>
      <c r="BN1121" s="279"/>
      <c r="BO1121" s="279"/>
      <c r="BP1121" s="279"/>
      <c r="BQ1121" s="279"/>
      <c r="BR1121" s="279"/>
      <c r="BS1121" s="279"/>
      <c r="BT1121" s="279"/>
      <c r="BU1121" s="279"/>
      <c r="BV1121" s="279"/>
      <c r="BW1121" s="279"/>
      <c r="BX1121" s="279"/>
      <c r="BY1121" s="279"/>
      <c r="BZ1121" s="279"/>
      <c r="CA1121" s="279"/>
      <c r="CB1121" s="279"/>
      <c r="CC1121" s="279"/>
      <c r="CD1121" s="279"/>
      <c r="CE1121" s="279"/>
      <c r="CF1121" s="279"/>
      <c r="CG1121" s="279"/>
      <c r="CH1121" s="279"/>
      <c r="CI1121" s="279"/>
      <c r="CJ1121" s="279"/>
      <c r="CK1121" s="279"/>
      <c r="CL1121" s="279"/>
      <c r="CM1121" s="279"/>
      <c r="CN1121" s="382"/>
    </row>
    <row r="1122" x14ac:dyDescent="0.3">
      <c r="B1122" s="361"/>
      <c r="C1122" s="279"/>
      <c r="D1122" s="280"/>
      <c r="E1122" s="287"/>
      <c r="F1122" s="287"/>
      <c r="G1122" s="287"/>
      <c r="H1122" s="1292">
        <f t="shared" si="52"/>
        <v>49</v>
      </c>
      <c r="I1122" s="1190" t="str">
        <f>'I. Stream &amp; Compound Data'!P310</f>
        <v/>
      </c>
      <c r="J1122" s="1295" t="str">
        <f>IF(I190="","",IF('I. Stream &amp; Compound Data'!BU310&lt;&gt;"",'I. Stream &amp; Compound Data'!BU310,'I. Stream &amp; Compound Data'!BV310))</f>
        <v/>
      </c>
      <c r="K1122" s="1295" t="str">
        <f t="shared" si="55"/>
        <v/>
      </c>
      <c r="L1122" s="1317" t="str">
        <f t="shared" si="56"/>
        <v/>
      </c>
      <c r="M1122" s="296"/>
      <c r="N1122" s="280"/>
      <c r="O1122" s="280"/>
      <c r="P1122" s="279"/>
      <c r="Q1122" s="297"/>
      <c r="R1122" s="298"/>
      <c r="S1122" s="298"/>
      <c r="T1122" s="299"/>
      <c r="U1122" s="279"/>
      <c r="V1122" s="279"/>
      <c r="W1122" s="279"/>
      <c r="X1122" s="279"/>
      <c r="Y1122" s="279"/>
      <c r="Z1122" s="279"/>
      <c r="AA1122" s="279"/>
      <c r="AB1122" s="279"/>
      <c r="AC1122" s="279"/>
      <c r="AD1122" s="279"/>
      <c r="AE1122" s="279"/>
      <c r="AF1122" s="279"/>
      <c r="AG1122" s="279"/>
      <c r="AH1122" s="279"/>
      <c r="AI1122" s="279"/>
      <c r="AJ1122" s="279"/>
      <c r="AK1122" s="279"/>
      <c r="AL1122" s="279"/>
      <c r="AM1122" s="279"/>
      <c r="AN1122" s="279"/>
      <c r="AO1122" s="279"/>
      <c r="AP1122" s="279"/>
      <c r="AQ1122" s="279"/>
      <c r="AR1122" s="279"/>
      <c r="AS1122" s="279"/>
      <c r="AT1122" s="279"/>
      <c r="AU1122" s="279"/>
      <c r="AV1122" s="279"/>
      <c r="AW1122" s="279"/>
      <c r="AX1122" s="279"/>
      <c r="AY1122" s="279"/>
      <c r="AZ1122" s="279"/>
      <c r="BA1122" s="279"/>
      <c r="BB1122" s="279"/>
      <c r="BC1122" s="279"/>
      <c r="BD1122" s="279"/>
      <c r="BE1122" s="279"/>
      <c r="BF1122" s="279"/>
      <c r="BG1122" s="279"/>
      <c r="BH1122" s="279"/>
      <c r="BI1122" s="279"/>
      <c r="BJ1122" s="279"/>
      <c r="BK1122" s="279"/>
      <c r="BL1122" s="279"/>
      <c r="BM1122" s="279"/>
      <c r="BN1122" s="279"/>
      <c r="BO1122" s="279"/>
      <c r="BP1122" s="279"/>
      <c r="BQ1122" s="279"/>
      <c r="BR1122" s="279"/>
      <c r="BS1122" s="279"/>
      <c r="BT1122" s="279"/>
      <c r="BU1122" s="279"/>
      <c r="BV1122" s="279"/>
      <c r="BW1122" s="279"/>
      <c r="BX1122" s="279"/>
      <c r="BY1122" s="279"/>
      <c r="BZ1122" s="279"/>
      <c r="CA1122" s="279"/>
      <c r="CB1122" s="279"/>
      <c r="CC1122" s="279"/>
      <c r="CD1122" s="279"/>
      <c r="CE1122" s="279"/>
      <c r="CF1122" s="279"/>
      <c r="CG1122" s="279"/>
      <c r="CH1122" s="279"/>
      <c r="CI1122" s="279"/>
      <c r="CJ1122" s="279"/>
      <c r="CK1122" s="279"/>
      <c r="CL1122" s="279"/>
      <c r="CM1122" s="279"/>
      <c r="CN1122" s="382"/>
    </row>
    <row r="1123" ht="16.2" thickBot="true" x14ac:dyDescent="0.35">
      <c r="B1123" s="361"/>
      <c r="C1123" s="279"/>
      <c r="D1123" s="280"/>
      <c r="E1123" s="287"/>
      <c r="F1123" s="287"/>
      <c r="G1123" s="287"/>
      <c r="H1123" s="1298">
        <f t="shared" si="52"/>
        <v>50</v>
      </c>
      <c r="I1123" s="1259" t="str">
        <f>'I. Stream &amp; Compound Data'!P311</f>
        <v/>
      </c>
      <c r="J1123" s="1301" t="str">
        <f>IF(I191="","",IF('I. Stream &amp; Compound Data'!BU311&lt;&gt;"",'I. Stream &amp; Compound Data'!BU311,'I. Stream &amp; Compound Data'!BV311))</f>
        <v/>
      </c>
      <c r="K1123" s="1301" t="str">
        <f t="shared" si="55"/>
        <v/>
      </c>
      <c r="L1123" s="1318" t="str">
        <f t="shared" si="56"/>
        <v/>
      </c>
      <c r="M1123" s="296"/>
      <c r="N1123" s="280"/>
      <c r="O1123" s="280"/>
      <c r="P1123" s="279"/>
      <c r="Q1123" s="297"/>
      <c r="R1123" s="298"/>
      <c r="S1123" s="298"/>
      <c r="T1123" s="299"/>
      <c r="U1123" s="279"/>
      <c r="V1123" s="279"/>
      <c r="W1123" s="279"/>
      <c r="X1123" s="279"/>
      <c r="Y1123" s="279"/>
      <c r="Z1123" s="279"/>
      <c r="AA1123" s="279"/>
      <c r="AB1123" s="279"/>
      <c r="AC1123" s="279"/>
      <c r="AD1123" s="279"/>
      <c r="AE1123" s="279"/>
      <c r="AF1123" s="279"/>
      <c r="AG1123" s="279"/>
      <c r="AH1123" s="279"/>
      <c r="AI1123" s="279"/>
      <c r="AJ1123" s="279"/>
      <c r="AK1123" s="279"/>
      <c r="AL1123" s="279"/>
      <c r="AM1123" s="279"/>
      <c r="AN1123" s="279"/>
      <c r="AO1123" s="279"/>
      <c r="AP1123" s="279"/>
      <c r="AQ1123" s="279"/>
      <c r="AR1123" s="279"/>
      <c r="AS1123" s="279"/>
      <c r="AT1123" s="279"/>
      <c r="AU1123" s="279"/>
      <c r="AV1123" s="279"/>
      <c r="AW1123" s="279"/>
      <c r="AX1123" s="279"/>
      <c r="AY1123" s="279"/>
      <c r="AZ1123" s="279"/>
      <c r="BA1123" s="279"/>
      <c r="BB1123" s="279"/>
      <c r="BC1123" s="279"/>
      <c r="BD1123" s="279"/>
      <c r="BE1123" s="279"/>
      <c r="BF1123" s="279"/>
      <c r="BG1123" s="279"/>
      <c r="BH1123" s="279"/>
      <c r="BI1123" s="279"/>
      <c r="BJ1123" s="279"/>
      <c r="BK1123" s="279"/>
      <c r="BL1123" s="279"/>
      <c r="BM1123" s="279"/>
      <c r="BN1123" s="279"/>
      <c r="BO1123" s="279"/>
      <c r="BP1123" s="279"/>
      <c r="BQ1123" s="279"/>
      <c r="BR1123" s="279"/>
      <c r="BS1123" s="279"/>
      <c r="BT1123" s="279"/>
      <c r="BU1123" s="279"/>
      <c r="BV1123" s="279"/>
      <c r="BW1123" s="279"/>
      <c r="BX1123" s="279"/>
      <c r="BY1123" s="279"/>
      <c r="BZ1123" s="279"/>
      <c r="CA1123" s="279"/>
      <c r="CB1123" s="279"/>
      <c r="CC1123" s="279"/>
      <c r="CD1123" s="279"/>
      <c r="CE1123" s="279"/>
      <c r="CF1123" s="279"/>
      <c r="CG1123" s="279"/>
      <c r="CH1123" s="279"/>
      <c r="CI1123" s="279"/>
      <c r="CJ1123" s="279"/>
      <c r="CK1123" s="279"/>
      <c r="CL1123" s="279"/>
      <c r="CM1123" s="279"/>
      <c r="CN1123" s="382"/>
    </row>
    <row r="1124" ht="16.2" thickBot="true" x14ac:dyDescent="0.35">
      <c r="B1124" s="361"/>
      <c r="C1124" s="279"/>
      <c r="D1124" s="280"/>
      <c r="E1124" s="287"/>
      <c r="F1124" s="287"/>
      <c r="G1124" s="287"/>
      <c r="H1124" s="280"/>
      <c r="I1124" s="279"/>
      <c r="J1124" s="305" t="s">
        <v>88</v>
      </c>
      <c r="K1124" s="1305">
        <f>SUM(K1074:K1123)</f>
        <v>0</v>
      </c>
      <c r="L1124" s="1305">
        <f>SUM(L1074:L1123)</f>
        <v>2980.7504537999998</v>
      </c>
      <c r="M1124" s="296"/>
      <c r="N1124" s="280"/>
      <c r="O1124" s="280"/>
      <c r="P1124" s="279"/>
      <c r="Q1124" s="297"/>
      <c r="R1124" s="298"/>
      <c r="S1124" s="298"/>
      <c r="T1124" s="299"/>
      <c r="U1124" s="279"/>
      <c r="V1124" s="279"/>
      <c r="W1124" s="279"/>
      <c r="X1124" s="279"/>
      <c r="Y1124" s="279"/>
      <c r="Z1124" s="279"/>
      <c r="AA1124" s="279"/>
      <c r="AB1124" s="279"/>
      <c r="AC1124" s="279"/>
      <c r="AD1124" s="279"/>
      <c r="AE1124" s="279"/>
      <c r="AF1124" s="279"/>
      <c r="AG1124" s="279"/>
      <c r="AH1124" s="279"/>
      <c r="AI1124" s="279"/>
      <c r="AJ1124" s="279"/>
      <c r="AK1124" s="279"/>
      <c r="AL1124" s="279"/>
      <c r="AM1124" s="279"/>
      <c r="AN1124" s="279"/>
      <c r="AO1124" s="279"/>
      <c r="AP1124" s="279"/>
      <c r="AQ1124" s="279"/>
      <c r="AR1124" s="279"/>
      <c r="AS1124" s="279"/>
      <c r="AT1124" s="279"/>
      <c r="AU1124" s="279"/>
      <c r="AV1124" s="279"/>
      <c r="AW1124" s="279"/>
      <c r="AX1124" s="279"/>
      <c r="AY1124" s="279"/>
      <c r="AZ1124" s="279"/>
      <c r="BA1124" s="279"/>
      <c r="BB1124" s="279"/>
      <c r="BC1124" s="279"/>
      <c r="BD1124" s="279"/>
      <c r="BE1124" s="279"/>
      <c r="BF1124" s="279"/>
      <c r="BG1124" s="279"/>
      <c r="BH1124" s="279"/>
      <c r="BI1124" s="279"/>
      <c r="BJ1124" s="279"/>
      <c r="BK1124" s="279"/>
      <c r="BL1124" s="279"/>
      <c r="BM1124" s="279"/>
      <c r="BN1124" s="279"/>
      <c r="BO1124" s="279"/>
      <c r="BP1124" s="279"/>
      <c r="BQ1124" s="279"/>
      <c r="BR1124" s="279"/>
      <c r="BS1124" s="279"/>
      <c r="BT1124" s="279"/>
      <c r="BU1124" s="279"/>
      <c r="BV1124" s="279"/>
      <c r="BW1124" s="279"/>
      <c r="BX1124" s="279"/>
      <c r="BY1124" s="279"/>
      <c r="BZ1124" s="279"/>
      <c r="CA1124" s="279"/>
      <c r="CB1124" s="279"/>
      <c r="CC1124" s="279"/>
      <c r="CD1124" s="279"/>
      <c r="CE1124" s="279"/>
      <c r="CF1124" s="279"/>
      <c r="CG1124" s="279"/>
      <c r="CH1124" s="279"/>
      <c r="CI1124" s="279"/>
      <c r="CJ1124" s="279"/>
      <c r="CK1124" s="279"/>
      <c r="CL1124" s="279"/>
      <c r="CM1124" s="279"/>
      <c r="CN1124" s="382"/>
    </row>
    <row r="1125" x14ac:dyDescent="0.3">
      <c r="B1125" s="361"/>
      <c r="C1125" s="279"/>
      <c r="D1125" s="280"/>
      <c r="E1125" s="287"/>
      <c r="F1125" s="287"/>
      <c r="G1125" s="287"/>
      <c r="H1125" s="280"/>
      <c r="I1125" s="279"/>
      <c r="J1125" s="305"/>
      <c r="K1125" s="287"/>
      <c r="L1125" s="287"/>
      <c r="M1125" s="296"/>
      <c r="N1125" s="280"/>
      <c r="O1125" s="280"/>
      <c r="P1125" s="279"/>
      <c r="Q1125" s="297"/>
      <c r="R1125" s="298"/>
      <c r="S1125" s="298"/>
      <c r="T1125" s="299"/>
      <c r="U1125" s="279"/>
      <c r="V1125" s="279"/>
      <c r="W1125" s="279"/>
      <c r="X1125" s="279"/>
      <c r="Y1125" s="279"/>
      <c r="Z1125" s="279"/>
      <c r="AA1125" s="279"/>
      <c r="AB1125" s="279"/>
      <c r="AC1125" s="279"/>
      <c r="AD1125" s="279"/>
      <c r="AE1125" s="279"/>
      <c r="AF1125" s="279"/>
      <c r="AG1125" s="279"/>
      <c r="AH1125" s="279"/>
      <c r="AI1125" s="279"/>
      <c r="AJ1125" s="279"/>
      <c r="AK1125" s="279"/>
      <c r="AL1125" s="279"/>
      <c r="AM1125" s="279"/>
      <c r="AN1125" s="279"/>
      <c r="AO1125" s="279"/>
      <c r="AP1125" s="279"/>
      <c r="AQ1125" s="279"/>
      <c r="AR1125" s="279"/>
      <c r="AS1125" s="279"/>
      <c r="AT1125" s="279"/>
      <c r="AU1125" s="279"/>
      <c r="AV1125" s="279"/>
      <c r="AW1125" s="279"/>
      <c r="AX1125" s="279"/>
      <c r="AY1125" s="279"/>
      <c r="AZ1125" s="279"/>
      <c r="BA1125" s="279"/>
      <c r="BB1125" s="279"/>
      <c r="BC1125" s="279"/>
      <c r="BD1125" s="279"/>
      <c r="BE1125" s="279"/>
      <c r="BF1125" s="279"/>
      <c r="BG1125" s="279"/>
      <c r="BH1125" s="279"/>
      <c r="BI1125" s="279"/>
      <c r="BJ1125" s="279"/>
      <c r="BK1125" s="279"/>
      <c r="BL1125" s="279"/>
      <c r="BM1125" s="279"/>
      <c r="BN1125" s="279"/>
      <c r="BO1125" s="279"/>
      <c r="BP1125" s="279"/>
      <c r="BQ1125" s="279"/>
      <c r="BR1125" s="279"/>
      <c r="BS1125" s="279"/>
      <c r="BT1125" s="279"/>
      <c r="BU1125" s="279"/>
      <c r="BV1125" s="279"/>
      <c r="BW1125" s="279"/>
      <c r="BX1125" s="279"/>
      <c r="BY1125" s="279"/>
      <c r="BZ1125" s="279"/>
      <c r="CA1125" s="279"/>
      <c r="CB1125" s="279"/>
      <c r="CC1125" s="279"/>
      <c r="CD1125" s="279"/>
      <c r="CE1125" s="279"/>
      <c r="CF1125" s="279"/>
      <c r="CG1125" s="279"/>
      <c r="CH1125" s="279"/>
      <c r="CI1125" s="279"/>
      <c r="CJ1125" s="279"/>
      <c r="CK1125" s="279"/>
      <c r="CL1125" s="279"/>
      <c r="CM1125" s="279"/>
      <c r="CN1125" s="382"/>
    </row>
    <row r="1126" x14ac:dyDescent="0.3">
      <c r="B1126" s="361"/>
      <c r="C1126" s="279"/>
      <c r="D1126" s="280"/>
      <c r="E1126" s="287"/>
      <c r="F1126" s="287"/>
      <c r="G1126" s="287"/>
      <c r="H1126" s="280"/>
      <c r="I1126" s="279"/>
      <c r="J1126" s="305"/>
      <c r="K1126" s="287"/>
      <c r="L1126" s="287"/>
      <c r="M1126" s="296"/>
      <c r="N1126" s="280"/>
      <c r="O1126" s="280"/>
      <c r="P1126" s="279"/>
      <c r="Q1126" s="297"/>
      <c r="R1126" s="298"/>
      <c r="S1126" s="298"/>
      <c r="T1126" s="299"/>
      <c r="U1126" s="279"/>
      <c r="V1126" s="279"/>
      <c r="W1126" s="279"/>
      <c r="X1126" s="279"/>
      <c r="Y1126" s="279"/>
      <c r="Z1126" s="279"/>
      <c r="AA1126" s="279"/>
      <c r="AB1126" s="279"/>
      <c r="AC1126" s="279"/>
      <c r="AD1126" s="279"/>
      <c r="AE1126" s="279"/>
      <c r="AF1126" s="279"/>
      <c r="AG1126" s="279"/>
      <c r="AH1126" s="279"/>
      <c r="AI1126" s="279"/>
      <c r="AJ1126" s="279"/>
      <c r="AK1126" s="279"/>
      <c r="AL1126" s="279"/>
      <c r="AM1126" s="279"/>
      <c r="AN1126" s="279"/>
      <c r="AO1126" s="279"/>
      <c r="AP1126" s="279"/>
      <c r="AQ1126" s="279"/>
      <c r="AR1126" s="279"/>
      <c r="AS1126" s="279"/>
      <c r="AT1126" s="279"/>
      <c r="AU1126" s="279"/>
      <c r="AV1126" s="279"/>
      <c r="AW1126" s="279"/>
      <c r="AX1126" s="279"/>
      <c r="AY1126" s="279"/>
      <c r="AZ1126" s="279"/>
      <c r="BA1126" s="279"/>
      <c r="BB1126" s="279"/>
      <c r="BC1126" s="279"/>
      <c r="BD1126" s="279"/>
      <c r="BE1126" s="279"/>
      <c r="BF1126" s="279"/>
      <c r="BG1126" s="279"/>
      <c r="BH1126" s="279"/>
      <c r="BI1126" s="279"/>
      <c r="BJ1126" s="279"/>
      <c r="BK1126" s="279"/>
      <c r="BL1126" s="279"/>
      <c r="BM1126" s="279"/>
      <c r="BN1126" s="279"/>
      <c r="BO1126" s="279"/>
      <c r="BP1126" s="279"/>
      <c r="BQ1126" s="279"/>
      <c r="BR1126" s="279"/>
      <c r="BS1126" s="279"/>
      <c r="BT1126" s="279"/>
      <c r="BU1126" s="279"/>
      <c r="BV1126" s="279"/>
      <c r="BW1126" s="279"/>
      <c r="BX1126" s="279"/>
      <c r="BY1126" s="279"/>
      <c r="BZ1126" s="279"/>
      <c r="CA1126" s="279"/>
      <c r="CB1126" s="279"/>
      <c r="CC1126" s="279"/>
      <c r="CD1126" s="279"/>
      <c r="CE1126" s="279"/>
      <c r="CF1126" s="279"/>
      <c r="CG1126" s="279"/>
      <c r="CH1126" s="279"/>
      <c r="CI1126" s="279"/>
      <c r="CJ1126" s="279"/>
      <c r="CK1126" s="279"/>
      <c r="CL1126" s="279"/>
      <c r="CM1126" s="279"/>
      <c r="CN1126" s="382"/>
    </row>
    <row r="1127" x14ac:dyDescent="0.3">
      <c r="B1127" s="361"/>
      <c r="C1127" s="279"/>
      <c r="D1127" s="280"/>
      <c r="E1127" s="287"/>
      <c r="F1127" s="287"/>
      <c r="G1127" s="287"/>
      <c r="H1127" s="280"/>
      <c r="I1127" s="279"/>
      <c r="J1127" s="279"/>
      <c r="K1127" s="279"/>
      <c r="L1127" s="280"/>
      <c r="M1127" s="296"/>
      <c r="N1127" s="280"/>
      <c r="O1127" s="280"/>
      <c r="P1127" s="279"/>
      <c r="Q1127" s="297"/>
      <c r="R1127" s="298"/>
      <c r="S1127" s="298"/>
      <c r="T1127" s="299"/>
      <c r="U1127" s="279"/>
      <c r="V1127" s="279"/>
      <c r="W1127" s="279"/>
      <c r="X1127" s="279"/>
      <c r="Y1127" s="279"/>
      <c r="Z1127" s="279"/>
      <c r="AA1127" s="279"/>
      <c r="AB1127" s="279"/>
      <c r="AC1127" s="279"/>
      <c r="AD1127" s="279"/>
      <c r="AE1127" s="279"/>
      <c r="AF1127" s="279"/>
      <c r="AG1127" s="279"/>
      <c r="AH1127" s="279"/>
      <c r="AI1127" s="279"/>
      <c r="AJ1127" s="279"/>
      <c r="AK1127" s="279"/>
      <c r="AL1127" s="279"/>
      <c r="AM1127" s="279"/>
      <c r="AN1127" s="279"/>
      <c r="AO1127" s="279"/>
      <c r="AP1127" s="279"/>
      <c r="AQ1127" s="279"/>
      <c r="AR1127" s="279"/>
      <c r="AS1127" s="279"/>
      <c r="AT1127" s="279"/>
      <c r="AU1127" s="279"/>
      <c r="AV1127" s="279"/>
      <c r="AW1127" s="279"/>
      <c r="AX1127" s="279"/>
      <c r="AY1127" s="279"/>
      <c r="AZ1127" s="279"/>
      <c r="BA1127" s="279"/>
      <c r="BB1127" s="279"/>
      <c r="BC1127" s="279"/>
      <c r="BD1127" s="279"/>
      <c r="BE1127" s="279"/>
      <c r="BF1127" s="279"/>
      <c r="BG1127" s="279"/>
      <c r="BH1127" s="279"/>
      <c r="BI1127" s="279"/>
      <c r="BJ1127" s="279"/>
      <c r="BK1127" s="279"/>
      <c r="BL1127" s="279"/>
      <c r="BM1127" s="279"/>
      <c r="BN1127" s="279"/>
      <c r="BO1127" s="279"/>
      <c r="BP1127" s="279"/>
      <c r="BQ1127" s="279"/>
      <c r="BR1127" s="279"/>
      <c r="BS1127" s="279"/>
      <c r="BT1127" s="279"/>
      <c r="BU1127" s="279"/>
      <c r="BV1127" s="279"/>
      <c r="BW1127" s="279"/>
      <c r="BX1127" s="279"/>
      <c r="BY1127" s="279"/>
      <c r="BZ1127" s="279"/>
      <c r="CA1127" s="279"/>
      <c r="CB1127" s="279"/>
      <c r="CC1127" s="279"/>
      <c r="CD1127" s="279"/>
      <c r="CE1127" s="279"/>
      <c r="CF1127" s="279"/>
      <c r="CG1127" s="279"/>
      <c r="CH1127" s="279"/>
      <c r="CI1127" s="279"/>
      <c r="CJ1127" s="279"/>
      <c r="CK1127" s="279"/>
      <c r="CL1127" s="279"/>
      <c r="CM1127" s="279"/>
      <c r="CN1127" s="382"/>
    </row>
    <row r="1128" x14ac:dyDescent="0.3">
      <c r="B1128" s="361"/>
      <c r="C1128" s="279"/>
      <c r="D1128" s="280"/>
      <c r="E1128" s="287"/>
      <c r="F1128" s="287"/>
      <c r="G1128" s="287"/>
      <c r="H1128" s="280"/>
      <c r="I1128" s="279"/>
      <c r="J1128" s="279"/>
      <c r="K1128" s="279"/>
      <c r="L1128" s="280"/>
      <c r="M1128" s="296"/>
      <c r="N1128" s="280"/>
      <c r="O1128" s="280"/>
      <c r="P1128" s="279"/>
      <c r="Q1128" s="297"/>
      <c r="R1128" s="298"/>
      <c r="S1128" s="298"/>
      <c r="T1128" s="299"/>
      <c r="U1128" s="279"/>
      <c r="V1128" s="279"/>
      <c r="W1128" s="279"/>
      <c r="X1128" s="279"/>
      <c r="Y1128" s="279"/>
      <c r="Z1128" s="279"/>
      <c r="AA1128" s="279"/>
      <c r="AB1128" s="279"/>
      <c r="AC1128" s="279"/>
      <c r="AD1128" s="279"/>
      <c r="AE1128" s="279"/>
      <c r="AF1128" s="279"/>
      <c r="AG1128" s="279"/>
      <c r="AH1128" s="279"/>
      <c r="AI1128" s="279"/>
      <c r="AJ1128" s="279"/>
      <c r="AK1128" s="279"/>
      <c r="AL1128" s="279"/>
      <c r="AM1128" s="279"/>
      <c r="AN1128" s="279"/>
      <c r="AO1128" s="279"/>
      <c r="AP1128" s="279"/>
      <c r="AQ1128" s="279"/>
      <c r="AR1128" s="279"/>
      <c r="AS1128" s="279"/>
      <c r="AT1128" s="279"/>
      <c r="AU1128" s="279"/>
      <c r="AV1128" s="279"/>
      <c r="AW1128" s="279"/>
      <c r="AX1128" s="279"/>
      <c r="AY1128" s="279"/>
      <c r="AZ1128" s="279"/>
      <c r="BA1128" s="279"/>
      <c r="BB1128" s="279"/>
      <c r="BC1128" s="279"/>
      <c r="BD1128" s="279"/>
      <c r="BE1128" s="279"/>
      <c r="BF1128" s="279"/>
      <c r="BG1128" s="279"/>
      <c r="BH1128" s="279"/>
      <c r="BI1128" s="279"/>
      <c r="BJ1128" s="279"/>
      <c r="BK1128" s="279"/>
      <c r="BL1128" s="279"/>
      <c r="BM1128" s="279"/>
      <c r="BN1128" s="279"/>
      <c r="BO1128" s="279"/>
      <c r="BP1128" s="279"/>
      <c r="BQ1128" s="279"/>
      <c r="BR1128" s="279"/>
      <c r="BS1128" s="279"/>
      <c r="BT1128" s="279"/>
      <c r="BU1128" s="279"/>
      <c r="BV1128" s="279"/>
      <c r="BW1128" s="279"/>
      <c r="BX1128" s="279"/>
      <c r="BY1128" s="279"/>
      <c r="BZ1128" s="279"/>
      <c r="CA1128" s="279"/>
      <c r="CB1128" s="279"/>
      <c r="CC1128" s="279"/>
      <c r="CD1128" s="279"/>
      <c r="CE1128" s="279"/>
      <c r="CF1128" s="279"/>
      <c r="CG1128" s="279"/>
      <c r="CH1128" s="279"/>
      <c r="CI1128" s="279"/>
      <c r="CJ1128" s="279"/>
      <c r="CK1128" s="279"/>
      <c r="CL1128" s="279"/>
      <c r="CM1128" s="279"/>
      <c r="CN1128" s="382"/>
    </row>
    <row r="1129" ht="16.2" thickBot="true" x14ac:dyDescent="0.35">
      <c r="B1129" s="361"/>
      <c r="C1129" s="279"/>
      <c r="D1129" s="280"/>
      <c r="E1129" s="287"/>
      <c r="F1129" s="287"/>
      <c r="G1129" s="287"/>
      <c r="H1129" s="280"/>
      <c r="I1129" s="279"/>
      <c r="J1129" s="279"/>
      <c r="K1129" s="279"/>
      <c r="L1129" s="280"/>
      <c r="M1129" s="296"/>
      <c r="N1129" s="280"/>
      <c r="O1129" s="280"/>
      <c r="P1129" s="279"/>
      <c r="Q1129" s="297"/>
      <c r="R1129" s="298"/>
      <c r="S1129" s="298"/>
      <c r="T1129" s="299"/>
      <c r="U1129" s="279"/>
      <c r="V1129" s="279"/>
      <c r="W1129" s="279"/>
      <c r="X1129" s="279"/>
      <c r="Y1129" s="279"/>
      <c r="Z1129" s="279"/>
      <c r="AA1129" s="279"/>
      <c r="AB1129" s="279"/>
      <c r="AC1129" s="279"/>
      <c r="AD1129" s="279"/>
      <c r="AE1129" s="279"/>
      <c r="AF1129" s="279"/>
      <c r="AG1129" s="279"/>
      <c r="AH1129" s="279"/>
      <c r="AI1129" s="279"/>
      <c r="AJ1129" s="279"/>
      <c r="AK1129" s="279"/>
      <c r="AL1129" s="279"/>
      <c r="AM1129" s="279"/>
      <c r="AN1129" s="279"/>
      <c r="AO1129" s="279"/>
      <c r="AP1129" s="279"/>
      <c r="AQ1129" s="279"/>
      <c r="AR1129" s="279"/>
      <c r="AS1129" s="279"/>
      <c r="AT1129" s="279"/>
      <c r="AU1129" s="279"/>
      <c r="AV1129" s="279"/>
      <c r="AW1129" s="279"/>
      <c r="AX1129" s="279"/>
      <c r="AY1129" s="279"/>
      <c r="AZ1129" s="279"/>
      <c r="BA1129" s="279"/>
      <c r="BB1129" s="279"/>
      <c r="BC1129" s="279"/>
      <c r="BD1129" s="279"/>
      <c r="BE1129" s="279"/>
      <c r="BF1129" s="279"/>
      <c r="BG1129" s="279"/>
      <c r="BH1129" s="279"/>
      <c r="BI1129" s="279"/>
      <c r="BJ1129" s="279"/>
      <c r="BK1129" s="279"/>
      <c r="BL1129" s="279"/>
      <c r="BM1129" s="279"/>
      <c r="BN1129" s="279"/>
      <c r="BO1129" s="279"/>
      <c r="BP1129" s="279"/>
      <c r="BQ1129" s="279"/>
      <c r="BR1129" s="279"/>
      <c r="BS1129" s="279"/>
      <c r="BT1129" s="279"/>
      <c r="BU1129" s="279"/>
      <c r="BV1129" s="279"/>
      <c r="BW1129" s="279"/>
      <c r="BX1129" s="279"/>
      <c r="BY1129" s="279"/>
      <c r="BZ1129" s="279"/>
      <c r="CA1129" s="279"/>
      <c r="CB1129" s="279"/>
      <c r="CC1129" s="279"/>
      <c r="CD1129" s="279"/>
      <c r="CE1129" s="279"/>
      <c r="CF1129" s="279"/>
      <c r="CG1129" s="279"/>
      <c r="CH1129" s="279"/>
      <c r="CI1129" s="279"/>
      <c r="CJ1129" s="279"/>
      <c r="CK1129" s="279"/>
      <c r="CL1129" s="279"/>
      <c r="CM1129" s="279"/>
      <c r="CN1129" s="382"/>
    </row>
    <row r="1130" ht="27" customHeight="true" thickBot="true" x14ac:dyDescent="0.35">
      <c r="B1130" s="361"/>
      <c r="C1130" s="279"/>
      <c r="D1130" s="280"/>
      <c r="E1130" s="287"/>
      <c r="F1130" s="287"/>
      <c r="G1130" s="287"/>
      <c r="H1130" s="1953" t="s">
        <v>651</v>
      </c>
      <c r="I1130" s="1954"/>
      <c r="J1130" s="1954"/>
      <c r="K1130" s="1954"/>
      <c r="L1130" s="1955"/>
      <c r="M1130" s="296"/>
      <c r="N1130" s="280"/>
      <c r="O1130" s="280"/>
      <c r="P1130" s="279"/>
      <c r="Q1130" s="297"/>
      <c r="R1130" s="298"/>
      <c r="S1130" s="298"/>
      <c r="T1130" s="299"/>
      <c r="U1130" s="279"/>
      <c r="V1130" s="279"/>
      <c r="W1130" s="279"/>
      <c r="X1130" s="279"/>
      <c r="Y1130" s="279"/>
      <c r="Z1130" s="279"/>
      <c r="AA1130" s="279"/>
      <c r="AB1130" s="279"/>
      <c r="AC1130" s="279"/>
      <c r="AD1130" s="279"/>
      <c r="AE1130" s="279"/>
      <c r="AF1130" s="279"/>
      <c r="AG1130" s="279"/>
      <c r="AH1130" s="279"/>
      <c r="AI1130" s="279"/>
      <c r="AJ1130" s="279"/>
      <c r="AK1130" s="279"/>
      <c r="AL1130" s="279"/>
      <c r="AM1130" s="279"/>
      <c r="AN1130" s="279"/>
      <c r="AO1130" s="279"/>
      <c r="AP1130" s="279"/>
      <c r="AQ1130" s="279"/>
      <c r="AR1130" s="279"/>
      <c r="AS1130" s="279"/>
      <c r="AT1130" s="279"/>
      <c r="AU1130" s="279"/>
      <c r="AV1130" s="279"/>
      <c r="AW1130" s="279"/>
      <c r="AX1130" s="279"/>
      <c r="AY1130" s="279"/>
      <c r="AZ1130" s="279"/>
      <c r="BA1130" s="279"/>
      <c r="BB1130" s="279"/>
      <c r="BC1130" s="279"/>
      <c r="BD1130" s="279"/>
      <c r="BE1130" s="279"/>
      <c r="BF1130" s="279"/>
      <c r="BG1130" s="279"/>
      <c r="BH1130" s="279"/>
      <c r="BI1130" s="279"/>
      <c r="BJ1130" s="279"/>
      <c r="BK1130" s="279"/>
      <c r="BL1130" s="279"/>
      <c r="BM1130" s="279"/>
      <c r="BN1130" s="279"/>
      <c r="BO1130" s="279"/>
      <c r="BP1130" s="279"/>
      <c r="BQ1130" s="279"/>
      <c r="BR1130" s="279"/>
      <c r="BS1130" s="279"/>
      <c r="BT1130" s="279"/>
      <c r="BU1130" s="279"/>
      <c r="BV1130" s="279"/>
      <c r="BW1130" s="279"/>
      <c r="BX1130" s="279"/>
      <c r="BY1130" s="279"/>
      <c r="BZ1130" s="279"/>
      <c r="CA1130" s="279"/>
      <c r="CB1130" s="279"/>
      <c r="CC1130" s="279"/>
      <c r="CD1130" s="279"/>
      <c r="CE1130" s="279"/>
      <c r="CF1130" s="279"/>
      <c r="CG1130" s="279"/>
      <c r="CH1130" s="279"/>
      <c r="CI1130" s="279"/>
      <c r="CJ1130" s="279"/>
      <c r="CK1130" s="279"/>
      <c r="CL1130" s="279"/>
      <c r="CM1130" s="279"/>
      <c r="CN1130" s="382"/>
    </row>
    <row r="1131" x14ac:dyDescent="0.3">
      <c r="B1131" s="361"/>
      <c r="C1131" s="279"/>
      <c r="D1131" s="280"/>
      <c r="E1131" s="287"/>
      <c r="F1131" s="287"/>
      <c r="G1131" s="287"/>
      <c r="H1131" s="282" t="s">
        <v>1469</v>
      </c>
      <c r="I1131" s="1166" t="s">
        <v>289</v>
      </c>
      <c r="J1131" s="1166" t="s">
        <v>649</v>
      </c>
      <c r="K1131" s="1186" t="s">
        <v>652</v>
      </c>
      <c r="L1131" s="291" t="s">
        <v>653</v>
      </c>
      <c r="M1131" s="296"/>
      <c r="N1131" s="280"/>
      <c r="O1131" s="280"/>
      <c r="P1131" s="279"/>
      <c r="Q1131" s="297"/>
      <c r="R1131" s="298"/>
      <c r="S1131" s="298"/>
      <c r="T1131" s="299"/>
      <c r="U1131" s="279"/>
      <c r="V1131" s="279"/>
      <c r="W1131" s="279"/>
      <c r="X1131" s="279"/>
      <c r="Y1131" s="279"/>
      <c r="Z1131" s="279"/>
      <c r="AA1131" s="279"/>
      <c r="AB1131" s="279"/>
      <c r="AC1131" s="279"/>
      <c r="AD1131" s="279"/>
      <c r="AE1131" s="279"/>
      <c r="AF1131" s="279"/>
      <c r="AG1131" s="279"/>
      <c r="AH1131" s="279"/>
      <c r="AI1131" s="279"/>
      <c r="AJ1131" s="279"/>
      <c r="AK1131" s="279"/>
      <c r="AL1131" s="279"/>
      <c r="AM1131" s="279"/>
      <c r="AN1131" s="279"/>
      <c r="AO1131" s="279"/>
      <c r="AP1131" s="279"/>
      <c r="AQ1131" s="279"/>
      <c r="AR1131" s="279"/>
      <c r="AS1131" s="279"/>
      <c r="AT1131" s="279"/>
      <c r="AU1131" s="279"/>
      <c r="AV1131" s="279"/>
      <c r="AW1131" s="279"/>
      <c r="AX1131" s="279"/>
      <c r="AY1131" s="279"/>
      <c r="AZ1131" s="279"/>
      <c r="BA1131" s="279"/>
      <c r="BB1131" s="279"/>
      <c r="BC1131" s="279"/>
      <c r="BD1131" s="279"/>
      <c r="BE1131" s="279"/>
      <c r="BF1131" s="279"/>
      <c r="BG1131" s="279"/>
      <c r="BH1131" s="279"/>
      <c r="BI1131" s="279"/>
      <c r="BJ1131" s="279"/>
      <c r="BK1131" s="279"/>
      <c r="BL1131" s="279"/>
      <c r="BM1131" s="279"/>
      <c r="BN1131" s="279"/>
      <c r="BO1131" s="279"/>
      <c r="BP1131" s="279"/>
      <c r="BQ1131" s="279"/>
      <c r="BR1131" s="279"/>
      <c r="BS1131" s="279"/>
      <c r="BT1131" s="279"/>
      <c r="BU1131" s="279"/>
      <c r="BV1131" s="279"/>
      <c r="BW1131" s="279"/>
      <c r="BX1131" s="279"/>
      <c r="BY1131" s="279"/>
      <c r="BZ1131" s="279"/>
      <c r="CA1131" s="279"/>
      <c r="CB1131" s="279"/>
      <c r="CC1131" s="279"/>
      <c r="CD1131" s="279"/>
      <c r="CE1131" s="279"/>
      <c r="CF1131" s="279"/>
      <c r="CG1131" s="279"/>
      <c r="CH1131" s="279"/>
      <c r="CI1131" s="279"/>
      <c r="CJ1131" s="279"/>
      <c r="CK1131" s="279"/>
      <c r="CL1131" s="279"/>
      <c r="CM1131" s="279"/>
      <c r="CN1131" s="382"/>
    </row>
    <row r="1132" x14ac:dyDescent="0.3">
      <c r="B1132" s="361"/>
      <c r="C1132" s="279"/>
      <c r="D1132" s="280"/>
      <c r="E1132" s="287"/>
      <c r="F1132" s="287"/>
      <c r="G1132" s="287"/>
      <c r="H1132" s="1292">
        <f t="shared" ref="H1132:H1181" si="57">H142</f>
        <v>1</v>
      </c>
      <c r="I1132" s="1190">
        <f>'I. Stream &amp; Compound Data'!P262</f>
        <v>2980.7504537999998</v>
      </c>
      <c r="J1132" s="1295">
        <f>IF(I142="","",IF('I. Stream &amp; Compound Data'!BX262="",0,'I. Stream &amp; Compound Data'!BX262))</f>
        <v>0</v>
      </c>
      <c r="K1132" s="1295">
        <f t="shared" ref="K1132:K1150" si="58">IF(I142="","",I1132*J1132)</f>
        <v>0</v>
      </c>
      <c r="L1132" s="1317">
        <f>IF(K1132="","",IF('I. Stream &amp; Compound Data'!E32="H2O",0,(IF(J1132=0,1,J1132))*I1132))</f>
        <v>2980.7504537999998</v>
      </c>
      <c r="M1132" s="296"/>
      <c r="N1132" s="280"/>
      <c r="O1132" s="280"/>
      <c r="P1132" s="279"/>
      <c r="Q1132" s="297"/>
      <c r="R1132" s="298"/>
      <c r="S1132" s="298"/>
      <c r="T1132" s="299"/>
      <c r="U1132" s="279"/>
      <c r="V1132" s="279"/>
      <c r="W1132" s="279"/>
      <c r="X1132" s="279"/>
      <c r="Y1132" s="279"/>
      <c r="Z1132" s="279"/>
      <c r="AA1132" s="279"/>
      <c r="AB1132" s="279"/>
      <c r="AC1132" s="279"/>
      <c r="AD1132" s="279"/>
      <c r="AE1132" s="279"/>
      <c r="AF1132" s="279"/>
      <c r="AG1132" s="279"/>
      <c r="AH1132" s="279"/>
      <c r="AI1132" s="279"/>
      <c r="AJ1132" s="279"/>
      <c r="AK1132" s="279"/>
      <c r="AL1132" s="279"/>
      <c r="AM1132" s="279"/>
      <c r="AN1132" s="279"/>
      <c r="AO1132" s="279"/>
      <c r="AP1132" s="279"/>
      <c r="AQ1132" s="279"/>
      <c r="AR1132" s="279"/>
      <c r="AS1132" s="279"/>
      <c r="AT1132" s="279"/>
      <c r="AU1132" s="279"/>
      <c r="AV1132" s="279"/>
      <c r="AW1132" s="279"/>
      <c r="AX1132" s="279"/>
      <c r="AY1132" s="279"/>
      <c r="AZ1132" s="279"/>
      <c r="BA1132" s="279"/>
      <c r="BB1132" s="279"/>
      <c r="BC1132" s="279"/>
      <c r="BD1132" s="279"/>
      <c r="BE1132" s="279"/>
      <c r="BF1132" s="279"/>
      <c r="BG1132" s="279"/>
      <c r="BH1132" s="279"/>
      <c r="BI1132" s="279"/>
      <c r="BJ1132" s="279"/>
      <c r="BK1132" s="279"/>
      <c r="BL1132" s="279"/>
      <c r="BM1132" s="279"/>
      <c r="BN1132" s="279"/>
      <c r="BO1132" s="279"/>
      <c r="BP1132" s="279"/>
      <c r="BQ1132" s="279"/>
      <c r="BR1132" s="279"/>
      <c r="BS1132" s="279"/>
      <c r="BT1132" s="279"/>
      <c r="BU1132" s="279"/>
      <c r="BV1132" s="279"/>
      <c r="BW1132" s="279"/>
      <c r="BX1132" s="279"/>
      <c r="BY1132" s="279"/>
      <c r="BZ1132" s="279"/>
      <c r="CA1132" s="279"/>
      <c r="CB1132" s="279"/>
      <c r="CC1132" s="279"/>
      <c r="CD1132" s="279"/>
      <c r="CE1132" s="279"/>
      <c r="CF1132" s="279"/>
      <c r="CG1132" s="279"/>
      <c r="CH1132" s="279"/>
      <c r="CI1132" s="279"/>
      <c r="CJ1132" s="279"/>
      <c r="CK1132" s="279"/>
      <c r="CL1132" s="279"/>
      <c r="CM1132" s="279"/>
      <c r="CN1132" s="382"/>
    </row>
    <row r="1133" x14ac:dyDescent="0.3">
      <c r="B1133" s="361"/>
      <c r="C1133" s="279"/>
      <c r="D1133" s="280"/>
      <c r="E1133" s="287"/>
      <c r="F1133" s="287"/>
      <c r="G1133" s="287"/>
      <c r="H1133" s="1292">
        <f t="shared" si="57"/>
        <v>2</v>
      </c>
      <c r="I1133" s="1190">
        <f>'I. Stream &amp; Compound Data'!P263</f>
        <v>0</v>
      </c>
      <c r="J1133" s="1295">
        <f>IF(I143="","",IF('I. Stream &amp; Compound Data'!BX263="",0,'I. Stream &amp; Compound Data'!BX263))</f>
        <v>0</v>
      </c>
      <c r="K1133" s="1295">
        <f t="shared" si="58"/>
        <v>0</v>
      </c>
      <c r="L1133" s="1317">
        <f>IF(K1133="","",IF('I. Stream &amp; Compound Data'!E33="H2O",0,(IF(J1133=0,1,J1133))*I1133))</f>
        <v>0</v>
      </c>
      <c r="M1133" s="296"/>
      <c r="N1133" s="280"/>
      <c r="O1133" s="280"/>
      <c r="P1133" s="279"/>
      <c r="Q1133" s="297"/>
      <c r="R1133" s="298"/>
      <c r="S1133" s="298"/>
      <c r="T1133" s="299"/>
      <c r="U1133" s="279"/>
      <c r="V1133" s="279"/>
      <c r="W1133" s="279"/>
      <c r="X1133" s="279"/>
      <c r="Y1133" s="279"/>
      <c r="Z1133" s="279"/>
      <c r="AA1133" s="279"/>
      <c r="AB1133" s="279"/>
      <c r="AC1133" s="279"/>
      <c r="AD1133" s="279"/>
      <c r="AE1133" s="279"/>
      <c r="AF1133" s="279"/>
      <c r="AG1133" s="279"/>
      <c r="AH1133" s="279"/>
      <c r="AI1133" s="279"/>
      <c r="AJ1133" s="279"/>
      <c r="AK1133" s="279"/>
      <c r="AL1133" s="279"/>
      <c r="AM1133" s="279"/>
      <c r="AN1133" s="279"/>
      <c r="AO1133" s="279"/>
      <c r="AP1133" s="279"/>
      <c r="AQ1133" s="279"/>
      <c r="AR1133" s="279"/>
      <c r="AS1133" s="279"/>
      <c r="AT1133" s="279"/>
      <c r="AU1133" s="279"/>
      <c r="AV1133" s="279"/>
      <c r="AW1133" s="279"/>
      <c r="AX1133" s="279"/>
      <c r="AY1133" s="279"/>
      <c r="AZ1133" s="279"/>
      <c r="BA1133" s="279"/>
      <c r="BB1133" s="279"/>
      <c r="BC1133" s="279"/>
      <c r="BD1133" s="279"/>
      <c r="BE1133" s="279"/>
      <c r="BF1133" s="279"/>
      <c r="BG1133" s="279"/>
      <c r="BH1133" s="279"/>
      <c r="BI1133" s="279"/>
      <c r="BJ1133" s="279"/>
      <c r="BK1133" s="279"/>
      <c r="BL1133" s="279"/>
      <c r="BM1133" s="279"/>
      <c r="BN1133" s="279"/>
      <c r="BO1133" s="279"/>
      <c r="BP1133" s="279"/>
      <c r="BQ1133" s="279"/>
      <c r="BR1133" s="279"/>
      <c r="BS1133" s="279"/>
      <c r="BT1133" s="279"/>
      <c r="BU1133" s="279"/>
      <c r="BV1133" s="279"/>
      <c r="BW1133" s="279"/>
      <c r="BX1133" s="279"/>
      <c r="BY1133" s="279"/>
      <c r="BZ1133" s="279"/>
      <c r="CA1133" s="279"/>
      <c r="CB1133" s="279"/>
      <c r="CC1133" s="279"/>
      <c r="CD1133" s="279"/>
      <c r="CE1133" s="279"/>
      <c r="CF1133" s="279"/>
      <c r="CG1133" s="279"/>
      <c r="CH1133" s="279"/>
      <c r="CI1133" s="279"/>
      <c r="CJ1133" s="279"/>
      <c r="CK1133" s="279"/>
      <c r="CL1133" s="279"/>
      <c r="CM1133" s="279"/>
      <c r="CN1133" s="382"/>
    </row>
    <row r="1134" x14ac:dyDescent="0.3">
      <c r="B1134" s="361"/>
      <c r="C1134" s="279"/>
      <c r="D1134" s="280"/>
      <c r="E1134" s="287"/>
      <c r="F1134" s="287"/>
      <c r="G1134" s="287"/>
      <c r="H1134" s="1292">
        <f t="shared" si="57"/>
        <v>3</v>
      </c>
      <c r="I1134" s="1190">
        <f>'I. Stream &amp; Compound Data'!P264</f>
        <v>0</v>
      </c>
      <c r="J1134" s="1295">
        <f>IF(I144="","",IF('I. Stream &amp; Compound Data'!BX264="",0,'I. Stream &amp; Compound Data'!BX264))</f>
        <v>0</v>
      </c>
      <c r="K1134" s="1295">
        <f t="shared" si="58"/>
        <v>0</v>
      </c>
      <c r="L1134" s="1317">
        <f>IF(K1134="","",IF('I. Stream &amp; Compound Data'!E34="H2O",0,(IF(J1134=0,1,J1134))*I1134))</f>
        <v>0</v>
      </c>
      <c r="M1134" s="296"/>
      <c r="N1134" s="280"/>
      <c r="O1134" s="280"/>
      <c r="P1134" s="279"/>
      <c r="Q1134" s="297"/>
      <c r="R1134" s="298"/>
      <c r="S1134" s="298"/>
      <c r="T1134" s="299"/>
      <c r="U1134" s="279"/>
      <c r="V1134" s="279"/>
      <c r="W1134" s="279"/>
      <c r="X1134" s="279"/>
      <c r="Y1134" s="279"/>
      <c r="Z1134" s="279"/>
      <c r="AA1134" s="279"/>
      <c r="AB1134" s="279"/>
      <c r="AC1134" s="279"/>
      <c r="AD1134" s="279"/>
      <c r="AE1134" s="279"/>
      <c r="AF1134" s="279"/>
      <c r="AG1134" s="279"/>
      <c r="AH1134" s="279"/>
      <c r="AI1134" s="279"/>
      <c r="AJ1134" s="279"/>
      <c r="AK1134" s="279"/>
      <c r="AL1134" s="279"/>
      <c r="AM1134" s="279"/>
      <c r="AN1134" s="279"/>
      <c r="AO1134" s="279"/>
      <c r="AP1134" s="279"/>
      <c r="AQ1134" s="279"/>
      <c r="AR1134" s="279"/>
      <c r="AS1134" s="279"/>
      <c r="AT1134" s="279"/>
      <c r="AU1134" s="279"/>
      <c r="AV1134" s="279"/>
      <c r="AW1134" s="279"/>
      <c r="AX1134" s="279"/>
      <c r="AY1134" s="279"/>
      <c r="AZ1134" s="279"/>
      <c r="BA1134" s="279"/>
      <c r="BB1134" s="279"/>
      <c r="BC1134" s="279"/>
      <c r="BD1134" s="279"/>
      <c r="BE1134" s="279"/>
      <c r="BF1134" s="279"/>
      <c r="BG1134" s="279"/>
      <c r="BH1134" s="279"/>
      <c r="BI1134" s="279"/>
      <c r="BJ1134" s="279"/>
      <c r="BK1134" s="279"/>
      <c r="BL1134" s="279"/>
      <c r="BM1134" s="279"/>
      <c r="BN1134" s="279"/>
      <c r="BO1134" s="279"/>
      <c r="BP1134" s="279"/>
      <c r="BQ1134" s="279"/>
      <c r="BR1134" s="279"/>
      <c r="BS1134" s="279"/>
      <c r="BT1134" s="279"/>
      <c r="BU1134" s="279"/>
      <c r="BV1134" s="279"/>
      <c r="BW1134" s="279"/>
      <c r="BX1134" s="279"/>
      <c r="BY1134" s="279"/>
      <c r="BZ1134" s="279"/>
      <c r="CA1134" s="279"/>
      <c r="CB1134" s="279"/>
      <c r="CC1134" s="279"/>
      <c r="CD1134" s="279"/>
      <c r="CE1134" s="279"/>
      <c r="CF1134" s="279"/>
      <c r="CG1134" s="279"/>
      <c r="CH1134" s="279"/>
      <c r="CI1134" s="279"/>
      <c r="CJ1134" s="279"/>
      <c r="CK1134" s="279"/>
      <c r="CL1134" s="279"/>
      <c r="CM1134" s="279"/>
      <c r="CN1134" s="382"/>
    </row>
    <row r="1135" x14ac:dyDescent="0.3">
      <c r="B1135" s="361"/>
      <c r="C1135" s="279"/>
      <c r="D1135" s="280"/>
      <c r="E1135" s="287"/>
      <c r="F1135" s="287"/>
      <c r="G1135" s="287"/>
      <c r="H1135" s="1292">
        <f t="shared" si="57"/>
        <v>4</v>
      </c>
      <c r="I1135" s="1190">
        <f>'I. Stream &amp; Compound Data'!P265</f>
        <v>0</v>
      </c>
      <c r="J1135" s="1295">
        <f>IF(I145="","",IF('I. Stream &amp; Compound Data'!BX265="",0,'I. Stream &amp; Compound Data'!BX265))</f>
        <v>0</v>
      </c>
      <c r="K1135" s="1295">
        <f t="shared" si="58"/>
        <v>0</v>
      </c>
      <c r="L1135" s="1317">
        <f>IF(K1135="","",IF('I. Stream &amp; Compound Data'!E35="H2O",0,(IF(J1135=0,1,J1135))*I1135))</f>
        <v>0</v>
      </c>
      <c r="M1135" s="296"/>
      <c r="N1135" s="280"/>
      <c r="O1135" s="280"/>
      <c r="P1135" s="279"/>
      <c r="Q1135" s="297"/>
      <c r="R1135" s="298"/>
      <c r="S1135" s="298"/>
      <c r="T1135" s="299"/>
      <c r="U1135" s="279"/>
      <c r="V1135" s="279"/>
      <c r="W1135" s="279"/>
      <c r="X1135" s="279"/>
      <c r="Y1135" s="279"/>
      <c r="Z1135" s="279"/>
      <c r="AA1135" s="279"/>
      <c r="AB1135" s="279"/>
      <c r="AC1135" s="279"/>
      <c r="AD1135" s="279"/>
      <c r="AE1135" s="279"/>
      <c r="AF1135" s="279"/>
      <c r="AG1135" s="279"/>
      <c r="AH1135" s="279"/>
      <c r="AI1135" s="279"/>
      <c r="AJ1135" s="279"/>
      <c r="AK1135" s="279"/>
      <c r="AL1135" s="279"/>
      <c r="AM1135" s="279"/>
      <c r="AN1135" s="279"/>
      <c r="AO1135" s="279"/>
      <c r="AP1135" s="279"/>
      <c r="AQ1135" s="279"/>
      <c r="AR1135" s="279"/>
      <c r="AS1135" s="279"/>
      <c r="AT1135" s="279"/>
      <c r="AU1135" s="279"/>
      <c r="AV1135" s="279"/>
      <c r="AW1135" s="279"/>
      <c r="AX1135" s="279"/>
      <c r="AY1135" s="279"/>
      <c r="AZ1135" s="279"/>
      <c r="BA1135" s="279"/>
      <c r="BB1135" s="279"/>
      <c r="BC1135" s="279"/>
      <c r="BD1135" s="279"/>
      <c r="BE1135" s="279"/>
      <c r="BF1135" s="279"/>
      <c r="BG1135" s="279"/>
      <c r="BH1135" s="279"/>
      <c r="BI1135" s="279"/>
      <c r="BJ1135" s="279"/>
      <c r="BK1135" s="279"/>
      <c r="BL1135" s="279"/>
      <c r="BM1135" s="279"/>
      <c r="BN1135" s="279"/>
      <c r="BO1135" s="279"/>
      <c r="BP1135" s="279"/>
      <c r="BQ1135" s="279"/>
      <c r="BR1135" s="279"/>
      <c r="BS1135" s="279"/>
      <c r="BT1135" s="279"/>
      <c r="BU1135" s="279"/>
      <c r="BV1135" s="279"/>
      <c r="BW1135" s="279"/>
      <c r="BX1135" s="279"/>
      <c r="BY1135" s="279"/>
      <c r="BZ1135" s="279"/>
      <c r="CA1135" s="279"/>
      <c r="CB1135" s="279"/>
      <c r="CC1135" s="279"/>
      <c r="CD1135" s="279"/>
      <c r="CE1135" s="279"/>
      <c r="CF1135" s="279"/>
      <c r="CG1135" s="279"/>
      <c r="CH1135" s="279"/>
      <c r="CI1135" s="279"/>
      <c r="CJ1135" s="279"/>
      <c r="CK1135" s="279"/>
      <c r="CL1135" s="279"/>
      <c r="CM1135" s="279"/>
      <c r="CN1135" s="382"/>
    </row>
    <row r="1136" x14ac:dyDescent="0.3">
      <c r="B1136" s="361"/>
      <c r="C1136" s="279"/>
      <c r="D1136" s="280"/>
      <c r="E1136" s="287"/>
      <c r="F1136" s="287"/>
      <c r="G1136" s="287"/>
      <c r="H1136" s="1292">
        <f t="shared" si="57"/>
        <v>5</v>
      </c>
      <c r="I1136" s="1190" t="str">
        <f>'I. Stream &amp; Compound Data'!P266</f>
        <v/>
      </c>
      <c r="J1136" s="1295" t="str">
        <f>IF(I146="","",IF('I. Stream &amp; Compound Data'!BX266="",0,'I. Stream &amp; Compound Data'!BX266))</f>
        <v/>
      </c>
      <c r="K1136" s="1295" t="str">
        <f t="shared" si="58"/>
        <v/>
      </c>
      <c r="L1136" s="1317" t="str">
        <f>IF(K1136="","",IF('I. Stream &amp; Compound Data'!E36="H2O",0,(IF(J1136=0,1,J1136))*I1136))</f>
        <v/>
      </c>
      <c r="M1136" s="296"/>
      <c r="N1136" s="280"/>
      <c r="O1136" s="280"/>
      <c r="P1136" s="279"/>
      <c r="Q1136" s="297"/>
      <c r="R1136" s="298"/>
      <c r="S1136" s="298"/>
      <c r="T1136" s="299"/>
      <c r="U1136" s="279"/>
      <c r="V1136" s="279"/>
      <c r="W1136" s="279"/>
      <c r="X1136" s="279"/>
      <c r="Y1136" s="279"/>
      <c r="Z1136" s="279"/>
      <c r="AA1136" s="279"/>
      <c r="AB1136" s="279"/>
      <c r="AC1136" s="279"/>
      <c r="AD1136" s="279"/>
      <c r="AE1136" s="279"/>
      <c r="AF1136" s="279"/>
      <c r="AG1136" s="279"/>
      <c r="AH1136" s="279"/>
      <c r="AI1136" s="279"/>
      <c r="AJ1136" s="279"/>
      <c r="AK1136" s="279"/>
      <c r="AL1136" s="279"/>
      <c r="AM1136" s="279"/>
      <c r="AN1136" s="279"/>
      <c r="AO1136" s="279"/>
      <c r="AP1136" s="279"/>
      <c r="AQ1136" s="279"/>
      <c r="AR1136" s="279"/>
      <c r="AS1136" s="279"/>
      <c r="AT1136" s="279"/>
      <c r="AU1136" s="279"/>
      <c r="AV1136" s="279"/>
      <c r="AW1136" s="279"/>
      <c r="AX1136" s="279"/>
      <c r="AY1136" s="279"/>
      <c r="AZ1136" s="279"/>
      <c r="BA1136" s="279"/>
      <c r="BB1136" s="279"/>
      <c r="BC1136" s="279"/>
      <c r="BD1136" s="279"/>
      <c r="BE1136" s="279"/>
      <c r="BF1136" s="279"/>
      <c r="BG1136" s="279"/>
      <c r="BH1136" s="279"/>
      <c r="BI1136" s="279"/>
      <c r="BJ1136" s="279"/>
      <c r="BK1136" s="279"/>
      <c r="BL1136" s="279"/>
      <c r="BM1136" s="279"/>
      <c r="BN1136" s="279"/>
      <c r="BO1136" s="279"/>
      <c r="BP1136" s="279"/>
      <c r="BQ1136" s="279"/>
      <c r="BR1136" s="279"/>
      <c r="BS1136" s="279"/>
      <c r="BT1136" s="279"/>
      <c r="BU1136" s="279"/>
      <c r="BV1136" s="279"/>
      <c r="BW1136" s="279"/>
      <c r="BX1136" s="279"/>
      <c r="BY1136" s="279"/>
      <c r="BZ1136" s="279"/>
      <c r="CA1136" s="279"/>
      <c r="CB1136" s="279"/>
      <c r="CC1136" s="279"/>
      <c r="CD1136" s="279"/>
      <c r="CE1136" s="279"/>
      <c r="CF1136" s="279"/>
      <c r="CG1136" s="279"/>
      <c r="CH1136" s="279"/>
      <c r="CI1136" s="279"/>
      <c r="CJ1136" s="279"/>
      <c r="CK1136" s="279"/>
      <c r="CL1136" s="279"/>
      <c r="CM1136" s="279"/>
      <c r="CN1136" s="382"/>
    </row>
    <row r="1137" x14ac:dyDescent="0.3">
      <c r="B1137" s="361"/>
      <c r="C1137" s="279"/>
      <c r="D1137" s="280"/>
      <c r="E1137" s="287"/>
      <c r="F1137" s="287"/>
      <c r="G1137" s="287"/>
      <c r="H1137" s="1292">
        <f t="shared" si="57"/>
        <v>6</v>
      </c>
      <c r="I1137" s="1190" t="str">
        <f>'I. Stream &amp; Compound Data'!P267</f>
        <v/>
      </c>
      <c r="J1137" s="1295" t="str">
        <f>IF(I147="","",IF('I. Stream &amp; Compound Data'!BX267="",0,'I. Stream &amp; Compound Data'!BX267))</f>
        <v/>
      </c>
      <c r="K1137" s="1295" t="str">
        <f t="shared" si="58"/>
        <v/>
      </c>
      <c r="L1137" s="1317" t="str">
        <f>IF(K1137="","",IF('I. Stream &amp; Compound Data'!E37="H2O",0,(IF(J1137=0,1,J1137))*I1137))</f>
        <v/>
      </c>
      <c r="M1137" s="296"/>
      <c r="N1137" s="280"/>
      <c r="O1137" s="280"/>
      <c r="P1137" s="279"/>
      <c r="Q1137" s="297"/>
      <c r="R1137" s="298"/>
      <c r="S1137" s="298"/>
      <c r="T1137" s="299"/>
      <c r="U1137" s="279"/>
      <c r="V1137" s="279"/>
      <c r="W1137" s="279"/>
      <c r="X1137" s="279"/>
      <c r="Y1137" s="279"/>
      <c r="Z1137" s="279"/>
      <c r="AA1137" s="279"/>
      <c r="AB1137" s="279"/>
      <c r="AC1137" s="279"/>
      <c r="AD1137" s="279"/>
      <c r="AE1137" s="279"/>
      <c r="AF1137" s="279"/>
      <c r="AG1137" s="279"/>
      <c r="AH1137" s="279"/>
      <c r="AI1137" s="279"/>
      <c r="AJ1137" s="279"/>
      <c r="AK1137" s="279"/>
      <c r="AL1137" s="279"/>
      <c r="AM1137" s="279"/>
      <c r="AN1137" s="279"/>
      <c r="AO1137" s="279"/>
      <c r="AP1137" s="279"/>
      <c r="AQ1137" s="279"/>
      <c r="AR1137" s="279"/>
      <c r="AS1137" s="279"/>
      <c r="AT1137" s="279"/>
      <c r="AU1137" s="279"/>
      <c r="AV1137" s="279"/>
      <c r="AW1137" s="279"/>
      <c r="AX1137" s="279"/>
      <c r="AY1137" s="279"/>
      <c r="AZ1137" s="279"/>
      <c r="BA1137" s="279"/>
      <c r="BB1137" s="279"/>
      <c r="BC1137" s="279"/>
      <c r="BD1137" s="279"/>
      <c r="BE1137" s="279"/>
      <c r="BF1137" s="279"/>
      <c r="BG1137" s="279"/>
      <c r="BH1137" s="279"/>
      <c r="BI1137" s="279"/>
      <c r="BJ1137" s="279"/>
      <c r="BK1137" s="279"/>
      <c r="BL1137" s="279"/>
      <c r="BM1137" s="279"/>
      <c r="BN1137" s="279"/>
      <c r="BO1137" s="279"/>
      <c r="BP1137" s="279"/>
      <c r="BQ1137" s="279"/>
      <c r="BR1137" s="279"/>
      <c r="BS1137" s="279"/>
      <c r="BT1137" s="279"/>
      <c r="BU1137" s="279"/>
      <c r="BV1137" s="279"/>
      <c r="BW1137" s="279"/>
      <c r="BX1137" s="279"/>
      <c r="BY1137" s="279"/>
      <c r="BZ1137" s="279"/>
      <c r="CA1137" s="279"/>
      <c r="CB1137" s="279"/>
      <c r="CC1137" s="279"/>
      <c r="CD1137" s="279"/>
      <c r="CE1137" s="279"/>
      <c r="CF1137" s="279"/>
      <c r="CG1137" s="279"/>
      <c r="CH1137" s="279"/>
      <c r="CI1137" s="279"/>
      <c r="CJ1137" s="279"/>
      <c r="CK1137" s="279"/>
      <c r="CL1137" s="279"/>
      <c r="CM1137" s="279"/>
      <c r="CN1137" s="382"/>
    </row>
    <row r="1138" x14ac:dyDescent="0.3">
      <c r="B1138" s="361"/>
      <c r="C1138" s="279"/>
      <c r="D1138" s="280"/>
      <c r="E1138" s="287"/>
      <c r="F1138" s="287"/>
      <c r="G1138" s="287"/>
      <c r="H1138" s="1292">
        <f t="shared" si="57"/>
        <v>7</v>
      </c>
      <c r="I1138" s="1190" t="str">
        <f>'I. Stream &amp; Compound Data'!P268</f>
        <v/>
      </c>
      <c r="J1138" s="1295" t="str">
        <f>IF(I148="","",IF('I. Stream &amp; Compound Data'!BX268="",0,'I. Stream &amp; Compound Data'!BX268))</f>
        <v/>
      </c>
      <c r="K1138" s="1295" t="str">
        <f t="shared" si="58"/>
        <v/>
      </c>
      <c r="L1138" s="1317" t="str">
        <f>IF(K1138="","",IF('I. Stream &amp; Compound Data'!E38="H2O",0,(IF(J1138=0,1,J1138))*I1138))</f>
        <v/>
      </c>
      <c r="M1138" s="296"/>
      <c r="N1138" s="280"/>
      <c r="O1138" s="280"/>
      <c r="P1138" s="279"/>
      <c r="Q1138" s="297"/>
      <c r="R1138" s="298"/>
      <c r="S1138" s="298"/>
      <c r="T1138" s="299"/>
      <c r="U1138" s="279"/>
      <c r="V1138" s="279"/>
      <c r="W1138" s="279"/>
      <c r="X1138" s="279"/>
      <c r="Y1138" s="279"/>
      <c r="Z1138" s="279"/>
      <c r="AA1138" s="279"/>
      <c r="AB1138" s="279"/>
      <c r="AC1138" s="279"/>
      <c r="AD1138" s="279"/>
      <c r="AE1138" s="279"/>
      <c r="AF1138" s="279"/>
      <c r="AG1138" s="279"/>
      <c r="AH1138" s="279"/>
      <c r="AI1138" s="279"/>
      <c r="AJ1138" s="279"/>
      <c r="AK1138" s="279"/>
      <c r="AL1138" s="279"/>
      <c r="AM1138" s="279"/>
      <c r="AN1138" s="279"/>
      <c r="AO1138" s="279"/>
      <c r="AP1138" s="279"/>
      <c r="AQ1138" s="279"/>
      <c r="AR1138" s="279"/>
      <c r="AS1138" s="279"/>
      <c r="AT1138" s="279"/>
      <c r="AU1138" s="279"/>
      <c r="AV1138" s="279"/>
      <c r="AW1138" s="279"/>
      <c r="AX1138" s="279"/>
      <c r="AY1138" s="279"/>
      <c r="AZ1138" s="279"/>
      <c r="BA1138" s="279"/>
      <c r="BB1138" s="279"/>
      <c r="BC1138" s="279"/>
      <c r="BD1138" s="279"/>
      <c r="BE1138" s="279"/>
      <c r="BF1138" s="279"/>
      <c r="BG1138" s="279"/>
      <c r="BH1138" s="279"/>
      <c r="BI1138" s="279"/>
      <c r="BJ1138" s="279"/>
      <c r="BK1138" s="279"/>
      <c r="BL1138" s="279"/>
      <c r="BM1138" s="279"/>
      <c r="BN1138" s="279"/>
      <c r="BO1138" s="279"/>
      <c r="BP1138" s="279"/>
      <c r="BQ1138" s="279"/>
      <c r="BR1138" s="279"/>
      <c r="BS1138" s="279"/>
      <c r="BT1138" s="279"/>
      <c r="BU1138" s="279"/>
      <c r="BV1138" s="279"/>
      <c r="BW1138" s="279"/>
      <c r="BX1138" s="279"/>
      <c r="BY1138" s="279"/>
      <c r="BZ1138" s="279"/>
      <c r="CA1138" s="279"/>
      <c r="CB1138" s="279"/>
      <c r="CC1138" s="279"/>
      <c r="CD1138" s="279"/>
      <c r="CE1138" s="279"/>
      <c r="CF1138" s="279"/>
      <c r="CG1138" s="279"/>
      <c r="CH1138" s="279"/>
      <c r="CI1138" s="279"/>
      <c r="CJ1138" s="279"/>
      <c r="CK1138" s="279"/>
      <c r="CL1138" s="279"/>
      <c r="CM1138" s="279"/>
      <c r="CN1138" s="382"/>
    </row>
    <row r="1139" x14ac:dyDescent="0.3">
      <c r="B1139" s="361"/>
      <c r="C1139" s="279"/>
      <c r="D1139" s="280"/>
      <c r="E1139" s="287"/>
      <c r="F1139" s="287"/>
      <c r="G1139" s="287"/>
      <c r="H1139" s="1292">
        <f t="shared" si="57"/>
        <v>8</v>
      </c>
      <c r="I1139" s="1190" t="str">
        <f>'I. Stream &amp; Compound Data'!P269</f>
        <v/>
      </c>
      <c r="J1139" s="1295" t="str">
        <f>IF(I149="","",IF('I. Stream &amp; Compound Data'!BX269="",0,'I. Stream &amp; Compound Data'!BX269))</f>
        <v/>
      </c>
      <c r="K1139" s="1295" t="str">
        <f t="shared" si="58"/>
        <v/>
      </c>
      <c r="L1139" s="1317" t="str">
        <f>IF(K1139="","",IF('I. Stream &amp; Compound Data'!E39="H2O",0,(IF(J1139=0,1,J1139))*I1139))</f>
        <v/>
      </c>
      <c r="M1139" s="296"/>
      <c r="N1139" s="280"/>
      <c r="O1139" s="280"/>
      <c r="P1139" s="279"/>
      <c r="Q1139" s="297"/>
      <c r="R1139" s="298"/>
      <c r="S1139" s="298"/>
      <c r="T1139" s="299"/>
      <c r="U1139" s="279"/>
      <c r="V1139" s="279"/>
      <c r="W1139" s="279"/>
      <c r="X1139" s="279"/>
      <c r="Y1139" s="279"/>
      <c r="Z1139" s="279"/>
      <c r="AA1139" s="279"/>
      <c r="AB1139" s="279"/>
      <c r="AC1139" s="279"/>
      <c r="AD1139" s="279"/>
      <c r="AE1139" s="279"/>
      <c r="AF1139" s="279"/>
      <c r="AG1139" s="279"/>
      <c r="AH1139" s="279"/>
      <c r="AI1139" s="279"/>
      <c r="AJ1139" s="279"/>
      <c r="AK1139" s="279"/>
      <c r="AL1139" s="279"/>
      <c r="AM1139" s="279"/>
      <c r="AN1139" s="279"/>
      <c r="AO1139" s="279"/>
      <c r="AP1139" s="279"/>
      <c r="AQ1139" s="279"/>
      <c r="AR1139" s="279"/>
      <c r="AS1139" s="279"/>
      <c r="AT1139" s="279"/>
      <c r="AU1139" s="279"/>
      <c r="AV1139" s="279"/>
      <c r="AW1139" s="279"/>
      <c r="AX1139" s="279"/>
      <c r="AY1139" s="279"/>
      <c r="AZ1139" s="279"/>
      <c r="BA1139" s="279"/>
      <c r="BB1139" s="279"/>
      <c r="BC1139" s="279"/>
      <c r="BD1139" s="279"/>
      <c r="BE1139" s="279"/>
      <c r="BF1139" s="279"/>
      <c r="BG1139" s="279"/>
      <c r="BH1139" s="279"/>
      <c r="BI1139" s="279"/>
      <c r="BJ1139" s="279"/>
      <c r="BK1139" s="279"/>
      <c r="BL1139" s="279"/>
      <c r="BM1139" s="279"/>
      <c r="BN1139" s="279"/>
      <c r="BO1139" s="279"/>
      <c r="BP1139" s="279"/>
      <c r="BQ1139" s="279"/>
      <c r="BR1139" s="279"/>
      <c r="BS1139" s="279"/>
      <c r="BT1139" s="279"/>
      <c r="BU1139" s="279"/>
      <c r="BV1139" s="279"/>
      <c r="BW1139" s="279"/>
      <c r="BX1139" s="279"/>
      <c r="BY1139" s="279"/>
      <c r="BZ1139" s="279"/>
      <c r="CA1139" s="279"/>
      <c r="CB1139" s="279"/>
      <c r="CC1139" s="279"/>
      <c r="CD1139" s="279"/>
      <c r="CE1139" s="279"/>
      <c r="CF1139" s="279"/>
      <c r="CG1139" s="279"/>
      <c r="CH1139" s="279"/>
      <c r="CI1139" s="279"/>
      <c r="CJ1139" s="279"/>
      <c r="CK1139" s="279"/>
      <c r="CL1139" s="279"/>
      <c r="CM1139" s="279"/>
      <c r="CN1139" s="382"/>
    </row>
    <row r="1140" x14ac:dyDescent="0.3">
      <c r="B1140" s="361"/>
      <c r="C1140" s="279"/>
      <c r="D1140" s="280"/>
      <c r="E1140" s="287"/>
      <c r="F1140" s="287"/>
      <c r="G1140" s="287"/>
      <c r="H1140" s="1292">
        <f t="shared" si="57"/>
        <v>9</v>
      </c>
      <c r="I1140" s="1190" t="str">
        <f>'I. Stream &amp; Compound Data'!P270</f>
        <v/>
      </c>
      <c r="J1140" s="1295" t="str">
        <f>IF(I150="","",IF('I. Stream &amp; Compound Data'!BX270="",0,'I. Stream &amp; Compound Data'!BX270))</f>
        <v/>
      </c>
      <c r="K1140" s="1295" t="str">
        <f t="shared" si="58"/>
        <v/>
      </c>
      <c r="L1140" s="1317" t="str">
        <f>IF(K1140="","",IF('I. Stream &amp; Compound Data'!E40="H2O",0,(IF(J1140=0,1,J1140))*I1140))</f>
        <v/>
      </c>
      <c r="M1140" s="296"/>
      <c r="N1140" s="280"/>
      <c r="O1140" s="280"/>
      <c r="P1140" s="279"/>
      <c r="Q1140" s="297"/>
      <c r="R1140" s="298"/>
      <c r="S1140" s="298"/>
      <c r="T1140" s="299"/>
      <c r="U1140" s="279"/>
      <c r="V1140" s="279"/>
      <c r="W1140" s="279"/>
      <c r="X1140" s="279"/>
      <c r="Y1140" s="279"/>
      <c r="Z1140" s="279"/>
      <c r="AA1140" s="279"/>
      <c r="AB1140" s="279"/>
      <c r="AC1140" s="279"/>
      <c r="AD1140" s="279"/>
      <c r="AE1140" s="279"/>
      <c r="AF1140" s="279"/>
      <c r="AG1140" s="279"/>
      <c r="AH1140" s="279"/>
      <c r="AI1140" s="279"/>
      <c r="AJ1140" s="279"/>
      <c r="AK1140" s="279"/>
      <c r="AL1140" s="279"/>
      <c r="AM1140" s="279"/>
      <c r="AN1140" s="279"/>
      <c r="AO1140" s="279"/>
      <c r="AP1140" s="279"/>
      <c r="AQ1140" s="279"/>
      <c r="AR1140" s="279"/>
      <c r="AS1140" s="279"/>
      <c r="AT1140" s="279"/>
      <c r="AU1140" s="279"/>
      <c r="AV1140" s="279"/>
      <c r="AW1140" s="279"/>
      <c r="AX1140" s="279"/>
      <c r="AY1140" s="279"/>
      <c r="AZ1140" s="279"/>
      <c r="BA1140" s="279"/>
      <c r="BB1140" s="279"/>
      <c r="BC1140" s="279"/>
      <c r="BD1140" s="279"/>
      <c r="BE1140" s="279"/>
      <c r="BF1140" s="279"/>
      <c r="BG1140" s="279"/>
      <c r="BH1140" s="279"/>
      <c r="BI1140" s="279"/>
      <c r="BJ1140" s="279"/>
      <c r="BK1140" s="279"/>
      <c r="BL1140" s="279"/>
      <c r="BM1140" s="279"/>
      <c r="BN1140" s="279"/>
      <c r="BO1140" s="279"/>
      <c r="BP1140" s="279"/>
      <c r="BQ1140" s="279"/>
      <c r="BR1140" s="279"/>
      <c r="BS1140" s="279"/>
      <c r="BT1140" s="279"/>
      <c r="BU1140" s="279"/>
      <c r="BV1140" s="279"/>
      <c r="BW1140" s="279"/>
      <c r="BX1140" s="279"/>
      <c r="BY1140" s="279"/>
      <c r="BZ1140" s="279"/>
      <c r="CA1140" s="279"/>
      <c r="CB1140" s="279"/>
      <c r="CC1140" s="279"/>
      <c r="CD1140" s="279"/>
      <c r="CE1140" s="279"/>
      <c r="CF1140" s="279"/>
      <c r="CG1140" s="279"/>
      <c r="CH1140" s="279"/>
      <c r="CI1140" s="279"/>
      <c r="CJ1140" s="279"/>
      <c r="CK1140" s="279"/>
      <c r="CL1140" s="279"/>
      <c r="CM1140" s="279"/>
      <c r="CN1140" s="382"/>
    </row>
    <row r="1141" x14ac:dyDescent="0.3">
      <c r="B1141" s="361"/>
      <c r="C1141" s="279"/>
      <c r="D1141" s="280"/>
      <c r="E1141" s="287"/>
      <c r="F1141" s="287"/>
      <c r="G1141" s="287"/>
      <c r="H1141" s="1292">
        <f t="shared" si="57"/>
        <v>10</v>
      </c>
      <c r="I1141" s="1190" t="str">
        <f>'I. Stream &amp; Compound Data'!P271</f>
        <v/>
      </c>
      <c r="J1141" s="1295" t="str">
        <f>IF(I151="","",IF('I. Stream &amp; Compound Data'!BX271="",0,'I. Stream &amp; Compound Data'!BX271))</f>
        <v/>
      </c>
      <c r="K1141" s="1295" t="str">
        <f t="shared" si="58"/>
        <v/>
      </c>
      <c r="L1141" s="1317" t="str">
        <f>IF(K1141="","",IF('I. Stream &amp; Compound Data'!E41="H2O",0,(IF(J1141=0,1,J1141))*I1141))</f>
        <v/>
      </c>
      <c r="M1141" s="296"/>
      <c r="N1141" s="280"/>
      <c r="O1141" s="280"/>
      <c r="P1141" s="279"/>
      <c r="Q1141" s="297"/>
      <c r="R1141" s="298"/>
      <c r="S1141" s="298"/>
      <c r="T1141" s="299"/>
      <c r="U1141" s="279"/>
      <c r="V1141" s="279"/>
      <c r="W1141" s="279"/>
      <c r="X1141" s="279"/>
      <c r="Y1141" s="279"/>
      <c r="Z1141" s="279"/>
      <c r="AA1141" s="279"/>
      <c r="AB1141" s="279"/>
      <c r="AC1141" s="279"/>
      <c r="AD1141" s="279"/>
      <c r="AE1141" s="279"/>
      <c r="AF1141" s="279"/>
      <c r="AG1141" s="279"/>
      <c r="AH1141" s="279"/>
      <c r="AI1141" s="279"/>
      <c r="AJ1141" s="279"/>
      <c r="AK1141" s="279"/>
      <c r="AL1141" s="279"/>
      <c r="AM1141" s="279"/>
      <c r="AN1141" s="279"/>
      <c r="AO1141" s="279"/>
      <c r="AP1141" s="279"/>
      <c r="AQ1141" s="279"/>
      <c r="AR1141" s="279"/>
      <c r="AS1141" s="279"/>
      <c r="AT1141" s="279"/>
      <c r="AU1141" s="279"/>
      <c r="AV1141" s="279"/>
      <c r="AW1141" s="279"/>
      <c r="AX1141" s="279"/>
      <c r="AY1141" s="279"/>
      <c r="AZ1141" s="279"/>
      <c r="BA1141" s="279"/>
      <c r="BB1141" s="279"/>
      <c r="BC1141" s="279"/>
      <c r="BD1141" s="279"/>
      <c r="BE1141" s="279"/>
      <c r="BF1141" s="279"/>
      <c r="BG1141" s="279"/>
      <c r="BH1141" s="279"/>
      <c r="BI1141" s="279"/>
      <c r="BJ1141" s="279"/>
      <c r="BK1141" s="279"/>
      <c r="BL1141" s="279"/>
      <c r="BM1141" s="279"/>
      <c r="BN1141" s="279"/>
      <c r="BO1141" s="279"/>
      <c r="BP1141" s="279"/>
      <c r="BQ1141" s="279"/>
      <c r="BR1141" s="279"/>
      <c r="BS1141" s="279"/>
      <c r="BT1141" s="279"/>
      <c r="BU1141" s="279"/>
      <c r="BV1141" s="279"/>
      <c r="BW1141" s="279"/>
      <c r="BX1141" s="279"/>
      <c r="BY1141" s="279"/>
      <c r="BZ1141" s="279"/>
      <c r="CA1141" s="279"/>
      <c r="CB1141" s="279"/>
      <c r="CC1141" s="279"/>
      <c r="CD1141" s="279"/>
      <c r="CE1141" s="279"/>
      <c r="CF1141" s="279"/>
      <c r="CG1141" s="279"/>
      <c r="CH1141" s="279"/>
      <c r="CI1141" s="279"/>
      <c r="CJ1141" s="279"/>
      <c r="CK1141" s="279"/>
      <c r="CL1141" s="279"/>
      <c r="CM1141" s="279"/>
      <c r="CN1141" s="382"/>
    </row>
    <row r="1142" x14ac:dyDescent="0.3">
      <c r="B1142" s="361"/>
      <c r="C1142" s="279"/>
      <c r="D1142" s="280"/>
      <c r="E1142" s="287"/>
      <c r="F1142" s="287"/>
      <c r="G1142" s="287"/>
      <c r="H1142" s="1292">
        <f t="shared" si="57"/>
        <v>11</v>
      </c>
      <c r="I1142" s="1190" t="str">
        <f>'I. Stream &amp; Compound Data'!P272</f>
        <v/>
      </c>
      <c r="J1142" s="1295" t="str">
        <f>IF(I152="","",IF('I. Stream &amp; Compound Data'!BX272="",0,'I. Stream &amp; Compound Data'!BX272))</f>
        <v/>
      </c>
      <c r="K1142" s="1295" t="str">
        <f t="shared" si="58"/>
        <v/>
      </c>
      <c r="L1142" s="1317" t="str">
        <f>IF(K1142="","",IF('I. Stream &amp; Compound Data'!E42="H2O",0,(IF(J1142=0,1,J1142))*I1142))</f>
        <v/>
      </c>
      <c r="M1142" s="296"/>
      <c r="N1142" s="280"/>
      <c r="O1142" s="280"/>
      <c r="P1142" s="279"/>
      <c r="Q1142" s="297"/>
      <c r="R1142" s="298"/>
      <c r="S1142" s="298"/>
      <c r="T1142" s="299"/>
      <c r="U1142" s="279"/>
      <c r="V1142" s="279"/>
      <c r="W1142" s="279"/>
      <c r="X1142" s="279"/>
      <c r="Y1142" s="279"/>
      <c r="Z1142" s="279"/>
      <c r="AA1142" s="279"/>
      <c r="AB1142" s="279"/>
      <c r="AC1142" s="279"/>
      <c r="AD1142" s="279"/>
      <c r="AE1142" s="279"/>
      <c r="AF1142" s="279"/>
      <c r="AG1142" s="279"/>
      <c r="AH1142" s="279"/>
      <c r="AI1142" s="279"/>
      <c r="AJ1142" s="279"/>
      <c r="AK1142" s="279"/>
      <c r="AL1142" s="279"/>
      <c r="AM1142" s="279"/>
      <c r="AN1142" s="279"/>
      <c r="AO1142" s="279"/>
      <c r="AP1142" s="279"/>
      <c r="AQ1142" s="279"/>
      <c r="AR1142" s="279"/>
      <c r="AS1142" s="279"/>
      <c r="AT1142" s="279"/>
      <c r="AU1142" s="279"/>
      <c r="AV1142" s="279"/>
      <c r="AW1142" s="279"/>
      <c r="AX1142" s="279"/>
      <c r="AY1142" s="279"/>
      <c r="AZ1142" s="279"/>
      <c r="BA1142" s="279"/>
      <c r="BB1142" s="279"/>
      <c r="BC1142" s="279"/>
      <c r="BD1142" s="279"/>
      <c r="BE1142" s="279"/>
      <c r="BF1142" s="279"/>
      <c r="BG1142" s="279"/>
      <c r="BH1142" s="279"/>
      <c r="BI1142" s="279"/>
      <c r="BJ1142" s="279"/>
      <c r="BK1142" s="279"/>
      <c r="BL1142" s="279"/>
      <c r="BM1142" s="279"/>
      <c r="BN1142" s="279"/>
      <c r="BO1142" s="279"/>
      <c r="BP1142" s="279"/>
      <c r="BQ1142" s="279"/>
      <c r="BR1142" s="279"/>
      <c r="BS1142" s="279"/>
      <c r="BT1142" s="279"/>
      <c r="BU1142" s="279"/>
      <c r="BV1142" s="279"/>
      <c r="BW1142" s="279"/>
      <c r="BX1142" s="279"/>
      <c r="BY1142" s="279"/>
      <c r="BZ1142" s="279"/>
      <c r="CA1142" s="279"/>
      <c r="CB1142" s="279"/>
      <c r="CC1142" s="279"/>
      <c r="CD1142" s="279"/>
      <c r="CE1142" s="279"/>
      <c r="CF1142" s="279"/>
      <c r="CG1142" s="279"/>
      <c r="CH1142" s="279"/>
      <c r="CI1142" s="279"/>
      <c r="CJ1142" s="279"/>
      <c r="CK1142" s="279"/>
      <c r="CL1142" s="279"/>
      <c r="CM1142" s="279"/>
      <c r="CN1142" s="382"/>
    </row>
    <row r="1143" x14ac:dyDescent="0.3">
      <c r="B1143" s="361"/>
      <c r="C1143" s="279"/>
      <c r="D1143" s="280"/>
      <c r="E1143" s="287"/>
      <c r="F1143" s="287"/>
      <c r="G1143" s="287"/>
      <c r="H1143" s="1292">
        <f t="shared" si="57"/>
        <v>12</v>
      </c>
      <c r="I1143" s="1190" t="str">
        <f>'I. Stream &amp; Compound Data'!P273</f>
        <v/>
      </c>
      <c r="J1143" s="1295" t="str">
        <f>IF(I153="","",IF('I. Stream &amp; Compound Data'!BX273="",0,'I. Stream &amp; Compound Data'!BX273))</f>
        <v/>
      </c>
      <c r="K1143" s="1295" t="str">
        <f t="shared" si="58"/>
        <v/>
      </c>
      <c r="L1143" s="1317" t="str">
        <f>IF(K1143="","",IF('I. Stream &amp; Compound Data'!E43="H2O",0,(IF(J1143=0,1,J1143))*I1143))</f>
        <v/>
      </c>
      <c r="M1143" s="296"/>
      <c r="N1143" s="280"/>
      <c r="O1143" s="280"/>
      <c r="P1143" s="279"/>
      <c r="Q1143" s="297"/>
      <c r="R1143" s="298"/>
      <c r="S1143" s="298"/>
      <c r="T1143" s="299"/>
      <c r="U1143" s="279"/>
      <c r="V1143" s="279"/>
      <c r="W1143" s="279"/>
      <c r="X1143" s="279"/>
      <c r="Y1143" s="279"/>
      <c r="Z1143" s="279"/>
      <c r="AA1143" s="279"/>
      <c r="AB1143" s="279"/>
      <c r="AC1143" s="279"/>
      <c r="AD1143" s="279"/>
      <c r="AE1143" s="279"/>
      <c r="AF1143" s="279"/>
      <c r="AG1143" s="279"/>
      <c r="AH1143" s="279"/>
      <c r="AI1143" s="279"/>
      <c r="AJ1143" s="279"/>
      <c r="AK1143" s="279"/>
      <c r="AL1143" s="279"/>
      <c r="AM1143" s="279"/>
      <c r="AN1143" s="279"/>
      <c r="AO1143" s="279"/>
      <c r="AP1143" s="279"/>
      <c r="AQ1143" s="279"/>
      <c r="AR1143" s="279"/>
      <c r="AS1143" s="279"/>
      <c r="AT1143" s="279"/>
      <c r="AU1143" s="279"/>
      <c r="AV1143" s="279"/>
      <c r="AW1143" s="279"/>
      <c r="AX1143" s="279"/>
      <c r="AY1143" s="279"/>
      <c r="AZ1143" s="279"/>
      <c r="BA1143" s="279"/>
      <c r="BB1143" s="279"/>
      <c r="BC1143" s="279"/>
      <c r="BD1143" s="279"/>
      <c r="BE1143" s="279"/>
      <c r="BF1143" s="279"/>
      <c r="BG1143" s="279"/>
      <c r="BH1143" s="279"/>
      <c r="BI1143" s="279"/>
      <c r="BJ1143" s="279"/>
      <c r="BK1143" s="279"/>
      <c r="BL1143" s="279"/>
      <c r="BM1143" s="279"/>
      <c r="BN1143" s="279"/>
      <c r="BO1143" s="279"/>
      <c r="BP1143" s="279"/>
      <c r="BQ1143" s="279"/>
      <c r="BR1143" s="279"/>
      <c r="BS1143" s="279"/>
      <c r="BT1143" s="279"/>
      <c r="BU1143" s="279"/>
      <c r="BV1143" s="279"/>
      <c r="BW1143" s="279"/>
      <c r="BX1143" s="279"/>
      <c r="BY1143" s="279"/>
      <c r="BZ1143" s="279"/>
      <c r="CA1143" s="279"/>
      <c r="CB1143" s="279"/>
      <c r="CC1143" s="279"/>
      <c r="CD1143" s="279"/>
      <c r="CE1143" s="279"/>
      <c r="CF1143" s="279"/>
      <c r="CG1143" s="279"/>
      <c r="CH1143" s="279"/>
      <c r="CI1143" s="279"/>
      <c r="CJ1143" s="279"/>
      <c r="CK1143" s="279"/>
      <c r="CL1143" s="279"/>
      <c r="CM1143" s="279"/>
      <c r="CN1143" s="382"/>
    </row>
    <row r="1144" x14ac:dyDescent="0.3">
      <c r="B1144" s="361"/>
      <c r="C1144" s="279"/>
      <c r="D1144" s="280"/>
      <c r="E1144" s="287"/>
      <c r="F1144" s="287"/>
      <c r="G1144" s="287"/>
      <c r="H1144" s="1292">
        <f t="shared" si="57"/>
        <v>13</v>
      </c>
      <c r="I1144" s="1190" t="str">
        <f>'I. Stream &amp; Compound Data'!P274</f>
        <v/>
      </c>
      <c r="J1144" s="1295" t="str">
        <f>IF(I154="","",IF('I. Stream &amp; Compound Data'!BX274="",0,'I. Stream &amp; Compound Data'!BX274))</f>
        <v/>
      </c>
      <c r="K1144" s="1295" t="str">
        <f t="shared" si="58"/>
        <v/>
      </c>
      <c r="L1144" s="1317" t="str">
        <f>IF(K1144="","",IF('I. Stream &amp; Compound Data'!E44="H2O",0,(IF(J1144=0,1,J1144))*I1144))</f>
        <v/>
      </c>
      <c r="M1144" s="296"/>
      <c r="N1144" s="280"/>
      <c r="O1144" s="280"/>
      <c r="P1144" s="279"/>
      <c r="Q1144" s="297"/>
      <c r="R1144" s="298"/>
      <c r="S1144" s="298"/>
      <c r="T1144" s="299"/>
      <c r="U1144" s="279"/>
      <c r="V1144" s="279"/>
      <c r="W1144" s="279"/>
      <c r="X1144" s="279"/>
      <c r="Y1144" s="279"/>
      <c r="Z1144" s="279"/>
      <c r="AA1144" s="279"/>
      <c r="AB1144" s="279"/>
      <c r="AC1144" s="279"/>
      <c r="AD1144" s="279"/>
      <c r="AE1144" s="279"/>
      <c r="AF1144" s="279"/>
      <c r="AG1144" s="279"/>
      <c r="AH1144" s="279"/>
      <c r="AI1144" s="279"/>
      <c r="AJ1144" s="279"/>
      <c r="AK1144" s="279"/>
      <c r="AL1144" s="279"/>
      <c r="AM1144" s="279"/>
      <c r="AN1144" s="279"/>
      <c r="AO1144" s="279"/>
      <c r="AP1144" s="279"/>
      <c r="AQ1144" s="279"/>
      <c r="AR1144" s="279"/>
      <c r="AS1144" s="279"/>
      <c r="AT1144" s="279"/>
      <c r="AU1144" s="279"/>
      <c r="AV1144" s="279"/>
      <c r="AW1144" s="279"/>
      <c r="AX1144" s="279"/>
      <c r="AY1144" s="279"/>
      <c r="AZ1144" s="279"/>
      <c r="BA1144" s="279"/>
      <c r="BB1144" s="279"/>
      <c r="BC1144" s="279"/>
      <c r="BD1144" s="279"/>
      <c r="BE1144" s="279"/>
      <c r="BF1144" s="279"/>
      <c r="BG1144" s="279"/>
      <c r="BH1144" s="279"/>
      <c r="BI1144" s="279"/>
      <c r="BJ1144" s="279"/>
      <c r="BK1144" s="279"/>
      <c r="BL1144" s="279"/>
      <c r="BM1144" s="279"/>
      <c r="BN1144" s="279"/>
      <c r="BO1144" s="279"/>
      <c r="BP1144" s="279"/>
      <c r="BQ1144" s="279"/>
      <c r="BR1144" s="279"/>
      <c r="BS1144" s="279"/>
      <c r="BT1144" s="279"/>
      <c r="BU1144" s="279"/>
      <c r="BV1144" s="279"/>
      <c r="BW1144" s="279"/>
      <c r="BX1144" s="279"/>
      <c r="BY1144" s="279"/>
      <c r="BZ1144" s="279"/>
      <c r="CA1144" s="279"/>
      <c r="CB1144" s="279"/>
      <c r="CC1144" s="279"/>
      <c r="CD1144" s="279"/>
      <c r="CE1144" s="279"/>
      <c r="CF1144" s="279"/>
      <c r="CG1144" s="279"/>
      <c r="CH1144" s="279"/>
      <c r="CI1144" s="279"/>
      <c r="CJ1144" s="279"/>
      <c r="CK1144" s="279"/>
      <c r="CL1144" s="279"/>
      <c r="CM1144" s="279"/>
      <c r="CN1144" s="382"/>
    </row>
    <row r="1145" x14ac:dyDescent="0.3">
      <c r="B1145" s="361"/>
      <c r="C1145" s="279"/>
      <c r="D1145" s="280"/>
      <c r="E1145" s="287"/>
      <c r="F1145" s="287"/>
      <c r="G1145" s="287"/>
      <c r="H1145" s="1292">
        <f t="shared" si="57"/>
        <v>14</v>
      </c>
      <c r="I1145" s="1190" t="str">
        <f>'I. Stream &amp; Compound Data'!P275</f>
        <v/>
      </c>
      <c r="J1145" s="1295" t="str">
        <f>IF(I155="","",IF('I. Stream &amp; Compound Data'!BX275="",0,'I. Stream &amp; Compound Data'!BX275))</f>
        <v/>
      </c>
      <c r="K1145" s="1295" t="str">
        <f t="shared" si="58"/>
        <v/>
      </c>
      <c r="L1145" s="1317" t="str">
        <f>IF(K1145="","",IF('I. Stream &amp; Compound Data'!E45="H2O",0,(IF(J1145=0,1,J1145))*I1145))</f>
        <v/>
      </c>
      <c r="M1145" s="296"/>
      <c r="N1145" s="280"/>
      <c r="O1145" s="280"/>
      <c r="P1145" s="279"/>
      <c r="Q1145" s="297"/>
      <c r="R1145" s="298"/>
      <c r="S1145" s="298"/>
      <c r="T1145" s="299"/>
      <c r="U1145" s="279"/>
      <c r="V1145" s="279"/>
      <c r="W1145" s="279"/>
      <c r="X1145" s="279"/>
      <c r="Y1145" s="279"/>
      <c r="Z1145" s="279"/>
      <c r="AA1145" s="279"/>
      <c r="AB1145" s="279"/>
      <c r="AC1145" s="279"/>
      <c r="AD1145" s="279"/>
      <c r="AE1145" s="279"/>
      <c r="AF1145" s="279"/>
      <c r="AG1145" s="279"/>
      <c r="AH1145" s="279"/>
      <c r="AI1145" s="279"/>
      <c r="AJ1145" s="279"/>
      <c r="AK1145" s="279"/>
      <c r="AL1145" s="279"/>
      <c r="AM1145" s="279"/>
      <c r="AN1145" s="279"/>
      <c r="AO1145" s="279"/>
      <c r="AP1145" s="279"/>
      <c r="AQ1145" s="279"/>
      <c r="AR1145" s="279"/>
      <c r="AS1145" s="279"/>
      <c r="AT1145" s="279"/>
      <c r="AU1145" s="279"/>
      <c r="AV1145" s="279"/>
      <c r="AW1145" s="279"/>
      <c r="AX1145" s="279"/>
      <c r="AY1145" s="279"/>
      <c r="AZ1145" s="279"/>
      <c r="BA1145" s="279"/>
      <c r="BB1145" s="279"/>
      <c r="BC1145" s="279"/>
      <c r="BD1145" s="279"/>
      <c r="BE1145" s="279"/>
      <c r="BF1145" s="279"/>
      <c r="BG1145" s="279"/>
      <c r="BH1145" s="279"/>
      <c r="BI1145" s="279"/>
      <c r="BJ1145" s="279"/>
      <c r="BK1145" s="279"/>
      <c r="BL1145" s="279"/>
      <c r="BM1145" s="279"/>
      <c r="BN1145" s="279"/>
      <c r="BO1145" s="279"/>
      <c r="BP1145" s="279"/>
      <c r="BQ1145" s="279"/>
      <c r="BR1145" s="279"/>
      <c r="BS1145" s="279"/>
      <c r="BT1145" s="279"/>
      <c r="BU1145" s="279"/>
      <c r="BV1145" s="279"/>
      <c r="BW1145" s="279"/>
      <c r="BX1145" s="279"/>
      <c r="BY1145" s="279"/>
      <c r="BZ1145" s="279"/>
      <c r="CA1145" s="279"/>
      <c r="CB1145" s="279"/>
      <c r="CC1145" s="279"/>
      <c r="CD1145" s="279"/>
      <c r="CE1145" s="279"/>
      <c r="CF1145" s="279"/>
      <c r="CG1145" s="279"/>
      <c r="CH1145" s="279"/>
      <c r="CI1145" s="279"/>
      <c r="CJ1145" s="279"/>
      <c r="CK1145" s="279"/>
      <c r="CL1145" s="279"/>
      <c r="CM1145" s="279"/>
      <c r="CN1145" s="382"/>
    </row>
    <row r="1146" x14ac:dyDescent="0.3">
      <c r="B1146" s="361"/>
      <c r="C1146" s="279"/>
      <c r="D1146" s="280"/>
      <c r="E1146" s="287"/>
      <c r="F1146" s="287"/>
      <c r="G1146" s="287"/>
      <c r="H1146" s="1292">
        <f t="shared" si="57"/>
        <v>15</v>
      </c>
      <c r="I1146" s="1190" t="str">
        <f>'I. Stream &amp; Compound Data'!P276</f>
        <v/>
      </c>
      <c r="J1146" s="1295" t="str">
        <f>IF(I156="","",IF('I. Stream &amp; Compound Data'!BX276="",0,'I. Stream &amp; Compound Data'!BX276))</f>
        <v/>
      </c>
      <c r="K1146" s="1295" t="str">
        <f t="shared" si="58"/>
        <v/>
      </c>
      <c r="L1146" s="1317" t="str">
        <f>IF(K1146="","",IF('I. Stream &amp; Compound Data'!E46="H2O",0,(IF(J1146=0,1,J1146))*I1146))</f>
        <v/>
      </c>
      <c r="M1146" s="296"/>
      <c r="N1146" s="280"/>
      <c r="O1146" s="280"/>
      <c r="P1146" s="279"/>
      <c r="Q1146" s="297"/>
      <c r="R1146" s="298"/>
      <c r="S1146" s="298"/>
      <c r="T1146" s="299"/>
      <c r="U1146" s="279"/>
      <c r="V1146" s="279"/>
      <c r="W1146" s="279"/>
      <c r="X1146" s="279"/>
      <c r="Y1146" s="279"/>
      <c r="Z1146" s="279"/>
      <c r="AA1146" s="279"/>
      <c r="AB1146" s="279"/>
      <c r="AC1146" s="279"/>
      <c r="AD1146" s="279"/>
      <c r="AE1146" s="279"/>
      <c r="AF1146" s="279"/>
      <c r="AG1146" s="279"/>
      <c r="AH1146" s="279"/>
      <c r="AI1146" s="279"/>
      <c r="AJ1146" s="279"/>
      <c r="AK1146" s="279"/>
      <c r="AL1146" s="279"/>
      <c r="AM1146" s="279"/>
      <c r="AN1146" s="279"/>
      <c r="AO1146" s="279"/>
      <c r="AP1146" s="279"/>
      <c r="AQ1146" s="279"/>
      <c r="AR1146" s="279"/>
      <c r="AS1146" s="279"/>
      <c r="AT1146" s="279"/>
      <c r="AU1146" s="279"/>
      <c r="AV1146" s="279"/>
      <c r="AW1146" s="279"/>
      <c r="AX1146" s="279"/>
      <c r="AY1146" s="279"/>
      <c r="AZ1146" s="279"/>
      <c r="BA1146" s="279"/>
      <c r="BB1146" s="279"/>
      <c r="BC1146" s="279"/>
      <c r="BD1146" s="279"/>
      <c r="BE1146" s="279"/>
      <c r="BF1146" s="279"/>
      <c r="BG1146" s="279"/>
      <c r="BH1146" s="279"/>
      <c r="BI1146" s="279"/>
      <c r="BJ1146" s="279"/>
      <c r="BK1146" s="279"/>
      <c r="BL1146" s="279"/>
      <c r="BM1146" s="279"/>
      <c r="BN1146" s="279"/>
      <c r="BO1146" s="279"/>
      <c r="BP1146" s="279"/>
      <c r="BQ1146" s="279"/>
      <c r="BR1146" s="279"/>
      <c r="BS1146" s="279"/>
      <c r="BT1146" s="279"/>
      <c r="BU1146" s="279"/>
      <c r="BV1146" s="279"/>
      <c r="BW1146" s="279"/>
      <c r="BX1146" s="279"/>
      <c r="BY1146" s="279"/>
      <c r="BZ1146" s="279"/>
      <c r="CA1146" s="279"/>
      <c r="CB1146" s="279"/>
      <c r="CC1146" s="279"/>
      <c r="CD1146" s="279"/>
      <c r="CE1146" s="279"/>
      <c r="CF1146" s="279"/>
      <c r="CG1146" s="279"/>
      <c r="CH1146" s="279"/>
      <c r="CI1146" s="279"/>
      <c r="CJ1146" s="279"/>
      <c r="CK1146" s="279"/>
      <c r="CL1146" s="279"/>
      <c r="CM1146" s="279"/>
      <c r="CN1146" s="382"/>
    </row>
    <row r="1147" x14ac:dyDescent="0.3">
      <c r="B1147" s="361"/>
      <c r="C1147" s="279"/>
      <c r="D1147" s="280"/>
      <c r="E1147" s="287"/>
      <c r="F1147" s="287"/>
      <c r="G1147" s="287"/>
      <c r="H1147" s="1292">
        <f t="shared" si="57"/>
        <v>16</v>
      </c>
      <c r="I1147" s="1190" t="str">
        <f>'I. Stream &amp; Compound Data'!P277</f>
        <v/>
      </c>
      <c r="J1147" s="1295" t="str">
        <f>IF(I157="","",IF('I. Stream &amp; Compound Data'!BX277="",0,'I. Stream &amp; Compound Data'!BX277))</f>
        <v/>
      </c>
      <c r="K1147" s="1295" t="str">
        <f t="shared" si="58"/>
        <v/>
      </c>
      <c r="L1147" s="1317" t="str">
        <f>IF(K1147="","",IF('I. Stream &amp; Compound Data'!E47="H2O",0,(IF(J1147=0,1,J1147))*I1147))</f>
        <v/>
      </c>
      <c r="M1147" s="296"/>
      <c r="N1147" s="280"/>
      <c r="O1147" s="280"/>
      <c r="P1147" s="279"/>
      <c r="Q1147" s="297"/>
      <c r="R1147" s="298"/>
      <c r="S1147" s="298"/>
      <c r="T1147" s="299"/>
      <c r="U1147" s="279"/>
      <c r="V1147" s="279"/>
      <c r="W1147" s="279"/>
      <c r="X1147" s="279"/>
      <c r="Y1147" s="279"/>
      <c r="Z1147" s="279"/>
      <c r="AA1147" s="279"/>
      <c r="AB1147" s="279"/>
      <c r="AC1147" s="279"/>
      <c r="AD1147" s="279"/>
      <c r="AE1147" s="279"/>
      <c r="AF1147" s="279"/>
      <c r="AG1147" s="279"/>
      <c r="AH1147" s="279"/>
      <c r="AI1147" s="279"/>
      <c r="AJ1147" s="279"/>
      <c r="AK1147" s="279"/>
      <c r="AL1147" s="279"/>
      <c r="AM1147" s="279"/>
      <c r="AN1147" s="279"/>
      <c r="AO1147" s="279"/>
      <c r="AP1147" s="279"/>
      <c r="AQ1147" s="279"/>
      <c r="AR1147" s="279"/>
      <c r="AS1147" s="279"/>
      <c r="AT1147" s="279"/>
      <c r="AU1147" s="279"/>
      <c r="AV1147" s="279"/>
      <c r="AW1147" s="279"/>
      <c r="AX1147" s="279"/>
      <c r="AY1147" s="279"/>
      <c r="AZ1147" s="279"/>
      <c r="BA1147" s="279"/>
      <c r="BB1147" s="279"/>
      <c r="BC1147" s="279"/>
      <c r="BD1147" s="279"/>
      <c r="BE1147" s="279"/>
      <c r="BF1147" s="279"/>
      <c r="BG1147" s="279"/>
      <c r="BH1147" s="279"/>
      <c r="BI1147" s="279"/>
      <c r="BJ1147" s="279"/>
      <c r="BK1147" s="279"/>
      <c r="BL1147" s="279"/>
      <c r="BM1147" s="279"/>
      <c r="BN1147" s="279"/>
      <c r="BO1147" s="279"/>
      <c r="BP1147" s="279"/>
      <c r="BQ1147" s="279"/>
      <c r="BR1147" s="279"/>
      <c r="BS1147" s="279"/>
      <c r="BT1147" s="279"/>
      <c r="BU1147" s="279"/>
      <c r="BV1147" s="279"/>
      <c r="BW1147" s="279"/>
      <c r="BX1147" s="279"/>
      <c r="BY1147" s="279"/>
      <c r="BZ1147" s="279"/>
      <c r="CA1147" s="279"/>
      <c r="CB1147" s="279"/>
      <c r="CC1147" s="279"/>
      <c r="CD1147" s="279"/>
      <c r="CE1147" s="279"/>
      <c r="CF1147" s="279"/>
      <c r="CG1147" s="279"/>
      <c r="CH1147" s="279"/>
      <c r="CI1147" s="279"/>
      <c r="CJ1147" s="279"/>
      <c r="CK1147" s="279"/>
      <c r="CL1147" s="279"/>
      <c r="CM1147" s="279"/>
      <c r="CN1147" s="382"/>
    </row>
    <row r="1148" x14ac:dyDescent="0.3">
      <c r="B1148" s="361"/>
      <c r="C1148" s="279"/>
      <c r="D1148" s="280"/>
      <c r="E1148" s="287"/>
      <c r="F1148" s="287"/>
      <c r="G1148" s="287"/>
      <c r="H1148" s="1292">
        <f t="shared" si="57"/>
        <v>17</v>
      </c>
      <c r="I1148" s="1190" t="str">
        <f>'I. Stream &amp; Compound Data'!P278</f>
        <v/>
      </c>
      <c r="J1148" s="1295" t="str">
        <f>IF(I158="","",IF('I. Stream &amp; Compound Data'!BX278="",0,'I. Stream &amp; Compound Data'!BX278))</f>
        <v/>
      </c>
      <c r="K1148" s="1295" t="str">
        <f t="shared" si="58"/>
        <v/>
      </c>
      <c r="L1148" s="1317" t="str">
        <f>IF(K1148="","",IF('I. Stream &amp; Compound Data'!E48="H2O",0,(IF(J1148=0,1,J1148))*I1148))</f>
        <v/>
      </c>
      <c r="M1148" s="287"/>
      <c r="N1148" s="296"/>
      <c r="O1148" s="280"/>
      <c r="P1148" s="280"/>
      <c r="Q1148" s="279"/>
      <c r="R1148" s="297"/>
      <c r="S1148" s="298"/>
      <c r="T1148" s="298"/>
      <c r="U1148" s="299"/>
      <c r="V1148" s="279"/>
      <c r="W1148" s="279"/>
      <c r="X1148" s="279"/>
      <c r="Y1148" s="279"/>
      <c r="Z1148" s="279"/>
      <c r="AA1148" s="279"/>
      <c r="AB1148" s="279"/>
      <c r="AC1148" s="279"/>
      <c r="AD1148" s="279"/>
      <c r="AE1148" s="279"/>
      <c r="AF1148" s="279"/>
      <c r="AG1148" s="279"/>
      <c r="AH1148" s="279"/>
      <c r="AI1148" s="279"/>
      <c r="AJ1148" s="279"/>
      <c r="AK1148" s="279"/>
      <c r="AL1148" s="279"/>
      <c r="AM1148" s="279"/>
      <c r="AN1148" s="279"/>
      <c r="AO1148" s="279"/>
      <c r="AP1148" s="279"/>
      <c r="AQ1148" s="279"/>
      <c r="AR1148" s="279"/>
      <c r="AS1148" s="279"/>
      <c r="AT1148" s="279"/>
      <c r="AU1148" s="279"/>
      <c r="AV1148" s="279"/>
      <c r="AW1148" s="279"/>
      <c r="AX1148" s="279"/>
      <c r="AY1148" s="279"/>
      <c r="AZ1148" s="279"/>
      <c r="BA1148" s="279"/>
      <c r="BB1148" s="279"/>
      <c r="BC1148" s="279"/>
      <c r="BD1148" s="279"/>
      <c r="BE1148" s="279"/>
      <c r="BF1148" s="279"/>
      <c r="BG1148" s="279"/>
      <c r="BH1148" s="279"/>
      <c r="BI1148" s="279"/>
      <c r="BJ1148" s="279"/>
      <c r="BK1148" s="279"/>
      <c r="BL1148" s="279"/>
      <c r="BM1148" s="279"/>
      <c r="BN1148" s="279"/>
      <c r="BO1148" s="279"/>
      <c r="BP1148" s="279"/>
      <c r="BQ1148" s="279"/>
      <c r="BR1148" s="279"/>
      <c r="BS1148" s="279"/>
      <c r="BT1148" s="279"/>
      <c r="BU1148" s="279"/>
      <c r="BV1148" s="279"/>
      <c r="BW1148" s="279"/>
      <c r="BX1148" s="279"/>
      <c r="BY1148" s="279"/>
      <c r="BZ1148" s="279"/>
      <c r="CA1148" s="279"/>
      <c r="CB1148" s="279"/>
      <c r="CC1148" s="279"/>
      <c r="CD1148" s="279"/>
      <c r="CE1148" s="279"/>
      <c r="CF1148" s="279"/>
      <c r="CG1148" s="279"/>
      <c r="CH1148" s="279"/>
      <c r="CI1148" s="279"/>
      <c r="CJ1148" s="279"/>
      <c r="CK1148" s="279"/>
      <c r="CL1148" s="279"/>
      <c r="CM1148" s="279"/>
      <c r="CN1148" s="382"/>
    </row>
    <row r="1149" x14ac:dyDescent="0.3">
      <c r="B1149" s="361"/>
      <c r="C1149" s="279"/>
      <c r="D1149" s="280"/>
      <c r="E1149" s="287"/>
      <c r="F1149" s="287"/>
      <c r="G1149" s="287"/>
      <c r="H1149" s="1292">
        <f t="shared" si="57"/>
        <v>18</v>
      </c>
      <c r="I1149" s="1190" t="str">
        <f>'I. Stream &amp; Compound Data'!P279</f>
        <v/>
      </c>
      <c r="J1149" s="1295" t="str">
        <f>IF(I159="","",IF('I. Stream &amp; Compound Data'!BX279="",0,'I. Stream &amp; Compound Data'!BX279))</f>
        <v/>
      </c>
      <c r="K1149" s="1295" t="str">
        <f t="shared" si="58"/>
        <v/>
      </c>
      <c r="L1149" s="1317" t="str">
        <f>IF(K1149="","",IF('I. Stream &amp; Compound Data'!E49="H2O",0,(IF(J1149=0,1,J1149))*I1149))</f>
        <v/>
      </c>
      <c r="M1149" s="296"/>
      <c r="N1149" s="280"/>
      <c r="O1149" s="280"/>
      <c r="P1149" s="279"/>
      <c r="Q1149" s="297"/>
      <c r="R1149" s="298"/>
      <c r="S1149" s="298"/>
      <c r="T1149" s="299"/>
      <c r="U1149" s="279"/>
      <c r="V1149" s="279"/>
      <c r="W1149" s="279"/>
      <c r="X1149" s="279"/>
      <c r="Y1149" s="279"/>
      <c r="Z1149" s="279"/>
      <c r="AA1149" s="279"/>
      <c r="AB1149" s="279"/>
      <c r="AC1149" s="279"/>
      <c r="AD1149" s="279"/>
      <c r="AE1149" s="279"/>
      <c r="AF1149" s="279"/>
      <c r="AG1149" s="279"/>
      <c r="AH1149" s="279"/>
      <c r="AI1149" s="279"/>
      <c r="AJ1149" s="279"/>
      <c r="AK1149" s="279"/>
      <c r="AL1149" s="279"/>
      <c r="AM1149" s="279"/>
      <c r="AN1149" s="279"/>
      <c r="AO1149" s="279"/>
      <c r="AP1149" s="279"/>
      <c r="AQ1149" s="279"/>
      <c r="AR1149" s="279"/>
      <c r="AS1149" s="279"/>
      <c r="AT1149" s="279"/>
      <c r="AU1149" s="279"/>
      <c r="AV1149" s="279"/>
      <c r="AW1149" s="279"/>
      <c r="AX1149" s="279"/>
      <c r="AY1149" s="279"/>
      <c r="AZ1149" s="279"/>
      <c r="BA1149" s="279"/>
      <c r="BB1149" s="279"/>
      <c r="BC1149" s="279"/>
      <c r="BD1149" s="279"/>
      <c r="BE1149" s="279"/>
      <c r="BF1149" s="279"/>
      <c r="BG1149" s="279"/>
      <c r="BH1149" s="279"/>
      <c r="BI1149" s="279"/>
      <c r="BJ1149" s="279"/>
      <c r="BK1149" s="279"/>
      <c r="BL1149" s="279"/>
      <c r="BM1149" s="279"/>
      <c r="BN1149" s="279"/>
      <c r="BO1149" s="279"/>
      <c r="BP1149" s="279"/>
      <c r="BQ1149" s="279"/>
      <c r="BR1149" s="279"/>
      <c r="BS1149" s="279"/>
      <c r="BT1149" s="279"/>
      <c r="BU1149" s="279"/>
      <c r="BV1149" s="279"/>
      <c r="BW1149" s="279"/>
      <c r="BX1149" s="279"/>
      <c r="BY1149" s="279"/>
      <c r="BZ1149" s="279"/>
      <c r="CA1149" s="279"/>
      <c r="CB1149" s="279"/>
      <c r="CC1149" s="279"/>
      <c r="CD1149" s="279"/>
      <c r="CE1149" s="279"/>
      <c r="CF1149" s="279"/>
      <c r="CG1149" s="279"/>
      <c r="CH1149" s="279"/>
      <c r="CI1149" s="279"/>
      <c r="CJ1149" s="279"/>
      <c r="CK1149" s="279"/>
      <c r="CL1149" s="279"/>
      <c r="CM1149" s="279"/>
      <c r="CN1149" s="382"/>
    </row>
    <row r="1150" x14ac:dyDescent="0.3">
      <c r="B1150" s="361"/>
      <c r="C1150" s="279"/>
      <c r="D1150" s="280"/>
      <c r="E1150" s="287"/>
      <c r="F1150" s="287"/>
      <c r="G1150" s="287"/>
      <c r="H1150" s="1292">
        <f t="shared" si="57"/>
        <v>19</v>
      </c>
      <c r="I1150" s="1190" t="str">
        <f>'I. Stream &amp; Compound Data'!P280</f>
        <v/>
      </c>
      <c r="J1150" s="1295" t="str">
        <f>IF(I160="","",IF('I. Stream &amp; Compound Data'!BX280="",0,'I. Stream &amp; Compound Data'!BX280))</f>
        <v/>
      </c>
      <c r="K1150" s="1295" t="str">
        <f t="shared" si="58"/>
        <v/>
      </c>
      <c r="L1150" s="1317" t="str">
        <f>IF(K1150="","",IF('I. Stream &amp; Compound Data'!E50="H2O",0,(IF(J1150=0,1,J1150))*I1150))</f>
        <v/>
      </c>
      <c r="M1150" s="296"/>
      <c r="N1150" s="280"/>
      <c r="O1150" s="280"/>
      <c r="P1150" s="279"/>
      <c r="Q1150" s="297"/>
      <c r="R1150" s="298"/>
      <c r="S1150" s="298"/>
      <c r="T1150" s="299"/>
      <c r="U1150" s="279"/>
      <c r="V1150" s="279"/>
      <c r="W1150" s="279"/>
      <c r="X1150" s="279"/>
      <c r="Y1150" s="279"/>
      <c r="Z1150" s="279"/>
      <c r="AA1150" s="279"/>
      <c r="AB1150" s="279"/>
      <c r="AC1150" s="279"/>
      <c r="AD1150" s="279"/>
      <c r="AE1150" s="279"/>
      <c r="AF1150" s="279"/>
      <c r="AG1150" s="279"/>
      <c r="AH1150" s="279"/>
      <c r="AI1150" s="279"/>
      <c r="AJ1150" s="279"/>
      <c r="AK1150" s="279"/>
      <c r="AL1150" s="279"/>
      <c r="AM1150" s="279"/>
      <c r="AN1150" s="279"/>
      <c r="AO1150" s="279"/>
      <c r="AP1150" s="279"/>
      <c r="AQ1150" s="279"/>
      <c r="AR1150" s="279"/>
      <c r="AS1150" s="279"/>
      <c r="AT1150" s="279"/>
      <c r="AU1150" s="279"/>
      <c r="AV1150" s="279"/>
      <c r="AW1150" s="279"/>
      <c r="AX1150" s="279"/>
      <c r="AY1150" s="279"/>
      <c r="AZ1150" s="279"/>
      <c r="BA1150" s="279"/>
      <c r="BB1150" s="279"/>
      <c r="BC1150" s="279"/>
      <c r="BD1150" s="279"/>
      <c r="BE1150" s="279"/>
      <c r="BF1150" s="279"/>
      <c r="BG1150" s="279"/>
      <c r="BH1150" s="279"/>
      <c r="BI1150" s="279"/>
      <c r="BJ1150" s="279"/>
      <c r="BK1150" s="279"/>
      <c r="BL1150" s="279"/>
      <c r="BM1150" s="279"/>
      <c r="BN1150" s="279"/>
      <c r="BO1150" s="279"/>
      <c r="BP1150" s="279"/>
      <c r="BQ1150" s="279"/>
      <c r="BR1150" s="279"/>
      <c r="BS1150" s="279"/>
      <c r="BT1150" s="279"/>
      <c r="BU1150" s="279"/>
      <c r="BV1150" s="279"/>
      <c r="BW1150" s="279"/>
      <c r="BX1150" s="279"/>
      <c r="BY1150" s="279"/>
      <c r="BZ1150" s="279"/>
      <c r="CA1150" s="279"/>
      <c r="CB1150" s="279"/>
      <c r="CC1150" s="279"/>
      <c r="CD1150" s="279"/>
      <c r="CE1150" s="279"/>
      <c r="CF1150" s="279"/>
      <c r="CG1150" s="279"/>
      <c r="CH1150" s="279"/>
      <c r="CI1150" s="279"/>
      <c r="CJ1150" s="279"/>
      <c r="CK1150" s="279"/>
      <c r="CL1150" s="279"/>
      <c r="CM1150" s="279"/>
      <c r="CN1150" s="382"/>
    </row>
    <row r="1151" x14ac:dyDescent="0.3">
      <c r="B1151" s="361"/>
      <c r="C1151" s="279"/>
      <c r="D1151" s="280"/>
      <c r="E1151" s="287"/>
      <c r="F1151" s="287"/>
      <c r="G1151" s="287"/>
      <c r="H1151" s="1292">
        <f t="shared" si="57"/>
        <v>20</v>
      </c>
      <c r="I1151" s="1190" t="str">
        <f>'I. Stream &amp; Compound Data'!P281</f>
        <v/>
      </c>
      <c r="J1151" s="1295" t="str">
        <f>IF(I161="","",IF('I. Stream &amp; Compound Data'!BX281="",0,'I. Stream &amp; Compound Data'!BX281))</f>
        <v/>
      </c>
      <c r="K1151" s="1295" t="str">
        <f t="shared" ref="K1151:K1181" si="59">IF(I161="","",I1151*J1151)</f>
        <v/>
      </c>
      <c r="L1151" s="1317" t="str">
        <f>IF(K1151="","",IF('I. Stream &amp; Compound Data'!E51="H2O",0,(IF(J1151=0,1,J1151))*I1151))</f>
        <v/>
      </c>
      <c r="M1151" s="296"/>
      <c r="N1151" s="280"/>
      <c r="O1151" s="280"/>
      <c r="P1151" s="279"/>
      <c r="Q1151" s="297"/>
      <c r="R1151" s="298"/>
      <c r="S1151" s="298"/>
      <c r="T1151" s="299"/>
      <c r="U1151" s="279"/>
      <c r="V1151" s="279"/>
      <c r="W1151" s="279"/>
      <c r="X1151" s="279"/>
      <c r="Y1151" s="279"/>
      <c r="Z1151" s="279"/>
      <c r="AA1151" s="279"/>
      <c r="AB1151" s="279"/>
      <c r="AC1151" s="279"/>
      <c r="AD1151" s="279"/>
      <c r="AE1151" s="279"/>
      <c r="AF1151" s="279"/>
      <c r="AG1151" s="279"/>
      <c r="AH1151" s="279"/>
      <c r="AI1151" s="279"/>
      <c r="AJ1151" s="279"/>
      <c r="AK1151" s="279"/>
      <c r="AL1151" s="279"/>
      <c r="AM1151" s="279"/>
      <c r="AN1151" s="279"/>
      <c r="AO1151" s="279"/>
      <c r="AP1151" s="279"/>
      <c r="AQ1151" s="279"/>
      <c r="AR1151" s="279"/>
      <c r="AS1151" s="279"/>
      <c r="AT1151" s="279"/>
      <c r="AU1151" s="279"/>
      <c r="AV1151" s="279"/>
      <c r="AW1151" s="279"/>
      <c r="AX1151" s="279"/>
      <c r="AY1151" s="279"/>
      <c r="AZ1151" s="279"/>
      <c r="BA1151" s="279"/>
      <c r="BB1151" s="279"/>
      <c r="BC1151" s="279"/>
      <c r="BD1151" s="279"/>
      <c r="BE1151" s="279"/>
      <c r="BF1151" s="279"/>
      <c r="BG1151" s="279"/>
      <c r="BH1151" s="279"/>
      <c r="BI1151" s="279"/>
      <c r="BJ1151" s="279"/>
      <c r="BK1151" s="279"/>
      <c r="BL1151" s="279"/>
      <c r="BM1151" s="279"/>
      <c r="BN1151" s="279"/>
      <c r="BO1151" s="279"/>
      <c r="BP1151" s="279"/>
      <c r="BQ1151" s="279"/>
      <c r="BR1151" s="279"/>
      <c r="BS1151" s="279"/>
      <c r="BT1151" s="279"/>
      <c r="BU1151" s="279"/>
      <c r="BV1151" s="279"/>
      <c r="BW1151" s="279"/>
      <c r="BX1151" s="279"/>
      <c r="BY1151" s="279"/>
      <c r="BZ1151" s="279"/>
      <c r="CA1151" s="279"/>
      <c r="CB1151" s="279"/>
      <c r="CC1151" s="279"/>
      <c r="CD1151" s="279"/>
      <c r="CE1151" s="279"/>
      <c r="CF1151" s="279"/>
      <c r="CG1151" s="279"/>
      <c r="CH1151" s="279"/>
      <c r="CI1151" s="279"/>
      <c r="CJ1151" s="279"/>
      <c r="CK1151" s="279"/>
      <c r="CL1151" s="279"/>
      <c r="CM1151" s="279"/>
      <c r="CN1151" s="382"/>
    </row>
    <row r="1152" x14ac:dyDescent="0.3">
      <c r="B1152" s="361"/>
      <c r="C1152" s="279"/>
      <c r="D1152" s="280"/>
      <c r="E1152" s="287"/>
      <c r="F1152" s="287"/>
      <c r="G1152" s="287"/>
      <c r="H1152" s="1292">
        <f t="shared" si="57"/>
        <v>21</v>
      </c>
      <c r="I1152" s="1190" t="str">
        <f>'I. Stream &amp; Compound Data'!P282</f>
        <v/>
      </c>
      <c r="J1152" s="1295" t="str">
        <f>IF(I162="","",IF('I. Stream &amp; Compound Data'!BX282="",0,'I. Stream &amp; Compound Data'!BX282))</f>
        <v/>
      </c>
      <c r="K1152" s="1295" t="str">
        <f t="shared" si="59"/>
        <v/>
      </c>
      <c r="L1152" s="1317" t="str">
        <f>IF(K1152="","",IF('I. Stream &amp; Compound Data'!E52="H2O",0,(IF(J1152=0,1,J1152))*I1152))</f>
        <v/>
      </c>
      <c r="M1152" s="296"/>
      <c r="N1152" s="280"/>
      <c r="O1152" s="280"/>
      <c r="P1152" s="279"/>
      <c r="Q1152" s="297"/>
      <c r="R1152" s="298"/>
      <c r="S1152" s="298"/>
      <c r="T1152" s="299"/>
      <c r="U1152" s="279"/>
      <c r="V1152" s="279"/>
      <c r="W1152" s="279"/>
      <c r="X1152" s="279"/>
      <c r="Y1152" s="279"/>
      <c r="Z1152" s="279"/>
      <c r="AA1152" s="279"/>
      <c r="AB1152" s="279"/>
      <c r="AC1152" s="279"/>
      <c r="AD1152" s="279"/>
      <c r="AE1152" s="279"/>
      <c r="AF1152" s="279"/>
      <c r="AG1152" s="279"/>
      <c r="AH1152" s="279"/>
      <c r="AI1152" s="279"/>
      <c r="AJ1152" s="279"/>
      <c r="AK1152" s="279"/>
      <c r="AL1152" s="279"/>
      <c r="AM1152" s="279"/>
      <c r="AN1152" s="279"/>
      <c r="AO1152" s="279"/>
      <c r="AP1152" s="279"/>
      <c r="AQ1152" s="279"/>
      <c r="AR1152" s="279"/>
      <c r="AS1152" s="279"/>
      <c r="AT1152" s="279"/>
      <c r="AU1152" s="279"/>
      <c r="AV1152" s="279"/>
      <c r="AW1152" s="279"/>
      <c r="AX1152" s="279"/>
      <c r="AY1152" s="279"/>
      <c r="AZ1152" s="279"/>
      <c r="BA1152" s="279"/>
      <c r="BB1152" s="279"/>
      <c r="BC1152" s="279"/>
      <c r="BD1152" s="279"/>
      <c r="BE1152" s="279"/>
      <c r="BF1152" s="279"/>
      <c r="BG1152" s="279"/>
      <c r="BH1152" s="279"/>
      <c r="BI1152" s="279"/>
      <c r="BJ1152" s="279"/>
      <c r="BK1152" s="279"/>
      <c r="BL1152" s="279"/>
      <c r="BM1152" s="279"/>
      <c r="BN1152" s="279"/>
      <c r="BO1152" s="279"/>
      <c r="BP1152" s="279"/>
      <c r="BQ1152" s="279"/>
      <c r="BR1152" s="279"/>
      <c r="BS1152" s="279"/>
      <c r="BT1152" s="279"/>
      <c r="BU1152" s="279"/>
      <c r="BV1152" s="279"/>
      <c r="BW1152" s="279"/>
      <c r="BX1152" s="279"/>
      <c r="BY1152" s="279"/>
      <c r="BZ1152" s="279"/>
      <c r="CA1152" s="279"/>
      <c r="CB1152" s="279"/>
      <c r="CC1152" s="279"/>
      <c r="CD1152" s="279"/>
      <c r="CE1152" s="279"/>
      <c r="CF1152" s="279"/>
      <c r="CG1152" s="279"/>
      <c r="CH1152" s="279"/>
      <c r="CI1152" s="279"/>
      <c r="CJ1152" s="279"/>
      <c r="CK1152" s="279"/>
      <c r="CL1152" s="279"/>
      <c r="CM1152" s="279"/>
      <c r="CN1152" s="382"/>
    </row>
    <row r="1153" x14ac:dyDescent="0.3">
      <c r="B1153" s="361"/>
      <c r="C1153" s="279"/>
      <c r="D1153" s="280"/>
      <c r="E1153" s="287"/>
      <c r="F1153" s="287"/>
      <c r="G1153" s="287"/>
      <c r="H1153" s="1292">
        <f t="shared" si="57"/>
        <v>22</v>
      </c>
      <c r="I1153" s="1190" t="str">
        <f>'I. Stream &amp; Compound Data'!P283</f>
        <v/>
      </c>
      <c r="J1153" s="1295" t="str">
        <f>IF(I163="","",IF('I. Stream &amp; Compound Data'!BX283="",0,'I. Stream &amp; Compound Data'!BX283))</f>
        <v/>
      </c>
      <c r="K1153" s="1295" t="str">
        <f t="shared" si="59"/>
        <v/>
      </c>
      <c r="L1153" s="1317" t="str">
        <f>IF(K1153="","",IF('I. Stream &amp; Compound Data'!E53="H2O",0,(IF(J1153=0,1,J1153))*I1153))</f>
        <v/>
      </c>
      <c r="M1153" s="296"/>
      <c r="N1153" s="280"/>
      <c r="O1153" s="280"/>
      <c r="P1153" s="279"/>
      <c r="Q1153" s="297"/>
      <c r="R1153" s="298"/>
      <c r="S1153" s="298"/>
      <c r="T1153" s="299"/>
      <c r="U1153" s="279"/>
      <c r="V1153" s="279"/>
      <c r="W1153" s="279"/>
      <c r="X1153" s="279"/>
      <c r="Y1153" s="279"/>
      <c r="Z1153" s="279"/>
      <c r="AA1153" s="279"/>
      <c r="AB1153" s="279"/>
      <c r="AC1153" s="279"/>
      <c r="AD1153" s="279"/>
      <c r="AE1153" s="279"/>
      <c r="AF1153" s="279"/>
      <c r="AG1153" s="279"/>
      <c r="AH1153" s="279"/>
      <c r="AI1153" s="279"/>
      <c r="AJ1153" s="279"/>
      <c r="AK1153" s="279"/>
      <c r="AL1153" s="279"/>
      <c r="AM1153" s="279"/>
      <c r="AN1153" s="279"/>
      <c r="AO1153" s="279"/>
      <c r="AP1153" s="279"/>
      <c r="AQ1153" s="279"/>
      <c r="AR1153" s="279"/>
      <c r="AS1153" s="279"/>
      <c r="AT1153" s="279"/>
      <c r="AU1153" s="279"/>
      <c r="AV1153" s="279"/>
      <c r="AW1153" s="279"/>
      <c r="AX1153" s="279"/>
      <c r="AY1153" s="279"/>
      <c r="AZ1153" s="279"/>
      <c r="BA1153" s="279"/>
      <c r="BB1153" s="279"/>
      <c r="BC1153" s="279"/>
      <c r="BD1153" s="279"/>
      <c r="BE1153" s="279"/>
      <c r="BF1153" s="279"/>
      <c r="BG1153" s="279"/>
      <c r="BH1153" s="279"/>
      <c r="BI1153" s="279"/>
      <c r="BJ1153" s="279"/>
      <c r="BK1153" s="279"/>
      <c r="BL1153" s="279"/>
      <c r="BM1153" s="279"/>
      <c r="BN1153" s="279"/>
      <c r="BO1153" s="279"/>
      <c r="BP1153" s="279"/>
      <c r="BQ1153" s="279"/>
      <c r="BR1153" s="279"/>
      <c r="BS1153" s="279"/>
      <c r="BT1153" s="279"/>
      <c r="BU1153" s="279"/>
      <c r="BV1153" s="279"/>
      <c r="BW1153" s="279"/>
      <c r="BX1153" s="279"/>
      <c r="BY1153" s="279"/>
      <c r="BZ1153" s="279"/>
      <c r="CA1153" s="279"/>
      <c r="CB1153" s="279"/>
      <c r="CC1153" s="279"/>
      <c r="CD1153" s="279"/>
      <c r="CE1153" s="279"/>
      <c r="CF1153" s="279"/>
      <c r="CG1153" s="279"/>
      <c r="CH1153" s="279"/>
      <c r="CI1153" s="279"/>
      <c r="CJ1153" s="279"/>
      <c r="CK1153" s="279"/>
      <c r="CL1153" s="279"/>
      <c r="CM1153" s="279"/>
      <c r="CN1153" s="382"/>
    </row>
    <row r="1154" x14ac:dyDescent="0.3">
      <c r="B1154" s="361"/>
      <c r="C1154" s="279"/>
      <c r="D1154" s="280"/>
      <c r="E1154" s="287"/>
      <c r="F1154" s="287"/>
      <c r="G1154" s="287"/>
      <c r="H1154" s="1292">
        <f t="shared" si="57"/>
        <v>23</v>
      </c>
      <c r="I1154" s="1190" t="str">
        <f>'I. Stream &amp; Compound Data'!P284</f>
        <v/>
      </c>
      <c r="J1154" s="1295" t="str">
        <f>IF(I164="","",IF('I. Stream &amp; Compound Data'!BX284="",0,'I. Stream &amp; Compound Data'!BX284))</f>
        <v/>
      </c>
      <c r="K1154" s="1295" t="str">
        <f t="shared" si="59"/>
        <v/>
      </c>
      <c r="L1154" s="1317" t="str">
        <f>IF(K1154="","",IF('I. Stream &amp; Compound Data'!E54="H2O",0,(IF(J1154=0,1,J1154))*I1154))</f>
        <v/>
      </c>
      <c r="M1154" s="296"/>
      <c r="N1154" s="280"/>
      <c r="O1154" s="280"/>
      <c r="P1154" s="279"/>
      <c r="Q1154" s="297"/>
      <c r="R1154" s="298"/>
      <c r="S1154" s="298"/>
      <c r="T1154" s="299"/>
      <c r="U1154" s="279"/>
      <c r="V1154" s="279"/>
      <c r="W1154" s="279"/>
      <c r="X1154" s="279"/>
      <c r="Y1154" s="279"/>
      <c r="Z1154" s="279"/>
      <c r="AA1154" s="279"/>
      <c r="AB1154" s="279"/>
      <c r="AC1154" s="279"/>
      <c r="AD1154" s="279"/>
      <c r="AE1154" s="279"/>
      <c r="AF1154" s="279"/>
      <c r="AG1154" s="279"/>
      <c r="AH1154" s="279"/>
      <c r="AI1154" s="279"/>
      <c r="AJ1154" s="279"/>
      <c r="AK1154" s="279"/>
      <c r="AL1154" s="279"/>
      <c r="AM1154" s="279"/>
      <c r="AN1154" s="279"/>
      <c r="AO1154" s="279"/>
      <c r="AP1154" s="279"/>
      <c r="AQ1154" s="279"/>
      <c r="AR1154" s="279"/>
      <c r="AS1154" s="279"/>
      <c r="AT1154" s="279"/>
      <c r="AU1154" s="279"/>
      <c r="AV1154" s="279"/>
      <c r="AW1154" s="279"/>
      <c r="AX1154" s="279"/>
      <c r="AY1154" s="279"/>
      <c r="AZ1154" s="279"/>
      <c r="BA1154" s="279"/>
      <c r="BB1154" s="279"/>
      <c r="BC1154" s="279"/>
      <c r="BD1154" s="279"/>
      <c r="BE1154" s="279"/>
      <c r="BF1154" s="279"/>
      <c r="BG1154" s="279"/>
      <c r="BH1154" s="279"/>
      <c r="BI1154" s="279"/>
      <c r="BJ1154" s="279"/>
      <c r="BK1154" s="279"/>
      <c r="BL1154" s="279"/>
      <c r="BM1154" s="279"/>
      <c r="BN1154" s="279"/>
      <c r="BO1154" s="279"/>
      <c r="BP1154" s="279"/>
      <c r="BQ1154" s="279"/>
      <c r="BR1154" s="279"/>
      <c r="BS1154" s="279"/>
      <c r="BT1154" s="279"/>
      <c r="BU1154" s="279"/>
      <c r="BV1154" s="279"/>
      <c r="BW1154" s="279"/>
      <c r="BX1154" s="279"/>
      <c r="BY1154" s="279"/>
      <c r="BZ1154" s="279"/>
      <c r="CA1154" s="279"/>
      <c r="CB1154" s="279"/>
      <c r="CC1154" s="279"/>
      <c r="CD1154" s="279"/>
      <c r="CE1154" s="279"/>
      <c r="CF1154" s="279"/>
      <c r="CG1154" s="279"/>
      <c r="CH1154" s="279"/>
      <c r="CI1154" s="279"/>
      <c r="CJ1154" s="279"/>
      <c r="CK1154" s="279"/>
      <c r="CL1154" s="279"/>
      <c r="CM1154" s="279"/>
      <c r="CN1154" s="382"/>
    </row>
    <row r="1155" x14ac:dyDescent="0.3">
      <c r="B1155" s="361"/>
      <c r="C1155" s="279"/>
      <c r="D1155" s="280"/>
      <c r="E1155" s="287"/>
      <c r="F1155" s="287"/>
      <c r="G1155" s="287"/>
      <c r="H1155" s="1292">
        <f t="shared" si="57"/>
        <v>24</v>
      </c>
      <c r="I1155" s="1190" t="str">
        <f>'I. Stream &amp; Compound Data'!P285</f>
        <v/>
      </c>
      <c r="J1155" s="1295" t="str">
        <f>IF(I165="","",IF('I. Stream &amp; Compound Data'!BX285="",0,'I. Stream &amp; Compound Data'!BX285))</f>
        <v/>
      </c>
      <c r="K1155" s="1295" t="str">
        <f t="shared" si="59"/>
        <v/>
      </c>
      <c r="L1155" s="1317" t="str">
        <f>IF(K1155="","",IF('I. Stream &amp; Compound Data'!E55="H2O",0,(IF(J1155=0,1,J1155))*I1155))</f>
        <v/>
      </c>
      <c r="M1155" s="296"/>
      <c r="N1155" s="280"/>
      <c r="O1155" s="280"/>
      <c r="P1155" s="279"/>
      <c r="Q1155" s="297"/>
      <c r="R1155" s="298"/>
      <c r="S1155" s="298"/>
      <c r="T1155" s="299"/>
      <c r="U1155" s="279"/>
      <c r="V1155" s="279"/>
      <c r="W1155" s="279"/>
      <c r="X1155" s="279"/>
      <c r="Y1155" s="279"/>
      <c r="Z1155" s="279"/>
      <c r="AA1155" s="279"/>
      <c r="AB1155" s="279"/>
      <c r="AC1155" s="279"/>
      <c r="AD1155" s="279"/>
      <c r="AE1155" s="279"/>
      <c r="AF1155" s="279"/>
      <c r="AG1155" s="279"/>
      <c r="AH1155" s="279"/>
      <c r="AI1155" s="279"/>
      <c r="AJ1155" s="279"/>
      <c r="AK1155" s="279"/>
      <c r="AL1155" s="279"/>
      <c r="AM1155" s="279"/>
      <c r="AN1155" s="279"/>
      <c r="AO1155" s="279"/>
      <c r="AP1155" s="279"/>
      <c r="AQ1155" s="279"/>
      <c r="AR1155" s="279"/>
      <c r="AS1155" s="279"/>
      <c r="AT1155" s="279"/>
      <c r="AU1155" s="279"/>
      <c r="AV1155" s="279"/>
      <c r="AW1155" s="279"/>
      <c r="AX1155" s="279"/>
      <c r="AY1155" s="279"/>
      <c r="AZ1155" s="279"/>
      <c r="BA1155" s="279"/>
      <c r="BB1155" s="279"/>
      <c r="BC1155" s="279"/>
      <c r="BD1155" s="279"/>
      <c r="BE1155" s="279"/>
      <c r="BF1155" s="279"/>
      <c r="BG1155" s="279"/>
      <c r="BH1155" s="279"/>
      <c r="BI1155" s="279"/>
      <c r="BJ1155" s="279"/>
      <c r="BK1155" s="279"/>
      <c r="BL1155" s="279"/>
      <c r="BM1155" s="279"/>
      <c r="BN1155" s="279"/>
      <c r="BO1155" s="279"/>
      <c r="BP1155" s="279"/>
      <c r="BQ1155" s="279"/>
      <c r="BR1155" s="279"/>
      <c r="BS1155" s="279"/>
      <c r="BT1155" s="279"/>
      <c r="BU1155" s="279"/>
      <c r="BV1155" s="279"/>
      <c r="BW1155" s="279"/>
      <c r="BX1155" s="279"/>
      <c r="BY1155" s="279"/>
      <c r="BZ1155" s="279"/>
      <c r="CA1155" s="279"/>
      <c r="CB1155" s="279"/>
      <c r="CC1155" s="279"/>
      <c r="CD1155" s="279"/>
      <c r="CE1155" s="279"/>
      <c r="CF1155" s="279"/>
      <c r="CG1155" s="279"/>
      <c r="CH1155" s="279"/>
      <c r="CI1155" s="279"/>
      <c r="CJ1155" s="279"/>
      <c r="CK1155" s="279"/>
      <c r="CL1155" s="279"/>
      <c r="CM1155" s="279"/>
      <c r="CN1155" s="382"/>
    </row>
    <row r="1156" x14ac:dyDescent="0.3">
      <c r="B1156" s="361"/>
      <c r="C1156" s="279"/>
      <c r="D1156" s="280"/>
      <c r="E1156" s="287"/>
      <c r="F1156" s="287"/>
      <c r="G1156" s="287"/>
      <c r="H1156" s="1292">
        <f t="shared" si="57"/>
        <v>25</v>
      </c>
      <c r="I1156" s="1190" t="str">
        <f>'I. Stream &amp; Compound Data'!P286</f>
        <v/>
      </c>
      <c r="J1156" s="1295" t="str">
        <f>IF(I166="","",IF('I. Stream &amp; Compound Data'!BX286="",0,'I. Stream &amp; Compound Data'!BX286))</f>
        <v/>
      </c>
      <c r="K1156" s="1295" t="str">
        <f t="shared" si="59"/>
        <v/>
      </c>
      <c r="L1156" s="1317" t="str">
        <f>IF(K1156="","",IF('I. Stream &amp; Compound Data'!E56="H2O",0,(IF(J1156=0,1,J1156))*I1156))</f>
        <v/>
      </c>
      <c r="M1156" s="296"/>
      <c r="N1156" s="280"/>
      <c r="O1156" s="280"/>
      <c r="P1156" s="279"/>
      <c r="Q1156" s="297"/>
      <c r="R1156" s="298"/>
      <c r="S1156" s="298"/>
      <c r="T1156" s="299"/>
      <c r="U1156" s="279"/>
      <c r="V1156" s="279"/>
      <c r="W1156" s="279"/>
      <c r="X1156" s="279"/>
      <c r="Y1156" s="279"/>
      <c r="Z1156" s="279"/>
      <c r="AA1156" s="279"/>
      <c r="AB1156" s="279"/>
      <c r="AC1156" s="279"/>
      <c r="AD1156" s="279"/>
      <c r="AE1156" s="279"/>
      <c r="AF1156" s="279"/>
      <c r="AG1156" s="279"/>
      <c r="AH1156" s="279"/>
      <c r="AI1156" s="279"/>
      <c r="AJ1156" s="279"/>
      <c r="AK1156" s="279"/>
      <c r="AL1156" s="279"/>
      <c r="AM1156" s="279"/>
      <c r="AN1156" s="279"/>
      <c r="AO1156" s="279"/>
      <c r="AP1156" s="279"/>
      <c r="AQ1156" s="279"/>
      <c r="AR1156" s="279"/>
      <c r="AS1156" s="279"/>
      <c r="AT1156" s="279"/>
      <c r="AU1156" s="279"/>
      <c r="AV1156" s="279"/>
      <c r="AW1156" s="279"/>
      <c r="AX1156" s="279"/>
      <c r="AY1156" s="279"/>
      <c r="AZ1156" s="279"/>
      <c r="BA1156" s="279"/>
      <c r="BB1156" s="279"/>
      <c r="BC1156" s="279"/>
      <c r="BD1156" s="279"/>
      <c r="BE1156" s="279"/>
      <c r="BF1156" s="279"/>
      <c r="BG1156" s="279"/>
      <c r="BH1156" s="279"/>
      <c r="BI1156" s="279"/>
      <c r="BJ1156" s="279"/>
      <c r="BK1156" s="279"/>
      <c r="BL1156" s="279"/>
      <c r="BM1156" s="279"/>
      <c r="BN1156" s="279"/>
      <c r="BO1156" s="279"/>
      <c r="BP1156" s="279"/>
      <c r="BQ1156" s="279"/>
      <c r="BR1156" s="279"/>
      <c r="BS1156" s="279"/>
      <c r="BT1156" s="279"/>
      <c r="BU1156" s="279"/>
      <c r="BV1156" s="279"/>
      <c r="BW1156" s="279"/>
      <c r="BX1156" s="279"/>
      <c r="BY1156" s="279"/>
      <c r="BZ1156" s="279"/>
      <c r="CA1156" s="279"/>
      <c r="CB1156" s="279"/>
      <c r="CC1156" s="279"/>
      <c r="CD1156" s="279"/>
      <c r="CE1156" s="279"/>
      <c r="CF1156" s="279"/>
      <c r="CG1156" s="279"/>
      <c r="CH1156" s="279"/>
      <c r="CI1156" s="279"/>
      <c r="CJ1156" s="279"/>
      <c r="CK1156" s="279"/>
      <c r="CL1156" s="279"/>
      <c r="CM1156" s="279"/>
      <c r="CN1156" s="382"/>
    </row>
    <row r="1157" x14ac:dyDescent="0.3">
      <c r="B1157" s="361"/>
      <c r="C1157" s="279"/>
      <c r="D1157" s="280"/>
      <c r="E1157" s="287"/>
      <c r="F1157" s="287"/>
      <c r="G1157" s="287"/>
      <c r="H1157" s="1292">
        <f t="shared" si="57"/>
        <v>26</v>
      </c>
      <c r="I1157" s="1190" t="str">
        <f>'I. Stream &amp; Compound Data'!P287</f>
        <v/>
      </c>
      <c r="J1157" s="1295" t="str">
        <f>IF(I167="","",IF('I. Stream &amp; Compound Data'!BX287="",0,'I. Stream &amp; Compound Data'!BX287))</f>
        <v/>
      </c>
      <c r="K1157" s="1295" t="str">
        <f t="shared" si="59"/>
        <v/>
      </c>
      <c r="L1157" s="1317" t="str">
        <f>IF(K1157="","",IF('I. Stream &amp; Compound Data'!E57="H2O",0,(IF(J1157=0,1,J1157))*I1157))</f>
        <v/>
      </c>
      <c r="M1157" s="296"/>
      <c r="N1157" s="280"/>
      <c r="O1157" s="280"/>
      <c r="P1157" s="279"/>
      <c r="Q1157" s="297"/>
      <c r="R1157" s="298"/>
      <c r="S1157" s="298"/>
      <c r="T1157" s="299"/>
      <c r="U1157" s="279"/>
      <c r="V1157" s="279"/>
      <c r="W1157" s="279"/>
      <c r="X1157" s="279"/>
      <c r="Y1157" s="279"/>
      <c r="Z1157" s="279"/>
      <c r="AA1157" s="279"/>
      <c r="AB1157" s="279"/>
      <c r="AC1157" s="279"/>
      <c r="AD1157" s="279"/>
      <c r="AE1157" s="279"/>
      <c r="AF1157" s="279"/>
      <c r="AG1157" s="279"/>
      <c r="AH1157" s="279"/>
      <c r="AI1157" s="279"/>
      <c r="AJ1157" s="279"/>
      <c r="AK1157" s="279"/>
      <c r="AL1157" s="279"/>
      <c r="AM1157" s="279"/>
      <c r="AN1157" s="279"/>
      <c r="AO1157" s="279"/>
      <c r="AP1157" s="279"/>
      <c r="AQ1157" s="279"/>
      <c r="AR1157" s="279"/>
      <c r="AS1157" s="279"/>
      <c r="AT1157" s="279"/>
      <c r="AU1157" s="279"/>
      <c r="AV1157" s="279"/>
      <c r="AW1157" s="279"/>
      <c r="AX1157" s="279"/>
      <c r="AY1157" s="279"/>
      <c r="AZ1157" s="279"/>
      <c r="BA1157" s="279"/>
      <c r="BB1157" s="279"/>
      <c r="BC1157" s="279"/>
      <c r="BD1157" s="279"/>
      <c r="BE1157" s="279"/>
      <c r="BF1157" s="279"/>
      <c r="BG1157" s="279"/>
      <c r="BH1157" s="279"/>
      <c r="BI1157" s="279"/>
      <c r="BJ1157" s="279"/>
      <c r="BK1157" s="279"/>
      <c r="BL1157" s="279"/>
      <c r="BM1157" s="279"/>
      <c r="BN1157" s="279"/>
      <c r="BO1157" s="279"/>
      <c r="BP1157" s="279"/>
      <c r="BQ1157" s="279"/>
      <c r="BR1157" s="279"/>
      <c r="BS1157" s="279"/>
      <c r="BT1157" s="279"/>
      <c r="BU1157" s="279"/>
      <c r="BV1157" s="279"/>
      <c r="BW1157" s="279"/>
      <c r="BX1157" s="279"/>
      <c r="BY1157" s="279"/>
      <c r="BZ1157" s="279"/>
      <c r="CA1157" s="279"/>
      <c r="CB1157" s="279"/>
      <c r="CC1157" s="279"/>
      <c r="CD1157" s="279"/>
      <c r="CE1157" s="279"/>
      <c r="CF1157" s="279"/>
      <c r="CG1157" s="279"/>
      <c r="CH1157" s="279"/>
      <c r="CI1157" s="279"/>
      <c r="CJ1157" s="279"/>
      <c r="CK1157" s="279"/>
      <c r="CL1157" s="279"/>
      <c r="CM1157" s="279"/>
      <c r="CN1157" s="382"/>
    </row>
    <row r="1158" x14ac:dyDescent="0.3">
      <c r="B1158" s="361"/>
      <c r="C1158" s="279"/>
      <c r="D1158" s="280"/>
      <c r="E1158" s="287"/>
      <c r="F1158" s="287"/>
      <c r="G1158" s="287"/>
      <c r="H1158" s="1292">
        <f t="shared" si="57"/>
        <v>27</v>
      </c>
      <c r="I1158" s="1190" t="str">
        <f>'I. Stream &amp; Compound Data'!P288</f>
        <v/>
      </c>
      <c r="J1158" s="1295" t="str">
        <f>IF(I168="","",IF('I. Stream &amp; Compound Data'!BX288="",0,'I. Stream &amp; Compound Data'!BX288))</f>
        <v/>
      </c>
      <c r="K1158" s="1295" t="str">
        <f t="shared" si="59"/>
        <v/>
      </c>
      <c r="L1158" s="1317" t="str">
        <f>IF(K1158="","",IF('I. Stream &amp; Compound Data'!E58="H2O",0,(IF(J1158=0,1,J1158))*I1158))</f>
        <v/>
      </c>
      <c r="M1158" s="296"/>
      <c r="N1158" s="280"/>
      <c r="O1158" s="280"/>
      <c r="P1158" s="279"/>
      <c r="Q1158" s="297"/>
      <c r="R1158" s="298"/>
      <c r="S1158" s="298"/>
      <c r="T1158" s="299"/>
      <c r="U1158" s="279"/>
      <c r="V1158" s="279"/>
      <c r="W1158" s="279"/>
      <c r="X1158" s="279"/>
      <c r="Y1158" s="279"/>
      <c r="Z1158" s="279"/>
      <c r="AA1158" s="279"/>
      <c r="AB1158" s="279"/>
      <c r="AC1158" s="279"/>
      <c r="AD1158" s="279"/>
      <c r="AE1158" s="279"/>
      <c r="AF1158" s="279"/>
      <c r="AG1158" s="279"/>
      <c r="AH1158" s="279"/>
      <c r="AI1158" s="279"/>
      <c r="AJ1158" s="279"/>
      <c r="AK1158" s="279"/>
      <c r="AL1158" s="279"/>
      <c r="AM1158" s="279"/>
      <c r="AN1158" s="279"/>
      <c r="AO1158" s="279"/>
      <c r="AP1158" s="279"/>
      <c r="AQ1158" s="279"/>
      <c r="AR1158" s="279"/>
      <c r="AS1158" s="279"/>
      <c r="AT1158" s="279"/>
      <c r="AU1158" s="279"/>
      <c r="AV1158" s="279"/>
      <c r="AW1158" s="279"/>
      <c r="AX1158" s="279"/>
      <c r="AY1158" s="279"/>
      <c r="AZ1158" s="279"/>
      <c r="BA1158" s="279"/>
      <c r="BB1158" s="279"/>
      <c r="BC1158" s="279"/>
      <c r="BD1158" s="279"/>
      <c r="BE1158" s="279"/>
      <c r="BF1158" s="279"/>
      <c r="BG1158" s="279"/>
      <c r="BH1158" s="279"/>
      <c r="BI1158" s="279"/>
      <c r="BJ1158" s="279"/>
      <c r="BK1158" s="279"/>
      <c r="BL1158" s="279"/>
      <c r="BM1158" s="279"/>
      <c r="BN1158" s="279"/>
      <c r="BO1158" s="279"/>
      <c r="BP1158" s="279"/>
      <c r="BQ1158" s="279"/>
      <c r="BR1158" s="279"/>
      <c r="BS1158" s="279"/>
      <c r="BT1158" s="279"/>
      <c r="BU1158" s="279"/>
      <c r="BV1158" s="279"/>
      <c r="BW1158" s="279"/>
      <c r="BX1158" s="279"/>
      <c r="BY1158" s="279"/>
      <c r="BZ1158" s="279"/>
      <c r="CA1158" s="279"/>
      <c r="CB1158" s="279"/>
      <c r="CC1158" s="279"/>
      <c r="CD1158" s="279"/>
      <c r="CE1158" s="279"/>
      <c r="CF1158" s="279"/>
      <c r="CG1158" s="279"/>
      <c r="CH1158" s="279"/>
      <c r="CI1158" s="279"/>
      <c r="CJ1158" s="279"/>
      <c r="CK1158" s="279"/>
      <c r="CL1158" s="279"/>
      <c r="CM1158" s="279"/>
      <c r="CN1158" s="382"/>
    </row>
    <row r="1159" x14ac:dyDescent="0.3">
      <c r="B1159" s="361"/>
      <c r="C1159" s="279"/>
      <c r="D1159" s="280"/>
      <c r="E1159" s="287"/>
      <c r="F1159" s="287"/>
      <c r="G1159" s="287"/>
      <c r="H1159" s="1292">
        <f t="shared" si="57"/>
        <v>28</v>
      </c>
      <c r="I1159" s="1190" t="str">
        <f>'I. Stream &amp; Compound Data'!P289</f>
        <v/>
      </c>
      <c r="J1159" s="1295" t="str">
        <f>IF(I169="","",IF('I. Stream &amp; Compound Data'!BX289="",0,'I. Stream &amp; Compound Data'!BX289))</f>
        <v/>
      </c>
      <c r="K1159" s="1295" t="str">
        <f t="shared" si="59"/>
        <v/>
      </c>
      <c r="L1159" s="1317" t="str">
        <f>IF(K1159="","",IF('I. Stream &amp; Compound Data'!E59="H2O",0,(IF(J1159=0,1,J1159))*I1159))</f>
        <v/>
      </c>
      <c r="M1159" s="296"/>
      <c r="N1159" s="280"/>
      <c r="O1159" s="280"/>
      <c r="P1159" s="279"/>
      <c r="Q1159" s="297"/>
      <c r="R1159" s="298"/>
      <c r="S1159" s="298"/>
      <c r="T1159" s="299"/>
      <c r="U1159" s="279"/>
      <c r="V1159" s="279"/>
      <c r="W1159" s="279"/>
      <c r="X1159" s="279"/>
      <c r="Y1159" s="279"/>
      <c r="Z1159" s="279"/>
      <c r="AA1159" s="279"/>
      <c r="AB1159" s="279"/>
      <c r="AC1159" s="279"/>
      <c r="AD1159" s="279"/>
      <c r="AE1159" s="279"/>
      <c r="AF1159" s="279"/>
      <c r="AG1159" s="279"/>
      <c r="AH1159" s="279"/>
      <c r="AI1159" s="279"/>
      <c r="AJ1159" s="279"/>
      <c r="AK1159" s="279"/>
      <c r="AL1159" s="279"/>
      <c r="AM1159" s="279"/>
      <c r="AN1159" s="279"/>
      <c r="AO1159" s="279"/>
      <c r="AP1159" s="279"/>
      <c r="AQ1159" s="279"/>
      <c r="AR1159" s="279"/>
      <c r="AS1159" s="279"/>
      <c r="AT1159" s="279"/>
      <c r="AU1159" s="279"/>
      <c r="AV1159" s="279"/>
      <c r="AW1159" s="279"/>
      <c r="AX1159" s="279"/>
      <c r="AY1159" s="279"/>
      <c r="AZ1159" s="279"/>
      <c r="BA1159" s="279"/>
      <c r="BB1159" s="279"/>
      <c r="BC1159" s="279"/>
      <c r="BD1159" s="279"/>
      <c r="BE1159" s="279"/>
      <c r="BF1159" s="279"/>
      <c r="BG1159" s="279"/>
      <c r="BH1159" s="279"/>
      <c r="BI1159" s="279"/>
      <c r="BJ1159" s="279"/>
      <c r="BK1159" s="279"/>
      <c r="BL1159" s="279"/>
      <c r="BM1159" s="279"/>
      <c r="BN1159" s="279"/>
      <c r="BO1159" s="279"/>
      <c r="BP1159" s="279"/>
      <c r="BQ1159" s="279"/>
      <c r="BR1159" s="279"/>
      <c r="BS1159" s="279"/>
      <c r="BT1159" s="279"/>
      <c r="BU1159" s="279"/>
      <c r="BV1159" s="279"/>
      <c r="BW1159" s="279"/>
      <c r="BX1159" s="279"/>
      <c r="BY1159" s="279"/>
      <c r="BZ1159" s="279"/>
      <c r="CA1159" s="279"/>
      <c r="CB1159" s="279"/>
      <c r="CC1159" s="279"/>
      <c r="CD1159" s="279"/>
      <c r="CE1159" s="279"/>
      <c r="CF1159" s="279"/>
      <c r="CG1159" s="279"/>
      <c r="CH1159" s="279"/>
      <c r="CI1159" s="279"/>
      <c r="CJ1159" s="279"/>
      <c r="CK1159" s="279"/>
      <c r="CL1159" s="279"/>
      <c r="CM1159" s="279"/>
      <c r="CN1159" s="382"/>
    </row>
    <row r="1160" x14ac:dyDescent="0.3">
      <c r="B1160" s="361"/>
      <c r="C1160" s="279"/>
      <c r="D1160" s="280"/>
      <c r="E1160" s="287"/>
      <c r="F1160" s="287"/>
      <c r="G1160" s="287"/>
      <c r="H1160" s="1292">
        <f t="shared" si="57"/>
        <v>29</v>
      </c>
      <c r="I1160" s="1190" t="str">
        <f>'I. Stream &amp; Compound Data'!P290</f>
        <v/>
      </c>
      <c r="J1160" s="1295" t="str">
        <f>IF(I170="","",IF('I. Stream &amp; Compound Data'!BX290="",0,'I. Stream &amp; Compound Data'!BX290))</f>
        <v/>
      </c>
      <c r="K1160" s="1295" t="str">
        <f t="shared" si="59"/>
        <v/>
      </c>
      <c r="L1160" s="1317" t="str">
        <f>IF(K1160="","",IF('I. Stream &amp; Compound Data'!E60="H2O",0,(IF(J1160=0,1,J1160))*I1160))</f>
        <v/>
      </c>
      <c r="M1160" s="296"/>
      <c r="N1160" s="280"/>
      <c r="O1160" s="280"/>
      <c r="P1160" s="279"/>
      <c r="Q1160" s="297"/>
      <c r="R1160" s="298"/>
      <c r="S1160" s="298"/>
      <c r="T1160" s="299"/>
      <c r="U1160" s="279"/>
      <c r="V1160" s="279"/>
      <c r="W1160" s="279"/>
      <c r="X1160" s="279"/>
      <c r="Y1160" s="279"/>
      <c r="Z1160" s="279"/>
      <c r="AA1160" s="279"/>
      <c r="AB1160" s="279"/>
      <c r="AC1160" s="279"/>
      <c r="AD1160" s="279"/>
      <c r="AE1160" s="279"/>
      <c r="AF1160" s="279"/>
      <c r="AG1160" s="279"/>
      <c r="AH1160" s="279"/>
      <c r="AI1160" s="279"/>
      <c r="AJ1160" s="279"/>
      <c r="AK1160" s="279"/>
      <c r="AL1160" s="279"/>
      <c r="AM1160" s="279"/>
      <c r="AN1160" s="279"/>
      <c r="AO1160" s="279"/>
      <c r="AP1160" s="279"/>
      <c r="AQ1160" s="279"/>
      <c r="AR1160" s="279"/>
      <c r="AS1160" s="279"/>
      <c r="AT1160" s="279"/>
      <c r="AU1160" s="279"/>
      <c r="AV1160" s="279"/>
      <c r="AW1160" s="279"/>
      <c r="AX1160" s="279"/>
      <c r="AY1160" s="279"/>
      <c r="AZ1160" s="279"/>
      <c r="BA1160" s="279"/>
      <c r="BB1160" s="279"/>
      <c r="BC1160" s="279"/>
      <c r="BD1160" s="279"/>
      <c r="BE1160" s="279"/>
      <c r="BF1160" s="279"/>
      <c r="BG1160" s="279"/>
      <c r="BH1160" s="279"/>
      <c r="BI1160" s="279"/>
      <c r="BJ1160" s="279"/>
      <c r="BK1160" s="279"/>
      <c r="BL1160" s="279"/>
      <c r="BM1160" s="279"/>
      <c r="BN1160" s="279"/>
      <c r="BO1160" s="279"/>
      <c r="BP1160" s="279"/>
      <c r="BQ1160" s="279"/>
      <c r="BR1160" s="279"/>
      <c r="BS1160" s="279"/>
      <c r="BT1160" s="279"/>
      <c r="BU1160" s="279"/>
      <c r="BV1160" s="279"/>
      <c r="BW1160" s="279"/>
      <c r="BX1160" s="279"/>
      <c r="BY1160" s="279"/>
      <c r="BZ1160" s="279"/>
      <c r="CA1160" s="279"/>
      <c r="CB1160" s="279"/>
      <c r="CC1160" s="279"/>
      <c r="CD1160" s="279"/>
      <c r="CE1160" s="279"/>
      <c r="CF1160" s="279"/>
      <c r="CG1160" s="279"/>
      <c r="CH1160" s="279"/>
      <c r="CI1160" s="279"/>
      <c r="CJ1160" s="279"/>
      <c r="CK1160" s="279"/>
      <c r="CL1160" s="279"/>
      <c r="CM1160" s="279"/>
      <c r="CN1160" s="382"/>
    </row>
    <row r="1161" x14ac:dyDescent="0.3">
      <c r="B1161" s="361"/>
      <c r="C1161" s="279"/>
      <c r="D1161" s="280"/>
      <c r="E1161" s="287"/>
      <c r="F1161" s="287"/>
      <c r="G1161" s="287"/>
      <c r="H1161" s="1292">
        <f t="shared" si="57"/>
        <v>30</v>
      </c>
      <c r="I1161" s="1190" t="str">
        <f>'I. Stream &amp; Compound Data'!P291</f>
        <v/>
      </c>
      <c r="J1161" s="1295" t="str">
        <f>IF(I171="","",IF('I. Stream &amp; Compound Data'!BX291="",0,'I. Stream &amp; Compound Data'!BX291))</f>
        <v/>
      </c>
      <c r="K1161" s="1295" t="str">
        <f t="shared" si="59"/>
        <v/>
      </c>
      <c r="L1161" s="1317" t="str">
        <f>IF(K1161="","",IF('I. Stream &amp; Compound Data'!E61="H2O",0,(IF(J1161=0,1,J1161))*I1161))</f>
        <v/>
      </c>
      <c r="M1161" s="296"/>
      <c r="N1161" s="280"/>
      <c r="O1161" s="280"/>
      <c r="P1161" s="279"/>
      <c r="Q1161" s="297"/>
      <c r="R1161" s="298"/>
      <c r="S1161" s="298"/>
      <c r="T1161" s="299"/>
      <c r="U1161" s="279"/>
      <c r="V1161" s="279"/>
      <c r="W1161" s="279"/>
      <c r="X1161" s="279"/>
      <c r="Y1161" s="279"/>
      <c r="Z1161" s="279"/>
      <c r="AA1161" s="279"/>
      <c r="AB1161" s="279"/>
      <c r="AC1161" s="279"/>
      <c r="AD1161" s="279"/>
      <c r="AE1161" s="279"/>
      <c r="AF1161" s="279"/>
      <c r="AG1161" s="279"/>
      <c r="AH1161" s="279"/>
      <c r="AI1161" s="279"/>
      <c r="AJ1161" s="279"/>
      <c r="AK1161" s="279"/>
      <c r="AL1161" s="279"/>
      <c r="AM1161" s="279"/>
      <c r="AN1161" s="279"/>
      <c r="AO1161" s="279"/>
      <c r="AP1161" s="279"/>
      <c r="AQ1161" s="279"/>
      <c r="AR1161" s="279"/>
      <c r="AS1161" s="279"/>
      <c r="AT1161" s="279"/>
      <c r="AU1161" s="279"/>
      <c r="AV1161" s="279"/>
      <c r="AW1161" s="279"/>
      <c r="AX1161" s="279"/>
      <c r="AY1161" s="279"/>
      <c r="AZ1161" s="279"/>
      <c r="BA1161" s="279"/>
      <c r="BB1161" s="279"/>
      <c r="BC1161" s="279"/>
      <c r="BD1161" s="279"/>
      <c r="BE1161" s="279"/>
      <c r="BF1161" s="279"/>
      <c r="BG1161" s="279"/>
      <c r="BH1161" s="279"/>
      <c r="BI1161" s="279"/>
      <c r="BJ1161" s="279"/>
      <c r="BK1161" s="279"/>
      <c r="BL1161" s="279"/>
      <c r="BM1161" s="279"/>
      <c r="BN1161" s="279"/>
      <c r="BO1161" s="279"/>
      <c r="BP1161" s="279"/>
      <c r="BQ1161" s="279"/>
      <c r="BR1161" s="279"/>
      <c r="BS1161" s="279"/>
      <c r="BT1161" s="279"/>
      <c r="BU1161" s="279"/>
      <c r="BV1161" s="279"/>
      <c r="BW1161" s="279"/>
      <c r="BX1161" s="279"/>
      <c r="BY1161" s="279"/>
      <c r="BZ1161" s="279"/>
      <c r="CA1161" s="279"/>
      <c r="CB1161" s="279"/>
      <c r="CC1161" s="279"/>
      <c r="CD1161" s="279"/>
      <c r="CE1161" s="279"/>
      <c r="CF1161" s="279"/>
      <c r="CG1161" s="279"/>
      <c r="CH1161" s="279"/>
      <c r="CI1161" s="279"/>
      <c r="CJ1161" s="279"/>
      <c r="CK1161" s="279"/>
      <c r="CL1161" s="279"/>
      <c r="CM1161" s="279"/>
      <c r="CN1161" s="382"/>
    </row>
    <row r="1162" x14ac:dyDescent="0.3">
      <c r="B1162" s="361"/>
      <c r="C1162" s="279"/>
      <c r="D1162" s="280"/>
      <c r="E1162" s="287"/>
      <c r="F1162" s="287"/>
      <c r="G1162" s="287"/>
      <c r="H1162" s="1292">
        <f t="shared" si="57"/>
        <v>31</v>
      </c>
      <c r="I1162" s="1190" t="str">
        <f>'I. Stream &amp; Compound Data'!P292</f>
        <v/>
      </c>
      <c r="J1162" s="1295" t="str">
        <f>IF(I172="","",IF('I. Stream &amp; Compound Data'!BX292="",0,'I. Stream &amp; Compound Data'!BX292))</f>
        <v/>
      </c>
      <c r="K1162" s="1295" t="str">
        <f t="shared" si="59"/>
        <v/>
      </c>
      <c r="L1162" s="1317" t="str">
        <f>IF(K1162="","",IF('I. Stream &amp; Compound Data'!E62="H2O",0,(IF(J1162=0,1,J1162))*I1162))</f>
        <v/>
      </c>
      <c r="M1162" s="296"/>
      <c r="N1162" s="280"/>
      <c r="O1162" s="280"/>
      <c r="P1162" s="279"/>
      <c r="Q1162" s="297"/>
      <c r="R1162" s="298"/>
      <c r="S1162" s="298"/>
      <c r="T1162" s="299"/>
      <c r="U1162" s="279"/>
      <c r="V1162" s="279"/>
      <c r="W1162" s="279"/>
      <c r="X1162" s="279"/>
      <c r="Y1162" s="279"/>
      <c r="Z1162" s="279"/>
      <c r="AA1162" s="279"/>
      <c r="AB1162" s="279"/>
      <c r="AC1162" s="279"/>
      <c r="AD1162" s="279"/>
      <c r="AE1162" s="279"/>
      <c r="AF1162" s="279"/>
      <c r="AG1162" s="279"/>
      <c r="AH1162" s="279"/>
      <c r="AI1162" s="279"/>
      <c r="AJ1162" s="279"/>
      <c r="AK1162" s="279"/>
      <c r="AL1162" s="279"/>
      <c r="AM1162" s="279"/>
      <c r="AN1162" s="279"/>
      <c r="AO1162" s="279"/>
      <c r="AP1162" s="279"/>
      <c r="AQ1162" s="279"/>
      <c r="AR1162" s="279"/>
      <c r="AS1162" s="279"/>
      <c r="AT1162" s="279"/>
      <c r="AU1162" s="279"/>
      <c r="AV1162" s="279"/>
      <c r="AW1162" s="279"/>
      <c r="AX1162" s="279"/>
      <c r="AY1162" s="279"/>
      <c r="AZ1162" s="279"/>
      <c r="BA1162" s="279"/>
      <c r="BB1162" s="279"/>
      <c r="BC1162" s="279"/>
      <c r="BD1162" s="279"/>
      <c r="BE1162" s="279"/>
      <c r="BF1162" s="279"/>
      <c r="BG1162" s="279"/>
      <c r="BH1162" s="279"/>
      <c r="BI1162" s="279"/>
      <c r="BJ1162" s="279"/>
      <c r="BK1162" s="279"/>
      <c r="BL1162" s="279"/>
      <c r="BM1162" s="279"/>
      <c r="BN1162" s="279"/>
      <c r="BO1162" s="279"/>
      <c r="BP1162" s="279"/>
      <c r="BQ1162" s="279"/>
      <c r="BR1162" s="279"/>
      <c r="BS1162" s="279"/>
      <c r="BT1162" s="279"/>
      <c r="BU1162" s="279"/>
      <c r="BV1162" s="279"/>
      <c r="BW1162" s="279"/>
      <c r="BX1162" s="279"/>
      <c r="BY1162" s="279"/>
      <c r="BZ1162" s="279"/>
      <c r="CA1162" s="279"/>
      <c r="CB1162" s="279"/>
      <c r="CC1162" s="279"/>
      <c r="CD1162" s="279"/>
      <c r="CE1162" s="279"/>
      <c r="CF1162" s="279"/>
      <c r="CG1162" s="279"/>
      <c r="CH1162" s="279"/>
      <c r="CI1162" s="279"/>
      <c r="CJ1162" s="279"/>
      <c r="CK1162" s="279"/>
      <c r="CL1162" s="279"/>
      <c r="CM1162" s="279"/>
      <c r="CN1162" s="382"/>
    </row>
    <row r="1163" x14ac:dyDescent="0.3">
      <c r="B1163" s="361"/>
      <c r="C1163" s="279"/>
      <c r="D1163" s="280"/>
      <c r="E1163" s="287"/>
      <c r="F1163" s="287"/>
      <c r="G1163" s="287"/>
      <c r="H1163" s="1292">
        <f t="shared" si="57"/>
        <v>32</v>
      </c>
      <c r="I1163" s="1190" t="str">
        <f>'I. Stream &amp; Compound Data'!P293</f>
        <v/>
      </c>
      <c r="J1163" s="1295" t="str">
        <f>IF(I173="","",IF('I. Stream &amp; Compound Data'!BX293="",0,'I. Stream &amp; Compound Data'!BX293))</f>
        <v/>
      </c>
      <c r="K1163" s="1295" t="str">
        <f t="shared" si="59"/>
        <v/>
      </c>
      <c r="L1163" s="1317" t="str">
        <f>IF(K1163="","",IF('I. Stream &amp; Compound Data'!E63="H2O",0,(IF(J1163=0,1,J1163))*I1163))</f>
        <v/>
      </c>
      <c r="M1163" s="296"/>
      <c r="N1163" s="280"/>
      <c r="O1163" s="280"/>
      <c r="P1163" s="279"/>
      <c r="Q1163" s="297"/>
      <c r="R1163" s="298"/>
      <c r="S1163" s="298"/>
      <c r="T1163" s="299"/>
      <c r="U1163" s="279"/>
      <c r="V1163" s="279"/>
      <c r="W1163" s="279"/>
      <c r="X1163" s="279"/>
      <c r="Y1163" s="279"/>
      <c r="Z1163" s="279"/>
      <c r="AA1163" s="279"/>
      <c r="AB1163" s="279"/>
      <c r="AC1163" s="279"/>
      <c r="AD1163" s="279"/>
      <c r="AE1163" s="279"/>
      <c r="AF1163" s="279"/>
      <c r="AG1163" s="279"/>
      <c r="AH1163" s="279"/>
      <c r="AI1163" s="279"/>
      <c r="AJ1163" s="279"/>
      <c r="AK1163" s="279"/>
      <c r="AL1163" s="279"/>
      <c r="AM1163" s="279"/>
      <c r="AN1163" s="279"/>
      <c r="AO1163" s="279"/>
      <c r="AP1163" s="279"/>
      <c r="AQ1163" s="279"/>
      <c r="AR1163" s="279"/>
      <c r="AS1163" s="279"/>
      <c r="AT1163" s="279"/>
      <c r="AU1163" s="279"/>
      <c r="AV1163" s="279"/>
      <c r="AW1163" s="279"/>
      <c r="AX1163" s="279"/>
      <c r="AY1163" s="279"/>
      <c r="AZ1163" s="279"/>
      <c r="BA1163" s="279"/>
      <c r="BB1163" s="279"/>
      <c r="BC1163" s="279"/>
      <c r="BD1163" s="279"/>
      <c r="BE1163" s="279"/>
      <c r="BF1163" s="279"/>
      <c r="BG1163" s="279"/>
      <c r="BH1163" s="279"/>
      <c r="BI1163" s="279"/>
      <c r="BJ1163" s="279"/>
      <c r="BK1163" s="279"/>
      <c r="BL1163" s="279"/>
      <c r="BM1163" s="279"/>
      <c r="BN1163" s="279"/>
      <c r="BO1163" s="279"/>
      <c r="BP1163" s="279"/>
      <c r="BQ1163" s="279"/>
      <c r="BR1163" s="279"/>
      <c r="BS1163" s="279"/>
      <c r="BT1163" s="279"/>
      <c r="BU1163" s="279"/>
      <c r="BV1163" s="279"/>
      <c r="BW1163" s="279"/>
      <c r="BX1163" s="279"/>
      <c r="BY1163" s="279"/>
      <c r="BZ1163" s="279"/>
      <c r="CA1163" s="279"/>
      <c r="CB1163" s="279"/>
      <c r="CC1163" s="279"/>
      <c r="CD1163" s="279"/>
      <c r="CE1163" s="279"/>
      <c r="CF1163" s="279"/>
      <c r="CG1163" s="279"/>
      <c r="CH1163" s="279"/>
      <c r="CI1163" s="279"/>
      <c r="CJ1163" s="279"/>
      <c r="CK1163" s="279"/>
      <c r="CL1163" s="279"/>
      <c r="CM1163" s="279"/>
      <c r="CN1163" s="382"/>
    </row>
    <row r="1164" x14ac:dyDescent="0.3">
      <c r="B1164" s="361"/>
      <c r="C1164" s="279"/>
      <c r="D1164" s="280"/>
      <c r="E1164" s="287"/>
      <c r="F1164" s="287"/>
      <c r="G1164" s="287"/>
      <c r="H1164" s="1292">
        <f t="shared" si="57"/>
        <v>33</v>
      </c>
      <c r="I1164" s="1190" t="str">
        <f>'I. Stream &amp; Compound Data'!P294</f>
        <v/>
      </c>
      <c r="J1164" s="1295" t="str">
        <f>IF(I174="","",IF('I. Stream &amp; Compound Data'!BX294="",0,'I. Stream &amp; Compound Data'!BX294))</f>
        <v/>
      </c>
      <c r="K1164" s="1295" t="str">
        <f t="shared" si="59"/>
        <v/>
      </c>
      <c r="L1164" s="1317" t="str">
        <f>IF(K1164="","",IF('I. Stream &amp; Compound Data'!E64="H2O",0,(IF(J1164=0,1,J1164))*I1164))</f>
        <v/>
      </c>
      <c r="M1164" s="296"/>
      <c r="N1164" s="280"/>
      <c r="O1164" s="280"/>
      <c r="P1164" s="279"/>
      <c r="Q1164" s="297"/>
      <c r="R1164" s="298"/>
      <c r="S1164" s="298"/>
      <c r="T1164" s="299"/>
      <c r="U1164" s="279"/>
      <c r="V1164" s="279"/>
      <c r="W1164" s="279"/>
      <c r="X1164" s="279"/>
      <c r="Y1164" s="279"/>
      <c r="Z1164" s="279"/>
      <c r="AA1164" s="279"/>
      <c r="AB1164" s="279"/>
      <c r="AC1164" s="279"/>
      <c r="AD1164" s="279"/>
      <c r="AE1164" s="279"/>
      <c r="AF1164" s="279"/>
      <c r="AG1164" s="279"/>
      <c r="AH1164" s="279"/>
      <c r="AI1164" s="279"/>
      <c r="AJ1164" s="279"/>
      <c r="AK1164" s="279"/>
      <c r="AL1164" s="279"/>
      <c r="AM1164" s="279"/>
      <c r="AN1164" s="279"/>
      <c r="AO1164" s="279"/>
      <c r="AP1164" s="279"/>
      <c r="AQ1164" s="279"/>
      <c r="AR1164" s="279"/>
      <c r="AS1164" s="279"/>
      <c r="AT1164" s="279"/>
      <c r="AU1164" s="279"/>
      <c r="AV1164" s="279"/>
      <c r="AW1164" s="279"/>
      <c r="AX1164" s="279"/>
      <c r="AY1164" s="279"/>
      <c r="AZ1164" s="279"/>
      <c r="BA1164" s="279"/>
      <c r="BB1164" s="279"/>
      <c r="BC1164" s="279"/>
      <c r="BD1164" s="279"/>
      <c r="BE1164" s="279"/>
      <c r="BF1164" s="279"/>
      <c r="BG1164" s="279"/>
      <c r="BH1164" s="279"/>
      <c r="BI1164" s="279"/>
      <c r="BJ1164" s="279"/>
      <c r="BK1164" s="279"/>
      <c r="BL1164" s="279"/>
      <c r="BM1164" s="279"/>
      <c r="BN1164" s="279"/>
      <c r="BO1164" s="279"/>
      <c r="BP1164" s="279"/>
      <c r="BQ1164" s="279"/>
      <c r="BR1164" s="279"/>
      <c r="BS1164" s="279"/>
      <c r="BT1164" s="279"/>
      <c r="BU1164" s="279"/>
      <c r="BV1164" s="279"/>
      <c r="BW1164" s="279"/>
      <c r="BX1164" s="279"/>
      <c r="BY1164" s="279"/>
      <c r="BZ1164" s="279"/>
      <c r="CA1164" s="279"/>
      <c r="CB1164" s="279"/>
      <c r="CC1164" s="279"/>
      <c r="CD1164" s="279"/>
      <c r="CE1164" s="279"/>
      <c r="CF1164" s="279"/>
      <c r="CG1164" s="279"/>
      <c r="CH1164" s="279"/>
      <c r="CI1164" s="279"/>
      <c r="CJ1164" s="279"/>
      <c r="CK1164" s="279"/>
      <c r="CL1164" s="279"/>
      <c r="CM1164" s="279"/>
      <c r="CN1164" s="382"/>
    </row>
    <row r="1165" x14ac:dyDescent="0.3">
      <c r="B1165" s="361"/>
      <c r="C1165" s="279"/>
      <c r="D1165" s="280"/>
      <c r="E1165" s="287"/>
      <c r="F1165" s="287"/>
      <c r="G1165" s="287"/>
      <c r="H1165" s="1292">
        <f t="shared" si="57"/>
        <v>34</v>
      </c>
      <c r="I1165" s="1190" t="str">
        <f>'I. Stream &amp; Compound Data'!P295</f>
        <v/>
      </c>
      <c r="J1165" s="1295" t="str">
        <f>IF(I175="","",IF('I. Stream &amp; Compound Data'!BX295="",0,'I. Stream &amp; Compound Data'!BX295))</f>
        <v/>
      </c>
      <c r="K1165" s="1295" t="str">
        <f t="shared" si="59"/>
        <v/>
      </c>
      <c r="L1165" s="1317" t="str">
        <f>IF(K1165="","",IF('I. Stream &amp; Compound Data'!E65="H2O",0,(IF(J1165=0,1,J1165))*I1165))</f>
        <v/>
      </c>
      <c r="M1165" s="296"/>
      <c r="N1165" s="280"/>
      <c r="O1165" s="280"/>
      <c r="P1165" s="279"/>
      <c r="Q1165" s="297"/>
      <c r="R1165" s="298"/>
      <c r="S1165" s="298"/>
      <c r="T1165" s="299"/>
      <c r="U1165" s="279"/>
      <c r="V1165" s="279"/>
      <c r="W1165" s="279"/>
      <c r="X1165" s="279"/>
      <c r="Y1165" s="279"/>
      <c r="Z1165" s="279"/>
      <c r="AA1165" s="279"/>
      <c r="AB1165" s="279"/>
      <c r="AC1165" s="279"/>
      <c r="AD1165" s="279"/>
      <c r="AE1165" s="279"/>
      <c r="AF1165" s="279"/>
      <c r="AG1165" s="279"/>
      <c r="AH1165" s="279"/>
      <c r="AI1165" s="279"/>
      <c r="AJ1165" s="279"/>
      <c r="AK1165" s="279"/>
      <c r="AL1165" s="279"/>
      <c r="AM1165" s="279"/>
      <c r="AN1165" s="279"/>
      <c r="AO1165" s="279"/>
      <c r="AP1165" s="279"/>
      <c r="AQ1165" s="279"/>
      <c r="AR1165" s="279"/>
      <c r="AS1165" s="279"/>
      <c r="AT1165" s="279"/>
      <c r="AU1165" s="279"/>
      <c r="AV1165" s="279"/>
      <c r="AW1165" s="279"/>
      <c r="AX1165" s="279"/>
      <c r="AY1165" s="279"/>
      <c r="AZ1165" s="279"/>
      <c r="BA1165" s="279"/>
      <c r="BB1165" s="279"/>
      <c r="BC1165" s="279"/>
      <c r="BD1165" s="279"/>
      <c r="BE1165" s="279"/>
      <c r="BF1165" s="279"/>
      <c r="BG1165" s="279"/>
      <c r="BH1165" s="279"/>
      <c r="BI1165" s="279"/>
      <c r="BJ1165" s="279"/>
      <c r="BK1165" s="279"/>
      <c r="BL1165" s="279"/>
      <c r="BM1165" s="279"/>
      <c r="BN1165" s="279"/>
      <c r="BO1165" s="279"/>
      <c r="BP1165" s="279"/>
      <c r="BQ1165" s="279"/>
      <c r="BR1165" s="279"/>
      <c r="BS1165" s="279"/>
      <c r="BT1165" s="279"/>
      <c r="BU1165" s="279"/>
      <c r="BV1165" s="279"/>
      <c r="BW1165" s="279"/>
      <c r="BX1165" s="279"/>
      <c r="BY1165" s="279"/>
      <c r="BZ1165" s="279"/>
      <c r="CA1165" s="279"/>
      <c r="CB1165" s="279"/>
      <c r="CC1165" s="279"/>
      <c r="CD1165" s="279"/>
      <c r="CE1165" s="279"/>
      <c r="CF1165" s="279"/>
      <c r="CG1165" s="279"/>
      <c r="CH1165" s="279"/>
      <c r="CI1165" s="279"/>
      <c r="CJ1165" s="279"/>
      <c r="CK1165" s="279"/>
      <c r="CL1165" s="279"/>
      <c r="CM1165" s="279"/>
      <c r="CN1165" s="382"/>
    </row>
    <row r="1166" x14ac:dyDescent="0.3">
      <c r="B1166" s="361"/>
      <c r="C1166" s="279"/>
      <c r="D1166" s="280"/>
      <c r="E1166" s="287"/>
      <c r="F1166" s="287"/>
      <c r="G1166" s="287"/>
      <c r="H1166" s="1292">
        <f t="shared" si="57"/>
        <v>35</v>
      </c>
      <c r="I1166" s="1190" t="str">
        <f>'I. Stream &amp; Compound Data'!P296</f>
        <v/>
      </c>
      <c r="J1166" s="1295" t="str">
        <f>IF(I176="","",IF('I. Stream &amp; Compound Data'!BX296="",0,'I. Stream &amp; Compound Data'!BX296))</f>
        <v/>
      </c>
      <c r="K1166" s="1295" t="str">
        <f t="shared" si="59"/>
        <v/>
      </c>
      <c r="L1166" s="1317" t="str">
        <f>IF(K1166="","",IF('I. Stream &amp; Compound Data'!E66="H2O",0,(IF(J1166=0,1,J1166))*I1166))</f>
        <v/>
      </c>
      <c r="M1166" s="296"/>
      <c r="N1166" s="280"/>
      <c r="O1166" s="280"/>
      <c r="P1166" s="279"/>
      <c r="Q1166" s="297"/>
      <c r="R1166" s="298"/>
      <c r="S1166" s="298"/>
      <c r="T1166" s="299"/>
      <c r="U1166" s="279"/>
      <c r="V1166" s="279"/>
      <c r="W1166" s="279"/>
      <c r="X1166" s="279"/>
      <c r="Y1166" s="279"/>
      <c r="Z1166" s="279"/>
      <c r="AA1166" s="279"/>
      <c r="AB1166" s="279"/>
      <c r="AC1166" s="279"/>
      <c r="AD1166" s="279"/>
      <c r="AE1166" s="279"/>
      <c r="AF1166" s="279"/>
      <c r="AG1166" s="279"/>
      <c r="AH1166" s="279"/>
      <c r="AI1166" s="279"/>
      <c r="AJ1166" s="279"/>
      <c r="AK1166" s="279"/>
      <c r="AL1166" s="279"/>
      <c r="AM1166" s="279"/>
      <c r="AN1166" s="279"/>
      <c r="AO1166" s="279"/>
      <c r="AP1166" s="279"/>
      <c r="AQ1166" s="279"/>
      <c r="AR1166" s="279"/>
      <c r="AS1166" s="279"/>
      <c r="AT1166" s="279"/>
      <c r="AU1166" s="279"/>
      <c r="AV1166" s="279"/>
      <c r="AW1166" s="279"/>
      <c r="AX1166" s="279"/>
      <c r="AY1166" s="279"/>
      <c r="AZ1166" s="279"/>
      <c r="BA1166" s="279"/>
      <c r="BB1166" s="279"/>
      <c r="BC1166" s="279"/>
      <c r="BD1166" s="279"/>
      <c r="BE1166" s="279"/>
      <c r="BF1166" s="279"/>
      <c r="BG1166" s="279"/>
      <c r="BH1166" s="279"/>
      <c r="BI1166" s="279"/>
      <c r="BJ1166" s="279"/>
      <c r="BK1166" s="279"/>
      <c r="BL1166" s="279"/>
      <c r="BM1166" s="279"/>
      <c r="BN1166" s="279"/>
      <c r="BO1166" s="279"/>
      <c r="BP1166" s="279"/>
      <c r="BQ1166" s="279"/>
      <c r="BR1166" s="279"/>
      <c r="BS1166" s="279"/>
      <c r="BT1166" s="279"/>
      <c r="BU1166" s="279"/>
      <c r="BV1166" s="279"/>
      <c r="BW1166" s="279"/>
      <c r="BX1166" s="279"/>
      <c r="BY1166" s="279"/>
      <c r="BZ1166" s="279"/>
      <c r="CA1166" s="279"/>
      <c r="CB1166" s="279"/>
      <c r="CC1166" s="279"/>
      <c r="CD1166" s="279"/>
      <c r="CE1166" s="279"/>
      <c r="CF1166" s="279"/>
      <c r="CG1166" s="279"/>
      <c r="CH1166" s="279"/>
      <c r="CI1166" s="279"/>
      <c r="CJ1166" s="279"/>
      <c r="CK1166" s="279"/>
      <c r="CL1166" s="279"/>
      <c r="CM1166" s="279"/>
      <c r="CN1166" s="382"/>
    </row>
    <row r="1167" x14ac:dyDescent="0.3">
      <c r="B1167" s="361"/>
      <c r="C1167" s="279"/>
      <c r="D1167" s="280"/>
      <c r="E1167" s="287"/>
      <c r="F1167" s="287"/>
      <c r="G1167" s="287"/>
      <c r="H1167" s="1292">
        <f t="shared" si="57"/>
        <v>36</v>
      </c>
      <c r="I1167" s="1190" t="str">
        <f>'I. Stream &amp; Compound Data'!P297</f>
        <v/>
      </c>
      <c r="J1167" s="1295" t="str">
        <f>IF(I177="","",IF('I. Stream &amp; Compound Data'!BX297="",0,'I. Stream &amp; Compound Data'!BX297))</f>
        <v/>
      </c>
      <c r="K1167" s="1295" t="str">
        <f t="shared" si="59"/>
        <v/>
      </c>
      <c r="L1167" s="1317" t="str">
        <f>IF(K1167="","",IF('I. Stream &amp; Compound Data'!E67="H2O",0,(IF(J1167=0,1,J1167))*I1167))</f>
        <v/>
      </c>
      <c r="M1167" s="296"/>
      <c r="N1167" s="280"/>
      <c r="O1167" s="280"/>
      <c r="P1167" s="279"/>
      <c r="Q1167" s="297"/>
      <c r="R1167" s="298"/>
      <c r="S1167" s="298"/>
      <c r="T1167" s="299"/>
      <c r="U1167" s="279"/>
      <c r="V1167" s="279"/>
      <c r="W1167" s="279"/>
      <c r="X1167" s="279"/>
      <c r="Y1167" s="279"/>
      <c r="Z1167" s="279"/>
      <c r="AA1167" s="279"/>
      <c r="AB1167" s="279"/>
      <c r="AC1167" s="279"/>
      <c r="AD1167" s="279"/>
      <c r="AE1167" s="279"/>
      <c r="AF1167" s="279"/>
      <c r="AG1167" s="279"/>
      <c r="AH1167" s="279"/>
      <c r="AI1167" s="279"/>
      <c r="AJ1167" s="279"/>
      <c r="AK1167" s="279"/>
      <c r="AL1167" s="279"/>
      <c r="AM1167" s="279"/>
      <c r="AN1167" s="279"/>
      <c r="AO1167" s="279"/>
      <c r="AP1167" s="279"/>
      <c r="AQ1167" s="279"/>
      <c r="AR1167" s="279"/>
      <c r="AS1167" s="279"/>
      <c r="AT1167" s="279"/>
      <c r="AU1167" s="279"/>
      <c r="AV1167" s="279"/>
      <c r="AW1167" s="279"/>
      <c r="AX1167" s="279"/>
      <c r="AY1167" s="279"/>
      <c r="AZ1167" s="279"/>
      <c r="BA1167" s="279"/>
      <c r="BB1167" s="279"/>
      <c r="BC1167" s="279"/>
      <c r="BD1167" s="279"/>
      <c r="BE1167" s="279"/>
      <c r="BF1167" s="279"/>
      <c r="BG1167" s="279"/>
      <c r="BH1167" s="279"/>
      <c r="BI1167" s="279"/>
      <c r="BJ1167" s="279"/>
      <c r="BK1167" s="279"/>
      <c r="BL1167" s="279"/>
      <c r="BM1167" s="279"/>
      <c r="BN1167" s="279"/>
      <c r="BO1167" s="279"/>
      <c r="BP1167" s="279"/>
      <c r="BQ1167" s="279"/>
      <c r="BR1167" s="279"/>
      <c r="BS1167" s="279"/>
      <c r="BT1167" s="279"/>
      <c r="BU1167" s="279"/>
      <c r="BV1167" s="279"/>
      <c r="BW1167" s="279"/>
      <c r="BX1167" s="279"/>
      <c r="BY1167" s="279"/>
      <c r="BZ1167" s="279"/>
      <c r="CA1167" s="279"/>
      <c r="CB1167" s="279"/>
      <c r="CC1167" s="279"/>
      <c r="CD1167" s="279"/>
      <c r="CE1167" s="279"/>
      <c r="CF1167" s="279"/>
      <c r="CG1167" s="279"/>
      <c r="CH1167" s="279"/>
      <c r="CI1167" s="279"/>
      <c r="CJ1167" s="279"/>
      <c r="CK1167" s="279"/>
      <c r="CL1167" s="279"/>
      <c r="CM1167" s="279"/>
      <c r="CN1167" s="382"/>
    </row>
    <row r="1168" x14ac:dyDescent="0.3">
      <c r="B1168" s="361"/>
      <c r="C1168" s="279"/>
      <c r="D1168" s="280"/>
      <c r="E1168" s="287"/>
      <c r="F1168" s="287"/>
      <c r="G1168" s="287"/>
      <c r="H1168" s="1292">
        <f t="shared" si="57"/>
        <v>37</v>
      </c>
      <c r="I1168" s="1190" t="str">
        <f>'I. Stream &amp; Compound Data'!P298</f>
        <v/>
      </c>
      <c r="J1168" s="1295" t="str">
        <f>IF(I178="","",IF('I. Stream &amp; Compound Data'!BX298="",0,'I. Stream &amp; Compound Data'!BX298))</f>
        <v/>
      </c>
      <c r="K1168" s="1295" t="str">
        <f t="shared" si="59"/>
        <v/>
      </c>
      <c r="L1168" s="1317" t="str">
        <f>IF(K1168="","",IF('I. Stream &amp; Compound Data'!E68="H2O",0,(IF(J1168=0,1,J1168))*I1168))</f>
        <v/>
      </c>
      <c r="M1168" s="296"/>
      <c r="N1168" s="280"/>
      <c r="O1168" s="280"/>
      <c r="P1168" s="279"/>
      <c r="Q1168" s="297"/>
      <c r="R1168" s="298"/>
      <c r="S1168" s="298"/>
      <c r="T1168" s="299"/>
      <c r="U1168" s="279"/>
      <c r="V1168" s="279"/>
      <c r="W1168" s="279"/>
      <c r="X1168" s="279"/>
      <c r="Y1168" s="279"/>
      <c r="Z1168" s="279"/>
      <c r="AA1168" s="279"/>
      <c r="AB1168" s="279"/>
      <c r="AC1168" s="279"/>
      <c r="AD1168" s="279"/>
      <c r="AE1168" s="279"/>
      <c r="AF1168" s="279"/>
      <c r="AG1168" s="279"/>
      <c r="AH1168" s="279"/>
      <c r="AI1168" s="279"/>
      <c r="AJ1168" s="279"/>
      <c r="AK1168" s="279"/>
      <c r="AL1168" s="279"/>
      <c r="AM1168" s="279"/>
      <c r="AN1168" s="279"/>
      <c r="AO1168" s="279"/>
      <c r="AP1168" s="279"/>
      <c r="AQ1168" s="279"/>
      <c r="AR1168" s="279"/>
      <c r="AS1168" s="279"/>
      <c r="AT1168" s="279"/>
      <c r="AU1168" s="279"/>
      <c r="AV1168" s="279"/>
      <c r="AW1168" s="279"/>
      <c r="AX1168" s="279"/>
      <c r="AY1168" s="279"/>
      <c r="AZ1168" s="279"/>
      <c r="BA1168" s="279"/>
      <c r="BB1168" s="279"/>
      <c r="BC1168" s="279"/>
      <c r="BD1168" s="279"/>
      <c r="BE1168" s="279"/>
      <c r="BF1168" s="279"/>
      <c r="BG1168" s="279"/>
      <c r="BH1168" s="279"/>
      <c r="BI1168" s="279"/>
      <c r="BJ1168" s="279"/>
      <c r="BK1168" s="279"/>
      <c r="BL1168" s="279"/>
      <c r="BM1168" s="279"/>
      <c r="BN1168" s="279"/>
      <c r="BO1168" s="279"/>
      <c r="BP1168" s="279"/>
      <c r="BQ1168" s="279"/>
      <c r="BR1168" s="279"/>
      <c r="BS1168" s="279"/>
      <c r="BT1168" s="279"/>
      <c r="BU1168" s="279"/>
      <c r="BV1168" s="279"/>
      <c r="BW1168" s="279"/>
      <c r="BX1168" s="279"/>
      <c r="BY1168" s="279"/>
      <c r="BZ1168" s="279"/>
      <c r="CA1168" s="279"/>
      <c r="CB1168" s="279"/>
      <c r="CC1168" s="279"/>
      <c r="CD1168" s="279"/>
      <c r="CE1168" s="279"/>
      <c r="CF1168" s="279"/>
      <c r="CG1168" s="279"/>
      <c r="CH1168" s="279"/>
      <c r="CI1168" s="279"/>
      <c r="CJ1168" s="279"/>
      <c r="CK1168" s="279"/>
      <c r="CL1168" s="279"/>
      <c r="CM1168" s="279"/>
      <c r="CN1168" s="382"/>
    </row>
    <row r="1169" x14ac:dyDescent="0.3">
      <c r="B1169" s="361"/>
      <c r="C1169" s="279"/>
      <c r="D1169" s="280"/>
      <c r="E1169" s="287"/>
      <c r="F1169" s="287"/>
      <c r="G1169" s="287"/>
      <c r="H1169" s="1292">
        <f t="shared" si="57"/>
        <v>38</v>
      </c>
      <c r="I1169" s="1190" t="str">
        <f>'I. Stream &amp; Compound Data'!P299</f>
        <v/>
      </c>
      <c r="J1169" s="1295" t="str">
        <f>IF(I179="","",IF('I. Stream &amp; Compound Data'!BX299="",0,'I. Stream &amp; Compound Data'!BX299))</f>
        <v/>
      </c>
      <c r="K1169" s="1295" t="str">
        <f t="shared" si="59"/>
        <v/>
      </c>
      <c r="L1169" s="1317" t="str">
        <f>IF(K1169="","",IF('I. Stream &amp; Compound Data'!E69="H2O",0,(IF(J1169=0,1,J1169))*I1169))</f>
        <v/>
      </c>
      <c r="M1169" s="296"/>
      <c r="N1169" s="280"/>
      <c r="O1169" s="280"/>
      <c r="P1169" s="279"/>
      <c r="Q1169" s="297"/>
      <c r="R1169" s="298"/>
      <c r="S1169" s="298"/>
      <c r="T1169" s="299"/>
      <c r="U1169" s="279"/>
      <c r="V1169" s="279"/>
      <c r="W1169" s="279"/>
      <c r="X1169" s="279"/>
      <c r="Y1169" s="279"/>
      <c r="Z1169" s="279"/>
      <c r="AA1169" s="279"/>
      <c r="AB1169" s="279"/>
      <c r="AC1169" s="279"/>
      <c r="AD1169" s="279"/>
      <c r="AE1169" s="279"/>
      <c r="AF1169" s="279"/>
      <c r="AG1169" s="279"/>
      <c r="AH1169" s="279"/>
      <c r="AI1169" s="279"/>
      <c r="AJ1169" s="279"/>
      <c r="AK1169" s="279"/>
      <c r="AL1169" s="279"/>
      <c r="AM1169" s="279"/>
      <c r="AN1169" s="279"/>
      <c r="AO1169" s="279"/>
      <c r="AP1169" s="279"/>
      <c r="AQ1169" s="279"/>
      <c r="AR1169" s="279"/>
      <c r="AS1169" s="279"/>
      <c r="AT1169" s="279"/>
      <c r="AU1169" s="279"/>
      <c r="AV1169" s="279"/>
      <c r="AW1169" s="279"/>
      <c r="AX1169" s="279"/>
      <c r="AY1169" s="279"/>
      <c r="AZ1169" s="279"/>
      <c r="BA1169" s="279"/>
      <c r="BB1169" s="279"/>
      <c r="BC1169" s="279"/>
      <c r="BD1169" s="279"/>
      <c r="BE1169" s="279"/>
      <c r="BF1169" s="279"/>
      <c r="BG1169" s="279"/>
      <c r="BH1169" s="279"/>
      <c r="BI1169" s="279"/>
      <c r="BJ1169" s="279"/>
      <c r="BK1169" s="279"/>
      <c r="BL1169" s="279"/>
      <c r="BM1169" s="279"/>
      <c r="BN1169" s="279"/>
      <c r="BO1169" s="279"/>
      <c r="BP1169" s="279"/>
      <c r="BQ1169" s="279"/>
      <c r="BR1169" s="279"/>
      <c r="BS1169" s="279"/>
      <c r="BT1169" s="279"/>
      <c r="BU1169" s="279"/>
      <c r="BV1169" s="279"/>
      <c r="BW1169" s="279"/>
      <c r="BX1169" s="279"/>
      <c r="BY1169" s="279"/>
      <c r="BZ1169" s="279"/>
      <c r="CA1169" s="279"/>
      <c r="CB1169" s="279"/>
      <c r="CC1169" s="279"/>
      <c r="CD1169" s="279"/>
      <c r="CE1169" s="279"/>
      <c r="CF1169" s="279"/>
      <c r="CG1169" s="279"/>
      <c r="CH1169" s="279"/>
      <c r="CI1169" s="279"/>
      <c r="CJ1169" s="279"/>
      <c r="CK1169" s="279"/>
      <c r="CL1169" s="279"/>
      <c r="CM1169" s="279"/>
      <c r="CN1169" s="382"/>
    </row>
    <row r="1170" x14ac:dyDescent="0.3">
      <c r="B1170" s="361"/>
      <c r="C1170" s="279"/>
      <c r="D1170" s="280"/>
      <c r="E1170" s="287"/>
      <c r="F1170" s="287"/>
      <c r="G1170" s="287"/>
      <c r="H1170" s="1292">
        <f t="shared" si="57"/>
        <v>39</v>
      </c>
      <c r="I1170" s="1190" t="str">
        <f>'I. Stream &amp; Compound Data'!P300</f>
        <v/>
      </c>
      <c r="J1170" s="1295" t="str">
        <f>IF(I180="","",IF('I. Stream &amp; Compound Data'!BX300="",0,'I. Stream &amp; Compound Data'!BX300))</f>
        <v/>
      </c>
      <c r="K1170" s="1295" t="str">
        <f t="shared" si="59"/>
        <v/>
      </c>
      <c r="L1170" s="1317" t="str">
        <f>IF(K1170="","",IF('I. Stream &amp; Compound Data'!E70="H2O",0,(IF(J1170=0,1,J1170))*I1170))</f>
        <v/>
      </c>
      <c r="M1170" s="296"/>
      <c r="N1170" s="280"/>
      <c r="O1170" s="280"/>
      <c r="P1170" s="279"/>
      <c r="Q1170" s="297"/>
      <c r="R1170" s="298"/>
      <c r="S1170" s="298"/>
      <c r="T1170" s="299"/>
      <c r="U1170" s="279"/>
      <c r="V1170" s="279"/>
      <c r="W1170" s="279"/>
      <c r="X1170" s="279"/>
      <c r="Y1170" s="279"/>
      <c r="Z1170" s="279"/>
      <c r="AA1170" s="279"/>
      <c r="AB1170" s="279"/>
      <c r="AC1170" s="279"/>
      <c r="AD1170" s="279"/>
      <c r="AE1170" s="279"/>
      <c r="AF1170" s="279"/>
      <c r="AG1170" s="279"/>
      <c r="AH1170" s="279"/>
      <c r="AI1170" s="279"/>
      <c r="AJ1170" s="279"/>
      <c r="AK1170" s="279"/>
      <c r="AL1170" s="279"/>
      <c r="AM1170" s="279"/>
      <c r="AN1170" s="279"/>
      <c r="AO1170" s="279"/>
      <c r="AP1170" s="279"/>
      <c r="AQ1170" s="279"/>
      <c r="AR1170" s="279"/>
      <c r="AS1170" s="279"/>
      <c r="AT1170" s="279"/>
      <c r="AU1170" s="279"/>
      <c r="AV1170" s="279"/>
      <c r="AW1170" s="279"/>
      <c r="AX1170" s="279"/>
      <c r="AY1170" s="279"/>
      <c r="AZ1170" s="279"/>
      <c r="BA1170" s="279"/>
      <c r="BB1170" s="279"/>
      <c r="BC1170" s="279"/>
      <c r="BD1170" s="279"/>
      <c r="BE1170" s="279"/>
      <c r="BF1170" s="279"/>
      <c r="BG1170" s="279"/>
      <c r="BH1170" s="279"/>
      <c r="BI1170" s="279"/>
      <c r="BJ1170" s="279"/>
      <c r="BK1170" s="279"/>
      <c r="BL1170" s="279"/>
      <c r="BM1170" s="279"/>
      <c r="BN1170" s="279"/>
      <c r="BO1170" s="279"/>
      <c r="BP1170" s="279"/>
      <c r="BQ1170" s="279"/>
      <c r="BR1170" s="279"/>
      <c r="BS1170" s="279"/>
      <c r="BT1170" s="279"/>
      <c r="BU1170" s="279"/>
      <c r="BV1170" s="279"/>
      <c r="BW1170" s="279"/>
      <c r="BX1170" s="279"/>
      <c r="BY1170" s="279"/>
      <c r="BZ1170" s="279"/>
      <c r="CA1170" s="279"/>
      <c r="CB1170" s="279"/>
      <c r="CC1170" s="279"/>
      <c r="CD1170" s="279"/>
      <c r="CE1170" s="279"/>
      <c r="CF1170" s="279"/>
      <c r="CG1170" s="279"/>
      <c r="CH1170" s="279"/>
      <c r="CI1170" s="279"/>
      <c r="CJ1170" s="279"/>
      <c r="CK1170" s="279"/>
      <c r="CL1170" s="279"/>
      <c r="CM1170" s="279"/>
      <c r="CN1170" s="382"/>
    </row>
    <row r="1171" x14ac:dyDescent="0.3">
      <c r="B1171" s="361"/>
      <c r="C1171" s="279"/>
      <c r="D1171" s="280"/>
      <c r="E1171" s="287"/>
      <c r="F1171" s="287"/>
      <c r="G1171" s="287"/>
      <c r="H1171" s="1292">
        <f t="shared" si="57"/>
        <v>40</v>
      </c>
      <c r="I1171" s="1190" t="str">
        <f>'I. Stream &amp; Compound Data'!P301</f>
        <v/>
      </c>
      <c r="J1171" s="1295" t="str">
        <f>IF(I181="","",IF('I. Stream &amp; Compound Data'!BX301="",0,'I. Stream &amp; Compound Data'!BX301))</f>
        <v/>
      </c>
      <c r="K1171" s="1295" t="str">
        <f t="shared" si="59"/>
        <v/>
      </c>
      <c r="L1171" s="1317" t="str">
        <f>IF(K1171="","",IF('I. Stream &amp; Compound Data'!E71="H2O",0,(IF(J1171=0,1,J1171))*I1171))</f>
        <v/>
      </c>
      <c r="M1171" s="296"/>
      <c r="N1171" s="280"/>
      <c r="O1171" s="280"/>
      <c r="P1171" s="279"/>
      <c r="Q1171" s="297"/>
      <c r="R1171" s="298"/>
      <c r="S1171" s="298"/>
      <c r="T1171" s="299"/>
      <c r="U1171" s="279"/>
      <c r="V1171" s="279"/>
      <c r="W1171" s="279"/>
      <c r="X1171" s="279"/>
      <c r="Y1171" s="279"/>
      <c r="Z1171" s="279"/>
      <c r="AA1171" s="279"/>
      <c r="AB1171" s="279"/>
      <c r="AC1171" s="279"/>
      <c r="AD1171" s="279"/>
      <c r="AE1171" s="279"/>
      <c r="AF1171" s="279"/>
      <c r="AG1171" s="279"/>
      <c r="AH1171" s="279"/>
      <c r="AI1171" s="279"/>
      <c r="AJ1171" s="279"/>
      <c r="AK1171" s="279"/>
      <c r="AL1171" s="279"/>
      <c r="AM1171" s="279"/>
      <c r="AN1171" s="279"/>
      <c r="AO1171" s="279"/>
      <c r="AP1171" s="279"/>
      <c r="AQ1171" s="279"/>
      <c r="AR1171" s="279"/>
      <c r="AS1171" s="279"/>
      <c r="AT1171" s="279"/>
      <c r="AU1171" s="279"/>
      <c r="AV1171" s="279"/>
      <c r="AW1171" s="279"/>
      <c r="AX1171" s="279"/>
      <c r="AY1171" s="279"/>
      <c r="AZ1171" s="279"/>
      <c r="BA1171" s="279"/>
      <c r="BB1171" s="279"/>
      <c r="BC1171" s="279"/>
      <c r="BD1171" s="279"/>
      <c r="BE1171" s="279"/>
      <c r="BF1171" s="279"/>
      <c r="BG1171" s="279"/>
      <c r="BH1171" s="279"/>
      <c r="BI1171" s="279"/>
      <c r="BJ1171" s="279"/>
      <c r="BK1171" s="279"/>
      <c r="BL1171" s="279"/>
      <c r="BM1171" s="279"/>
      <c r="BN1171" s="279"/>
      <c r="BO1171" s="279"/>
      <c r="BP1171" s="279"/>
      <c r="BQ1171" s="279"/>
      <c r="BR1171" s="279"/>
      <c r="BS1171" s="279"/>
      <c r="BT1171" s="279"/>
      <c r="BU1171" s="279"/>
      <c r="BV1171" s="279"/>
      <c r="BW1171" s="279"/>
      <c r="BX1171" s="279"/>
      <c r="BY1171" s="279"/>
      <c r="BZ1171" s="279"/>
      <c r="CA1171" s="279"/>
      <c r="CB1171" s="279"/>
      <c r="CC1171" s="279"/>
      <c r="CD1171" s="279"/>
      <c r="CE1171" s="279"/>
      <c r="CF1171" s="279"/>
      <c r="CG1171" s="279"/>
      <c r="CH1171" s="279"/>
      <c r="CI1171" s="279"/>
      <c r="CJ1171" s="279"/>
      <c r="CK1171" s="279"/>
      <c r="CL1171" s="279"/>
      <c r="CM1171" s="279"/>
      <c r="CN1171" s="382"/>
    </row>
    <row r="1172" x14ac:dyDescent="0.3">
      <c r="B1172" s="361"/>
      <c r="C1172" s="279"/>
      <c r="D1172" s="280"/>
      <c r="E1172" s="287"/>
      <c r="F1172" s="287"/>
      <c r="G1172" s="287"/>
      <c r="H1172" s="1292">
        <f t="shared" si="57"/>
        <v>41</v>
      </c>
      <c r="I1172" s="1190" t="str">
        <f>'I. Stream &amp; Compound Data'!P302</f>
        <v/>
      </c>
      <c r="J1172" s="1295" t="str">
        <f>IF(I182="","",IF('I. Stream &amp; Compound Data'!BX302="",0,'I. Stream &amp; Compound Data'!BX302))</f>
        <v/>
      </c>
      <c r="K1172" s="1295" t="str">
        <f t="shared" si="59"/>
        <v/>
      </c>
      <c r="L1172" s="1317" t="str">
        <f>IF(K1172="","",IF('I. Stream &amp; Compound Data'!E72="H2O",0,(IF(J1172=0,1,J1172))*I1172))</f>
        <v/>
      </c>
      <c r="M1172" s="296"/>
      <c r="N1172" s="280"/>
      <c r="O1172" s="280"/>
      <c r="P1172" s="279"/>
      <c r="Q1172" s="297"/>
      <c r="R1172" s="298"/>
      <c r="S1172" s="298"/>
      <c r="T1172" s="299"/>
      <c r="U1172" s="279"/>
      <c r="V1172" s="279"/>
      <c r="W1172" s="279"/>
      <c r="X1172" s="279"/>
      <c r="Y1172" s="279"/>
      <c r="Z1172" s="279"/>
      <c r="AA1172" s="279"/>
      <c r="AB1172" s="279"/>
      <c r="AC1172" s="279"/>
      <c r="AD1172" s="279"/>
      <c r="AE1172" s="279"/>
      <c r="AF1172" s="279"/>
      <c r="AG1172" s="279"/>
      <c r="AH1172" s="279"/>
      <c r="AI1172" s="279"/>
      <c r="AJ1172" s="279"/>
      <c r="AK1172" s="279"/>
      <c r="AL1172" s="279"/>
      <c r="AM1172" s="279"/>
      <c r="AN1172" s="279"/>
      <c r="AO1172" s="279"/>
      <c r="AP1172" s="279"/>
      <c r="AQ1172" s="279"/>
      <c r="AR1172" s="279"/>
      <c r="AS1172" s="279"/>
      <c r="AT1172" s="279"/>
      <c r="AU1172" s="279"/>
      <c r="AV1172" s="279"/>
      <c r="AW1172" s="279"/>
      <c r="AX1172" s="279"/>
      <c r="AY1172" s="279"/>
      <c r="AZ1172" s="279"/>
      <c r="BA1172" s="279"/>
      <c r="BB1172" s="279"/>
      <c r="BC1172" s="279"/>
      <c r="BD1172" s="279"/>
      <c r="BE1172" s="279"/>
      <c r="BF1172" s="279"/>
      <c r="BG1172" s="279"/>
      <c r="BH1172" s="279"/>
      <c r="BI1172" s="279"/>
      <c r="BJ1172" s="279"/>
      <c r="BK1172" s="279"/>
      <c r="BL1172" s="279"/>
      <c r="BM1172" s="279"/>
      <c r="BN1172" s="279"/>
      <c r="BO1172" s="279"/>
      <c r="BP1172" s="279"/>
      <c r="BQ1172" s="279"/>
      <c r="BR1172" s="279"/>
      <c r="BS1172" s="279"/>
      <c r="BT1172" s="279"/>
      <c r="BU1172" s="279"/>
      <c r="BV1172" s="279"/>
      <c r="BW1172" s="279"/>
      <c r="BX1172" s="279"/>
      <c r="BY1172" s="279"/>
      <c r="BZ1172" s="279"/>
      <c r="CA1172" s="279"/>
      <c r="CB1172" s="279"/>
      <c r="CC1172" s="279"/>
      <c r="CD1172" s="279"/>
      <c r="CE1172" s="279"/>
      <c r="CF1172" s="279"/>
      <c r="CG1172" s="279"/>
      <c r="CH1172" s="279"/>
      <c r="CI1172" s="279"/>
      <c r="CJ1172" s="279"/>
      <c r="CK1172" s="279"/>
      <c r="CL1172" s="279"/>
      <c r="CM1172" s="279"/>
      <c r="CN1172" s="382"/>
    </row>
    <row r="1173" x14ac:dyDescent="0.3">
      <c r="B1173" s="361"/>
      <c r="C1173" s="279"/>
      <c r="D1173" s="280"/>
      <c r="E1173" s="287"/>
      <c r="F1173" s="287"/>
      <c r="G1173" s="287"/>
      <c r="H1173" s="1292">
        <f t="shared" si="57"/>
        <v>42</v>
      </c>
      <c r="I1173" s="1190" t="str">
        <f>'I. Stream &amp; Compound Data'!P303</f>
        <v/>
      </c>
      <c r="J1173" s="1295" t="str">
        <f>IF(I183="","",IF('I. Stream &amp; Compound Data'!BX303="",0,'I. Stream &amp; Compound Data'!BX303))</f>
        <v/>
      </c>
      <c r="K1173" s="1295" t="str">
        <f t="shared" si="59"/>
        <v/>
      </c>
      <c r="L1173" s="1317" t="str">
        <f>IF(K1173="","",IF('I. Stream &amp; Compound Data'!E73="H2O",0,(IF(J1173=0,1,J1173))*I1173))</f>
        <v/>
      </c>
      <c r="M1173" s="296"/>
      <c r="N1173" s="280"/>
      <c r="O1173" s="280"/>
      <c r="P1173" s="279"/>
      <c r="Q1173" s="297"/>
      <c r="R1173" s="298"/>
      <c r="S1173" s="298"/>
      <c r="T1173" s="299"/>
      <c r="U1173" s="279"/>
      <c r="V1173" s="279"/>
      <c r="W1173" s="279"/>
      <c r="X1173" s="279"/>
      <c r="Y1173" s="279"/>
      <c r="Z1173" s="279"/>
      <c r="AA1173" s="279"/>
      <c r="AB1173" s="279"/>
      <c r="AC1173" s="279"/>
      <c r="AD1173" s="279"/>
      <c r="AE1173" s="279"/>
      <c r="AF1173" s="279"/>
      <c r="AG1173" s="279"/>
      <c r="AH1173" s="279"/>
      <c r="AI1173" s="279"/>
      <c r="AJ1173" s="279"/>
      <c r="AK1173" s="279"/>
      <c r="AL1173" s="279"/>
      <c r="AM1173" s="279"/>
      <c r="AN1173" s="279"/>
      <c r="AO1173" s="279"/>
      <c r="AP1173" s="279"/>
      <c r="AQ1173" s="279"/>
      <c r="AR1173" s="279"/>
      <c r="AS1173" s="279"/>
      <c r="AT1173" s="279"/>
      <c r="AU1173" s="279"/>
      <c r="AV1173" s="279"/>
      <c r="AW1173" s="279"/>
      <c r="AX1173" s="279"/>
      <c r="AY1173" s="279"/>
      <c r="AZ1173" s="279"/>
      <c r="BA1173" s="279"/>
      <c r="BB1173" s="279"/>
      <c r="BC1173" s="279"/>
      <c r="BD1173" s="279"/>
      <c r="BE1173" s="279"/>
      <c r="BF1173" s="279"/>
      <c r="BG1173" s="279"/>
      <c r="BH1173" s="279"/>
      <c r="BI1173" s="279"/>
      <c r="BJ1173" s="279"/>
      <c r="BK1173" s="279"/>
      <c r="BL1173" s="279"/>
      <c r="BM1173" s="279"/>
      <c r="BN1173" s="279"/>
      <c r="BO1173" s="279"/>
      <c r="BP1173" s="279"/>
      <c r="BQ1173" s="279"/>
      <c r="BR1173" s="279"/>
      <c r="BS1173" s="279"/>
      <c r="BT1173" s="279"/>
      <c r="BU1173" s="279"/>
      <c r="BV1173" s="279"/>
      <c r="BW1173" s="279"/>
      <c r="BX1173" s="279"/>
      <c r="BY1173" s="279"/>
      <c r="BZ1173" s="279"/>
      <c r="CA1173" s="279"/>
      <c r="CB1173" s="279"/>
      <c r="CC1173" s="279"/>
      <c r="CD1173" s="279"/>
      <c r="CE1173" s="279"/>
      <c r="CF1173" s="279"/>
      <c r="CG1173" s="279"/>
      <c r="CH1173" s="279"/>
      <c r="CI1173" s="279"/>
      <c r="CJ1173" s="279"/>
      <c r="CK1173" s="279"/>
      <c r="CL1173" s="279"/>
      <c r="CM1173" s="279"/>
      <c r="CN1173" s="382"/>
    </row>
    <row r="1174" x14ac:dyDescent="0.3">
      <c r="B1174" s="361"/>
      <c r="C1174" s="279"/>
      <c r="D1174" s="280"/>
      <c r="E1174" s="287"/>
      <c r="F1174" s="287"/>
      <c r="G1174" s="287"/>
      <c r="H1174" s="1292">
        <f t="shared" si="57"/>
        <v>43</v>
      </c>
      <c r="I1174" s="1190" t="str">
        <f>'I. Stream &amp; Compound Data'!P304</f>
        <v/>
      </c>
      <c r="J1174" s="1295" t="str">
        <f>IF(I184="","",IF('I. Stream &amp; Compound Data'!BX304="",0,'I. Stream &amp; Compound Data'!BX304))</f>
        <v/>
      </c>
      <c r="K1174" s="1295" t="str">
        <f t="shared" si="59"/>
        <v/>
      </c>
      <c r="L1174" s="1317" t="str">
        <f>IF(K1174="","",IF('I. Stream &amp; Compound Data'!E74="H2O",0,(IF(J1174=0,1,J1174))*I1174))</f>
        <v/>
      </c>
      <c r="M1174" s="296"/>
      <c r="N1174" s="280"/>
      <c r="O1174" s="280"/>
      <c r="P1174" s="279"/>
      <c r="Q1174" s="297"/>
      <c r="R1174" s="298"/>
      <c r="S1174" s="298"/>
      <c r="T1174" s="299"/>
      <c r="U1174" s="279"/>
      <c r="V1174" s="279"/>
      <c r="W1174" s="279"/>
      <c r="X1174" s="279"/>
      <c r="Y1174" s="279"/>
      <c r="Z1174" s="279"/>
      <c r="AA1174" s="279"/>
      <c r="AB1174" s="279"/>
      <c r="AC1174" s="279"/>
      <c r="AD1174" s="279"/>
      <c r="AE1174" s="279"/>
      <c r="AF1174" s="279"/>
      <c r="AG1174" s="279"/>
      <c r="AH1174" s="279"/>
      <c r="AI1174" s="279"/>
      <c r="AJ1174" s="279"/>
      <c r="AK1174" s="279"/>
      <c r="AL1174" s="279"/>
      <c r="AM1174" s="279"/>
      <c r="AN1174" s="279"/>
      <c r="AO1174" s="279"/>
      <c r="AP1174" s="279"/>
      <c r="AQ1174" s="279"/>
      <c r="AR1174" s="279"/>
      <c r="AS1174" s="279"/>
      <c r="AT1174" s="279"/>
      <c r="AU1174" s="279"/>
      <c r="AV1174" s="279"/>
      <c r="AW1174" s="279"/>
      <c r="AX1174" s="279"/>
      <c r="AY1174" s="279"/>
      <c r="AZ1174" s="279"/>
      <c r="BA1174" s="279"/>
      <c r="BB1174" s="279"/>
      <c r="BC1174" s="279"/>
      <c r="BD1174" s="279"/>
      <c r="BE1174" s="279"/>
      <c r="BF1174" s="279"/>
      <c r="BG1174" s="279"/>
      <c r="BH1174" s="279"/>
      <c r="BI1174" s="279"/>
      <c r="BJ1174" s="279"/>
      <c r="BK1174" s="279"/>
      <c r="BL1174" s="279"/>
      <c r="BM1174" s="279"/>
      <c r="BN1174" s="279"/>
      <c r="BO1174" s="279"/>
      <c r="BP1174" s="279"/>
      <c r="BQ1174" s="279"/>
      <c r="BR1174" s="279"/>
      <c r="BS1174" s="279"/>
      <c r="BT1174" s="279"/>
      <c r="BU1174" s="279"/>
      <c r="BV1174" s="279"/>
      <c r="BW1174" s="279"/>
      <c r="BX1174" s="279"/>
      <c r="BY1174" s="279"/>
      <c r="BZ1174" s="279"/>
      <c r="CA1174" s="279"/>
      <c r="CB1174" s="279"/>
      <c r="CC1174" s="279"/>
      <c r="CD1174" s="279"/>
      <c r="CE1174" s="279"/>
      <c r="CF1174" s="279"/>
      <c r="CG1174" s="279"/>
      <c r="CH1174" s="279"/>
      <c r="CI1174" s="279"/>
      <c r="CJ1174" s="279"/>
      <c r="CK1174" s="279"/>
      <c r="CL1174" s="279"/>
      <c r="CM1174" s="279"/>
      <c r="CN1174" s="382"/>
    </row>
    <row r="1175" x14ac:dyDescent="0.3">
      <c r="B1175" s="361"/>
      <c r="C1175" s="279"/>
      <c r="D1175" s="280"/>
      <c r="E1175" s="287"/>
      <c r="F1175" s="287"/>
      <c r="G1175" s="287"/>
      <c r="H1175" s="1292">
        <f t="shared" si="57"/>
        <v>44</v>
      </c>
      <c r="I1175" s="1190" t="str">
        <f>'I. Stream &amp; Compound Data'!P305</f>
        <v/>
      </c>
      <c r="J1175" s="1295" t="str">
        <f>IF(I185="","",IF('I. Stream &amp; Compound Data'!BX305="",0,'I. Stream &amp; Compound Data'!BX305))</f>
        <v/>
      </c>
      <c r="K1175" s="1295" t="str">
        <f t="shared" si="59"/>
        <v/>
      </c>
      <c r="L1175" s="1317" t="str">
        <f>IF(K1175="","",IF('I. Stream &amp; Compound Data'!E75="H2O",0,(IF(J1175=0,1,J1175))*I1175))</f>
        <v/>
      </c>
      <c r="M1175" s="296"/>
      <c r="N1175" s="280"/>
      <c r="O1175" s="280"/>
      <c r="P1175" s="279"/>
      <c r="Q1175" s="297"/>
      <c r="R1175" s="298"/>
      <c r="S1175" s="298"/>
      <c r="T1175" s="299"/>
      <c r="U1175" s="279"/>
      <c r="V1175" s="279"/>
      <c r="W1175" s="279"/>
      <c r="X1175" s="279"/>
      <c r="Y1175" s="279"/>
      <c r="Z1175" s="279"/>
      <c r="AA1175" s="279"/>
      <c r="AB1175" s="279"/>
      <c r="AC1175" s="279"/>
      <c r="AD1175" s="279"/>
      <c r="AE1175" s="279"/>
      <c r="AF1175" s="279"/>
      <c r="AG1175" s="279"/>
      <c r="AH1175" s="279"/>
      <c r="AI1175" s="279"/>
      <c r="AJ1175" s="279"/>
      <c r="AK1175" s="279"/>
      <c r="AL1175" s="279"/>
      <c r="AM1175" s="279"/>
      <c r="AN1175" s="279"/>
      <c r="AO1175" s="279"/>
      <c r="AP1175" s="279"/>
      <c r="AQ1175" s="279"/>
      <c r="AR1175" s="279"/>
      <c r="AS1175" s="279"/>
      <c r="AT1175" s="279"/>
      <c r="AU1175" s="279"/>
      <c r="AV1175" s="279"/>
      <c r="AW1175" s="279"/>
      <c r="AX1175" s="279"/>
      <c r="AY1175" s="279"/>
      <c r="AZ1175" s="279"/>
      <c r="BA1175" s="279"/>
      <c r="BB1175" s="279"/>
      <c r="BC1175" s="279"/>
      <c r="BD1175" s="279"/>
      <c r="BE1175" s="279"/>
      <c r="BF1175" s="279"/>
      <c r="BG1175" s="279"/>
      <c r="BH1175" s="279"/>
      <c r="BI1175" s="279"/>
      <c r="BJ1175" s="279"/>
      <c r="BK1175" s="279"/>
      <c r="BL1175" s="279"/>
      <c r="BM1175" s="279"/>
      <c r="BN1175" s="279"/>
      <c r="BO1175" s="279"/>
      <c r="BP1175" s="279"/>
      <c r="BQ1175" s="279"/>
      <c r="BR1175" s="279"/>
      <c r="BS1175" s="279"/>
      <c r="BT1175" s="279"/>
      <c r="BU1175" s="279"/>
      <c r="BV1175" s="279"/>
      <c r="BW1175" s="279"/>
      <c r="BX1175" s="279"/>
      <c r="BY1175" s="279"/>
      <c r="BZ1175" s="279"/>
      <c r="CA1175" s="279"/>
      <c r="CB1175" s="279"/>
      <c r="CC1175" s="279"/>
      <c r="CD1175" s="279"/>
      <c r="CE1175" s="279"/>
      <c r="CF1175" s="279"/>
      <c r="CG1175" s="279"/>
      <c r="CH1175" s="279"/>
      <c r="CI1175" s="279"/>
      <c r="CJ1175" s="279"/>
      <c r="CK1175" s="279"/>
      <c r="CL1175" s="279"/>
      <c r="CM1175" s="279"/>
      <c r="CN1175" s="382"/>
    </row>
    <row r="1176" x14ac:dyDescent="0.3">
      <c r="B1176" s="361"/>
      <c r="C1176" s="279"/>
      <c r="D1176" s="280"/>
      <c r="E1176" s="287"/>
      <c r="F1176" s="287"/>
      <c r="G1176" s="287"/>
      <c r="H1176" s="1292">
        <f t="shared" si="57"/>
        <v>45</v>
      </c>
      <c r="I1176" s="1190" t="str">
        <f>'I. Stream &amp; Compound Data'!P306</f>
        <v/>
      </c>
      <c r="J1176" s="1295" t="str">
        <f>IF(I186="","",IF('I. Stream &amp; Compound Data'!BX306="",0,'I. Stream &amp; Compound Data'!BX306))</f>
        <v/>
      </c>
      <c r="K1176" s="1295" t="str">
        <f t="shared" si="59"/>
        <v/>
      </c>
      <c r="L1176" s="1317" t="str">
        <f>IF(K1176="","",IF('I. Stream &amp; Compound Data'!E76="H2O",0,(IF(J1176=0,1,J1176))*I1176))</f>
        <v/>
      </c>
      <c r="M1176" s="296"/>
      <c r="N1176" s="280"/>
      <c r="O1176" s="280"/>
      <c r="P1176" s="279"/>
      <c r="Q1176" s="297"/>
      <c r="R1176" s="298"/>
      <c r="S1176" s="298"/>
      <c r="T1176" s="299"/>
      <c r="U1176" s="279"/>
      <c r="V1176" s="279"/>
      <c r="W1176" s="279"/>
      <c r="X1176" s="279"/>
      <c r="Y1176" s="279"/>
      <c r="Z1176" s="279"/>
      <c r="AA1176" s="279"/>
      <c r="AB1176" s="279"/>
      <c r="AC1176" s="279"/>
      <c r="AD1176" s="279"/>
      <c r="AE1176" s="279"/>
      <c r="AF1176" s="279"/>
      <c r="AG1176" s="279"/>
      <c r="AH1176" s="279"/>
      <c r="AI1176" s="279"/>
      <c r="AJ1176" s="279"/>
      <c r="AK1176" s="279"/>
      <c r="AL1176" s="279"/>
      <c r="AM1176" s="279"/>
      <c r="AN1176" s="279"/>
      <c r="AO1176" s="279"/>
      <c r="AP1176" s="279"/>
      <c r="AQ1176" s="279"/>
      <c r="AR1176" s="279"/>
      <c r="AS1176" s="279"/>
      <c r="AT1176" s="279"/>
      <c r="AU1176" s="279"/>
      <c r="AV1176" s="279"/>
      <c r="AW1176" s="279"/>
      <c r="AX1176" s="279"/>
      <c r="AY1176" s="279"/>
      <c r="AZ1176" s="279"/>
      <c r="BA1176" s="279"/>
      <c r="BB1176" s="279"/>
      <c r="BC1176" s="279"/>
      <c r="BD1176" s="279"/>
      <c r="BE1176" s="279"/>
      <c r="BF1176" s="279"/>
      <c r="BG1176" s="279"/>
      <c r="BH1176" s="279"/>
      <c r="BI1176" s="279"/>
      <c r="BJ1176" s="279"/>
      <c r="BK1176" s="279"/>
      <c r="BL1176" s="279"/>
      <c r="BM1176" s="279"/>
      <c r="BN1176" s="279"/>
      <c r="BO1176" s="279"/>
      <c r="BP1176" s="279"/>
      <c r="BQ1176" s="279"/>
      <c r="BR1176" s="279"/>
      <c r="BS1176" s="279"/>
      <c r="BT1176" s="279"/>
      <c r="BU1176" s="279"/>
      <c r="BV1176" s="279"/>
      <c r="BW1176" s="279"/>
      <c r="BX1176" s="279"/>
      <c r="BY1176" s="279"/>
      <c r="BZ1176" s="279"/>
      <c r="CA1176" s="279"/>
      <c r="CB1176" s="279"/>
      <c r="CC1176" s="279"/>
      <c r="CD1176" s="279"/>
      <c r="CE1176" s="279"/>
      <c r="CF1176" s="279"/>
      <c r="CG1176" s="279"/>
      <c r="CH1176" s="279"/>
      <c r="CI1176" s="279"/>
      <c r="CJ1176" s="279"/>
      <c r="CK1176" s="279"/>
      <c r="CL1176" s="279"/>
      <c r="CM1176" s="279"/>
      <c r="CN1176" s="382"/>
    </row>
    <row r="1177" x14ac:dyDescent="0.3">
      <c r="B1177" s="361"/>
      <c r="C1177" s="279"/>
      <c r="D1177" s="280"/>
      <c r="E1177" s="287"/>
      <c r="F1177" s="287"/>
      <c r="G1177" s="287"/>
      <c r="H1177" s="1292">
        <f t="shared" si="57"/>
        <v>46</v>
      </c>
      <c r="I1177" s="1190" t="str">
        <f>'I. Stream &amp; Compound Data'!P307</f>
        <v/>
      </c>
      <c r="J1177" s="1295" t="str">
        <f>IF(I187="","",IF('I. Stream &amp; Compound Data'!BX307="",0,'I. Stream &amp; Compound Data'!BX307))</f>
        <v/>
      </c>
      <c r="K1177" s="1295" t="str">
        <f t="shared" si="59"/>
        <v/>
      </c>
      <c r="L1177" s="1317" t="str">
        <f>IF(K1177="","",IF('I. Stream &amp; Compound Data'!E77="H2O",0,(IF(J1177=0,1,J1177))*I1177))</f>
        <v/>
      </c>
      <c r="M1177" s="296"/>
      <c r="N1177" s="280"/>
      <c r="O1177" s="280"/>
      <c r="P1177" s="279"/>
      <c r="Q1177" s="297"/>
      <c r="R1177" s="298"/>
      <c r="S1177" s="298"/>
      <c r="T1177" s="299"/>
      <c r="U1177" s="279"/>
      <c r="V1177" s="279"/>
      <c r="W1177" s="279"/>
      <c r="X1177" s="279"/>
      <c r="Y1177" s="279"/>
      <c r="Z1177" s="279"/>
      <c r="AA1177" s="279"/>
      <c r="AB1177" s="279"/>
      <c r="AC1177" s="279"/>
      <c r="AD1177" s="279"/>
      <c r="AE1177" s="279"/>
      <c r="AF1177" s="279"/>
      <c r="AG1177" s="279"/>
      <c r="AH1177" s="279"/>
      <c r="AI1177" s="279"/>
      <c r="AJ1177" s="279"/>
      <c r="AK1177" s="279"/>
      <c r="AL1177" s="279"/>
      <c r="AM1177" s="279"/>
      <c r="AN1177" s="279"/>
      <c r="AO1177" s="279"/>
      <c r="AP1177" s="279"/>
      <c r="AQ1177" s="279"/>
      <c r="AR1177" s="279"/>
      <c r="AS1177" s="279"/>
      <c r="AT1177" s="279"/>
      <c r="AU1177" s="279"/>
      <c r="AV1177" s="279"/>
      <c r="AW1177" s="279"/>
      <c r="AX1177" s="279"/>
      <c r="AY1177" s="279"/>
      <c r="AZ1177" s="279"/>
      <c r="BA1177" s="279"/>
      <c r="BB1177" s="279"/>
      <c r="BC1177" s="279"/>
      <c r="BD1177" s="279"/>
      <c r="BE1177" s="279"/>
      <c r="BF1177" s="279"/>
      <c r="BG1177" s="279"/>
      <c r="BH1177" s="279"/>
      <c r="BI1177" s="279"/>
      <c r="BJ1177" s="279"/>
      <c r="BK1177" s="279"/>
      <c r="BL1177" s="279"/>
      <c r="BM1177" s="279"/>
      <c r="BN1177" s="279"/>
      <c r="BO1177" s="279"/>
      <c r="BP1177" s="279"/>
      <c r="BQ1177" s="279"/>
      <c r="BR1177" s="279"/>
      <c r="BS1177" s="279"/>
      <c r="BT1177" s="279"/>
      <c r="BU1177" s="279"/>
      <c r="BV1177" s="279"/>
      <c r="BW1177" s="279"/>
      <c r="BX1177" s="279"/>
      <c r="BY1177" s="279"/>
      <c r="BZ1177" s="279"/>
      <c r="CA1177" s="279"/>
      <c r="CB1177" s="279"/>
      <c r="CC1177" s="279"/>
      <c r="CD1177" s="279"/>
      <c r="CE1177" s="279"/>
      <c r="CF1177" s="279"/>
      <c r="CG1177" s="279"/>
      <c r="CH1177" s="279"/>
      <c r="CI1177" s="279"/>
      <c r="CJ1177" s="279"/>
      <c r="CK1177" s="279"/>
      <c r="CL1177" s="279"/>
      <c r="CM1177" s="279"/>
      <c r="CN1177" s="382"/>
    </row>
    <row r="1178" x14ac:dyDescent="0.3">
      <c r="B1178" s="361"/>
      <c r="C1178" s="279"/>
      <c r="D1178" s="280"/>
      <c r="E1178" s="287"/>
      <c r="F1178" s="287"/>
      <c r="G1178" s="287"/>
      <c r="H1178" s="1292">
        <f t="shared" si="57"/>
        <v>47</v>
      </c>
      <c r="I1178" s="1190" t="str">
        <f>'I. Stream &amp; Compound Data'!P308</f>
        <v/>
      </c>
      <c r="J1178" s="1295" t="str">
        <f>IF(I188="","",IF('I. Stream &amp; Compound Data'!BX308="",0,'I. Stream &amp; Compound Data'!BX308))</f>
        <v/>
      </c>
      <c r="K1178" s="1295" t="str">
        <f t="shared" si="59"/>
        <v/>
      </c>
      <c r="L1178" s="1317" t="str">
        <f>IF(K1178="","",IF('I. Stream &amp; Compound Data'!E78="H2O",0,(IF(J1178=0,1,J1178))*I1178))</f>
        <v/>
      </c>
      <c r="M1178" s="296"/>
      <c r="N1178" s="280"/>
      <c r="O1178" s="280"/>
      <c r="P1178" s="279"/>
      <c r="Q1178" s="297"/>
      <c r="R1178" s="298"/>
      <c r="S1178" s="298"/>
      <c r="T1178" s="299"/>
      <c r="U1178" s="279"/>
      <c r="V1178" s="279"/>
      <c r="W1178" s="279"/>
      <c r="X1178" s="279"/>
      <c r="Y1178" s="279"/>
      <c r="Z1178" s="279"/>
      <c r="AA1178" s="279"/>
      <c r="AB1178" s="279"/>
      <c r="AC1178" s="279"/>
      <c r="AD1178" s="279"/>
      <c r="AE1178" s="279"/>
      <c r="AF1178" s="279"/>
      <c r="AG1178" s="279"/>
      <c r="AH1178" s="279"/>
      <c r="AI1178" s="279"/>
      <c r="AJ1178" s="279"/>
      <c r="AK1178" s="279"/>
      <c r="AL1178" s="279"/>
      <c r="AM1178" s="279"/>
      <c r="AN1178" s="279"/>
      <c r="AO1178" s="279"/>
      <c r="AP1178" s="279"/>
      <c r="AQ1178" s="279"/>
      <c r="AR1178" s="279"/>
      <c r="AS1178" s="279"/>
      <c r="AT1178" s="279"/>
      <c r="AU1178" s="279"/>
      <c r="AV1178" s="279"/>
      <c r="AW1178" s="279"/>
      <c r="AX1178" s="279"/>
      <c r="AY1178" s="279"/>
      <c r="AZ1178" s="279"/>
      <c r="BA1178" s="279"/>
      <c r="BB1178" s="279"/>
      <c r="BC1178" s="279"/>
      <c r="BD1178" s="279"/>
      <c r="BE1178" s="279"/>
      <c r="BF1178" s="279"/>
      <c r="BG1178" s="279"/>
      <c r="BH1178" s="279"/>
      <c r="BI1178" s="279"/>
      <c r="BJ1178" s="279"/>
      <c r="BK1178" s="279"/>
      <c r="BL1178" s="279"/>
      <c r="BM1178" s="279"/>
      <c r="BN1178" s="279"/>
      <c r="BO1178" s="279"/>
      <c r="BP1178" s="279"/>
      <c r="BQ1178" s="279"/>
      <c r="BR1178" s="279"/>
      <c r="BS1178" s="279"/>
      <c r="BT1178" s="279"/>
      <c r="BU1178" s="279"/>
      <c r="BV1178" s="279"/>
      <c r="BW1178" s="279"/>
      <c r="BX1178" s="279"/>
      <c r="BY1178" s="279"/>
      <c r="BZ1178" s="279"/>
      <c r="CA1178" s="279"/>
      <c r="CB1178" s="279"/>
      <c r="CC1178" s="279"/>
      <c r="CD1178" s="279"/>
      <c r="CE1178" s="279"/>
      <c r="CF1178" s="279"/>
      <c r="CG1178" s="279"/>
      <c r="CH1178" s="279"/>
      <c r="CI1178" s="279"/>
      <c r="CJ1178" s="279"/>
      <c r="CK1178" s="279"/>
      <c r="CL1178" s="279"/>
      <c r="CM1178" s="279"/>
      <c r="CN1178" s="382"/>
    </row>
    <row r="1179" x14ac:dyDescent="0.3">
      <c r="B1179" s="361"/>
      <c r="C1179" s="279"/>
      <c r="D1179" s="280"/>
      <c r="E1179" s="287"/>
      <c r="F1179" s="287"/>
      <c r="G1179" s="287"/>
      <c r="H1179" s="1292">
        <f t="shared" si="57"/>
        <v>48</v>
      </c>
      <c r="I1179" s="1190" t="str">
        <f>'I. Stream &amp; Compound Data'!P309</f>
        <v/>
      </c>
      <c r="J1179" s="1295" t="str">
        <f>IF(I189="","",IF('I. Stream &amp; Compound Data'!BX309="",0,'I. Stream &amp; Compound Data'!BX309))</f>
        <v/>
      </c>
      <c r="K1179" s="1295" t="str">
        <f t="shared" si="59"/>
        <v/>
      </c>
      <c r="L1179" s="1317" t="str">
        <f>IF(K1179="","",IF('I. Stream &amp; Compound Data'!E79="H2O",0,(IF(J1179=0,1,J1179))*I1179))</f>
        <v/>
      </c>
      <c r="M1179" s="296"/>
      <c r="N1179" s="280"/>
      <c r="O1179" s="280"/>
      <c r="P1179" s="279"/>
      <c r="Q1179" s="297"/>
      <c r="R1179" s="298"/>
      <c r="S1179" s="298"/>
      <c r="T1179" s="299"/>
      <c r="U1179" s="279"/>
      <c r="V1179" s="279"/>
      <c r="W1179" s="279"/>
      <c r="X1179" s="279"/>
      <c r="Y1179" s="279"/>
      <c r="Z1179" s="279"/>
      <c r="AA1179" s="279"/>
      <c r="AB1179" s="279"/>
      <c r="AC1179" s="279"/>
      <c r="AD1179" s="279"/>
      <c r="AE1179" s="279"/>
      <c r="AF1179" s="279"/>
      <c r="AG1179" s="279"/>
      <c r="AH1179" s="279"/>
      <c r="AI1179" s="279"/>
      <c r="AJ1179" s="279"/>
      <c r="AK1179" s="279"/>
      <c r="AL1179" s="279"/>
      <c r="AM1179" s="279"/>
      <c r="AN1179" s="279"/>
      <c r="AO1179" s="279"/>
      <c r="AP1179" s="279"/>
      <c r="AQ1179" s="279"/>
      <c r="AR1179" s="279"/>
      <c r="AS1179" s="279"/>
      <c r="AT1179" s="279"/>
      <c r="AU1179" s="279"/>
      <c r="AV1179" s="279"/>
      <c r="AW1179" s="279"/>
      <c r="AX1179" s="279"/>
      <c r="AY1179" s="279"/>
      <c r="AZ1179" s="279"/>
      <c r="BA1179" s="279"/>
      <c r="BB1179" s="279"/>
      <c r="BC1179" s="279"/>
      <c r="BD1179" s="279"/>
      <c r="BE1179" s="279"/>
      <c r="BF1179" s="279"/>
      <c r="BG1179" s="279"/>
      <c r="BH1179" s="279"/>
      <c r="BI1179" s="279"/>
      <c r="BJ1179" s="279"/>
      <c r="BK1179" s="279"/>
      <c r="BL1179" s="279"/>
      <c r="BM1179" s="279"/>
      <c r="BN1179" s="279"/>
      <c r="BO1179" s="279"/>
      <c r="BP1179" s="279"/>
      <c r="BQ1179" s="279"/>
      <c r="BR1179" s="279"/>
      <c r="BS1179" s="279"/>
      <c r="BT1179" s="279"/>
      <c r="BU1179" s="279"/>
      <c r="BV1179" s="279"/>
      <c r="BW1179" s="279"/>
      <c r="BX1179" s="279"/>
      <c r="BY1179" s="279"/>
      <c r="BZ1179" s="279"/>
      <c r="CA1179" s="279"/>
      <c r="CB1179" s="279"/>
      <c r="CC1179" s="279"/>
      <c r="CD1179" s="279"/>
      <c r="CE1179" s="279"/>
      <c r="CF1179" s="279"/>
      <c r="CG1179" s="279"/>
      <c r="CH1179" s="279"/>
      <c r="CI1179" s="279"/>
      <c r="CJ1179" s="279"/>
      <c r="CK1179" s="279"/>
      <c r="CL1179" s="279"/>
      <c r="CM1179" s="279"/>
      <c r="CN1179" s="382"/>
    </row>
    <row r="1180" x14ac:dyDescent="0.3">
      <c r="B1180" s="361"/>
      <c r="C1180" s="279"/>
      <c r="D1180" s="280"/>
      <c r="E1180" s="287"/>
      <c r="F1180" s="287"/>
      <c r="G1180" s="287"/>
      <c r="H1180" s="1292">
        <f t="shared" si="57"/>
        <v>49</v>
      </c>
      <c r="I1180" s="1190" t="str">
        <f>'I. Stream &amp; Compound Data'!P310</f>
        <v/>
      </c>
      <c r="J1180" s="1295" t="str">
        <f>IF(I190="","",IF('I. Stream &amp; Compound Data'!BX310="",0,'I. Stream &amp; Compound Data'!BX310))</f>
        <v/>
      </c>
      <c r="K1180" s="1295" t="str">
        <f t="shared" si="59"/>
        <v/>
      </c>
      <c r="L1180" s="1317" t="str">
        <f>IF(K1180="","",IF('I. Stream &amp; Compound Data'!E80="H2O",0,(IF(J1180=0,1,J1180))*I1180))</f>
        <v/>
      </c>
      <c r="M1180" s="296"/>
      <c r="N1180" s="280"/>
      <c r="O1180" s="280"/>
      <c r="P1180" s="279"/>
      <c r="Q1180" s="297"/>
      <c r="R1180" s="298"/>
      <c r="S1180" s="298"/>
      <c r="T1180" s="299"/>
      <c r="U1180" s="279"/>
      <c r="V1180" s="279"/>
      <c r="W1180" s="279"/>
      <c r="X1180" s="279"/>
      <c r="Y1180" s="279"/>
      <c r="Z1180" s="279"/>
      <c r="AA1180" s="279"/>
      <c r="AB1180" s="279"/>
      <c r="AC1180" s="279"/>
      <c r="AD1180" s="279"/>
      <c r="AE1180" s="279"/>
      <c r="AF1180" s="279"/>
      <c r="AG1180" s="279"/>
      <c r="AH1180" s="279"/>
      <c r="AI1180" s="279"/>
      <c r="AJ1180" s="279"/>
      <c r="AK1180" s="279"/>
      <c r="AL1180" s="279"/>
      <c r="AM1180" s="279"/>
      <c r="AN1180" s="279"/>
      <c r="AO1180" s="279"/>
      <c r="AP1180" s="279"/>
      <c r="AQ1180" s="279"/>
      <c r="AR1180" s="279"/>
      <c r="AS1180" s="279"/>
      <c r="AT1180" s="279"/>
      <c r="AU1180" s="279"/>
      <c r="AV1180" s="279"/>
      <c r="AW1180" s="279"/>
      <c r="AX1180" s="279"/>
      <c r="AY1180" s="279"/>
      <c r="AZ1180" s="279"/>
      <c r="BA1180" s="279"/>
      <c r="BB1180" s="279"/>
      <c r="BC1180" s="279"/>
      <c r="BD1180" s="279"/>
      <c r="BE1180" s="279"/>
      <c r="BF1180" s="279"/>
      <c r="BG1180" s="279"/>
      <c r="BH1180" s="279"/>
      <c r="BI1180" s="279"/>
      <c r="BJ1180" s="279"/>
      <c r="BK1180" s="279"/>
      <c r="BL1180" s="279"/>
      <c r="BM1180" s="279"/>
      <c r="BN1180" s="279"/>
      <c r="BO1180" s="279"/>
      <c r="BP1180" s="279"/>
      <c r="BQ1180" s="279"/>
      <c r="BR1180" s="279"/>
      <c r="BS1180" s="279"/>
      <c r="BT1180" s="279"/>
      <c r="BU1180" s="279"/>
      <c r="BV1180" s="279"/>
      <c r="BW1180" s="279"/>
      <c r="BX1180" s="279"/>
      <c r="BY1180" s="279"/>
      <c r="BZ1180" s="279"/>
      <c r="CA1180" s="279"/>
      <c r="CB1180" s="279"/>
      <c r="CC1180" s="279"/>
      <c r="CD1180" s="279"/>
      <c r="CE1180" s="279"/>
      <c r="CF1180" s="279"/>
      <c r="CG1180" s="279"/>
      <c r="CH1180" s="279"/>
      <c r="CI1180" s="279"/>
      <c r="CJ1180" s="279"/>
      <c r="CK1180" s="279"/>
      <c r="CL1180" s="279"/>
      <c r="CM1180" s="279"/>
      <c r="CN1180" s="382"/>
    </row>
    <row r="1181" ht="16.2" thickBot="true" x14ac:dyDescent="0.35">
      <c r="B1181" s="361"/>
      <c r="C1181" s="279"/>
      <c r="D1181" s="280"/>
      <c r="E1181" s="287"/>
      <c r="F1181" s="287"/>
      <c r="G1181" s="287"/>
      <c r="H1181" s="1298">
        <f t="shared" si="57"/>
        <v>50</v>
      </c>
      <c r="I1181" s="1259" t="str">
        <f>'I. Stream &amp; Compound Data'!P311</f>
        <v/>
      </c>
      <c r="J1181" s="1301" t="str">
        <f>IF(I191="","",IF('I. Stream &amp; Compound Data'!BX311="",0,'I. Stream &amp; Compound Data'!BX311))</f>
        <v/>
      </c>
      <c r="K1181" s="1301" t="str">
        <f t="shared" si="59"/>
        <v/>
      </c>
      <c r="L1181" s="1318" t="str">
        <f>IF(K1181="","",IF('I. Stream &amp; Compound Data'!E81="H2O",0,(IF(J1181=0,1,J1181))*I1181))</f>
        <v/>
      </c>
      <c r="M1181" s="296"/>
      <c r="N1181" s="280"/>
      <c r="O1181" s="280"/>
      <c r="P1181" s="279"/>
      <c r="Q1181" s="297"/>
      <c r="R1181" s="298"/>
      <c r="S1181" s="298"/>
      <c r="T1181" s="299"/>
      <c r="U1181" s="279"/>
      <c r="V1181" s="279"/>
      <c r="W1181" s="279"/>
      <c r="X1181" s="279"/>
      <c r="Y1181" s="279"/>
      <c r="Z1181" s="279"/>
      <c r="AA1181" s="279"/>
      <c r="AB1181" s="279"/>
      <c r="AC1181" s="279"/>
      <c r="AD1181" s="279"/>
      <c r="AE1181" s="279"/>
      <c r="AF1181" s="279"/>
      <c r="AG1181" s="279"/>
      <c r="AH1181" s="279"/>
      <c r="AI1181" s="279"/>
      <c r="AJ1181" s="279"/>
      <c r="AK1181" s="279"/>
      <c r="AL1181" s="279"/>
      <c r="AM1181" s="279"/>
      <c r="AN1181" s="279"/>
      <c r="AO1181" s="279"/>
      <c r="AP1181" s="279"/>
      <c r="AQ1181" s="279"/>
      <c r="AR1181" s="279"/>
      <c r="AS1181" s="279"/>
      <c r="AT1181" s="279"/>
      <c r="AU1181" s="279"/>
      <c r="AV1181" s="279"/>
      <c r="AW1181" s="279"/>
      <c r="AX1181" s="279"/>
      <c r="AY1181" s="279"/>
      <c r="AZ1181" s="279"/>
      <c r="BA1181" s="279"/>
      <c r="BB1181" s="279"/>
      <c r="BC1181" s="279"/>
      <c r="BD1181" s="279"/>
      <c r="BE1181" s="279"/>
      <c r="BF1181" s="279"/>
      <c r="BG1181" s="279"/>
      <c r="BH1181" s="279"/>
      <c r="BI1181" s="279"/>
      <c r="BJ1181" s="279"/>
      <c r="BK1181" s="279"/>
      <c r="BL1181" s="279"/>
      <c r="BM1181" s="279"/>
      <c r="BN1181" s="279"/>
      <c r="BO1181" s="279"/>
      <c r="BP1181" s="279"/>
      <c r="BQ1181" s="279"/>
      <c r="BR1181" s="279"/>
      <c r="BS1181" s="279"/>
      <c r="BT1181" s="279"/>
      <c r="BU1181" s="279"/>
      <c r="BV1181" s="279"/>
      <c r="BW1181" s="279"/>
      <c r="BX1181" s="279"/>
      <c r="BY1181" s="279"/>
      <c r="BZ1181" s="279"/>
      <c r="CA1181" s="279"/>
      <c r="CB1181" s="279"/>
      <c r="CC1181" s="279"/>
      <c r="CD1181" s="279"/>
      <c r="CE1181" s="279"/>
      <c r="CF1181" s="279"/>
      <c r="CG1181" s="279"/>
      <c r="CH1181" s="279"/>
      <c r="CI1181" s="279"/>
      <c r="CJ1181" s="279"/>
      <c r="CK1181" s="279"/>
      <c r="CL1181" s="279"/>
      <c r="CM1181" s="279"/>
      <c r="CN1181" s="382"/>
    </row>
    <row r="1182" ht="16.2" thickBot="true" x14ac:dyDescent="0.35">
      <c r="B1182" s="361"/>
      <c r="C1182" s="279"/>
      <c r="D1182" s="280"/>
      <c r="E1182" s="287"/>
      <c r="F1182" s="287"/>
      <c r="G1182" s="287"/>
      <c r="H1182" s="280"/>
      <c r="I1182" s="279"/>
      <c r="J1182" s="305" t="s">
        <v>88</v>
      </c>
      <c r="K1182" s="1305">
        <f>SUM(K1132:K1181)</f>
        <v>0</v>
      </c>
      <c r="L1182" s="1305">
        <f>SUM(L1132:L1181)</f>
        <v>2980.7504537999998</v>
      </c>
      <c r="M1182" s="296"/>
      <c r="N1182" s="280"/>
      <c r="O1182" s="280"/>
      <c r="P1182" s="279"/>
      <c r="Q1182" s="297"/>
      <c r="R1182" s="298"/>
      <c r="S1182" s="298"/>
      <c r="T1182" s="299"/>
      <c r="U1182" s="279"/>
      <c r="V1182" s="279"/>
      <c r="W1182" s="279"/>
      <c r="X1182" s="279"/>
      <c r="Y1182" s="279"/>
      <c r="Z1182" s="279"/>
      <c r="AA1182" s="279"/>
      <c r="AB1182" s="279"/>
      <c r="AC1182" s="279"/>
      <c r="AD1182" s="279"/>
      <c r="AE1182" s="279"/>
      <c r="AF1182" s="279"/>
      <c r="AG1182" s="279"/>
      <c r="AH1182" s="279"/>
      <c r="AI1182" s="279"/>
      <c r="AJ1182" s="279"/>
      <c r="AK1182" s="279"/>
      <c r="AL1182" s="279"/>
      <c r="AM1182" s="279"/>
      <c r="AN1182" s="279"/>
      <c r="AO1182" s="279"/>
      <c r="AP1182" s="279"/>
      <c r="AQ1182" s="279"/>
      <c r="AR1182" s="279"/>
      <c r="AS1182" s="279"/>
      <c r="AT1182" s="279"/>
      <c r="AU1182" s="279"/>
      <c r="AV1182" s="279"/>
      <c r="AW1182" s="279"/>
      <c r="AX1182" s="279"/>
      <c r="AY1182" s="279"/>
      <c r="AZ1182" s="279"/>
      <c r="BA1182" s="279"/>
      <c r="BB1182" s="279"/>
      <c r="BC1182" s="279"/>
      <c r="BD1182" s="279"/>
      <c r="BE1182" s="279"/>
      <c r="BF1182" s="279"/>
      <c r="BG1182" s="279"/>
      <c r="BH1182" s="279"/>
      <c r="BI1182" s="279"/>
      <c r="BJ1182" s="279"/>
      <c r="BK1182" s="279"/>
      <c r="BL1182" s="279"/>
      <c r="BM1182" s="279"/>
      <c r="BN1182" s="279"/>
      <c r="BO1182" s="279"/>
      <c r="BP1182" s="279"/>
      <c r="BQ1182" s="279"/>
      <c r="BR1182" s="279"/>
      <c r="BS1182" s="279"/>
      <c r="BT1182" s="279"/>
      <c r="BU1182" s="279"/>
      <c r="BV1182" s="279"/>
      <c r="BW1182" s="279"/>
      <c r="BX1182" s="279"/>
      <c r="BY1182" s="279"/>
      <c r="BZ1182" s="279"/>
      <c r="CA1182" s="279"/>
      <c r="CB1182" s="279"/>
      <c r="CC1182" s="279"/>
      <c r="CD1182" s="279"/>
      <c r="CE1182" s="279"/>
      <c r="CF1182" s="279"/>
      <c r="CG1182" s="279"/>
      <c r="CH1182" s="279"/>
      <c r="CI1182" s="279"/>
      <c r="CJ1182" s="279"/>
      <c r="CK1182" s="279"/>
      <c r="CL1182" s="279"/>
      <c r="CM1182" s="279"/>
      <c r="CN1182" s="382"/>
    </row>
    <row r="1183" x14ac:dyDescent="0.3">
      <c r="B1183" s="361"/>
      <c r="C1183" s="279"/>
      <c r="D1183" s="280"/>
      <c r="E1183" s="287"/>
      <c r="F1183" s="287"/>
      <c r="G1183" s="287"/>
      <c r="H1183" s="280"/>
      <c r="I1183" s="279"/>
      <c r="J1183" s="305"/>
      <c r="K1183" s="287"/>
      <c r="L1183" s="287"/>
      <c r="M1183" s="296"/>
      <c r="N1183" s="280"/>
      <c r="O1183" s="280"/>
      <c r="P1183" s="279"/>
      <c r="Q1183" s="297"/>
      <c r="R1183" s="298"/>
      <c r="S1183" s="298"/>
      <c r="T1183" s="299"/>
      <c r="U1183" s="279"/>
      <c r="V1183" s="279"/>
      <c r="W1183" s="279"/>
      <c r="X1183" s="279"/>
      <c r="Y1183" s="279"/>
      <c r="Z1183" s="279"/>
      <c r="AA1183" s="279"/>
      <c r="AB1183" s="279"/>
      <c r="AC1183" s="279"/>
      <c r="AD1183" s="279"/>
      <c r="AE1183" s="279"/>
      <c r="AF1183" s="279"/>
      <c r="AG1183" s="279"/>
      <c r="AH1183" s="279"/>
      <c r="AI1183" s="279"/>
      <c r="AJ1183" s="279"/>
      <c r="AK1183" s="279"/>
      <c r="AL1183" s="279"/>
      <c r="AM1183" s="279"/>
      <c r="AN1183" s="279"/>
      <c r="AO1183" s="279"/>
      <c r="AP1183" s="279"/>
      <c r="AQ1183" s="279"/>
      <c r="AR1183" s="279"/>
      <c r="AS1183" s="279"/>
      <c r="AT1183" s="279"/>
      <c r="AU1183" s="279"/>
      <c r="AV1183" s="279"/>
      <c r="AW1183" s="279"/>
      <c r="AX1183" s="279"/>
      <c r="AY1183" s="279"/>
      <c r="AZ1183" s="279"/>
      <c r="BA1183" s="279"/>
      <c r="BB1183" s="279"/>
      <c r="BC1183" s="279"/>
      <c r="BD1183" s="279"/>
      <c r="BE1183" s="279"/>
      <c r="BF1183" s="279"/>
      <c r="BG1183" s="279"/>
      <c r="BH1183" s="279"/>
      <c r="BI1183" s="279"/>
      <c r="BJ1183" s="279"/>
      <c r="BK1183" s="279"/>
      <c r="BL1183" s="279"/>
      <c r="BM1183" s="279"/>
      <c r="BN1183" s="279"/>
      <c r="BO1183" s="279"/>
      <c r="BP1183" s="279"/>
      <c r="BQ1183" s="279"/>
      <c r="BR1183" s="279"/>
      <c r="BS1183" s="279"/>
      <c r="BT1183" s="279"/>
      <c r="BU1183" s="279"/>
      <c r="BV1183" s="279"/>
      <c r="BW1183" s="279"/>
      <c r="BX1183" s="279"/>
      <c r="BY1183" s="279"/>
      <c r="BZ1183" s="279"/>
      <c r="CA1183" s="279"/>
      <c r="CB1183" s="279"/>
      <c r="CC1183" s="279"/>
      <c r="CD1183" s="279"/>
      <c r="CE1183" s="279"/>
      <c r="CF1183" s="279"/>
      <c r="CG1183" s="279"/>
      <c r="CH1183" s="279"/>
      <c r="CI1183" s="279"/>
      <c r="CJ1183" s="279"/>
      <c r="CK1183" s="279"/>
      <c r="CL1183" s="279"/>
      <c r="CM1183" s="279"/>
      <c r="CN1183" s="382"/>
    </row>
    <row r="1184" x14ac:dyDescent="0.3">
      <c r="B1184" s="361"/>
      <c r="C1184" s="279"/>
      <c r="D1184" s="280"/>
      <c r="E1184" s="287"/>
      <c r="F1184" s="287"/>
      <c r="G1184" s="287"/>
      <c r="H1184" s="280"/>
      <c r="I1184" s="279"/>
      <c r="J1184" s="305"/>
      <c r="K1184" s="287"/>
      <c r="L1184" s="287"/>
      <c r="M1184" s="296"/>
      <c r="N1184" s="280"/>
      <c r="O1184" s="280"/>
      <c r="P1184" s="279"/>
      <c r="Q1184" s="297"/>
      <c r="R1184" s="298"/>
      <c r="S1184" s="298"/>
      <c r="T1184" s="299"/>
      <c r="U1184" s="279"/>
      <c r="V1184" s="279"/>
      <c r="W1184" s="279"/>
      <c r="X1184" s="279"/>
      <c r="Y1184" s="279"/>
      <c r="Z1184" s="279"/>
      <c r="AA1184" s="279"/>
      <c r="AB1184" s="279"/>
      <c r="AC1184" s="279"/>
      <c r="AD1184" s="279"/>
      <c r="AE1184" s="279"/>
      <c r="AF1184" s="279"/>
      <c r="AG1184" s="279"/>
      <c r="AH1184" s="279"/>
      <c r="AI1184" s="279"/>
      <c r="AJ1184" s="279"/>
      <c r="AK1184" s="279"/>
      <c r="AL1184" s="279"/>
      <c r="AM1184" s="279"/>
      <c r="AN1184" s="279"/>
      <c r="AO1184" s="279"/>
      <c r="AP1184" s="279"/>
      <c r="AQ1184" s="279"/>
      <c r="AR1184" s="279"/>
      <c r="AS1184" s="279"/>
      <c r="AT1184" s="279"/>
      <c r="AU1184" s="279"/>
      <c r="AV1184" s="279"/>
      <c r="AW1184" s="279"/>
      <c r="AX1184" s="279"/>
      <c r="AY1184" s="279"/>
      <c r="AZ1184" s="279"/>
      <c r="BA1184" s="279"/>
      <c r="BB1184" s="279"/>
      <c r="BC1184" s="279"/>
      <c r="BD1184" s="279"/>
      <c r="BE1184" s="279"/>
      <c r="BF1184" s="279"/>
      <c r="BG1184" s="279"/>
      <c r="BH1184" s="279"/>
      <c r="BI1184" s="279"/>
      <c r="BJ1184" s="279"/>
      <c r="BK1184" s="279"/>
      <c r="BL1184" s="279"/>
      <c r="BM1184" s="279"/>
      <c r="BN1184" s="279"/>
      <c r="BO1184" s="279"/>
      <c r="BP1184" s="279"/>
      <c r="BQ1184" s="279"/>
      <c r="BR1184" s="279"/>
      <c r="BS1184" s="279"/>
      <c r="BT1184" s="279"/>
      <c r="BU1184" s="279"/>
      <c r="BV1184" s="279"/>
      <c r="BW1184" s="279"/>
      <c r="BX1184" s="279"/>
      <c r="BY1184" s="279"/>
      <c r="BZ1184" s="279"/>
      <c r="CA1184" s="279"/>
      <c r="CB1184" s="279"/>
      <c r="CC1184" s="279"/>
      <c r="CD1184" s="279"/>
      <c r="CE1184" s="279"/>
      <c r="CF1184" s="279"/>
      <c r="CG1184" s="279"/>
      <c r="CH1184" s="279"/>
      <c r="CI1184" s="279"/>
      <c r="CJ1184" s="279"/>
      <c r="CK1184" s="279"/>
      <c r="CL1184" s="279"/>
      <c r="CM1184" s="279"/>
      <c r="CN1184" s="382"/>
    </row>
    <row r="1185" x14ac:dyDescent="0.3">
      <c r="B1185" s="361"/>
      <c r="C1185" s="279"/>
      <c r="D1185" s="280"/>
      <c r="E1185" s="287"/>
      <c r="F1185" s="287"/>
      <c r="G1185" s="287"/>
      <c r="H1185" s="280"/>
      <c r="I1185" s="279"/>
      <c r="J1185" s="279"/>
      <c r="K1185" s="279"/>
      <c r="L1185" s="280"/>
      <c r="M1185" s="296"/>
      <c r="N1185" s="280"/>
      <c r="O1185" s="280"/>
      <c r="P1185" s="279"/>
      <c r="Q1185" s="297"/>
      <c r="R1185" s="298"/>
      <c r="S1185" s="298"/>
      <c r="T1185" s="299"/>
      <c r="U1185" s="279"/>
      <c r="V1185" s="279"/>
      <c r="W1185" s="279"/>
      <c r="X1185" s="279"/>
      <c r="Y1185" s="279"/>
      <c r="Z1185" s="279"/>
      <c r="AA1185" s="279"/>
      <c r="AB1185" s="279"/>
      <c r="AC1185" s="279"/>
      <c r="AD1185" s="279"/>
      <c r="AE1185" s="279"/>
      <c r="AF1185" s="279"/>
      <c r="AG1185" s="279"/>
      <c r="AH1185" s="279"/>
      <c r="AI1185" s="279"/>
      <c r="AJ1185" s="279"/>
      <c r="AK1185" s="279"/>
      <c r="AL1185" s="279"/>
      <c r="AM1185" s="279"/>
      <c r="AN1185" s="279"/>
      <c r="AO1185" s="279"/>
      <c r="AP1185" s="279"/>
      <c r="AQ1185" s="279"/>
      <c r="AR1185" s="279"/>
      <c r="AS1185" s="279"/>
      <c r="AT1185" s="279"/>
      <c r="AU1185" s="279"/>
      <c r="AV1185" s="279"/>
      <c r="AW1185" s="279"/>
      <c r="AX1185" s="279"/>
      <c r="AY1185" s="279"/>
      <c r="AZ1185" s="279"/>
      <c r="BA1185" s="279"/>
      <c r="BB1185" s="279"/>
      <c r="BC1185" s="279"/>
      <c r="BD1185" s="279"/>
      <c r="BE1185" s="279"/>
      <c r="BF1185" s="279"/>
      <c r="BG1185" s="279"/>
      <c r="BH1185" s="279"/>
      <c r="BI1185" s="279"/>
      <c r="BJ1185" s="279"/>
      <c r="BK1185" s="279"/>
      <c r="BL1185" s="279"/>
      <c r="BM1185" s="279"/>
      <c r="BN1185" s="279"/>
      <c r="BO1185" s="279"/>
      <c r="BP1185" s="279"/>
      <c r="BQ1185" s="279"/>
      <c r="BR1185" s="279"/>
      <c r="BS1185" s="279"/>
      <c r="BT1185" s="279"/>
      <c r="BU1185" s="279"/>
      <c r="BV1185" s="279"/>
      <c r="BW1185" s="279"/>
      <c r="BX1185" s="279"/>
      <c r="BY1185" s="279"/>
      <c r="BZ1185" s="279"/>
      <c r="CA1185" s="279"/>
      <c r="CB1185" s="279"/>
      <c r="CC1185" s="279"/>
      <c r="CD1185" s="279"/>
      <c r="CE1185" s="279"/>
      <c r="CF1185" s="279"/>
      <c r="CG1185" s="279"/>
      <c r="CH1185" s="279"/>
      <c r="CI1185" s="279"/>
      <c r="CJ1185" s="279"/>
      <c r="CK1185" s="279"/>
      <c r="CL1185" s="279"/>
      <c r="CM1185" s="279"/>
      <c r="CN1185" s="382"/>
    </row>
    <row r="1186" x14ac:dyDescent="0.3">
      <c r="B1186" s="361"/>
      <c r="C1186" s="279"/>
      <c r="D1186" s="280"/>
      <c r="E1186" s="287"/>
      <c r="F1186" s="287"/>
      <c r="G1186" s="287"/>
      <c r="H1186" s="280"/>
      <c r="I1186" s="279"/>
      <c r="J1186" s="279"/>
      <c r="K1186" s="279"/>
      <c r="L1186" s="280"/>
      <c r="M1186" s="296"/>
      <c r="N1186" s="280"/>
      <c r="O1186" s="280"/>
      <c r="P1186" s="279"/>
      <c r="Q1186" s="297"/>
      <c r="R1186" s="298"/>
      <c r="S1186" s="298"/>
      <c r="T1186" s="299"/>
      <c r="U1186" s="279"/>
      <c r="V1186" s="279"/>
      <c r="W1186" s="279"/>
      <c r="X1186" s="279"/>
      <c r="Y1186" s="279"/>
      <c r="Z1186" s="279"/>
      <c r="AA1186" s="279"/>
      <c r="AB1186" s="279"/>
      <c r="AC1186" s="279"/>
      <c r="AD1186" s="279"/>
      <c r="AE1186" s="279"/>
      <c r="AF1186" s="279"/>
      <c r="AG1186" s="279"/>
      <c r="AH1186" s="279"/>
      <c r="AI1186" s="279"/>
      <c r="AJ1186" s="279"/>
      <c r="AK1186" s="279"/>
      <c r="AL1186" s="279"/>
      <c r="AM1186" s="279"/>
      <c r="AN1186" s="279"/>
      <c r="AO1186" s="279"/>
      <c r="AP1186" s="279"/>
      <c r="AQ1186" s="279"/>
      <c r="AR1186" s="279"/>
      <c r="AS1186" s="279"/>
      <c r="AT1186" s="279"/>
      <c r="AU1186" s="279"/>
      <c r="AV1186" s="279"/>
      <c r="AW1186" s="279"/>
      <c r="AX1186" s="279"/>
      <c r="AY1186" s="279"/>
      <c r="AZ1186" s="279"/>
      <c r="BA1186" s="279"/>
      <c r="BB1186" s="279"/>
      <c r="BC1186" s="279"/>
      <c r="BD1186" s="279"/>
      <c r="BE1186" s="279"/>
      <c r="BF1186" s="279"/>
      <c r="BG1186" s="279"/>
      <c r="BH1186" s="279"/>
      <c r="BI1186" s="279"/>
      <c r="BJ1186" s="279"/>
      <c r="BK1186" s="279"/>
      <c r="BL1186" s="279"/>
      <c r="BM1186" s="279"/>
      <c r="BN1186" s="279"/>
      <c r="BO1186" s="279"/>
      <c r="BP1186" s="279"/>
      <c r="BQ1186" s="279"/>
      <c r="BR1186" s="279"/>
      <c r="BS1186" s="279"/>
      <c r="BT1186" s="279"/>
      <c r="BU1186" s="279"/>
      <c r="BV1186" s="279"/>
      <c r="BW1186" s="279"/>
      <c r="BX1186" s="279"/>
      <c r="BY1186" s="279"/>
      <c r="BZ1186" s="279"/>
      <c r="CA1186" s="279"/>
      <c r="CB1186" s="279"/>
      <c r="CC1186" s="279"/>
      <c r="CD1186" s="279"/>
      <c r="CE1186" s="279"/>
      <c r="CF1186" s="279"/>
      <c r="CG1186" s="279"/>
      <c r="CH1186" s="279"/>
      <c r="CI1186" s="279"/>
      <c r="CJ1186" s="279"/>
      <c r="CK1186" s="279"/>
      <c r="CL1186" s="279"/>
      <c r="CM1186" s="279"/>
      <c r="CN1186" s="382"/>
    </row>
    <row r="1187" ht="16.2" thickBot="true" x14ac:dyDescent="0.35">
      <c r="B1187" s="361"/>
      <c r="C1187" s="279"/>
      <c r="D1187" s="280"/>
      <c r="E1187" s="287"/>
      <c r="F1187" s="287"/>
      <c r="G1187" s="287"/>
      <c r="H1187" s="280"/>
      <c r="I1187" s="279"/>
      <c r="J1187" s="279"/>
      <c r="K1187" s="279"/>
      <c r="L1187" s="280"/>
      <c r="M1187" s="296"/>
      <c r="N1187" s="280"/>
      <c r="O1187" s="280"/>
      <c r="P1187" s="279"/>
      <c r="Q1187" s="297"/>
      <c r="R1187" s="298"/>
      <c r="S1187" s="298"/>
      <c r="T1187" s="299"/>
      <c r="U1187" s="279"/>
      <c r="V1187" s="279"/>
      <c r="W1187" s="279"/>
      <c r="X1187" s="279"/>
      <c r="Y1187" s="279"/>
      <c r="Z1187" s="279"/>
      <c r="AA1187" s="279"/>
      <c r="AB1187" s="279"/>
      <c r="AC1187" s="279"/>
      <c r="AD1187" s="279"/>
      <c r="AE1187" s="279"/>
      <c r="AF1187" s="279"/>
      <c r="AG1187" s="279"/>
      <c r="AH1187" s="279"/>
      <c r="AI1187" s="279"/>
      <c r="AJ1187" s="279"/>
      <c r="AK1187" s="279"/>
      <c r="AL1187" s="279"/>
      <c r="AM1187" s="279"/>
      <c r="AN1187" s="279"/>
      <c r="AO1187" s="279"/>
      <c r="AP1187" s="279"/>
      <c r="AQ1187" s="279"/>
      <c r="AR1187" s="279"/>
      <c r="AS1187" s="279"/>
      <c r="AT1187" s="279"/>
      <c r="AU1187" s="279"/>
      <c r="AV1187" s="279"/>
      <c r="AW1187" s="279"/>
      <c r="AX1187" s="279"/>
      <c r="AY1187" s="279"/>
      <c r="AZ1187" s="279"/>
      <c r="BA1187" s="279"/>
      <c r="BB1187" s="279"/>
      <c r="BC1187" s="279"/>
      <c r="BD1187" s="279"/>
      <c r="BE1187" s="279"/>
      <c r="BF1187" s="279"/>
      <c r="BG1187" s="279"/>
      <c r="BH1187" s="279"/>
      <c r="BI1187" s="279"/>
      <c r="BJ1187" s="279"/>
      <c r="BK1187" s="279"/>
      <c r="BL1187" s="279"/>
      <c r="BM1187" s="279"/>
      <c r="BN1187" s="279"/>
      <c r="BO1187" s="279"/>
      <c r="BP1187" s="279"/>
      <c r="BQ1187" s="279"/>
      <c r="BR1187" s="279"/>
      <c r="BS1187" s="279"/>
      <c r="BT1187" s="279"/>
      <c r="BU1187" s="279"/>
      <c r="BV1187" s="279"/>
      <c r="BW1187" s="279"/>
      <c r="BX1187" s="279"/>
      <c r="BY1187" s="279"/>
      <c r="BZ1187" s="279"/>
      <c r="CA1187" s="279"/>
      <c r="CB1187" s="279"/>
      <c r="CC1187" s="279"/>
      <c r="CD1187" s="279"/>
      <c r="CE1187" s="279"/>
      <c r="CF1187" s="279"/>
      <c r="CG1187" s="279"/>
      <c r="CH1187" s="279"/>
      <c r="CI1187" s="279"/>
      <c r="CJ1187" s="279"/>
      <c r="CK1187" s="279"/>
      <c r="CL1187" s="279"/>
      <c r="CM1187" s="279"/>
      <c r="CN1187" s="382"/>
    </row>
    <row r="1188" ht="27" customHeight="true" thickBot="true" x14ac:dyDescent="0.35">
      <c r="B1188" s="361"/>
      <c r="C1188" s="279"/>
      <c r="D1188" s="280"/>
      <c r="E1188" s="287"/>
      <c r="F1188" s="287"/>
      <c r="G1188" s="287"/>
      <c r="H1188" s="1953" t="s">
        <v>657</v>
      </c>
      <c r="I1188" s="1954"/>
      <c r="J1188" s="1954"/>
      <c r="K1188" s="1954"/>
      <c r="L1188" s="1955"/>
      <c r="M1188" s="296"/>
      <c r="N1188" s="280"/>
      <c r="O1188" s="280"/>
      <c r="P1188" s="279"/>
      <c r="Q1188" s="297"/>
      <c r="R1188" s="298"/>
      <c r="S1188" s="298"/>
      <c r="T1188" s="299"/>
      <c r="U1188" s="279"/>
      <c r="V1188" s="279"/>
      <c r="W1188" s="279"/>
      <c r="X1188" s="279"/>
      <c r="Y1188" s="279"/>
      <c r="Z1188" s="279"/>
      <c r="AA1188" s="279"/>
      <c r="AB1188" s="279"/>
      <c r="AC1188" s="279"/>
      <c r="AD1188" s="279"/>
      <c r="AE1188" s="279"/>
      <c r="AF1188" s="279"/>
      <c r="AG1188" s="279"/>
      <c r="AH1188" s="279"/>
      <c r="AI1188" s="279"/>
      <c r="AJ1188" s="279"/>
      <c r="AK1188" s="279"/>
      <c r="AL1188" s="279"/>
      <c r="AM1188" s="279"/>
      <c r="AN1188" s="279"/>
      <c r="AO1188" s="279"/>
      <c r="AP1188" s="279"/>
      <c r="AQ1188" s="279"/>
      <c r="AR1188" s="279"/>
      <c r="AS1188" s="279"/>
      <c r="AT1188" s="279"/>
      <c r="AU1188" s="279"/>
      <c r="AV1188" s="279"/>
      <c r="AW1188" s="279"/>
      <c r="AX1188" s="279"/>
      <c r="AY1188" s="279"/>
      <c r="AZ1188" s="279"/>
      <c r="BA1188" s="279"/>
      <c r="BB1188" s="279"/>
      <c r="BC1188" s="279"/>
      <c r="BD1188" s="279"/>
      <c r="BE1188" s="279"/>
      <c r="BF1188" s="279"/>
      <c r="BG1188" s="279"/>
      <c r="BH1188" s="279"/>
      <c r="BI1188" s="279"/>
      <c r="BJ1188" s="279"/>
      <c r="BK1188" s="279"/>
      <c r="BL1188" s="279"/>
      <c r="BM1188" s="279"/>
      <c r="BN1188" s="279"/>
      <c r="BO1188" s="279"/>
      <c r="BP1188" s="279"/>
      <c r="BQ1188" s="279"/>
      <c r="BR1188" s="279"/>
      <c r="BS1188" s="279"/>
      <c r="BT1188" s="279"/>
      <c r="BU1188" s="279"/>
      <c r="BV1188" s="279"/>
      <c r="BW1188" s="279"/>
      <c r="BX1188" s="279"/>
      <c r="BY1188" s="279"/>
      <c r="BZ1188" s="279"/>
      <c r="CA1188" s="279"/>
      <c r="CB1188" s="279"/>
      <c r="CC1188" s="279"/>
      <c r="CD1188" s="279"/>
      <c r="CE1188" s="279"/>
      <c r="CF1188" s="279"/>
      <c r="CG1188" s="279"/>
      <c r="CH1188" s="279"/>
      <c r="CI1188" s="279"/>
      <c r="CJ1188" s="279"/>
      <c r="CK1188" s="279"/>
      <c r="CL1188" s="279"/>
      <c r="CM1188" s="279"/>
      <c r="CN1188" s="382"/>
    </row>
    <row r="1189" ht="30" x14ac:dyDescent="0.3">
      <c r="B1189" s="361"/>
      <c r="C1189" s="279"/>
      <c r="D1189" s="280"/>
      <c r="E1189" s="287"/>
      <c r="F1189" s="287"/>
      <c r="G1189" s="287"/>
      <c r="H1189" s="282" t="s">
        <v>1469</v>
      </c>
      <c r="I1189" s="1166" t="s">
        <v>289</v>
      </c>
      <c r="J1189" s="1166" t="s">
        <v>658</v>
      </c>
      <c r="K1189" s="1184" t="s">
        <v>659</v>
      </c>
      <c r="L1189" s="309" t="s">
        <v>660</v>
      </c>
      <c r="M1189" s="296"/>
      <c r="N1189" s="280"/>
      <c r="O1189" s="280"/>
      <c r="P1189" s="279"/>
      <c r="Q1189" s="297"/>
      <c r="R1189" s="298"/>
      <c r="S1189" s="298"/>
      <c r="T1189" s="299"/>
      <c r="U1189" s="279"/>
      <c r="V1189" s="279"/>
      <c r="W1189" s="279"/>
      <c r="X1189" s="279"/>
      <c r="Y1189" s="279"/>
      <c r="Z1189" s="279"/>
      <c r="AA1189" s="279"/>
      <c r="AB1189" s="279"/>
      <c r="AC1189" s="279"/>
      <c r="AD1189" s="279"/>
      <c r="AE1189" s="279"/>
      <c r="AF1189" s="279"/>
      <c r="AG1189" s="279"/>
      <c r="AH1189" s="279"/>
      <c r="AI1189" s="279"/>
      <c r="AJ1189" s="279"/>
      <c r="AK1189" s="279"/>
      <c r="AL1189" s="279"/>
      <c r="AM1189" s="279"/>
      <c r="AN1189" s="279"/>
      <c r="AO1189" s="279"/>
      <c r="AP1189" s="279"/>
      <c r="AQ1189" s="279"/>
      <c r="AR1189" s="279"/>
      <c r="AS1189" s="279"/>
      <c r="AT1189" s="279"/>
      <c r="AU1189" s="279"/>
      <c r="AV1189" s="279"/>
      <c r="AW1189" s="279"/>
      <c r="AX1189" s="279"/>
      <c r="AY1189" s="279"/>
      <c r="AZ1189" s="279"/>
      <c r="BA1189" s="279"/>
      <c r="BB1189" s="279"/>
      <c r="BC1189" s="279"/>
      <c r="BD1189" s="279"/>
      <c r="BE1189" s="279"/>
      <c r="BF1189" s="279"/>
      <c r="BG1189" s="279"/>
      <c r="BH1189" s="279"/>
      <c r="BI1189" s="279"/>
      <c r="BJ1189" s="279"/>
      <c r="BK1189" s="279"/>
      <c r="BL1189" s="279"/>
      <c r="BM1189" s="279"/>
      <c r="BN1189" s="279"/>
      <c r="BO1189" s="279"/>
      <c r="BP1189" s="279"/>
      <c r="BQ1189" s="279"/>
      <c r="BR1189" s="279"/>
      <c r="BS1189" s="279"/>
      <c r="BT1189" s="279"/>
      <c r="BU1189" s="279"/>
      <c r="BV1189" s="279"/>
      <c r="BW1189" s="279"/>
      <c r="BX1189" s="279"/>
      <c r="BY1189" s="279"/>
      <c r="BZ1189" s="279"/>
      <c r="CA1189" s="279"/>
      <c r="CB1189" s="279"/>
      <c r="CC1189" s="279"/>
      <c r="CD1189" s="279"/>
      <c r="CE1189" s="279"/>
      <c r="CF1189" s="279"/>
      <c r="CG1189" s="279"/>
      <c r="CH1189" s="279"/>
      <c r="CI1189" s="279"/>
      <c r="CJ1189" s="279"/>
      <c r="CK1189" s="279"/>
      <c r="CL1189" s="279"/>
      <c r="CM1189" s="279"/>
      <c r="CN1189" s="382"/>
    </row>
    <row r="1190" x14ac:dyDescent="0.3">
      <c r="B1190" s="361"/>
      <c r="C1190" s="279"/>
      <c r="D1190" s="280"/>
      <c r="E1190" s="287"/>
      <c r="F1190" s="287"/>
      <c r="G1190" s="287"/>
      <c r="H1190" s="1292">
        <f t="shared" ref="H1190:H1209" si="60">H142</f>
        <v>1</v>
      </c>
      <c r="I1190" s="1190">
        <f>'I. Stream &amp; Compound Data'!P262</f>
        <v>2980.7504537999998</v>
      </c>
      <c r="J1190" s="1295">
        <f>IF(I142="","",IF('I. Stream &amp; Compound Data'!BZ262="",0,'I. Stream &amp; Compound Data'!BZ262))</f>
        <v>0</v>
      </c>
      <c r="K1190" s="1295">
        <f t="shared" ref="K1190:K1208" si="61">IF(I142="","",I1190*J1190)</f>
        <v>0</v>
      </c>
      <c r="L1190" s="1317">
        <f>IF(K1190="","",IF('I. Stream &amp; Compound Data'!E32="H2O",0,(IF(J1190=0,1,J1190))*I1190))</f>
        <v>2980.7504537999998</v>
      </c>
      <c r="M1190" s="296"/>
      <c r="N1190" s="280"/>
      <c r="O1190" s="280"/>
      <c r="P1190" s="279"/>
      <c r="Q1190" s="297"/>
      <c r="R1190" s="298"/>
      <c r="S1190" s="298"/>
      <c r="T1190" s="299"/>
      <c r="U1190" s="279"/>
      <c r="V1190" s="279"/>
      <c r="W1190" s="279"/>
      <c r="X1190" s="279"/>
      <c r="Y1190" s="279"/>
      <c r="Z1190" s="279"/>
      <c r="AA1190" s="279"/>
      <c r="AB1190" s="279"/>
      <c r="AC1190" s="279"/>
      <c r="AD1190" s="279"/>
      <c r="AE1190" s="279"/>
      <c r="AF1190" s="279"/>
      <c r="AG1190" s="279"/>
      <c r="AH1190" s="279"/>
      <c r="AI1190" s="279"/>
      <c r="AJ1190" s="279"/>
      <c r="AK1190" s="279"/>
      <c r="AL1190" s="279"/>
      <c r="AM1190" s="279"/>
      <c r="AN1190" s="279"/>
      <c r="AO1190" s="279"/>
      <c r="AP1190" s="279"/>
      <c r="AQ1190" s="279"/>
      <c r="AR1190" s="279"/>
      <c r="AS1190" s="279"/>
      <c r="AT1190" s="279"/>
      <c r="AU1190" s="279"/>
      <c r="AV1190" s="279"/>
      <c r="AW1190" s="279"/>
      <c r="AX1190" s="279"/>
      <c r="AY1190" s="279"/>
      <c r="AZ1190" s="279"/>
      <c r="BA1190" s="279"/>
      <c r="BB1190" s="279"/>
      <c r="BC1190" s="279"/>
      <c r="BD1190" s="279"/>
      <c r="BE1190" s="279"/>
      <c r="BF1190" s="279"/>
      <c r="BG1190" s="279"/>
      <c r="BH1190" s="279"/>
      <c r="BI1190" s="279"/>
      <c r="BJ1190" s="279"/>
      <c r="BK1190" s="279"/>
      <c r="BL1190" s="279"/>
      <c r="BM1190" s="279"/>
      <c r="BN1190" s="279"/>
      <c r="BO1190" s="279"/>
      <c r="BP1190" s="279"/>
      <c r="BQ1190" s="279"/>
      <c r="BR1190" s="279"/>
      <c r="BS1190" s="279"/>
      <c r="BT1190" s="279"/>
      <c r="BU1190" s="279"/>
      <c r="BV1190" s="279"/>
      <c r="BW1190" s="279"/>
      <c r="BX1190" s="279"/>
      <c r="BY1190" s="279"/>
      <c r="BZ1190" s="279"/>
      <c r="CA1190" s="279"/>
      <c r="CB1190" s="279"/>
      <c r="CC1190" s="279"/>
      <c r="CD1190" s="279"/>
      <c r="CE1190" s="279"/>
      <c r="CF1190" s="279"/>
      <c r="CG1190" s="279"/>
      <c r="CH1190" s="279"/>
      <c r="CI1190" s="279"/>
      <c r="CJ1190" s="279"/>
      <c r="CK1190" s="279"/>
      <c r="CL1190" s="279"/>
      <c r="CM1190" s="279"/>
      <c r="CN1190" s="382"/>
    </row>
    <row r="1191" x14ac:dyDescent="0.3">
      <c r="B1191" s="361"/>
      <c r="C1191" s="279"/>
      <c r="D1191" s="280"/>
      <c r="E1191" s="287"/>
      <c r="F1191" s="287"/>
      <c r="G1191" s="287"/>
      <c r="H1191" s="1292">
        <f t="shared" si="60"/>
        <v>2</v>
      </c>
      <c r="I1191" s="1190">
        <f>'I. Stream &amp; Compound Data'!P263</f>
        <v>0</v>
      </c>
      <c r="J1191" s="1295">
        <f>IF(I143="","",IF('I. Stream &amp; Compound Data'!BZ263="",0,'I. Stream &amp; Compound Data'!BZ263))</f>
        <v>0</v>
      </c>
      <c r="K1191" s="1295">
        <f t="shared" si="61"/>
        <v>0</v>
      </c>
      <c r="L1191" s="1317">
        <f>IF(K1191="","",IF('I. Stream &amp; Compound Data'!E33="H2O",0,(IF(J1191=0,1,J1191))*I1191))</f>
        <v>0</v>
      </c>
      <c r="M1191" s="296"/>
      <c r="N1191" s="280"/>
      <c r="O1191" s="280"/>
      <c r="P1191" s="279"/>
      <c r="Q1191" s="297"/>
      <c r="R1191" s="298"/>
      <c r="S1191" s="298"/>
      <c r="T1191" s="299"/>
      <c r="U1191" s="279"/>
      <c r="V1191" s="279"/>
      <c r="W1191" s="279"/>
      <c r="X1191" s="279"/>
      <c r="Y1191" s="279"/>
      <c r="Z1191" s="279"/>
      <c r="AA1191" s="279"/>
      <c r="AB1191" s="279"/>
      <c r="AC1191" s="279"/>
      <c r="AD1191" s="279"/>
      <c r="AE1191" s="279"/>
      <c r="AF1191" s="279"/>
      <c r="AG1191" s="279"/>
      <c r="AH1191" s="279"/>
      <c r="AI1191" s="279"/>
      <c r="AJ1191" s="279"/>
      <c r="AK1191" s="279"/>
      <c r="AL1191" s="279"/>
      <c r="AM1191" s="279"/>
      <c r="AN1191" s="279"/>
      <c r="AO1191" s="279"/>
      <c r="AP1191" s="279"/>
      <c r="AQ1191" s="279"/>
      <c r="AR1191" s="279"/>
      <c r="AS1191" s="279"/>
      <c r="AT1191" s="279"/>
      <c r="AU1191" s="279"/>
      <c r="AV1191" s="279"/>
      <c r="AW1191" s="279"/>
      <c r="AX1191" s="279"/>
      <c r="AY1191" s="279"/>
      <c r="AZ1191" s="279"/>
      <c r="BA1191" s="279"/>
      <c r="BB1191" s="279"/>
      <c r="BC1191" s="279"/>
      <c r="BD1191" s="279"/>
      <c r="BE1191" s="279"/>
      <c r="BF1191" s="279"/>
      <c r="BG1191" s="279"/>
      <c r="BH1191" s="279"/>
      <c r="BI1191" s="279"/>
      <c r="BJ1191" s="279"/>
      <c r="BK1191" s="279"/>
      <c r="BL1191" s="279"/>
      <c r="BM1191" s="279"/>
      <c r="BN1191" s="279"/>
      <c r="BO1191" s="279"/>
      <c r="BP1191" s="279"/>
      <c r="BQ1191" s="279"/>
      <c r="BR1191" s="279"/>
      <c r="BS1191" s="279"/>
      <c r="BT1191" s="279"/>
      <c r="BU1191" s="279"/>
      <c r="BV1191" s="279"/>
      <c r="BW1191" s="279"/>
      <c r="BX1191" s="279"/>
      <c r="BY1191" s="279"/>
      <c r="BZ1191" s="279"/>
      <c r="CA1191" s="279"/>
      <c r="CB1191" s="279"/>
      <c r="CC1191" s="279"/>
      <c r="CD1191" s="279"/>
      <c r="CE1191" s="279"/>
      <c r="CF1191" s="279"/>
      <c r="CG1191" s="279"/>
      <c r="CH1191" s="279"/>
      <c r="CI1191" s="279"/>
      <c r="CJ1191" s="279"/>
      <c r="CK1191" s="279"/>
      <c r="CL1191" s="279"/>
      <c r="CM1191" s="279"/>
      <c r="CN1191" s="382"/>
    </row>
    <row r="1192" x14ac:dyDescent="0.3">
      <c r="B1192" s="361"/>
      <c r="C1192" s="279"/>
      <c r="D1192" s="280"/>
      <c r="E1192" s="287"/>
      <c r="F1192" s="287"/>
      <c r="G1192" s="287"/>
      <c r="H1192" s="1292">
        <f t="shared" si="60"/>
        <v>3</v>
      </c>
      <c r="I1192" s="1190">
        <f>'I. Stream &amp; Compound Data'!P264</f>
        <v>0</v>
      </c>
      <c r="J1192" s="1295">
        <f>IF(I144="","",IF('I. Stream &amp; Compound Data'!BZ264="",0,'I. Stream &amp; Compound Data'!BZ264))</f>
        <v>0</v>
      </c>
      <c r="K1192" s="1295">
        <f t="shared" si="61"/>
        <v>0</v>
      </c>
      <c r="L1192" s="1317">
        <f>IF(K1192="","",IF('I. Stream &amp; Compound Data'!E34="H2O",0,(IF(J1192=0,1,J1192))*I1192))</f>
        <v>0</v>
      </c>
      <c r="M1192" s="296"/>
      <c r="N1192" s="280"/>
      <c r="O1192" s="280"/>
      <c r="P1192" s="279"/>
      <c r="Q1192" s="297"/>
      <c r="R1192" s="298"/>
      <c r="S1192" s="298"/>
      <c r="T1192" s="299"/>
      <c r="U1192" s="279"/>
      <c r="V1192" s="279"/>
      <c r="W1192" s="279"/>
      <c r="X1192" s="279"/>
      <c r="Y1192" s="279"/>
      <c r="Z1192" s="279"/>
      <c r="AA1192" s="279"/>
      <c r="AB1192" s="279"/>
      <c r="AC1192" s="279"/>
      <c r="AD1192" s="279"/>
      <c r="AE1192" s="279"/>
      <c r="AF1192" s="279"/>
      <c r="AG1192" s="279"/>
      <c r="AH1192" s="279"/>
      <c r="AI1192" s="279"/>
      <c r="AJ1192" s="279"/>
      <c r="AK1192" s="279"/>
      <c r="AL1192" s="279"/>
      <c r="AM1192" s="279"/>
      <c r="AN1192" s="279"/>
      <c r="AO1192" s="279"/>
      <c r="AP1192" s="279"/>
      <c r="AQ1192" s="279"/>
      <c r="AR1192" s="279"/>
      <c r="AS1192" s="279"/>
      <c r="AT1192" s="279"/>
      <c r="AU1192" s="279"/>
      <c r="AV1192" s="279"/>
      <c r="AW1192" s="279"/>
      <c r="AX1192" s="279"/>
      <c r="AY1192" s="279"/>
      <c r="AZ1192" s="279"/>
      <c r="BA1192" s="279"/>
      <c r="BB1192" s="279"/>
      <c r="BC1192" s="279"/>
      <c r="BD1192" s="279"/>
      <c r="BE1192" s="279"/>
      <c r="BF1192" s="279"/>
      <c r="BG1192" s="279"/>
      <c r="BH1192" s="279"/>
      <c r="BI1192" s="279"/>
      <c r="BJ1192" s="279"/>
      <c r="BK1192" s="279"/>
      <c r="BL1192" s="279"/>
      <c r="BM1192" s="279"/>
      <c r="BN1192" s="279"/>
      <c r="BO1192" s="279"/>
      <c r="BP1192" s="279"/>
      <c r="BQ1192" s="279"/>
      <c r="BR1192" s="279"/>
      <c r="BS1192" s="279"/>
      <c r="BT1192" s="279"/>
      <c r="BU1192" s="279"/>
      <c r="BV1192" s="279"/>
      <c r="BW1192" s="279"/>
      <c r="BX1192" s="279"/>
      <c r="BY1192" s="279"/>
      <c r="BZ1192" s="279"/>
      <c r="CA1192" s="279"/>
      <c r="CB1192" s="279"/>
      <c r="CC1192" s="279"/>
      <c r="CD1192" s="279"/>
      <c r="CE1192" s="279"/>
      <c r="CF1192" s="279"/>
      <c r="CG1192" s="279"/>
      <c r="CH1192" s="279"/>
      <c r="CI1192" s="279"/>
      <c r="CJ1192" s="279"/>
      <c r="CK1192" s="279"/>
      <c r="CL1192" s="279"/>
      <c r="CM1192" s="279"/>
      <c r="CN1192" s="382"/>
    </row>
    <row r="1193" x14ac:dyDescent="0.3">
      <c r="B1193" s="361"/>
      <c r="C1193" s="279"/>
      <c r="D1193" s="280"/>
      <c r="E1193" s="287"/>
      <c r="F1193" s="287"/>
      <c r="G1193" s="287"/>
      <c r="H1193" s="1292">
        <f t="shared" si="60"/>
        <v>4</v>
      </c>
      <c r="I1193" s="1190">
        <f>'I. Stream &amp; Compound Data'!P265</f>
        <v>0</v>
      </c>
      <c r="J1193" s="1295">
        <f>IF(I145="","",IF('I. Stream &amp; Compound Data'!BZ265="",0,'I. Stream &amp; Compound Data'!BZ265))</f>
        <v>0</v>
      </c>
      <c r="K1193" s="1295">
        <f t="shared" si="61"/>
        <v>0</v>
      </c>
      <c r="L1193" s="1317">
        <f>IF(K1193="","",IF('I. Stream &amp; Compound Data'!E35="H2O",0,(IF(J1193=0,1,J1193))*I1193))</f>
        <v>0</v>
      </c>
      <c r="M1193" s="296"/>
      <c r="N1193" s="280"/>
      <c r="O1193" s="280"/>
      <c r="P1193" s="279"/>
      <c r="Q1193" s="297"/>
      <c r="R1193" s="298"/>
      <c r="S1193" s="298"/>
      <c r="T1193" s="299"/>
      <c r="U1193" s="279"/>
      <c r="V1193" s="279"/>
      <c r="W1193" s="279"/>
      <c r="X1193" s="279"/>
      <c r="Y1193" s="279"/>
      <c r="Z1193" s="279"/>
      <c r="AA1193" s="279"/>
      <c r="AB1193" s="279"/>
      <c r="AC1193" s="279"/>
      <c r="AD1193" s="279"/>
      <c r="AE1193" s="279"/>
      <c r="AF1193" s="279"/>
      <c r="AG1193" s="279"/>
      <c r="AH1193" s="279"/>
      <c r="AI1193" s="279"/>
      <c r="AJ1193" s="279"/>
      <c r="AK1193" s="279"/>
      <c r="AL1193" s="279"/>
      <c r="AM1193" s="279"/>
      <c r="AN1193" s="279"/>
      <c r="AO1193" s="279"/>
      <c r="AP1193" s="279"/>
      <c r="AQ1193" s="279"/>
      <c r="AR1193" s="279"/>
      <c r="AS1193" s="279"/>
      <c r="AT1193" s="279"/>
      <c r="AU1193" s="279"/>
      <c r="AV1193" s="279"/>
      <c r="AW1193" s="279"/>
      <c r="AX1193" s="279"/>
      <c r="AY1193" s="279"/>
      <c r="AZ1193" s="279"/>
      <c r="BA1193" s="279"/>
      <c r="BB1193" s="279"/>
      <c r="BC1193" s="279"/>
      <c r="BD1193" s="279"/>
      <c r="BE1193" s="279"/>
      <c r="BF1193" s="279"/>
      <c r="BG1193" s="279"/>
      <c r="BH1193" s="279"/>
      <c r="BI1193" s="279"/>
      <c r="BJ1193" s="279"/>
      <c r="BK1193" s="279"/>
      <c r="BL1193" s="279"/>
      <c r="BM1193" s="279"/>
      <c r="BN1193" s="279"/>
      <c r="BO1193" s="279"/>
      <c r="BP1193" s="279"/>
      <c r="BQ1193" s="279"/>
      <c r="BR1193" s="279"/>
      <c r="BS1193" s="279"/>
      <c r="BT1193" s="279"/>
      <c r="BU1193" s="279"/>
      <c r="BV1193" s="279"/>
      <c r="BW1193" s="279"/>
      <c r="BX1193" s="279"/>
      <c r="BY1193" s="279"/>
      <c r="BZ1193" s="279"/>
      <c r="CA1193" s="279"/>
      <c r="CB1193" s="279"/>
      <c r="CC1193" s="279"/>
      <c r="CD1193" s="279"/>
      <c r="CE1193" s="279"/>
      <c r="CF1193" s="279"/>
      <c r="CG1193" s="279"/>
      <c r="CH1193" s="279"/>
      <c r="CI1193" s="279"/>
      <c r="CJ1193" s="279"/>
      <c r="CK1193" s="279"/>
      <c r="CL1193" s="279"/>
      <c r="CM1193" s="279"/>
      <c r="CN1193" s="382"/>
    </row>
    <row r="1194" x14ac:dyDescent="0.3">
      <c r="B1194" s="361"/>
      <c r="C1194" s="279"/>
      <c r="D1194" s="280"/>
      <c r="E1194" s="287"/>
      <c r="F1194" s="287"/>
      <c r="G1194" s="287"/>
      <c r="H1194" s="1292">
        <f t="shared" si="60"/>
        <v>5</v>
      </c>
      <c r="I1194" s="1190" t="str">
        <f>'I. Stream &amp; Compound Data'!P266</f>
        <v/>
      </c>
      <c r="J1194" s="1295" t="str">
        <f>IF(I146="","",IF('I. Stream &amp; Compound Data'!BZ266="",0,'I. Stream &amp; Compound Data'!BZ266))</f>
        <v/>
      </c>
      <c r="K1194" s="1295" t="str">
        <f t="shared" si="61"/>
        <v/>
      </c>
      <c r="L1194" s="1317" t="str">
        <f>IF(K1194="","",IF('I. Stream &amp; Compound Data'!E36="H2O",0,(IF(J1194=0,1,J1194))*I1194))</f>
        <v/>
      </c>
      <c r="M1194" s="296"/>
      <c r="N1194" s="280"/>
      <c r="O1194" s="280"/>
      <c r="P1194" s="279"/>
      <c r="Q1194" s="297"/>
      <c r="R1194" s="298"/>
      <c r="S1194" s="298"/>
      <c r="T1194" s="299"/>
      <c r="U1194" s="279"/>
      <c r="V1194" s="279"/>
      <c r="W1194" s="279"/>
      <c r="X1194" s="279"/>
      <c r="Y1194" s="279"/>
      <c r="Z1194" s="279"/>
      <c r="AA1194" s="279"/>
      <c r="AB1194" s="279"/>
      <c r="AC1194" s="279"/>
      <c r="AD1194" s="279"/>
      <c r="AE1194" s="279"/>
      <c r="AF1194" s="279"/>
      <c r="AG1194" s="279"/>
      <c r="AH1194" s="279"/>
      <c r="AI1194" s="279"/>
      <c r="AJ1194" s="279"/>
      <c r="AK1194" s="279"/>
      <c r="AL1194" s="279"/>
      <c r="AM1194" s="279"/>
      <c r="AN1194" s="279"/>
      <c r="AO1194" s="279"/>
      <c r="AP1194" s="279"/>
      <c r="AQ1194" s="279"/>
      <c r="AR1194" s="279"/>
      <c r="AS1194" s="279"/>
      <c r="AT1194" s="279"/>
      <c r="AU1194" s="279"/>
      <c r="AV1194" s="279"/>
      <c r="AW1194" s="279"/>
      <c r="AX1194" s="279"/>
      <c r="AY1194" s="279"/>
      <c r="AZ1194" s="279"/>
      <c r="BA1194" s="279"/>
      <c r="BB1194" s="279"/>
      <c r="BC1194" s="279"/>
      <c r="BD1194" s="279"/>
      <c r="BE1194" s="279"/>
      <c r="BF1194" s="279"/>
      <c r="BG1194" s="279"/>
      <c r="BH1194" s="279"/>
      <c r="BI1194" s="279"/>
      <c r="BJ1194" s="279"/>
      <c r="BK1194" s="279"/>
      <c r="BL1194" s="279"/>
      <c r="BM1194" s="279"/>
      <c r="BN1194" s="279"/>
      <c r="BO1194" s="279"/>
      <c r="BP1194" s="279"/>
      <c r="BQ1194" s="279"/>
      <c r="BR1194" s="279"/>
      <c r="BS1194" s="279"/>
      <c r="BT1194" s="279"/>
      <c r="BU1194" s="279"/>
      <c r="BV1194" s="279"/>
      <c r="BW1194" s="279"/>
      <c r="BX1194" s="279"/>
      <c r="BY1194" s="279"/>
      <c r="BZ1194" s="279"/>
      <c r="CA1194" s="279"/>
      <c r="CB1194" s="279"/>
      <c r="CC1194" s="279"/>
      <c r="CD1194" s="279"/>
      <c r="CE1194" s="279"/>
      <c r="CF1194" s="279"/>
      <c r="CG1194" s="279"/>
      <c r="CH1194" s="279"/>
      <c r="CI1194" s="279"/>
      <c r="CJ1194" s="279"/>
      <c r="CK1194" s="279"/>
      <c r="CL1194" s="279"/>
      <c r="CM1194" s="279"/>
      <c r="CN1194" s="382"/>
    </row>
    <row r="1195" x14ac:dyDescent="0.3">
      <c r="B1195" s="361"/>
      <c r="C1195" s="279"/>
      <c r="D1195" s="280"/>
      <c r="E1195" s="287"/>
      <c r="F1195" s="287"/>
      <c r="G1195" s="287"/>
      <c r="H1195" s="1292">
        <f t="shared" si="60"/>
        <v>6</v>
      </c>
      <c r="I1195" s="1190" t="str">
        <f>'I. Stream &amp; Compound Data'!P267</f>
        <v/>
      </c>
      <c r="J1195" s="1295" t="str">
        <f>IF(I147="","",IF('I. Stream &amp; Compound Data'!BZ267="",0,'I. Stream &amp; Compound Data'!BZ267))</f>
        <v/>
      </c>
      <c r="K1195" s="1295" t="str">
        <f t="shared" si="61"/>
        <v/>
      </c>
      <c r="L1195" s="1317" t="str">
        <f>IF(K1195="","",IF('I. Stream &amp; Compound Data'!E37="H2O",0,(IF(J1195=0,1,J1195))*I1195))</f>
        <v/>
      </c>
      <c r="M1195" s="296"/>
      <c r="N1195" s="280"/>
      <c r="O1195" s="280"/>
      <c r="P1195" s="279"/>
      <c r="Q1195" s="297"/>
      <c r="R1195" s="298"/>
      <c r="S1195" s="298"/>
      <c r="T1195" s="299"/>
      <c r="U1195" s="279"/>
      <c r="V1195" s="279"/>
      <c r="W1195" s="279"/>
      <c r="X1195" s="279"/>
      <c r="Y1195" s="279"/>
      <c r="Z1195" s="279"/>
      <c r="AA1195" s="279"/>
      <c r="AB1195" s="279"/>
      <c r="AC1195" s="279"/>
      <c r="AD1195" s="279"/>
      <c r="AE1195" s="279"/>
      <c r="AF1195" s="279"/>
      <c r="AG1195" s="279"/>
      <c r="AH1195" s="279"/>
      <c r="AI1195" s="279"/>
      <c r="AJ1195" s="279"/>
      <c r="AK1195" s="279"/>
      <c r="AL1195" s="279"/>
      <c r="AM1195" s="279"/>
      <c r="AN1195" s="279"/>
      <c r="AO1195" s="279"/>
      <c r="AP1195" s="279"/>
      <c r="AQ1195" s="279"/>
      <c r="AR1195" s="279"/>
      <c r="AS1195" s="279"/>
      <c r="AT1195" s="279"/>
      <c r="AU1195" s="279"/>
      <c r="AV1195" s="279"/>
      <c r="AW1195" s="279"/>
      <c r="AX1195" s="279"/>
      <c r="AY1195" s="279"/>
      <c r="AZ1195" s="279"/>
      <c r="BA1195" s="279"/>
      <c r="BB1195" s="279"/>
      <c r="BC1195" s="279"/>
      <c r="BD1195" s="279"/>
      <c r="BE1195" s="279"/>
      <c r="BF1195" s="279"/>
      <c r="BG1195" s="279"/>
      <c r="BH1195" s="279"/>
      <c r="BI1195" s="279"/>
      <c r="BJ1195" s="279"/>
      <c r="BK1195" s="279"/>
      <c r="BL1195" s="279"/>
      <c r="BM1195" s="279"/>
      <c r="BN1195" s="279"/>
      <c r="BO1195" s="279"/>
      <c r="BP1195" s="279"/>
      <c r="BQ1195" s="279"/>
      <c r="BR1195" s="279"/>
      <c r="BS1195" s="279"/>
      <c r="BT1195" s="279"/>
      <c r="BU1195" s="279"/>
      <c r="BV1195" s="279"/>
      <c r="BW1195" s="279"/>
      <c r="BX1195" s="279"/>
      <c r="BY1195" s="279"/>
      <c r="BZ1195" s="279"/>
      <c r="CA1195" s="279"/>
      <c r="CB1195" s="279"/>
      <c r="CC1195" s="279"/>
      <c r="CD1195" s="279"/>
      <c r="CE1195" s="279"/>
      <c r="CF1195" s="279"/>
      <c r="CG1195" s="279"/>
      <c r="CH1195" s="279"/>
      <c r="CI1195" s="279"/>
      <c r="CJ1195" s="279"/>
      <c r="CK1195" s="279"/>
      <c r="CL1195" s="279"/>
      <c r="CM1195" s="279"/>
      <c r="CN1195" s="382"/>
    </row>
    <row r="1196" x14ac:dyDescent="0.3">
      <c r="B1196" s="361"/>
      <c r="C1196" s="279"/>
      <c r="D1196" s="280"/>
      <c r="E1196" s="287"/>
      <c r="F1196" s="287"/>
      <c r="G1196" s="287"/>
      <c r="H1196" s="1292">
        <f t="shared" si="60"/>
        <v>7</v>
      </c>
      <c r="I1196" s="1190" t="str">
        <f>'I. Stream &amp; Compound Data'!P268</f>
        <v/>
      </c>
      <c r="J1196" s="1295" t="str">
        <f>IF(I148="","",IF('I. Stream &amp; Compound Data'!BZ268="",0,'I. Stream &amp; Compound Data'!BZ268))</f>
        <v/>
      </c>
      <c r="K1196" s="1295" t="str">
        <f t="shared" si="61"/>
        <v/>
      </c>
      <c r="L1196" s="1317" t="str">
        <f>IF(K1196="","",IF('I. Stream &amp; Compound Data'!E38="H2O",0,(IF(J1196=0,1,J1196))*I1196))</f>
        <v/>
      </c>
      <c r="M1196" s="296"/>
      <c r="N1196" s="280"/>
      <c r="O1196" s="280"/>
      <c r="P1196" s="279"/>
      <c r="Q1196" s="297"/>
      <c r="R1196" s="298"/>
      <c r="S1196" s="298"/>
      <c r="T1196" s="299"/>
      <c r="U1196" s="279"/>
      <c r="V1196" s="279"/>
      <c r="W1196" s="279"/>
      <c r="X1196" s="279"/>
      <c r="Y1196" s="279"/>
      <c r="Z1196" s="279"/>
      <c r="AA1196" s="279"/>
      <c r="AB1196" s="279"/>
      <c r="AC1196" s="279"/>
      <c r="AD1196" s="279"/>
      <c r="AE1196" s="279"/>
      <c r="AF1196" s="279"/>
      <c r="AG1196" s="279"/>
      <c r="AH1196" s="279"/>
      <c r="AI1196" s="279"/>
      <c r="AJ1196" s="279"/>
      <c r="AK1196" s="279"/>
      <c r="AL1196" s="279"/>
      <c r="AM1196" s="279"/>
      <c r="AN1196" s="279"/>
      <c r="AO1196" s="279"/>
      <c r="AP1196" s="279"/>
      <c r="AQ1196" s="279"/>
      <c r="AR1196" s="279"/>
      <c r="AS1196" s="279"/>
      <c r="AT1196" s="279"/>
      <c r="AU1196" s="279"/>
      <c r="AV1196" s="279"/>
      <c r="AW1196" s="279"/>
      <c r="AX1196" s="279"/>
      <c r="AY1196" s="279"/>
      <c r="AZ1196" s="279"/>
      <c r="BA1196" s="279"/>
      <c r="BB1196" s="279"/>
      <c r="BC1196" s="279"/>
      <c r="BD1196" s="279"/>
      <c r="BE1196" s="279"/>
      <c r="BF1196" s="279"/>
      <c r="BG1196" s="279"/>
      <c r="BH1196" s="279"/>
      <c r="BI1196" s="279"/>
      <c r="BJ1196" s="279"/>
      <c r="BK1196" s="279"/>
      <c r="BL1196" s="279"/>
      <c r="BM1196" s="279"/>
      <c r="BN1196" s="279"/>
      <c r="BO1196" s="279"/>
      <c r="BP1196" s="279"/>
      <c r="BQ1196" s="279"/>
      <c r="BR1196" s="279"/>
      <c r="BS1196" s="279"/>
      <c r="BT1196" s="279"/>
      <c r="BU1196" s="279"/>
      <c r="BV1196" s="279"/>
      <c r="BW1196" s="279"/>
      <c r="BX1196" s="279"/>
      <c r="BY1196" s="279"/>
      <c r="BZ1196" s="279"/>
      <c r="CA1196" s="279"/>
      <c r="CB1196" s="279"/>
      <c r="CC1196" s="279"/>
      <c r="CD1196" s="279"/>
      <c r="CE1196" s="279"/>
      <c r="CF1196" s="279"/>
      <c r="CG1196" s="279"/>
      <c r="CH1196" s="279"/>
      <c r="CI1196" s="279"/>
      <c r="CJ1196" s="279"/>
      <c r="CK1196" s="279"/>
      <c r="CL1196" s="279"/>
      <c r="CM1196" s="279"/>
      <c r="CN1196" s="382"/>
    </row>
    <row r="1197" x14ac:dyDescent="0.3">
      <c r="B1197" s="361"/>
      <c r="C1197" s="279"/>
      <c r="D1197" s="280"/>
      <c r="E1197" s="287"/>
      <c r="F1197" s="287"/>
      <c r="G1197" s="287"/>
      <c r="H1197" s="1292">
        <f t="shared" si="60"/>
        <v>8</v>
      </c>
      <c r="I1197" s="1190" t="str">
        <f>'I. Stream &amp; Compound Data'!P269</f>
        <v/>
      </c>
      <c r="J1197" s="1295" t="str">
        <f>IF(I149="","",IF('I. Stream &amp; Compound Data'!BZ269="",0,'I. Stream &amp; Compound Data'!BZ269))</f>
        <v/>
      </c>
      <c r="K1197" s="1295" t="str">
        <f t="shared" si="61"/>
        <v/>
      </c>
      <c r="L1197" s="1317" t="str">
        <f>IF(K1197="","",IF('I. Stream &amp; Compound Data'!E39="H2O",0,(IF(J1197=0,1,J1197))*I1197))</f>
        <v/>
      </c>
      <c r="M1197" s="296"/>
      <c r="N1197" s="280"/>
      <c r="O1197" s="280"/>
      <c r="P1197" s="279"/>
      <c r="Q1197" s="297"/>
      <c r="R1197" s="298"/>
      <c r="S1197" s="298"/>
      <c r="T1197" s="299"/>
      <c r="U1197" s="279"/>
      <c r="V1197" s="279"/>
      <c r="W1197" s="279"/>
      <c r="X1197" s="279"/>
      <c r="Y1197" s="279"/>
      <c r="Z1197" s="279"/>
      <c r="AA1197" s="279"/>
      <c r="AB1197" s="279"/>
      <c r="AC1197" s="279"/>
      <c r="AD1197" s="279"/>
      <c r="AE1197" s="279"/>
      <c r="AF1197" s="279"/>
      <c r="AG1197" s="279"/>
      <c r="AH1197" s="279"/>
      <c r="AI1197" s="279"/>
      <c r="AJ1197" s="279"/>
      <c r="AK1197" s="279"/>
      <c r="AL1197" s="279"/>
      <c r="AM1197" s="279"/>
      <c r="AN1197" s="279"/>
      <c r="AO1197" s="279"/>
      <c r="AP1197" s="279"/>
      <c r="AQ1197" s="279"/>
      <c r="AR1197" s="279"/>
      <c r="AS1197" s="279"/>
      <c r="AT1197" s="279"/>
      <c r="AU1197" s="279"/>
      <c r="AV1197" s="279"/>
      <c r="AW1197" s="279"/>
      <c r="AX1197" s="279"/>
      <c r="AY1197" s="279"/>
      <c r="AZ1197" s="279"/>
      <c r="BA1197" s="279"/>
      <c r="BB1197" s="279"/>
      <c r="BC1197" s="279"/>
      <c r="BD1197" s="279"/>
      <c r="BE1197" s="279"/>
      <c r="BF1197" s="279"/>
      <c r="BG1197" s="279"/>
      <c r="BH1197" s="279"/>
      <c r="BI1197" s="279"/>
      <c r="BJ1197" s="279"/>
      <c r="BK1197" s="279"/>
      <c r="BL1197" s="279"/>
      <c r="BM1197" s="279"/>
      <c r="BN1197" s="279"/>
      <c r="BO1197" s="279"/>
      <c r="BP1197" s="279"/>
      <c r="BQ1197" s="279"/>
      <c r="BR1197" s="279"/>
      <c r="BS1197" s="279"/>
      <c r="BT1197" s="279"/>
      <c r="BU1197" s="279"/>
      <c r="BV1197" s="279"/>
      <c r="BW1197" s="279"/>
      <c r="BX1197" s="279"/>
      <c r="BY1197" s="279"/>
      <c r="BZ1197" s="279"/>
      <c r="CA1197" s="279"/>
      <c r="CB1197" s="279"/>
      <c r="CC1197" s="279"/>
      <c r="CD1197" s="279"/>
      <c r="CE1197" s="279"/>
      <c r="CF1197" s="279"/>
      <c r="CG1197" s="279"/>
      <c r="CH1197" s="279"/>
      <c r="CI1197" s="279"/>
      <c r="CJ1197" s="279"/>
      <c r="CK1197" s="279"/>
      <c r="CL1197" s="279"/>
      <c r="CM1197" s="279"/>
      <c r="CN1197" s="382"/>
    </row>
    <row r="1198" x14ac:dyDescent="0.3">
      <c r="B1198" s="361"/>
      <c r="C1198" s="279"/>
      <c r="D1198" s="280"/>
      <c r="E1198" s="287"/>
      <c r="F1198" s="287"/>
      <c r="G1198" s="287"/>
      <c r="H1198" s="1292">
        <f t="shared" si="60"/>
        <v>9</v>
      </c>
      <c r="I1198" s="1190" t="str">
        <f>'I. Stream &amp; Compound Data'!P270</f>
        <v/>
      </c>
      <c r="J1198" s="1295" t="str">
        <f>IF(I150="","",IF('I. Stream &amp; Compound Data'!BZ270="",0,'I. Stream &amp; Compound Data'!BZ270))</f>
        <v/>
      </c>
      <c r="K1198" s="1295" t="str">
        <f t="shared" si="61"/>
        <v/>
      </c>
      <c r="L1198" s="1317" t="str">
        <f>IF(K1198="","",IF('I. Stream &amp; Compound Data'!E40="H2O",0,(IF(J1198=0,1,J1198))*I1198))</f>
        <v/>
      </c>
      <c r="M1198" s="296"/>
      <c r="N1198" s="280"/>
      <c r="O1198" s="280"/>
      <c r="P1198" s="279"/>
      <c r="Q1198" s="297"/>
      <c r="R1198" s="298"/>
      <c r="S1198" s="298"/>
      <c r="T1198" s="299"/>
      <c r="U1198" s="279"/>
      <c r="V1198" s="279"/>
      <c r="W1198" s="279"/>
      <c r="X1198" s="279"/>
      <c r="Y1198" s="279"/>
      <c r="Z1198" s="279"/>
      <c r="AA1198" s="279"/>
      <c r="AB1198" s="279"/>
      <c r="AC1198" s="279"/>
      <c r="AD1198" s="279"/>
      <c r="AE1198" s="279"/>
      <c r="AF1198" s="279"/>
      <c r="AG1198" s="279"/>
      <c r="AH1198" s="279"/>
      <c r="AI1198" s="279"/>
      <c r="AJ1198" s="279"/>
      <c r="AK1198" s="279"/>
      <c r="AL1198" s="279"/>
      <c r="AM1198" s="279"/>
      <c r="AN1198" s="279"/>
      <c r="AO1198" s="279"/>
      <c r="AP1198" s="279"/>
      <c r="AQ1198" s="279"/>
      <c r="AR1198" s="279"/>
      <c r="AS1198" s="279"/>
      <c r="AT1198" s="279"/>
      <c r="AU1198" s="279"/>
      <c r="AV1198" s="279"/>
      <c r="AW1198" s="279"/>
      <c r="AX1198" s="279"/>
      <c r="AY1198" s="279"/>
      <c r="AZ1198" s="279"/>
      <c r="BA1198" s="279"/>
      <c r="BB1198" s="279"/>
      <c r="BC1198" s="279"/>
      <c r="BD1198" s="279"/>
      <c r="BE1198" s="279"/>
      <c r="BF1198" s="279"/>
      <c r="BG1198" s="279"/>
      <c r="BH1198" s="279"/>
      <c r="BI1198" s="279"/>
      <c r="BJ1198" s="279"/>
      <c r="BK1198" s="279"/>
      <c r="BL1198" s="279"/>
      <c r="BM1198" s="279"/>
      <c r="BN1198" s="279"/>
      <c r="BO1198" s="279"/>
      <c r="BP1198" s="279"/>
      <c r="BQ1198" s="279"/>
      <c r="BR1198" s="279"/>
      <c r="BS1198" s="279"/>
      <c r="BT1198" s="279"/>
      <c r="BU1198" s="279"/>
      <c r="BV1198" s="279"/>
      <c r="BW1198" s="279"/>
      <c r="BX1198" s="279"/>
      <c r="BY1198" s="279"/>
      <c r="BZ1198" s="279"/>
      <c r="CA1198" s="279"/>
      <c r="CB1198" s="279"/>
      <c r="CC1198" s="279"/>
      <c r="CD1198" s="279"/>
      <c r="CE1198" s="279"/>
      <c r="CF1198" s="279"/>
      <c r="CG1198" s="279"/>
      <c r="CH1198" s="279"/>
      <c r="CI1198" s="279"/>
      <c r="CJ1198" s="279"/>
      <c r="CK1198" s="279"/>
      <c r="CL1198" s="279"/>
      <c r="CM1198" s="279"/>
      <c r="CN1198" s="382"/>
    </row>
    <row r="1199" x14ac:dyDescent="0.3">
      <c r="B1199" s="361"/>
      <c r="C1199" s="279"/>
      <c r="D1199" s="280"/>
      <c r="E1199" s="287"/>
      <c r="F1199" s="287"/>
      <c r="G1199" s="287"/>
      <c r="H1199" s="1292">
        <f t="shared" si="60"/>
        <v>10</v>
      </c>
      <c r="I1199" s="1190" t="str">
        <f>'I. Stream &amp; Compound Data'!P271</f>
        <v/>
      </c>
      <c r="J1199" s="1295" t="str">
        <f>IF(I151="","",IF('I. Stream &amp; Compound Data'!BZ271="",0,'I. Stream &amp; Compound Data'!BZ271))</f>
        <v/>
      </c>
      <c r="K1199" s="1295" t="str">
        <f t="shared" si="61"/>
        <v/>
      </c>
      <c r="L1199" s="1317" t="str">
        <f>IF(K1199="","",IF('I. Stream &amp; Compound Data'!E41="H2O",0,(IF(J1199=0,1,J1199))*I1199))</f>
        <v/>
      </c>
      <c r="M1199" s="296"/>
      <c r="N1199" s="280"/>
      <c r="O1199" s="280"/>
      <c r="P1199" s="279"/>
      <c r="Q1199" s="297"/>
      <c r="R1199" s="298"/>
      <c r="S1199" s="298"/>
      <c r="T1199" s="299"/>
      <c r="U1199" s="279"/>
      <c r="V1199" s="279"/>
      <c r="W1199" s="279"/>
      <c r="X1199" s="279"/>
      <c r="Y1199" s="279"/>
      <c r="Z1199" s="279"/>
      <c r="AA1199" s="279"/>
      <c r="AB1199" s="279"/>
      <c r="AC1199" s="279"/>
      <c r="AD1199" s="279"/>
      <c r="AE1199" s="279"/>
      <c r="AF1199" s="279"/>
      <c r="AG1199" s="279"/>
      <c r="AH1199" s="279"/>
      <c r="AI1199" s="279"/>
      <c r="AJ1199" s="279"/>
      <c r="AK1199" s="279"/>
      <c r="AL1199" s="279"/>
      <c r="AM1199" s="279"/>
      <c r="AN1199" s="279"/>
      <c r="AO1199" s="279"/>
      <c r="AP1199" s="279"/>
      <c r="AQ1199" s="279"/>
      <c r="AR1199" s="279"/>
      <c r="AS1199" s="279"/>
      <c r="AT1199" s="279"/>
      <c r="AU1199" s="279"/>
      <c r="AV1199" s="279"/>
      <c r="AW1199" s="279"/>
      <c r="AX1199" s="279"/>
      <c r="AY1199" s="279"/>
      <c r="AZ1199" s="279"/>
      <c r="BA1199" s="279"/>
      <c r="BB1199" s="279"/>
      <c r="BC1199" s="279"/>
      <c r="BD1199" s="279"/>
      <c r="BE1199" s="279"/>
      <c r="BF1199" s="279"/>
      <c r="BG1199" s="279"/>
      <c r="BH1199" s="279"/>
      <c r="BI1199" s="279"/>
      <c r="BJ1199" s="279"/>
      <c r="BK1199" s="279"/>
      <c r="BL1199" s="279"/>
      <c r="BM1199" s="279"/>
      <c r="BN1199" s="279"/>
      <c r="BO1199" s="279"/>
      <c r="BP1199" s="279"/>
      <c r="BQ1199" s="279"/>
      <c r="BR1199" s="279"/>
      <c r="BS1199" s="279"/>
      <c r="BT1199" s="279"/>
      <c r="BU1199" s="279"/>
      <c r="BV1199" s="279"/>
      <c r="BW1199" s="279"/>
      <c r="BX1199" s="279"/>
      <c r="BY1199" s="279"/>
      <c r="BZ1199" s="279"/>
      <c r="CA1199" s="279"/>
      <c r="CB1199" s="279"/>
      <c r="CC1199" s="279"/>
      <c r="CD1199" s="279"/>
      <c r="CE1199" s="279"/>
      <c r="CF1199" s="279"/>
      <c r="CG1199" s="279"/>
      <c r="CH1199" s="279"/>
      <c r="CI1199" s="279"/>
      <c r="CJ1199" s="279"/>
      <c r="CK1199" s="279"/>
      <c r="CL1199" s="279"/>
      <c r="CM1199" s="279"/>
      <c r="CN1199" s="382"/>
    </row>
    <row r="1200" x14ac:dyDescent="0.3">
      <c r="B1200" s="361"/>
      <c r="C1200" s="279"/>
      <c r="D1200" s="280"/>
      <c r="E1200" s="287"/>
      <c r="F1200" s="287"/>
      <c r="G1200" s="287"/>
      <c r="H1200" s="1292">
        <f t="shared" si="60"/>
        <v>11</v>
      </c>
      <c r="I1200" s="1190" t="str">
        <f>'I. Stream &amp; Compound Data'!P272</f>
        <v/>
      </c>
      <c r="J1200" s="1295" t="str">
        <f>IF(I152="","",IF('I. Stream &amp; Compound Data'!BZ272="",0,'I. Stream &amp; Compound Data'!BZ272))</f>
        <v/>
      </c>
      <c r="K1200" s="1295" t="str">
        <f t="shared" si="61"/>
        <v/>
      </c>
      <c r="L1200" s="1317" t="str">
        <f>IF(K1200="","",IF('I. Stream &amp; Compound Data'!E42="H2O",0,(IF(J1200=0,1,J1200))*I1200))</f>
        <v/>
      </c>
      <c r="M1200" s="296"/>
      <c r="N1200" s="280"/>
      <c r="O1200" s="280"/>
      <c r="P1200" s="279"/>
      <c r="Q1200" s="297"/>
      <c r="R1200" s="298"/>
      <c r="S1200" s="298"/>
      <c r="T1200" s="299"/>
      <c r="U1200" s="279"/>
      <c r="V1200" s="279"/>
      <c r="W1200" s="279"/>
      <c r="X1200" s="279"/>
      <c r="Y1200" s="279"/>
      <c r="Z1200" s="279"/>
      <c r="AA1200" s="279"/>
      <c r="AB1200" s="279"/>
      <c r="AC1200" s="279"/>
      <c r="AD1200" s="279"/>
      <c r="AE1200" s="279"/>
      <c r="AF1200" s="279"/>
      <c r="AG1200" s="279"/>
      <c r="AH1200" s="279"/>
      <c r="AI1200" s="279"/>
      <c r="AJ1200" s="279"/>
      <c r="AK1200" s="279"/>
      <c r="AL1200" s="279"/>
      <c r="AM1200" s="279"/>
      <c r="AN1200" s="279"/>
      <c r="AO1200" s="279"/>
      <c r="AP1200" s="279"/>
      <c r="AQ1200" s="279"/>
      <c r="AR1200" s="279"/>
      <c r="AS1200" s="279"/>
      <c r="AT1200" s="279"/>
      <c r="AU1200" s="279"/>
      <c r="AV1200" s="279"/>
      <c r="AW1200" s="279"/>
      <c r="AX1200" s="279"/>
      <c r="AY1200" s="279"/>
      <c r="AZ1200" s="279"/>
      <c r="BA1200" s="279"/>
      <c r="BB1200" s="279"/>
      <c r="BC1200" s="279"/>
      <c r="BD1200" s="279"/>
      <c r="BE1200" s="279"/>
      <c r="BF1200" s="279"/>
      <c r="BG1200" s="279"/>
      <c r="BH1200" s="279"/>
      <c r="BI1200" s="279"/>
      <c r="BJ1200" s="279"/>
      <c r="BK1200" s="279"/>
      <c r="BL1200" s="279"/>
      <c r="BM1200" s="279"/>
      <c r="BN1200" s="279"/>
      <c r="BO1200" s="279"/>
      <c r="BP1200" s="279"/>
      <c r="BQ1200" s="279"/>
      <c r="BR1200" s="279"/>
      <c r="BS1200" s="279"/>
      <c r="BT1200" s="279"/>
      <c r="BU1200" s="279"/>
      <c r="BV1200" s="279"/>
      <c r="BW1200" s="279"/>
      <c r="BX1200" s="279"/>
      <c r="BY1200" s="279"/>
      <c r="BZ1200" s="279"/>
      <c r="CA1200" s="279"/>
      <c r="CB1200" s="279"/>
      <c r="CC1200" s="279"/>
      <c r="CD1200" s="279"/>
      <c r="CE1200" s="279"/>
      <c r="CF1200" s="279"/>
      <c r="CG1200" s="279"/>
      <c r="CH1200" s="279"/>
      <c r="CI1200" s="279"/>
      <c r="CJ1200" s="279"/>
      <c r="CK1200" s="279"/>
      <c r="CL1200" s="279"/>
      <c r="CM1200" s="279"/>
      <c r="CN1200" s="382"/>
    </row>
    <row r="1201" x14ac:dyDescent="0.3">
      <c r="B1201" s="361"/>
      <c r="C1201" s="279"/>
      <c r="D1201" s="280"/>
      <c r="E1201" s="287"/>
      <c r="F1201" s="287"/>
      <c r="G1201" s="287"/>
      <c r="H1201" s="1292">
        <f t="shared" si="60"/>
        <v>12</v>
      </c>
      <c r="I1201" s="1190" t="str">
        <f>'I. Stream &amp; Compound Data'!P273</f>
        <v/>
      </c>
      <c r="J1201" s="1295" t="str">
        <f>IF(I153="","",IF('I. Stream &amp; Compound Data'!BZ273="",0,'I. Stream &amp; Compound Data'!BZ273))</f>
        <v/>
      </c>
      <c r="K1201" s="1295" t="str">
        <f t="shared" si="61"/>
        <v/>
      </c>
      <c r="L1201" s="1317" t="str">
        <f>IF(K1201="","",IF('I. Stream &amp; Compound Data'!E43="H2O",0,(IF(J1201=0,1,J1201))*I1201))</f>
        <v/>
      </c>
      <c r="M1201" s="296"/>
      <c r="N1201" s="280"/>
      <c r="O1201" s="280"/>
      <c r="P1201" s="279"/>
      <c r="Q1201" s="297"/>
      <c r="R1201" s="298"/>
      <c r="S1201" s="298"/>
      <c r="T1201" s="299"/>
      <c r="U1201" s="279"/>
      <c r="V1201" s="279"/>
      <c r="W1201" s="279"/>
      <c r="X1201" s="279"/>
      <c r="Y1201" s="279"/>
      <c r="Z1201" s="279"/>
      <c r="AA1201" s="279"/>
      <c r="AB1201" s="279"/>
      <c r="AC1201" s="279"/>
      <c r="AD1201" s="279"/>
      <c r="AE1201" s="279"/>
      <c r="AF1201" s="279"/>
      <c r="AG1201" s="279"/>
      <c r="AH1201" s="279"/>
      <c r="AI1201" s="279"/>
      <c r="AJ1201" s="279"/>
      <c r="AK1201" s="279"/>
      <c r="AL1201" s="279"/>
      <c r="AM1201" s="279"/>
      <c r="AN1201" s="279"/>
      <c r="AO1201" s="279"/>
      <c r="AP1201" s="279"/>
      <c r="AQ1201" s="279"/>
      <c r="AR1201" s="279"/>
      <c r="AS1201" s="279"/>
      <c r="AT1201" s="279"/>
      <c r="AU1201" s="279"/>
      <c r="AV1201" s="279"/>
      <c r="AW1201" s="279"/>
      <c r="AX1201" s="279"/>
      <c r="AY1201" s="279"/>
      <c r="AZ1201" s="279"/>
      <c r="BA1201" s="279"/>
      <c r="BB1201" s="279"/>
      <c r="BC1201" s="279"/>
      <c r="BD1201" s="279"/>
      <c r="BE1201" s="279"/>
      <c r="BF1201" s="279"/>
      <c r="BG1201" s="279"/>
      <c r="BH1201" s="279"/>
      <c r="BI1201" s="279"/>
      <c r="BJ1201" s="279"/>
      <c r="BK1201" s="279"/>
      <c r="BL1201" s="279"/>
      <c r="BM1201" s="279"/>
      <c r="BN1201" s="279"/>
      <c r="BO1201" s="279"/>
      <c r="BP1201" s="279"/>
      <c r="BQ1201" s="279"/>
      <c r="BR1201" s="279"/>
      <c r="BS1201" s="279"/>
      <c r="BT1201" s="279"/>
      <c r="BU1201" s="279"/>
      <c r="BV1201" s="279"/>
      <c r="BW1201" s="279"/>
      <c r="BX1201" s="279"/>
      <c r="BY1201" s="279"/>
      <c r="BZ1201" s="279"/>
      <c r="CA1201" s="279"/>
      <c r="CB1201" s="279"/>
      <c r="CC1201" s="279"/>
      <c r="CD1201" s="279"/>
      <c r="CE1201" s="279"/>
      <c r="CF1201" s="279"/>
      <c r="CG1201" s="279"/>
      <c r="CH1201" s="279"/>
      <c r="CI1201" s="279"/>
      <c r="CJ1201" s="279"/>
      <c r="CK1201" s="279"/>
      <c r="CL1201" s="279"/>
      <c r="CM1201" s="279"/>
      <c r="CN1201" s="382"/>
    </row>
    <row r="1202" x14ac:dyDescent="0.3">
      <c r="B1202" s="361"/>
      <c r="C1202" s="279"/>
      <c r="D1202" s="280"/>
      <c r="E1202" s="287"/>
      <c r="F1202" s="287"/>
      <c r="G1202" s="287"/>
      <c r="H1202" s="1292">
        <f t="shared" si="60"/>
        <v>13</v>
      </c>
      <c r="I1202" s="1190" t="str">
        <f>'I. Stream &amp; Compound Data'!P274</f>
        <v/>
      </c>
      <c r="J1202" s="1295" t="str">
        <f>IF(I154="","",IF('I. Stream &amp; Compound Data'!BZ274="",0,'I. Stream &amp; Compound Data'!BZ274))</f>
        <v/>
      </c>
      <c r="K1202" s="1295" t="str">
        <f t="shared" si="61"/>
        <v/>
      </c>
      <c r="L1202" s="1317" t="str">
        <f>IF(K1202="","",IF('I. Stream &amp; Compound Data'!E44="H2O",0,(IF(J1202=0,1,J1202))*I1202))</f>
        <v/>
      </c>
      <c r="M1202" s="296"/>
      <c r="N1202" s="280"/>
      <c r="O1202" s="280"/>
      <c r="P1202" s="279"/>
      <c r="Q1202" s="297"/>
      <c r="R1202" s="298"/>
      <c r="S1202" s="298"/>
      <c r="T1202" s="299"/>
      <c r="U1202" s="279"/>
      <c r="V1202" s="279"/>
      <c r="W1202" s="279"/>
      <c r="X1202" s="279"/>
      <c r="Y1202" s="279"/>
      <c r="Z1202" s="279"/>
      <c r="AA1202" s="279"/>
      <c r="AB1202" s="279"/>
      <c r="AC1202" s="279"/>
      <c r="AD1202" s="279"/>
      <c r="AE1202" s="279"/>
      <c r="AF1202" s="279"/>
      <c r="AG1202" s="279"/>
      <c r="AH1202" s="279"/>
      <c r="AI1202" s="279"/>
      <c r="AJ1202" s="279"/>
      <c r="AK1202" s="279"/>
      <c r="AL1202" s="279"/>
      <c r="AM1202" s="279"/>
      <c r="AN1202" s="279"/>
      <c r="AO1202" s="279"/>
      <c r="AP1202" s="279"/>
      <c r="AQ1202" s="279"/>
      <c r="AR1202" s="279"/>
      <c r="AS1202" s="279"/>
      <c r="AT1202" s="279"/>
      <c r="AU1202" s="279"/>
      <c r="AV1202" s="279"/>
      <c r="AW1202" s="279"/>
      <c r="AX1202" s="279"/>
      <c r="AY1202" s="279"/>
      <c r="AZ1202" s="279"/>
      <c r="BA1202" s="279"/>
      <c r="BB1202" s="279"/>
      <c r="BC1202" s="279"/>
      <c r="BD1202" s="279"/>
      <c r="BE1202" s="279"/>
      <c r="BF1202" s="279"/>
      <c r="BG1202" s="279"/>
      <c r="BH1202" s="279"/>
      <c r="BI1202" s="279"/>
      <c r="BJ1202" s="279"/>
      <c r="BK1202" s="279"/>
      <c r="BL1202" s="279"/>
      <c r="BM1202" s="279"/>
      <c r="BN1202" s="279"/>
      <c r="BO1202" s="279"/>
      <c r="BP1202" s="279"/>
      <c r="BQ1202" s="279"/>
      <c r="BR1202" s="279"/>
      <c r="BS1202" s="279"/>
      <c r="BT1202" s="279"/>
      <c r="BU1202" s="279"/>
      <c r="BV1202" s="279"/>
      <c r="BW1202" s="279"/>
      <c r="BX1202" s="279"/>
      <c r="BY1202" s="279"/>
      <c r="BZ1202" s="279"/>
      <c r="CA1202" s="279"/>
      <c r="CB1202" s="279"/>
      <c r="CC1202" s="279"/>
      <c r="CD1202" s="279"/>
      <c r="CE1202" s="279"/>
      <c r="CF1202" s="279"/>
      <c r="CG1202" s="279"/>
      <c r="CH1202" s="279"/>
      <c r="CI1202" s="279"/>
      <c r="CJ1202" s="279"/>
      <c r="CK1202" s="279"/>
      <c r="CL1202" s="279"/>
      <c r="CM1202" s="279"/>
      <c r="CN1202" s="382"/>
    </row>
    <row r="1203" x14ac:dyDescent="0.3">
      <c r="B1203" s="361"/>
      <c r="C1203" s="279"/>
      <c r="D1203" s="280"/>
      <c r="E1203" s="287"/>
      <c r="F1203" s="287"/>
      <c r="G1203" s="287"/>
      <c r="H1203" s="1292">
        <f t="shared" si="60"/>
        <v>14</v>
      </c>
      <c r="I1203" s="1190" t="str">
        <f>'I. Stream &amp; Compound Data'!P275</f>
        <v/>
      </c>
      <c r="J1203" s="1295" t="str">
        <f>IF(I155="","",IF('I. Stream &amp; Compound Data'!BZ275="",0,'I. Stream &amp; Compound Data'!BZ275))</f>
        <v/>
      </c>
      <c r="K1203" s="1295" t="str">
        <f t="shared" si="61"/>
        <v/>
      </c>
      <c r="L1203" s="1317" t="str">
        <f>IF(K1203="","",IF('I. Stream &amp; Compound Data'!E45="H2O",0,(IF(J1203=0,1,J1203))*I1203))</f>
        <v/>
      </c>
      <c r="M1203" s="296"/>
      <c r="N1203" s="280"/>
      <c r="O1203" s="280"/>
      <c r="P1203" s="279"/>
      <c r="Q1203" s="297"/>
      <c r="R1203" s="298"/>
      <c r="S1203" s="298"/>
      <c r="T1203" s="299"/>
      <c r="U1203" s="279"/>
      <c r="V1203" s="279"/>
      <c r="W1203" s="279"/>
      <c r="X1203" s="279"/>
      <c r="Y1203" s="279"/>
      <c r="Z1203" s="279"/>
      <c r="AA1203" s="279"/>
      <c r="AB1203" s="279"/>
      <c r="AC1203" s="279"/>
      <c r="AD1203" s="279"/>
      <c r="AE1203" s="279"/>
      <c r="AF1203" s="279"/>
      <c r="AG1203" s="279"/>
      <c r="AH1203" s="279"/>
      <c r="AI1203" s="279"/>
      <c r="AJ1203" s="279"/>
      <c r="AK1203" s="279"/>
      <c r="AL1203" s="279"/>
      <c r="AM1203" s="279"/>
      <c r="AN1203" s="279"/>
      <c r="AO1203" s="279"/>
      <c r="AP1203" s="279"/>
      <c r="AQ1203" s="279"/>
      <c r="AR1203" s="279"/>
      <c r="AS1203" s="279"/>
      <c r="AT1203" s="279"/>
      <c r="AU1203" s="279"/>
      <c r="AV1203" s="279"/>
      <c r="AW1203" s="279"/>
      <c r="AX1203" s="279"/>
      <c r="AY1203" s="279"/>
      <c r="AZ1203" s="279"/>
      <c r="BA1203" s="279"/>
      <c r="BB1203" s="279"/>
      <c r="BC1203" s="279"/>
      <c r="BD1203" s="279"/>
      <c r="BE1203" s="279"/>
      <c r="BF1203" s="279"/>
      <c r="BG1203" s="279"/>
      <c r="BH1203" s="279"/>
      <c r="BI1203" s="279"/>
      <c r="BJ1203" s="279"/>
      <c r="BK1203" s="279"/>
      <c r="BL1203" s="279"/>
      <c r="BM1203" s="279"/>
      <c r="BN1203" s="279"/>
      <c r="BO1203" s="279"/>
      <c r="BP1203" s="279"/>
      <c r="BQ1203" s="279"/>
      <c r="BR1203" s="279"/>
      <c r="BS1203" s="279"/>
      <c r="BT1203" s="279"/>
      <c r="BU1203" s="279"/>
      <c r="BV1203" s="279"/>
      <c r="BW1203" s="279"/>
      <c r="BX1203" s="279"/>
      <c r="BY1203" s="279"/>
      <c r="BZ1203" s="279"/>
      <c r="CA1203" s="279"/>
      <c r="CB1203" s="279"/>
      <c r="CC1203" s="279"/>
      <c r="CD1203" s="279"/>
      <c r="CE1203" s="279"/>
      <c r="CF1203" s="279"/>
      <c r="CG1203" s="279"/>
      <c r="CH1203" s="279"/>
      <c r="CI1203" s="279"/>
      <c r="CJ1203" s="279"/>
      <c r="CK1203" s="279"/>
      <c r="CL1203" s="279"/>
      <c r="CM1203" s="279"/>
      <c r="CN1203" s="382"/>
    </row>
    <row r="1204" x14ac:dyDescent="0.3">
      <c r="B1204" s="361"/>
      <c r="C1204" s="279"/>
      <c r="D1204" s="280"/>
      <c r="E1204" s="287"/>
      <c r="F1204" s="287"/>
      <c r="G1204" s="287"/>
      <c r="H1204" s="1292">
        <f t="shared" si="60"/>
        <v>15</v>
      </c>
      <c r="I1204" s="1190" t="str">
        <f>'I. Stream &amp; Compound Data'!P276</f>
        <v/>
      </c>
      <c r="J1204" s="1295" t="str">
        <f>IF(I156="","",IF('I. Stream &amp; Compound Data'!BZ276="",0,'I. Stream &amp; Compound Data'!BZ276))</f>
        <v/>
      </c>
      <c r="K1204" s="1295" t="str">
        <f t="shared" si="61"/>
        <v/>
      </c>
      <c r="L1204" s="1317" t="str">
        <f>IF(K1204="","",IF('I. Stream &amp; Compound Data'!E46="H2O",0,(IF(J1204=0,1,J1204))*I1204))</f>
        <v/>
      </c>
      <c r="M1204" s="296"/>
      <c r="N1204" s="280"/>
      <c r="O1204" s="280"/>
      <c r="P1204" s="279"/>
      <c r="Q1204" s="297"/>
      <c r="R1204" s="298"/>
      <c r="S1204" s="298"/>
      <c r="T1204" s="299"/>
      <c r="U1204" s="279"/>
      <c r="V1204" s="279"/>
      <c r="W1204" s="279"/>
      <c r="X1204" s="279"/>
      <c r="Y1204" s="279"/>
      <c r="Z1204" s="279"/>
      <c r="AA1204" s="279"/>
      <c r="AB1204" s="279"/>
      <c r="AC1204" s="279"/>
      <c r="AD1204" s="279"/>
      <c r="AE1204" s="279"/>
      <c r="AF1204" s="279"/>
      <c r="AG1204" s="279"/>
      <c r="AH1204" s="279"/>
      <c r="AI1204" s="279"/>
      <c r="AJ1204" s="279"/>
      <c r="AK1204" s="279"/>
      <c r="AL1204" s="279"/>
      <c r="AM1204" s="279"/>
      <c r="AN1204" s="279"/>
      <c r="AO1204" s="279"/>
      <c r="AP1204" s="279"/>
      <c r="AQ1204" s="279"/>
      <c r="AR1204" s="279"/>
      <c r="AS1204" s="279"/>
      <c r="AT1204" s="279"/>
      <c r="AU1204" s="279"/>
      <c r="AV1204" s="279"/>
      <c r="AW1204" s="279"/>
      <c r="AX1204" s="279"/>
      <c r="AY1204" s="279"/>
      <c r="AZ1204" s="279"/>
      <c r="BA1204" s="279"/>
      <c r="BB1204" s="279"/>
      <c r="BC1204" s="279"/>
      <c r="BD1204" s="279"/>
      <c r="BE1204" s="279"/>
      <c r="BF1204" s="279"/>
      <c r="BG1204" s="279"/>
      <c r="BH1204" s="279"/>
      <c r="BI1204" s="279"/>
      <c r="BJ1204" s="279"/>
      <c r="BK1204" s="279"/>
      <c r="BL1204" s="279"/>
      <c r="BM1204" s="279"/>
      <c r="BN1204" s="279"/>
      <c r="BO1204" s="279"/>
      <c r="BP1204" s="279"/>
      <c r="BQ1204" s="279"/>
      <c r="BR1204" s="279"/>
      <c r="BS1204" s="279"/>
      <c r="BT1204" s="279"/>
      <c r="BU1204" s="279"/>
      <c r="BV1204" s="279"/>
      <c r="BW1204" s="279"/>
      <c r="BX1204" s="279"/>
      <c r="BY1204" s="279"/>
      <c r="BZ1204" s="279"/>
      <c r="CA1204" s="279"/>
      <c r="CB1204" s="279"/>
      <c r="CC1204" s="279"/>
      <c r="CD1204" s="279"/>
      <c r="CE1204" s="279"/>
      <c r="CF1204" s="279"/>
      <c r="CG1204" s="279"/>
      <c r="CH1204" s="279"/>
      <c r="CI1204" s="279"/>
      <c r="CJ1204" s="279"/>
      <c r="CK1204" s="279"/>
      <c r="CL1204" s="279"/>
      <c r="CM1204" s="279"/>
      <c r="CN1204" s="382"/>
    </row>
    <row r="1205" x14ac:dyDescent="0.3">
      <c r="B1205" s="361"/>
      <c r="C1205" s="279"/>
      <c r="D1205" s="280"/>
      <c r="E1205" s="287"/>
      <c r="F1205" s="287"/>
      <c r="G1205" s="287"/>
      <c r="H1205" s="1292">
        <f t="shared" si="60"/>
        <v>16</v>
      </c>
      <c r="I1205" s="1190" t="str">
        <f>'I. Stream &amp; Compound Data'!P277</f>
        <v/>
      </c>
      <c r="J1205" s="1295" t="str">
        <f>IF(I157="","",IF('I. Stream &amp; Compound Data'!BZ277="",0,'I. Stream &amp; Compound Data'!BZ277))</f>
        <v/>
      </c>
      <c r="K1205" s="1295" t="str">
        <f t="shared" si="61"/>
        <v/>
      </c>
      <c r="L1205" s="1317" t="str">
        <f>IF(K1205="","",IF('I. Stream &amp; Compound Data'!E47="H2O",0,(IF(J1205=0,1,J1205))*I1205))</f>
        <v/>
      </c>
      <c r="M1205" s="296"/>
      <c r="N1205" s="280"/>
      <c r="O1205" s="280"/>
      <c r="P1205" s="279"/>
      <c r="Q1205" s="297"/>
      <c r="R1205" s="298"/>
      <c r="S1205" s="298"/>
      <c r="T1205" s="299"/>
      <c r="U1205" s="279"/>
      <c r="V1205" s="279"/>
      <c r="W1205" s="279"/>
      <c r="X1205" s="279"/>
      <c r="Y1205" s="279"/>
      <c r="Z1205" s="279"/>
      <c r="AA1205" s="279"/>
      <c r="AB1205" s="279"/>
      <c r="AC1205" s="279"/>
      <c r="AD1205" s="279"/>
      <c r="AE1205" s="279"/>
      <c r="AF1205" s="279"/>
      <c r="AG1205" s="279"/>
      <c r="AH1205" s="279"/>
      <c r="AI1205" s="279"/>
      <c r="AJ1205" s="279"/>
      <c r="AK1205" s="279"/>
      <c r="AL1205" s="279"/>
      <c r="AM1205" s="279"/>
      <c r="AN1205" s="279"/>
      <c r="AO1205" s="279"/>
      <c r="AP1205" s="279"/>
      <c r="AQ1205" s="279"/>
      <c r="AR1205" s="279"/>
      <c r="AS1205" s="279"/>
      <c r="AT1205" s="279"/>
      <c r="AU1205" s="279"/>
      <c r="AV1205" s="279"/>
      <c r="AW1205" s="279"/>
      <c r="AX1205" s="279"/>
      <c r="AY1205" s="279"/>
      <c r="AZ1205" s="279"/>
      <c r="BA1205" s="279"/>
      <c r="BB1205" s="279"/>
      <c r="BC1205" s="279"/>
      <c r="BD1205" s="279"/>
      <c r="BE1205" s="279"/>
      <c r="BF1205" s="279"/>
      <c r="BG1205" s="279"/>
      <c r="BH1205" s="279"/>
      <c r="BI1205" s="279"/>
      <c r="BJ1205" s="279"/>
      <c r="BK1205" s="279"/>
      <c r="BL1205" s="279"/>
      <c r="BM1205" s="279"/>
      <c r="BN1205" s="279"/>
      <c r="BO1205" s="279"/>
      <c r="BP1205" s="279"/>
      <c r="BQ1205" s="279"/>
      <c r="BR1205" s="279"/>
      <c r="BS1205" s="279"/>
      <c r="BT1205" s="279"/>
      <c r="BU1205" s="279"/>
      <c r="BV1205" s="279"/>
      <c r="BW1205" s="279"/>
      <c r="BX1205" s="279"/>
      <c r="BY1205" s="279"/>
      <c r="BZ1205" s="279"/>
      <c r="CA1205" s="279"/>
      <c r="CB1205" s="279"/>
      <c r="CC1205" s="279"/>
      <c r="CD1205" s="279"/>
      <c r="CE1205" s="279"/>
      <c r="CF1205" s="279"/>
      <c r="CG1205" s="279"/>
      <c r="CH1205" s="279"/>
      <c r="CI1205" s="279"/>
      <c r="CJ1205" s="279"/>
      <c r="CK1205" s="279"/>
      <c r="CL1205" s="279"/>
      <c r="CM1205" s="279"/>
      <c r="CN1205" s="382"/>
    </row>
    <row r="1206" x14ac:dyDescent="0.3">
      <c r="B1206" s="361"/>
      <c r="C1206" s="279"/>
      <c r="D1206" s="280"/>
      <c r="E1206" s="287"/>
      <c r="F1206" s="287"/>
      <c r="G1206" s="287"/>
      <c r="H1206" s="1292">
        <f t="shared" si="60"/>
        <v>17</v>
      </c>
      <c r="I1206" s="1190" t="str">
        <f>'I. Stream &amp; Compound Data'!P278</f>
        <v/>
      </c>
      <c r="J1206" s="1295" t="str">
        <f>IF(I158="","",IF('I. Stream &amp; Compound Data'!BZ278="",0,'I. Stream &amp; Compound Data'!BZ278))</f>
        <v/>
      </c>
      <c r="K1206" s="1295" t="str">
        <f t="shared" si="61"/>
        <v/>
      </c>
      <c r="L1206" s="1317" t="str">
        <f>IF(K1206="","",IF('I. Stream &amp; Compound Data'!E48="H2O",0,(IF(J1206=0,1,J1206))*I1206))</f>
        <v/>
      </c>
      <c r="M1206" s="296"/>
      <c r="N1206" s="280"/>
      <c r="O1206" s="280"/>
      <c r="P1206" s="279"/>
      <c r="Q1206" s="297"/>
      <c r="R1206" s="298"/>
      <c r="S1206" s="298"/>
      <c r="T1206" s="299"/>
      <c r="U1206" s="279"/>
      <c r="V1206" s="279"/>
      <c r="W1206" s="279"/>
      <c r="X1206" s="279"/>
      <c r="Y1206" s="279"/>
      <c r="Z1206" s="279"/>
      <c r="AA1206" s="279"/>
      <c r="AB1206" s="279"/>
      <c r="AC1206" s="279"/>
      <c r="AD1206" s="279"/>
      <c r="AE1206" s="279"/>
      <c r="AF1206" s="279"/>
      <c r="AG1206" s="279"/>
      <c r="AH1206" s="279"/>
      <c r="AI1206" s="279"/>
      <c r="AJ1206" s="279"/>
      <c r="AK1206" s="279"/>
      <c r="AL1206" s="279"/>
      <c r="AM1206" s="279"/>
      <c r="AN1206" s="279"/>
      <c r="AO1206" s="279"/>
      <c r="AP1206" s="279"/>
      <c r="AQ1206" s="279"/>
      <c r="AR1206" s="279"/>
      <c r="AS1206" s="279"/>
      <c r="AT1206" s="279"/>
      <c r="AU1206" s="279"/>
      <c r="AV1206" s="279"/>
      <c r="AW1206" s="279"/>
      <c r="AX1206" s="279"/>
      <c r="AY1206" s="279"/>
      <c r="AZ1206" s="279"/>
      <c r="BA1206" s="279"/>
      <c r="BB1206" s="279"/>
      <c r="BC1206" s="279"/>
      <c r="BD1206" s="279"/>
      <c r="BE1206" s="279"/>
      <c r="BF1206" s="279"/>
      <c r="BG1206" s="279"/>
      <c r="BH1206" s="279"/>
      <c r="BI1206" s="279"/>
      <c r="BJ1206" s="279"/>
      <c r="BK1206" s="279"/>
      <c r="BL1206" s="279"/>
      <c r="BM1206" s="279"/>
      <c r="BN1206" s="279"/>
      <c r="BO1206" s="279"/>
      <c r="BP1206" s="279"/>
      <c r="BQ1206" s="279"/>
      <c r="BR1206" s="279"/>
      <c r="BS1206" s="279"/>
      <c r="BT1206" s="279"/>
      <c r="BU1206" s="279"/>
      <c r="BV1206" s="279"/>
      <c r="BW1206" s="279"/>
      <c r="BX1206" s="279"/>
      <c r="BY1206" s="279"/>
      <c r="BZ1206" s="279"/>
      <c r="CA1206" s="279"/>
      <c r="CB1206" s="279"/>
      <c r="CC1206" s="279"/>
      <c r="CD1206" s="279"/>
      <c r="CE1206" s="279"/>
      <c r="CF1206" s="279"/>
      <c r="CG1206" s="279"/>
      <c r="CH1206" s="279"/>
      <c r="CI1206" s="279"/>
      <c r="CJ1206" s="279"/>
      <c r="CK1206" s="279"/>
      <c r="CL1206" s="279"/>
      <c r="CM1206" s="279"/>
      <c r="CN1206" s="382"/>
    </row>
    <row r="1207" x14ac:dyDescent="0.3">
      <c r="B1207" s="361"/>
      <c r="C1207" s="279"/>
      <c r="D1207" s="280"/>
      <c r="E1207" s="287"/>
      <c r="F1207" s="287"/>
      <c r="G1207" s="287"/>
      <c r="H1207" s="1292">
        <f t="shared" si="60"/>
        <v>18</v>
      </c>
      <c r="I1207" s="1190" t="str">
        <f>'I. Stream &amp; Compound Data'!P279</f>
        <v/>
      </c>
      <c r="J1207" s="1295" t="str">
        <f>IF(I159="","",IF('I. Stream &amp; Compound Data'!BZ279="",0,'I. Stream &amp; Compound Data'!BZ279))</f>
        <v/>
      </c>
      <c r="K1207" s="1295" t="str">
        <f t="shared" si="61"/>
        <v/>
      </c>
      <c r="L1207" s="1317" t="str">
        <f>IF(K1207="","",IF('I. Stream &amp; Compound Data'!E49="H2O",0,(IF(J1207=0,1,J1207))*I1207))</f>
        <v/>
      </c>
      <c r="M1207" s="296"/>
      <c r="N1207" s="280"/>
      <c r="O1207" s="280"/>
      <c r="P1207" s="279"/>
      <c r="Q1207" s="297"/>
      <c r="R1207" s="298"/>
      <c r="S1207" s="298"/>
      <c r="T1207" s="299"/>
      <c r="U1207" s="279"/>
      <c r="V1207" s="279"/>
      <c r="W1207" s="279"/>
      <c r="X1207" s="279"/>
      <c r="Y1207" s="279"/>
      <c r="Z1207" s="279"/>
      <c r="AA1207" s="279"/>
      <c r="AB1207" s="279"/>
      <c r="AC1207" s="279"/>
      <c r="AD1207" s="279"/>
      <c r="AE1207" s="279"/>
      <c r="AF1207" s="279"/>
      <c r="AG1207" s="279"/>
      <c r="AH1207" s="279"/>
      <c r="AI1207" s="279"/>
      <c r="AJ1207" s="279"/>
      <c r="AK1207" s="279"/>
      <c r="AL1207" s="279"/>
      <c r="AM1207" s="279"/>
      <c r="AN1207" s="279"/>
      <c r="AO1207" s="279"/>
      <c r="AP1207" s="279"/>
      <c r="AQ1207" s="279"/>
      <c r="AR1207" s="279"/>
      <c r="AS1207" s="279"/>
      <c r="AT1207" s="279"/>
      <c r="AU1207" s="279"/>
      <c r="AV1207" s="279"/>
      <c r="AW1207" s="279"/>
      <c r="AX1207" s="279"/>
      <c r="AY1207" s="279"/>
      <c r="AZ1207" s="279"/>
      <c r="BA1207" s="279"/>
      <c r="BB1207" s="279"/>
      <c r="BC1207" s="279"/>
      <c r="BD1207" s="279"/>
      <c r="BE1207" s="279"/>
      <c r="BF1207" s="279"/>
      <c r="BG1207" s="279"/>
      <c r="BH1207" s="279"/>
      <c r="BI1207" s="279"/>
      <c r="BJ1207" s="279"/>
      <c r="BK1207" s="279"/>
      <c r="BL1207" s="279"/>
      <c r="BM1207" s="279"/>
      <c r="BN1207" s="279"/>
      <c r="BO1207" s="279"/>
      <c r="BP1207" s="279"/>
      <c r="BQ1207" s="279"/>
      <c r="BR1207" s="279"/>
      <c r="BS1207" s="279"/>
      <c r="BT1207" s="279"/>
      <c r="BU1207" s="279"/>
      <c r="BV1207" s="279"/>
      <c r="BW1207" s="279"/>
      <c r="BX1207" s="279"/>
      <c r="BY1207" s="279"/>
      <c r="BZ1207" s="279"/>
      <c r="CA1207" s="279"/>
      <c r="CB1207" s="279"/>
      <c r="CC1207" s="279"/>
      <c r="CD1207" s="279"/>
      <c r="CE1207" s="279"/>
      <c r="CF1207" s="279"/>
      <c r="CG1207" s="279"/>
      <c r="CH1207" s="279"/>
      <c r="CI1207" s="279"/>
      <c r="CJ1207" s="279"/>
      <c r="CK1207" s="279"/>
      <c r="CL1207" s="279"/>
      <c r="CM1207" s="279"/>
      <c r="CN1207" s="382"/>
    </row>
    <row r="1208" x14ac:dyDescent="0.3">
      <c r="B1208" s="361"/>
      <c r="C1208" s="279"/>
      <c r="D1208" s="280"/>
      <c r="E1208" s="287"/>
      <c r="F1208" s="287"/>
      <c r="G1208" s="287"/>
      <c r="H1208" s="1292">
        <f t="shared" si="60"/>
        <v>19</v>
      </c>
      <c r="I1208" s="1190" t="str">
        <f>'I. Stream &amp; Compound Data'!P280</f>
        <v/>
      </c>
      <c r="J1208" s="1295" t="str">
        <f>IF(I160="","",IF('I. Stream &amp; Compound Data'!BZ280="",0,'I. Stream &amp; Compound Data'!BZ280))</f>
        <v/>
      </c>
      <c r="K1208" s="1295" t="str">
        <f t="shared" si="61"/>
        <v/>
      </c>
      <c r="L1208" s="1317" t="str">
        <f>IF(K1208="","",IF('I. Stream &amp; Compound Data'!E50="H2O",0,(IF(J1208=0,1,J1208))*I1208))</f>
        <v/>
      </c>
      <c r="M1208" s="296"/>
      <c r="N1208" s="280"/>
      <c r="O1208" s="280"/>
      <c r="P1208" s="279"/>
      <c r="Q1208" s="297"/>
      <c r="R1208" s="298"/>
      <c r="S1208" s="298"/>
      <c r="T1208" s="299"/>
      <c r="U1208" s="279"/>
      <c r="V1208" s="279"/>
      <c r="W1208" s="279"/>
      <c r="X1208" s="279"/>
      <c r="Y1208" s="279"/>
      <c r="Z1208" s="279"/>
      <c r="AA1208" s="279"/>
      <c r="AB1208" s="279"/>
      <c r="AC1208" s="279"/>
      <c r="AD1208" s="279"/>
      <c r="AE1208" s="279"/>
      <c r="AF1208" s="279"/>
      <c r="AG1208" s="279"/>
      <c r="AH1208" s="279"/>
      <c r="AI1208" s="279"/>
      <c r="AJ1208" s="279"/>
      <c r="AK1208" s="279"/>
      <c r="AL1208" s="279"/>
      <c r="AM1208" s="279"/>
      <c r="AN1208" s="279"/>
      <c r="AO1208" s="279"/>
      <c r="AP1208" s="279"/>
      <c r="AQ1208" s="279"/>
      <c r="AR1208" s="279"/>
      <c r="AS1208" s="279"/>
      <c r="AT1208" s="279"/>
      <c r="AU1208" s="279"/>
      <c r="AV1208" s="279"/>
      <c r="AW1208" s="279"/>
      <c r="AX1208" s="279"/>
      <c r="AY1208" s="279"/>
      <c r="AZ1208" s="279"/>
      <c r="BA1208" s="279"/>
      <c r="BB1208" s="279"/>
      <c r="BC1208" s="279"/>
      <c r="BD1208" s="279"/>
      <c r="BE1208" s="279"/>
      <c r="BF1208" s="279"/>
      <c r="BG1208" s="279"/>
      <c r="BH1208" s="279"/>
      <c r="BI1208" s="279"/>
      <c r="BJ1208" s="279"/>
      <c r="BK1208" s="279"/>
      <c r="BL1208" s="279"/>
      <c r="BM1208" s="279"/>
      <c r="BN1208" s="279"/>
      <c r="BO1208" s="279"/>
      <c r="BP1208" s="279"/>
      <c r="BQ1208" s="279"/>
      <c r="BR1208" s="279"/>
      <c r="BS1208" s="279"/>
      <c r="BT1208" s="279"/>
      <c r="BU1208" s="279"/>
      <c r="BV1208" s="279"/>
      <c r="BW1208" s="279"/>
      <c r="BX1208" s="279"/>
      <c r="BY1208" s="279"/>
      <c r="BZ1208" s="279"/>
      <c r="CA1208" s="279"/>
      <c r="CB1208" s="279"/>
      <c r="CC1208" s="279"/>
      <c r="CD1208" s="279"/>
      <c r="CE1208" s="279"/>
      <c r="CF1208" s="279"/>
      <c r="CG1208" s="279"/>
      <c r="CH1208" s="279"/>
      <c r="CI1208" s="279"/>
      <c r="CJ1208" s="279"/>
      <c r="CK1208" s="279"/>
      <c r="CL1208" s="279"/>
      <c r="CM1208" s="279"/>
      <c r="CN1208" s="382"/>
    </row>
    <row r="1209" x14ac:dyDescent="0.3">
      <c r="B1209" s="361"/>
      <c r="C1209" s="279"/>
      <c r="D1209" s="280"/>
      <c r="E1209" s="287"/>
      <c r="F1209" s="287"/>
      <c r="G1209" s="287"/>
      <c r="H1209" s="1292">
        <f t="shared" si="60"/>
        <v>20</v>
      </c>
      <c r="I1209" s="1190" t="str">
        <f>'I. Stream &amp; Compound Data'!P281</f>
        <v/>
      </c>
      <c r="J1209" s="1295" t="str">
        <f>IF(I161="","",IF('I. Stream &amp; Compound Data'!BZ281="",0,'I. Stream &amp; Compound Data'!BZ281))</f>
        <v/>
      </c>
      <c r="K1209" s="1295" t="str">
        <f t="shared" ref="K1209:K1239" si="62">IF(I161="","",I1209*J1209)</f>
        <v/>
      </c>
      <c r="L1209" s="1317" t="str">
        <f>IF(K1209="","",IF('I. Stream &amp; Compound Data'!E51="H2O",0,(IF(J1209=0,1,J1209))*I1209))</f>
        <v/>
      </c>
      <c r="M1209" s="287"/>
      <c r="N1209" s="296"/>
      <c r="O1209" s="280"/>
      <c r="P1209" s="280"/>
      <c r="Q1209" s="279"/>
      <c r="R1209" s="297"/>
      <c r="S1209" s="298"/>
      <c r="T1209" s="298"/>
      <c r="U1209" s="299"/>
      <c r="V1209" s="279"/>
      <c r="W1209" s="279"/>
      <c r="X1209" s="279"/>
      <c r="Y1209" s="279"/>
      <c r="Z1209" s="279"/>
      <c r="AA1209" s="279"/>
      <c r="AB1209" s="279"/>
      <c r="AC1209" s="279"/>
      <c r="AD1209" s="279"/>
      <c r="AE1209" s="279"/>
      <c r="AF1209" s="279"/>
      <c r="AG1209" s="279"/>
      <c r="AH1209" s="279"/>
      <c r="AI1209" s="279"/>
      <c r="AJ1209" s="279"/>
      <c r="AK1209" s="279"/>
      <c r="AL1209" s="279"/>
      <c r="AM1209" s="279"/>
      <c r="AN1209" s="279"/>
      <c r="AO1209" s="279"/>
      <c r="AP1209" s="279"/>
      <c r="AQ1209" s="279"/>
      <c r="AR1209" s="279"/>
      <c r="AS1209" s="279"/>
      <c r="AT1209" s="279"/>
      <c r="AU1209" s="279"/>
      <c r="AV1209" s="279"/>
      <c r="AW1209" s="279"/>
      <c r="AX1209" s="279"/>
      <c r="AY1209" s="279"/>
      <c r="AZ1209" s="279"/>
      <c r="BA1209" s="279"/>
      <c r="BB1209" s="279"/>
      <c r="BC1209" s="279"/>
      <c r="BD1209" s="279"/>
      <c r="BE1209" s="279"/>
      <c r="BF1209" s="279"/>
      <c r="BG1209" s="279"/>
      <c r="BH1209" s="279"/>
      <c r="BI1209" s="279"/>
      <c r="BJ1209" s="279"/>
      <c r="BK1209" s="279"/>
      <c r="BL1209" s="279"/>
      <c r="BM1209" s="279"/>
      <c r="BN1209" s="279"/>
      <c r="BO1209" s="279"/>
      <c r="BP1209" s="279"/>
      <c r="BQ1209" s="279"/>
      <c r="BR1209" s="279"/>
      <c r="BS1209" s="279"/>
      <c r="BT1209" s="279"/>
      <c r="BU1209" s="279"/>
      <c r="BV1209" s="279"/>
      <c r="BW1209" s="279"/>
      <c r="BX1209" s="279"/>
      <c r="BY1209" s="279"/>
      <c r="BZ1209" s="279"/>
      <c r="CA1209" s="279"/>
      <c r="CB1209" s="279"/>
      <c r="CC1209" s="279"/>
      <c r="CD1209" s="279"/>
      <c r="CE1209" s="279"/>
      <c r="CF1209" s="279"/>
      <c r="CG1209" s="279"/>
      <c r="CH1209" s="279"/>
      <c r="CI1209" s="279"/>
      <c r="CJ1209" s="279"/>
      <c r="CK1209" s="279"/>
      <c r="CL1209" s="279"/>
      <c r="CM1209" s="279"/>
      <c r="CN1209" s="382"/>
    </row>
    <row r="1210" x14ac:dyDescent="0.3">
      <c r="B1210" s="361"/>
      <c r="C1210" s="279"/>
      <c r="D1210" s="280"/>
      <c r="E1210" s="287"/>
      <c r="F1210" s="287"/>
      <c r="G1210" s="287"/>
      <c r="H1210" s="1292">
        <f t="shared" ref="H1210:H1239" si="63">H162</f>
        <v>21</v>
      </c>
      <c r="I1210" s="1190" t="str">
        <f>'I. Stream &amp; Compound Data'!P282</f>
        <v/>
      </c>
      <c r="J1210" s="1295" t="str">
        <f>IF(I162="","",IF('I. Stream &amp; Compound Data'!BZ282="",0,'I. Stream &amp; Compound Data'!BZ282))</f>
        <v/>
      </c>
      <c r="K1210" s="1295" t="str">
        <f t="shared" si="62"/>
        <v/>
      </c>
      <c r="L1210" s="1317" t="str">
        <f>IF(K1210="","",IF('I. Stream &amp; Compound Data'!E52="H2O",0,(IF(J1210=0,1,J1210))*I1210))</f>
        <v/>
      </c>
      <c r="M1210" s="296"/>
      <c r="N1210" s="280"/>
      <c r="O1210" s="280"/>
      <c r="P1210" s="279"/>
      <c r="Q1210" s="297"/>
      <c r="R1210" s="298"/>
      <c r="S1210" s="298"/>
      <c r="T1210" s="299"/>
      <c r="U1210" s="279"/>
      <c r="V1210" s="279"/>
      <c r="W1210" s="279"/>
      <c r="X1210" s="279"/>
      <c r="Y1210" s="279"/>
      <c r="Z1210" s="279"/>
      <c r="AA1210" s="279"/>
      <c r="AB1210" s="279"/>
      <c r="AC1210" s="279"/>
      <c r="AD1210" s="279"/>
      <c r="AE1210" s="279"/>
      <c r="AF1210" s="279"/>
      <c r="AG1210" s="279"/>
      <c r="AH1210" s="279"/>
      <c r="AI1210" s="279"/>
      <c r="AJ1210" s="279"/>
      <c r="AK1210" s="279"/>
      <c r="AL1210" s="279"/>
      <c r="AM1210" s="279"/>
      <c r="AN1210" s="279"/>
      <c r="AO1210" s="279"/>
      <c r="AP1210" s="279"/>
      <c r="AQ1210" s="279"/>
      <c r="AR1210" s="279"/>
      <c r="AS1210" s="279"/>
      <c r="AT1210" s="279"/>
      <c r="AU1210" s="279"/>
      <c r="AV1210" s="279"/>
      <c r="AW1210" s="279"/>
      <c r="AX1210" s="279"/>
      <c r="AY1210" s="279"/>
      <c r="AZ1210" s="279"/>
      <c r="BA1210" s="279"/>
      <c r="BB1210" s="279"/>
      <c r="BC1210" s="279"/>
      <c r="BD1210" s="279"/>
      <c r="BE1210" s="279"/>
      <c r="BF1210" s="279"/>
      <c r="BG1210" s="279"/>
      <c r="BH1210" s="279"/>
      <c r="BI1210" s="279"/>
      <c r="BJ1210" s="279"/>
      <c r="BK1210" s="279"/>
      <c r="BL1210" s="279"/>
      <c r="BM1210" s="279"/>
      <c r="BN1210" s="279"/>
      <c r="BO1210" s="279"/>
      <c r="BP1210" s="279"/>
      <c r="BQ1210" s="279"/>
      <c r="BR1210" s="279"/>
      <c r="BS1210" s="279"/>
      <c r="BT1210" s="279"/>
      <c r="BU1210" s="279"/>
      <c r="BV1210" s="279"/>
      <c r="BW1210" s="279"/>
      <c r="BX1210" s="279"/>
      <c r="BY1210" s="279"/>
      <c r="BZ1210" s="279"/>
      <c r="CA1210" s="279"/>
      <c r="CB1210" s="279"/>
      <c r="CC1210" s="279"/>
      <c r="CD1210" s="279"/>
      <c r="CE1210" s="279"/>
      <c r="CF1210" s="279"/>
      <c r="CG1210" s="279"/>
      <c r="CH1210" s="279"/>
      <c r="CI1210" s="279"/>
      <c r="CJ1210" s="279"/>
      <c r="CK1210" s="279"/>
      <c r="CL1210" s="279"/>
      <c r="CM1210" s="279"/>
      <c r="CN1210" s="382"/>
    </row>
    <row r="1211" x14ac:dyDescent="0.3">
      <c r="B1211" s="361"/>
      <c r="C1211" s="279"/>
      <c r="D1211" s="280"/>
      <c r="E1211" s="287"/>
      <c r="F1211" s="287"/>
      <c r="G1211" s="287"/>
      <c r="H1211" s="1292">
        <f t="shared" si="63"/>
        <v>22</v>
      </c>
      <c r="I1211" s="1190" t="str">
        <f>'I. Stream &amp; Compound Data'!P283</f>
        <v/>
      </c>
      <c r="J1211" s="1295" t="str">
        <f>IF(I163="","",IF('I. Stream &amp; Compound Data'!BZ283="",0,'I. Stream &amp; Compound Data'!BZ283))</f>
        <v/>
      </c>
      <c r="K1211" s="1295" t="str">
        <f t="shared" si="62"/>
        <v/>
      </c>
      <c r="L1211" s="1317" t="str">
        <f>IF(K1211="","",IF('I. Stream &amp; Compound Data'!E53="H2O",0,(IF(J1211=0,1,J1211))*I1211))</f>
        <v/>
      </c>
      <c r="M1211" s="296"/>
      <c r="N1211" s="280"/>
      <c r="O1211" s="280"/>
      <c r="P1211" s="279"/>
      <c r="Q1211" s="297"/>
      <c r="R1211" s="298"/>
      <c r="S1211" s="298"/>
      <c r="T1211" s="299"/>
      <c r="U1211" s="279"/>
      <c r="V1211" s="279"/>
      <c r="W1211" s="279"/>
      <c r="X1211" s="279"/>
      <c r="Y1211" s="279"/>
      <c r="Z1211" s="279"/>
      <c r="AA1211" s="279"/>
      <c r="AB1211" s="279"/>
      <c r="AC1211" s="279"/>
      <c r="AD1211" s="279"/>
      <c r="AE1211" s="279"/>
      <c r="AF1211" s="279"/>
      <c r="AG1211" s="279"/>
      <c r="AH1211" s="279"/>
      <c r="AI1211" s="279"/>
      <c r="AJ1211" s="279"/>
      <c r="AK1211" s="279"/>
      <c r="AL1211" s="279"/>
      <c r="AM1211" s="279"/>
      <c r="AN1211" s="279"/>
      <c r="AO1211" s="279"/>
      <c r="AP1211" s="279"/>
      <c r="AQ1211" s="279"/>
      <c r="AR1211" s="279"/>
      <c r="AS1211" s="279"/>
      <c r="AT1211" s="279"/>
      <c r="AU1211" s="279"/>
      <c r="AV1211" s="279"/>
      <c r="AW1211" s="279"/>
      <c r="AX1211" s="279"/>
      <c r="AY1211" s="279"/>
      <c r="AZ1211" s="279"/>
      <c r="BA1211" s="279"/>
      <c r="BB1211" s="279"/>
      <c r="BC1211" s="279"/>
      <c r="BD1211" s="279"/>
      <c r="BE1211" s="279"/>
      <c r="BF1211" s="279"/>
      <c r="BG1211" s="279"/>
      <c r="BH1211" s="279"/>
      <c r="BI1211" s="279"/>
      <c r="BJ1211" s="279"/>
      <c r="BK1211" s="279"/>
      <c r="BL1211" s="279"/>
      <c r="BM1211" s="279"/>
      <c r="BN1211" s="279"/>
      <c r="BO1211" s="279"/>
      <c r="BP1211" s="279"/>
      <c r="BQ1211" s="279"/>
      <c r="BR1211" s="279"/>
      <c r="BS1211" s="279"/>
      <c r="BT1211" s="279"/>
      <c r="BU1211" s="279"/>
      <c r="BV1211" s="279"/>
      <c r="BW1211" s="279"/>
      <c r="BX1211" s="279"/>
      <c r="BY1211" s="279"/>
      <c r="BZ1211" s="279"/>
      <c r="CA1211" s="279"/>
      <c r="CB1211" s="279"/>
      <c r="CC1211" s="279"/>
      <c r="CD1211" s="279"/>
      <c r="CE1211" s="279"/>
      <c r="CF1211" s="279"/>
      <c r="CG1211" s="279"/>
      <c r="CH1211" s="279"/>
      <c r="CI1211" s="279"/>
      <c r="CJ1211" s="279"/>
      <c r="CK1211" s="279"/>
      <c r="CL1211" s="279"/>
      <c r="CM1211" s="279"/>
      <c r="CN1211" s="382"/>
    </row>
    <row r="1212" x14ac:dyDescent="0.3">
      <c r="B1212" s="361"/>
      <c r="C1212" s="279"/>
      <c r="D1212" s="280"/>
      <c r="E1212" s="287"/>
      <c r="F1212" s="287"/>
      <c r="G1212" s="287"/>
      <c r="H1212" s="1292">
        <f t="shared" si="63"/>
        <v>23</v>
      </c>
      <c r="I1212" s="1190" t="str">
        <f>'I. Stream &amp; Compound Data'!P284</f>
        <v/>
      </c>
      <c r="J1212" s="1295" t="str">
        <f>IF(I164="","",IF('I. Stream &amp; Compound Data'!BZ284="",0,'I. Stream &amp; Compound Data'!BZ284))</f>
        <v/>
      </c>
      <c r="K1212" s="1295" t="str">
        <f t="shared" si="62"/>
        <v/>
      </c>
      <c r="L1212" s="1317" t="str">
        <f>IF(K1212="","",IF('I. Stream &amp; Compound Data'!E54="H2O",0,(IF(J1212=0,1,J1212))*I1212))</f>
        <v/>
      </c>
      <c r="M1212" s="296"/>
      <c r="N1212" s="280"/>
      <c r="O1212" s="280"/>
      <c r="P1212" s="279"/>
      <c r="Q1212" s="297"/>
      <c r="R1212" s="298"/>
      <c r="S1212" s="298"/>
      <c r="T1212" s="299"/>
      <c r="U1212" s="279"/>
      <c r="V1212" s="279"/>
      <c r="W1212" s="279"/>
      <c r="X1212" s="279"/>
      <c r="Y1212" s="279"/>
      <c r="Z1212" s="279"/>
      <c r="AA1212" s="279"/>
      <c r="AB1212" s="279"/>
      <c r="AC1212" s="279"/>
      <c r="AD1212" s="279"/>
      <c r="AE1212" s="279"/>
      <c r="AF1212" s="279"/>
      <c r="AG1212" s="279"/>
      <c r="AH1212" s="279"/>
      <c r="AI1212" s="279"/>
      <c r="AJ1212" s="279"/>
      <c r="AK1212" s="279"/>
      <c r="AL1212" s="279"/>
      <c r="AM1212" s="279"/>
      <c r="AN1212" s="279"/>
      <c r="AO1212" s="279"/>
      <c r="AP1212" s="279"/>
      <c r="AQ1212" s="279"/>
      <c r="AR1212" s="279"/>
      <c r="AS1212" s="279"/>
      <c r="AT1212" s="279"/>
      <c r="AU1212" s="279"/>
      <c r="AV1212" s="279"/>
      <c r="AW1212" s="279"/>
      <c r="AX1212" s="279"/>
      <c r="AY1212" s="279"/>
      <c r="AZ1212" s="279"/>
      <c r="BA1212" s="279"/>
      <c r="BB1212" s="279"/>
      <c r="BC1212" s="279"/>
      <c r="BD1212" s="279"/>
      <c r="BE1212" s="279"/>
      <c r="BF1212" s="279"/>
      <c r="BG1212" s="279"/>
      <c r="BH1212" s="279"/>
      <c r="BI1212" s="279"/>
      <c r="BJ1212" s="279"/>
      <c r="BK1212" s="279"/>
      <c r="BL1212" s="279"/>
      <c r="BM1212" s="279"/>
      <c r="BN1212" s="279"/>
      <c r="BO1212" s="279"/>
      <c r="BP1212" s="279"/>
      <c r="BQ1212" s="279"/>
      <c r="BR1212" s="279"/>
      <c r="BS1212" s="279"/>
      <c r="BT1212" s="279"/>
      <c r="BU1212" s="279"/>
      <c r="BV1212" s="279"/>
      <c r="BW1212" s="279"/>
      <c r="BX1212" s="279"/>
      <c r="BY1212" s="279"/>
      <c r="BZ1212" s="279"/>
      <c r="CA1212" s="279"/>
      <c r="CB1212" s="279"/>
      <c r="CC1212" s="279"/>
      <c r="CD1212" s="279"/>
      <c r="CE1212" s="279"/>
      <c r="CF1212" s="279"/>
      <c r="CG1212" s="279"/>
      <c r="CH1212" s="279"/>
      <c r="CI1212" s="279"/>
      <c r="CJ1212" s="279"/>
      <c r="CK1212" s="279"/>
      <c r="CL1212" s="279"/>
      <c r="CM1212" s="279"/>
      <c r="CN1212" s="382"/>
    </row>
    <row r="1213" x14ac:dyDescent="0.3">
      <c r="B1213" s="361"/>
      <c r="C1213" s="279"/>
      <c r="D1213" s="280"/>
      <c r="E1213" s="287"/>
      <c r="F1213" s="287"/>
      <c r="G1213" s="287"/>
      <c r="H1213" s="1292">
        <f t="shared" si="63"/>
        <v>24</v>
      </c>
      <c r="I1213" s="1190" t="str">
        <f>'I. Stream &amp; Compound Data'!P285</f>
        <v/>
      </c>
      <c r="J1213" s="1295" t="str">
        <f>IF(I165="","",IF('I. Stream &amp; Compound Data'!BZ285="",0,'I. Stream &amp; Compound Data'!BZ285))</f>
        <v/>
      </c>
      <c r="K1213" s="1295" t="str">
        <f t="shared" si="62"/>
        <v/>
      </c>
      <c r="L1213" s="1317" t="str">
        <f>IF(K1213="","",IF('I. Stream &amp; Compound Data'!E55="H2O",0,(IF(J1213=0,1,J1213))*I1213))</f>
        <v/>
      </c>
      <c r="M1213" s="296"/>
      <c r="N1213" s="280"/>
      <c r="O1213" s="280"/>
      <c r="P1213" s="279"/>
      <c r="Q1213" s="297"/>
      <c r="R1213" s="298"/>
      <c r="S1213" s="298"/>
      <c r="T1213" s="299"/>
      <c r="U1213" s="279"/>
      <c r="V1213" s="279"/>
      <c r="W1213" s="279"/>
      <c r="X1213" s="279"/>
      <c r="Y1213" s="279"/>
      <c r="Z1213" s="279"/>
      <c r="AA1213" s="279"/>
      <c r="AB1213" s="279"/>
      <c r="AC1213" s="279"/>
      <c r="AD1213" s="279"/>
      <c r="AE1213" s="279"/>
      <c r="AF1213" s="279"/>
      <c r="AG1213" s="279"/>
      <c r="AH1213" s="279"/>
      <c r="AI1213" s="279"/>
      <c r="AJ1213" s="279"/>
      <c r="AK1213" s="279"/>
      <c r="AL1213" s="279"/>
      <c r="AM1213" s="279"/>
      <c r="AN1213" s="279"/>
      <c r="AO1213" s="279"/>
      <c r="AP1213" s="279"/>
      <c r="AQ1213" s="279"/>
      <c r="AR1213" s="279"/>
      <c r="AS1213" s="279"/>
      <c r="AT1213" s="279"/>
      <c r="AU1213" s="279"/>
      <c r="AV1213" s="279"/>
      <c r="AW1213" s="279"/>
      <c r="AX1213" s="279"/>
      <c r="AY1213" s="279"/>
      <c r="AZ1213" s="279"/>
      <c r="BA1213" s="279"/>
      <c r="BB1213" s="279"/>
      <c r="BC1213" s="279"/>
      <c r="BD1213" s="279"/>
      <c r="BE1213" s="279"/>
      <c r="BF1213" s="279"/>
      <c r="BG1213" s="279"/>
      <c r="BH1213" s="279"/>
      <c r="BI1213" s="279"/>
      <c r="BJ1213" s="279"/>
      <c r="BK1213" s="279"/>
      <c r="BL1213" s="279"/>
      <c r="BM1213" s="279"/>
      <c r="BN1213" s="279"/>
      <c r="BO1213" s="279"/>
      <c r="BP1213" s="279"/>
      <c r="BQ1213" s="279"/>
      <c r="BR1213" s="279"/>
      <c r="BS1213" s="279"/>
      <c r="BT1213" s="279"/>
      <c r="BU1213" s="279"/>
      <c r="BV1213" s="279"/>
      <c r="BW1213" s="279"/>
      <c r="BX1213" s="279"/>
      <c r="BY1213" s="279"/>
      <c r="BZ1213" s="279"/>
      <c r="CA1213" s="279"/>
      <c r="CB1213" s="279"/>
      <c r="CC1213" s="279"/>
      <c r="CD1213" s="279"/>
      <c r="CE1213" s="279"/>
      <c r="CF1213" s="279"/>
      <c r="CG1213" s="279"/>
      <c r="CH1213" s="279"/>
      <c r="CI1213" s="279"/>
      <c r="CJ1213" s="279"/>
      <c r="CK1213" s="279"/>
      <c r="CL1213" s="279"/>
      <c r="CM1213" s="279"/>
      <c r="CN1213" s="382"/>
    </row>
    <row r="1214" x14ac:dyDescent="0.3">
      <c r="B1214" s="361"/>
      <c r="C1214" s="279"/>
      <c r="D1214" s="280"/>
      <c r="E1214" s="287"/>
      <c r="F1214" s="287"/>
      <c r="G1214" s="287"/>
      <c r="H1214" s="1292">
        <f t="shared" si="63"/>
        <v>25</v>
      </c>
      <c r="I1214" s="1190" t="str">
        <f>'I. Stream &amp; Compound Data'!P286</f>
        <v/>
      </c>
      <c r="J1214" s="1295" t="str">
        <f>IF(I166="","",IF('I. Stream &amp; Compound Data'!BZ286="",0,'I. Stream &amp; Compound Data'!BZ286))</f>
        <v/>
      </c>
      <c r="K1214" s="1295" t="str">
        <f t="shared" si="62"/>
        <v/>
      </c>
      <c r="L1214" s="1317" t="str">
        <f>IF(K1214="","",IF('I. Stream &amp; Compound Data'!E56="H2O",0,(IF(J1214=0,1,J1214))*I1214))</f>
        <v/>
      </c>
      <c r="M1214" s="296"/>
      <c r="N1214" s="280"/>
      <c r="O1214" s="280"/>
      <c r="P1214" s="279"/>
      <c r="Q1214" s="297"/>
      <c r="R1214" s="298"/>
      <c r="S1214" s="298"/>
      <c r="T1214" s="299"/>
      <c r="U1214" s="279"/>
      <c r="V1214" s="279"/>
      <c r="W1214" s="279"/>
      <c r="X1214" s="279"/>
      <c r="Y1214" s="279"/>
      <c r="Z1214" s="279"/>
      <c r="AA1214" s="279"/>
      <c r="AB1214" s="279"/>
      <c r="AC1214" s="279"/>
      <c r="AD1214" s="279"/>
      <c r="AE1214" s="279"/>
      <c r="AF1214" s="279"/>
      <c r="AG1214" s="279"/>
      <c r="AH1214" s="279"/>
      <c r="AI1214" s="279"/>
      <c r="AJ1214" s="279"/>
      <c r="AK1214" s="279"/>
      <c r="AL1214" s="279"/>
      <c r="AM1214" s="279"/>
      <c r="AN1214" s="279"/>
      <c r="AO1214" s="279"/>
      <c r="AP1214" s="279"/>
      <c r="AQ1214" s="279"/>
      <c r="AR1214" s="279"/>
      <c r="AS1214" s="279"/>
      <c r="AT1214" s="279"/>
      <c r="AU1214" s="279"/>
      <c r="AV1214" s="279"/>
      <c r="AW1214" s="279"/>
      <c r="AX1214" s="279"/>
      <c r="AY1214" s="279"/>
      <c r="AZ1214" s="279"/>
      <c r="BA1214" s="279"/>
      <c r="BB1214" s="279"/>
      <c r="BC1214" s="279"/>
      <c r="BD1214" s="279"/>
      <c r="BE1214" s="279"/>
      <c r="BF1214" s="279"/>
      <c r="BG1214" s="279"/>
      <c r="BH1214" s="279"/>
      <c r="BI1214" s="279"/>
      <c r="BJ1214" s="279"/>
      <c r="BK1214" s="279"/>
      <c r="BL1214" s="279"/>
      <c r="BM1214" s="279"/>
      <c r="BN1214" s="279"/>
      <c r="BO1214" s="279"/>
      <c r="BP1214" s="279"/>
      <c r="BQ1214" s="279"/>
      <c r="BR1214" s="279"/>
      <c r="BS1214" s="279"/>
      <c r="BT1214" s="279"/>
      <c r="BU1214" s="279"/>
      <c r="BV1214" s="279"/>
      <c r="BW1214" s="279"/>
      <c r="BX1214" s="279"/>
      <c r="BY1214" s="279"/>
      <c r="BZ1214" s="279"/>
      <c r="CA1214" s="279"/>
      <c r="CB1214" s="279"/>
      <c r="CC1214" s="279"/>
      <c r="CD1214" s="279"/>
      <c r="CE1214" s="279"/>
      <c r="CF1214" s="279"/>
      <c r="CG1214" s="279"/>
      <c r="CH1214" s="279"/>
      <c r="CI1214" s="279"/>
      <c r="CJ1214" s="279"/>
      <c r="CK1214" s="279"/>
      <c r="CL1214" s="279"/>
      <c r="CM1214" s="279"/>
      <c r="CN1214" s="382"/>
    </row>
    <row r="1215" x14ac:dyDescent="0.3">
      <c r="B1215" s="361"/>
      <c r="C1215" s="279"/>
      <c r="D1215" s="280"/>
      <c r="E1215" s="287"/>
      <c r="F1215" s="287"/>
      <c r="G1215" s="287"/>
      <c r="H1215" s="1292">
        <f t="shared" si="63"/>
        <v>26</v>
      </c>
      <c r="I1215" s="1190" t="str">
        <f>'I. Stream &amp; Compound Data'!P287</f>
        <v/>
      </c>
      <c r="J1215" s="1295" t="str">
        <f>IF(I167="","",IF('I. Stream &amp; Compound Data'!BZ287="",0,'I. Stream &amp; Compound Data'!BZ287))</f>
        <v/>
      </c>
      <c r="K1215" s="1295" t="str">
        <f t="shared" si="62"/>
        <v/>
      </c>
      <c r="L1215" s="1317" t="str">
        <f>IF(K1215="","",IF('I. Stream &amp; Compound Data'!E57="H2O",0,(IF(J1215=0,1,J1215))*I1215))</f>
        <v/>
      </c>
      <c r="M1215" s="296"/>
      <c r="N1215" s="280"/>
      <c r="O1215" s="280"/>
      <c r="P1215" s="279"/>
      <c r="Q1215" s="297"/>
      <c r="R1215" s="298"/>
      <c r="S1215" s="298"/>
      <c r="T1215" s="299"/>
      <c r="U1215" s="279"/>
      <c r="V1215" s="279"/>
      <c r="W1215" s="279"/>
      <c r="X1215" s="279"/>
      <c r="Y1215" s="279"/>
      <c r="Z1215" s="279"/>
      <c r="AA1215" s="279"/>
      <c r="AB1215" s="279"/>
      <c r="AC1215" s="279"/>
      <c r="AD1215" s="279"/>
      <c r="AE1215" s="279"/>
      <c r="AF1215" s="279"/>
      <c r="AG1215" s="279"/>
      <c r="AH1215" s="279"/>
      <c r="AI1215" s="279"/>
      <c r="AJ1215" s="279"/>
      <c r="AK1215" s="279"/>
      <c r="AL1215" s="279"/>
      <c r="AM1215" s="279"/>
      <c r="AN1215" s="279"/>
      <c r="AO1215" s="279"/>
      <c r="AP1215" s="279"/>
      <c r="AQ1215" s="279"/>
      <c r="AR1215" s="279"/>
      <c r="AS1215" s="279"/>
      <c r="AT1215" s="279"/>
      <c r="AU1215" s="279"/>
      <c r="AV1215" s="279"/>
      <c r="AW1215" s="279"/>
      <c r="AX1215" s="279"/>
      <c r="AY1215" s="279"/>
      <c r="AZ1215" s="279"/>
      <c r="BA1215" s="279"/>
      <c r="BB1215" s="279"/>
      <c r="BC1215" s="279"/>
      <c r="BD1215" s="279"/>
      <c r="BE1215" s="279"/>
      <c r="BF1215" s="279"/>
      <c r="BG1215" s="279"/>
      <c r="BH1215" s="279"/>
      <c r="BI1215" s="279"/>
      <c r="BJ1215" s="279"/>
      <c r="BK1215" s="279"/>
      <c r="BL1215" s="279"/>
      <c r="BM1215" s="279"/>
      <c r="BN1215" s="279"/>
      <c r="BO1215" s="279"/>
      <c r="BP1215" s="279"/>
      <c r="BQ1215" s="279"/>
      <c r="BR1215" s="279"/>
      <c r="BS1215" s="279"/>
      <c r="BT1215" s="279"/>
      <c r="BU1215" s="279"/>
      <c r="BV1215" s="279"/>
      <c r="BW1215" s="279"/>
      <c r="BX1215" s="279"/>
      <c r="BY1215" s="279"/>
      <c r="BZ1215" s="279"/>
      <c r="CA1215" s="279"/>
      <c r="CB1215" s="279"/>
      <c r="CC1215" s="279"/>
      <c r="CD1215" s="279"/>
      <c r="CE1215" s="279"/>
      <c r="CF1215" s="279"/>
      <c r="CG1215" s="279"/>
      <c r="CH1215" s="279"/>
      <c r="CI1215" s="279"/>
      <c r="CJ1215" s="279"/>
      <c r="CK1215" s="279"/>
      <c r="CL1215" s="279"/>
      <c r="CM1215" s="279"/>
      <c r="CN1215" s="382"/>
    </row>
    <row r="1216" x14ac:dyDescent="0.3">
      <c r="B1216" s="361"/>
      <c r="C1216" s="279"/>
      <c r="D1216" s="280"/>
      <c r="E1216" s="287"/>
      <c r="F1216" s="287"/>
      <c r="G1216" s="287"/>
      <c r="H1216" s="1292">
        <f t="shared" si="63"/>
        <v>27</v>
      </c>
      <c r="I1216" s="1190" t="str">
        <f>'I. Stream &amp; Compound Data'!P288</f>
        <v/>
      </c>
      <c r="J1216" s="1295" t="str">
        <f>IF(I168="","",IF('I. Stream &amp; Compound Data'!BZ288="",0,'I. Stream &amp; Compound Data'!BZ288))</f>
        <v/>
      </c>
      <c r="K1216" s="1295" t="str">
        <f t="shared" si="62"/>
        <v/>
      </c>
      <c r="L1216" s="1317" t="str">
        <f>IF(K1216="","",IF('I. Stream &amp; Compound Data'!E58="H2O",0,(IF(J1216=0,1,J1216))*I1216))</f>
        <v/>
      </c>
      <c r="M1216" s="296"/>
      <c r="N1216" s="280"/>
      <c r="O1216" s="280"/>
      <c r="P1216" s="279"/>
      <c r="Q1216" s="297"/>
      <c r="R1216" s="298"/>
      <c r="S1216" s="298"/>
      <c r="T1216" s="299"/>
      <c r="U1216" s="279"/>
      <c r="V1216" s="279"/>
      <c r="W1216" s="279"/>
      <c r="X1216" s="279"/>
      <c r="Y1216" s="279"/>
      <c r="Z1216" s="279"/>
      <c r="AA1216" s="279"/>
      <c r="AB1216" s="279"/>
      <c r="AC1216" s="279"/>
      <c r="AD1216" s="279"/>
      <c r="AE1216" s="279"/>
      <c r="AF1216" s="279"/>
      <c r="AG1216" s="279"/>
      <c r="AH1216" s="279"/>
      <c r="AI1216" s="279"/>
      <c r="AJ1216" s="279"/>
      <c r="AK1216" s="279"/>
      <c r="AL1216" s="279"/>
      <c r="AM1216" s="279"/>
      <c r="AN1216" s="279"/>
      <c r="AO1216" s="279"/>
      <c r="AP1216" s="279"/>
      <c r="AQ1216" s="279"/>
      <c r="AR1216" s="279"/>
      <c r="AS1216" s="279"/>
      <c r="AT1216" s="279"/>
      <c r="AU1216" s="279"/>
      <c r="AV1216" s="279"/>
      <c r="AW1216" s="279"/>
      <c r="AX1216" s="279"/>
      <c r="AY1216" s="279"/>
      <c r="AZ1216" s="279"/>
      <c r="BA1216" s="279"/>
      <c r="BB1216" s="279"/>
      <c r="BC1216" s="279"/>
      <c r="BD1216" s="279"/>
      <c r="BE1216" s="279"/>
      <c r="BF1216" s="279"/>
      <c r="BG1216" s="279"/>
      <c r="BH1216" s="279"/>
      <c r="BI1216" s="279"/>
      <c r="BJ1216" s="279"/>
      <c r="BK1216" s="279"/>
      <c r="BL1216" s="279"/>
      <c r="BM1216" s="279"/>
      <c r="BN1216" s="279"/>
      <c r="BO1216" s="279"/>
      <c r="BP1216" s="279"/>
      <c r="BQ1216" s="279"/>
      <c r="BR1216" s="279"/>
      <c r="BS1216" s="279"/>
      <c r="BT1216" s="279"/>
      <c r="BU1216" s="279"/>
      <c r="BV1216" s="279"/>
      <c r="BW1216" s="279"/>
      <c r="BX1216" s="279"/>
      <c r="BY1216" s="279"/>
      <c r="BZ1216" s="279"/>
      <c r="CA1216" s="279"/>
      <c r="CB1216" s="279"/>
      <c r="CC1216" s="279"/>
      <c r="CD1216" s="279"/>
      <c r="CE1216" s="279"/>
      <c r="CF1216" s="279"/>
      <c r="CG1216" s="279"/>
      <c r="CH1216" s="279"/>
      <c r="CI1216" s="279"/>
      <c r="CJ1216" s="279"/>
      <c r="CK1216" s="279"/>
      <c r="CL1216" s="279"/>
      <c r="CM1216" s="279"/>
      <c r="CN1216" s="382"/>
    </row>
    <row r="1217" x14ac:dyDescent="0.3">
      <c r="B1217" s="361"/>
      <c r="C1217" s="279"/>
      <c r="D1217" s="280"/>
      <c r="E1217" s="287"/>
      <c r="F1217" s="287"/>
      <c r="G1217" s="287"/>
      <c r="H1217" s="1292">
        <f t="shared" si="63"/>
        <v>28</v>
      </c>
      <c r="I1217" s="1190" t="str">
        <f>'I. Stream &amp; Compound Data'!P289</f>
        <v/>
      </c>
      <c r="J1217" s="1295" t="str">
        <f>IF(I169="","",IF('I. Stream &amp; Compound Data'!BZ289="",0,'I. Stream &amp; Compound Data'!BZ289))</f>
        <v/>
      </c>
      <c r="K1217" s="1295" t="str">
        <f t="shared" si="62"/>
        <v/>
      </c>
      <c r="L1217" s="1317" t="str">
        <f>IF(K1217="","",IF('I. Stream &amp; Compound Data'!E59="H2O",0,(IF(J1217=0,1,J1217))*I1217))</f>
        <v/>
      </c>
      <c r="M1217" s="296"/>
      <c r="N1217" s="280"/>
      <c r="O1217" s="280"/>
      <c r="P1217" s="279"/>
      <c r="Q1217" s="297"/>
      <c r="R1217" s="298"/>
      <c r="S1217" s="298"/>
      <c r="T1217" s="299"/>
      <c r="U1217" s="279"/>
      <c r="V1217" s="279"/>
      <c r="W1217" s="279"/>
      <c r="X1217" s="279"/>
      <c r="Y1217" s="279"/>
      <c r="Z1217" s="279"/>
      <c r="AA1217" s="279"/>
      <c r="AB1217" s="279"/>
      <c r="AC1217" s="279"/>
      <c r="AD1217" s="279"/>
      <c r="AE1217" s="279"/>
      <c r="AF1217" s="279"/>
      <c r="AG1217" s="279"/>
      <c r="AH1217" s="279"/>
      <c r="AI1217" s="279"/>
      <c r="AJ1217" s="279"/>
      <c r="AK1217" s="279"/>
      <c r="AL1217" s="279"/>
      <c r="AM1217" s="279"/>
      <c r="AN1217" s="279"/>
      <c r="AO1217" s="279"/>
      <c r="AP1217" s="279"/>
      <c r="AQ1217" s="279"/>
      <c r="AR1217" s="279"/>
      <c r="AS1217" s="279"/>
      <c r="AT1217" s="279"/>
      <c r="AU1217" s="279"/>
      <c r="AV1217" s="279"/>
      <c r="AW1217" s="279"/>
      <c r="AX1217" s="279"/>
      <c r="AY1217" s="279"/>
      <c r="AZ1217" s="279"/>
      <c r="BA1217" s="279"/>
      <c r="BB1217" s="279"/>
      <c r="BC1217" s="279"/>
      <c r="BD1217" s="279"/>
      <c r="BE1217" s="279"/>
      <c r="BF1217" s="279"/>
      <c r="BG1217" s="279"/>
      <c r="BH1217" s="279"/>
      <c r="BI1217" s="279"/>
      <c r="BJ1217" s="279"/>
      <c r="BK1217" s="279"/>
      <c r="BL1217" s="279"/>
      <c r="BM1217" s="279"/>
      <c r="BN1217" s="279"/>
      <c r="BO1217" s="279"/>
      <c r="BP1217" s="279"/>
      <c r="BQ1217" s="279"/>
      <c r="BR1217" s="279"/>
      <c r="BS1217" s="279"/>
      <c r="BT1217" s="279"/>
      <c r="BU1217" s="279"/>
      <c r="BV1217" s="279"/>
      <c r="BW1217" s="279"/>
      <c r="BX1217" s="279"/>
      <c r="BY1217" s="279"/>
      <c r="BZ1217" s="279"/>
      <c r="CA1217" s="279"/>
      <c r="CB1217" s="279"/>
      <c r="CC1217" s="279"/>
      <c r="CD1217" s="279"/>
      <c r="CE1217" s="279"/>
      <c r="CF1217" s="279"/>
      <c r="CG1217" s="279"/>
      <c r="CH1217" s="279"/>
      <c r="CI1217" s="279"/>
      <c r="CJ1217" s="279"/>
      <c r="CK1217" s="279"/>
      <c r="CL1217" s="279"/>
      <c r="CM1217" s="279"/>
      <c r="CN1217" s="382"/>
    </row>
    <row r="1218" x14ac:dyDescent="0.3">
      <c r="B1218" s="361"/>
      <c r="C1218" s="279"/>
      <c r="D1218" s="280"/>
      <c r="E1218" s="287"/>
      <c r="F1218" s="287"/>
      <c r="G1218" s="287"/>
      <c r="H1218" s="1292">
        <f t="shared" si="63"/>
        <v>29</v>
      </c>
      <c r="I1218" s="1190" t="str">
        <f>'I. Stream &amp; Compound Data'!P290</f>
        <v/>
      </c>
      <c r="J1218" s="1295" t="str">
        <f>IF(I170="","",IF('I. Stream &amp; Compound Data'!BZ290="",0,'I. Stream &amp; Compound Data'!BZ290))</f>
        <v/>
      </c>
      <c r="K1218" s="1295" t="str">
        <f t="shared" si="62"/>
        <v/>
      </c>
      <c r="L1218" s="1317" t="str">
        <f>IF(K1218="","",IF('I. Stream &amp; Compound Data'!E60="H2O",0,(IF(J1218=0,1,J1218))*I1218))</f>
        <v/>
      </c>
      <c r="M1218" s="296"/>
      <c r="N1218" s="280"/>
      <c r="O1218" s="280"/>
      <c r="P1218" s="279"/>
      <c r="Q1218" s="297"/>
      <c r="R1218" s="298"/>
      <c r="S1218" s="298"/>
      <c r="T1218" s="299"/>
      <c r="U1218" s="279"/>
      <c r="V1218" s="279"/>
      <c r="W1218" s="279"/>
      <c r="X1218" s="279"/>
      <c r="Y1218" s="279"/>
      <c r="Z1218" s="279"/>
      <c r="AA1218" s="279"/>
      <c r="AB1218" s="279"/>
      <c r="AC1218" s="279"/>
      <c r="AD1218" s="279"/>
      <c r="AE1218" s="279"/>
      <c r="AF1218" s="279"/>
      <c r="AG1218" s="279"/>
      <c r="AH1218" s="279"/>
      <c r="AI1218" s="279"/>
      <c r="AJ1218" s="279"/>
      <c r="AK1218" s="279"/>
      <c r="AL1218" s="279"/>
      <c r="AM1218" s="279"/>
      <c r="AN1218" s="279"/>
      <c r="AO1218" s="279"/>
      <c r="AP1218" s="279"/>
      <c r="AQ1218" s="279"/>
      <c r="AR1218" s="279"/>
      <c r="AS1218" s="279"/>
      <c r="AT1218" s="279"/>
      <c r="AU1218" s="279"/>
      <c r="AV1218" s="279"/>
      <c r="AW1218" s="279"/>
      <c r="AX1218" s="279"/>
      <c r="AY1218" s="279"/>
      <c r="AZ1218" s="279"/>
      <c r="BA1218" s="279"/>
      <c r="BB1218" s="279"/>
      <c r="BC1218" s="279"/>
      <c r="BD1218" s="279"/>
      <c r="BE1218" s="279"/>
      <c r="BF1218" s="279"/>
      <c r="BG1218" s="279"/>
      <c r="BH1218" s="279"/>
      <c r="BI1218" s="279"/>
      <c r="BJ1218" s="279"/>
      <c r="BK1218" s="279"/>
      <c r="BL1218" s="279"/>
      <c r="BM1218" s="279"/>
      <c r="BN1218" s="279"/>
      <c r="BO1218" s="279"/>
      <c r="BP1218" s="279"/>
      <c r="BQ1218" s="279"/>
      <c r="BR1218" s="279"/>
      <c r="BS1218" s="279"/>
      <c r="BT1218" s="279"/>
      <c r="BU1218" s="279"/>
      <c r="BV1218" s="279"/>
      <c r="BW1218" s="279"/>
      <c r="BX1218" s="279"/>
      <c r="BY1218" s="279"/>
      <c r="BZ1218" s="279"/>
      <c r="CA1218" s="279"/>
      <c r="CB1218" s="279"/>
      <c r="CC1218" s="279"/>
      <c r="CD1218" s="279"/>
      <c r="CE1218" s="279"/>
      <c r="CF1218" s="279"/>
      <c r="CG1218" s="279"/>
      <c r="CH1218" s="279"/>
      <c r="CI1218" s="279"/>
      <c r="CJ1218" s="279"/>
      <c r="CK1218" s="279"/>
      <c r="CL1218" s="279"/>
      <c r="CM1218" s="279"/>
      <c r="CN1218" s="382"/>
    </row>
    <row r="1219" x14ac:dyDescent="0.3">
      <c r="B1219" s="361"/>
      <c r="C1219" s="279"/>
      <c r="D1219" s="280"/>
      <c r="E1219" s="287"/>
      <c r="F1219" s="287"/>
      <c r="G1219" s="287"/>
      <c r="H1219" s="1292">
        <f t="shared" si="63"/>
        <v>30</v>
      </c>
      <c r="I1219" s="1190" t="str">
        <f>'I. Stream &amp; Compound Data'!P291</f>
        <v/>
      </c>
      <c r="J1219" s="1295" t="str">
        <f>IF(I171="","",IF('I. Stream &amp; Compound Data'!BZ291="",0,'I. Stream &amp; Compound Data'!BZ291))</f>
        <v/>
      </c>
      <c r="K1219" s="1295" t="str">
        <f t="shared" si="62"/>
        <v/>
      </c>
      <c r="L1219" s="1317" t="str">
        <f>IF(K1219="","",IF('I. Stream &amp; Compound Data'!E61="H2O",0,(IF(J1219=0,1,J1219))*I1219))</f>
        <v/>
      </c>
      <c r="M1219" s="296"/>
      <c r="N1219" s="280"/>
      <c r="O1219" s="280"/>
      <c r="P1219" s="279"/>
      <c r="Q1219" s="297"/>
      <c r="R1219" s="298"/>
      <c r="S1219" s="298"/>
      <c r="T1219" s="299"/>
      <c r="U1219" s="279"/>
      <c r="V1219" s="279"/>
      <c r="W1219" s="279"/>
      <c r="X1219" s="279"/>
      <c r="Y1219" s="279"/>
      <c r="Z1219" s="279"/>
      <c r="AA1219" s="279"/>
      <c r="AB1219" s="279"/>
      <c r="AC1219" s="279"/>
      <c r="AD1219" s="279"/>
      <c r="AE1219" s="279"/>
      <c r="AF1219" s="279"/>
      <c r="AG1219" s="279"/>
      <c r="AH1219" s="279"/>
      <c r="AI1219" s="279"/>
      <c r="AJ1219" s="279"/>
      <c r="AK1219" s="279"/>
      <c r="AL1219" s="279"/>
      <c r="AM1219" s="279"/>
      <c r="AN1219" s="279"/>
      <c r="AO1219" s="279"/>
      <c r="AP1219" s="279"/>
      <c r="AQ1219" s="279"/>
      <c r="AR1219" s="279"/>
      <c r="AS1219" s="279"/>
      <c r="AT1219" s="279"/>
      <c r="AU1219" s="279"/>
      <c r="AV1219" s="279"/>
      <c r="AW1219" s="279"/>
      <c r="AX1219" s="279"/>
      <c r="AY1219" s="279"/>
      <c r="AZ1219" s="279"/>
      <c r="BA1219" s="279"/>
      <c r="BB1219" s="279"/>
      <c r="BC1219" s="279"/>
      <c r="BD1219" s="279"/>
      <c r="BE1219" s="279"/>
      <c r="BF1219" s="279"/>
      <c r="BG1219" s="279"/>
      <c r="BH1219" s="279"/>
      <c r="BI1219" s="279"/>
      <c r="BJ1219" s="279"/>
      <c r="BK1219" s="279"/>
      <c r="BL1219" s="279"/>
      <c r="BM1219" s="279"/>
      <c r="BN1219" s="279"/>
      <c r="BO1219" s="279"/>
      <c r="BP1219" s="279"/>
      <c r="BQ1219" s="279"/>
      <c r="BR1219" s="279"/>
      <c r="BS1219" s="279"/>
      <c r="BT1219" s="279"/>
      <c r="BU1219" s="279"/>
      <c r="BV1219" s="279"/>
      <c r="BW1219" s="279"/>
      <c r="BX1219" s="279"/>
      <c r="BY1219" s="279"/>
      <c r="BZ1219" s="279"/>
      <c r="CA1219" s="279"/>
      <c r="CB1219" s="279"/>
      <c r="CC1219" s="279"/>
      <c r="CD1219" s="279"/>
      <c r="CE1219" s="279"/>
      <c r="CF1219" s="279"/>
      <c r="CG1219" s="279"/>
      <c r="CH1219" s="279"/>
      <c r="CI1219" s="279"/>
      <c r="CJ1219" s="279"/>
      <c r="CK1219" s="279"/>
      <c r="CL1219" s="279"/>
      <c r="CM1219" s="279"/>
      <c r="CN1219" s="382"/>
    </row>
    <row r="1220" x14ac:dyDescent="0.3">
      <c r="B1220" s="361"/>
      <c r="C1220" s="279"/>
      <c r="D1220" s="280"/>
      <c r="E1220" s="287"/>
      <c r="F1220" s="287"/>
      <c r="G1220" s="287"/>
      <c r="H1220" s="1292">
        <f t="shared" si="63"/>
        <v>31</v>
      </c>
      <c r="I1220" s="1190" t="str">
        <f>'I. Stream &amp; Compound Data'!P292</f>
        <v/>
      </c>
      <c r="J1220" s="1295" t="str">
        <f>IF(I172="","",IF('I. Stream &amp; Compound Data'!BZ292="",0,'I. Stream &amp; Compound Data'!BZ292))</f>
        <v/>
      </c>
      <c r="K1220" s="1295" t="str">
        <f t="shared" si="62"/>
        <v/>
      </c>
      <c r="L1220" s="1317" t="str">
        <f>IF(K1220="","",IF('I. Stream &amp; Compound Data'!E62="H2O",0,(IF(J1220=0,1,J1220))*I1220))</f>
        <v/>
      </c>
      <c r="M1220" s="296"/>
      <c r="N1220" s="280"/>
      <c r="O1220" s="280"/>
      <c r="P1220" s="279"/>
      <c r="Q1220" s="297"/>
      <c r="R1220" s="298"/>
      <c r="S1220" s="298"/>
      <c r="T1220" s="299"/>
      <c r="U1220" s="279"/>
      <c r="V1220" s="279"/>
      <c r="W1220" s="279"/>
      <c r="X1220" s="279"/>
      <c r="Y1220" s="279"/>
      <c r="Z1220" s="279"/>
      <c r="AA1220" s="279"/>
      <c r="AB1220" s="279"/>
      <c r="AC1220" s="279"/>
      <c r="AD1220" s="279"/>
      <c r="AE1220" s="279"/>
      <c r="AF1220" s="279"/>
      <c r="AG1220" s="279"/>
      <c r="AH1220" s="279"/>
      <c r="AI1220" s="279"/>
      <c r="AJ1220" s="279"/>
      <c r="AK1220" s="279"/>
      <c r="AL1220" s="279"/>
      <c r="AM1220" s="279"/>
      <c r="AN1220" s="279"/>
      <c r="AO1220" s="279"/>
      <c r="AP1220" s="279"/>
      <c r="AQ1220" s="279"/>
      <c r="AR1220" s="279"/>
      <c r="AS1220" s="279"/>
      <c r="AT1220" s="279"/>
      <c r="AU1220" s="279"/>
      <c r="AV1220" s="279"/>
      <c r="AW1220" s="279"/>
      <c r="AX1220" s="279"/>
      <c r="AY1220" s="279"/>
      <c r="AZ1220" s="279"/>
      <c r="BA1220" s="279"/>
      <c r="BB1220" s="279"/>
      <c r="BC1220" s="279"/>
      <c r="BD1220" s="279"/>
      <c r="BE1220" s="279"/>
      <c r="BF1220" s="279"/>
      <c r="BG1220" s="279"/>
      <c r="BH1220" s="279"/>
      <c r="BI1220" s="279"/>
      <c r="BJ1220" s="279"/>
      <c r="BK1220" s="279"/>
      <c r="BL1220" s="279"/>
      <c r="BM1220" s="279"/>
      <c r="BN1220" s="279"/>
      <c r="BO1220" s="279"/>
      <c r="BP1220" s="279"/>
      <c r="BQ1220" s="279"/>
      <c r="BR1220" s="279"/>
      <c r="BS1220" s="279"/>
      <c r="BT1220" s="279"/>
      <c r="BU1220" s="279"/>
      <c r="BV1220" s="279"/>
      <c r="BW1220" s="279"/>
      <c r="BX1220" s="279"/>
      <c r="BY1220" s="279"/>
      <c r="BZ1220" s="279"/>
      <c r="CA1220" s="279"/>
      <c r="CB1220" s="279"/>
      <c r="CC1220" s="279"/>
      <c r="CD1220" s="279"/>
      <c r="CE1220" s="279"/>
      <c r="CF1220" s="279"/>
      <c r="CG1220" s="279"/>
      <c r="CH1220" s="279"/>
      <c r="CI1220" s="279"/>
      <c r="CJ1220" s="279"/>
      <c r="CK1220" s="279"/>
      <c r="CL1220" s="279"/>
      <c r="CM1220" s="279"/>
      <c r="CN1220" s="382"/>
    </row>
    <row r="1221" x14ac:dyDescent="0.3">
      <c r="B1221" s="361"/>
      <c r="C1221" s="279"/>
      <c r="D1221" s="280"/>
      <c r="E1221" s="287"/>
      <c r="F1221" s="287"/>
      <c r="G1221" s="287"/>
      <c r="H1221" s="1292">
        <f t="shared" si="63"/>
        <v>32</v>
      </c>
      <c r="I1221" s="1190" t="str">
        <f>'I. Stream &amp; Compound Data'!P293</f>
        <v/>
      </c>
      <c r="J1221" s="1295" t="str">
        <f>IF(I173="","",IF('I. Stream &amp; Compound Data'!BZ293="",0,'I. Stream &amp; Compound Data'!BZ293))</f>
        <v/>
      </c>
      <c r="K1221" s="1295" t="str">
        <f t="shared" si="62"/>
        <v/>
      </c>
      <c r="L1221" s="1317" t="str">
        <f>IF(K1221="","",IF('I. Stream &amp; Compound Data'!E63="H2O",0,(IF(J1221=0,1,J1221))*I1221))</f>
        <v/>
      </c>
      <c r="M1221" s="296"/>
      <c r="N1221" s="280"/>
      <c r="O1221" s="280"/>
      <c r="P1221" s="279"/>
      <c r="Q1221" s="297"/>
      <c r="R1221" s="298"/>
      <c r="S1221" s="298"/>
      <c r="T1221" s="299"/>
      <c r="U1221" s="279"/>
      <c r="V1221" s="279"/>
      <c r="W1221" s="279"/>
      <c r="X1221" s="279"/>
      <c r="Y1221" s="279"/>
      <c r="Z1221" s="279"/>
      <c r="AA1221" s="279"/>
      <c r="AB1221" s="279"/>
      <c r="AC1221" s="279"/>
      <c r="AD1221" s="279"/>
      <c r="AE1221" s="279"/>
      <c r="AF1221" s="279"/>
      <c r="AG1221" s="279"/>
      <c r="AH1221" s="279"/>
      <c r="AI1221" s="279"/>
      <c r="AJ1221" s="279"/>
      <c r="AK1221" s="279"/>
      <c r="AL1221" s="279"/>
      <c r="AM1221" s="279"/>
      <c r="AN1221" s="279"/>
      <c r="AO1221" s="279"/>
      <c r="AP1221" s="279"/>
      <c r="AQ1221" s="279"/>
      <c r="AR1221" s="279"/>
      <c r="AS1221" s="279"/>
      <c r="AT1221" s="279"/>
      <c r="AU1221" s="279"/>
      <c r="AV1221" s="279"/>
      <c r="AW1221" s="279"/>
      <c r="AX1221" s="279"/>
      <c r="AY1221" s="279"/>
      <c r="AZ1221" s="279"/>
      <c r="BA1221" s="279"/>
      <c r="BB1221" s="279"/>
      <c r="BC1221" s="279"/>
      <c r="BD1221" s="279"/>
      <c r="BE1221" s="279"/>
      <c r="BF1221" s="279"/>
      <c r="BG1221" s="279"/>
      <c r="BH1221" s="279"/>
      <c r="BI1221" s="279"/>
      <c r="BJ1221" s="279"/>
      <c r="BK1221" s="279"/>
      <c r="BL1221" s="279"/>
      <c r="BM1221" s="279"/>
      <c r="BN1221" s="279"/>
      <c r="BO1221" s="279"/>
      <c r="BP1221" s="279"/>
      <c r="BQ1221" s="279"/>
      <c r="BR1221" s="279"/>
      <c r="BS1221" s="279"/>
      <c r="BT1221" s="279"/>
      <c r="BU1221" s="279"/>
      <c r="BV1221" s="279"/>
      <c r="BW1221" s="279"/>
      <c r="BX1221" s="279"/>
      <c r="BY1221" s="279"/>
      <c r="BZ1221" s="279"/>
      <c r="CA1221" s="279"/>
      <c r="CB1221" s="279"/>
      <c r="CC1221" s="279"/>
      <c r="CD1221" s="279"/>
      <c r="CE1221" s="279"/>
      <c r="CF1221" s="279"/>
      <c r="CG1221" s="279"/>
      <c r="CH1221" s="279"/>
      <c r="CI1221" s="279"/>
      <c r="CJ1221" s="279"/>
      <c r="CK1221" s="279"/>
      <c r="CL1221" s="279"/>
      <c r="CM1221" s="279"/>
      <c r="CN1221" s="382"/>
    </row>
    <row r="1222" x14ac:dyDescent="0.3">
      <c r="B1222" s="361"/>
      <c r="C1222" s="279"/>
      <c r="D1222" s="280"/>
      <c r="E1222" s="287"/>
      <c r="F1222" s="287"/>
      <c r="G1222" s="287"/>
      <c r="H1222" s="1292">
        <f t="shared" si="63"/>
        <v>33</v>
      </c>
      <c r="I1222" s="1190" t="str">
        <f>'I. Stream &amp; Compound Data'!P294</f>
        <v/>
      </c>
      <c r="J1222" s="1295" t="str">
        <f>IF(I174="","",IF('I. Stream &amp; Compound Data'!BZ294="",0,'I. Stream &amp; Compound Data'!BZ294))</f>
        <v/>
      </c>
      <c r="K1222" s="1295" t="str">
        <f t="shared" si="62"/>
        <v/>
      </c>
      <c r="L1222" s="1317" t="str">
        <f>IF(K1222="","",IF('I. Stream &amp; Compound Data'!E64="H2O",0,(IF(J1222=0,1,J1222))*I1222))</f>
        <v/>
      </c>
      <c r="M1222" s="296"/>
      <c r="N1222" s="280"/>
      <c r="O1222" s="280"/>
      <c r="P1222" s="279"/>
      <c r="Q1222" s="297"/>
      <c r="R1222" s="298"/>
      <c r="S1222" s="298"/>
      <c r="T1222" s="299"/>
      <c r="U1222" s="279"/>
      <c r="V1222" s="279"/>
      <c r="W1222" s="279"/>
      <c r="X1222" s="279"/>
      <c r="Y1222" s="279"/>
      <c r="Z1222" s="279"/>
      <c r="AA1222" s="279"/>
      <c r="AB1222" s="279"/>
      <c r="AC1222" s="279"/>
      <c r="AD1222" s="279"/>
      <c r="AE1222" s="279"/>
      <c r="AF1222" s="279"/>
      <c r="AG1222" s="279"/>
      <c r="AH1222" s="279"/>
      <c r="AI1222" s="279"/>
      <c r="AJ1222" s="279"/>
      <c r="AK1222" s="279"/>
      <c r="AL1222" s="279"/>
      <c r="AM1222" s="279"/>
      <c r="AN1222" s="279"/>
      <c r="AO1222" s="279"/>
      <c r="AP1222" s="279"/>
      <c r="AQ1222" s="279"/>
      <c r="AR1222" s="279"/>
      <c r="AS1222" s="279"/>
      <c r="AT1222" s="279"/>
      <c r="AU1222" s="279"/>
      <c r="AV1222" s="279"/>
      <c r="AW1222" s="279"/>
      <c r="AX1222" s="279"/>
      <c r="AY1222" s="279"/>
      <c r="AZ1222" s="279"/>
      <c r="BA1222" s="279"/>
      <c r="BB1222" s="279"/>
      <c r="BC1222" s="279"/>
      <c r="BD1222" s="279"/>
      <c r="BE1222" s="279"/>
      <c r="BF1222" s="279"/>
      <c r="BG1222" s="279"/>
      <c r="BH1222" s="279"/>
      <c r="BI1222" s="279"/>
      <c r="BJ1222" s="279"/>
      <c r="BK1222" s="279"/>
      <c r="BL1222" s="279"/>
      <c r="BM1222" s="279"/>
      <c r="BN1222" s="279"/>
      <c r="BO1222" s="279"/>
      <c r="BP1222" s="279"/>
      <c r="BQ1222" s="279"/>
      <c r="BR1222" s="279"/>
      <c r="BS1222" s="279"/>
      <c r="BT1222" s="279"/>
      <c r="BU1222" s="279"/>
      <c r="BV1222" s="279"/>
      <c r="BW1222" s="279"/>
      <c r="BX1222" s="279"/>
      <c r="BY1222" s="279"/>
      <c r="BZ1222" s="279"/>
      <c r="CA1222" s="279"/>
      <c r="CB1222" s="279"/>
      <c r="CC1222" s="279"/>
      <c r="CD1222" s="279"/>
      <c r="CE1222" s="279"/>
      <c r="CF1222" s="279"/>
      <c r="CG1222" s="279"/>
      <c r="CH1222" s="279"/>
      <c r="CI1222" s="279"/>
      <c r="CJ1222" s="279"/>
      <c r="CK1222" s="279"/>
      <c r="CL1222" s="279"/>
      <c r="CM1222" s="279"/>
      <c r="CN1222" s="382"/>
    </row>
    <row r="1223" x14ac:dyDescent="0.3">
      <c r="B1223" s="361"/>
      <c r="C1223" s="279"/>
      <c r="D1223" s="280"/>
      <c r="E1223" s="287"/>
      <c r="F1223" s="287"/>
      <c r="G1223" s="287"/>
      <c r="H1223" s="1292">
        <f t="shared" si="63"/>
        <v>34</v>
      </c>
      <c r="I1223" s="1190" t="str">
        <f>'I. Stream &amp; Compound Data'!P295</f>
        <v/>
      </c>
      <c r="J1223" s="1295" t="str">
        <f>IF(I175="","",IF('I. Stream &amp; Compound Data'!BZ295="",0,'I. Stream &amp; Compound Data'!BZ295))</f>
        <v/>
      </c>
      <c r="K1223" s="1295" t="str">
        <f t="shared" si="62"/>
        <v/>
      </c>
      <c r="L1223" s="1317" t="str">
        <f>IF(K1223="","",IF('I. Stream &amp; Compound Data'!E65="H2O",0,(IF(J1223=0,1,J1223))*I1223))</f>
        <v/>
      </c>
      <c r="M1223" s="296"/>
      <c r="N1223" s="280"/>
      <c r="O1223" s="280"/>
      <c r="P1223" s="279"/>
      <c r="Q1223" s="297"/>
      <c r="R1223" s="298"/>
      <c r="S1223" s="298"/>
      <c r="T1223" s="299"/>
      <c r="U1223" s="279"/>
      <c r="V1223" s="279"/>
      <c r="W1223" s="279"/>
      <c r="X1223" s="279"/>
      <c r="Y1223" s="279"/>
      <c r="Z1223" s="279"/>
      <c r="AA1223" s="279"/>
      <c r="AB1223" s="279"/>
      <c r="AC1223" s="279"/>
      <c r="AD1223" s="279"/>
      <c r="AE1223" s="279"/>
      <c r="AF1223" s="279"/>
      <c r="AG1223" s="279"/>
      <c r="AH1223" s="279"/>
      <c r="AI1223" s="279"/>
      <c r="AJ1223" s="279"/>
      <c r="AK1223" s="279"/>
      <c r="AL1223" s="279"/>
      <c r="AM1223" s="279"/>
      <c r="AN1223" s="279"/>
      <c r="AO1223" s="279"/>
      <c r="AP1223" s="279"/>
      <c r="AQ1223" s="279"/>
      <c r="AR1223" s="279"/>
      <c r="AS1223" s="279"/>
      <c r="AT1223" s="279"/>
      <c r="AU1223" s="279"/>
      <c r="AV1223" s="279"/>
      <c r="AW1223" s="279"/>
      <c r="AX1223" s="279"/>
      <c r="AY1223" s="279"/>
      <c r="AZ1223" s="279"/>
      <c r="BA1223" s="279"/>
      <c r="BB1223" s="279"/>
      <c r="BC1223" s="279"/>
      <c r="BD1223" s="279"/>
      <c r="BE1223" s="279"/>
      <c r="BF1223" s="279"/>
      <c r="BG1223" s="279"/>
      <c r="BH1223" s="279"/>
      <c r="BI1223" s="279"/>
      <c r="BJ1223" s="279"/>
      <c r="BK1223" s="279"/>
      <c r="BL1223" s="279"/>
      <c r="BM1223" s="279"/>
      <c r="BN1223" s="279"/>
      <c r="BO1223" s="279"/>
      <c r="BP1223" s="279"/>
      <c r="BQ1223" s="279"/>
      <c r="BR1223" s="279"/>
      <c r="BS1223" s="279"/>
      <c r="BT1223" s="279"/>
      <c r="BU1223" s="279"/>
      <c r="BV1223" s="279"/>
      <c r="BW1223" s="279"/>
      <c r="BX1223" s="279"/>
      <c r="BY1223" s="279"/>
      <c r="BZ1223" s="279"/>
      <c r="CA1223" s="279"/>
      <c r="CB1223" s="279"/>
      <c r="CC1223" s="279"/>
      <c r="CD1223" s="279"/>
      <c r="CE1223" s="279"/>
      <c r="CF1223" s="279"/>
      <c r="CG1223" s="279"/>
      <c r="CH1223" s="279"/>
      <c r="CI1223" s="279"/>
      <c r="CJ1223" s="279"/>
      <c r="CK1223" s="279"/>
      <c r="CL1223" s="279"/>
      <c r="CM1223" s="279"/>
      <c r="CN1223" s="382"/>
    </row>
    <row r="1224" x14ac:dyDescent="0.3">
      <c r="B1224" s="361"/>
      <c r="C1224" s="279"/>
      <c r="D1224" s="280"/>
      <c r="E1224" s="287"/>
      <c r="F1224" s="287"/>
      <c r="G1224" s="287"/>
      <c r="H1224" s="1292">
        <f t="shared" si="63"/>
        <v>35</v>
      </c>
      <c r="I1224" s="1190" t="str">
        <f>'I. Stream &amp; Compound Data'!P296</f>
        <v/>
      </c>
      <c r="J1224" s="1295" t="str">
        <f>IF(I176="","",IF('I. Stream &amp; Compound Data'!BZ296="",0,'I. Stream &amp; Compound Data'!BZ296))</f>
        <v/>
      </c>
      <c r="K1224" s="1295" t="str">
        <f t="shared" si="62"/>
        <v/>
      </c>
      <c r="L1224" s="1317" t="str">
        <f>IF(K1224="","",IF('I. Stream &amp; Compound Data'!E66="H2O",0,(IF(J1224=0,1,J1224))*I1224))</f>
        <v/>
      </c>
      <c r="M1224" s="296"/>
      <c r="N1224" s="280"/>
      <c r="O1224" s="280"/>
      <c r="P1224" s="279"/>
      <c r="Q1224" s="297"/>
      <c r="R1224" s="298"/>
      <c r="S1224" s="298"/>
      <c r="T1224" s="299"/>
      <c r="U1224" s="279"/>
      <c r="V1224" s="279"/>
      <c r="W1224" s="279"/>
      <c r="X1224" s="279"/>
      <c r="Y1224" s="279"/>
      <c r="Z1224" s="279"/>
      <c r="AA1224" s="279"/>
      <c r="AB1224" s="279"/>
      <c r="AC1224" s="279"/>
      <c r="AD1224" s="279"/>
      <c r="AE1224" s="279"/>
      <c r="AF1224" s="279"/>
      <c r="AG1224" s="279"/>
      <c r="AH1224" s="279"/>
      <c r="AI1224" s="279"/>
      <c r="AJ1224" s="279"/>
      <c r="AK1224" s="279"/>
      <c r="AL1224" s="279"/>
      <c r="AM1224" s="279"/>
      <c r="AN1224" s="279"/>
      <c r="AO1224" s="279"/>
      <c r="AP1224" s="279"/>
      <c r="AQ1224" s="279"/>
      <c r="AR1224" s="279"/>
      <c r="AS1224" s="279"/>
      <c r="AT1224" s="279"/>
      <c r="AU1224" s="279"/>
      <c r="AV1224" s="279"/>
      <c r="AW1224" s="279"/>
      <c r="AX1224" s="279"/>
      <c r="AY1224" s="279"/>
      <c r="AZ1224" s="279"/>
      <c r="BA1224" s="279"/>
      <c r="BB1224" s="279"/>
      <c r="BC1224" s="279"/>
      <c r="BD1224" s="279"/>
      <c r="BE1224" s="279"/>
      <c r="BF1224" s="279"/>
      <c r="BG1224" s="279"/>
      <c r="BH1224" s="279"/>
      <c r="BI1224" s="279"/>
      <c r="BJ1224" s="279"/>
      <c r="BK1224" s="279"/>
      <c r="BL1224" s="279"/>
      <c r="BM1224" s="279"/>
      <c r="BN1224" s="279"/>
      <c r="BO1224" s="279"/>
      <c r="BP1224" s="279"/>
      <c r="BQ1224" s="279"/>
      <c r="BR1224" s="279"/>
      <c r="BS1224" s="279"/>
      <c r="BT1224" s="279"/>
      <c r="BU1224" s="279"/>
      <c r="BV1224" s="279"/>
      <c r="BW1224" s="279"/>
      <c r="BX1224" s="279"/>
      <c r="BY1224" s="279"/>
      <c r="BZ1224" s="279"/>
      <c r="CA1224" s="279"/>
      <c r="CB1224" s="279"/>
      <c r="CC1224" s="279"/>
      <c r="CD1224" s="279"/>
      <c r="CE1224" s="279"/>
      <c r="CF1224" s="279"/>
      <c r="CG1224" s="279"/>
      <c r="CH1224" s="279"/>
      <c r="CI1224" s="279"/>
      <c r="CJ1224" s="279"/>
      <c r="CK1224" s="279"/>
      <c r="CL1224" s="279"/>
      <c r="CM1224" s="279"/>
      <c r="CN1224" s="382"/>
    </row>
    <row r="1225" x14ac:dyDescent="0.3">
      <c r="B1225" s="361"/>
      <c r="C1225" s="279"/>
      <c r="D1225" s="280"/>
      <c r="E1225" s="287"/>
      <c r="F1225" s="287"/>
      <c r="G1225" s="287"/>
      <c r="H1225" s="1292">
        <f t="shared" si="63"/>
        <v>36</v>
      </c>
      <c r="I1225" s="1190" t="str">
        <f>'I. Stream &amp; Compound Data'!P297</f>
        <v/>
      </c>
      <c r="J1225" s="1295" t="str">
        <f>IF(I177="","",IF('I. Stream &amp; Compound Data'!BZ297="",0,'I. Stream &amp; Compound Data'!BZ297))</f>
        <v/>
      </c>
      <c r="K1225" s="1295" t="str">
        <f t="shared" si="62"/>
        <v/>
      </c>
      <c r="L1225" s="1317" t="str">
        <f>IF(K1225="","",IF('I. Stream &amp; Compound Data'!E67="H2O",0,(IF(J1225=0,1,J1225))*I1225))</f>
        <v/>
      </c>
      <c r="M1225" s="296"/>
      <c r="N1225" s="280"/>
      <c r="O1225" s="280"/>
      <c r="P1225" s="279"/>
      <c r="Q1225" s="297"/>
      <c r="R1225" s="298"/>
      <c r="S1225" s="298"/>
      <c r="T1225" s="299"/>
      <c r="U1225" s="279"/>
      <c r="V1225" s="279"/>
      <c r="W1225" s="279"/>
      <c r="X1225" s="279"/>
      <c r="Y1225" s="279"/>
      <c r="Z1225" s="279"/>
      <c r="AA1225" s="279"/>
      <c r="AB1225" s="279"/>
      <c r="AC1225" s="279"/>
      <c r="AD1225" s="279"/>
      <c r="AE1225" s="279"/>
      <c r="AF1225" s="279"/>
      <c r="AG1225" s="279"/>
      <c r="AH1225" s="279"/>
      <c r="AI1225" s="279"/>
      <c r="AJ1225" s="279"/>
      <c r="AK1225" s="279"/>
      <c r="AL1225" s="279"/>
      <c r="AM1225" s="279"/>
      <c r="AN1225" s="279"/>
      <c r="AO1225" s="279"/>
      <c r="AP1225" s="279"/>
      <c r="AQ1225" s="279"/>
      <c r="AR1225" s="279"/>
      <c r="AS1225" s="279"/>
      <c r="AT1225" s="279"/>
      <c r="AU1225" s="279"/>
      <c r="AV1225" s="279"/>
      <c r="AW1225" s="279"/>
      <c r="AX1225" s="279"/>
      <c r="AY1225" s="279"/>
      <c r="AZ1225" s="279"/>
      <c r="BA1225" s="279"/>
      <c r="BB1225" s="279"/>
      <c r="BC1225" s="279"/>
      <c r="BD1225" s="279"/>
      <c r="BE1225" s="279"/>
      <c r="BF1225" s="279"/>
      <c r="BG1225" s="279"/>
      <c r="BH1225" s="279"/>
      <c r="BI1225" s="279"/>
      <c r="BJ1225" s="279"/>
      <c r="BK1225" s="279"/>
      <c r="BL1225" s="279"/>
      <c r="BM1225" s="279"/>
      <c r="BN1225" s="279"/>
      <c r="BO1225" s="279"/>
      <c r="BP1225" s="279"/>
      <c r="BQ1225" s="279"/>
      <c r="BR1225" s="279"/>
      <c r="BS1225" s="279"/>
      <c r="BT1225" s="279"/>
      <c r="BU1225" s="279"/>
      <c r="BV1225" s="279"/>
      <c r="BW1225" s="279"/>
      <c r="BX1225" s="279"/>
      <c r="BY1225" s="279"/>
      <c r="BZ1225" s="279"/>
      <c r="CA1225" s="279"/>
      <c r="CB1225" s="279"/>
      <c r="CC1225" s="279"/>
      <c r="CD1225" s="279"/>
      <c r="CE1225" s="279"/>
      <c r="CF1225" s="279"/>
      <c r="CG1225" s="279"/>
      <c r="CH1225" s="279"/>
      <c r="CI1225" s="279"/>
      <c r="CJ1225" s="279"/>
      <c r="CK1225" s="279"/>
      <c r="CL1225" s="279"/>
      <c r="CM1225" s="279"/>
      <c r="CN1225" s="382"/>
    </row>
    <row r="1226" x14ac:dyDescent="0.3">
      <c r="B1226" s="361"/>
      <c r="C1226" s="279"/>
      <c r="D1226" s="280"/>
      <c r="E1226" s="287"/>
      <c r="F1226" s="287"/>
      <c r="G1226" s="287"/>
      <c r="H1226" s="1292">
        <f t="shared" si="63"/>
        <v>37</v>
      </c>
      <c r="I1226" s="1190" t="str">
        <f>'I. Stream &amp; Compound Data'!P298</f>
        <v/>
      </c>
      <c r="J1226" s="1295" t="str">
        <f>IF(I178="","",IF('I. Stream &amp; Compound Data'!BZ298="",0,'I. Stream &amp; Compound Data'!BZ298))</f>
        <v/>
      </c>
      <c r="K1226" s="1295" t="str">
        <f t="shared" si="62"/>
        <v/>
      </c>
      <c r="L1226" s="1317" t="str">
        <f>IF(K1226="","",IF('I. Stream &amp; Compound Data'!E68="H2O",0,(IF(J1226=0,1,J1226))*I1226))</f>
        <v/>
      </c>
      <c r="M1226" s="296"/>
      <c r="N1226" s="280"/>
      <c r="O1226" s="280"/>
      <c r="P1226" s="279"/>
      <c r="Q1226" s="297"/>
      <c r="R1226" s="298"/>
      <c r="S1226" s="298"/>
      <c r="T1226" s="299"/>
      <c r="U1226" s="279"/>
      <c r="V1226" s="279"/>
      <c r="W1226" s="279"/>
      <c r="X1226" s="279"/>
      <c r="Y1226" s="279"/>
      <c r="Z1226" s="279"/>
      <c r="AA1226" s="279"/>
      <c r="AB1226" s="279"/>
      <c r="AC1226" s="279"/>
      <c r="AD1226" s="279"/>
      <c r="AE1226" s="279"/>
      <c r="AF1226" s="279"/>
      <c r="AG1226" s="279"/>
      <c r="AH1226" s="279"/>
      <c r="AI1226" s="279"/>
      <c r="AJ1226" s="279"/>
      <c r="AK1226" s="279"/>
      <c r="AL1226" s="279"/>
      <c r="AM1226" s="279"/>
      <c r="AN1226" s="279"/>
      <c r="AO1226" s="279"/>
      <c r="AP1226" s="279"/>
      <c r="AQ1226" s="279"/>
      <c r="AR1226" s="279"/>
      <c r="AS1226" s="279"/>
      <c r="AT1226" s="279"/>
      <c r="AU1226" s="279"/>
      <c r="AV1226" s="279"/>
      <c r="AW1226" s="279"/>
      <c r="AX1226" s="279"/>
      <c r="AY1226" s="279"/>
      <c r="AZ1226" s="279"/>
      <c r="BA1226" s="279"/>
      <c r="BB1226" s="279"/>
      <c r="BC1226" s="279"/>
      <c r="BD1226" s="279"/>
      <c r="BE1226" s="279"/>
      <c r="BF1226" s="279"/>
      <c r="BG1226" s="279"/>
      <c r="BH1226" s="279"/>
      <c r="BI1226" s="279"/>
      <c r="BJ1226" s="279"/>
      <c r="BK1226" s="279"/>
      <c r="BL1226" s="279"/>
      <c r="BM1226" s="279"/>
      <c r="BN1226" s="279"/>
      <c r="BO1226" s="279"/>
      <c r="BP1226" s="279"/>
      <c r="BQ1226" s="279"/>
      <c r="BR1226" s="279"/>
      <c r="BS1226" s="279"/>
      <c r="BT1226" s="279"/>
      <c r="BU1226" s="279"/>
      <c r="BV1226" s="279"/>
      <c r="BW1226" s="279"/>
      <c r="BX1226" s="279"/>
      <c r="BY1226" s="279"/>
      <c r="BZ1226" s="279"/>
      <c r="CA1226" s="279"/>
      <c r="CB1226" s="279"/>
      <c r="CC1226" s="279"/>
      <c r="CD1226" s="279"/>
      <c r="CE1226" s="279"/>
      <c r="CF1226" s="279"/>
      <c r="CG1226" s="279"/>
      <c r="CH1226" s="279"/>
      <c r="CI1226" s="279"/>
      <c r="CJ1226" s="279"/>
      <c r="CK1226" s="279"/>
      <c r="CL1226" s="279"/>
      <c r="CM1226" s="279"/>
      <c r="CN1226" s="382"/>
    </row>
    <row r="1227" x14ac:dyDescent="0.3">
      <c r="B1227" s="361"/>
      <c r="C1227" s="279"/>
      <c r="D1227" s="280"/>
      <c r="E1227" s="287"/>
      <c r="F1227" s="287"/>
      <c r="G1227" s="287"/>
      <c r="H1227" s="1292">
        <f t="shared" si="63"/>
        <v>38</v>
      </c>
      <c r="I1227" s="1190" t="str">
        <f>'I. Stream &amp; Compound Data'!P299</f>
        <v/>
      </c>
      <c r="J1227" s="1295" t="str">
        <f>IF(I179="","",IF('I. Stream &amp; Compound Data'!BZ299="",0,'I. Stream &amp; Compound Data'!BZ299))</f>
        <v/>
      </c>
      <c r="K1227" s="1295" t="str">
        <f t="shared" si="62"/>
        <v/>
      </c>
      <c r="L1227" s="1317" t="str">
        <f>IF(K1227="","",IF('I. Stream &amp; Compound Data'!E69="H2O",0,(IF(J1227=0,1,J1227))*I1227))</f>
        <v/>
      </c>
      <c r="M1227" s="296"/>
      <c r="N1227" s="280"/>
      <c r="O1227" s="280"/>
      <c r="P1227" s="279"/>
      <c r="Q1227" s="297"/>
      <c r="R1227" s="298"/>
      <c r="S1227" s="298"/>
      <c r="T1227" s="299"/>
      <c r="U1227" s="279"/>
      <c r="V1227" s="279"/>
      <c r="W1227" s="279"/>
      <c r="X1227" s="279"/>
      <c r="Y1227" s="279"/>
      <c r="Z1227" s="279"/>
      <c r="AA1227" s="279"/>
      <c r="AB1227" s="279"/>
      <c r="AC1227" s="279"/>
      <c r="AD1227" s="279"/>
      <c r="AE1227" s="279"/>
      <c r="AF1227" s="279"/>
      <c r="AG1227" s="279"/>
      <c r="AH1227" s="279"/>
      <c r="AI1227" s="279"/>
      <c r="AJ1227" s="279"/>
      <c r="AK1227" s="279"/>
      <c r="AL1227" s="279"/>
      <c r="AM1227" s="279"/>
      <c r="AN1227" s="279"/>
      <c r="AO1227" s="279"/>
      <c r="AP1227" s="279"/>
      <c r="AQ1227" s="279"/>
      <c r="AR1227" s="279"/>
      <c r="AS1227" s="279"/>
      <c r="AT1227" s="279"/>
      <c r="AU1227" s="279"/>
      <c r="AV1227" s="279"/>
      <c r="AW1227" s="279"/>
      <c r="AX1227" s="279"/>
      <c r="AY1227" s="279"/>
      <c r="AZ1227" s="279"/>
      <c r="BA1227" s="279"/>
      <c r="BB1227" s="279"/>
      <c r="BC1227" s="279"/>
      <c r="BD1227" s="279"/>
      <c r="BE1227" s="279"/>
      <c r="BF1227" s="279"/>
      <c r="BG1227" s="279"/>
      <c r="BH1227" s="279"/>
      <c r="BI1227" s="279"/>
      <c r="BJ1227" s="279"/>
      <c r="BK1227" s="279"/>
      <c r="BL1227" s="279"/>
      <c r="BM1227" s="279"/>
      <c r="BN1227" s="279"/>
      <c r="BO1227" s="279"/>
      <c r="BP1227" s="279"/>
      <c r="BQ1227" s="279"/>
      <c r="BR1227" s="279"/>
      <c r="BS1227" s="279"/>
      <c r="BT1227" s="279"/>
      <c r="BU1227" s="279"/>
      <c r="BV1227" s="279"/>
      <c r="BW1227" s="279"/>
      <c r="BX1227" s="279"/>
      <c r="BY1227" s="279"/>
      <c r="BZ1227" s="279"/>
      <c r="CA1227" s="279"/>
      <c r="CB1227" s="279"/>
      <c r="CC1227" s="279"/>
      <c r="CD1227" s="279"/>
      <c r="CE1227" s="279"/>
      <c r="CF1227" s="279"/>
      <c r="CG1227" s="279"/>
      <c r="CH1227" s="279"/>
      <c r="CI1227" s="279"/>
      <c r="CJ1227" s="279"/>
      <c r="CK1227" s="279"/>
      <c r="CL1227" s="279"/>
      <c r="CM1227" s="279"/>
      <c r="CN1227" s="382"/>
    </row>
    <row r="1228" x14ac:dyDescent="0.3">
      <c r="B1228" s="361"/>
      <c r="C1228" s="279"/>
      <c r="D1228" s="280"/>
      <c r="E1228" s="287"/>
      <c r="F1228" s="287"/>
      <c r="G1228" s="287"/>
      <c r="H1228" s="1292">
        <f t="shared" si="63"/>
        <v>39</v>
      </c>
      <c r="I1228" s="1190" t="str">
        <f>'I. Stream &amp; Compound Data'!P300</f>
        <v/>
      </c>
      <c r="J1228" s="1295" t="str">
        <f>IF(I180="","",IF('I. Stream &amp; Compound Data'!BZ300="",0,'I. Stream &amp; Compound Data'!BZ300))</f>
        <v/>
      </c>
      <c r="K1228" s="1295" t="str">
        <f t="shared" si="62"/>
        <v/>
      </c>
      <c r="L1228" s="1317" t="str">
        <f>IF(K1228="","",IF('I. Stream &amp; Compound Data'!E70="H2O",0,(IF(J1228=0,1,J1228))*I1228))</f>
        <v/>
      </c>
      <c r="M1228" s="296"/>
      <c r="N1228" s="280"/>
      <c r="O1228" s="280"/>
      <c r="P1228" s="279"/>
      <c r="Q1228" s="297"/>
      <c r="R1228" s="298"/>
      <c r="S1228" s="298"/>
      <c r="T1228" s="299"/>
      <c r="U1228" s="279"/>
      <c r="V1228" s="279"/>
      <c r="W1228" s="279"/>
      <c r="X1228" s="279"/>
      <c r="Y1228" s="279"/>
      <c r="Z1228" s="279"/>
      <c r="AA1228" s="279"/>
      <c r="AB1228" s="279"/>
      <c r="AC1228" s="279"/>
      <c r="AD1228" s="279"/>
      <c r="AE1228" s="279"/>
      <c r="AF1228" s="279"/>
      <c r="AG1228" s="279"/>
      <c r="AH1228" s="279"/>
      <c r="AI1228" s="279"/>
      <c r="AJ1228" s="279"/>
      <c r="AK1228" s="279"/>
      <c r="AL1228" s="279"/>
      <c r="AM1228" s="279"/>
      <c r="AN1228" s="279"/>
      <c r="AO1228" s="279"/>
      <c r="AP1228" s="279"/>
      <c r="AQ1228" s="279"/>
      <c r="AR1228" s="279"/>
      <c r="AS1228" s="279"/>
      <c r="AT1228" s="279"/>
      <c r="AU1228" s="279"/>
      <c r="AV1228" s="279"/>
      <c r="AW1228" s="279"/>
      <c r="AX1228" s="279"/>
      <c r="AY1228" s="279"/>
      <c r="AZ1228" s="279"/>
      <c r="BA1228" s="279"/>
      <c r="BB1228" s="279"/>
      <c r="BC1228" s="279"/>
      <c r="BD1228" s="279"/>
      <c r="BE1228" s="279"/>
      <c r="BF1228" s="279"/>
      <c r="BG1228" s="279"/>
      <c r="BH1228" s="279"/>
      <c r="BI1228" s="279"/>
      <c r="BJ1228" s="279"/>
      <c r="BK1228" s="279"/>
      <c r="BL1228" s="279"/>
      <c r="BM1228" s="279"/>
      <c r="BN1228" s="279"/>
      <c r="BO1228" s="279"/>
      <c r="BP1228" s="279"/>
      <c r="BQ1228" s="279"/>
      <c r="BR1228" s="279"/>
      <c r="BS1228" s="279"/>
      <c r="BT1228" s="279"/>
      <c r="BU1228" s="279"/>
      <c r="BV1228" s="279"/>
      <c r="BW1228" s="279"/>
      <c r="BX1228" s="279"/>
      <c r="BY1228" s="279"/>
      <c r="BZ1228" s="279"/>
      <c r="CA1228" s="279"/>
      <c r="CB1228" s="279"/>
      <c r="CC1228" s="279"/>
      <c r="CD1228" s="279"/>
      <c r="CE1228" s="279"/>
      <c r="CF1228" s="279"/>
      <c r="CG1228" s="279"/>
      <c r="CH1228" s="279"/>
      <c r="CI1228" s="279"/>
      <c r="CJ1228" s="279"/>
      <c r="CK1228" s="279"/>
      <c r="CL1228" s="279"/>
      <c r="CM1228" s="279"/>
      <c r="CN1228" s="382"/>
    </row>
    <row r="1229" x14ac:dyDescent="0.3">
      <c r="B1229" s="361"/>
      <c r="C1229" s="279"/>
      <c r="D1229" s="280"/>
      <c r="E1229" s="287"/>
      <c r="F1229" s="287"/>
      <c r="G1229" s="287"/>
      <c r="H1229" s="1292">
        <f t="shared" si="63"/>
        <v>40</v>
      </c>
      <c r="I1229" s="1190" t="str">
        <f>'I. Stream &amp; Compound Data'!P301</f>
        <v/>
      </c>
      <c r="J1229" s="1295" t="str">
        <f>IF(I181="","",IF('I. Stream &amp; Compound Data'!BZ301="",0,'I. Stream &amp; Compound Data'!BZ301))</f>
        <v/>
      </c>
      <c r="K1229" s="1295" t="str">
        <f t="shared" si="62"/>
        <v/>
      </c>
      <c r="L1229" s="1317" t="str">
        <f>IF(K1229="","",IF('I. Stream &amp; Compound Data'!E71="H2O",0,(IF(J1229=0,1,J1229))*I1229))</f>
        <v/>
      </c>
      <c r="M1229" s="296"/>
      <c r="N1229" s="280"/>
      <c r="O1229" s="280"/>
      <c r="P1229" s="279"/>
      <c r="Q1229" s="297"/>
      <c r="R1229" s="298"/>
      <c r="S1229" s="298"/>
      <c r="T1229" s="299"/>
      <c r="U1229" s="279"/>
      <c r="V1229" s="279"/>
      <c r="W1229" s="279"/>
      <c r="X1229" s="279"/>
      <c r="Y1229" s="279"/>
      <c r="Z1229" s="279"/>
      <c r="AA1229" s="279"/>
      <c r="AB1229" s="279"/>
      <c r="AC1229" s="279"/>
      <c r="AD1229" s="279"/>
      <c r="AE1229" s="279"/>
      <c r="AF1229" s="279"/>
      <c r="AG1229" s="279"/>
      <c r="AH1229" s="279"/>
      <c r="AI1229" s="279"/>
      <c r="AJ1229" s="279"/>
      <c r="AK1229" s="279"/>
      <c r="AL1229" s="279"/>
      <c r="AM1229" s="279"/>
      <c r="AN1229" s="279"/>
      <c r="AO1229" s="279"/>
      <c r="AP1229" s="279"/>
      <c r="AQ1229" s="279"/>
      <c r="AR1229" s="279"/>
      <c r="AS1229" s="279"/>
      <c r="AT1229" s="279"/>
      <c r="AU1229" s="279"/>
      <c r="AV1229" s="279"/>
      <c r="AW1229" s="279"/>
      <c r="AX1229" s="279"/>
      <c r="AY1229" s="279"/>
      <c r="AZ1229" s="279"/>
      <c r="BA1229" s="279"/>
      <c r="BB1229" s="279"/>
      <c r="BC1229" s="279"/>
      <c r="BD1229" s="279"/>
      <c r="BE1229" s="279"/>
      <c r="BF1229" s="279"/>
      <c r="BG1229" s="279"/>
      <c r="BH1229" s="279"/>
      <c r="BI1229" s="279"/>
      <c r="BJ1229" s="279"/>
      <c r="BK1229" s="279"/>
      <c r="BL1229" s="279"/>
      <c r="BM1229" s="279"/>
      <c r="BN1229" s="279"/>
      <c r="BO1229" s="279"/>
      <c r="BP1229" s="279"/>
      <c r="BQ1229" s="279"/>
      <c r="BR1229" s="279"/>
      <c r="BS1229" s="279"/>
      <c r="BT1229" s="279"/>
      <c r="BU1229" s="279"/>
      <c r="BV1229" s="279"/>
      <c r="BW1229" s="279"/>
      <c r="BX1229" s="279"/>
      <c r="BY1229" s="279"/>
      <c r="BZ1229" s="279"/>
      <c r="CA1229" s="279"/>
      <c r="CB1229" s="279"/>
      <c r="CC1229" s="279"/>
      <c r="CD1229" s="279"/>
      <c r="CE1229" s="279"/>
      <c r="CF1229" s="279"/>
      <c r="CG1229" s="279"/>
      <c r="CH1229" s="279"/>
      <c r="CI1229" s="279"/>
      <c r="CJ1229" s="279"/>
      <c r="CK1229" s="279"/>
      <c r="CL1229" s="279"/>
      <c r="CM1229" s="279"/>
      <c r="CN1229" s="382"/>
    </row>
    <row r="1230" x14ac:dyDescent="0.3">
      <c r="B1230" s="361"/>
      <c r="C1230" s="279"/>
      <c r="D1230" s="280"/>
      <c r="E1230" s="287"/>
      <c r="F1230" s="287"/>
      <c r="G1230" s="287"/>
      <c r="H1230" s="1292">
        <f t="shared" si="63"/>
        <v>41</v>
      </c>
      <c r="I1230" s="1190" t="str">
        <f>'I. Stream &amp; Compound Data'!P302</f>
        <v/>
      </c>
      <c r="J1230" s="1295" t="str">
        <f>IF(I182="","",IF('I. Stream &amp; Compound Data'!BZ302="",0,'I. Stream &amp; Compound Data'!BZ302))</f>
        <v/>
      </c>
      <c r="K1230" s="1295" t="str">
        <f t="shared" si="62"/>
        <v/>
      </c>
      <c r="L1230" s="1317" t="str">
        <f>IF(K1230="","",IF('I. Stream &amp; Compound Data'!E72="H2O",0,(IF(J1230=0,1,J1230))*I1230))</f>
        <v/>
      </c>
      <c r="M1230" s="296"/>
      <c r="N1230" s="280"/>
      <c r="O1230" s="280"/>
      <c r="P1230" s="279"/>
      <c r="Q1230" s="297"/>
      <c r="R1230" s="298"/>
      <c r="S1230" s="298"/>
      <c r="T1230" s="299"/>
      <c r="U1230" s="279"/>
      <c r="V1230" s="279"/>
      <c r="W1230" s="279"/>
      <c r="X1230" s="279"/>
      <c r="Y1230" s="279"/>
      <c r="Z1230" s="279"/>
      <c r="AA1230" s="279"/>
      <c r="AB1230" s="279"/>
      <c r="AC1230" s="279"/>
      <c r="AD1230" s="279"/>
      <c r="AE1230" s="279"/>
      <c r="AF1230" s="279"/>
      <c r="AG1230" s="279"/>
      <c r="AH1230" s="279"/>
      <c r="AI1230" s="279"/>
      <c r="AJ1230" s="279"/>
      <c r="AK1230" s="279"/>
      <c r="AL1230" s="279"/>
      <c r="AM1230" s="279"/>
      <c r="AN1230" s="279"/>
      <c r="AO1230" s="279"/>
      <c r="AP1230" s="279"/>
      <c r="AQ1230" s="279"/>
      <c r="AR1230" s="279"/>
      <c r="AS1230" s="279"/>
      <c r="AT1230" s="279"/>
      <c r="AU1230" s="279"/>
      <c r="AV1230" s="279"/>
      <c r="AW1230" s="279"/>
      <c r="AX1230" s="279"/>
      <c r="AY1230" s="279"/>
      <c r="AZ1230" s="279"/>
      <c r="BA1230" s="279"/>
      <c r="BB1230" s="279"/>
      <c r="BC1230" s="279"/>
      <c r="BD1230" s="279"/>
      <c r="BE1230" s="279"/>
      <c r="BF1230" s="279"/>
      <c r="BG1230" s="279"/>
      <c r="BH1230" s="279"/>
      <c r="BI1230" s="279"/>
      <c r="BJ1230" s="279"/>
      <c r="BK1230" s="279"/>
      <c r="BL1230" s="279"/>
      <c r="BM1230" s="279"/>
      <c r="BN1230" s="279"/>
      <c r="BO1230" s="279"/>
      <c r="BP1230" s="279"/>
      <c r="BQ1230" s="279"/>
      <c r="BR1230" s="279"/>
      <c r="BS1230" s="279"/>
      <c r="BT1230" s="279"/>
      <c r="BU1230" s="279"/>
      <c r="BV1230" s="279"/>
      <c r="BW1230" s="279"/>
      <c r="BX1230" s="279"/>
      <c r="BY1230" s="279"/>
      <c r="BZ1230" s="279"/>
      <c r="CA1230" s="279"/>
      <c r="CB1230" s="279"/>
      <c r="CC1230" s="279"/>
      <c r="CD1230" s="279"/>
      <c r="CE1230" s="279"/>
      <c r="CF1230" s="279"/>
      <c r="CG1230" s="279"/>
      <c r="CH1230" s="279"/>
      <c r="CI1230" s="279"/>
      <c r="CJ1230" s="279"/>
      <c r="CK1230" s="279"/>
      <c r="CL1230" s="279"/>
      <c r="CM1230" s="279"/>
      <c r="CN1230" s="382"/>
    </row>
    <row r="1231" x14ac:dyDescent="0.3">
      <c r="B1231" s="361"/>
      <c r="C1231" s="279"/>
      <c r="D1231" s="280"/>
      <c r="E1231" s="287"/>
      <c r="F1231" s="287"/>
      <c r="G1231" s="287"/>
      <c r="H1231" s="1292">
        <f t="shared" si="63"/>
        <v>42</v>
      </c>
      <c r="I1231" s="1190" t="str">
        <f>'I. Stream &amp; Compound Data'!P303</f>
        <v/>
      </c>
      <c r="J1231" s="1295" t="str">
        <f>IF(I183="","",IF('I. Stream &amp; Compound Data'!BZ303="",0,'I. Stream &amp; Compound Data'!BZ303))</f>
        <v/>
      </c>
      <c r="K1231" s="1295" t="str">
        <f t="shared" si="62"/>
        <v/>
      </c>
      <c r="L1231" s="1317" t="str">
        <f>IF(K1231="","",IF('I. Stream &amp; Compound Data'!E73="H2O",0,(IF(J1231=0,1,J1231))*I1231))</f>
        <v/>
      </c>
      <c r="M1231" s="296"/>
      <c r="N1231" s="280"/>
      <c r="O1231" s="280"/>
      <c r="P1231" s="279"/>
      <c r="Q1231" s="297"/>
      <c r="R1231" s="298"/>
      <c r="S1231" s="298"/>
      <c r="T1231" s="299"/>
      <c r="U1231" s="279"/>
      <c r="V1231" s="279"/>
      <c r="W1231" s="279"/>
      <c r="X1231" s="279"/>
      <c r="Y1231" s="279"/>
      <c r="Z1231" s="279"/>
      <c r="AA1231" s="279"/>
      <c r="AB1231" s="279"/>
      <c r="AC1231" s="279"/>
      <c r="AD1231" s="279"/>
      <c r="AE1231" s="279"/>
      <c r="AF1231" s="279"/>
      <c r="AG1231" s="279"/>
      <c r="AH1231" s="279"/>
      <c r="AI1231" s="279"/>
      <c r="AJ1231" s="279"/>
      <c r="AK1231" s="279"/>
      <c r="AL1231" s="279"/>
      <c r="AM1231" s="279"/>
      <c r="AN1231" s="279"/>
      <c r="AO1231" s="279"/>
      <c r="AP1231" s="279"/>
      <c r="AQ1231" s="279"/>
      <c r="AR1231" s="279"/>
      <c r="AS1231" s="279"/>
      <c r="AT1231" s="279"/>
      <c r="AU1231" s="279"/>
      <c r="AV1231" s="279"/>
      <c r="AW1231" s="279"/>
      <c r="AX1231" s="279"/>
      <c r="AY1231" s="279"/>
      <c r="AZ1231" s="279"/>
      <c r="BA1231" s="279"/>
      <c r="BB1231" s="279"/>
      <c r="BC1231" s="279"/>
      <c r="BD1231" s="279"/>
      <c r="BE1231" s="279"/>
      <c r="BF1231" s="279"/>
      <c r="BG1231" s="279"/>
      <c r="BH1231" s="279"/>
      <c r="BI1231" s="279"/>
      <c r="BJ1231" s="279"/>
      <c r="BK1231" s="279"/>
      <c r="BL1231" s="279"/>
      <c r="BM1231" s="279"/>
      <c r="BN1231" s="279"/>
      <c r="BO1231" s="279"/>
      <c r="BP1231" s="279"/>
      <c r="BQ1231" s="279"/>
      <c r="BR1231" s="279"/>
      <c r="BS1231" s="279"/>
      <c r="BT1231" s="279"/>
      <c r="BU1231" s="279"/>
      <c r="BV1231" s="279"/>
      <c r="BW1231" s="279"/>
      <c r="BX1231" s="279"/>
      <c r="BY1231" s="279"/>
      <c r="BZ1231" s="279"/>
      <c r="CA1231" s="279"/>
      <c r="CB1231" s="279"/>
      <c r="CC1231" s="279"/>
      <c r="CD1231" s="279"/>
      <c r="CE1231" s="279"/>
      <c r="CF1231" s="279"/>
      <c r="CG1231" s="279"/>
      <c r="CH1231" s="279"/>
      <c r="CI1231" s="279"/>
      <c r="CJ1231" s="279"/>
      <c r="CK1231" s="279"/>
      <c r="CL1231" s="279"/>
      <c r="CM1231" s="279"/>
      <c r="CN1231" s="382"/>
    </row>
    <row r="1232" x14ac:dyDescent="0.3">
      <c r="B1232" s="361"/>
      <c r="C1232" s="279"/>
      <c r="D1232" s="280"/>
      <c r="E1232" s="287"/>
      <c r="F1232" s="287"/>
      <c r="G1232" s="287"/>
      <c r="H1232" s="1292">
        <f t="shared" si="63"/>
        <v>43</v>
      </c>
      <c r="I1232" s="1190" t="str">
        <f>'I. Stream &amp; Compound Data'!P304</f>
        <v/>
      </c>
      <c r="J1232" s="1295" t="str">
        <f>IF(I184="","",IF('I. Stream &amp; Compound Data'!BZ304="",0,'I. Stream &amp; Compound Data'!BZ304))</f>
        <v/>
      </c>
      <c r="K1232" s="1295" t="str">
        <f t="shared" si="62"/>
        <v/>
      </c>
      <c r="L1232" s="1317" t="str">
        <f>IF(K1232="","",IF('I. Stream &amp; Compound Data'!E74="H2O",0,(IF(J1232=0,1,J1232))*I1232))</f>
        <v/>
      </c>
      <c r="M1232" s="296"/>
      <c r="N1232" s="280"/>
      <c r="O1232" s="280"/>
      <c r="P1232" s="279"/>
      <c r="Q1232" s="297"/>
      <c r="R1232" s="298"/>
      <c r="S1232" s="298"/>
      <c r="T1232" s="299"/>
      <c r="U1232" s="279"/>
      <c r="V1232" s="279"/>
      <c r="W1232" s="279"/>
      <c r="X1232" s="279"/>
      <c r="Y1232" s="279"/>
      <c r="Z1232" s="279"/>
      <c r="AA1232" s="279"/>
      <c r="AB1232" s="279"/>
      <c r="AC1232" s="279"/>
      <c r="AD1232" s="279"/>
      <c r="AE1232" s="279"/>
      <c r="AF1232" s="279"/>
      <c r="AG1232" s="279"/>
      <c r="AH1232" s="279"/>
      <c r="AI1232" s="279"/>
      <c r="AJ1232" s="279"/>
      <c r="AK1232" s="279"/>
      <c r="AL1232" s="279"/>
      <c r="AM1232" s="279"/>
      <c r="AN1232" s="279"/>
      <c r="AO1232" s="279"/>
      <c r="AP1232" s="279"/>
      <c r="AQ1232" s="279"/>
      <c r="AR1232" s="279"/>
      <c r="AS1232" s="279"/>
      <c r="AT1232" s="279"/>
      <c r="AU1232" s="279"/>
      <c r="AV1232" s="279"/>
      <c r="AW1232" s="279"/>
      <c r="AX1232" s="279"/>
      <c r="AY1232" s="279"/>
      <c r="AZ1232" s="279"/>
      <c r="BA1232" s="279"/>
      <c r="BB1232" s="279"/>
      <c r="BC1232" s="279"/>
      <c r="BD1232" s="279"/>
      <c r="BE1232" s="279"/>
      <c r="BF1232" s="279"/>
      <c r="BG1232" s="279"/>
      <c r="BH1232" s="279"/>
      <c r="BI1232" s="279"/>
      <c r="BJ1232" s="279"/>
      <c r="BK1232" s="279"/>
      <c r="BL1232" s="279"/>
      <c r="BM1232" s="279"/>
      <c r="BN1232" s="279"/>
      <c r="BO1232" s="279"/>
      <c r="BP1232" s="279"/>
      <c r="BQ1232" s="279"/>
      <c r="BR1232" s="279"/>
      <c r="BS1232" s="279"/>
      <c r="BT1232" s="279"/>
      <c r="BU1232" s="279"/>
      <c r="BV1232" s="279"/>
      <c r="BW1232" s="279"/>
      <c r="BX1232" s="279"/>
      <c r="BY1232" s="279"/>
      <c r="BZ1232" s="279"/>
      <c r="CA1232" s="279"/>
      <c r="CB1232" s="279"/>
      <c r="CC1232" s="279"/>
      <c r="CD1232" s="279"/>
      <c r="CE1232" s="279"/>
      <c r="CF1232" s="279"/>
      <c r="CG1232" s="279"/>
      <c r="CH1232" s="279"/>
      <c r="CI1232" s="279"/>
      <c r="CJ1232" s="279"/>
      <c r="CK1232" s="279"/>
      <c r="CL1232" s="279"/>
      <c r="CM1232" s="279"/>
      <c r="CN1232" s="382"/>
    </row>
    <row r="1233" x14ac:dyDescent="0.3">
      <c r="B1233" s="361"/>
      <c r="C1233" s="279"/>
      <c r="D1233" s="280"/>
      <c r="E1233" s="287"/>
      <c r="F1233" s="287"/>
      <c r="G1233" s="287"/>
      <c r="H1233" s="1292">
        <f t="shared" si="63"/>
        <v>44</v>
      </c>
      <c r="I1233" s="1190" t="str">
        <f>'I. Stream &amp; Compound Data'!P305</f>
        <v/>
      </c>
      <c r="J1233" s="1295" t="str">
        <f>IF(I185="","",IF('I. Stream &amp; Compound Data'!BZ305="",0,'I. Stream &amp; Compound Data'!BZ305))</f>
        <v/>
      </c>
      <c r="K1233" s="1295" t="str">
        <f t="shared" si="62"/>
        <v/>
      </c>
      <c r="L1233" s="1317" t="str">
        <f>IF(K1233="","",IF('I. Stream &amp; Compound Data'!E75="H2O",0,(IF(J1233=0,1,J1233))*I1233))</f>
        <v/>
      </c>
      <c r="M1233" s="296"/>
      <c r="N1233" s="280"/>
      <c r="O1233" s="280"/>
      <c r="P1233" s="279"/>
      <c r="Q1233" s="297"/>
      <c r="R1233" s="298"/>
      <c r="S1233" s="298"/>
      <c r="T1233" s="299"/>
      <c r="U1233" s="279"/>
      <c r="V1233" s="279"/>
      <c r="W1233" s="279"/>
      <c r="X1233" s="279"/>
      <c r="Y1233" s="279"/>
      <c r="Z1233" s="279"/>
      <c r="AA1233" s="279"/>
      <c r="AB1233" s="279"/>
      <c r="AC1233" s="279"/>
      <c r="AD1233" s="279"/>
      <c r="AE1233" s="279"/>
      <c r="AF1233" s="279"/>
      <c r="AG1233" s="279"/>
      <c r="AH1233" s="279"/>
      <c r="AI1233" s="279"/>
      <c r="AJ1233" s="279"/>
      <c r="AK1233" s="279"/>
      <c r="AL1233" s="279"/>
      <c r="AM1233" s="279"/>
      <c r="AN1233" s="279"/>
      <c r="AO1233" s="279"/>
      <c r="AP1233" s="279"/>
      <c r="AQ1233" s="279"/>
      <c r="AR1233" s="279"/>
      <c r="AS1233" s="279"/>
      <c r="AT1233" s="279"/>
      <c r="AU1233" s="279"/>
      <c r="AV1233" s="279"/>
      <c r="AW1233" s="279"/>
      <c r="AX1233" s="279"/>
      <c r="AY1233" s="279"/>
      <c r="AZ1233" s="279"/>
      <c r="BA1233" s="279"/>
      <c r="BB1233" s="279"/>
      <c r="BC1233" s="279"/>
      <c r="BD1233" s="279"/>
      <c r="BE1233" s="279"/>
      <c r="BF1233" s="279"/>
      <c r="BG1233" s="279"/>
      <c r="BH1233" s="279"/>
      <c r="BI1233" s="279"/>
      <c r="BJ1233" s="279"/>
      <c r="BK1233" s="279"/>
      <c r="BL1233" s="279"/>
      <c r="BM1233" s="279"/>
      <c r="BN1233" s="279"/>
      <c r="BO1233" s="279"/>
      <c r="BP1233" s="279"/>
      <c r="BQ1233" s="279"/>
      <c r="BR1233" s="279"/>
      <c r="BS1233" s="279"/>
      <c r="BT1233" s="279"/>
      <c r="BU1233" s="279"/>
      <c r="BV1233" s="279"/>
      <c r="BW1233" s="279"/>
      <c r="BX1233" s="279"/>
      <c r="BY1233" s="279"/>
      <c r="BZ1233" s="279"/>
      <c r="CA1233" s="279"/>
      <c r="CB1233" s="279"/>
      <c r="CC1233" s="279"/>
      <c r="CD1233" s="279"/>
      <c r="CE1233" s="279"/>
      <c r="CF1233" s="279"/>
      <c r="CG1233" s="279"/>
      <c r="CH1233" s="279"/>
      <c r="CI1233" s="279"/>
      <c r="CJ1233" s="279"/>
      <c r="CK1233" s="279"/>
      <c r="CL1233" s="279"/>
      <c r="CM1233" s="279"/>
      <c r="CN1233" s="382"/>
    </row>
    <row r="1234" x14ac:dyDescent="0.3">
      <c r="B1234" s="361"/>
      <c r="C1234" s="279"/>
      <c r="D1234" s="280"/>
      <c r="E1234" s="287"/>
      <c r="F1234" s="287"/>
      <c r="G1234" s="287"/>
      <c r="H1234" s="1292">
        <f t="shared" si="63"/>
        <v>45</v>
      </c>
      <c r="I1234" s="1190" t="str">
        <f>'I. Stream &amp; Compound Data'!P306</f>
        <v/>
      </c>
      <c r="J1234" s="1295" t="str">
        <f>IF(I186="","",IF('I. Stream &amp; Compound Data'!BZ306="",0,'I. Stream &amp; Compound Data'!BZ306))</f>
        <v/>
      </c>
      <c r="K1234" s="1295" t="str">
        <f t="shared" si="62"/>
        <v/>
      </c>
      <c r="L1234" s="1317" t="str">
        <f>IF(K1234="","",IF('I. Stream &amp; Compound Data'!E76="H2O",0,(IF(J1234=0,1,J1234))*I1234))</f>
        <v/>
      </c>
      <c r="M1234" s="296"/>
      <c r="N1234" s="280"/>
      <c r="O1234" s="280"/>
      <c r="P1234" s="279"/>
      <c r="Q1234" s="297"/>
      <c r="R1234" s="298"/>
      <c r="S1234" s="298"/>
      <c r="T1234" s="299"/>
      <c r="U1234" s="279"/>
      <c r="V1234" s="279"/>
      <c r="W1234" s="279"/>
      <c r="X1234" s="279"/>
      <c r="Y1234" s="279"/>
      <c r="Z1234" s="279"/>
      <c r="AA1234" s="279"/>
      <c r="AB1234" s="279"/>
      <c r="AC1234" s="279"/>
      <c r="AD1234" s="279"/>
      <c r="AE1234" s="279"/>
      <c r="AF1234" s="279"/>
      <c r="AG1234" s="279"/>
      <c r="AH1234" s="279"/>
      <c r="AI1234" s="279"/>
      <c r="AJ1234" s="279"/>
      <c r="AK1234" s="279"/>
      <c r="AL1234" s="279"/>
      <c r="AM1234" s="279"/>
      <c r="AN1234" s="279"/>
      <c r="AO1234" s="279"/>
      <c r="AP1234" s="279"/>
      <c r="AQ1234" s="279"/>
      <c r="AR1234" s="279"/>
      <c r="AS1234" s="279"/>
      <c r="AT1234" s="279"/>
      <c r="AU1234" s="279"/>
      <c r="AV1234" s="279"/>
      <c r="AW1234" s="279"/>
      <c r="AX1234" s="279"/>
      <c r="AY1234" s="279"/>
      <c r="AZ1234" s="279"/>
      <c r="BA1234" s="279"/>
      <c r="BB1234" s="279"/>
      <c r="BC1234" s="279"/>
      <c r="BD1234" s="279"/>
      <c r="BE1234" s="279"/>
      <c r="BF1234" s="279"/>
      <c r="BG1234" s="279"/>
      <c r="BH1234" s="279"/>
      <c r="BI1234" s="279"/>
      <c r="BJ1234" s="279"/>
      <c r="BK1234" s="279"/>
      <c r="BL1234" s="279"/>
      <c r="BM1234" s="279"/>
      <c r="BN1234" s="279"/>
      <c r="BO1234" s="279"/>
      <c r="BP1234" s="279"/>
      <c r="BQ1234" s="279"/>
      <c r="BR1234" s="279"/>
      <c r="BS1234" s="279"/>
      <c r="BT1234" s="279"/>
      <c r="BU1234" s="279"/>
      <c r="BV1234" s="279"/>
      <c r="BW1234" s="279"/>
      <c r="BX1234" s="279"/>
      <c r="BY1234" s="279"/>
      <c r="BZ1234" s="279"/>
      <c r="CA1234" s="279"/>
      <c r="CB1234" s="279"/>
      <c r="CC1234" s="279"/>
      <c r="CD1234" s="279"/>
      <c r="CE1234" s="279"/>
      <c r="CF1234" s="279"/>
      <c r="CG1234" s="279"/>
      <c r="CH1234" s="279"/>
      <c r="CI1234" s="279"/>
      <c r="CJ1234" s="279"/>
      <c r="CK1234" s="279"/>
      <c r="CL1234" s="279"/>
      <c r="CM1234" s="279"/>
      <c r="CN1234" s="382"/>
    </row>
    <row r="1235" x14ac:dyDescent="0.3">
      <c r="B1235" s="361"/>
      <c r="C1235" s="279"/>
      <c r="D1235" s="280"/>
      <c r="E1235" s="287"/>
      <c r="F1235" s="287"/>
      <c r="G1235" s="287"/>
      <c r="H1235" s="1292">
        <f t="shared" si="63"/>
        <v>46</v>
      </c>
      <c r="I1235" s="1190" t="str">
        <f>'I. Stream &amp; Compound Data'!P307</f>
        <v/>
      </c>
      <c r="J1235" s="1295" t="str">
        <f>IF(I187="","",IF('I. Stream &amp; Compound Data'!BZ307="",0,'I. Stream &amp; Compound Data'!BZ307))</f>
        <v/>
      </c>
      <c r="K1235" s="1295" t="str">
        <f t="shared" si="62"/>
        <v/>
      </c>
      <c r="L1235" s="1317" t="str">
        <f>IF(K1235="","",IF('I. Stream &amp; Compound Data'!E77="H2O",0,(IF(J1235=0,1,J1235))*I1235))</f>
        <v/>
      </c>
      <c r="M1235" s="296"/>
      <c r="N1235" s="280"/>
      <c r="O1235" s="280"/>
      <c r="P1235" s="279"/>
      <c r="Q1235" s="297"/>
      <c r="R1235" s="298"/>
      <c r="S1235" s="298"/>
      <c r="T1235" s="299"/>
      <c r="U1235" s="279"/>
      <c r="V1235" s="279"/>
      <c r="W1235" s="279"/>
      <c r="X1235" s="279"/>
      <c r="Y1235" s="279"/>
      <c r="Z1235" s="279"/>
      <c r="AA1235" s="279"/>
      <c r="AB1235" s="279"/>
      <c r="AC1235" s="279"/>
      <c r="AD1235" s="279"/>
      <c r="AE1235" s="279"/>
      <c r="AF1235" s="279"/>
      <c r="AG1235" s="279"/>
      <c r="AH1235" s="279"/>
      <c r="AI1235" s="279"/>
      <c r="AJ1235" s="279"/>
      <c r="AK1235" s="279"/>
      <c r="AL1235" s="279"/>
      <c r="AM1235" s="279"/>
      <c r="AN1235" s="279"/>
      <c r="AO1235" s="279"/>
      <c r="AP1235" s="279"/>
      <c r="AQ1235" s="279"/>
      <c r="AR1235" s="279"/>
      <c r="AS1235" s="279"/>
      <c r="AT1235" s="279"/>
      <c r="AU1235" s="279"/>
      <c r="AV1235" s="279"/>
      <c r="AW1235" s="279"/>
      <c r="AX1235" s="279"/>
      <c r="AY1235" s="279"/>
      <c r="AZ1235" s="279"/>
      <c r="BA1235" s="279"/>
      <c r="BB1235" s="279"/>
      <c r="BC1235" s="279"/>
      <c r="BD1235" s="279"/>
      <c r="BE1235" s="279"/>
      <c r="BF1235" s="279"/>
      <c r="BG1235" s="279"/>
      <c r="BH1235" s="279"/>
      <c r="BI1235" s="279"/>
      <c r="BJ1235" s="279"/>
      <c r="BK1235" s="279"/>
      <c r="BL1235" s="279"/>
      <c r="BM1235" s="279"/>
      <c r="BN1235" s="279"/>
      <c r="BO1235" s="279"/>
      <c r="BP1235" s="279"/>
      <c r="BQ1235" s="279"/>
      <c r="BR1235" s="279"/>
      <c r="BS1235" s="279"/>
      <c r="BT1235" s="279"/>
      <c r="BU1235" s="279"/>
      <c r="BV1235" s="279"/>
      <c r="BW1235" s="279"/>
      <c r="BX1235" s="279"/>
      <c r="BY1235" s="279"/>
      <c r="BZ1235" s="279"/>
      <c r="CA1235" s="279"/>
      <c r="CB1235" s="279"/>
      <c r="CC1235" s="279"/>
      <c r="CD1235" s="279"/>
      <c r="CE1235" s="279"/>
      <c r="CF1235" s="279"/>
      <c r="CG1235" s="279"/>
      <c r="CH1235" s="279"/>
      <c r="CI1235" s="279"/>
      <c r="CJ1235" s="279"/>
      <c r="CK1235" s="279"/>
      <c r="CL1235" s="279"/>
      <c r="CM1235" s="279"/>
      <c r="CN1235" s="382"/>
    </row>
    <row r="1236" x14ac:dyDescent="0.3">
      <c r="B1236" s="361"/>
      <c r="C1236" s="279"/>
      <c r="D1236" s="280"/>
      <c r="E1236" s="287"/>
      <c r="F1236" s="287"/>
      <c r="G1236" s="287"/>
      <c r="H1236" s="1292">
        <f t="shared" si="63"/>
        <v>47</v>
      </c>
      <c r="I1236" s="1190" t="str">
        <f>'I. Stream &amp; Compound Data'!P308</f>
        <v/>
      </c>
      <c r="J1236" s="1295" t="str">
        <f>IF(I188="","",IF('I. Stream &amp; Compound Data'!BZ308="",0,'I. Stream &amp; Compound Data'!BZ308))</f>
        <v/>
      </c>
      <c r="K1236" s="1295" t="str">
        <f t="shared" si="62"/>
        <v/>
      </c>
      <c r="L1236" s="1317" t="str">
        <f>IF(K1236="","",IF('I. Stream &amp; Compound Data'!E78="H2O",0,(IF(J1236=0,1,J1236))*I1236))</f>
        <v/>
      </c>
      <c r="M1236" s="296"/>
      <c r="N1236" s="280"/>
      <c r="O1236" s="280"/>
      <c r="P1236" s="279"/>
      <c r="Q1236" s="297"/>
      <c r="R1236" s="298"/>
      <c r="S1236" s="298"/>
      <c r="T1236" s="299"/>
      <c r="U1236" s="279"/>
      <c r="V1236" s="279"/>
      <c r="W1236" s="279"/>
      <c r="X1236" s="279"/>
      <c r="Y1236" s="279"/>
      <c r="Z1236" s="279"/>
      <c r="AA1236" s="279"/>
      <c r="AB1236" s="279"/>
      <c r="AC1236" s="279"/>
      <c r="AD1236" s="279"/>
      <c r="AE1236" s="279"/>
      <c r="AF1236" s="279"/>
      <c r="AG1236" s="279"/>
      <c r="AH1236" s="279"/>
      <c r="AI1236" s="279"/>
      <c r="AJ1236" s="279"/>
      <c r="AK1236" s="279"/>
      <c r="AL1236" s="279"/>
      <c r="AM1236" s="279"/>
      <c r="AN1236" s="279"/>
      <c r="AO1236" s="279"/>
      <c r="AP1236" s="279"/>
      <c r="AQ1236" s="279"/>
      <c r="AR1236" s="279"/>
      <c r="AS1236" s="279"/>
      <c r="AT1236" s="279"/>
      <c r="AU1236" s="279"/>
      <c r="AV1236" s="279"/>
      <c r="AW1236" s="279"/>
      <c r="AX1236" s="279"/>
      <c r="AY1236" s="279"/>
      <c r="AZ1236" s="279"/>
      <c r="BA1236" s="279"/>
      <c r="BB1236" s="279"/>
      <c r="BC1236" s="279"/>
      <c r="BD1236" s="279"/>
      <c r="BE1236" s="279"/>
      <c r="BF1236" s="279"/>
      <c r="BG1236" s="279"/>
      <c r="BH1236" s="279"/>
      <c r="BI1236" s="279"/>
      <c r="BJ1236" s="279"/>
      <c r="BK1236" s="279"/>
      <c r="BL1236" s="279"/>
      <c r="BM1236" s="279"/>
      <c r="BN1236" s="279"/>
      <c r="BO1236" s="279"/>
      <c r="BP1236" s="279"/>
      <c r="BQ1236" s="279"/>
      <c r="BR1236" s="279"/>
      <c r="BS1236" s="279"/>
      <c r="BT1236" s="279"/>
      <c r="BU1236" s="279"/>
      <c r="BV1236" s="279"/>
      <c r="BW1236" s="279"/>
      <c r="BX1236" s="279"/>
      <c r="BY1236" s="279"/>
      <c r="BZ1236" s="279"/>
      <c r="CA1236" s="279"/>
      <c r="CB1236" s="279"/>
      <c r="CC1236" s="279"/>
      <c r="CD1236" s="279"/>
      <c r="CE1236" s="279"/>
      <c r="CF1236" s="279"/>
      <c r="CG1236" s="279"/>
      <c r="CH1236" s="279"/>
      <c r="CI1236" s="279"/>
      <c r="CJ1236" s="279"/>
      <c r="CK1236" s="279"/>
      <c r="CL1236" s="279"/>
      <c r="CM1236" s="279"/>
      <c r="CN1236" s="382"/>
    </row>
    <row r="1237" x14ac:dyDescent="0.3">
      <c r="B1237" s="361"/>
      <c r="C1237" s="279"/>
      <c r="D1237" s="280"/>
      <c r="E1237" s="287"/>
      <c r="F1237" s="287"/>
      <c r="G1237" s="287"/>
      <c r="H1237" s="1292">
        <f t="shared" si="63"/>
        <v>48</v>
      </c>
      <c r="I1237" s="1190" t="str">
        <f>'I. Stream &amp; Compound Data'!P309</f>
        <v/>
      </c>
      <c r="J1237" s="1295" t="str">
        <f>IF(I189="","",IF('I. Stream &amp; Compound Data'!BZ309="",0,'I. Stream &amp; Compound Data'!BZ309))</f>
        <v/>
      </c>
      <c r="K1237" s="1295" t="str">
        <f t="shared" si="62"/>
        <v/>
      </c>
      <c r="L1237" s="1317" t="str">
        <f>IF(K1237="","",IF('I. Stream &amp; Compound Data'!E79="H2O",0,(IF(J1237=0,1,J1237))*I1237))</f>
        <v/>
      </c>
      <c r="M1237" s="296"/>
      <c r="N1237" s="280"/>
      <c r="O1237" s="280"/>
      <c r="P1237" s="279"/>
      <c r="Q1237" s="297"/>
      <c r="R1237" s="298"/>
      <c r="S1237" s="298"/>
      <c r="T1237" s="299"/>
      <c r="U1237" s="279"/>
      <c r="V1237" s="279"/>
      <c r="W1237" s="279"/>
      <c r="X1237" s="279"/>
      <c r="Y1237" s="279"/>
      <c r="Z1237" s="279"/>
      <c r="AA1237" s="279"/>
      <c r="AB1237" s="279"/>
      <c r="AC1237" s="279"/>
      <c r="AD1237" s="279"/>
      <c r="AE1237" s="279"/>
      <c r="AF1237" s="279"/>
      <c r="AG1237" s="279"/>
      <c r="AH1237" s="279"/>
      <c r="AI1237" s="279"/>
      <c r="AJ1237" s="279"/>
      <c r="AK1237" s="279"/>
      <c r="AL1237" s="279"/>
      <c r="AM1237" s="279"/>
      <c r="AN1237" s="279"/>
      <c r="AO1237" s="279"/>
      <c r="AP1237" s="279"/>
      <c r="AQ1237" s="279"/>
      <c r="AR1237" s="279"/>
      <c r="AS1237" s="279"/>
      <c r="AT1237" s="279"/>
      <c r="AU1237" s="279"/>
      <c r="AV1237" s="279"/>
      <c r="AW1237" s="279"/>
      <c r="AX1237" s="279"/>
      <c r="AY1237" s="279"/>
      <c r="AZ1237" s="279"/>
      <c r="BA1237" s="279"/>
      <c r="BB1237" s="279"/>
      <c r="BC1237" s="279"/>
      <c r="BD1237" s="279"/>
      <c r="BE1237" s="279"/>
      <c r="BF1237" s="279"/>
      <c r="BG1237" s="279"/>
      <c r="BH1237" s="279"/>
      <c r="BI1237" s="279"/>
      <c r="BJ1237" s="279"/>
      <c r="BK1237" s="279"/>
      <c r="BL1237" s="279"/>
      <c r="BM1237" s="279"/>
      <c r="BN1237" s="279"/>
      <c r="BO1237" s="279"/>
      <c r="BP1237" s="279"/>
      <c r="BQ1237" s="279"/>
      <c r="BR1237" s="279"/>
      <c r="BS1237" s="279"/>
      <c r="BT1237" s="279"/>
      <c r="BU1237" s="279"/>
      <c r="BV1237" s="279"/>
      <c r="BW1237" s="279"/>
      <c r="BX1237" s="279"/>
      <c r="BY1237" s="279"/>
      <c r="BZ1237" s="279"/>
      <c r="CA1237" s="279"/>
      <c r="CB1237" s="279"/>
      <c r="CC1237" s="279"/>
      <c r="CD1237" s="279"/>
      <c r="CE1237" s="279"/>
      <c r="CF1237" s="279"/>
      <c r="CG1237" s="279"/>
      <c r="CH1237" s="279"/>
      <c r="CI1237" s="279"/>
      <c r="CJ1237" s="279"/>
      <c r="CK1237" s="279"/>
      <c r="CL1237" s="279"/>
      <c r="CM1237" s="279"/>
      <c r="CN1237" s="382"/>
    </row>
    <row r="1238" x14ac:dyDescent="0.3">
      <c r="B1238" s="361"/>
      <c r="C1238" s="279"/>
      <c r="D1238" s="280"/>
      <c r="E1238" s="287"/>
      <c r="F1238" s="287"/>
      <c r="G1238" s="287"/>
      <c r="H1238" s="1292">
        <f t="shared" si="63"/>
        <v>49</v>
      </c>
      <c r="I1238" s="1190" t="str">
        <f>'I. Stream &amp; Compound Data'!P310</f>
        <v/>
      </c>
      <c r="J1238" s="1295" t="str">
        <f>IF(I190="","",IF('I. Stream &amp; Compound Data'!BZ310="",0,'I. Stream &amp; Compound Data'!BZ310))</f>
        <v/>
      </c>
      <c r="K1238" s="1295" t="str">
        <f t="shared" si="62"/>
        <v/>
      </c>
      <c r="L1238" s="1317" t="str">
        <f>IF(K1238="","",IF('I. Stream &amp; Compound Data'!E80="H2O",0,(IF(J1238=0,1,J1238))*I1238))</f>
        <v/>
      </c>
      <c r="M1238" s="296"/>
      <c r="N1238" s="280"/>
      <c r="O1238" s="280"/>
      <c r="P1238" s="279"/>
      <c r="Q1238" s="297"/>
      <c r="R1238" s="298"/>
      <c r="S1238" s="298"/>
      <c r="T1238" s="299"/>
      <c r="U1238" s="279"/>
      <c r="V1238" s="279"/>
      <c r="W1238" s="279"/>
      <c r="X1238" s="279"/>
      <c r="Y1238" s="279"/>
      <c r="Z1238" s="279"/>
      <c r="AA1238" s="279"/>
      <c r="AB1238" s="279"/>
      <c r="AC1238" s="279"/>
      <c r="AD1238" s="279"/>
      <c r="AE1238" s="279"/>
      <c r="AF1238" s="279"/>
      <c r="AG1238" s="279"/>
      <c r="AH1238" s="279"/>
      <c r="AI1238" s="279"/>
      <c r="AJ1238" s="279"/>
      <c r="AK1238" s="279"/>
      <c r="AL1238" s="279"/>
      <c r="AM1238" s="279"/>
      <c r="AN1238" s="279"/>
      <c r="AO1238" s="279"/>
      <c r="AP1238" s="279"/>
      <c r="AQ1238" s="279"/>
      <c r="AR1238" s="279"/>
      <c r="AS1238" s="279"/>
      <c r="AT1238" s="279"/>
      <c r="AU1238" s="279"/>
      <c r="AV1238" s="279"/>
      <c r="AW1238" s="279"/>
      <c r="AX1238" s="279"/>
      <c r="AY1238" s="279"/>
      <c r="AZ1238" s="279"/>
      <c r="BA1238" s="279"/>
      <c r="BB1238" s="279"/>
      <c r="BC1238" s="279"/>
      <c r="BD1238" s="279"/>
      <c r="BE1238" s="279"/>
      <c r="BF1238" s="279"/>
      <c r="BG1238" s="279"/>
      <c r="BH1238" s="279"/>
      <c r="BI1238" s="279"/>
      <c r="BJ1238" s="279"/>
      <c r="BK1238" s="279"/>
      <c r="BL1238" s="279"/>
      <c r="BM1238" s="279"/>
      <c r="BN1238" s="279"/>
      <c r="BO1238" s="279"/>
      <c r="BP1238" s="279"/>
      <c r="BQ1238" s="279"/>
      <c r="BR1238" s="279"/>
      <c r="BS1238" s="279"/>
      <c r="BT1238" s="279"/>
      <c r="BU1238" s="279"/>
      <c r="BV1238" s="279"/>
      <c r="BW1238" s="279"/>
      <c r="BX1238" s="279"/>
      <c r="BY1238" s="279"/>
      <c r="BZ1238" s="279"/>
      <c r="CA1238" s="279"/>
      <c r="CB1238" s="279"/>
      <c r="CC1238" s="279"/>
      <c r="CD1238" s="279"/>
      <c r="CE1238" s="279"/>
      <c r="CF1238" s="279"/>
      <c r="CG1238" s="279"/>
      <c r="CH1238" s="279"/>
      <c r="CI1238" s="279"/>
      <c r="CJ1238" s="279"/>
      <c r="CK1238" s="279"/>
      <c r="CL1238" s="279"/>
      <c r="CM1238" s="279"/>
      <c r="CN1238" s="382"/>
    </row>
    <row r="1239" ht="16.2" thickBot="true" x14ac:dyDescent="0.35">
      <c r="B1239" s="361"/>
      <c r="C1239" s="279"/>
      <c r="D1239" s="280"/>
      <c r="E1239" s="287"/>
      <c r="F1239" s="287"/>
      <c r="G1239" s="287"/>
      <c r="H1239" s="1298">
        <f t="shared" si="63"/>
        <v>50</v>
      </c>
      <c r="I1239" s="1259" t="str">
        <f>'I. Stream &amp; Compound Data'!P311</f>
        <v/>
      </c>
      <c r="J1239" s="1301" t="str">
        <f>IF(I191="","",IF('I. Stream &amp; Compound Data'!BZ311="",0,'I. Stream &amp; Compound Data'!BZ311))</f>
        <v/>
      </c>
      <c r="K1239" s="1301" t="str">
        <f t="shared" si="62"/>
        <v/>
      </c>
      <c r="L1239" s="1318" t="str">
        <f>IF(K1239="","",IF('I. Stream &amp; Compound Data'!E81="H2O",0,(IF(J1239=0,1,J1239))*I1239))</f>
        <v/>
      </c>
      <c r="M1239" s="296"/>
      <c r="N1239" s="280"/>
      <c r="O1239" s="280"/>
      <c r="P1239" s="279"/>
      <c r="Q1239" s="297"/>
      <c r="R1239" s="298"/>
      <c r="S1239" s="298"/>
      <c r="T1239" s="299"/>
      <c r="U1239" s="279"/>
      <c r="V1239" s="279"/>
      <c r="W1239" s="279"/>
      <c r="X1239" s="279"/>
      <c r="Y1239" s="279"/>
      <c r="Z1239" s="279"/>
      <c r="AA1239" s="279"/>
      <c r="AB1239" s="279"/>
      <c r="AC1239" s="279"/>
      <c r="AD1239" s="279"/>
      <c r="AE1239" s="279"/>
      <c r="AF1239" s="279"/>
      <c r="AG1239" s="279"/>
      <c r="AH1239" s="279"/>
      <c r="AI1239" s="279"/>
      <c r="AJ1239" s="279"/>
      <c r="AK1239" s="279"/>
      <c r="AL1239" s="279"/>
      <c r="AM1239" s="279"/>
      <c r="AN1239" s="279"/>
      <c r="AO1239" s="279"/>
      <c r="AP1239" s="279"/>
      <c r="AQ1239" s="279"/>
      <c r="AR1239" s="279"/>
      <c r="AS1239" s="279"/>
      <c r="AT1239" s="279"/>
      <c r="AU1239" s="279"/>
      <c r="AV1239" s="279"/>
      <c r="AW1239" s="279"/>
      <c r="AX1239" s="279"/>
      <c r="AY1239" s="279"/>
      <c r="AZ1239" s="279"/>
      <c r="BA1239" s="279"/>
      <c r="BB1239" s="279"/>
      <c r="BC1239" s="279"/>
      <c r="BD1239" s="279"/>
      <c r="BE1239" s="279"/>
      <c r="BF1239" s="279"/>
      <c r="BG1239" s="279"/>
      <c r="BH1239" s="279"/>
      <c r="BI1239" s="279"/>
      <c r="BJ1239" s="279"/>
      <c r="BK1239" s="279"/>
      <c r="BL1239" s="279"/>
      <c r="BM1239" s="279"/>
      <c r="BN1239" s="279"/>
      <c r="BO1239" s="279"/>
      <c r="BP1239" s="279"/>
      <c r="BQ1239" s="279"/>
      <c r="BR1239" s="279"/>
      <c r="BS1239" s="279"/>
      <c r="BT1239" s="279"/>
      <c r="BU1239" s="279"/>
      <c r="BV1239" s="279"/>
      <c r="BW1239" s="279"/>
      <c r="BX1239" s="279"/>
      <c r="BY1239" s="279"/>
      <c r="BZ1239" s="279"/>
      <c r="CA1239" s="279"/>
      <c r="CB1239" s="279"/>
      <c r="CC1239" s="279"/>
      <c r="CD1239" s="279"/>
      <c r="CE1239" s="279"/>
      <c r="CF1239" s="279"/>
      <c r="CG1239" s="279"/>
      <c r="CH1239" s="279"/>
      <c r="CI1239" s="279"/>
      <c r="CJ1239" s="279"/>
      <c r="CK1239" s="279"/>
      <c r="CL1239" s="279"/>
      <c r="CM1239" s="279"/>
      <c r="CN1239" s="382"/>
    </row>
    <row r="1240" ht="16.2" thickBot="true" x14ac:dyDescent="0.35">
      <c r="B1240" s="361"/>
      <c r="C1240" s="279"/>
      <c r="D1240" s="280"/>
      <c r="E1240" s="287"/>
      <c r="F1240" s="287"/>
      <c r="G1240" s="287"/>
      <c r="H1240" s="280"/>
      <c r="I1240" s="304"/>
      <c r="J1240" s="305" t="s">
        <v>88</v>
      </c>
      <c r="K1240" s="1322">
        <f>SUM(K1190:K1239)</f>
        <v>0</v>
      </c>
      <c r="L1240" s="1322">
        <f>SUM(L1190:L1239)</f>
        <v>2980.7504537999998</v>
      </c>
      <c r="M1240" s="296"/>
      <c r="N1240" s="280"/>
      <c r="O1240" s="280"/>
      <c r="P1240" s="279"/>
      <c r="Q1240" s="297"/>
      <c r="R1240" s="298"/>
      <c r="S1240" s="298"/>
      <c r="T1240" s="299"/>
      <c r="U1240" s="279"/>
      <c r="V1240" s="279"/>
      <c r="W1240" s="279"/>
      <c r="X1240" s="279"/>
      <c r="Y1240" s="279"/>
      <c r="Z1240" s="279"/>
      <c r="AA1240" s="279"/>
      <c r="AB1240" s="279"/>
      <c r="AC1240" s="279"/>
      <c r="AD1240" s="279"/>
      <c r="AE1240" s="279"/>
      <c r="AF1240" s="279"/>
      <c r="AG1240" s="279"/>
      <c r="AH1240" s="279"/>
      <c r="AI1240" s="279"/>
      <c r="AJ1240" s="279"/>
      <c r="AK1240" s="279"/>
      <c r="AL1240" s="279"/>
      <c r="AM1240" s="279"/>
      <c r="AN1240" s="279"/>
      <c r="AO1240" s="279"/>
      <c r="AP1240" s="279"/>
      <c r="AQ1240" s="279"/>
      <c r="AR1240" s="279"/>
      <c r="AS1240" s="279"/>
      <c r="AT1240" s="279"/>
      <c r="AU1240" s="279"/>
      <c r="AV1240" s="279"/>
      <c r="AW1240" s="279"/>
      <c r="AX1240" s="279"/>
      <c r="AY1240" s="279"/>
      <c r="AZ1240" s="279"/>
      <c r="BA1240" s="279"/>
      <c r="BB1240" s="279"/>
      <c r="BC1240" s="279"/>
      <c r="BD1240" s="279"/>
      <c r="BE1240" s="279"/>
      <c r="BF1240" s="279"/>
      <c r="BG1240" s="279"/>
      <c r="BH1240" s="279"/>
      <c r="BI1240" s="279"/>
      <c r="BJ1240" s="279"/>
      <c r="BK1240" s="279"/>
      <c r="BL1240" s="279"/>
      <c r="BM1240" s="279"/>
      <c r="BN1240" s="279"/>
      <c r="BO1240" s="279"/>
      <c r="BP1240" s="279"/>
      <c r="BQ1240" s="279"/>
      <c r="BR1240" s="279"/>
      <c r="BS1240" s="279"/>
      <c r="BT1240" s="279"/>
      <c r="BU1240" s="279"/>
      <c r="BV1240" s="279"/>
      <c r="BW1240" s="279"/>
      <c r="BX1240" s="279"/>
      <c r="BY1240" s="279"/>
      <c r="BZ1240" s="279"/>
      <c r="CA1240" s="279"/>
      <c r="CB1240" s="279"/>
      <c r="CC1240" s="279"/>
      <c r="CD1240" s="279"/>
      <c r="CE1240" s="279"/>
      <c r="CF1240" s="279"/>
      <c r="CG1240" s="279"/>
      <c r="CH1240" s="279"/>
      <c r="CI1240" s="279"/>
      <c r="CJ1240" s="279"/>
      <c r="CK1240" s="279"/>
      <c r="CL1240" s="279"/>
      <c r="CM1240" s="279"/>
      <c r="CN1240" s="382"/>
    </row>
    <row r="1241" x14ac:dyDescent="0.3">
      <c r="B1241" s="361"/>
      <c r="C1241" s="279"/>
      <c r="D1241" s="280"/>
      <c r="E1241" s="287"/>
      <c r="F1241" s="287"/>
      <c r="G1241" s="287"/>
      <c r="H1241" s="280"/>
      <c r="I1241" s="304"/>
      <c r="J1241" s="305"/>
      <c r="K1241" s="287"/>
      <c r="L1241" s="287"/>
      <c r="M1241" s="296"/>
      <c r="N1241" s="280"/>
      <c r="O1241" s="280"/>
      <c r="P1241" s="279"/>
      <c r="Q1241" s="297"/>
      <c r="R1241" s="298"/>
      <c r="S1241" s="298"/>
      <c r="T1241" s="299"/>
      <c r="U1241" s="279"/>
      <c r="V1241" s="279"/>
      <c r="W1241" s="279"/>
      <c r="X1241" s="279"/>
      <c r="Y1241" s="279"/>
      <c r="Z1241" s="279"/>
      <c r="AA1241" s="279"/>
      <c r="AB1241" s="279"/>
      <c r="AC1241" s="279"/>
      <c r="AD1241" s="279"/>
      <c r="AE1241" s="279"/>
      <c r="AF1241" s="279"/>
      <c r="AG1241" s="279"/>
      <c r="AH1241" s="279"/>
      <c r="AI1241" s="279"/>
      <c r="AJ1241" s="279"/>
      <c r="AK1241" s="279"/>
      <c r="AL1241" s="279"/>
      <c r="AM1241" s="279"/>
      <c r="AN1241" s="279"/>
      <c r="AO1241" s="279"/>
      <c r="AP1241" s="279"/>
      <c r="AQ1241" s="279"/>
      <c r="AR1241" s="279"/>
      <c r="AS1241" s="279"/>
      <c r="AT1241" s="279"/>
      <c r="AU1241" s="279"/>
      <c r="AV1241" s="279"/>
      <c r="AW1241" s="279"/>
      <c r="AX1241" s="279"/>
      <c r="AY1241" s="279"/>
      <c r="AZ1241" s="279"/>
      <c r="BA1241" s="279"/>
      <c r="BB1241" s="279"/>
      <c r="BC1241" s="279"/>
      <c r="BD1241" s="279"/>
      <c r="BE1241" s="279"/>
      <c r="BF1241" s="279"/>
      <c r="BG1241" s="279"/>
      <c r="BH1241" s="279"/>
      <c r="BI1241" s="279"/>
      <c r="BJ1241" s="279"/>
      <c r="BK1241" s="279"/>
      <c r="BL1241" s="279"/>
      <c r="BM1241" s="279"/>
      <c r="BN1241" s="279"/>
      <c r="BO1241" s="279"/>
      <c r="BP1241" s="279"/>
      <c r="BQ1241" s="279"/>
      <c r="BR1241" s="279"/>
      <c r="BS1241" s="279"/>
      <c r="BT1241" s="279"/>
      <c r="BU1241" s="279"/>
      <c r="BV1241" s="279"/>
      <c r="BW1241" s="279"/>
      <c r="BX1241" s="279"/>
      <c r="BY1241" s="279"/>
      <c r="BZ1241" s="279"/>
      <c r="CA1241" s="279"/>
      <c r="CB1241" s="279"/>
      <c r="CC1241" s="279"/>
      <c r="CD1241" s="279"/>
      <c r="CE1241" s="279"/>
      <c r="CF1241" s="279"/>
      <c r="CG1241" s="279"/>
      <c r="CH1241" s="279"/>
      <c r="CI1241" s="279"/>
      <c r="CJ1241" s="279"/>
      <c r="CK1241" s="279"/>
      <c r="CL1241" s="279"/>
      <c r="CM1241" s="279"/>
      <c r="CN1241" s="382"/>
    </row>
    <row r="1242" x14ac:dyDescent="0.3">
      <c r="B1242" s="361"/>
      <c r="C1242" s="279"/>
      <c r="D1242" s="280"/>
      <c r="E1242" s="287"/>
      <c r="F1242" s="287"/>
      <c r="G1242" s="287"/>
      <c r="H1242" s="280"/>
      <c r="I1242" s="304"/>
      <c r="J1242" s="305"/>
      <c r="K1242" s="287"/>
      <c r="L1242" s="287"/>
      <c r="M1242" s="296"/>
      <c r="N1242" s="280"/>
      <c r="O1242" s="280"/>
      <c r="P1242" s="279"/>
      <c r="Q1242" s="297"/>
      <c r="R1242" s="298"/>
      <c r="S1242" s="298"/>
      <c r="T1242" s="299"/>
      <c r="U1242" s="279"/>
      <c r="V1242" s="279"/>
      <c r="W1242" s="279"/>
      <c r="X1242" s="279"/>
      <c r="Y1242" s="279"/>
      <c r="Z1242" s="279"/>
      <c r="AA1242" s="279"/>
      <c r="AB1242" s="279"/>
      <c r="AC1242" s="279"/>
      <c r="AD1242" s="279"/>
      <c r="AE1242" s="279"/>
      <c r="AF1242" s="279"/>
      <c r="AG1242" s="279"/>
      <c r="AH1242" s="279"/>
      <c r="AI1242" s="279"/>
      <c r="AJ1242" s="279"/>
      <c r="AK1242" s="279"/>
      <c r="AL1242" s="279"/>
      <c r="AM1242" s="279"/>
      <c r="AN1242" s="279"/>
      <c r="AO1242" s="279"/>
      <c r="AP1242" s="279"/>
      <c r="AQ1242" s="279"/>
      <c r="AR1242" s="279"/>
      <c r="AS1242" s="279"/>
      <c r="AT1242" s="279"/>
      <c r="AU1242" s="279"/>
      <c r="AV1242" s="279"/>
      <c r="AW1242" s="279"/>
      <c r="AX1242" s="279"/>
      <c r="AY1242" s="279"/>
      <c r="AZ1242" s="279"/>
      <c r="BA1242" s="279"/>
      <c r="BB1242" s="279"/>
      <c r="BC1242" s="279"/>
      <c r="BD1242" s="279"/>
      <c r="BE1242" s="279"/>
      <c r="BF1242" s="279"/>
      <c r="BG1242" s="279"/>
      <c r="BH1242" s="279"/>
      <c r="BI1242" s="279"/>
      <c r="BJ1242" s="279"/>
      <c r="BK1242" s="279"/>
      <c r="BL1242" s="279"/>
      <c r="BM1242" s="279"/>
      <c r="BN1242" s="279"/>
      <c r="BO1242" s="279"/>
      <c r="BP1242" s="279"/>
      <c r="BQ1242" s="279"/>
      <c r="BR1242" s="279"/>
      <c r="BS1242" s="279"/>
      <c r="BT1242" s="279"/>
      <c r="BU1242" s="279"/>
      <c r="BV1242" s="279"/>
      <c r="BW1242" s="279"/>
      <c r="BX1242" s="279"/>
      <c r="BY1242" s="279"/>
      <c r="BZ1242" s="279"/>
      <c r="CA1242" s="279"/>
      <c r="CB1242" s="279"/>
      <c r="CC1242" s="279"/>
      <c r="CD1242" s="279"/>
      <c r="CE1242" s="279"/>
      <c r="CF1242" s="279"/>
      <c r="CG1242" s="279"/>
      <c r="CH1242" s="279"/>
      <c r="CI1242" s="279"/>
      <c r="CJ1242" s="279"/>
      <c r="CK1242" s="279"/>
      <c r="CL1242" s="279"/>
      <c r="CM1242" s="279"/>
      <c r="CN1242" s="382"/>
    </row>
    <row r="1243" x14ac:dyDescent="0.3">
      <c r="B1243" s="361"/>
      <c r="C1243" s="279"/>
      <c r="D1243" s="280"/>
      <c r="E1243" s="287"/>
      <c r="F1243" s="287"/>
      <c r="G1243" s="287"/>
      <c r="H1243" s="280"/>
      <c r="I1243" s="279"/>
      <c r="J1243" s="279"/>
      <c r="K1243" s="279"/>
      <c r="L1243" s="280"/>
      <c r="M1243" s="296"/>
      <c r="N1243" s="280"/>
      <c r="O1243" s="280"/>
      <c r="P1243" s="279"/>
      <c r="Q1243" s="297"/>
      <c r="R1243" s="298"/>
      <c r="S1243" s="298"/>
      <c r="T1243" s="299"/>
      <c r="U1243" s="279"/>
      <c r="V1243" s="279"/>
      <c r="W1243" s="279"/>
      <c r="X1243" s="279"/>
      <c r="Y1243" s="279"/>
      <c r="Z1243" s="279"/>
      <c r="AA1243" s="279"/>
      <c r="AB1243" s="279"/>
      <c r="AC1243" s="279"/>
      <c r="AD1243" s="279"/>
      <c r="AE1243" s="279"/>
      <c r="AF1243" s="279"/>
      <c r="AG1243" s="279"/>
      <c r="AH1243" s="279"/>
      <c r="AI1243" s="279"/>
      <c r="AJ1243" s="279"/>
      <c r="AK1243" s="279"/>
      <c r="AL1243" s="279"/>
      <c r="AM1243" s="279"/>
      <c r="AN1243" s="279"/>
      <c r="AO1243" s="279"/>
      <c r="AP1243" s="279"/>
      <c r="AQ1243" s="279"/>
      <c r="AR1243" s="279"/>
      <c r="AS1243" s="279"/>
      <c r="AT1243" s="279"/>
      <c r="AU1243" s="279"/>
      <c r="AV1243" s="279"/>
      <c r="AW1243" s="279"/>
      <c r="AX1243" s="279"/>
      <c r="AY1243" s="279"/>
      <c r="AZ1243" s="279"/>
      <c r="BA1243" s="279"/>
      <c r="BB1243" s="279"/>
      <c r="BC1243" s="279"/>
      <c r="BD1243" s="279"/>
      <c r="BE1243" s="279"/>
      <c r="BF1243" s="279"/>
      <c r="BG1243" s="279"/>
      <c r="BH1243" s="279"/>
      <c r="BI1243" s="279"/>
      <c r="BJ1243" s="279"/>
      <c r="BK1243" s="279"/>
      <c r="BL1243" s="279"/>
      <c r="BM1243" s="279"/>
      <c r="BN1243" s="279"/>
      <c r="BO1243" s="279"/>
      <c r="BP1243" s="279"/>
      <c r="BQ1243" s="279"/>
      <c r="BR1243" s="279"/>
      <c r="BS1243" s="279"/>
      <c r="BT1243" s="279"/>
      <c r="BU1243" s="279"/>
      <c r="BV1243" s="279"/>
      <c r="BW1243" s="279"/>
      <c r="BX1243" s="279"/>
      <c r="BY1243" s="279"/>
      <c r="BZ1243" s="279"/>
      <c r="CA1243" s="279"/>
      <c r="CB1243" s="279"/>
      <c r="CC1243" s="279"/>
      <c r="CD1243" s="279"/>
      <c r="CE1243" s="279"/>
      <c r="CF1243" s="279"/>
      <c r="CG1243" s="279"/>
      <c r="CH1243" s="279"/>
      <c r="CI1243" s="279"/>
      <c r="CJ1243" s="279"/>
      <c r="CK1243" s="279"/>
      <c r="CL1243" s="279"/>
      <c r="CM1243" s="279"/>
      <c r="CN1243" s="382"/>
    </row>
    <row r="1244" x14ac:dyDescent="0.3">
      <c r="B1244" s="361"/>
      <c r="C1244" s="279"/>
      <c r="D1244" s="280"/>
      <c r="E1244" s="287"/>
      <c r="F1244" s="287"/>
      <c r="G1244" s="287"/>
      <c r="H1244" s="280"/>
      <c r="I1244" s="279"/>
      <c r="J1244" s="279"/>
      <c r="K1244" s="279"/>
      <c r="L1244" s="280"/>
      <c r="M1244" s="296"/>
      <c r="N1244" s="280"/>
      <c r="O1244" s="280"/>
      <c r="P1244" s="279"/>
      <c r="Q1244" s="297"/>
      <c r="R1244" s="298"/>
      <c r="S1244" s="298"/>
      <c r="T1244" s="299"/>
      <c r="U1244" s="279"/>
      <c r="V1244" s="279"/>
      <c r="W1244" s="279"/>
      <c r="X1244" s="279"/>
      <c r="Y1244" s="279"/>
      <c r="Z1244" s="279"/>
      <c r="AA1244" s="279"/>
      <c r="AB1244" s="279"/>
      <c r="AC1244" s="279"/>
      <c r="AD1244" s="279"/>
      <c r="AE1244" s="279"/>
      <c r="AF1244" s="279"/>
      <c r="AG1244" s="279"/>
      <c r="AH1244" s="279"/>
      <c r="AI1244" s="279"/>
      <c r="AJ1244" s="279"/>
      <c r="AK1244" s="279"/>
      <c r="AL1244" s="279"/>
      <c r="AM1244" s="279"/>
      <c r="AN1244" s="279"/>
      <c r="AO1244" s="279"/>
      <c r="AP1244" s="279"/>
      <c r="AQ1244" s="279"/>
      <c r="AR1244" s="279"/>
      <c r="AS1244" s="279"/>
      <c r="AT1244" s="279"/>
      <c r="AU1244" s="279"/>
      <c r="AV1244" s="279"/>
      <c r="AW1244" s="279"/>
      <c r="AX1244" s="279"/>
      <c r="AY1244" s="279"/>
      <c r="AZ1244" s="279"/>
      <c r="BA1244" s="279"/>
      <c r="BB1244" s="279"/>
      <c r="BC1244" s="279"/>
      <c r="BD1244" s="279"/>
      <c r="BE1244" s="279"/>
      <c r="BF1244" s="279"/>
      <c r="BG1244" s="279"/>
      <c r="BH1244" s="279"/>
      <c r="BI1244" s="279"/>
      <c r="BJ1244" s="279"/>
      <c r="BK1244" s="279"/>
      <c r="BL1244" s="279"/>
      <c r="BM1244" s="279"/>
      <c r="BN1244" s="279"/>
      <c r="BO1244" s="279"/>
      <c r="BP1244" s="279"/>
      <c r="BQ1244" s="279"/>
      <c r="BR1244" s="279"/>
      <c r="BS1244" s="279"/>
      <c r="BT1244" s="279"/>
      <c r="BU1244" s="279"/>
      <c r="BV1244" s="279"/>
      <c r="BW1244" s="279"/>
      <c r="BX1244" s="279"/>
      <c r="BY1244" s="279"/>
      <c r="BZ1244" s="279"/>
      <c r="CA1244" s="279"/>
      <c r="CB1244" s="279"/>
      <c r="CC1244" s="279"/>
      <c r="CD1244" s="279"/>
      <c r="CE1244" s="279"/>
      <c r="CF1244" s="279"/>
      <c r="CG1244" s="279"/>
      <c r="CH1244" s="279"/>
      <c r="CI1244" s="279"/>
      <c r="CJ1244" s="279"/>
      <c r="CK1244" s="279"/>
      <c r="CL1244" s="279"/>
      <c r="CM1244" s="279"/>
      <c r="CN1244" s="382"/>
    </row>
    <row r="1245" ht="16.2" thickBot="true" x14ac:dyDescent="0.35">
      <c r="B1245" s="361"/>
      <c r="C1245" s="279"/>
      <c r="D1245" s="280"/>
      <c r="E1245" s="287"/>
      <c r="F1245" s="287"/>
      <c r="G1245" s="287"/>
      <c r="H1245" s="280"/>
      <c r="I1245" s="279"/>
      <c r="J1245" s="279"/>
      <c r="K1245" s="279"/>
      <c r="L1245" s="280"/>
      <c r="M1245" s="296"/>
      <c r="N1245" s="280"/>
      <c r="O1245" s="280"/>
      <c r="P1245" s="279"/>
      <c r="Q1245" s="297"/>
      <c r="R1245" s="298"/>
      <c r="S1245" s="298"/>
      <c r="T1245" s="299"/>
      <c r="U1245" s="279"/>
      <c r="V1245" s="279"/>
      <c r="W1245" s="279"/>
      <c r="X1245" s="279"/>
      <c r="Y1245" s="279"/>
      <c r="Z1245" s="279"/>
      <c r="AA1245" s="279"/>
      <c r="AB1245" s="279"/>
      <c r="AC1245" s="279"/>
      <c r="AD1245" s="279"/>
      <c r="AE1245" s="279"/>
      <c r="AF1245" s="279"/>
      <c r="AG1245" s="279"/>
      <c r="AH1245" s="279"/>
      <c r="AI1245" s="279"/>
      <c r="AJ1245" s="279"/>
      <c r="AK1245" s="279"/>
      <c r="AL1245" s="279"/>
      <c r="AM1245" s="279"/>
      <c r="AN1245" s="279"/>
      <c r="AO1245" s="279"/>
      <c r="AP1245" s="279"/>
      <c r="AQ1245" s="279"/>
      <c r="AR1245" s="279"/>
      <c r="AS1245" s="279"/>
      <c r="AT1245" s="279"/>
      <c r="AU1245" s="279"/>
      <c r="AV1245" s="279"/>
      <c r="AW1245" s="279"/>
      <c r="AX1245" s="279"/>
      <c r="AY1245" s="279"/>
      <c r="AZ1245" s="279"/>
      <c r="BA1245" s="279"/>
      <c r="BB1245" s="279"/>
      <c r="BC1245" s="279"/>
      <c r="BD1245" s="279"/>
      <c r="BE1245" s="279"/>
      <c r="BF1245" s="279"/>
      <c r="BG1245" s="279"/>
      <c r="BH1245" s="279"/>
      <c r="BI1245" s="279"/>
      <c r="BJ1245" s="279"/>
      <c r="BK1245" s="279"/>
      <c r="BL1245" s="279"/>
      <c r="BM1245" s="279"/>
      <c r="BN1245" s="279"/>
      <c r="BO1245" s="279"/>
      <c r="BP1245" s="279"/>
      <c r="BQ1245" s="279"/>
      <c r="BR1245" s="279"/>
      <c r="BS1245" s="279"/>
      <c r="BT1245" s="279"/>
      <c r="BU1245" s="279"/>
      <c r="BV1245" s="279"/>
      <c r="BW1245" s="279"/>
      <c r="BX1245" s="279"/>
      <c r="BY1245" s="279"/>
      <c r="BZ1245" s="279"/>
      <c r="CA1245" s="279"/>
      <c r="CB1245" s="279"/>
      <c r="CC1245" s="279"/>
      <c r="CD1245" s="279"/>
      <c r="CE1245" s="279"/>
      <c r="CF1245" s="279"/>
      <c r="CG1245" s="279"/>
      <c r="CH1245" s="279"/>
      <c r="CI1245" s="279"/>
      <c r="CJ1245" s="279"/>
      <c r="CK1245" s="279"/>
      <c r="CL1245" s="279"/>
      <c r="CM1245" s="279"/>
      <c r="CN1245" s="382"/>
    </row>
    <row r="1246" ht="27" customHeight="true" thickBot="true" x14ac:dyDescent="0.35">
      <c r="B1246" s="361"/>
      <c r="C1246" s="279"/>
      <c r="D1246" s="280"/>
      <c r="E1246" s="287"/>
      <c r="F1246" s="287"/>
      <c r="G1246" s="287"/>
      <c r="H1246" s="1950" t="s">
        <v>665</v>
      </c>
      <c r="I1246" s="1951"/>
      <c r="J1246" s="1951"/>
      <c r="K1246" s="1951"/>
      <c r="L1246" s="1952"/>
      <c r="M1246" s="296"/>
      <c r="N1246" s="280"/>
      <c r="O1246" s="280"/>
      <c r="P1246" s="279"/>
      <c r="Q1246" s="297"/>
      <c r="R1246" s="298"/>
      <c r="S1246" s="298"/>
      <c r="T1246" s="299"/>
      <c r="U1246" s="279"/>
      <c r="V1246" s="279"/>
      <c r="W1246" s="279"/>
      <c r="X1246" s="279"/>
      <c r="Y1246" s="279"/>
      <c r="Z1246" s="279"/>
      <c r="AA1246" s="279"/>
      <c r="AB1246" s="279"/>
      <c r="AC1246" s="279"/>
      <c r="AD1246" s="279"/>
      <c r="AE1246" s="279"/>
      <c r="AF1246" s="279"/>
      <c r="AG1246" s="279"/>
      <c r="AH1246" s="279"/>
      <c r="AI1246" s="279"/>
      <c r="AJ1246" s="279"/>
      <c r="AK1246" s="279"/>
      <c r="AL1246" s="279"/>
      <c r="AM1246" s="279"/>
      <c r="AN1246" s="279"/>
      <c r="AO1246" s="279"/>
      <c r="AP1246" s="279"/>
      <c r="AQ1246" s="279"/>
      <c r="AR1246" s="279"/>
      <c r="AS1246" s="279"/>
      <c r="AT1246" s="279"/>
      <c r="AU1246" s="279"/>
      <c r="AV1246" s="279"/>
      <c r="AW1246" s="279"/>
      <c r="AX1246" s="279"/>
      <c r="AY1246" s="279"/>
      <c r="AZ1246" s="279"/>
      <c r="BA1246" s="279"/>
      <c r="BB1246" s="279"/>
      <c r="BC1246" s="279"/>
      <c r="BD1246" s="279"/>
      <c r="BE1246" s="279"/>
      <c r="BF1246" s="279"/>
      <c r="BG1246" s="279"/>
      <c r="BH1246" s="279"/>
      <c r="BI1246" s="279"/>
      <c r="BJ1246" s="279"/>
      <c r="BK1246" s="279"/>
      <c r="BL1246" s="279"/>
      <c r="BM1246" s="279"/>
      <c r="BN1246" s="279"/>
      <c r="BO1246" s="279"/>
      <c r="BP1246" s="279"/>
      <c r="BQ1246" s="279"/>
      <c r="BR1246" s="279"/>
      <c r="BS1246" s="279"/>
      <c r="BT1246" s="279"/>
      <c r="BU1246" s="279"/>
      <c r="BV1246" s="279"/>
      <c r="BW1246" s="279"/>
      <c r="BX1246" s="279"/>
      <c r="BY1246" s="279"/>
      <c r="BZ1246" s="279"/>
      <c r="CA1246" s="279"/>
      <c r="CB1246" s="279"/>
      <c r="CC1246" s="279"/>
      <c r="CD1246" s="279"/>
      <c r="CE1246" s="279"/>
      <c r="CF1246" s="279"/>
      <c r="CG1246" s="279"/>
      <c r="CH1246" s="279"/>
      <c r="CI1246" s="279"/>
      <c r="CJ1246" s="279"/>
      <c r="CK1246" s="279"/>
      <c r="CL1246" s="279"/>
      <c r="CM1246" s="279"/>
      <c r="CN1246" s="382"/>
    </row>
    <row r="1247" ht="35.25" customHeight="true" x14ac:dyDescent="0.3">
      <c r="B1247" s="361"/>
      <c r="C1247" s="279"/>
      <c r="D1247" s="280"/>
      <c r="E1247" s="287"/>
      <c r="F1247" s="287"/>
      <c r="G1247" s="287"/>
      <c r="H1247" s="282" t="s">
        <v>1469</v>
      </c>
      <c r="I1247" s="1166" t="s">
        <v>289</v>
      </c>
      <c r="J1247" s="1166" t="s">
        <v>664</v>
      </c>
      <c r="K1247" s="1184" t="s">
        <v>666</v>
      </c>
      <c r="L1247" s="309" t="s">
        <v>667</v>
      </c>
      <c r="M1247" s="296"/>
      <c r="N1247" s="280"/>
      <c r="O1247" s="280"/>
      <c r="P1247" s="279"/>
      <c r="Q1247" s="297"/>
      <c r="R1247" s="298"/>
      <c r="S1247" s="298"/>
      <c r="T1247" s="299"/>
      <c r="U1247" s="279"/>
      <c r="V1247" s="279"/>
      <c r="W1247" s="279"/>
      <c r="X1247" s="279"/>
      <c r="Y1247" s="279"/>
      <c r="Z1247" s="279"/>
      <c r="AA1247" s="279"/>
      <c r="AB1247" s="279"/>
      <c r="AC1247" s="279"/>
      <c r="AD1247" s="279"/>
      <c r="AE1247" s="279"/>
      <c r="AF1247" s="279"/>
      <c r="AG1247" s="279"/>
      <c r="AH1247" s="279"/>
      <c r="AI1247" s="279"/>
      <c r="AJ1247" s="279"/>
      <c r="AK1247" s="279"/>
      <c r="AL1247" s="279"/>
      <c r="AM1247" s="279"/>
      <c r="AN1247" s="279"/>
      <c r="AO1247" s="279"/>
      <c r="AP1247" s="279"/>
      <c r="AQ1247" s="279"/>
      <c r="AR1247" s="279"/>
      <c r="AS1247" s="279"/>
      <c r="AT1247" s="279"/>
      <c r="AU1247" s="279"/>
      <c r="AV1247" s="279"/>
      <c r="AW1247" s="279"/>
      <c r="AX1247" s="279"/>
      <c r="AY1247" s="279"/>
      <c r="AZ1247" s="279"/>
      <c r="BA1247" s="279"/>
      <c r="BB1247" s="279"/>
      <c r="BC1247" s="279"/>
      <c r="BD1247" s="279"/>
      <c r="BE1247" s="279"/>
      <c r="BF1247" s="279"/>
      <c r="BG1247" s="279"/>
      <c r="BH1247" s="279"/>
      <c r="BI1247" s="279"/>
      <c r="BJ1247" s="279"/>
      <c r="BK1247" s="279"/>
      <c r="BL1247" s="279"/>
      <c r="BM1247" s="279"/>
      <c r="BN1247" s="279"/>
      <c r="BO1247" s="279"/>
      <c r="BP1247" s="279"/>
      <c r="BQ1247" s="279"/>
      <c r="BR1247" s="279"/>
      <c r="BS1247" s="279"/>
      <c r="BT1247" s="279"/>
      <c r="BU1247" s="279"/>
      <c r="BV1247" s="279"/>
      <c r="BW1247" s="279"/>
      <c r="BX1247" s="279"/>
      <c r="BY1247" s="279"/>
      <c r="BZ1247" s="279"/>
      <c r="CA1247" s="279"/>
      <c r="CB1247" s="279"/>
      <c r="CC1247" s="279"/>
      <c r="CD1247" s="279"/>
      <c r="CE1247" s="279"/>
      <c r="CF1247" s="279"/>
      <c r="CG1247" s="279"/>
      <c r="CH1247" s="279"/>
      <c r="CI1247" s="279"/>
      <c r="CJ1247" s="279"/>
      <c r="CK1247" s="279"/>
      <c r="CL1247" s="279"/>
      <c r="CM1247" s="279"/>
      <c r="CN1247" s="382"/>
    </row>
    <row r="1248" x14ac:dyDescent="0.3">
      <c r="B1248" s="361"/>
      <c r="C1248" s="279"/>
      <c r="D1248" s="280"/>
      <c r="E1248" s="287"/>
      <c r="F1248" s="287"/>
      <c r="G1248" s="287"/>
      <c r="H1248" s="1292">
        <f t="shared" ref="H1248:H1297" si="64">H142</f>
        <v>1</v>
      </c>
      <c r="I1248" s="1190">
        <f>'I. Stream &amp; Compound Data'!P262</f>
        <v>2980.7504537999998</v>
      </c>
      <c r="J1248" s="1295">
        <f>IF(I142="","",IF('I. Stream &amp; Compound Data'!CC262="",0,'I. Stream &amp; Compound Data'!CC262))</f>
        <v>0</v>
      </c>
      <c r="K1248" s="1295">
        <f t="shared" ref="K1248:K1266" si="65">IF(I142="","",I1248*J1248)</f>
        <v>0</v>
      </c>
      <c r="L1248" s="1317">
        <f>IF(K1248="","",IF('I. Stream &amp; Compound Data'!E32="H2O",0,(IF(J1248=0,1,J1248))*I1248))</f>
        <v>2980.7504537999998</v>
      </c>
      <c r="M1248" s="296"/>
      <c r="N1248" s="280"/>
      <c r="O1248" s="280"/>
      <c r="P1248" s="279"/>
      <c r="Q1248" s="297"/>
      <c r="R1248" s="298"/>
      <c r="S1248" s="298"/>
      <c r="T1248" s="299"/>
      <c r="U1248" s="279"/>
      <c r="V1248" s="279"/>
      <c r="W1248" s="279"/>
      <c r="X1248" s="279"/>
      <c r="Y1248" s="279"/>
      <c r="Z1248" s="279"/>
      <c r="AA1248" s="279"/>
      <c r="AB1248" s="279"/>
      <c r="AC1248" s="279"/>
      <c r="AD1248" s="279"/>
      <c r="AE1248" s="279"/>
      <c r="AF1248" s="279"/>
      <c r="AG1248" s="279"/>
      <c r="AH1248" s="279"/>
      <c r="AI1248" s="279"/>
      <c r="AJ1248" s="279"/>
      <c r="AK1248" s="279"/>
      <c r="AL1248" s="279"/>
      <c r="AM1248" s="279"/>
      <c r="AN1248" s="279"/>
      <c r="AO1248" s="279"/>
      <c r="AP1248" s="279"/>
      <c r="AQ1248" s="279"/>
      <c r="AR1248" s="279"/>
      <c r="AS1248" s="279"/>
      <c r="AT1248" s="279"/>
      <c r="AU1248" s="279"/>
      <c r="AV1248" s="279"/>
      <c r="AW1248" s="279"/>
      <c r="AX1248" s="279"/>
      <c r="AY1248" s="279"/>
      <c r="AZ1248" s="279"/>
      <c r="BA1248" s="279"/>
      <c r="BB1248" s="279"/>
      <c r="BC1248" s="279"/>
      <c r="BD1248" s="279"/>
      <c r="BE1248" s="279"/>
      <c r="BF1248" s="279"/>
      <c r="BG1248" s="279"/>
      <c r="BH1248" s="279"/>
      <c r="BI1248" s="279"/>
      <c r="BJ1248" s="279"/>
      <c r="BK1248" s="279"/>
      <c r="BL1248" s="279"/>
      <c r="BM1248" s="279"/>
      <c r="BN1248" s="279"/>
      <c r="BO1248" s="279"/>
      <c r="BP1248" s="279"/>
      <c r="BQ1248" s="279"/>
      <c r="BR1248" s="279"/>
      <c r="BS1248" s="279"/>
      <c r="BT1248" s="279"/>
      <c r="BU1248" s="279"/>
      <c r="BV1248" s="279"/>
      <c r="BW1248" s="279"/>
      <c r="BX1248" s="279"/>
      <c r="BY1248" s="279"/>
      <c r="BZ1248" s="279"/>
      <c r="CA1248" s="279"/>
      <c r="CB1248" s="279"/>
      <c r="CC1248" s="279"/>
      <c r="CD1248" s="279"/>
      <c r="CE1248" s="279"/>
      <c r="CF1248" s="279"/>
      <c r="CG1248" s="279"/>
      <c r="CH1248" s="279"/>
      <c r="CI1248" s="279"/>
      <c r="CJ1248" s="279"/>
      <c r="CK1248" s="279"/>
      <c r="CL1248" s="279"/>
      <c r="CM1248" s="279"/>
      <c r="CN1248" s="382"/>
    </row>
    <row r="1249" x14ac:dyDescent="0.3">
      <c r="B1249" s="361"/>
      <c r="C1249" s="279"/>
      <c r="D1249" s="280"/>
      <c r="E1249" s="287"/>
      <c r="F1249" s="287"/>
      <c r="G1249" s="287"/>
      <c r="H1249" s="1292">
        <f t="shared" si="64"/>
        <v>2</v>
      </c>
      <c r="I1249" s="1190">
        <f>'I. Stream &amp; Compound Data'!P263</f>
        <v>0</v>
      </c>
      <c r="J1249" s="1295">
        <f>IF(I143="","",IF('I. Stream &amp; Compound Data'!CC263="",0,'I. Stream &amp; Compound Data'!CC263))</f>
        <v>0</v>
      </c>
      <c r="K1249" s="1295">
        <f t="shared" si="65"/>
        <v>0</v>
      </c>
      <c r="L1249" s="1317">
        <f>IF(K1249="","",IF('I. Stream &amp; Compound Data'!E33="H2O",0,(IF(J1249=0,1,J1249))*I1249))</f>
        <v>0</v>
      </c>
      <c r="M1249" s="296"/>
      <c r="N1249" s="280"/>
      <c r="O1249" s="280"/>
      <c r="P1249" s="279"/>
      <c r="Q1249" s="297"/>
      <c r="R1249" s="298"/>
      <c r="S1249" s="298"/>
      <c r="T1249" s="299"/>
      <c r="U1249" s="279"/>
      <c r="V1249" s="279"/>
      <c r="W1249" s="279"/>
      <c r="X1249" s="279"/>
      <c r="Y1249" s="279"/>
      <c r="Z1249" s="279"/>
      <c r="AA1249" s="279"/>
      <c r="AB1249" s="279"/>
      <c r="AC1249" s="279"/>
      <c r="AD1249" s="279"/>
      <c r="AE1249" s="279"/>
      <c r="AF1249" s="279"/>
      <c r="AG1249" s="279"/>
      <c r="AH1249" s="279"/>
      <c r="AI1249" s="279"/>
      <c r="AJ1249" s="279"/>
      <c r="AK1249" s="279"/>
      <c r="AL1249" s="279"/>
      <c r="AM1249" s="279"/>
      <c r="AN1249" s="279"/>
      <c r="AO1249" s="279"/>
      <c r="AP1249" s="279"/>
      <c r="AQ1249" s="279"/>
      <c r="AR1249" s="279"/>
      <c r="AS1249" s="279"/>
      <c r="AT1249" s="279"/>
      <c r="AU1249" s="279"/>
      <c r="AV1249" s="279"/>
      <c r="AW1249" s="279"/>
      <c r="AX1249" s="279"/>
      <c r="AY1249" s="279"/>
      <c r="AZ1249" s="279"/>
      <c r="BA1249" s="279"/>
      <c r="BB1249" s="279"/>
      <c r="BC1249" s="279"/>
      <c r="BD1249" s="279"/>
      <c r="BE1249" s="279"/>
      <c r="BF1249" s="279"/>
      <c r="BG1249" s="279"/>
      <c r="BH1249" s="279"/>
      <c r="BI1249" s="279"/>
      <c r="BJ1249" s="279"/>
      <c r="BK1249" s="279"/>
      <c r="BL1249" s="279"/>
      <c r="BM1249" s="279"/>
      <c r="BN1249" s="279"/>
      <c r="BO1249" s="279"/>
      <c r="BP1249" s="279"/>
      <c r="BQ1249" s="279"/>
      <c r="BR1249" s="279"/>
      <c r="BS1249" s="279"/>
      <c r="BT1249" s="279"/>
      <c r="BU1249" s="279"/>
      <c r="BV1249" s="279"/>
      <c r="BW1249" s="279"/>
      <c r="BX1249" s="279"/>
      <c r="BY1249" s="279"/>
      <c r="BZ1249" s="279"/>
      <c r="CA1249" s="279"/>
      <c r="CB1249" s="279"/>
      <c r="CC1249" s="279"/>
      <c r="CD1249" s="279"/>
      <c r="CE1249" s="279"/>
      <c r="CF1249" s="279"/>
      <c r="CG1249" s="279"/>
      <c r="CH1249" s="279"/>
      <c r="CI1249" s="279"/>
      <c r="CJ1249" s="279"/>
      <c r="CK1249" s="279"/>
      <c r="CL1249" s="279"/>
      <c r="CM1249" s="279"/>
      <c r="CN1249" s="382"/>
    </row>
    <row r="1250" x14ac:dyDescent="0.3">
      <c r="B1250" s="361"/>
      <c r="C1250" s="279"/>
      <c r="D1250" s="280"/>
      <c r="E1250" s="287"/>
      <c r="F1250" s="287"/>
      <c r="G1250" s="287"/>
      <c r="H1250" s="1292">
        <f t="shared" si="64"/>
        <v>3</v>
      </c>
      <c r="I1250" s="1190">
        <f>'I. Stream &amp; Compound Data'!P264</f>
        <v>0</v>
      </c>
      <c r="J1250" s="1295">
        <f>IF(I144="","",IF('I. Stream &amp; Compound Data'!CC264="",0,'I. Stream &amp; Compound Data'!CC264))</f>
        <v>0</v>
      </c>
      <c r="K1250" s="1295">
        <f t="shared" si="65"/>
        <v>0</v>
      </c>
      <c r="L1250" s="1317">
        <f>IF(K1250="","",IF('I. Stream &amp; Compound Data'!E34="H2O",0,(IF(J1250=0,1,J1250))*I1250))</f>
        <v>0</v>
      </c>
      <c r="M1250" s="296"/>
      <c r="N1250" s="280"/>
      <c r="O1250" s="280"/>
      <c r="P1250" s="279"/>
      <c r="Q1250" s="297"/>
      <c r="R1250" s="298"/>
      <c r="S1250" s="298"/>
      <c r="T1250" s="299"/>
      <c r="U1250" s="279"/>
      <c r="V1250" s="279"/>
      <c r="W1250" s="279"/>
      <c r="X1250" s="279"/>
      <c r="Y1250" s="279"/>
      <c r="Z1250" s="279"/>
      <c r="AA1250" s="279"/>
      <c r="AB1250" s="279"/>
      <c r="AC1250" s="279"/>
      <c r="AD1250" s="279"/>
      <c r="AE1250" s="279"/>
      <c r="AF1250" s="279"/>
      <c r="AG1250" s="279"/>
      <c r="AH1250" s="279"/>
      <c r="AI1250" s="279"/>
      <c r="AJ1250" s="279"/>
      <c r="AK1250" s="279"/>
      <c r="AL1250" s="279"/>
      <c r="AM1250" s="279"/>
      <c r="AN1250" s="279"/>
      <c r="AO1250" s="279"/>
      <c r="AP1250" s="279"/>
      <c r="AQ1250" s="279"/>
      <c r="AR1250" s="279"/>
      <c r="AS1250" s="279"/>
      <c r="AT1250" s="279"/>
      <c r="AU1250" s="279"/>
      <c r="AV1250" s="279"/>
      <c r="AW1250" s="279"/>
      <c r="AX1250" s="279"/>
      <c r="AY1250" s="279"/>
      <c r="AZ1250" s="279"/>
      <c r="BA1250" s="279"/>
      <c r="BB1250" s="279"/>
      <c r="BC1250" s="279"/>
      <c r="BD1250" s="279"/>
      <c r="BE1250" s="279"/>
      <c r="BF1250" s="279"/>
      <c r="BG1250" s="279"/>
      <c r="BH1250" s="279"/>
      <c r="BI1250" s="279"/>
      <c r="BJ1250" s="279"/>
      <c r="BK1250" s="279"/>
      <c r="BL1250" s="279"/>
      <c r="BM1250" s="279"/>
      <c r="BN1250" s="279"/>
      <c r="BO1250" s="279"/>
      <c r="BP1250" s="279"/>
      <c r="BQ1250" s="279"/>
      <c r="BR1250" s="279"/>
      <c r="BS1250" s="279"/>
      <c r="BT1250" s="279"/>
      <c r="BU1250" s="279"/>
      <c r="BV1250" s="279"/>
      <c r="BW1250" s="279"/>
      <c r="BX1250" s="279"/>
      <c r="BY1250" s="279"/>
      <c r="BZ1250" s="279"/>
      <c r="CA1250" s="279"/>
      <c r="CB1250" s="279"/>
      <c r="CC1250" s="279"/>
      <c r="CD1250" s="279"/>
      <c r="CE1250" s="279"/>
      <c r="CF1250" s="279"/>
      <c r="CG1250" s="279"/>
      <c r="CH1250" s="279"/>
      <c r="CI1250" s="279"/>
      <c r="CJ1250" s="279"/>
      <c r="CK1250" s="279"/>
      <c r="CL1250" s="279"/>
      <c r="CM1250" s="279"/>
      <c r="CN1250" s="382"/>
    </row>
    <row r="1251" x14ac:dyDescent="0.3">
      <c r="B1251" s="361"/>
      <c r="C1251" s="279"/>
      <c r="D1251" s="280"/>
      <c r="E1251" s="287"/>
      <c r="F1251" s="287"/>
      <c r="G1251" s="287"/>
      <c r="H1251" s="1292">
        <f t="shared" si="64"/>
        <v>4</v>
      </c>
      <c r="I1251" s="1190">
        <f>'I. Stream &amp; Compound Data'!P265</f>
        <v>0</v>
      </c>
      <c r="J1251" s="1295">
        <f>IF(I145="","",IF('I. Stream &amp; Compound Data'!CC265="",0,'I. Stream &amp; Compound Data'!CC265))</f>
        <v>0</v>
      </c>
      <c r="K1251" s="1295">
        <f t="shared" si="65"/>
        <v>0</v>
      </c>
      <c r="L1251" s="1317">
        <f>IF(K1251="","",IF('I. Stream &amp; Compound Data'!E35="H2O",0,(IF(J1251=0,1,J1251))*I1251))</f>
        <v>0</v>
      </c>
      <c r="M1251" s="296"/>
      <c r="N1251" s="280"/>
      <c r="O1251" s="280"/>
      <c r="P1251" s="279"/>
      <c r="Q1251" s="297"/>
      <c r="R1251" s="298"/>
      <c r="S1251" s="298"/>
      <c r="T1251" s="299"/>
      <c r="U1251" s="279"/>
      <c r="V1251" s="279"/>
      <c r="W1251" s="279"/>
      <c r="X1251" s="279"/>
      <c r="Y1251" s="279"/>
      <c r="Z1251" s="279"/>
      <c r="AA1251" s="279"/>
      <c r="AB1251" s="279"/>
      <c r="AC1251" s="279"/>
      <c r="AD1251" s="279"/>
      <c r="AE1251" s="279"/>
      <c r="AF1251" s="279"/>
      <c r="AG1251" s="279"/>
      <c r="AH1251" s="279"/>
      <c r="AI1251" s="279"/>
      <c r="AJ1251" s="279"/>
      <c r="AK1251" s="279"/>
      <c r="AL1251" s="279"/>
      <c r="AM1251" s="279"/>
      <c r="AN1251" s="279"/>
      <c r="AO1251" s="279"/>
      <c r="AP1251" s="279"/>
      <c r="AQ1251" s="279"/>
      <c r="AR1251" s="279"/>
      <c r="AS1251" s="279"/>
      <c r="AT1251" s="279"/>
      <c r="AU1251" s="279"/>
      <c r="AV1251" s="279"/>
      <c r="AW1251" s="279"/>
      <c r="AX1251" s="279"/>
      <c r="AY1251" s="279"/>
      <c r="AZ1251" s="279"/>
      <c r="BA1251" s="279"/>
      <c r="BB1251" s="279"/>
      <c r="BC1251" s="279"/>
      <c r="BD1251" s="279"/>
      <c r="BE1251" s="279"/>
      <c r="BF1251" s="279"/>
      <c r="BG1251" s="279"/>
      <c r="BH1251" s="279"/>
      <c r="BI1251" s="279"/>
      <c r="BJ1251" s="279"/>
      <c r="BK1251" s="279"/>
      <c r="BL1251" s="279"/>
      <c r="BM1251" s="279"/>
      <c r="BN1251" s="279"/>
      <c r="BO1251" s="279"/>
      <c r="BP1251" s="279"/>
      <c r="BQ1251" s="279"/>
      <c r="BR1251" s="279"/>
      <c r="BS1251" s="279"/>
      <c r="BT1251" s="279"/>
      <c r="BU1251" s="279"/>
      <c r="BV1251" s="279"/>
      <c r="BW1251" s="279"/>
      <c r="BX1251" s="279"/>
      <c r="BY1251" s="279"/>
      <c r="BZ1251" s="279"/>
      <c r="CA1251" s="279"/>
      <c r="CB1251" s="279"/>
      <c r="CC1251" s="279"/>
      <c r="CD1251" s="279"/>
      <c r="CE1251" s="279"/>
      <c r="CF1251" s="279"/>
      <c r="CG1251" s="279"/>
      <c r="CH1251" s="279"/>
      <c r="CI1251" s="279"/>
      <c r="CJ1251" s="279"/>
      <c r="CK1251" s="279"/>
      <c r="CL1251" s="279"/>
      <c r="CM1251" s="279"/>
      <c r="CN1251" s="382"/>
    </row>
    <row r="1252" x14ac:dyDescent="0.3">
      <c r="B1252" s="361"/>
      <c r="C1252" s="279"/>
      <c r="D1252" s="280"/>
      <c r="E1252" s="287"/>
      <c r="F1252" s="287"/>
      <c r="G1252" s="287"/>
      <c r="H1252" s="1292">
        <f t="shared" si="64"/>
        <v>5</v>
      </c>
      <c r="I1252" s="1190" t="str">
        <f>'I. Stream &amp; Compound Data'!P266</f>
        <v/>
      </c>
      <c r="J1252" s="1295" t="str">
        <f>IF(I146="","",IF('I. Stream &amp; Compound Data'!CC266="",0,'I. Stream &amp; Compound Data'!CC266))</f>
        <v/>
      </c>
      <c r="K1252" s="1295" t="str">
        <f t="shared" si="65"/>
        <v/>
      </c>
      <c r="L1252" s="1317" t="str">
        <f>IF(K1252="","",IF('I. Stream &amp; Compound Data'!E36="H2O",0,(IF(J1252=0,1,J1252))*I1252))</f>
        <v/>
      </c>
      <c r="M1252" s="296"/>
      <c r="N1252" s="280"/>
      <c r="O1252" s="280"/>
      <c r="P1252" s="279"/>
      <c r="Q1252" s="297"/>
      <c r="R1252" s="298"/>
      <c r="S1252" s="298"/>
      <c r="T1252" s="299"/>
      <c r="U1252" s="279"/>
      <c r="V1252" s="279"/>
      <c r="W1252" s="279"/>
      <c r="X1252" s="279"/>
      <c r="Y1252" s="279"/>
      <c r="Z1252" s="279"/>
      <c r="AA1252" s="279"/>
      <c r="AB1252" s="279"/>
      <c r="AC1252" s="279"/>
      <c r="AD1252" s="279"/>
      <c r="AE1252" s="279"/>
      <c r="AF1252" s="279"/>
      <c r="AG1252" s="279"/>
      <c r="AH1252" s="279"/>
      <c r="AI1252" s="279"/>
      <c r="AJ1252" s="279"/>
      <c r="AK1252" s="279"/>
      <c r="AL1252" s="279"/>
      <c r="AM1252" s="279"/>
      <c r="AN1252" s="279"/>
      <c r="AO1252" s="279"/>
      <c r="AP1252" s="279"/>
      <c r="AQ1252" s="279"/>
      <c r="AR1252" s="279"/>
      <c r="AS1252" s="279"/>
      <c r="AT1252" s="279"/>
      <c r="AU1252" s="279"/>
      <c r="AV1252" s="279"/>
      <c r="AW1252" s="279"/>
      <c r="AX1252" s="279"/>
      <c r="AY1252" s="279"/>
      <c r="AZ1252" s="279"/>
      <c r="BA1252" s="279"/>
      <c r="BB1252" s="279"/>
      <c r="BC1252" s="279"/>
      <c r="BD1252" s="279"/>
      <c r="BE1252" s="279"/>
      <c r="BF1252" s="279"/>
      <c r="BG1252" s="279"/>
      <c r="BH1252" s="279"/>
      <c r="BI1252" s="279"/>
      <c r="BJ1252" s="279"/>
      <c r="BK1252" s="279"/>
      <c r="BL1252" s="279"/>
      <c r="BM1252" s="279"/>
      <c r="BN1252" s="279"/>
      <c r="BO1252" s="279"/>
      <c r="BP1252" s="279"/>
      <c r="BQ1252" s="279"/>
      <c r="BR1252" s="279"/>
      <c r="BS1252" s="279"/>
      <c r="BT1252" s="279"/>
      <c r="BU1252" s="279"/>
      <c r="BV1252" s="279"/>
      <c r="BW1252" s="279"/>
      <c r="BX1252" s="279"/>
      <c r="BY1252" s="279"/>
      <c r="BZ1252" s="279"/>
      <c r="CA1252" s="279"/>
      <c r="CB1252" s="279"/>
      <c r="CC1252" s="279"/>
      <c r="CD1252" s="279"/>
      <c r="CE1252" s="279"/>
      <c r="CF1252" s="279"/>
      <c r="CG1252" s="279"/>
      <c r="CH1252" s="279"/>
      <c r="CI1252" s="279"/>
      <c r="CJ1252" s="279"/>
      <c r="CK1252" s="279"/>
      <c r="CL1252" s="279"/>
      <c r="CM1252" s="279"/>
      <c r="CN1252" s="382"/>
    </row>
    <row r="1253" x14ac:dyDescent="0.3">
      <c r="B1253" s="361"/>
      <c r="C1253" s="279"/>
      <c r="D1253" s="280"/>
      <c r="E1253" s="287"/>
      <c r="F1253" s="287"/>
      <c r="G1253" s="287"/>
      <c r="H1253" s="1292">
        <f t="shared" si="64"/>
        <v>6</v>
      </c>
      <c r="I1253" s="1190" t="str">
        <f>'I. Stream &amp; Compound Data'!P267</f>
        <v/>
      </c>
      <c r="J1253" s="1295" t="str">
        <f>IF(I147="","",IF('I. Stream &amp; Compound Data'!CC267="",0,'I. Stream &amp; Compound Data'!CC267))</f>
        <v/>
      </c>
      <c r="K1253" s="1295" t="str">
        <f t="shared" si="65"/>
        <v/>
      </c>
      <c r="L1253" s="1317" t="str">
        <f>IF(K1253="","",IF('I. Stream &amp; Compound Data'!E37="H2O",0,(IF(J1253=0,1,J1253))*I1253))</f>
        <v/>
      </c>
      <c r="M1253" s="296"/>
      <c r="N1253" s="280"/>
      <c r="O1253" s="280"/>
      <c r="P1253" s="279"/>
      <c r="Q1253" s="297"/>
      <c r="R1253" s="298"/>
      <c r="S1253" s="298"/>
      <c r="T1253" s="299"/>
      <c r="U1253" s="279"/>
      <c r="V1253" s="279"/>
      <c r="W1253" s="279"/>
      <c r="X1253" s="279"/>
      <c r="Y1253" s="279"/>
      <c r="Z1253" s="279"/>
      <c r="AA1253" s="279"/>
      <c r="AB1253" s="279"/>
      <c r="AC1253" s="279"/>
      <c r="AD1253" s="279"/>
      <c r="AE1253" s="279"/>
      <c r="AF1253" s="279"/>
      <c r="AG1253" s="279"/>
      <c r="AH1253" s="279"/>
      <c r="AI1253" s="279"/>
      <c r="AJ1253" s="279"/>
      <c r="AK1253" s="279"/>
      <c r="AL1253" s="279"/>
      <c r="AM1253" s="279"/>
      <c r="AN1253" s="279"/>
      <c r="AO1253" s="279"/>
      <c r="AP1253" s="279"/>
      <c r="AQ1253" s="279"/>
      <c r="AR1253" s="279"/>
      <c r="AS1253" s="279"/>
      <c r="AT1253" s="279"/>
      <c r="AU1253" s="279"/>
      <c r="AV1253" s="279"/>
      <c r="AW1253" s="279"/>
      <c r="AX1253" s="279"/>
      <c r="AY1253" s="279"/>
      <c r="AZ1253" s="279"/>
      <c r="BA1253" s="279"/>
      <c r="BB1253" s="279"/>
      <c r="BC1253" s="279"/>
      <c r="BD1253" s="279"/>
      <c r="BE1253" s="279"/>
      <c r="BF1253" s="279"/>
      <c r="BG1253" s="279"/>
      <c r="BH1253" s="279"/>
      <c r="BI1253" s="279"/>
      <c r="BJ1253" s="279"/>
      <c r="BK1253" s="279"/>
      <c r="BL1253" s="279"/>
      <c r="BM1253" s="279"/>
      <c r="BN1253" s="279"/>
      <c r="BO1253" s="279"/>
      <c r="BP1253" s="279"/>
      <c r="BQ1253" s="279"/>
      <c r="BR1253" s="279"/>
      <c r="BS1253" s="279"/>
      <c r="BT1253" s="279"/>
      <c r="BU1253" s="279"/>
      <c r="BV1253" s="279"/>
      <c r="BW1253" s="279"/>
      <c r="BX1253" s="279"/>
      <c r="BY1253" s="279"/>
      <c r="BZ1253" s="279"/>
      <c r="CA1253" s="279"/>
      <c r="CB1253" s="279"/>
      <c r="CC1253" s="279"/>
      <c r="CD1253" s="279"/>
      <c r="CE1253" s="279"/>
      <c r="CF1253" s="279"/>
      <c r="CG1253" s="279"/>
      <c r="CH1253" s="279"/>
      <c r="CI1253" s="279"/>
      <c r="CJ1253" s="279"/>
      <c r="CK1253" s="279"/>
      <c r="CL1253" s="279"/>
      <c r="CM1253" s="279"/>
      <c r="CN1253" s="382"/>
    </row>
    <row r="1254" x14ac:dyDescent="0.3">
      <c r="B1254" s="361"/>
      <c r="C1254" s="279"/>
      <c r="D1254" s="280"/>
      <c r="E1254" s="287"/>
      <c r="F1254" s="287"/>
      <c r="G1254" s="287"/>
      <c r="H1254" s="1292">
        <f t="shared" si="64"/>
        <v>7</v>
      </c>
      <c r="I1254" s="1190" t="str">
        <f>'I. Stream &amp; Compound Data'!P268</f>
        <v/>
      </c>
      <c r="J1254" s="1295" t="str">
        <f>IF(I148="","",IF('I. Stream &amp; Compound Data'!CC268="",0,'I. Stream &amp; Compound Data'!CC268))</f>
        <v/>
      </c>
      <c r="K1254" s="1295" t="str">
        <f t="shared" si="65"/>
        <v/>
      </c>
      <c r="L1254" s="1317" t="str">
        <f>IF(K1254="","",IF('I. Stream &amp; Compound Data'!E38="H2O",0,(IF(J1254=0,1,J1254))*I1254))</f>
        <v/>
      </c>
      <c r="M1254" s="287"/>
      <c r="N1254" s="296"/>
      <c r="O1254" s="280"/>
      <c r="P1254" s="280"/>
      <c r="Q1254" s="279"/>
      <c r="R1254" s="297"/>
      <c r="S1254" s="298"/>
      <c r="T1254" s="298"/>
      <c r="U1254" s="299"/>
      <c r="V1254" s="279"/>
      <c r="W1254" s="279"/>
      <c r="X1254" s="279"/>
      <c r="Y1254" s="279"/>
      <c r="Z1254" s="279"/>
      <c r="AA1254" s="279"/>
      <c r="AB1254" s="279"/>
      <c r="AC1254" s="279"/>
      <c r="AD1254" s="279"/>
      <c r="AE1254" s="279"/>
      <c r="AF1254" s="279"/>
      <c r="AG1254" s="279"/>
      <c r="AH1254" s="279"/>
      <c r="AI1254" s="279"/>
      <c r="AJ1254" s="279"/>
      <c r="AK1254" s="279"/>
      <c r="AL1254" s="279"/>
      <c r="AM1254" s="279"/>
      <c r="AN1254" s="279"/>
      <c r="AO1254" s="279"/>
      <c r="AP1254" s="279"/>
      <c r="AQ1254" s="279"/>
      <c r="AR1254" s="279"/>
      <c r="AS1254" s="279"/>
      <c r="AT1254" s="279"/>
      <c r="AU1254" s="279"/>
      <c r="AV1254" s="279"/>
      <c r="AW1254" s="279"/>
      <c r="AX1254" s="279"/>
      <c r="AY1254" s="279"/>
      <c r="AZ1254" s="279"/>
      <c r="BA1254" s="279"/>
      <c r="BB1254" s="279"/>
      <c r="BC1254" s="279"/>
      <c r="BD1254" s="279"/>
      <c r="BE1254" s="279"/>
      <c r="BF1254" s="279"/>
      <c r="BG1254" s="279"/>
      <c r="BH1254" s="279"/>
      <c r="BI1254" s="279"/>
      <c r="BJ1254" s="279"/>
      <c r="BK1254" s="279"/>
      <c r="BL1254" s="279"/>
      <c r="BM1254" s="279"/>
      <c r="BN1254" s="279"/>
      <c r="BO1254" s="279"/>
      <c r="BP1254" s="279"/>
      <c r="BQ1254" s="279"/>
      <c r="BR1254" s="279"/>
      <c r="BS1254" s="279"/>
      <c r="BT1254" s="279"/>
      <c r="BU1254" s="279"/>
      <c r="BV1254" s="279"/>
      <c r="BW1254" s="279"/>
      <c r="BX1254" s="279"/>
      <c r="BY1254" s="279"/>
      <c r="BZ1254" s="279"/>
      <c r="CA1254" s="279"/>
      <c r="CB1254" s="279"/>
      <c r="CC1254" s="279"/>
      <c r="CD1254" s="279"/>
      <c r="CE1254" s="279"/>
      <c r="CF1254" s="279"/>
      <c r="CG1254" s="279"/>
      <c r="CH1254" s="279"/>
      <c r="CI1254" s="279"/>
      <c r="CJ1254" s="279"/>
      <c r="CK1254" s="279"/>
      <c r="CL1254" s="279"/>
      <c r="CM1254" s="279"/>
      <c r="CN1254" s="382"/>
    </row>
    <row r="1255" x14ac:dyDescent="0.3">
      <c r="B1255" s="361"/>
      <c r="C1255" s="279"/>
      <c r="D1255" s="280"/>
      <c r="E1255" s="287"/>
      <c r="F1255" s="287"/>
      <c r="G1255" s="287"/>
      <c r="H1255" s="1292">
        <f t="shared" si="64"/>
        <v>8</v>
      </c>
      <c r="I1255" s="1190" t="str">
        <f>'I. Stream &amp; Compound Data'!P269</f>
        <v/>
      </c>
      <c r="J1255" s="1295" t="str">
        <f>IF(I149="","",IF('I. Stream &amp; Compound Data'!CC269="",0,'I. Stream &amp; Compound Data'!CC269))</f>
        <v/>
      </c>
      <c r="K1255" s="1295" t="str">
        <f t="shared" si="65"/>
        <v/>
      </c>
      <c r="L1255" s="1317" t="str">
        <f>IF(K1255="","",IF('I. Stream &amp; Compound Data'!E39="H2O",0,(IF(J1255=0,1,J1255))*I1255))</f>
        <v/>
      </c>
      <c r="M1255" s="287"/>
      <c r="N1255" s="296"/>
      <c r="O1255" s="280"/>
      <c r="P1255" s="280"/>
      <c r="Q1255" s="279"/>
      <c r="R1255" s="297"/>
      <c r="S1255" s="298"/>
      <c r="T1255" s="298"/>
      <c r="U1255" s="299"/>
      <c r="V1255" s="279"/>
      <c r="W1255" s="279"/>
      <c r="X1255" s="279"/>
      <c r="Y1255" s="279"/>
      <c r="Z1255" s="279"/>
      <c r="AA1255" s="279"/>
      <c r="AB1255" s="279"/>
      <c r="AC1255" s="279"/>
      <c r="AD1255" s="279"/>
      <c r="AE1255" s="279"/>
      <c r="AF1255" s="279"/>
      <c r="AG1255" s="279"/>
      <c r="AH1255" s="279"/>
      <c r="AI1255" s="279"/>
      <c r="AJ1255" s="279"/>
      <c r="AK1255" s="279"/>
      <c r="AL1255" s="279"/>
      <c r="AM1255" s="279"/>
      <c r="AN1255" s="279"/>
      <c r="AO1255" s="279"/>
      <c r="AP1255" s="279"/>
      <c r="AQ1255" s="279"/>
      <c r="AR1255" s="279"/>
      <c r="AS1255" s="279"/>
      <c r="AT1255" s="279"/>
      <c r="AU1255" s="279"/>
      <c r="AV1255" s="279"/>
      <c r="AW1255" s="279"/>
      <c r="AX1255" s="279"/>
      <c r="AY1255" s="279"/>
      <c r="AZ1255" s="279"/>
      <c r="BA1255" s="279"/>
      <c r="BB1255" s="279"/>
      <c r="BC1255" s="279"/>
      <c r="BD1255" s="279"/>
      <c r="BE1255" s="279"/>
      <c r="BF1255" s="279"/>
      <c r="BG1255" s="279"/>
      <c r="BH1255" s="279"/>
      <c r="BI1255" s="279"/>
      <c r="BJ1255" s="279"/>
      <c r="BK1255" s="279"/>
      <c r="BL1255" s="279"/>
      <c r="BM1255" s="279"/>
      <c r="BN1255" s="279"/>
      <c r="BO1255" s="279"/>
      <c r="BP1255" s="279"/>
      <c r="BQ1255" s="279"/>
      <c r="BR1255" s="279"/>
      <c r="BS1255" s="279"/>
      <c r="BT1255" s="279"/>
      <c r="BU1255" s="279"/>
      <c r="BV1255" s="279"/>
      <c r="BW1255" s="279"/>
      <c r="BX1255" s="279"/>
      <c r="BY1255" s="279"/>
      <c r="BZ1255" s="279"/>
      <c r="CA1255" s="279"/>
      <c r="CB1255" s="279"/>
      <c r="CC1255" s="279"/>
      <c r="CD1255" s="279"/>
      <c r="CE1255" s="279"/>
      <c r="CF1255" s="279"/>
      <c r="CG1255" s="279"/>
      <c r="CH1255" s="279"/>
      <c r="CI1255" s="279"/>
      <c r="CJ1255" s="279"/>
      <c r="CK1255" s="279"/>
      <c r="CL1255" s="279"/>
      <c r="CM1255" s="279"/>
      <c r="CN1255" s="382"/>
    </row>
    <row r="1256" x14ac:dyDescent="0.3">
      <c r="B1256" s="361"/>
      <c r="C1256" s="279"/>
      <c r="D1256" s="280"/>
      <c r="E1256" s="287"/>
      <c r="F1256" s="287"/>
      <c r="G1256" s="287"/>
      <c r="H1256" s="1292">
        <f t="shared" si="64"/>
        <v>9</v>
      </c>
      <c r="I1256" s="1190" t="str">
        <f>'I. Stream &amp; Compound Data'!P270</f>
        <v/>
      </c>
      <c r="J1256" s="1295" t="str">
        <f>IF(I150="","",IF('I. Stream &amp; Compound Data'!CC270="",0,'I. Stream &amp; Compound Data'!CC270))</f>
        <v/>
      </c>
      <c r="K1256" s="1295" t="str">
        <f t="shared" si="65"/>
        <v/>
      </c>
      <c r="L1256" s="1317" t="str">
        <f>IF(K1256="","",IF('I. Stream &amp; Compound Data'!E40="H2O",0,(IF(J1256=0,1,J1256))*I1256))</f>
        <v/>
      </c>
      <c r="M1256" s="296"/>
      <c r="N1256" s="280"/>
      <c r="O1256" s="280"/>
      <c r="P1256" s="279"/>
      <c r="Q1256" s="297"/>
      <c r="R1256" s="298"/>
      <c r="S1256" s="298"/>
      <c r="T1256" s="299"/>
      <c r="U1256" s="279"/>
      <c r="V1256" s="279"/>
      <c r="W1256" s="279"/>
      <c r="X1256" s="279"/>
      <c r="Y1256" s="279"/>
      <c r="Z1256" s="279"/>
      <c r="AA1256" s="279"/>
      <c r="AB1256" s="279"/>
      <c r="AC1256" s="279"/>
      <c r="AD1256" s="279"/>
      <c r="AE1256" s="279"/>
      <c r="AF1256" s="279"/>
      <c r="AG1256" s="279"/>
      <c r="AH1256" s="279"/>
      <c r="AI1256" s="279"/>
      <c r="AJ1256" s="279"/>
      <c r="AK1256" s="279"/>
      <c r="AL1256" s="279"/>
      <c r="AM1256" s="279"/>
      <c r="AN1256" s="279"/>
      <c r="AO1256" s="279"/>
      <c r="AP1256" s="279"/>
      <c r="AQ1256" s="279"/>
      <c r="AR1256" s="279"/>
      <c r="AS1256" s="279"/>
      <c r="AT1256" s="279"/>
      <c r="AU1256" s="279"/>
      <c r="AV1256" s="279"/>
      <c r="AW1256" s="279"/>
      <c r="AX1256" s="279"/>
      <c r="AY1256" s="279"/>
      <c r="AZ1256" s="279"/>
      <c r="BA1256" s="279"/>
      <c r="BB1256" s="279"/>
      <c r="BC1256" s="279"/>
      <c r="BD1256" s="279"/>
      <c r="BE1256" s="279"/>
      <c r="BF1256" s="279"/>
      <c r="BG1256" s="279"/>
      <c r="BH1256" s="279"/>
      <c r="BI1256" s="279"/>
      <c r="BJ1256" s="279"/>
      <c r="BK1256" s="279"/>
      <c r="BL1256" s="279"/>
      <c r="BM1256" s="279"/>
      <c r="BN1256" s="279"/>
      <c r="BO1256" s="279"/>
      <c r="BP1256" s="279"/>
      <c r="BQ1256" s="279"/>
      <c r="BR1256" s="279"/>
      <c r="BS1256" s="279"/>
      <c r="BT1256" s="279"/>
      <c r="BU1256" s="279"/>
      <c r="BV1256" s="279"/>
      <c r="BW1256" s="279"/>
      <c r="BX1256" s="279"/>
      <c r="BY1256" s="279"/>
      <c r="BZ1256" s="279"/>
      <c r="CA1256" s="279"/>
      <c r="CB1256" s="279"/>
      <c r="CC1256" s="279"/>
      <c r="CD1256" s="279"/>
      <c r="CE1256" s="279"/>
      <c r="CF1256" s="279"/>
      <c r="CG1256" s="279"/>
      <c r="CH1256" s="279"/>
      <c r="CI1256" s="279"/>
      <c r="CJ1256" s="279"/>
      <c r="CK1256" s="279"/>
      <c r="CL1256" s="279"/>
      <c r="CM1256" s="279"/>
      <c r="CN1256" s="382"/>
    </row>
    <row r="1257" x14ac:dyDescent="0.3">
      <c r="B1257" s="361"/>
      <c r="C1257" s="279"/>
      <c r="D1257" s="280"/>
      <c r="E1257" s="287"/>
      <c r="F1257" s="287"/>
      <c r="G1257" s="287"/>
      <c r="H1257" s="1292">
        <f t="shared" si="64"/>
        <v>10</v>
      </c>
      <c r="I1257" s="1190" t="str">
        <f>'I. Stream &amp; Compound Data'!P271</f>
        <v/>
      </c>
      <c r="J1257" s="1295" t="str">
        <f>IF(I151="","",IF('I. Stream &amp; Compound Data'!CC271="",0,'I. Stream &amp; Compound Data'!CC271))</f>
        <v/>
      </c>
      <c r="K1257" s="1295" t="str">
        <f t="shared" si="65"/>
        <v/>
      </c>
      <c r="L1257" s="1317" t="str">
        <f>IF(K1257="","",IF('I. Stream &amp; Compound Data'!E41="H2O",0,(IF(J1257=0,1,J1257))*I1257))</f>
        <v/>
      </c>
      <c r="M1257" s="296"/>
      <c r="N1257" s="280"/>
      <c r="O1257" s="280"/>
      <c r="P1257" s="279"/>
      <c r="Q1257" s="297"/>
      <c r="R1257" s="298"/>
      <c r="S1257" s="298"/>
      <c r="T1257" s="299"/>
      <c r="U1257" s="279"/>
      <c r="V1257" s="279"/>
      <c r="W1257" s="279"/>
      <c r="X1257" s="279"/>
      <c r="Y1257" s="279"/>
      <c r="Z1257" s="279"/>
      <c r="AA1257" s="279"/>
      <c r="AB1257" s="279"/>
      <c r="AC1257" s="279"/>
      <c r="AD1257" s="279"/>
      <c r="AE1257" s="279"/>
      <c r="AF1257" s="279"/>
      <c r="AG1257" s="279"/>
      <c r="AH1257" s="279"/>
      <c r="AI1257" s="279"/>
      <c r="AJ1257" s="279"/>
      <c r="AK1257" s="279"/>
      <c r="AL1257" s="279"/>
      <c r="AM1257" s="279"/>
      <c r="AN1257" s="279"/>
      <c r="AO1257" s="279"/>
      <c r="AP1257" s="279"/>
      <c r="AQ1257" s="279"/>
      <c r="AR1257" s="279"/>
      <c r="AS1257" s="279"/>
      <c r="AT1257" s="279"/>
      <c r="AU1257" s="279"/>
      <c r="AV1257" s="279"/>
      <c r="AW1257" s="279"/>
      <c r="AX1257" s="279"/>
      <c r="AY1257" s="279"/>
      <c r="AZ1257" s="279"/>
      <c r="BA1257" s="279"/>
      <c r="BB1257" s="279"/>
      <c r="BC1257" s="279"/>
      <c r="BD1257" s="279"/>
      <c r="BE1257" s="279"/>
      <c r="BF1257" s="279"/>
      <c r="BG1257" s="279"/>
      <c r="BH1257" s="279"/>
      <c r="BI1257" s="279"/>
      <c r="BJ1257" s="279"/>
      <c r="BK1257" s="279"/>
      <c r="BL1257" s="279"/>
      <c r="BM1257" s="279"/>
      <c r="BN1257" s="279"/>
      <c r="BO1257" s="279"/>
      <c r="BP1257" s="279"/>
      <c r="BQ1257" s="279"/>
      <c r="BR1257" s="279"/>
      <c r="BS1257" s="279"/>
      <c r="BT1257" s="279"/>
      <c r="BU1257" s="279"/>
      <c r="BV1257" s="279"/>
      <c r="BW1257" s="279"/>
      <c r="BX1257" s="279"/>
      <c r="BY1257" s="279"/>
      <c r="BZ1257" s="279"/>
      <c r="CA1257" s="279"/>
      <c r="CB1257" s="279"/>
      <c r="CC1257" s="279"/>
      <c r="CD1257" s="279"/>
      <c r="CE1257" s="279"/>
      <c r="CF1257" s="279"/>
      <c r="CG1257" s="279"/>
      <c r="CH1257" s="279"/>
      <c r="CI1257" s="279"/>
      <c r="CJ1257" s="279"/>
      <c r="CK1257" s="279"/>
      <c r="CL1257" s="279"/>
      <c r="CM1257" s="279"/>
      <c r="CN1257" s="382"/>
    </row>
    <row r="1258" x14ac:dyDescent="0.3">
      <c r="B1258" s="361"/>
      <c r="C1258" s="279"/>
      <c r="D1258" s="280"/>
      <c r="E1258" s="287"/>
      <c r="F1258" s="287"/>
      <c r="G1258" s="287"/>
      <c r="H1258" s="1292">
        <f t="shared" si="64"/>
        <v>11</v>
      </c>
      <c r="I1258" s="1190" t="str">
        <f>'I. Stream &amp; Compound Data'!P272</f>
        <v/>
      </c>
      <c r="J1258" s="1295" t="str">
        <f>IF(I152="","",IF('I. Stream &amp; Compound Data'!CC272="",0,'I. Stream &amp; Compound Data'!CC272))</f>
        <v/>
      </c>
      <c r="K1258" s="1295" t="str">
        <f t="shared" si="65"/>
        <v/>
      </c>
      <c r="L1258" s="1317" t="str">
        <f>IF(K1258="","",IF('I. Stream &amp; Compound Data'!E42="H2O",0,(IF(J1258=0,1,J1258))*I1258))</f>
        <v/>
      </c>
      <c r="M1258" s="296"/>
      <c r="N1258" s="280"/>
      <c r="O1258" s="280"/>
      <c r="P1258" s="279"/>
      <c r="Q1258" s="297"/>
      <c r="R1258" s="298"/>
      <c r="S1258" s="298"/>
      <c r="T1258" s="299"/>
      <c r="U1258" s="279"/>
      <c r="V1258" s="279"/>
      <c r="W1258" s="279"/>
      <c r="X1258" s="279"/>
      <c r="Y1258" s="279"/>
      <c r="Z1258" s="279"/>
      <c r="AA1258" s="279"/>
      <c r="AB1258" s="279"/>
      <c r="AC1258" s="279"/>
      <c r="AD1258" s="279"/>
      <c r="AE1258" s="279"/>
      <c r="AF1258" s="279"/>
      <c r="AG1258" s="279"/>
      <c r="AH1258" s="279"/>
      <c r="AI1258" s="279"/>
      <c r="AJ1258" s="279"/>
      <c r="AK1258" s="279"/>
      <c r="AL1258" s="279"/>
      <c r="AM1258" s="279"/>
      <c r="AN1258" s="279"/>
      <c r="AO1258" s="279"/>
      <c r="AP1258" s="279"/>
      <c r="AQ1258" s="279"/>
      <c r="AR1258" s="279"/>
      <c r="AS1258" s="279"/>
      <c r="AT1258" s="279"/>
      <c r="AU1258" s="279"/>
      <c r="AV1258" s="279"/>
      <c r="AW1258" s="279"/>
      <c r="AX1258" s="279"/>
      <c r="AY1258" s="279"/>
      <c r="AZ1258" s="279"/>
      <c r="BA1258" s="279"/>
      <c r="BB1258" s="279"/>
      <c r="BC1258" s="279"/>
      <c r="BD1258" s="279"/>
      <c r="BE1258" s="279"/>
      <c r="BF1258" s="279"/>
      <c r="BG1258" s="279"/>
      <c r="BH1258" s="279"/>
      <c r="BI1258" s="279"/>
      <c r="BJ1258" s="279"/>
      <c r="BK1258" s="279"/>
      <c r="BL1258" s="279"/>
      <c r="BM1258" s="279"/>
      <c r="BN1258" s="279"/>
      <c r="BO1258" s="279"/>
      <c r="BP1258" s="279"/>
      <c r="BQ1258" s="279"/>
      <c r="BR1258" s="279"/>
      <c r="BS1258" s="279"/>
      <c r="BT1258" s="279"/>
      <c r="BU1258" s="279"/>
      <c r="BV1258" s="279"/>
      <c r="BW1258" s="279"/>
      <c r="BX1258" s="279"/>
      <c r="BY1258" s="279"/>
      <c r="BZ1258" s="279"/>
      <c r="CA1258" s="279"/>
      <c r="CB1258" s="279"/>
      <c r="CC1258" s="279"/>
      <c r="CD1258" s="279"/>
      <c r="CE1258" s="279"/>
      <c r="CF1258" s="279"/>
      <c r="CG1258" s="279"/>
      <c r="CH1258" s="279"/>
      <c r="CI1258" s="279"/>
      <c r="CJ1258" s="279"/>
      <c r="CK1258" s="279"/>
      <c r="CL1258" s="279"/>
      <c r="CM1258" s="279"/>
      <c r="CN1258" s="382"/>
    </row>
    <row r="1259" x14ac:dyDescent="0.3">
      <c r="B1259" s="361"/>
      <c r="C1259" s="279"/>
      <c r="D1259" s="280"/>
      <c r="E1259" s="287"/>
      <c r="F1259" s="287"/>
      <c r="G1259" s="287"/>
      <c r="H1259" s="1292">
        <f t="shared" si="64"/>
        <v>12</v>
      </c>
      <c r="I1259" s="1190" t="str">
        <f>'I. Stream &amp; Compound Data'!P273</f>
        <v/>
      </c>
      <c r="J1259" s="1295" t="str">
        <f>IF(I153="","",IF('I. Stream &amp; Compound Data'!CC273="",0,'I. Stream &amp; Compound Data'!CC273))</f>
        <v/>
      </c>
      <c r="K1259" s="1295" t="str">
        <f t="shared" si="65"/>
        <v/>
      </c>
      <c r="L1259" s="1317" t="str">
        <f>IF(K1259="","",IF('I. Stream &amp; Compound Data'!E43="H2O",0,(IF(J1259=0,1,J1259))*I1259))</f>
        <v/>
      </c>
      <c r="M1259" s="296"/>
      <c r="N1259" s="280"/>
      <c r="O1259" s="280"/>
      <c r="P1259" s="279"/>
      <c r="Q1259" s="297"/>
      <c r="R1259" s="298"/>
      <c r="S1259" s="298"/>
      <c r="T1259" s="299"/>
      <c r="U1259" s="279"/>
      <c r="V1259" s="279"/>
      <c r="W1259" s="279"/>
      <c r="X1259" s="279"/>
      <c r="Y1259" s="279"/>
      <c r="Z1259" s="279"/>
      <c r="AA1259" s="279"/>
      <c r="AB1259" s="279"/>
      <c r="AC1259" s="279"/>
      <c r="AD1259" s="279"/>
      <c r="AE1259" s="279"/>
      <c r="AF1259" s="279"/>
      <c r="AG1259" s="279"/>
      <c r="AH1259" s="279"/>
      <c r="AI1259" s="279"/>
      <c r="AJ1259" s="279"/>
      <c r="AK1259" s="279"/>
      <c r="AL1259" s="279"/>
      <c r="AM1259" s="279"/>
      <c r="AN1259" s="279"/>
      <c r="AO1259" s="279"/>
      <c r="AP1259" s="279"/>
      <c r="AQ1259" s="279"/>
      <c r="AR1259" s="279"/>
      <c r="AS1259" s="279"/>
      <c r="AT1259" s="279"/>
      <c r="AU1259" s="279"/>
      <c r="AV1259" s="279"/>
      <c r="AW1259" s="279"/>
      <c r="AX1259" s="279"/>
      <c r="AY1259" s="279"/>
      <c r="AZ1259" s="279"/>
      <c r="BA1259" s="279"/>
      <c r="BB1259" s="279"/>
      <c r="BC1259" s="279"/>
      <c r="BD1259" s="279"/>
      <c r="BE1259" s="279"/>
      <c r="BF1259" s="279"/>
      <c r="BG1259" s="279"/>
      <c r="BH1259" s="279"/>
      <c r="BI1259" s="279"/>
      <c r="BJ1259" s="279"/>
      <c r="BK1259" s="279"/>
      <c r="BL1259" s="279"/>
      <c r="BM1259" s="279"/>
      <c r="BN1259" s="279"/>
      <c r="BO1259" s="279"/>
      <c r="BP1259" s="279"/>
      <c r="BQ1259" s="279"/>
      <c r="BR1259" s="279"/>
      <c r="BS1259" s="279"/>
      <c r="BT1259" s="279"/>
      <c r="BU1259" s="279"/>
      <c r="BV1259" s="279"/>
      <c r="BW1259" s="279"/>
      <c r="BX1259" s="279"/>
      <c r="BY1259" s="279"/>
      <c r="BZ1259" s="279"/>
      <c r="CA1259" s="279"/>
      <c r="CB1259" s="279"/>
      <c r="CC1259" s="279"/>
      <c r="CD1259" s="279"/>
      <c r="CE1259" s="279"/>
      <c r="CF1259" s="279"/>
      <c r="CG1259" s="279"/>
      <c r="CH1259" s="279"/>
      <c r="CI1259" s="279"/>
      <c r="CJ1259" s="279"/>
      <c r="CK1259" s="279"/>
      <c r="CL1259" s="279"/>
      <c r="CM1259" s="279"/>
      <c r="CN1259" s="382"/>
    </row>
    <row r="1260" x14ac:dyDescent="0.3">
      <c r="B1260" s="361"/>
      <c r="C1260" s="279"/>
      <c r="D1260" s="280"/>
      <c r="E1260" s="287"/>
      <c r="F1260" s="287"/>
      <c r="G1260" s="287"/>
      <c r="H1260" s="1292">
        <f t="shared" si="64"/>
        <v>13</v>
      </c>
      <c r="I1260" s="1190" t="str">
        <f>'I. Stream &amp; Compound Data'!P274</f>
        <v/>
      </c>
      <c r="J1260" s="1295" t="str">
        <f>IF(I154="","",IF('I. Stream &amp; Compound Data'!CC274="",0,'I. Stream &amp; Compound Data'!CC274))</f>
        <v/>
      </c>
      <c r="K1260" s="1295" t="str">
        <f t="shared" si="65"/>
        <v/>
      </c>
      <c r="L1260" s="1317" t="str">
        <f>IF(K1260="","",IF('I. Stream &amp; Compound Data'!E44="H2O",0,(IF(J1260=0,1,J1260))*I1260))</f>
        <v/>
      </c>
      <c r="M1260" s="296"/>
      <c r="N1260" s="280"/>
      <c r="O1260" s="280"/>
      <c r="P1260" s="279"/>
      <c r="Q1260" s="297"/>
      <c r="R1260" s="298"/>
      <c r="S1260" s="298"/>
      <c r="T1260" s="299"/>
      <c r="U1260" s="279"/>
      <c r="V1260" s="279"/>
      <c r="W1260" s="279"/>
      <c r="X1260" s="279"/>
      <c r="Y1260" s="279"/>
      <c r="Z1260" s="279"/>
      <c r="AA1260" s="279"/>
      <c r="AB1260" s="279"/>
      <c r="AC1260" s="279"/>
      <c r="AD1260" s="279"/>
      <c r="AE1260" s="279"/>
      <c r="AF1260" s="279"/>
      <c r="AG1260" s="279"/>
      <c r="AH1260" s="279"/>
      <c r="AI1260" s="279"/>
      <c r="AJ1260" s="279"/>
      <c r="AK1260" s="279"/>
      <c r="AL1260" s="279"/>
      <c r="AM1260" s="279"/>
      <c r="AN1260" s="279"/>
      <c r="AO1260" s="279"/>
      <c r="AP1260" s="279"/>
      <c r="AQ1260" s="279"/>
      <c r="AR1260" s="279"/>
      <c r="AS1260" s="279"/>
      <c r="AT1260" s="279"/>
      <c r="AU1260" s="279"/>
      <c r="AV1260" s="279"/>
      <c r="AW1260" s="279"/>
      <c r="AX1260" s="279"/>
      <c r="AY1260" s="279"/>
      <c r="AZ1260" s="279"/>
      <c r="BA1260" s="279"/>
      <c r="BB1260" s="279"/>
      <c r="BC1260" s="279"/>
      <c r="BD1260" s="279"/>
      <c r="BE1260" s="279"/>
      <c r="BF1260" s="279"/>
      <c r="BG1260" s="279"/>
      <c r="BH1260" s="279"/>
      <c r="BI1260" s="279"/>
      <c r="BJ1260" s="279"/>
      <c r="BK1260" s="279"/>
      <c r="BL1260" s="279"/>
      <c r="BM1260" s="279"/>
      <c r="BN1260" s="279"/>
      <c r="BO1260" s="279"/>
      <c r="BP1260" s="279"/>
      <c r="BQ1260" s="279"/>
      <c r="BR1260" s="279"/>
      <c r="BS1260" s="279"/>
      <c r="BT1260" s="279"/>
      <c r="BU1260" s="279"/>
      <c r="BV1260" s="279"/>
      <c r="BW1260" s="279"/>
      <c r="BX1260" s="279"/>
      <c r="BY1260" s="279"/>
      <c r="BZ1260" s="279"/>
      <c r="CA1260" s="279"/>
      <c r="CB1260" s="279"/>
      <c r="CC1260" s="279"/>
      <c r="CD1260" s="279"/>
      <c r="CE1260" s="279"/>
      <c r="CF1260" s="279"/>
      <c r="CG1260" s="279"/>
      <c r="CH1260" s="279"/>
      <c r="CI1260" s="279"/>
      <c r="CJ1260" s="279"/>
      <c r="CK1260" s="279"/>
      <c r="CL1260" s="279"/>
      <c r="CM1260" s="279"/>
      <c r="CN1260" s="382"/>
    </row>
    <row r="1261" x14ac:dyDescent="0.3">
      <c r="B1261" s="361"/>
      <c r="C1261" s="279"/>
      <c r="D1261" s="280"/>
      <c r="E1261" s="287"/>
      <c r="F1261" s="287"/>
      <c r="G1261" s="287"/>
      <c r="H1261" s="1292">
        <f t="shared" si="64"/>
        <v>14</v>
      </c>
      <c r="I1261" s="1190" t="str">
        <f>'I. Stream &amp; Compound Data'!P275</f>
        <v/>
      </c>
      <c r="J1261" s="1295" t="str">
        <f>IF(I155="","",IF('I. Stream &amp; Compound Data'!CC275="",0,'I. Stream &amp; Compound Data'!CC275))</f>
        <v/>
      </c>
      <c r="K1261" s="1295" t="str">
        <f t="shared" si="65"/>
        <v/>
      </c>
      <c r="L1261" s="1317" t="str">
        <f>IF(K1261="","",IF('I. Stream &amp; Compound Data'!E45="H2O",0,(IF(J1261=0,1,J1261))*I1261))</f>
        <v/>
      </c>
      <c r="M1261" s="296"/>
      <c r="N1261" s="280"/>
      <c r="O1261" s="280"/>
      <c r="P1261" s="279"/>
      <c r="Q1261" s="297"/>
      <c r="R1261" s="298"/>
      <c r="S1261" s="298"/>
      <c r="T1261" s="299"/>
      <c r="U1261" s="279"/>
      <c r="V1261" s="279"/>
      <c r="W1261" s="279"/>
      <c r="X1261" s="279"/>
      <c r="Y1261" s="279"/>
      <c r="Z1261" s="279"/>
      <c r="AA1261" s="279"/>
      <c r="AB1261" s="279"/>
      <c r="AC1261" s="279"/>
      <c r="AD1261" s="279"/>
      <c r="AE1261" s="279"/>
      <c r="AF1261" s="279"/>
      <c r="AG1261" s="279"/>
      <c r="AH1261" s="279"/>
      <c r="AI1261" s="279"/>
      <c r="AJ1261" s="279"/>
      <c r="AK1261" s="279"/>
      <c r="AL1261" s="279"/>
      <c r="AM1261" s="279"/>
      <c r="AN1261" s="279"/>
      <c r="AO1261" s="279"/>
      <c r="AP1261" s="279"/>
      <c r="AQ1261" s="279"/>
      <c r="AR1261" s="279"/>
      <c r="AS1261" s="279"/>
      <c r="AT1261" s="279"/>
      <c r="AU1261" s="279"/>
      <c r="AV1261" s="279"/>
      <c r="AW1261" s="279"/>
      <c r="AX1261" s="279"/>
      <c r="AY1261" s="279"/>
      <c r="AZ1261" s="279"/>
      <c r="BA1261" s="279"/>
      <c r="BB1261" s="279"/>
      <c r="BC1261" s="279"/>
      <c r="BD1261" s="279"/>
      <c r="BE1261" s="279"/>
      <c r="BF1261" s="279"/>
      <c r="BG1261" s="279"/>
      <c r="BH1261" s="279"/>
      <c r="BI1261" s="279"/>
      <c r="BJ1261" s="279"/>
      <c r="BK1261" s="279"/>
      <c r="BL1261" s="279"/>
      <c r="BM1261" s="279"/>
      <c r="BN1261" s="279"/>
      <c r="BO1261" s="279"/>
      <c r="BP1261" s="279"/>
      <c r="BQ1261" s="279"/>
      <c r="BR1261" s="279"/>
      <c r="BS1261" s="279"/>
      <c r="BT1261" s="279"/>
      <c r="BU1261" s="279"/>
      <c r="BV1261" s="279"/>
      <c r="BW1261" s="279"/>
      <c r="BX1261" s="279"/>
      <c r="BY1261" s="279"/>
      <c r="BZ1261" s="279"/>
      <c r="CA1261" s="279"/>
      <c r="CB1261" s="279"/>
      <c r="CC1261" s="279"/>
      <c r="CD1261" s="279"/>
      <c r="CE1261" s="279"/>
      <c r="CF1261" s="279"/>
      <c r="CG1261" s="279"/>
      <c r="CH1261" s="279"/>
      <c r="CI1261" s="279"/>
      <c r="CJ1261" s="279"/>
      <c r="CK1261" s="279"/>
      <c r="CL1261" s="279"/>
      <c r="CM1261" s="279"/>
      <c r="CN1261" s="382"/>
    </row>
    <row r="1262" x14ac:dyDescent="0.3">
      <c r="B1262" s="361"/>
      <c r="C1262" s="279"/>
      <c r="D1262" s="280"/>
      <c r="E1262" s="287"/>
      <c r="F1262" s="287"/>
      <c r="G1262" s="287"/>
      <c r="H1262" s="1292">
        <f t="shared" si="64"/>
        <v>15</v>
      </c>
      <c r="I1262" s="1190" t="str">
        <f>'I. Stream &amp; Compound Data'!P276</f>
        <v/>
      </c>
      <c r="J1262" s="1295" t="str">
        <f>IF(I156="","",IF('I. Stream &amp; Compound Data'!CC276="",0,'I. Stream &amp; Compound Data'!CC276))</f>
        <v/>
      </c>
      <c r="K1262" s="1295" t="str">
        <f t="shared" si="65"/>
        <v/>
      </c>
      <c r="L1262" s="1317" t="str">
        <f>IF(K1262="","",IF('I. Stream &amp; Compound Data'!E46="H2O",0,(IF(J1262=0,1,J1262))*I1262))</f>
        <v/>
      </c>
      <c r="M1262" s="296"/>
      <c r="N1262" s="280"/>
      <c r="O1262" s="280"/>
      <c r="P1262" s="279"/>
      <c r="Q1262" s="297"/>
      <c r="R1262" s="298"/>
      <c r="S1262" s="298"/>
      <c r="T1262" s="299"/>
      <c r="U1262" s="279"/>
      <c r="V1262" s="279"/>
      <c r="W1262" s="279"/>
      <c r="X1262" s="279"/>
      <c r="Y1262" s="279"/>
      <c r="Z1262" s="279"/>
      <c r="AA1262" s="279"/>
      <c r="AB1262" s="279"/>
      <c r="AC1262" s="279"/>
      <c r="AD1262" s="279"/>
      <c r="AE1262" s="279"/>
      <c r="AF1262" s="279"/>
      <c r="AG1262" s="279"/>
      <c r="AH1262" s="279"/>
      <c r="AI1262" s="279"/>
      <c r="AJ1262" s="279"/>
      <c r="AK1262" s="279"/>
      <c r="AL1262" s="279"/>
      <c r="AM1262" s="279"/>
      <c r="AN1262" s="279"/>
      <c r="AO1262" s="279"/>
      <c r="AP1262" s="279"/>
      <c r="AQ1262" s="279"/>
      <c r="AR1262" s="279"/>
      <c r="AS1262" s="279"/>
      <c r="AT1262" s="279"/>
      <c r="AU1262" s="279"/>
      <c r="AV1262" s="279"/>
      <c r="AW1262" s="279"/>
      <c r="AX1262" s="279"/>
      <c r="AY1262" s="279"/>
      <c r="AZ1262" s="279"/>
      <c r="BA1262" s="279"/>
      <c r="BB1262" s="279"/>
      <c r="BC1262" s="279"/>
      <c r="BD1262" s="279"/>
      <c r="BE1262" s="279"/>
      <c r="BF1262" s="279"/>
      <c r="BG1262" s="279"/>
      <c r="BH1262" s="279"/>
      <c r="BI1262" s="279"/>
      <c r="BJ1262" s="279"/>
      <c r="BK1262" s="279"/>
      <c r="BL1262" s="279"/>
      <c r="BM1262" s="279"/>
      <c r="BN1262" s="279"/>
      <c r="BO1262" s="279"/>
      <c r="BP1262" s="279"/>
      <c r="BQ1262" s="279"/>
      <c r="BR1262" s="279"/>
      <c r="BS1262" s="279"/>
      <c r="BT1262" s="279"/>
      <c r="BU1262" s="279"/>
      <c r="BV1262" s="279"/>
      <c r="BW1262" s="279"/>
      <c r="BX1262" s="279"/>
      <c r="BY1262" s="279"/>
      <c r="BZ1262" s="279"/>
      <c r="CA1262" s="279"/>
      <c r="CB1262" s="279"/>
      <c r="CC1262" s="279"/>
      <c r="CD1262" s="279"/>
      <c r="CE1262" s="279"/>
      <c r="CF1262" s="279"/>
      <c r="CG1262" s="279"/>
      <c r="CH1262" s="279"/>
      <c r="CI1262" s="279"/>
      <c r="CJ1262" s="279"/>
      <c r="CK1262" s="279"/>
      <c r="CL1262" s="279"/>
      <c r="CM1262" s="279"/>
      <c r="CN1262" s="382"/>
    </row>
    <row r="1263" x14ac:dyDescent="0.3">
      <c r="B1263" s="361"/>
      <c r="C1263" s="279"/>
      <c r="D1263" s="280"/>
      <c r="E1263" s="287"/>
      <c r="F1263" s="287"/>
      <c r="G1263" s="287"/>
      <c r="H1263" s="1292">
        <f t="shared" si="64"/>
        <v>16</v>
      </c>
      <c r="I1263" s="1190" t="str">
        <f>'I. Stream &amp; Compound Data'!P277</f>
        <v/>
      </c>
      <c r="J1263" s="1295" t="str">
        <f>IF(I157="","",IF('I. Stream &amp; Compound Data'!CC277="",0,'I. Stream &amp; Compound Data'!CC277))</f>
        <v/>
      </c>
      <c r="K1263" s="1295" t="str">
        <f t="shared" si="65"/>
        <v/>
      </c>
      <c r="L1263" s="1317" t="str">
        <f>IF(K1263="","",IF('I. Stream &amp; Compound Data'!E47="H2O",0,(IF(J1263=0,1,J1263))*I1263))</f>
        <v/>
      </c>
      <c r="M1263" s="296"/>
      <c r="N1263" s="280"/>
      <c r="O1263" s="280"/>
      <c r="P1263" s="279"/>
      <c r="Q1263" s="297"/>
      <c r="R1263" s="298"/>
      <c r="S1263" s="298"/>
      <c r="T1263" s="299"/>
      <c r="U1263" s="279"/>
      <c r="V1263" s="279"/>
      <c r="W1263" s="279"/>
      <c r="X1263" s="279"/>
      <c r="Y1263" s="279"/>
      <c r="Z1263" s="279"/>
      <c r="AA1263" s="279"/>
      <c r="AB1263" s="279"/>
      <c r="AC1263" s="279"/>
      <c r="AD1263" s="279"/>
      <c r="AE1263" s="279"/>
      <c r="AF1263" s="279"/>
      <c r="AG1263" s="279"/>
      <c r="AH1263" s="279"/>
      <c r="AI1263" s="279"/>
      <c r="AJ1263" s="279"/>
      <c r="AK1263" s="279"/>
      <c r="AL1263" s="279"/>
      <c r="AM1263" s="279"/>
      <c r="AN1263" s="279"/>
      <c r="AO1263" s="279"/>
      <c r="AP1263" s="279"/>
      <c r="AQ1263" s="279"/>
      <c r="AR1263" s="279"/>
      <c r="AS1263" s="279"/>
      <c r="AT1263" s="279"/>
      <c r="AU1263" s="279"/>
      <c r="AV1263" s="279"/>
      <c r="AW1263" s="279"/>
      <c r="AX1263" s="279"/>
      <c r="AY1263" s="279"/>
      <c r="AZ1263" s="279"/>
      <c r="BA1263" s="279"/>
      <c r="BB1263" s="279"/>
      <c r="BC1263" s="279"/>
      <c r="BD1263" s="279"/>
      <c r="BE1263" s="279"/>
      <c r="BF1263" s="279"/>
      <c r="BG1263" s="279"/>
      <c r="BH1263" s="279"/>
      <c r="BI1263" s="279"/>
      <c r="BJ1263" s="279"/>
      <c r="BK1263" s="279"/>
      <c r="BL1263" s="279"/>
      <c r="BM1263" s="279"/>
      <c r="BN1263" s="279"/>
      <c r="BO1263" s="279"/>
      <c r="BP1263" s="279"/>
      <c r="BQ1263" s="279"/>
      <c r="BR1263" s="279"/>
      <c r="BS1263" s="279"/>
      <c r="BT1263" s="279"/>
      <c r="BU1263" s="279"/>
      <c r="BV1263" s="279"/>
      <c r="BW1263" s="279"/>
      <c r="BX1263" s="279"/>
      <c r="BY1263" s="279"/>
      <c r="BZ1263" s="279"/>
      <c r="CA1263" s="279"/>
      <c r="CB1263" s="279"/>
      <c r="CC1263" s="279"/>
      <c r="CD1263" s="279"/>
      <c r="CE1263" s="279"/>
      <c r="CF1263" s="279"/>
      <c r="CG1263" s="279"/>
      <c r="CH1263" s="279"/>
      <c r="CI1263" s="279"/>
      <c r="CJ1263" s="279"/>
      <c r="CK1263" s="279"/>
      <c r="CL1263" s="279"/>
      <c r="CM1263" s="279"/>
      <c r="CN1263" s="382"/>
    </row>
    <row r="1264" x14ac:dyDescent="0.3">
      <c r="B1264" s="361"/>
      <c r="C1264" s="279"/>
      <c r="D1264" s="280"/>
      <c r="E1264" s="287"/>
      <c r="F1264" s="287"/>
      <c r="G1264" s="287"/>
      <c r="H1264" s="1292">
        <f t="shared" si="64"/>
        <v>17</v>
      </c>
      <c r="I1264" s="1190" t="str">
        <f>'I. Stream &amp; Compound Data'!P278</f>
        <v/>
      </c>
      <c r="J1264" s="1295" t="str">
        <f>IF(I158="","",IF('I. Stream &amp; Compound Data'!CC278="",0,'I. Stream &amp; Compound Data'!CC278))</f>
        <v/>
      </c>
      <c r="K1264" s="1295" t="str">
        <f t="shared" si="65"/>
        <v/>
      </c>
      <c r="L1264" s="1317" t="str">
        <f>IF(K1264="","",IF('I. Stream &amp; Compound Data'!E48="H2O",0,(IF(J1264=0,1,J1264))*I1264))</f>
        <v/>
      </c>
      <c r="M1264" s="296"/>
      <c r="N1264" s="280"/>
      <c r="O1264" s="280"/>
      <c r="P1264" s="279"/>
      <c r="Q1264" s="297"/>
      <c r="R1264" s="298"/>
      <c r="S1264" s="298"/>
      <c r="T1264" s="299"/>
      <c r="U1264" s="279"/>
      <c r="V1264" s="279"/>
      <c r="W1264" s="279"/>
      <c r="X1264" s="279"/>
      <c r="Y1264" s="279"/>
      <c r="Z1264" s="279"/>
      <c r="AA1264" s="279"/>
      <c r="AB1264" s="279"/>
      <c r="AC1264" s="279"/>
      <c r="AD1264" s="279"/>
      <c r="AE1264" s="279"/>
      <c r="AF1264" s="279"/>
      <c r="AG1264" s="279"/>
      <c r="AH1264" s="279"/>
      <c r="AI1264" s="279"/>
      <c r="AJ1264" s="279"/>
      <c r="AK1264" s="279"/>
      <c r="AL1264" s="279"/>
      <c r="AM1264" s="279"/>
      <c r="AN1264" s="279"/>
      <c r="AO1264" s="279"/>
      <c r="AP1264" s="279"/>
      <c r="AQ1264" s="279"/>
      <c r="AR1264" s="279"/>
      <c r="AS1264" s="279"/>
      <c r="AT1264" s="279"/>
      <c r="AU1264" s="279"/>
      <c r="AV1264" s="279"/>
      <c r="AW1264" s="279"/>
      <c r="AX1264" s="279"/>
      <c r="AY1264" s="279"/>
      <c r="AZ1264" s="279"/>
      <c r="BA1264" s="279"/>
      <c r="BB1264" s="279"/>
      <c r="BC1264" s="279"/>
      <c r="BD1264" s="279"/>
      <c r="BE1264" s="279"/>
      <c r="BF1264" s="279"/>
      <c r="BG1264" s="279"/>
      <c r="BH1264" s="279"/>
      <c r="BI1264" s="279"/>
      <c r="BJ1264" s="279"/>
      <c r="BK1264" s="279"/>
      <c r="BL1264" s="279"/>
      <c r="BM1264" s="279"/>
      <c r="BN1264" s="279"/>
      <c r="BO1264" s="279"/>
      <c r="BP1264" s="279"/>
      <c r="BQ1264" s="279"/>
      <c r="BR1264" s="279"/>
      <c r="BS1264" s="279"/>
      <c r="BT1264" s="279"/>
      <c r="BU1264" s="279"/>
      <c r="BV1264" s="279"/>
      <c r="BW1264" s="279"/>
      <c r="BX1264" s="279"/>
      <c r="BY1264" s="279"/>
      <c r="BZ1264" s="279"/>
      <c r="CA1264" s="279"/>
      <c r="CB1264" s="279"/>
      <c r="CC1264" s="279"/>
      <c r="CD1264" s="279"/>
      <c r="CE1264" s="279"/>
      <c r="CF1264" s="279"/>
      <c r="CG1264" s="279"/>
      <c r="CH1264" s="279"/>
      <c r="CI1264" s="279"/>
      <c r="CJ1264" s="279"/>
      <c r="CK1264" s="279"/>
      <c r="CL1264" s="279"/>
      <c r="CM1264" s="279"/>
      <c r="CN1264" s="382"/>
    </row>
    <row r="1265" x14ac:dyDescent="0.3">
      <c r="B1265" s="361"/>
      <c r="C1265" s="279"/>
      <c r="D1265" s="280"/>
      <c r="E1265" s="287"/>
      <c r="F1265" s="287"/>
      <c r="G1265" s="287"/>
      <c r="H1265" s="1292">
        <f t="shared" si="64"/>
        <v>18</v>
      </c>
      <c r="I1265" s="1190" t="str">
        <f>'I. Stream &amp; Compound Data'!P279</f>
        <v/>
      </c>
      <c r="J1265" s="1295" t="str">
        <f>IF(I159="","",IF('I. Stream &amp; Compound Data'!CC279="",0,'I. Stream &amp; Compound Data'!CC279))</f>
        <v/>
      </c>
      <c r="K1265" s="1295" t="str">
        <f t="shared" si="65"/>
        <v/>
      </c>
      <c r="L1265" s="1317" t="str">
        <f>IF(K1265="","",IF('I. Stream &amp; Compound Data'!E49="H2O",0,(IF(J1265=0,1,J1265))*I1265))</f>
        <v/>
      </c>
      <c r="M1265" s="296"/>
      <c r="N1265" s="280"/>
      <c r="O1265" s="280"/>
      <c r="P1265" s="279"/>
      <c r="Q1265" s="297"/>
      <c r="R1265" s="298"/>
      <c r="S1265" s="298"/>
      <c r="T1265" s="299"/>
      <c r="U1265" s="279"/>
      <c r="V1265" s="279"/>
      <c r="W1265" s="279"/>
      <c r="X1265" s="279"/>
      <c r="Y1265" s="279"/>
      <c r="Z1265" s="279"/>
      <c r="AA1265" s="279"/>
      <c r="AB1265" s="279"/>
      <c r="AC1265" s="279"/>
      <c r="AD1265" s="279"/>
      <c r="AE1265" s="279"/>
      <c r="AF1265" s="279"/>
      <c r="AG1265" s="279"/>
      <c r="AH1265" s="279"/>
      <c r="AI1265" s="279"/>
      <c r="AJ1265" s="279"/>
      <c r="AK1265" s="279"/>
      <c r="AL1265" s="279"/>
      <c r="AM1265" s="279"/>
      <c r="AN1265" s="279"/>
      <c r="AO1265" s="279"/>
      <c r="AP1265" s="279"/>
      <c r="AQ1265" s="279"/>
      <c r="AR1265" s="279"/>
      <c r="AS1265" s="279"/>
      <c r="AT1265" s="279"/>
      <c r="AU1265" s="279"/>
      <c r="AV1265" s="279"/>
      <c r="AW1265" s="279"/>
      <c r="AX1265" s="279"/>
      <c r="AY1265" s="279"/>
      <c r="AZ1265" s="279"/>
      <c r="BA1265" s="279"/>
      <c r="BB1265" s="279"/>
      <c r="BC1265" s="279"/>
      <c r="BD1265" s="279"/>
      <c r="BE1265" s="279"/>
      <c r="BF1265" s="279"/>
      <c r="BG1265" s="279"/>
      <c r="BH1265" s="279"/>
      <c r="BI1265" s="279"/>
      <c r="BJ1265" s="279"/>
      <c r="BK1265" s="279"/>
      <c r="BL1265" s="279"/>
      <c r="BM1265" s="279"/>
      <c r="BN1265" s="279"/>
      <c r="BO1265" s="279"/>
      <c r="BP1265" s="279"/>
      <c r="BQ1265" s="279"/>
      <c r="BR1265" s="279"/>
      <c r="BS1265" s="279"/>
      <c r="BT1265" s="279"/>
      <c r="BU1265" s="279"/>
      <c r="BV1265" s="279"/>
      <c r="BW1265" s="279"/>
      <c r="BX1265" s="279"/>
      <c r="BY1265" s="279"/>
      <c r="BZ1265" s="279"/>
      <c r="CA1265" s="279"/>
      <c r="CB1265" s="279"/>
      <c r="CC1265" s="279"/>
      <c r="CD1265" s="279"/>
      <c r="CE1265" s="279"/>
      <c r="CF1265" s="279"/>
      <c r="CG1265" s="279"/>
      <c r="CH1265" s="279"/>
      <c r="CI1265" s="279"/>
      <c r="CJ1265" s="279"/>
      <c r="CK1265" s="279"/>
      <c r="CL1265" s="279"/>
      <c r="CM1265" s="279"/>
      <c r="CN1265" s="382"/>
    </row>
    <row r="1266" x14ac:dyDescent="0.3">
      <c r="B1266" s="361"/>
      <c r="C1266" s="279"/>
      <c r="D1266" s="280"/>
      <c r="E1266" s="287"/>
      <c r="F1266" s="287"/>
      <c r="G1266" s="287"/>
      <c r="H1266" s="1292">
        <f t="shared" si="64"/>
        <v>19</v>
      </c>
      <c r="I1266" s="1190" t="str">
        <f>'I. Stream &amp; Compound Data'!P280</f>
        <v/>
      </c>
      <c r="J1266" s="1295" t="str">
        <f>IF(I160="","",IF('I. Stream &amp; Compound Data'!CC280="",0,'I. Stream &amp; Compound Data'!CC280))</f>
        <v/>
      </c>
      <c r="K1266" s="1295" t="str">
        <f t="shared" si="65"/>
        <v/>
      </c>
      <c r="L1266" s="1317" t="str">
        <f>IF(K1266="","",IF('I. Stream &amp; Compound Data'!E50="H2O",0,(IF(J1266=0,1,J1266))*I1266))</f>
        <v/>
      </c>
      <c r="M1266" s="296"/>
      <c r="N1266" s="280"/>
      <c r="O1266" s="280"/>
      <c r="P1266" s="279"/>
      <c r="Q1266" s="297"/>
      <c r="R1266" s="298"/>
      <c r="S1266" s="298"/>
      <c r="T1266" s="299"/>
      <c r="U1266" s="279"/>
      <c r="V1266" s="279"/>
      <c r="W1266" s="279"/>
      <c r="X1266" s="279"/>
      <c r="Y1266" s="279"/>
      <c r="Z1266" s="279"/>
      <c r="AA1266" s="279"/>
      <c r="AB1266" s="279"/>
      <c r="AC1266" s="279"/>
      <c r="AD1266" s="279"/>
      <c r="AE1266" s="279"/>
      <c r="AF1266" s="279"/>
      <c r="AG1266" s="279"/>
      <c r="AH1266" s="279"/>
      <c r="AI1266" s="279"/>
      <c r="AJ1266" s="279"/>
      <c r="AK1266" s="279"/>
      <c r="AL1266" s="279"/>
      <c r="AM1266" s="279"/>
      <c r="AN1266" s="279"/>
      <c r="AO1266" s="279"/>
      <c r="AP1266" s="279"/>
      <c r="AQ1266" s="279"/>
      <c r="AR1266" s="279"/>
      <c r="AS1266" s="279"/>
      <c r="AT1266" s="279"/>
      <c r="AU1266" s="279"/>
      <c r="AV1266" s="279"/>
      <c r="AW1266" s="279"/>
      <c r="AX1266" s="279"/>
      <c r="AY1266" s="279"/>
      <c r="AZ1266" s="279"/>
      <c r="BA1266" s="279"/>
      <c r="BB1266" s="279"/>
      <c r="BC1266" s="279"/>
      <c r="BD1266" s="279"/>
      <c r="BE1266" s="279"/>
      <c r="BF1266" s="279"/>
      <c r="BG1266" s="279"/>
      <c r="BH1266" s="279"/>
      <c r="BI1266" s="279"/>
      <c r="BJ1266" s="279"/>
      <c r="BK1266" s="279"/>
      <c r="BL1266" s="279"/>
      <c r="BM1266" s="279"/>
      <c r="BN1266" s="279"/>
      <c r="BO1266" s="279"/>
      <c r="BP1266" s="279"/>
      <c r="BQ1266" s="279"/>
      <c r="BR1266" s="279"/>
      <c r="BS1266" s="279"/>
      <c r="BT1266" s="279"/>
      <c r="BU1266" s="279"/>
      <c r="BV1266" s="279"/>
      <c r="BW1266" s="279"/>
      <c r="BX1266" s="279"/>
      <c r="BY1266" s="279"/>
      <c r="BZ1266" s="279"/>
      <c r="CA1266" s="279"/>
      <c r="CB1266" s="279"/>
      <c r="CC1266" s="279"/>
      <c r="CD1266" s="279"/>
      <c r="CE1266" s="279"/>
      <c r="CF1266" s="279"/>
      <c r="CG1266" s="279"/>
      <c r="CH1266" s="279"/>
      <c r="CI1266" s="279"/>
      <c r="CJ1266" s="279"/>
      <c r="CK1266" s="279"/>
      <c r="CL1266" s="279"/>
      <c r="CM1266" s="279"/>
      <c r="CN1266" s="382"/>
    </row>
    <row r="1267" x14ac:dyDescent="0.3">
      <c r="B1267" s="361"/>
      <c r="C1267" s="279"/>
      <c r="D1267" s="280"/>
      <c r="E1267" s="287"/>
      <c r="F1267" s="287"/>
      <c r="G1267" s="287"/>
      <c r="H1267" s="1292">
        <f t="shared" si="64"/>
        <v>20</v>
      </c>
      <c r="I1267" s="1190" t="str">
        <f>'I. Stream &amp; Compound Data'!P281</f>
        <v/>
      </c>
      <c r="J1267" s="1295" t="str">
        <f>IF(I161="","",IF('I. Stream &amp; Compound Data'!CC281="",0,'I. Stream &amp; Compound Data'!CC281))</f>
        <v/>
      </c>
      <c r="K1267" s="1295" t="str">
        <f t="shared" ref="K1267:K1297" si="66">IF(I161="","",I1267*J1267)</f>
        <v/>
      </c>
      <c r="L1267" s="1317" t="str">
        <f>IF(K1267="","",IF('I. Stream &amp; Compound Data'!E51="H2O",0,(IF(J1267=0,1,J1267))*I1267))</f>
        <v/>
      </c>
      <c r="M1267" s="296"/>
      <c r="N1267" s="280"/>
      <c r="O1267" s="280"/>
      <c r="P1267" s="279"/>
      <c r="Q1267" s="297"/>
      <c r="R1267" s="298"/>
      <c r="S1267" s="298"/>
      <c r="T1267" s="299"/>
      <c r="U1267" s="279"/>
      <c r="V1267" s="279"/>
      <c r="W1267" s="279"/>
      <c r="X1267" s="279"/>
      <c r="Y1267" s="279"/>
      <c r="Z1267" s="279"/>
      <c r="AA1267" s="279"/>
      <c r="AB1267" s="279"/>
      <c r="AC1267" s="279"/>
      <c r="AD1267" s="279"/>
      <c r="AE1267" s="279"/>
      <c r="AF1267" s="279"/>
      <c r="AG1267" s="279"/>
      <c r="AH1267" s="279"/>
      <c r="AI1267" s="279"/>
      <c r="AJ1267" s="279"/>
      <c r="AK1267" s="279"/>
      <c r="AL1267" s="279"/>
      <c r="AM1267" s="279"/>
      <c r="AN1267" s="279"/>
      <c r="AO1267" s="279"/>
      <c r="AP1267" s="279"/>
      <c r="AQ1267" s="279"/>
      <c r="AR1267" s="279"/>
      <c r="AS1267" s="279"/>
      <c r="AT1267" s="279"/>
      <c r="AU1267" s="279"/>
      <c r="AV1267" s="279"/>
      <c r="AW1267" s="279"/>
      <c r="AX1267" s="279"/>
      <c r="AY1267" s="279"/>
      <c r="AZ1267" s="279"/>
      <c r="BA1267" s="279"/>
      <c r="BB1267" s="279"/>
      <c r="BC1267" s="279"/>
      <c r="BD1267" s="279"/>
      <c r="BE1267" s="279"/>
      <c r="BF1267" s="279"/>
      <c r="BG1267" s="279"/>
      <c r="BH1267" s="279"/>
      <c r="BI1267" s="279"/>
      <c r="BJ1267" s="279"/>
      <c r="BK1267" s="279"/>
      <c r="BL1267" s="279"/>
      <c r="BM1267" s="279"/>
      <c r="BN1267" s="279"/>
      <c r="BO1267" s="279"/>
      <c r="BP1267" s="279"/>
      <c r="BQ1267" s="279"/>
      <c r="BR1267" s="279"/>
      <c r="BS1267" s="279"/>
      <c r="BT1267" s="279"/>
      <c r="BU1267" s="279"/>
      <c r="BV1267" s="279"/>
      <c r="BW1267" s="279"/>
      <c r="BX1267" s="279"/>
      <c r="BY1267" s="279"/>
      <c r="BZ1267" s="279"/>
      <c r="CA1267" s="279"/>
      <c r="CB1267" s="279"/>
      <c r="CC1267" s="279"/>
      <c r="CD1267" s="279"/>
      <c r="CE1267" s="279"/>
      <c r="CF1267" s="279"/>
      <c r="CG1267" s="279"/>
      <c r="CH1267" s="279"/>
      <c r="CI1267" s="279"/>
      <c r="CJ1267" s="279"/>
      <c r="CK1267" s="279"/>
      <c r="CL1267" s="279"/>
      <c r="CM1267" s="279"/>
      <c r="CN1267" s="382"/>
    </row>
    <row r="1268" x14ac:dyDescent="0.3">
      <c r="B1268" s="361"/>
      <c r="C1268" s="279"/>
      <c r="D1268" s="280"/>
      <c r="E1268" s="287"/>
      <c r="F1268" s="287"/>
      <c r="G1268" s="287"/>
      <c r="H1268" s="1292">
        <f t="shared" si="64"/>
        <v>21</v>
      </c>
      <c r="I1268" s="1190" t="str">
        <f>'I. Stream &amp; Compound Data'!P282</f>
        <v/>
      </c>
      <c r="J1268" s="1295" t="str">
        <f>IF(I162="","",IF('I. Stream &amp; Compound Data'!CC282="",0,'I. Stream &amp; Compound Data'!CC282))</f>
        <v/>
      </c>
      <c r="K1268" s="1295" t="str">
        <f t="shared" si="66"/>
        <v/>
      </c>
      <c r="L1268" s="1317" t="str">
        <f>IF(K1268="","",IF('I. Stream &amp; Compound Data'!E52="H2O",0,(IF(J1268=0,1,J1268))*I1268))</f>
        <v/>
      </c>
      <c r="M1268" s="296"/>
      <c r="N1268" s="280"/>
      <c r="O1268" s="280"/>
      <c r="P1268" s="279"/>
      <c r="Q1268" s="297"/>
      <c r="R1268" s="298"/>
      <c r="S1268" s="298"/>
      <c r="T1268" s="299"/>
      <c r="U1268" s="279"/>
      <c r="V1268" s="279"/>
      <c r="W1268" s="279"/>
      <c r="X1268" s="279"/>
      <c r="Y1268" s="279"/>
      <c r="Z1268" s="279"/>
      <c r="AA1268" s="279"/>
      <c r="AB1268" s="279"/>
      <c r="AC1268" s="279"/>
      <c r="AD1268" s="279"/>
      <c r="AE1268" s="279"/>
      <c r="AF1268" s="279"/>
      <c r="AG1268" s="279"/>
      <c r="AH1268" s="279"/>
      <c r="AI1268" s="279"/>
      <c r="AJ1268" s="279"/>
      <c r="AK1268" s="279"/>
      <c r="AL1268" s="279"/>
      <c r="AM1268" s="279"/>
      <c r="AN1268" s="279"/>
      <c r="AO1268" s="279"/>
      <c r="AP1268" s="279"/>
      <c r="AQ1268" s="279"/>
      <c r="AR1268" s="279"/>
      <c r="AS1268" s="279"/>
      <c r="AT1268" s="279"/>
      <c r="AU1268" s="279"/>
      <c r="AV1268" s="279"/>
      <c r="AW1268" s="279"/>
      <c r="AX1268" s="279"/>
      <c r="AY1268" s="279"/>
      <c r="AZ1268" s="279"/>
      <c r="BA1268" s="279"/>
      <c r="BB1268" s="279"/>
      <c r="BC1268" s="279"/>
      <c r="BD1268" s="279"/>
      <c r="BE1268" s="279"/>
      <c r="BF1268" s="279"/>
      <c r="BG1268" s="279"/>
      <c r="BH1268" s="279"/>
      <c r="BI1268" s="279"/>
      <c r="BJ1268" s="279"/>
      <c r="BK1268" s="279"/>
      <c r="BL1268" s="279"/>
      <c r="BM1268" s="279"/>
      <c r="BN1268" s="279"/>
      <c r="BO1268" s="279"/>
      <c r="BP1268" s="279"/>
      <c r="BQ1268" s="279"/>
      <c r="BR1268" s="279"/>
      <c r="BS1268" s="279"/>
      <c r="BT1268" s="279"/>
      <c r="BU1268" s="279"/>
      <c r="BV1268" s="279"/>
      <c r="BW1268" s="279"/>
      <c r="BX1268" s="279"/>
      <c r="BY1268" s="279"/>
      <c r="BZ1268" s="279"/>
      <c r="CA1268" s="279"/>
      <c r="CB1268" s="279"/>
      <c r="CC1268" s="279"/>
      <c r="CD1268" s="279"/>
      <c r="CE1268" s="279"/>
      <c r="CF1268" s="279"/>
      <c r="CG1268" s="279"/>
      <c r="CH1268" s="279"/>
      <c r="CI1268" s="279"/>
      <c r="CJ1268" s="279"/>
      <c r="CK1268" s="279"/>
      <c r="CL1268" s="279"/>
      <c r="CM1268" s="279"/>
      <c r="CN1268" s="382"/>
    </row>
    <row r="1269" x14ac:dyDescent="0.3">
      <c r="B1269" s="361"/>
      <c r="C1269" s="279"/>
      <c r="D1269" s="280"/>
      <c r="E1269" s="287"/>
      <c r="F1269" s="287"/>
      <c r="G1269" s="287"/>
      <c r="H1269" s="1292">
        <f t="shared" si="64"/>
        <v>22</v>
      </c>
      <c r="I1269" s="1190" t="str">
        <f>'I. Stream &amp; Compound Data'!P283</f>
        <v/>
      </c>
      <c r="J1269" s="1295" t="str">
        <f>IF(I163="","",IF('I. Stream &amp; Compound Data'!CC283="",0,'I. Stream &amp; Compound Data'!CC283))</f>
        <v/>
      </c>
      <c r="K1269" s="1295" t="str">
        <f t="shared" si="66"/>
        <v/>
      </c>
      <c r="L1269" s="1317" t="str">
        <f>IF(K1269="","",IF('I. Stream &amp; Compound Data'!E53="H2O",0,(IF(J1269=0,1,J1269))*I1269))</f>
        <v/>
      </c>
      <c r="M1269" s="296"/>
      <c r="N1269" s="280"/>
      <c r="O1269" s="280"/>
      <c r="P1269" s="279"/>
      <c r="Q1269" s="297"/>
      <c r="R1269" s="298"/>
      <c r="S1269" s="298"/>
      <c r="T1269" s="299"/>
      <c r="U1269" s="279"/>
      <c r="V1269" s="279"/>
      <c r="W1269" s="279"/>
      <c r="X1269" s="279"/>
      <c r="Y1269" s="279"/>
      <c r="Z1269" s="279"/>
      <c r="AA1269" s="279"/>
      <c r="AB1269" s="279"/>
      <c r="AC1269" s="279"/>
      <c r="AD1269" s="279"/>
      <c r="AE1269" s="279"/>
      <c r="AF1269" s="279"/>
      <c r="AG1269" s="279"/>
      <c r="AH1269" s="279"/>
      <c r="AI1269" s="279"/>
      <c r="AJ1269" s="279"/>
      <c r="AK1269" s="279"/>
      <c r="AL1269" s="279"/>
      <c r="AM1269" s="279"/>
      <c r="AN1269" s="279"/>
      <c r="AO1269" s="279"/>
      <c r="AP1269" s="279"/>
      <c r="AQ1269" s="279"/>
      <c r="AR1269" s="279"/>
      <c r="AS1269" s="279"/>
      <c r="AT1269" s="279"/>
      <c r="AU1269" s="279"/>
      <c r="AV1269" s="279"/>
      <c r="AW1269" s="279"/>
      <c r="AX1269" s="279"/>
      <c r="AY1269" s="279"/>
      <c r="AZ1269" s="279"/>
      <c r="BA1269" s="279"/>
      <c r="BB1269" s="279"/>
      <c r="BC1269" s="279"/>
      <c r="BD1269" s="279"/>
      <c r="BE1269" s="279"/>
      <c r="BF1269" s="279"/>
      <c r="BG1269" s="279"/>
      <c r="BH1269" s="279"/>
      <c r="BI1269" s="279"/>
      <c r="BJ1269" s="279"/>
      <c r="BK1269" s="279"/>
      <c r="BL1269" s="279"/>
      <c r="BM1269" s="279"/>
      <c r="BN1269" s="279"/>
      <c r="BO1269" s="279"/>
      <c r="BP1269" s="279"/>
      <c r="BQ1269" s="279"/>
      <c r="BR1269" s="279"/>
      <c r="BS1269" s="279"/>
      <c r="BT1269" s="279"/>
      <c r="BU1269" s="279"/>
      <c r="BV1269" s="279"/>
      <c r="BW1269" s="279"/>
      <c r="BX1269" s="279"/>
      <c r="BY1269" s="279"/>
      <c r="BZ1269" s="279"/>
      <c r="CA1269" s="279"/>
      <c r="CB1269" s="279"/>
      <c r="CC1269" s="279"/>
      <c r="CD1269" s="279"/>
      <c r="CE1269" s="279"/>
      <c r="CF1269" s="279"/>
      <c r="CG1269" s="279"/>
      <c r="CH1269" s="279"/>
      <c r="CI1269" s="279"/>
      <c r="CJ1269" s="279"/>
      <c r="CK1269" s="279"/>
      <c r="CL1269" s="279"/>
      <c r="CM1269" s="279"/>
      <c r="CN1269" s="382"/>
    </row>
    <row r="1270" x14ac:dyDescent="0.3">
      <c r="B1270" s="361"/>
      <c r="C1270" s="279"/>
      <c r="D1270" s="280"/>
      <c r="E1270" s="287"/>
      <c r="F1270" s="287"/>
      <c r="G1270" s="287"/>
      <c r="H1270" s="1292">
        <f t="shared" si="64"/>
        <v>23</v>
      </c>
      <c r="I1270" s="1190" t="str">
        <f>'I. Stream &amp; Compound Data'!P284</f>
        <v/>
      </c>
      <c r="J1270" s="1295" t="str">
        <f>IF(I164="","",IF('I. Stream &amp; Compound Data'!CC284="",0,'I. Stream &amp; Compound Data'!CC284))</f>
        <v/>
      </c>
      <c r="K1270" s="1295" t="str">
        <f t="shared" si="66"/>
        <v/>
      </c>
      <c r="L1270" s="1317" t="str">
        <f>IF(K1270="","",IF('I. Stream &amp; Compound Data'!E54="H2O",0,(IF(J1270=0,1,J1270))*I1270))</f>
        <v/>
      </c>
      <c r="M1270" s="296"/>
      <c r="N1270" s="280"/>
      <c r="O1270" s="280"/>
      <c r="P1270" s="279"/>
      <c r="Q1270" s="297"/>
      <c r="R1270" s="298"/>
      <c r="S1270" s="298"/>
      <c r="T1270" s="299"/>
      <c r="U1270" s="279"/>
      <c r="V1270" s="279"/>
      <c r="W1270" s="279"/>
      <c r="X1270" s="279"/>
      <c r="Y1270" s="279"/>
      <c r="Z1270" s="279"/>
      <c r="AA1270" s="279"/>
      <c r="AB1270" s="279"/>
      <c r="AC1270" s="279"/>
      <c r="AD1270" s="279"/>
      <c r="AE1270" s="279"/>
      <c r="AF1270" s="279"/>
      <c r="AG1270" s="279"/>
      <c r="AH1270" s="279"/>
      <c r="AI1270" s="279"/>
      <c r="AJ1270" s="279"/>
      <c r="AK1270" s="279"/>
      <c r="AL1270" s="279"/>
      <c r="AM1270" s="279"/>
      <c r="AN1270" s="279"/>
      <c r="AO1270" s="279"/>
      <c r="AP1270" s="279"/>
      <c r="AQ1270" s="279"/>
      <c r="AR1270" s="279"/>
      <c r="AS1270" s="279"/>
      <c r="AT1270" s="279"/>
      <c r="AU1270" s="279"/>
      <c r="AV1270" s="279"/>
      <c r="AW1270" s="279"/>
      <c r="AX1270" s="279"/>
      <c r="AY1270" s="279"/>
      <c r="AZ1270" s="279"/>
      <c r="BA1270" s="279"/>
      <c r="BB1270" s="279"/>
      <c r="BC1270" s="279"/>
      <c r="BD1270" s="279"/>
      <c r="BE1270" s="279"/>
      <c r="BF1270" s="279"/>
      <c r="BG1270" s="279"/>
      <c r="BH1270" s="279"/>
      <c r="BI1270" s="279"/>
      <c r="BJ1270" s="279"/>
      <c r="BK1270" s="279"/>
      <c r="BL1270" s="279"/>
      <c r="BM1270" s="279"/>
      <c r="BN1270" s="279"/>
      <c r="BO1270" s="279"/>
      <c r="BP1270" s="279"/>
      <c r="BQ1270" s="279"/>
      <c r="BR1270" s="279"/>
      <c r="BS1270" s="279"/>
      <c r="BT1270" s="279"/>
      <c r="BU1270" s="279"/>
      <c r="BV1270" s="279"/>
      <c r="BW1270" s="279"/>
      <c r="BX1270" s="279"/>
      <c r="BY1270" s="279"/>
      <c r="BZ1270" s="279"/>
      <c r="CA1270" s="279"/>
      <c r="CB1270" s="279"/>
      <c r="CC1270" s="279"/>
      <c r="CD1270" s="279"/>
      <c r="CE1270" s="279"/>
      <c r="CF1270" s="279"/>
      <c r="CG1270" s="279"/>
      <c r="CH1270" s="279"/>
      <c r="CI1270" s="279"/>
      <c r="CJ1270" s="279"/>
      <c r="CK1270" s="279"/>
      <c r="CL1270" s="279"/>
      <c r="CM1270" s="279"/>
      <c r="CN1270" s="382"/>
    </row>
    <row r="1271" x14ac:dyDescent="0.3">
      <c r="B1271" s="361"/>
      <c r="C1271" s="279"/>
      <c r="D1271" s="280"/>
      <c r="E1271" s="287"/>
      <c r="F1271" s="287"/>
      <c r="G1271" s="287"/>
      <c r="H1271" s="1292">
        <f t="shared" si="64"/>
        <v>24</v>
      </c>
      <c r="I1271" s="1190" t="str">
        <f>'I. Stream &amp; Compound Data'!P285</f>
        <v/>
      </c>
      <c r="J1271" s="1295" t="str">
        <f>IF(I165="","",IF('I. Stream &amp; Compound Data'!CC285="",0,'I. Stream &amp; Compound Data'!CC285))</f>
        <v/>
      </c>
      <c r="K1271" s="1295" t="str">
        <f t="shared" si="66"/>
        <v/>
      </c>
      <c r="L1271" s="1317" t="str">
        <f>IF(K1271="","",IF('I. Stream &amp; Compound Data'!E55="H2O",0,(IF(J1271=0,1,J1271))*I1271))</f>
        <v/>
      </c>
      <c r="M1271" s="296"/>
      <c r="N1271" s="280"/>
      <c r="O1271" s="280"/>
      <c r="P1271" s="279"/>
      <c r="Q1271" s="297"/>
      <c r="R1271" s="298"/>
      <c r="S1271" s="298"/>
      <c r="T1271" s="299"/>
      <c r="U1271" s="279"/>
      <c r="V1271" s="279"/>
      <c r="W1271" s="279"/>
      <c r="X1271" s="279"/>
      <c r="Y1271" s="279"/>
      <c r="Z1271" s="279"/>
      <c r="AA1271" s="279"/>
      <c r="AB1271" s="279"/>
      <c r="AC1271" s="279"/>
      <c r="AD1271" s="279"/>
      <c r="AE1271" s="279"/>
      <c r="AF1271" s="279"/>
      <c r="AG1271" s="279"/>
      <c r="AH1271" s="279"/>
      <c r="AI1271" s="279"/>
      <c r="AJ1271" s="279"/>
      <c r="AK1271" s="279"/>
      <c r="AL1271" s="279"/>
      <c r="AM1271" s="279"/>
      <c r="AN1271" s="279"/>
      <c r="AO1271" s="279"/>
      <c r="AP1271" s="279"/>
      <c r="AQ1271" s="279"/>
      <c r="AR1271" s="279"/>
      <c r="AS1271" s="279"/>
      <c r="AT1271" s="279"/>
      <c r="AU1271" s="279"/>
      <c r="AV1271" s="279"/>
      <c r="AW1271" s="279"/>
      <c r="AX1271" s="279"/>
      <c r="AY1271" s="279"/>
      <c r="AZ1271" s="279"/>
      <c r="BA1271" s="279"/>
      <c r="BB1271" s="279"/>
      <c r="BC1271" s="279"/>
      <c r="BD1271" s="279"/>
      <c r="BE1271" s="279"/>
      <c r="BF1271" s="279"/>
      <c r="BG1271" s="279"/>
      <c r="BH1271" s="279"/>
      <c r="BI1271" s="279"/>
      <c r="BJ1271" s="279"/>
      <c r="BK1271" s="279"/>
      <c r="BL1271" s="279"/>
      <c r="BM1271" s="279"/>
      <c r="BN1271" s="279"/>
      <c r="BO1271" s="279"/>
      <c r="BP1271" s="279"/>
      <c r="BQ1271" s="279"/>
      <c r="BR1271" s="279"/>
      <c r="BS1271" s="279"/>
      <c r="BT1271" s="279"/>
      <c r="BU1271" s="279"/>
      <c r="BV1271" s="279"/>
      <c r="BW1271" s="279"/>
      <c r="BX1271" s="279"/>
      <c r="BY1271" s="279"/>
      <c r="BZ1271" s="279"/>
      <c r="CA1271" s="279"/>
      <c r="CB1271" s="279"/>
      <c r="CC1271" s="279"/>
      <c r="CD1271" s="279"/>
      <c r="CE1271" s="279"/>
      <c r="CF1271" s="279"/>
      <c r="CG1271" s="279"/>
      <c r="CH1271" s="279"/>
      <c r="CI1271" s="279"/>
      <c r="CJ1271" s="279"/>
      <c r="CK1271" s="279"/>
      <c r="CL1271" s="279"/>
      <c r="CM1271" s="279"/>
      <c r="CN1271" s="382"/>
    </row>
    <row r="1272" x14ac:dyDescent="0.3">
      <c r="B1272" s="361"/>
      <c r="C1272" s="279"/>
      <c r="D1272" s="280"/>
      <c r="E1272" s="287"/>
      <c r="F1272" s="287"/>
      <c r="G1272" s="287"/>
      <c r="H1272" s="1292">
        <f t="shared" si="64"/>
        <v>25</v>
      </c>
      <c r="I1272" s="1190" t="str">
        <f>'I. Stream &amp; Compound Data'!P286</f>
        <v/>
      </c>
      <c r="J1272" s="1295" t="str">
        <f>IF(I166="","",IF('I. Stream &amp; Compound Data'!CC286="",0,'I. Stream &amp; Compound Data'!CC286))</f>
        <v/>
      </c>
      <c r="K1272" s="1295" t="str">
        <f t="shared" si="66"/>
        <v/>
      </c>
      <c r="L1272" s="1317" t="str">
        <f>IF(K1272="","",IF('I. Stream &amp; Compound Data'!E56="H2O",0,(IF(J1272=0,1,J1272))*I1272))</f>
        <v/>
      </c>
      <c r="M1272" s="296"/>
      <c r="N1272" s="280"/>
      <c r="O1272" s="280"/>
      <c r="P1272" s="279"/>
      <c r="Q1272" s="297"/>
      <c r="R1272" s="298"/>
      <c r="S1272" s="298"/>
      <c r="T1272" s="299"/>
      <c r="U1272" s="279"/>
      <c r="V1272" s="279"/>
      <c r="W1272" s="279"/>
      <c r="X1272" s="279"/>
      <c r="Y1272" s="279"/>
      <c r="Z1272" s="279"/>
      <c r="AA1272" s="279"/>
      <c r="AB1272" s="279"/>
      <c r="AC1272" s="279"/>
      <c r="AD1272" s="279"/>
      <c r="AE1272" s="279"/>
      <c r="AF1272" s="279"/>
      <c r="AG1272" s="279"/>
      <c r="AH1272" s="279"/>
      <c r="AI1272" s="279"/>
      <c r="AJ1272" s="279"/>
      <c r="AK1272" s="279"/>
      <c r="AL1272" s="279"/>
      <c r="AM1272" s="279"/>
      <c r="AN1272" s="279"/>
      <c r="AO1272" s="279"/>
      <c r="AP1272" s="279"/>
      <c r="AQ1272" s="279"/>
      <c r="AR1272" s="279"/>
      <c r="AS1272" s="279"/>
      <c r="AT1272" s="279"/>
      <c r="AU1272" s="279"/>
      <c r="AV1272" s="279"/>
      <c r="AW1272" s="279"/>
      <c r="AX1272" s="279"/>
      <c r="AY1272" s="279"/>
      <c r="AZ1272" s="279"/>
      <c r="BA1272" s="279"/>
      <c r="BB1272" s="279"/>
      <c r="BC1272" s="279"/>
      <c r="BD1272" s="279"/>
      <c r="BE1272" s="279"/>
      <c r="BF1272" s="279"/>
      <c r="BG1272" s="279"/>
      <c r="BH1272" s="279"/>
      <c r="BI1272" s="279"/>
      <c r="BJ1272" s="279"/>
      <c r="BK1272" s="279"/>
      <c r="BL1272" s="279"/>
      <c r="BM1272" s="279"/>
      <c r="BN1272" s="279"/>
      <c r="BO1272" s="279"/>
      <c r="BP1272" s="279"/>
      <c r="BQ1272" s="279"/>
      <c r="BR1272" s="279"/>
      <c r="BS1272" s="279"/>
      <c r="BT1272" s="279"/>
      <c r="BU1272" s="279"/>
      <c r="BV1272" s="279"/>
      <c r="BW1272" s="279"/>
      <c r="BX1272" s="279"/>
      <c r="BY1272" s="279"/>
      <c r="BZ1272" s="279"/>
      <c r="CA1272" s="279"/>
      <c r="CB1272" s="279"/>
      <c r="CC1272" s="279"/>
      <c r="CD1272" s="279"/>
      <c r="CE1272" s="279"/>
      <c r="CF1272" s="279"/>
      <c r="CG1272" s="279"/>
      <c r="CH1272" s="279"/>
      <c r="CI1272" s="279"/>
      <c r="CJ1272" s="279"/>
      <c r="CK1272" s="279"/>
      <c r="CL1272" s="279"/>
      <c r="CM1272" s="279"/>
      <c r="CN1272" s="382"/>
    </row>
    <row r="1273" x14ac:dyDescent="0.3">
      <c r="B1273" s="361"/>
      <c r="C1273" s="279"/>
      <c r="D1273" s="280"/>
      <c r="E1273" s="287"/>
      <c r="F1273" s="287"/>
      <c r="G1273" s="287"/>
      <c r="H1273" s="1292">
        <f t="shared" si="64"/>
        <v>26</v>
      </c>
      <c r="I1273" s="1190" t="str">
        <f>'I. Stream &amp; Compound Data'!P287</f>
        <v/>
      </c>
      <c r="J1273" s="1295" t="str">
        <f>IF(I167="","",IF('I. Stream &amp; Compound Data'!CC287="",0,'I. Stream &amp; Compound Data'!CC287))</f>
        <v/>
      </c>
      <c r="K1273" s="1295" t="str">
        <f t="shared" si="66"/>
        <v/>
      </c>
      <c r="L1273" s="1317" t="str">
        <f>IF(K1273="","",IF('I. Stream &amp; Compound Data'!E57="H2O",0,(IF(J1273=0,1,J1273))*I1273))</f>
        <v/>
      </c>
      <c r="M1273" s="296"/>
      <c r="N1273" s="280"/>
      <c r="O1273" s="280"/>
      <c r="P1273" s="279"/>
      <c r="Q1273" s="297"/>
      <c r="R1273" s="298"/>
      <c r="S1273" s="298"/>
      <c r="T1273" s="299"/>
      <c r="U1273" s="279"/>
      <c r="V1273" s="279"/>
      <c r="W1273" s="279"/>
      <c r="X1273" s="279"/>
      <c r="Y1273" s="279"/>
      <c r="Z1273" s="279"/>
      <c r="AA1273" s="279"/>
      <c r="AB1273" s="279"/>
      <c r="AC1273" s="279"/>
      <c r="AD1273" s="279"/>
      <c r="AE1273" s="279"/>
      <c r="AF1273" s="279"/>
      <c r="AG1273" s="279"/>
      <c r="AH1273" s="279"/>
      <c r="AI1273" s="279"/>
      <c r="AJ1273" s="279"/>
      <c r="AK1273" s="279"/>
      <c r="AL1273" s="279"/>
      <c r="AM1273" s="279"/>
      <c r="AN1273" s="279"/>
      <c r="AO1273" s="279"/>
      <c r="AP1273" s="279"/>
      <c r="AQ1273" s="279"/>
      <c r="AR1273" s="279"/>
      <c r="AS1273" s="279"/>
      <c r="AT1273" s="279"/>
      <c r="AU1273" s="279"/>
      <c r="AV1273" s="279"/>
      <c r="AW1273" s="279"/>
      <c r="AX1273" s="279"/>
      <c r="AY1273" s="279"/>
      <c r="AZ1273" s="279"/>
      <c r="BA1273" s="279"/>
      <c r="BB1273" s="279"/>
      <c r="BC1273" s="279"/>
      <c r="BD1273" s="279"/>
      <c r="BE1273" s="279"/>
      <c r="BF1273" s="279"/>
      <c r="BG1273" s="279"/>
      <c r="BH1273" s="279"/>
      <c r="BI1273" s="279"/>
      <c r="BJ1273" s="279"/>
      <c r="BK1273" s="279"/>
      <c r="BL1273" s="279"/>
      <c r="BM1273" s="279"/>
      <c r="BN1273" s="279"/>
      <c r="BO1273" s="279"/>
      <c r="BP1273" s="279"/>
      <c r="BQ1273" s="279"/>
      <c r="BR1273" s="279"/>
      <c r="BS1273" s="279"/>
      <c r="BT1273" s="279"/>
      <c r="BU1273" s="279"/>
      <c r="BV1273" s="279"/>
      <c r="BW1273" s="279"/>
      <c r="BX1273" s="279"/>
      <c r="BY1273" s="279"/>
      <c r="BZ1273" s="279"/>
      <c r="CA1273" s="279"/>
      <c r="CB1273" s="279"/>
      <c r="CC1273" s="279"/>
      <c r="CD1273" s="279"/>
      <c r="CE1273" s="279"/>
      <c r="CF1273" s="279"/>
      <c r="CG1273" s="279"/>
      <c r="CH1273" s="279"/>
      <c r="CI1273" s="279"/>
      <c r="CJ1273" s="279"/>
      <c r="CK1273" s="279"/>
      <c r="CL1273" s="279"/>
      <c r="CM1273" s="279"/>
      <c r="CN1273" s="382"/>
    </row>
    <row r="1274" x14ac:dyDescent="0.3">
      <c r="B1274" s="361"/>
      <c r="C1274" s="279"/>
      <c r="D1274" s="280"/>
      <c r="E1274" s="287"/>
      <c r="F1274" s="287"/>
      <c r="G1274" s="287"/>
      <c r="H1274" s="1292">
        <f t="shared" si="64"/>
        <v>27</v>
      </c>
      <c r="I1274" s="1190" t="str">
        <f>'I. Stream &amp; Compound Data'!P288</f>
        <v/>
      </c>
      <c r="J1274" s="1295" t="str">
        <f>IF(I168="","",IF('I. Stream &amp; Compound Data'!CC288="",0,'I. Stream &amp; Compound Data'!CC288))</f>
        <v/>
      </c>
      <c r="K1274" s="1295" t="str">
        <f t="shared" si="66"/>
        <v/>
      </c>
      <c r="L1274" s="1317" t="str">
        <f>IF(K1274="","",IF('I. Stream &amp; Compound Data'!E58="H2O",0,(IF(J1274=0,1,J1274))*I1274))</f>
        <v/>
      </c>
      <c r="M1274" s="296"/>
      <c r="N1274" s="280"/>
      <c r="O1274" s="280"/>
      <c r="P1274" s="279"/>
      <c r="Q1274" s="297"/>
      <c r="R1274" s="298"/>
      <c r="S1274" s="298"/>
      <c r="T1274" s="299"/>
      <c r="U1274" s="279"/>
      <c r="V1274" s="279"/>
      <c r="W1274" s="279"/>
      <c r="X1274" s="279"/>
      <c r="Y1274" s="279"/>
      <c r="Z1274" s="279"/>
      <c r="AA1274" s="279"/>
      <c r="AB1274" s="279"/>
      <c r="AC1274" s="279"/>
      <c r="AD1274" s="279"/>
      <c r="AE1274" s="279"/>
      <c r="AF1274" s="279"/>
      <c r="AG1274" s="279"/>
      <c r="AH1274" s="279"/>
      <c r="AI1274" s="279"/>
      <c r="AJ1274" s="279"/>
      <c r="AK1274" s="279"/>
      <c r="AL1274" s="279"/>
      <c r="AM1274" s="279"/>
      <c r="AN1274" s="279"/>
      <c r="AO1274" s="279"/>
      <c r="AP1274" s="279"/>
      <c r="AQ1274" s="279"/>
      <c r="AR1274" s="279"/>
      <c r="AS1274" s="279"/>
      <c r="AT1274" s="279"/>
      <c r="AU1274" s="279"/>
      <c r="AV1274" s="279"/>
      <c r="AW1274" s="279"/>
      <c r="AX1274" s="279"/>
      <c r="AY1274" s="279"/>
      <c r="AZ1274" s="279"/>
      <c r="BA1274" s="279"/>
      <c r="BB1274" s="279"/>
      <c r="BC1274" s="279"/>
      <c r="BD1274" s="279"/>
      <c r="BE1274" s="279"/>
      <c r="BF1274" s="279"/>
      <c r="BG1274" s="279"/>
      <c r="BH1274" s="279"/>
      <c r="BI1274" s="279"/>
      <c r="BJ1274" s="279"/>
      <c r="BK1274" s="279"/>
      <c r="BL1274" s="279"/>
      <c r="BM1274" s="279"/>
      <c r="BN1274" s="279"/>
      <c r="BO1274" s="279"/>
      <c r="BP1274" s="279"/>
      <c r="BQ1274" s="279"/>
      <c r="BR1274" s="279"/>
      <c r="BS1274" s="279"/>
      <c r="BT1274" s="279"/>
      <c r="BU1274" s="279"/>
      <c r="BV1274" s="279"/>
      <c r="BW1274" s="279"/>
      <c r="BX1274" s="279"/>
      <c r="BY1274" s="279"/>
      <c r="BZ1274" s="279"/>
      <c r="CA1274" s="279"/>
      <c r="CB1274" s="279"/>
      <c r="CC1274" s="279"/>
      <c r="CD1274" s="279"/>
      <c r="CE1274" s="279"/>
      <c r="CF1274" s="279"/>
      <c r="CG1274" s="279"/>
      <c r="CH1274" s="279"/>
      <c r="CI1274" s="279"/>
      <c r="CJ1274" s="279"/>
      <c r="CK1274" s="279"/>
      <c r="CL1274" s="279"/>
      <c r="CM1274" s="279"/>
      <c r="CN1274" s="382"/>
    </row>
    <row r="1275" x14ac:dyDescent="0.3">
      <c r="B1275" s="361"/>
      <c r="C1275" s="279"/>
      <c r="D1275" s="280"/>
      <c r="E1275" s="287"/>
      <c r="F1275" s="287"/>
      <c r="G1275" s="287"/>
      <c r="H1275" s="1292">
        <f t="shared" si="64"/>
        <v>28</v>
      </c>
      <c r="I1275" s="1190" t="str">
        <f>'I. Stream &amp; Compound Data'!P289</f>
        <v/>
      </c>
      <c r="J1275" s="1295" t="str">
        <f>IF(I169="","",IF('I. Stream &amp; Compound Data'!CC289="",0,'I. Stream &amp; Compound Data'!CC289))</f>
        <v/>
      </c>
      <c r="K1275" s="1295" t="str">
        <f t="shared" si="66"/>
        <v/>
      </c>
      <c r="L1275" s="1317" t="str">
        <f>IF(K1275="","",IF('I. Stream &amp; Compound Data'!E59="H2O",0,(IF(J1275=0,1,J1275))*I1275))</f>
        <v/>
      </c>
      <c r="M1275" s="296"/>
      <c r="N1275" s="280"/>
      <c r="O1275" s="280"/>
      <c r="P1275" s="279"/>
      <c r="Q1275" s="297"/>
      <c r="R1275" s="298"/>
      <c r="S1275" s="298"/>
      <c r="T1275" s="299"/>
      <c r="U1275" s="279"/>
      <c r="V1275" s="279"/>
      <c r="W1275" s="279"/>
      <c r="X1275" s="279"/>
      <c r="Y1275" s="279"/>
      <c r="Z1275" s="279"/>
      <c r="AA1275" s="279"/>
      <c r="AB1275" s="279"/>
      <c r="AC1275" s="279"/>
      <c r="AD1275" s="279"/>
      <c r="AE1275" s="279"/>
      <c r="AF1275" s="279"/>
      <c r="AG1275" s="279"/>
      <c r="AH1275" s="279"/>
      <c r="AI1275" s="279"/>
      <c r="AJ1275" s="279"/>
      <c r="AK1275" s="279"/>
      <c r="AL1275" s="279"/>
      <c r="AM1275" s="279"/>
      <c r="AN1275" s="279"/>
      <c r="AO1275" s="279"/>
      <c r="AP1275" s="279"/>
      <c r="AQ1275" s="279"/>
      <c r="AR1275" s="279"/>
      <c r="AS1275" s="279"/>
      <c r="AT1275" s="279"/>
      <c r="AU1275" s="279"/>
      <c r="AV1275" s="279"/>
      <c r="AW1275" s="279"/>
      <c r="AX1275" s="279"/>
      <c r="AY1275" s="279"/>
      <c r="AZ1275" s="279"/>
      <c r="BA1275" s="279"/>
      <c r="BB1275" s="279"/>
      <c r="BC1275" s="279"/>
      <c r="BD1275" s="279"/>
      <c r="BE1275" s="279"/>
      <c r="BF1275" s="279"/>
      <c r="BG1275" s="279"/>
      <c r="BH1275" s="279"/>
      <c r="BI1275" s="279"/>
      <c r="BJ1275" s="279"/>
      <c r="BK1275" s="279"/>
      <c r="BL1275" s="279"/>
      <c r="BM1275" s="279"/>
      <c r="BN1275" s="279"/>
      <c r="BO1275" s="279"/>
      <c r="BP1275" s="279"/>
      <c r="BQ1275" s="279"/>
      <c r="BR1275" s="279"/>
      <c r="BS1275" s="279"/>
      <c r="BT1275" s="279"/>
      <c r="BU1275" s="279"/>
      <c r="BV1275" s="279"/>
      <c r="BW1275" s="279"/>
      <c r="BX1275" s="279"/>
      <c r="BY1275" s="279"/>
      <c r="BZ1275" s="279"/>
      <c r="CA1275" s="279"/>
      <c r="CB1275" s="279"/>
      <c r="CC1275" s="279"/>
      <c r="CD1275" s="279"/>
      <c r="CE1275" s="279"/>
      <c r="CF1275" s="279"/>
      <c r="CG1275" s="279"/>
      <c r="CH1275" s="279"/>
      <c r="CI1275" s="279"/>
      <c r="CJ1275" s="279"/>
      <c r="CK1275" s="279"/>
      <c r="CL1275" s="279"/>
      <c r="CM1275" s="279"/>
      <c r="CN1275" s="382"/>
    </row>
    <row r="1276" x14ac:dyDescent="0.3">
      <c r="B1276" s="361"/>
      <c r="C1276" s="279"/>
      <c r="D1276" s="280"/>
      <c r="E1276" s="287"/>
      <c r="F1276" s="287"/>
      <c r="G1276" s="287"/>
      <c r="H1276" s="1292">
        <f t="shared" si="64"/>
        <v>29</v>
      </c>
      <c r="I1276" s="1190" t="str">
        <f>'I. Stream &amp; Compound Data'!P290</f>
        <v/>
      </c>
      <c r="J1276" s="1295" t="str">
        <f>IF(I170="","",IF('I. Stream &amp; Compound Data'!CC290="",0,'I. Stream &amp; Compound Data'!CC290))</f>
        <v/>
      </c>
      <c r="K1276" s="1295" t="str">
        <f t="shared" si="66"/>
        <v/>
      </c>
      <c r="L1276" s="1317" t="str">
        <f>IF(K1276="","",IF('I. Stream &amp; Compound Data'!E60="H2O",0,(IF(J1276=0,1,J1276))*I1276))</f>
        <v/>
      </c>
      <c r="M1276" s="296"/>
      <c r="N1276" s="280"/>
      <c r="O1276" s="280"/>
      <c r="P1276" s="279"/>
      <c r="Q1276" s="297"/>
      <c r="R1276" s="298"/>
      <c r="S1276" s="298"/>
      <c r="T1276" s="299"/>
      <c r="U1276" s="279"/>
      <c r="V1276" s="279"/>
      <c r="W1276" s="279"/>
      <c r="X1276" s="279"/>
      <c r="Y1276" s="279"/>
      <c r="Z1276" s="279"/>
      <c r="AA1276" s="279"/>
      <c r="AB1276" s="279"/>
      <c r="AC1276" s="279"/>
      <c r="AD1276" s="279"/>
      <c r="AE1276" s="279"/>
      <c r="AF1276" s="279"/>
      <c r="AG1276" s="279"/>
      <c r="AH1276" s="279"/>
      <c r="AI1276" s="279"/>
      <c r="AJ1276" s="279"/>
      <c r="AK1276" s="279"/>
      <c r="AL1276" s="279"/>
      <c r="AM1276" s="279"/>
      <c r="AN1276" s="279"/>
      <c r="AO1276" s="279"/>
      <c r="AP1276" s="279"/>
      <c r="AQ1276" s="279"/>
      <c r="AR1276" s="279"/>
      <c r="AS1276" s="279"/>
      <c r="AT1276" s="279"/>
      <c r="AU1276" s="279"/>
      <c r="AV1276" s="279"/>
      <c r="AW1276" s="279"/>
      <c r="AX1276" s="279"/>
      <c r="AY1276" s="279"/>
      <c r="AZ1276" s="279"/>
      <c r="BA1276" s="279"/>
      <c r="BB1276" s="279"/>
      <c r="BC1276" s="279"/>
      <c r="BD1276" s="279"/>
      <c r="BE1276" s="279"/>
      <c r="BF1276" s="279"/>
      <c r="BG1276" s="279"/>
      <c r="BH1276" s="279"/>
      <c r="BI1276" s="279"/>
      <c r="BJ1276" s="279"/>
      <c r="BK1276" s="279"/>
      <c r="BL1276" s="279"/>
      <c r="BM1276" s="279"/>
      <c r="BN1276" s="279"/>
      <c r="BO1276" s="279"/>
      <c r="BP1276" s="279"/>
      <c r="BQ1276" s="279"/>
      <c r="BR1276" s="279"/>
      <c r="BS1276" s="279"/>
      <c r="BT1276" s="279"/>
      <c r="BU1276" s="279"/>
      <c r="BV1276" s="279"/>
      <c r="BW1276" s="279"/>
      <c r="BX1276" s="279"/>
      <c r="BY1276" s="279"/>
      <c r="BZ1276" s="279"/>
      <c r="CA1276" s="279"/>
      <c r="CB1276" s="279"/>
      <c r="CC1276" s="279"/>
      <c r="CD1276" s="279"/>
      <c r="CE1276" s="279"/>
      <c r="CF1276" s="279"/>
      <c r="CG1276" s="279"/>
      <c r="CH1276" s="279"/>
      <c r="CI1276" s="279"/>
      <c r="CJ1276" s="279"/>
      <c r="CK1276" s="279"/>
      <c r="CL1276" s="279"/>
      <c r="CM1276" s="279"/>
      <c r="CN1276" s="382"/>
    </row>
    <row r="1277" x14ac:dyDescent="0.3">
      <c r="B1277" s="361"/>
      <c r="C1277" s="279"/>
      <c r="D1277" s="280"/>
      <c r="E1277" s="287"/>
      <c r="F1277" s="287"/>
      <c r="G1277" s="287"/>
      <c r="H1277" s="1292">
        <f t="shared" si="64"/>
        <v>30</v>
      </c>
      <c r="I1277" s="1190" t="str">
        <f>'I. Stream &amp; Compound Data'!P291</f>
        <v/>
      </c>
      <c r="J1277" s="1295" t="str">
        <f>IF(I171="","",IF('I. Stream &amp; Compound Data'!CC291="",0,'I. Stream &amp; Compound Data'!CC291))</f>
        <v/>
      </c>
      <c r="K1277" s="1295" t="str">
        <f t="shared" si="66"/>
        <v/>
      </c>
      <c r="L1277" s="1317" t="str">
        <f>IF(K1277="","",IF('I. Stream &amp; Compound Data'!E61="H2O",0,(IF(J1277=0,1,J1277))*I1277))</f>
        <v/>
      </c>
      <c r="M1277" s="296"/>
      <c r="N1277" s="280"/>
      <c r="O1277" s="280"/>
      <c r="P1277" s="279"/>
      <c r="Q1277" s="297"/>
      <c r="R1277" s="298"/>
      <c r="S1277" s="298"/>
      <c r="T1277" s="299"/>
      <c r="U1277" s="279"/>
      <c r="V1277" s="279"/>
      <c r="W1277" s="279"/>
      <c r="X1277" s="279"/>
      <c r="Y1277" s="279"/>
      <c r="Z1277" s="279"/>
      <c r="AA1277" s="279"/>
      <c r="AB1277" s="279"/>
      <c r="AC1277" s="279"/>
      <c r="AD1277" s="279"/>
      <c r="AE1277" s="279"/>
      <c r="AF1277" s="279"/>
      <c r="AG1277" s="279"/>
      <c r="AH1277" s="279"/>
      <c r="AI1277" s="279"/>
      <c r="AJ1277" s="279"/>
      <c r="AK1277" s="279"/>
      <c r="AL1277" s="279"/>
      <c r="AM1277" s="279"/>
      <c r="AN1277" s="279"/>
      <c r="AO1277" s="279"/>
      <c r="AP1277" s="279"/>
      <c r="AQ1277" s="279"/>
      <c r="AR1277" s="279"/>
      <c r="AS1277" s="279"/>
      <c r="AT1277" s="279"/>
      <c r="AU1277" s="279"/>
      <c r="AV1277" s="279"/>
      <c r="AW1277" s="279"/>
      <c r="AX1277" s="279"/>
      <c r="AY1277" s="279"/>
      <c r="AZ1277" s="279"/>
      <c r="BA1277" s="279"/>
      <c r="BB1277" s="279"/>
      <c r="BC1277" s="279"/>
      <c r="BD1277" s="279"/>
      <c r="BE1277" s="279"/>
      <c r="BF1277" s="279"/>
      <c r="BG1277" s="279"/>
      <c r="BH1277" s="279"/>
      <c r="BI1277" s="279"/>
      <c r="BJ1277" s="279"/>
      <c r="BK1277" s="279"/>
      <c r="BL1277" s="279"/>
      <c r="BM1277" s="279"/>
      <c r="BN1277" s="279"/>
      <c r="BO1277" s="279"/>
      <c r="BP1277" s="279"/>
      <c r="BQ1277" s="279"/>
      <c r="BR1277" s="279"/>
      <c r="BS1277" s="279"/>
      <c r="BT1277" s="279"/>
      <c r="BU1277" s="279"/>
      <c r="BV1277" s="279"/>
      <c r="BW1277" s="279"/>
      <c r="BX1277" s="279"/>
      <c r="BY1277" s="279"/>
      <c r="BZ1277" s="279"/>
      <c r="CA1277" s="279"/>
      <c r="CB1277" s="279"/>
      <c r="CC1277" s="279"/>
      <c r="CD1277" s="279"/>
      <c r="CE1277" s="279"/>
      <c r="CF1277" s="279"/>
      <c r="CG1277" s="279"/>
      <c r="CH1277" s="279"/>
      <c r="CI1277" s="279"/>
      <c r="CJ1277" s="279"/>
      <c r="CK1277" s="279"/>
      <c r="CL1277" s="279"/>
      <c r="CM1277" s="279"/>
      <c r="CN1277" s="382"/>
    </row>
    <row r="1278" x14ac:dyDescent="0.3">
      <c r="B1278" s="361"/>
      <c r="C1278" s="279"/>
      <c r="D1278" s="280"/>
      <c r="E1278" s="287"/>
      <c r="F1278" s="287"/>
      <c r="G1278" s="287"/>
      <c r="H1278" s="1292">
        <f t="shared" si="64"/>
        <v>31</v>
      </c>
      <c r="I1278" s="1190" t="str">
        <f>'I. Stream &amp; Compound Data'!P292</f>
        <v/>
      </c>
      <c r="J1278" s="1295" t="str">
        <f>IF(I172="","",IF('I. Stream &amp; Compound Data'!CC292="",0,'I. Stream &amp; Compound Data'!CC292))</f>
        <v/>
      </c>
      <c r="K1278" s="1295" t="str">
        <f t="shared" si="66"/>
        <v/>
      </c>
      <c r="L1278" s="1317" t="str">
        <f>IF(K1278="","",IF('I. Stream &amp; Compound Data'!E62="H2O",0,(IF(J1278=0,1,J1278))*I1278))</f>
        <v/>
      </c>
      <c r="M1278" s="296"/>
      <c r="N1278" s="280"/>
      <c r="O1278" s="280"/>
      <c r="P1278" s="279"/>
      <c r="Q1278" s="297"/>
      <c r="R1278" s="298"/>
      <c r="S1278" s="298"/>
      <c r="T1278" s="299"/>
      <c r="U1278" s="279"/>
      <c r="V1278" s="279"/>
      <c r="W1278" s="279"/>
      <c r="X1278" s="279"/>
      <c r="Y1278" s="279"/>
      <c r="Z1278" s="279"/>
      <c r="AA1278" s="279"/>
      <c r="AB1278" s="279"/>
      <c r="AC1278" s="279"/>
      <c r="AD1278" s="279"/>
      <c r="AE1278" s="279"/>
      <c r="AF1278" s="279"/>
      <c r="AG1278" s="279"/>
      <c r="AH1278" s="279"/>
      <c r="AI1278" s="279"/>
      <c r="AJ1278" s="279"/>
      <c r="AK1278" s="279"/>
      <c r="AL1278" s="279"/>
      <c r="AM1278" s="279"/>
      <c r="AN1278" s="279"/>
      <c r="AO1278" s="279"/>
      <c r="AP1278" s="279"/>
      <c r="AQ1278" s="279"/>
      <c r="AR1278" s="279"/>
      <c r="AS1278" s="279"/>
      <c r="AT1278" s="279"/>
      <c r="AU1278" s="279"/>
      <c r="AV1278" s="279"/>
      <c r="AW1278" s="279"/>
      <c r="AX1278" s="279"/>
      <c r="AY1278" s="279"/>
      <c r="AZ1278" s="279"/>
      <c r="BA1278" s="279"/>
      <c r="BB1278" s="279"/>
      <c r="BC1278" s="279"/>
      <c r="BD1278" s="279"/>
      <c r="BE1278" s="279"/>
      <c r="BF1278" s="279"/>
      <c r="BG1278" s="279"/>
      <c r="BH1278" s="279"/>
      <c r="BI1278" s="279"/>
      <c r="BJ1278" s="279"/>
      <c r="BK1278" s="279"/>
      <c r="BL1278" s="279"/>
      <c r="BM1278" s="279"/>
      <c r="BN1278" s="279"/>
      <c r="BO1278" s="279"/>
      <c r="BP1278" s="279"/>
      <c r="BQ1278" s="279"/>
      <c r="BR1278" s="279"/>
      <c r="BS1278" s="279"/>
      <c r="BT1278" s="279"/>
      <c r="BU1278" s="279"/>
      <c r="BV1278" s="279"/>
      <c r="BW1278" s="279"/>
      <c r="BX1278" s="279"/>
      <c r="BY1278" s="279"/>
      <c r="BZ1278" s="279"/>
      <c r="CA1278" s="279"/>
      <c r="CB1278" s="279"/>
      <c r="CC1278" s="279"/>
      <c r="CD1278" s="279"/>
      <c r="CE1278" s="279"/>
      <c r="CF1278" s="279"/>
      <c r="CG1278" s="279"/>
      <c r="CH1278" s="279"/>
      <c r="CI1278" s="279"/>
      <c r="CJ1278" s="279"/>
      <c r="CK1278" s="279"/>
      <c r="CL1278" s="279"/>
      <c r="CM1278" s="279"/>
      <c r="CN1278" s="382"/>
    </row>
    <row r="1279" x14ac:dyDescent="0.3">
      <c r="B1279" s="361"/>
      <c r="C1279" s="279"/>
      <c r="D1279" s="280"/>
      <c r="E1279" s="287"/>
      <c r="F1279" s="287"/>
      <c r="G1279" s="287"/>
      <c r="H1279" s="1292">
        <f t="shared" si="64"/>
        <v>32</v>
      </c>
      <c r="I1279" s="1190" t="str">
        <f>'I. Stream &amp; Compound Data'!P293</f>
        <v/>
      </c>
      <c r="J1279" s="1295" t="str">
        <f>IF(I173="","",IF('I. Stream &amp; Compound Data'!CC293="",0,'I. Stream &amp; Compound Data'!CC293))</f>
        <v/>
      </c>
      <c r="K1279" s="1295" t="str">
        <f t="shared" si="66"/>
        <v/>
      </c>
      <c r="L1279" s="1317" t="str">
        <f>IF(K1279="","",IF('I. Stream &amp; Compound Data'!E63="H2O",0,(IF(J1279=0,1,J1279))*I1279))</f>
        <v/>
      </c>
      <c r="M1279" s="296"/>
      <c r="N1279" s="280"/>
      <c r="O1279" s="280"/>
      <c r="P1279" s="279"/>
      <c r="Q1279" s="297"/>
      <c r="R1279" s="298"/>
      <c r="S1279" s="298"/>
      <c r="T1279" s="299"/>
      <c r="U1279" s="279"/>
      <c r="V1279" s="279"/>
      <c r="W1279" s="279"/>
      <c r="X1279" s="279"/>
      <c r="Y1279" s="279"/>
      <c r="Z1279" s="279"/>
      <c r="AA1279" s="279"/>
      <c r="AB1279" s="279"/>
      <c r="AC1279" s="279"/>
      <c r="AD1279" s="279"/>
      <c r="AE1279" s="279"/>
      <c r="AF1279" s="279"/>
      <c r="AG1279" s="279"/>
      <c r="AH1279" s="279"/>
      <c r="AI1279" s="279"/>
      <c r="AJ1279" s="279"/>
      <c r="AK1279" s="279"/>
      <c r="AL1279" s="279"/>
      <c r="AM1279" s="279"/>
      <c r="AN1279" s="279"/>
      <c r="AO1279" s="279"/>
      <c r="AP1279" s="279"/>
      <c r="AQ1279" s="279"/>
      <c r="AR1279" s="279"/>
      <c r="AS1279" s="279"/>
      <c r="AT1279" s="279"/>
      <c r="AU1279" s="279"/>
      <c r="AV1279" s="279"/>
      <c r="AW1279" s="279"/>
      <c r="AX1279" s="279"/>
      <c r="AY1279" s="279"/>
      <c r="AZ1279" s="279"/>
      <c r="BA1279" s="279"/>
      <c r="BB1279" s="279"/>
      <c r="BC1279" s="279"/>
      <c r="BD1279" s="279"/>
      <c r="BE1279" s="279"/>
      <c r="BF1279" s="279"/>
      <c r="BG1279" s="279"/>
      <c r="BH1279" s="279"/>
      <c r="BI1279" s="279"/>
      <c r="BJ1279" s="279"/>
      <c r="BK1279" s="279"/>
      <c r="BL1279" s="279"/>
      <c r="BM1279" s="279"/>
      <c r="BN1279" s="279"/>
      <c r="BO1279" s="279"/>
      <c r="BP1279" s="279"/>
      <c r="BQ1279" s="279"/>
      <c r="BR1279" s="279"/>
      <c r="BS1279" s="279"/>
      <c r="BT1279" s="279"/>
      <c r="BU1279" s="279"/>
      <c r="BV1279" s="279"/>
      <c r="BW1279" s="279"/>
      <c r="BX1279" s="279"/>
      <c r="BY1279" s="279"/>
      <c r="BZ1279" s="279"/>
      <c r="CA1279" s="279"/>
      <c r="CB1279" s="279"/>
      <c r="CC1279" s="279"/>
      <c r="CD1279" s="279"/>
      <c r="CE1279" s="279"/>
      <c r="CF1279" s="279"/>
      <c r="CG1279" s="279"/>
      <c r="CH1279" s="279"/>
      <c r="CI1279" s="279"/>
      <c r="CJ1279" s="279"/>
      <c r="CK1279" s="279"/>
      <c r="CL1279" s="279"/>
      <c r="CM1279" s="279"/>
      <c r="CN1279" s="382"/>
    </row>
    <row r="1280" x14ac:dyDescent="0.3">
      <c r="B1280" s="361"/>
      <c r="C1280" s="279"/>
      <c r="D1280" s="280"/>
      <c r="E1280" s="287"/>
      <c r="F1280" s="287"/>
      <c r="G1280" s="287"/>
      <c r="H1280" s="1292">
        <f t="shared" si="64"/>
        <v>33</v>
      </c>
      <c r="I1280" s="1190" t="str">
        <f>'I. Stream &amp; Compound Data'!P294</f>
        <v/>
      </c>
      <c r="J1280" s="1295" t="str">
        <f>IF(I174="","",IF('I. Stream &amp; Compound Data'!CC294="",0,'I. Stream &amp; Compound Data'!CC294))</f>
        <v/>
      </c>
      <c r="K1280" s="1295" t="str">
        <f t="shared" si="66"/>
        <v/>
      </c>
      <c r="L1280" s="1317" t="str">
        <f>IF(K1280="","",IF('I. Stream &amp; Compound Data'!E64="H2O",0,(IF(J1280=0,1,J1280))*I1280))</f>
        <v/>
      </c>
      <c r="M1280" s="296"/>
      <c r="N1280" s="280"/>
      <c r="O1280" s="280"/>
      <c r="P1280" s="279"/>
      <c r="Q1280" s="297"/>
      <c r="R1280" s="298"/>
      <c r="S1280" s="298"/>
      <c r="T1280" s="299"/>
      <c r="U1280" s="279"/>
      <c r="V1280" s="279"/>
      <c r="W1280" s="279"/>
      <c r="X1280" s="279"/>
      <c r="Y1280" s="279"/>
      <c r="Z1280" s="279"/>
      <c r="AA1280" s="279"/>
      <c r="AB1280" s="279"/>
      <c r="AC1280" s="279"/>
      <c r="AD1280" s="279"/>
      <c r="AE1280" s="279"/>
      <c r="AF1280" s="279"/>
      <c r="AG1280" s="279"/>
      <c r="AH1280" s="279"/>
      <c r="AI1280" s="279"/>
      <c r="AJ1280" s="279"/>
      <c r="AK1280" s="279"/>
      <c r="AL1280" s="279"/>
      <c r="AM1280" s="279"/>
      <c r="AN1280" s="279"/>
      <c r="AO1280" s="279"/>
      <c r="AP1280" s="279"/>
      <c r="AQ1280" s="279"/>
      <c r="AR1280" s="279"/>
      <c r="AS1280" s="279"/>
      <c r="AT1280" s="279"/>
      <c r="AU1280" s="279"/>
      <c r="AV1280" s="279"/>
      <c r="AW1280" s="279"/>
      <c r="AX1280" s="279"/>
      <c r="AY1280" s="279"/>
      <c r="AZ1280" s="279"/>
      <c r="BA1280" s="279"/>
      <c r="BB1280" s="279"/>
      <c r="BC1280" s="279"/>
      <c r="BD1280" s="279"/>
      <c r="BE1280" s="279"/>
      <c r="BF1280" s="279"/>
      <c r="BG1280" s="279"/>
      <c r="BH1280" s="279"/>
      <c r="BI1280" s="279"/>
      <c r="BJ1280" s="279"/>
      <c r="BK1280" s="279"/>
      <c r="BL1280" s="279"/>
      <c r="BM1280" s="279"/>
      <c r="BN1280" s="279"/>
      <c r="BO1280" s="279"/>
      <c r="BP1280" s="279"/>
      <c r="BQ1280" s="279"/>
      <c r="BR1280" s="279"/>
      <c r="BS1280" s="279"/>
      <c r="BT1280" s="279"/>
      <c r="BU1280" s="279"/>
      <c r="BV1280" s="279"/>
      <c r="BW1280" s="279"/>
      <c r="BX1280" s="279"/>
      <c r="BY1280" s="279"/>
      <c r="BZ1280" s="279"/>
      <c r="CA1280" s="279"/>
      <c r="CB1280" s="279"/>
      <c r="CC1280" s="279"/>
      <c r="CD1280" s="279"/>
      <c r="CE1280" s="279"/>
      <c r="CF1280" s="279"/>
      <c r="CG1280" s="279"/>
      <c r="CH1280" s="279"/>
      <c r="CI1280" s="279"/>
      <c r="CJ1280" s="279"/>
      <c r="CK1280" s="279"/>
      <c r="CL1280" s="279"/>
      <c r="CM1280" s="279"/>
      <c r="CN1280" s="382"/>
    </row>
    <row r="1281" x14ac:dyDescent="0.3">
      <c r="B1281" s="361"/>
      <c r="C1281" s="279"/>
      <c r="D1281" s="280"/>
      <c r="E1281" s="287"/>
      <c r="F1281" s="287"/>
      <c r="G1281" s="287"/>
      <c r="H1281" s="1292">
        <f t="shared" si="64"/>
        <v>34</v>
      </c>
      <c r="I1281" s="1190" t="str">
        <f>'I. Stream &amp; Compound Data'!P295</f>
        <v/>
      </c>
      <c r="J1281" s="1295" t="str">
        <f>IF(I175="","",IF('I. Stream &amp; Compound Data'!CC295="",0,'I. Stream &amp; Compound Data'!CC295))</f>
        <v/>
      </c>
      <c r="K1281" s="1295" t="str">
        <f t="shared" si="66"/>
        <v/>
      </c>
      <c r="L1281" s="1317" t="str">
        <f>IF(K1281="","",IF('I. Stream &amp; Compound Data'!E65="H2O",0,(IF(J1281=0,1,J1281))*I1281))</f>
        <v/>
      </c>
      <c r="M1281" s="296"/>
      <c r="N1281" s="280"/>
      <c r="O1281" s="280"/>
      <c r="P1281" s="279"/>
      <c r="Q1281" s="297"/>
      <c r="R1281" s="298"/>
      <c r="S1281" s="298"/>
      <c r="T1281" s="299"/>
      <c r="U1281" s="279"/>
      <c r="V1281" s="279"/>
      <c r="W1281" s="279"/>
      <c r="X1281" s="279"/>
      <c r="Y1281" s="279"/>
      <c r="Z1281" s="279"/>
      <c r="AA1281" s="279"/>
      <c r="AB1281" s="279"/>
      <c r="AC1281" s="279"/>
      <c r="AD1281" s="279"/>
      <c r="AE1281" s="279"/>
      <c r="AF1281" s="279"/>
      <c r="AG1281" s="279"/>
      <c r="AH1281" s="279"/>
      <c r="AI1281" s="279"/>
      <c r="AJ1281" s="279"/>
      <c r="AK1281" s="279"/>
      <c r="AL1281" s="279"/>
      <c r="AM1281" s="279"/>
      <c r="AN1281" s="279"/>
      <c r="AO1281" s="279"/>
      <c r="AP1281" s="279"/>
      <c r="AQ1281" s="279"/>
      <c r="AR1281" s="279"/>
      <c r="AS1281" s="279"/>
      <c r="AT1281" s="279"/>
      <c r="AU1281" s="279"/>
      <c r="AV1281" s="279"/>
      <c r="AW1281" s="279"/>
      <c r="AX1281" s="279"/>
      <c r="AY1281" s="279"/>
      <c r="AZ1281" s="279"/>
      <c r="BA1281" s="279"/>
      <c r="BB1281" s="279"/>
      <c r="BC1281" s="279"/>
      <c r="BD1281" s="279"/>
      <c r="BE1281" s="279"/>
      <c r="BF1281" s="279"/>
      <c r="BG1281" s="279"/>
      <c r="BH1281" s="279"/>
      <c r="BI1281" s="279"/>
      <c r="BJ1281" s="279"/>
      <c r="BK1281" s="279"/>
      <c r="BL1281" s="279"/>
      <c r="BM1281" s="279"/>
      <c r="BN1281" s="279"/>
      <c r="BO1281" s="279"/>
      <c r="BP1281" s="279"/>
      <c r="BQ1281" s="279"/>
      <c r="BR1281" s="279"/>
      <c r="BS1281" s="279"/>
      <c r="BT1281" s="279"/>
      <c r="BU1281" s="279"/>
      <c r="BV1281" s="279"/>
      <c r="BW1281" s="279"/>
      <c r="BX1281" s="279"/>
      <c r="BY1281" s="279"/>
      <c r="BZ1281" s="279"/>
      <c r="CA1281" s="279"/>
      <c r="CB1281" s="279"/>
      <c r="CC1281" s="279"/>
      <c r="CD1281" s="279"/>
      <c r="CE1281" s="279"/>
      <c r="CF1281" s="279"/>
      <c r="CG1281" s="279"/>
      <c r="CH1281" s="279"/>
      <c r="CI1281" s="279"/>
      <c r="CJ1281" s="279"/>
      <c r="CK1281" s="279"/>
      <c r="CL1281" s="279"/>
      <c r="CM1281" s="279"/>
      <c r="CN1281" s="382"/>
    </row>
    <row r="1282" x14ac:dyDescent="0.3">
      <c r="B1282" s="361"/>
      <c r="C1282" s="279"/>
      <c r="D1282" s="280"/>
      <c r="E1282" s="287"/>
      <c r="F1282" s="287"/>
      <c r="G1282" s="287"/>
      <c r="H1282" s="1292">
        <f t="shared" si="64"/>
        <v>35</v>
      </c>
      <c r="I1282" s="1190" t="str">
        <f>'I. Stream &amp; Compound Data'!P296</f>
        <v/>
      </c>
      <c r="J1282" s="1295" t="str">
        <f>IF(I176="","",IF('I. Stream &amp; Compound Data'!CC296="",0,'I. Stream &amp; Compound Data'!CC296))</f>
        <v/>
      </c>
      <c r="K1282" s="1295" t="str">
        <f t="shared" si="66"/>
        <v/>
      </c>
      <c r="L1282" s="1317" t="str">
        <f>IF(K1282="","",IF('I. Stream &amp; Compound Data'!E66="H2O",0,(IF(J1282=0,1,J1282))*I1282))</f>
        <v/>
      </c>
      <c r="M1282" s="296"/>
      <c r="N1282" s="280"/>
      <c r="O1282" s="280"/>
      <c r="P1282" s="279"/>
      <c r="Q1282" s="297"/>
      <c r="R1282" s="298"/>
      <c r="S1282" s="298"/>
      <c r="T1282" s="299"/>
      <c r="U1282" s="279"/>
      <c r="V1282" s="279"/>
      <c r="W1282" s="279"/>
      <c r="X1282" s="279"/>
      <c r="Y1282" s="279"/>
      <c r="Z1282" s="279"/>
      <c r="AA1282" s="279"/>
      <c r="AB1282" s="279"/>
      <c r="AC1282" s="279"/>
      <c r="AD1282" s="279"/>
      <c r="AE1282" s="279"/>
      <c r="AF1282" s="279"/>
      <c r="AG1282" s="279"/>
      <c r="AH1282" s="279"/>
      <c r="AI1282" s="279"/>
      <c r="AJ1282" s="279"/>
      <c r="AK1282" s="279"/>
      <c r="AL1282" s="279"/>
      <c r="AM1282" s="279"/>
      <c r="AN1282" s="279"/>
      <c r="AO1282" s="279"/>
      <c r="AP1282" s="279"/>
      <c r="AQ1282" s="279"/>
      <c r="AR1282" s="279"/>
      <c r="AS1282" s="279"/>
      <c r="AT1282" s="279"/>
      <c r="AU1282" s="279"/>
      <c r="AV1282" s="279"/>
      <c r="AW1282" s="279"/>
      <c r="AX1282" s="279"/>
      <c r="AY1282" s="279"/>
      <c r="AZ1282" s="279"/>
      <c r="BA1282" s="279"/>
      <c r="BB1282" s="279"/>
      <c r="BC1282" s="279"/>
      <c r="BD1282" s="279"/>
      <c r="BE1282" s="279"/>
      <c r="BF1282" s="279"/>
      <c r="BG1282" s="279"/>
      <c r="BH1282" s="279"/>
      <c r="BI1282" s="279"/>
      <c r="BJ1282" s="279"/>
      <c r="BK1282" s="279"/>
      <c r="BL1282" s="279"/>
      <c r="BM1282" s="279"/>
      <c r="BN1282" s="279"/>
      <c r="BO1282" s="279"/>
      <c r="BP1282" s="279"/>
      <c r="BQ1282" s="279"/>
      <c r="BR1282" s="279"/>
      <c r="BS1282" s="279"/>
      <c r="BT1282" s="279"/>
      <c r="BU1282" s="279"/>
      <c r="BV1282" s="279"/>
      <c r="BW1282" s="279"/>
      <c r="BX1282" s="279"/>
      <c r="BY1282" s="279"/>
      <c r="BZ1282" s="279"/>
      <c r="CA1282" s="279"/>
      <c r="CB1282" s="279"/>
      <c r="CC1282" s="279"/>
      <c r="CD1282" s="279"/>
      <c r="CE1282" s="279"/>
      <c r="CF1282" s="279"/>
      <c r="CG1282" s="279"/>
      <c r="CH1282" s="279"/>
      <c r="CI1282" s="279"/>
      <c r="CJ1282" s="279"/>
      <c r="CK1282" s="279"/>
      <c r="CL1282" s="279"/>
      <c r="CM1282" s="279"/>
      <c r="CN1282" s="382"/>
    </row>
    <row r="1283" x14ac:dyDescent="0.3">
      <c r="B1283" s="361"/>
      <c r="C1283" s="279"/>
      <c r="D1283" s="280"/>
      <c r="E1283" s="287"/>
      <c r="F1283" s="287"/>
      <c r="G1283" s="287"/>
      <c r="H1283" s="1292">
        <f t="shared" si="64"/>
        <v>36</v>
      </c>
      <c r="I1283" s="1190" t="str">
        <f>'I. Stream &amp; Compound Data'!P297</f>
        <v/>
      </c>
      <c r="J1283" s="1295" t="str">
        <f>IF(I177="","",IF('I. Stream &amp; Compound Data'!CC297="",0,'I. Stream &amp; Compound Data'!CC297))</f>
        <v/>
      </c>
      <c r="K1283" s="1295" t="str">
        <f t="shared" si="66"/>
        <v/>
      </c>
      <c r="L1283" s="1317" t="str">
        <f>IF(K1283="","",IF('I. Stream &amp; Compound Data'!E67="H2O",0,(IF(J1283=0,1,J1283))*I1283))</f>
        <v/>
      </c>
      <c r="M1283" s="296"/>
      <c r="N1283" s="280"/>
      <c r="O1283" s="280"/>
      <c r="P1283" s="279"/>
      <c r="Q1283" s="297"/>
      <c r="R1283" s="298"/>
      <c r="S1283" s="298"/>
      <c r="T1283" s="299"/>
      <c r="U1283" s="279"/>
      <c r="V1283" s="279"/>
      <c r="W1283" s="279"/>
      <c r="X1283" s="279"/>
      <c r="Y1283" s="279"/>
      <c r="Z1283" s="279"/>
      <c r="AA1283" s="279"/>
      <c r="AB1283" s="279"/>
      <c r="AC1283" s="279"/>
      <c r="AD1283" s="279"/>
      <c r="AE1283" s="279"/>
      <c r="AF1283" s="279"/>
      <c r="AG1283" s="279"/>
      <c r="AH1283" s="279"/>
      <c r="AI1283" s="279"/>
      <c r="AJ1283" s="279"/>
      <c r="AK1283" s="279"/>
      <c r="AL1283" s="279"/>
      <c r="AM1283" s="279"/>
      <c r="AN1283" s="279"/>
      <c r="AO1283" s="279"/>
      <c r="AP1283" s="279"/>
      <c r="AQ1283" s="279"/>
      <c r="AR1283" s="279"/>
      <c r="AS1283" s="279"/>
      <c r="AT1283" s="279"/>
      <c r="AU1283" s="279"/>
      <c r="AV1283" s="279"/>
      <c r="AW1283" s="279"/>
      <c r="AX1283" s="279"/>
      <c r="AY1283" s="279"/>
      <c r="AZ1283" s="279"/>
      <c r="BA1283" s="279"/>
      <c r="BB1283" s="279"/>
      <c r="BC1283" s="279"/>
      <c r="BD1283" s="279"/>
      <c r="BE1283" s="279"/>
      <c r="BF1283" s="279"/>
      <c r="BG1283" s="279"/>
      <c r="BH1283" s="279"/>
      <c r="BI1283" s="279"/>
      <c r="BJ1283" s="279"/>
      <c r="BK1283" s="279"/>
      <c r="BL1283" s="279"/>
      <c r="BM1283" s="279"/>
      <c r="BN1283" s="279"/>
      <c r="BO1283" s="279"/>
      <c r="BP1283" s="279"/>
      <c r="BQ1283" s="279"/>
      <c r="BR1283" s="279"/>
      <c r="BS1283" s="279"/>
      <c r="BT1283" s="279"/>
      <c r="BU1283" s="279"/>
      <c r="BV1283" s="279"/>
      <c r="BW1283" s="279"/>
      <c r="BX1283" s="279"/>
      <c r="BY1283" s="279"/>
      <c r="BZ1283" s="279"/>
      <c r="CA1283" s="279"/>
      <c r="CB1283" s="279"/>
      <c r="CC1283" s="279"/>
      <c r="CD1283" s="279"/>
      <c r="CE1283" s="279"/>
      <c r="CF1283" s="279"/>
      <c r="CG1283" s="279"/>
      <c r="CH1283" s="279"/>
      <c r="CI1283" s="279"/>
      <c r="CJ1283" s="279"/>
      <c r="CK1283" s="279"/>
      <c r="CL1283" s="279"/>
      <c r="CM1283" s="279"/>
      <c r="CN1283" s="382"/>
    </row>
    <row r="1284" x14ac:dyDescent="0.3">
      <c r="B1284" s="361"/>
      <c r="C1284" s="279"/>
      <c r="D1284" s="280"/>
      <c r="E1284" s="287"/>
      <c r="F1284" s="287"/>
      <c r="G1284" s="287"/>
      <c r="H1284" s="1292">
        <f t="shared" si="64"/>
        <v>37</v>
      </c>
      <c r="I1284" s="1190" t="str">
        <f>'I. Stream &amp; Compound Data'!P298</f>
        <v/>
      </c>
      <c r="J1284" s="1295" t="str">
        <f>IF(I178="","",IF('I. Stream &amp; Compound Data'!CC298="",0,'I. Stream &amp; Compound Data'!CC298))</f>
        <v/>
      </c>
      <c r="K1284" s="1295" t="str">
        <f t="shared" si="66"/>
        <v/>
      </c>
      <c r="L1284" s="1317" t="str">
        <f>IF(K1284="","",IF('I. Stream &amp; Compound Data'!E68="H2O",0,(IF(J1284=0,1,J1284))*I1284))</f>
        <v/>
      </c>
      <c r="M1284" s="296"/>
      <c r="N1284" s="280"/>
      <c r="O1284" s="280"/>
      <c r="P1284" s="279"/>
      <c r="Q1284" s="297"/>
      <c r="R1284" s="298"/>
      <c r="S1284" s="298"/>
      <c r="T1284" s="299"/>
      <c r="U1284" s="279"/>
      <c r="V1284" s="279"/>
      <c r="W1284" s="279"/>
      <c r="X1284" s="279"/>
      <c r="Y1284" s="279"/>
      <c r="Z1284" s="279"/>
      <c r="AA1284" s="279"/>
      <c r="AB1284" s="279"/>
      <c r="AC1284" s="279"/>
      <c r="AD1284" s="279"/>
      <c r="AE1284" s="279"/>
      <c r="AF1284" s="279"/>
      <c r="AG1284" s="279"/>
      <c r="AH1284" s="279"/>
      <c r="AI1284" s="279"/>
      <c r="AJ1284" s="279"/>
      <c r="AK1284" s="279"/>
      <c r="AL1284" s="279"/>
      <c r="AM1284" s="279"/>
      <c r="AN1284" s="279"/>
      <c r="AO1284" s="279"/>
      <c r="AP1284" s="279"/>
      <c r="AQ1284" s="279"/>
      <c r="AR1284" s="279"/>
      <c r="AS1284" s="279"/>
      <c r="AT1284" s="279"/>
      <c r="AU1284" s="279"/>
      <c r="AV1284" s="279"/>
      <c r="AW1284" s="279"/>
      <c r="AX1284" s="279"/>
      <c r="AY1284" s="279"/>
      <c r="AZ1284" s="279"/>
      <c r="BA1284" s="279"/>
      <c r="BB1284" s="279"/>
      <c r="BC1284" s="279"/>
      <c r="BD1284" s="279"/>
      <c r="BE1284" s="279"/>
      <c r="BF1284" s="279"/>
      <c r="BG1284" s="279"/>
      <c r="BH1284" s="279"/>
      <c r="BI1284" s="279"/>
      <c r="BJ1284" s="279"/>
      <c r="BK1284" s="279"/>
      <c r="BL1284" s="279"/>
      <c r="BM1284" s="279"/>
      <c r="BN1284" s="279"/>
      <c r="BO1284" s="279"/>
      <c r="BP1284" s="279"/>
      <c r="BQ1284" s="279"/>
      <c r="BR1284" s="279"/>
      <c r="BS1284" s="279"/>
      <c r="BT1284" s="279"/>
      <c r="BU1284" s="279"/>
      <c r="BV1284" s="279"/>
      <c r="BW1284" s="279"/>
      <c r="BX1284" s="279"/>
      <c r="BY1284" s="279"/>
      <c r="BZ1284" s="279"/>
      <c r="CA1284" s="279"/>
      <c r="CB1284" s="279"/>
      <c r="CC1284" s="279"/>
      <c r="CD1284" s="279"/>
      <c r="CE1284" s="279"/>
      <c r="CF1284" s="279"/>
      <c r="CG1284" s="279"/>
      <c r="CH1284" s="279"/>
      <c r="CI1284" s="279"/>
      <c r="CJ1284" s="279"/>
      <c r="CK1284" s="279"/>
      <c r="CL1284" s="279"/>
      <c r="CM1284" s="279"/>
      <c r="CN1284" s="382"/>
    </row>
    <row r="1285" x14ac:dyDescent="0.3">
      <c r="B1285" s="361"/>
      <c r="C1285" s="279"/>
      <c r="D1285" s="280"/>
      <c r="E1285" s="287"/>
      <c r="F1285" s="287"/>
      <c r="G1285" s="287"/>
      <c r="H1285" s="1292">
        <f t="shared" si="64"/>
        <v>38</v>
      </c>
      <c r="I1285" s="1190" t="str">
        <f>'I. Stream &amp; Compound Data'!P299</f>
        <v/>
      </c>
      <c r="J1285" s="1295" t="str">
        <f>IF(I179="","",IF('I. Stream &amp; Compound Data'!CC299="",0,'I. Stream &amp; Compound Data'!CC299))</f>
        <v/>
      </c>
      <c r="K1285" s="1295" t="str">
        <f t="shared" si="66"/>
        <v/>
      </c>
      <c r="L1285" s="1317" t="str">
        <f>IF(K1285="","",IF('I. Stream &amp; Compound Data'!E69="H2O",0,(IF(J1285=0,1,J1285))*I1285))</f>
        <v/>
      </c>
      <c r="M1285" s="296"/>
      <c r="N1285" s="280"/>
      <c r="O1285" s="280"/>
      <c r="P1285" s="279"/>
      <c r="Q1285" s="297"/>
      <c r="R1285" s="298"/>
      <c r="S1285" s="298"/>
      <c r="T1285" s="299"/>
      <c r="U1285" s="279"/>
      <c r="V1285" s="279"/>
      <c r="W1285" s="279"/>
      <c r="X1285" s="279"/>
      <c r="Y1285" s="279"/>
      <c r="Z1285" s="279"/>
      <c r="AA1285" s="279"/>
      <c r="AB1285" s="279"/>
      <c r="AC1285" s="279"/>
      <c r="AD1285" s="279"/>
      <c r="AE1285" s="279"/>
      <c r="AF1285" s="279"/>
      <c r="AG1285" s="279"/>
      <c r="AH1285" s="279"/>
      <c r="AI1285" s="279"/>
      <c r="AJ1285" s="279"/>
      <c r="AK1285" s="279"/>
      <c r="AL1285" s="279"/>
      <c r="AM1285" s="279"/>
      <c r="AN1285" s="279"/>
      <c r="AO1285" s="279"/>
      <c r="AP1285" s="279"/>
      <c r="AQ1285" s="279"/>
      <c r="AR1285" s="279"/>
      <c r="AS1285" s="279"/>
      <c r="AT1285" s="279"/>
      <c r="AU1285" s="279"/>
      <c r="AV1285" s="279"/>
      <c r="AW1285" s="279"/>
      <c r="AX1285" s="279"/>
      <c r="AY1285" s="279"/>
      <c r="AZ1285" s="279"/>
      <c r="BA1285" s="279"/>
      <c r="BB1285" s="279"/>
      <c r="BC1285" s="279"/>
      <c r="BD1285" s="279"/>
      <c r="BE1285" s="279"/>
      <c r="BF1285" s="279"/>
      <c r="BG1285" s="279"/>
      <c r="BH1285" s="279"/>
      <c r="BI1285" s="279"/>
      <c r="BJ1285" s="279"/>
      <c r="BK1285" s="279"/>
      <c r="BL1285" s="279"/>
      <c r="BM1285" s="279"/>
      <c r="BN1285" s="279"/>
      <c r="BO1285" s="279"/>
      <c r="BP1285" s="279"/>
      <c r="BQ1285" s="279"/>
      <c r="BR1285" s="279"/>
      <c r="BS1285" s="279"/>
      <c r="BT1285" s="279"/>
      <c r="BU1285" s="279"/>
      <c r="BV1285" s="279"/>
      <c r="BW1285" s="279"/>
      <c r="BX1285" s="279"/>
      <c r="BY1285" s="279"/>
      <c r="BZ1285" s="279"/>
      <c r="CA1285" s="279"/>
      <c r="CB1285" s="279"/>
      <c r="CC1285" s="279"/>
      <c r="CD1285" s="279"/>
      <c r="CE1285" s="279"/>
      <c r="CF1285" s="279"/>
      <c r="CG1285" s="279"/>
      <c r="CH1285" s="279"/>
      <c r="CI1285" s="279"/>
      <c r="CJ1285" s="279"/>
      <c r="CK1285" s="279"/>
      <c r="CL1285" s="279"/>
      <c r="CM1285" s="279"/>
      <c r="CN1285" s="382"/>
    </row>
    <row r="1286" x14ac:dyDescent="0.3">
      <c r="B1286" s="361"/>
      <c r="C1286" s="279"/>
      <c r="D1286" s="280"/>
      <c r="E1286" s="287"/>
      <c r="F1286" s="287"/>
      <c r="G1286" s="287"/>
      <c r="H1286" s="1292">
        <f t="shared" si="64"/>
        <v>39</v>
      </c>
      <c r="I1286" s="1190" t="str">
        <f>'I. Stream &amp; Compound Data'!P300</f>
        <v/>
      </c>
      <c r="J1286" s="1295" t="str">
        <f>IF(I180="","",IF('I. Stream &amp; Compound Data'!CC300="",0,'I. Stream &amp; Compound Data'!CC300))</f>
        <v/>
      </c>
      <c r="K1286" s="1295" t="str">
        <f t="shared" si="66"/>
        <v/>
      </c>
      <c r="L1286" s="1317" t="str">
        <f>IF(K1286="","",IF('I. Stream &amp; Compound Data'!E70="H2O",0,(IF(J1286=0,1,J1286))*I1286))</f>
        <v/>
      </c>
      <c r="M1286" s="296"/>
      <c r="N1286" s="280"/>
      <c r="O1286" s="280"/>
      <c r="P1286" s="279"/>
      <c r="Q1286" s="297"/>
      <c r="R1286" s="298"/>
      <c r="S1286" s="298"/>
      <c r="T1286" s="299"/>
      <c r="U1286" s="279"/>
      <c r="V1286" s="279"/>
      <c r="W1286" s="279"/>
      <c r="X1286" s="279"/>
      <c r="Y1286" s="279"/>
      <c r="Z1286" s="279"/>
      <c r="AA1286" s="279"/>
      <c r="AB1286" s="279"/>
      <c r="AC1286" s="279"/>
      <c r="AD1286" s="279"/>
      <c r="AE1286" s="279"/>
      <c r="AF1286" s="279"/>
      <c r="AG1286" s="279"/>
      <c r="AH1286" s="279"/>
      <c r="AI1286" s="279"/>
      <c r="AJ1286" s="279"/>
      <c r="AK1286" s="279"/>
      <c r="AL1286" s="279"/>
      <c r="AM1286" s="279"/>
      <c r="AN1286" s="279"/>
      <c r="AO1286" s="279"/>
      <c r="AP1286" s="279"/>
      <c r="AQ1286" s="279"/>
      <c r="AR1286" s="279"/>
      <c r="AS1286" s="279"/>
      <c r="AT1286" s="279"/>
      <c r="AU1286" s="279"/>
      <c r="AV1286" s="279"/>
      <c r="AW1286" s="279"/>
      <c r="AX1286" s="279"/>
      <c r="AY1286" s="279"/>
      <c r="AZ1286" s="279"/>
      <c r="BA1286" s="279"/>
      <c r="BB1286" s="279"/>
      <c r="BC1286" s="279"/>
      <c r="BD1286" s="279"/>
      <c r="BE1286" s="279"/>
      <c r="BF1286" s="279"/>
      <c r="BG1286" s="279"/>
      <c r="BH1286" s="279"/>
      <c r="BI1286" s="279"/>
      <c r="BJ1286" s="279"/>
      <c r="BK1286" s="279"/>
      <c r="BL1286" s="279"/>
      <c r="BM1286" s="279"/>
      <c r="BN1286" s="279"/>
      <c r="BO1286" s="279"/>
      <c r="BP1286" s="279"/>
      <c r="BQ1286" s="279"/>
      <c r="BR1286" s="279"/>
      <c r="BS1286" s="279"/>
      <c r="BT1286" s="279"/>
      <c r="BU1286" s="279"/>
      <c r="BV1286" s="279"/>
      <c r="BW1286" s="279"/>
      <c r="BX1286" s="279"/>
      <c r="BY1286" s="279"/>
      <c r="BZ1286" s="279"/>
      <c r="CA1286" s="279"/>
      <c r="CB1286" s="279"/>
      <c r="CC1286" s="279"/>
      <c r="CD1286" s="279"/>
      <c r="CE1286" s="279"/>
      <c r="CF1286" s="279"/>
      <c r="CG1286" s="279"/>
      <c r="CH1286" s="279"/>
      <c r="CI1286" s="279"/>
      <c r="CJ1286" s="279"/>
      <c r="CK1286" s="279"/>
      <c r="CL1286" s="279"/>
      <c r="CM1286" s="279"/>
      <c r="CN1286" s="382"/>
    </row>
    <row r="1287" x14ac:dyDescent="0.3">
      <c r="B1287" s="361"/>
      <c r="C1287" s="279"/>
      <c r="D1287" s="280"/>
      <c r="E1287" s="287"/>
      <c r="F1287" s="287"/>
      <c r="G1287" s="287"/>
      <c r="H1287" s="1292">
        <f t="shared" si="64"/>
        <v>40</v>
      </c>
      <c r="I1287" s="1190" t="str">
        <f>'I. Stream &amp; Compound Data'!P301</f>
        <v/>
      </c>
      <c r="J1287" s="1295" t="str">
        <f>IF(I181="","",IF('I. Stream &amp; Compound Data'!CC301="",0,'I. Stream &amp; Compound Data'!CC301))</f>
        <v/>
      </c>
      <c r="K1287" s="1295" t="str">
        <f t="shared" si="66"/>
        <v/>
      </c>
      <c r="L1287" s="1317" t="str">
        <f>IF(K1287="","",IF('I. Stream &amp; Compound Data'!E71="H2O",0,(IF(J1287=0,1,J1287))*I1287))</f>
        <v/>
      </c>
      <c r="M1287" s="296"/>
      <c r="N1287" s="280"/>
      <c r="O1287" s="280"/>
      <c r="P1287" s="279"/>
      <c r="Q1287" s="297"/>
      <c r="R1287" s="298"/>
      <c r="S1287" s="298"/>
      <c r="T1287" s="299"/>
      <c r="U1287" s="279"/>
      <c r="V1287" s="279"/>
      <c r="W1287" s="279"/>
      <c r="X1287" s="279"/>
      <c r="Y1287" s="279"/>
      <c r="Z1287" s="279"/>
      <c r="AA1287" s="279"/>
      <c r="AB1287" s="279"/>
      <c r="AC1287" s="279"/>
      <c r="AD1287" s="279"/>
      <c r="AE1287" s="279"/>
      <c r="AF1287" s="279"/>
      <c r="AG1287" s="279"/>
      <c r="AH1287" s="279"/>
      <c r="AI1287" s="279"/>
      <c r="AJ1287" s="279"/>
      <c r="AK1287" s="279"/>
      <c r="AL1287" s="279"/>
      <c r="AM1287" s="279"/>
      <c r="AN1287" s="279"/>
      <c r="AO1287" s="279"/>
      <c r="AP1287" s="279"/>
      <c r="AQ1287" s="279"/>
      <c r="AR1287" s="279"/>
      <c r="AS1287" s="279"/>
      <c r="AT1287" s="279"/>
      <c r="AU1287" s="279"/>
      <c r="AV1287" s="279"/>
      <c r="AW1287" s="279"/>
      <c r="AX1287" s="279"/>
      <c r="AY1287" s="279"/>
      <c r="AZ1287" s="279"/>
      <c r="BA1287" s="279"/>
      <c r="BB1287" s="279"/>
      <c r="BC1287" s="279"/>
      <c r="BD1287" s="279"/>
      <c r="BE1287" s="279"/>
      <c r="BF1287" s="279"/>
      <c r="BG1287" s="279"/>
      <c r="BH1287" s="279"/>
      <c r="BI1287" s="279"/>
      <c r="BJ1287" s="279"/>
      <c r="BK1287" s="279"/>
      <c r="BL1287" s="279"/>
      <c r="BM1287" s="279"/>
      <c r="BN1287" s="279"/>
      <c r="BO1287" s="279"/>
      <c r="BP1287" s="279"/>
      <c r="BQ1287" s="279"/>
      <c r="BR1287" s="279"/>
      <c r="BS1287" s="279"/>
      <c r="BT1287" s="279"/>
      <c r="BU1287" s="279"/>
      <c r="BV1287" s="279"/>
      <c r="BW1287" s="279"/>
      <c r="BX1287" s="279"/>
      <c r="BY1287" s="279"/>
      <c r="BZ1287" s="279"/>
      <c r="CA1287" s="279"/>
      <c r="CB1287" s="279"/>
      <c r="CC1287" s="279"/>
      <c r="CD1287" s="279"/>
      <c r="CE1287" s="279"/>
      <c r="CF1287" s="279"/>
      <c r="CG1287" s="279"/>
      <c r="CH1287" s="279"/>
      <c r="CI1287" s="279"/>
      <c r="CJ1287" s="279"/>
      <c r="CK1287" s="279"/>
      <c r="CL1287" s="279"/>
      <c r="CM1287" s="279"/>
      <c r="CN1287" s="382"/>
    </row>
    <row r="1288" x14ac:dyDescent="0.3">
      <c r="B1288" s="361"/>
      <c r="C1288" s="279"/>
      <c r="D1288" s="280"/>
      <c r="E1288" s="287"/>
      <c r="F1288" s="287"/>
      <c r="G1288" s="287"/>
      <c r="H1288" s="1292">
        <f t="shared" si="64"/>
        <v>41</v>
      </c>
      <c r="I1288" s="1190" t="str">
        <f>'I. Stream &amp; Compound Data'!P302</f>
        <v/>
      </c>
      <c r="J1288" s="1295" t="str">
        <f>IF(I182="","",IF('I. Stream &amp; Compound Data'!CC302="",0,'I. Stream &amp; Compound Data'!CC302))</f>
        <v/>
      </c>
      <c r="K1288" s="1295" t="str">
        <f t="shared" si="66"/>
        <v/>
      </c>
      <c r="L1288" s="1317" t="str">
        <f>IF(K1288="","",IF('I. Stream &amp; Compound Data'!E72="H2O",0,(IF(J1288=0,1,J1288))*I1288))</f>
        <v/>
      </c>
      <c r="M1288" s="296"/>
      <c r="N1288" s="280"/>
      <c r="O1288" s="280"/>
      <c r="P1288" s="279"/>
      <c r="Q1288" s="297"/>
      <c r="R1288" s="298"/>
      <c r="S1288" s="298"/>
      <c r="T1288" s="299"/>
      <c r="U1288" s="279"/>
      <c r="V1288" s="279"/>
      <c r="W1288" s="279"/>
      <c r="X1288" s="279"/>
      <c r="Y1288" s="279"/>
      <c r="Z1288" s="279"/>
      <c r="AA1288" s="279"/>
      <c r="AB1288" s="279"/>
      <c r="AC1288" s="279"/>
      <c r="AD1288" s="279"/>
      <c r="AE1288" s="279"/>
      <c r="AF1288" s="279"/>
      <c r="AG1288" s="279"/>
      <c r="AH1288" s="279"/>
      <c r="AI1288" s="279"/>
      <c r="AJ1288" s="279"/>
      <c r="AK1288" s="279"/>
      <c r="AL1288" s="279"/>
      <c r="AM1288" s="279"/>
      <c r="AN1288" s="279"/>
      <c r="AO1288" s="279"/>
      <c r="AP1288" s="279"/>
      <c r="AQ1288" s="279"/>
      <c r="AR1288" s="279"/>
      <c r="AS1288" s="279"/>
      <c r="AT1288" s="279"/>
      <c r="AU1288" s="279"/>
      <c r="AV1288" s="279"/>
      <c r="AW1288" s="279"/>
      <c r="AX1288" s="279"/>
      <c r="AY1288" s="279"/>
      <c r="AZ1288" s="279"/>
      <c r="BA1288" s="279"/>
      <c r="BB1288" s="279"/>
      <c r="BC1288" s="279"/>
      <c r="BD1288" s="279"/>
      <c r="BE1288" s="279"/>
      <c r="BF1288" s="279"/>
      <c r="BG1288" s="279"/>
      <c r="BH1288" s="279"/>
      <c r="BI1288" s="279"/>
      <c r="BJ1288" s="279"/>
      <c r="BK1288" s="279"/>
      <c r="BL1288" s="279"/>
      <c r="BM1288" s="279"/>
      <c r="BN1288" s="279"/>
      <c r="BO1288" s="279"/>
      <c r="BP1288" s="279"/>
      <c r="BQ1288" s="279"/>
      <c r="BR1288" s="279"/>
      <c r="BS1288" s="279"/>
      <c r="BT1288" s="279"/>
      <c r="BU1288" s="279"/>
      <c r="BV1288" s="279"/>
      <c r="BW1288" s="279"/>
      <c r="BX1288" s="279"/>
      <c r="BY1288" s="279"/>
      <c r="BZ1288" s="279"/>
      <c r="CA1288" s="279"/>
      <c r="CB1288" s="279"/>
      <c r="CC1288" s="279"/>
      <c r="CD1288" s="279"/>
      <c r="CE1288" s="279"/>
      <c r="CF1288" s="279"/>
      <c r="CG1288" s="279"/>
      <c r="CH1288" s="279"/>
      <c r="CI1288" s="279"/>
      <c r="CJ1288" s="279"/>
      <c r="CK1288" s="279"/>
      <c r="CL1288" s="279"/>
      <c r="CM1288" s="279"/>
      <c r="CN1288" s="382"/>
    </row>
    <row r="1289" x14ac:dyDescent="0.3">
      <c r="B1289" s="361"/>
      <c r="C1289" s="279"/>
      <c r="D1289" s="280"/>
      <c r="E1289" s="287"/>
      <c r="F1289" s="287"/>
      <c r="G1289" s="287"/>
      <c r="H1289" s="1292">
        <f t="shared" si="64"/>
        <v>42</v>
      </c>
      <c r="I1289" s="1190" t="str">
        <f>'I. Stream &amp; Compound Data'!P303</f>
        <v/>
      </c>
      <c r="J1289" s="1295" t="str">
        <f>IF(I183="","",IF('I. Stream &amp; Compound Data'!CC303="",0,'I. Stream &amp; Compound Data'!CC303))</f>
        <v/>
      </c>
      <c r="K1289" s="1295" t="str">
        <f t="shared" si="66"/>
        <v/>
      </c>
      <c r="L1289" s="1317" t="str">
        <f>IF(K1289="","",IF('I. Stream &amp; Compound Data'!E73="H2O",0,(IF(J1289=0,1,J1289))*I1289))</f>
        <v/>
      </c>
      <c r="M1289" s="296"/>
      <c r="N1289" s="280"/>
      <c r="O1289" s="280"/>
      <c r="P1289" s="279"/>
      <c r="Q1289" s="297"/>
      <c r="R1289" s="298"/>
      <c r="S1289" s="298"/>
      <c r="T1289" s="299"/>
      <c r="U1289" s="279"/>
      <c r="V1289" s="279"/>
      <c r="W1289" s="279"/>
      <c r="X1289" s="279"/>
      <c r="Y1289" s="279"/>
      <c r="Z1289" s="279"/>
      <c r="AA1289" s="279"/>
      <c r="AB1289" s="279"/>
      <c r="AC1289" s="279"/>
      <c r="AD1289" s="279"/>
      <c r="AE1289" s="279"/>
      <c r="AF1289" s="279"/>
      <c r="AG1289" s="279"/>
      <c r="AH1289" s="279"/>
      <c r="AI1289" s="279"/>
      <c r="AJ1289" s="279"/>
      <c r="AK1289" s="279"/>
      <c r="AL1289" s="279"/>
      <c r="AM1289" s="279"/>
      <c r="AN1289" s="279"/>
      <c r="AO1289" s="279"/>
      <c r="AP1289" s="279"/>
      <c r="AQ1289" s="279"/>
      <c r="AR1289" s="279"/>
      <c r="AS1289" s="279"/>
      <c r="AT1289" s="279"/>
      <c r="AU1289" s="279"/>
      <c r="AV1289" s="279"/>
      <c r="AW1289" s="279"/>
      <c r="AX1289" s="279"/>
      <c r="AY1289" s="279"/>
      <c r="AZ1289" s="279"/>
      <c r="BA1289" s="279"/>
      <c r="BB1289" s="279"/>
      <c r="BC1289" s="279"/>
      <c r="BD1289" s="279"/>
      <c r="BE1289" s="279"/>
      <c r="BF1289" s="279"/>
      <c r="BG1289" s="279"/>
      <c r="BH1289" s="279"/>
      <c r="BI1289" s="279"/>
      <c r="BJ1289" s="279"/>
      <c r="BK1289" s="279"/>
      <c r="BL1289" s="279"/>
      <c r="BM1289" s="279"/>
      <c r="BN1289" s="279"/>
      <c r="BO1289" s="279"/>
      <c r="BP1289" s="279"/>
      <c r="BQ1289" s="279"/>
      <c r="BR1289" s="279"/>
      <c r="BS1289" s="279"/>
      <c r="BT1289" s="279"/>
      <c r="BU1289" s="279"/>
      <c r="BV1289" s="279"/>
      <c r="BW1289" s="279"/>
      <c r="BX1289" s="279"/>
      <c r="BY1289" s="279"/>
      <c r="BZ1289" s="279"/>
      <c r="CA1289" s="279"/>
      <c r="CB1289" s="279"/>
      <c r="CC1289" s="279"/>
      <c r="CD1289" s="279"/>
      <c r="CE1289" s="279"/>
      <c r="CF1289" s="279"/>
      <c r="CG1289" s="279"/>
      <c r="CH1289" s="279"/>
      <c r="CI1289" s="279"/>
      <c r="CJ1289" s="279"/>
      <c r="CK1289" s="279"/>
      <c r="CL1289" s="279"/>
      <c r="CM1289" s="279"/>
      <c r="CN1289" s="382"/>
    </row>
    <row r="1290" x14ac:dyDescent="0.3">
      <c r="B1290" s="361"/>
      <c r="C1290" s="279"/>
      <c r="D1290" s="280"/>
      <c r="E1290" s="287"/>
      <c r="F1290" s="287"/>
      <c r="G1290" s="287"/>
      <c r="H1290" s="1292">
        <f t="shared" si="64"/>
        <v>43</v>
      </c>
      <c r="I1290" s="1190" t="str">
        <f>'I. Stream &amp; Compound Data'!P304</f>
        <v/>
      </c>
      <c r="J1290" s="1295" t="str">
        <f>IF(I184="","",IF('I. Stream &amp; Compound Data'!CC304="",0,'I. Stream &amp; Compound Data'!CC304))</f>
        <v/>
      </c>
      <c r="K1290" s="1295" t="str">
        <f t="shared" si="66"/>
        <v/>
      </c>
      <c r="L1290" s="1317" t="str">
        <f>IF(K1290="","",IF('I. Stream &amp; Compound Data'!E74="H2O",0,(IF(J1290=0,1,J1290))*I1290))</f>
        <v/>
      </c>
      <c r="M1290" s="296"/>
      <c r="N1290" s="280"/>
      <c r="O1290" s="280"/>
      <c r="P1290" s="279"/>
      <c r="Q1290" s="297"/>
      <c r="R1290" s="298"/>
      <c r="S1290" s="298"/>
      <c r="T1290" s="299"/>
      <c r="U1290" s="279"/>
      <c r="V1290" s="279"/>
      <c r="W1290" s="279"/>
      <c r="X1290" s="279"/>
      <c r="Y1290" s="279"/>
      <c r="Z1290" s="279"/>
      <c r="AA1290" s="279"/>
      <c r="AB1290" s="279"/>
      <c r="AC1290" s="279"/>
      <c r="AD1290" s="279"/>
      <c r="AE1290" s="279"/>
      <c r="AF1290" s="279"/>
      <c r="AG1290" s="279"/>
      <c r="AH1290" s="279"/>
      <c r="AI1290" s="279"/>
      <c r="AJ1290" s="279"/>
      <c r="AK1290" s="279"/>
      <c r="AL1290" s="279"/>
      <c r="AM1290" s="279"/>
      <c r="AN1290" s="279"/>
      <c r="AO1290" s="279"/>
      <c r="AP1290" s="279"/>
      <c r="AQ1290" s="279"/>
      <c r="AR1290" s="279"/>
      <c r="AS1290" s="279"/>
      <c r="AT1290" s="279"/>
      <c r="AU1290" s="279"/>
      <c r="AV1290" s="279"/>
      <c r="AW1290" s="279"/>
      <c r="AX1290" s="279"/>
      <c r="AY1290" s="279"/>
      <c r="AZ1290" s="279"/>
      <c r="BA1290" s="279"/>
      <c r="BB1290" s="279"/>
      <c r="BC1290" s="279"/>
      <c r="BD1290" s="279"/>
      <c r="BE1290" s="279"/>
      <c r="BF1290" s="279"/>
      <c r="BG1290" s="279"/>
      <c r="BH1290" s="279"/>
      <c r="BI1290" s="279"/>
      <c r="BJ1290" s="279"/>
      <c r="BK1290" s="279"/>
      <c r="BL1290" s="279"/>
      <c r="BM1290" s="279"/>
      <c r="BN1290" s="279"/>
      <c r="BO1290" s="279"/>
      <c r="BP1290" s="279"/>
      <c r="BQ1290" s="279"/>
      <c r="BR1290" s="279"/>
      <c r="BS1290" s="279"/>
      <c r="BT1290" s="279"/>
      <c r="BU1290" s="279"/>
      <c r="BV1290" s="279"/>
      <c r="BW1290" s="279"/>
      <c r="BX1290" s="279"/>
      <c r="BY1290" s="279"/>
      <c r="BZ1290" s="279"/>
      <c r="CA1290" s="279"/>
      <c r="CB1290" s="279"/>
      <c r="CC1290" s="279"/>
      <c r="CD1290" s="279"/>
      <c r="CE1290" s="279"/>
      <c r="CF1290" s="279"/>
      <c r="CG1290" s="279"/>
      <c r="CH1290" s="279"/>
      <c r="CI1290" s="279"/>
      <c r="CJ1290" s="279"/>
      <c r="CK1290" s="279"/>
      <c r="CL1290" s="279"/>
      <c r="CM1290" s="279"/>
      <c r="CN1290" s="382"/>
    </row>
    <row r="1291" x14ac:dyDescent="0.3">
      <c r="B1291" s="361"/>
      <c r="C1291" s="279"/>
      <c r="D1291" s="280"/>
      <c r="E1291" s="287"/>
      <c r="F1291" s="287"/>
      <c r="G1291" s="287"/>
      <c r="H1291" s="1292">
        <f t="shared" si="64"/>
        <v>44</v>
      </c>
      <c r="I1291" s="1190" t="str">
        <f>'I. Stream &amp; Compound Data'!P305</f>
        <v/>
      </c>
      <c r="J1291" s="1295" t="str">
        <f>IF(I185="","",IF('I. Stream &amp; Compound Data'!CC305="",0,'I. Stream &amp; Compound Data'!CC305))</f>
        <v/>
      </c>
      <c r="K1291" s="1295" t="str">
        <f t="shared" si="66"/>
        <v/>
      </c>
      <c r="L1291" s="1317" t="str">
        <f>IF(K1291="","",IF('I. Stream &amp; Compound Data'!E75="H2O",0,(IF(J1291=0,1,J1291))*I1291))</f>
        <v/>
      </c>
      <c r="M1291" s="296"/>
      <c r="N1291" s="280"/>
      <c r="O1291" s="280"/>
      <c r="P1291" s="279"/>
      <c r="Q1291" s="297"/>
      <c r="R1291" s="298"/>
      <c r="S1291" s="298"/>
      <c r="T1291" s="299"/>
      <c r="U1291" s="279"/>
      <c r="V1291" s="279"/>
      <c r="W1291" s="279"/>
      <c r="X1291" s="279"/>
      <c r="Y1291" s="279"/>
      <c r="Z1291" s="279"/>
      <c r="AA1291" s="279"/>
      <c r="AB1291" s="279"/>
      <c r="AC1291" s="279"/>
      <c r="AD1291" s="279"/>
      <c r="AE1291" s="279"/>
      <c r="AF1291" s="279"/>
      <c r="AG1291" s="279"/>
      <c r="AH1291" s="279"/>
      <c r="AI1291" s="279"/>
      <c r="AJ1291" s="279"/>
      <c r="AK1291" s="279"/>
      <c r="AL1291" s="279"/>
      <c r="AM1291" s="279"/>
      <c r="AN1291" s="279"/>
      <c r="AO1291" s="279"/>
      <c r="AP1291" s="279"/>
      <c r="AQ1291" s="279"/>
      <c r="AR1291" s="279"/>
      <c r="AS1291" s="279"/>
      <c r="AT1291" s="279"/>
      <c r="AU1291" s="279"/>
      <c r="AV1291" s="279"/>
      <c r="AW1291" s="279"/>
      <c r="AX1291" s="279"/>
      <c r="AY1291" s="279"/>
      <c r="AZ1291" s="279"/>
      <c r="BA1291" s="279"/>
      <c r="BB1291" s="279"/>
      <c r="BC1291" s="279"/>
      <c r="BD1291" s="279"/>
      <c r="BE1291" s="279"/>
      <c r="BF1291" s="279"/>
      <c r="BG1291" s="279"/>
      <c r="BH1291" s="279"/>
      <c r="BI1291" s="279"/>
      <c r="BJ1291" s="279"/>
      <c r="BK1291" s="279"/>
      <c r="BL1291" s="279"/>
      <c r="BM1291" s="279"/>
      <c r="BN1291" s="279"/>
      <c r="BO1291" s="279"/>
      <c r="BP1291" s="279"/>
      <c r="BQ1291" s="279"/>
      <c r="BR1291" s="279"/>
      <c r="BS1291" s="279"/>
      <c r="BT1291" s="279"/>
      <c r="BU1291" s="279"/>
      <c r="BV1291" s="279"/>
      <c r="BW1291" s="279"/>
      <c r="BX1291" s="279"/>
      <c r="BY1291" s="279"/>
      <c r="BZ1291" s="279"/>
      <c r="CA1291" s="279"/>
      <c r="CB1291" s="279"/>
      <c r="CC1291" s="279"/>
      <c r="CD1291" s="279"/>
      <c r="CE1291" s="279"/>
      <c r="CF1291" s="279"/>
      <c r="CG1291" s="279"/>
      <c r="CH1291" s="279"/>
      <c r="CI1291" s="279"/>
      <c r="CJ1291" s="279"/>
      <c r="CK1291" s="279"/>
      <c r="CL1291" s="279"/>
      <c r="CM1291" s="279"/>
      <c r="CN1291" s="382"/>
    </row>
    <row r="1292" x14ac:dyDescent="0.3">
      <c r="B1292" s="361"/>
      <c r="C1292" s="279"/>
      <c r="D1292" s="280"/>
      <c r="E1292" s="287"/>
      <c r="F1292" s="287"/>
      <c r="G1292" s="287"/>
      <c r="H1292" s="1292">
        <f t="shared" si="64"/>
        <v>45</v>
      </c>
      <c r="I1292" s="1190" t="str">
        <f>'I. Stream &amp; Compound Data'!P306</f>
        <v/>
      </c>
      <c r="J1292" s="1295" t="str">
        <f>IF(I186="","",IF('I. Stream &amp; Compound Data'!CC306="",0,'I. Stream &amp; Compound Data'!CC306))</f>
        <v/>
      </c>
      <c r="K1292" s="1295" t="str">
        <f t="shared" si="66"/>
        <v/>
      </c>
      <c r="L1292" s="1317" t="str">
        <f>IF(K1292="","",IF('I. Stream &amp; Compound Data'!E76="H2O",0,(IF(J1292=0,1,J1292))*I1292))</f>
        <v/>
      </c>
      <c r="M1292" s="296"/>
      <c r="N1292" s="280"/>
      <c r="O1292" s="280"/>
      <c r="P1292" s="279"/>
      <c r="Q1292" s="297"/>
      <c r="R1292" s="298"/>
      <c r="S1292" s="298"/>
      <c r="T1292" s="299"/>
      <c r="U1292" s="279"/>
      <c r="V1292" s="279"/>
      <c r="W1292" s="279"/>
      <c r="X1292" s="279"/>
      <c r="Y1292" s="279"/>
      <c r="Z1292" s="279"/>
      <c r="AA1292" s="279"/>
      <c r="AB1292" s="279"/>
      <c r="AC1292" s="279"/>
      <c r="AD1292" s="279"/>
      <c r="AE1292" s="279"/>
      <c r="AF1292" s="279"/>
      <c r="AG1292" s="279"/>
      <c r="AH1292" s="279"/>
      <c r="AI1292" s="279"/>
      <c r="AJ1292" s="279"/>
      <c r="AK1292" s="279"/>
      <c r="AL1292" s="279"/>
      <c r="AM1292" s="279"/>
      <c r="AN1292" s="279"/>
      <c r="AO1292" s="279"/>
      <c r="AP1292" s="279"/>
      <c r="AQ1292" s="279"/>
      <c r="AR1292" s="279"/>
      <c r="AS1292" s="279"/>
      <c r="AT1292" s="279"/>
      <c r="AU1292" s="279"/>
      <c r="AV1292" s="279"/>
      <c r="AW1292" s="279"/>
      <c r="AX1292" s="279"/>
      <c r="AY1292" s="279"/>
      <c r="AZ1292" s="279"/>
      <c r="BA1292" s="279"/>
      <c r="BB1292" s="279"/>
      <c r="BC1292" s="279"/>
      <c r="BD1292" s="279"/>
      <c r="BE1292" s="279"/>
      <c r="BF1292" s="279"/>
      <c r="BG1292" s="279"/>
      <c r="BH1292" s="279"/>
      <c r="BI1292" s="279"/>
      <c r="BJ1292" s="279"/>
      <c r="BK1292" s="279"/>
      <c r="BL1292" s="279"/>
      <c r="BM1292" s="279"/>
      <c r="BN1292" s="279"/>
      <c r="BO1292" s="279"/>
      <c r="BP1292" s="279"/>
      <c r="BQ1292" s="279"/>
      <c r="BR1292" s="279"/>
      <c r="BS1292" s="279"/>
      <c r="BT1292" s="279"/>
      <c r="BU1292" s="279"/>
      <c r="BV1292" s="279"/>
      <c r="BW1292" s="279"/>
      <c r="BX1292" s="279"/>
      <c r="BY1292" s="279"/>
      <c r="BZ1292" s="279"/>
      <c r="CA1292" s="279"/>
      <c r="CB1292" s="279"/>
      <c r="CC1292" s="279"/>
      <c r="CD1292" s="279"/>
      <c r="CE1292" s="279"/>
      <c r="CF1292" s="279"/>
      <c r="CG1292" s="279"/>
      <c r="CH1292" s="279"/>
      <c r="CI1292" s="279"/>
      <c r="CJ1292" s="279"/>
      <c r="CK1292" s="279"/>
      <c r="CL1292" s="279"/>
      <c r="CM1292" s="279"/>
      <c r="CN1292" s="382"/>
    </row>
    <row r="1293" x14ac:dyDescent="0.3">
      <c r="B1293" s="361"/>
      <c r="C1293" s="279"/>
      <c r="D1293" s="280"/>
      <c r="E1293" s="287"/>
      <c r="F1293" s="287"/>
      <c r="G1293" s="287"/>
      <c r="H1293" s="1292">
        <f t="shared" si="64"/>
        <v>46</v>
      </c>
      <c r="I1293" s="1190" t="str">
        <f>'I. Stream &amp; Compound Data'!P307</f>
        <v/>
      </c>
      <c r="J1293" s="1295" t="str">
        <f>IF(I187="","",IF('I. Stream &amp; Compound Data'!CC307="",0,'I. Stream &amp; Compound Data'!CC307))</f>
        <v/>
      </c>
      <c r="K1293" s="1295" t="str">
        <f t="shared" si="66"/>
        <v/>
      </c>
      <c r="L1293" s="1317" t="str">
        <f>IF(K1293="","",IF('I. Stream &amp; Compound Data'!E77="H2O",0,(IF(J1293=0,1,J1293))*I1293))</f>
        <v/>
      </c>
      <c r="M1293" s="296"/>
      <c r="N1293" s="280"/>
      <c r="O1293" s="280"/>
      <c r="P1293" s="279"/>
      <c r="Q1293" s="297"/>
      <c r="R1293" s="298"/>
      <c r="S1293" s="298"/>
      <c r="T1293" s="299"/>
      <c r="U1293" s="279"/>
      <c r="V1293" s="279"/>
      <c r="W1293" s="279"/>
      <c r="X1293" s="279"/>
      <c r="Y1293" s="279"/>
      <c r="Z1293" s="279"/>
      <c r="AA1293" s="279"/>
      <c r="AB1293" s="279"/>
      <c r="AC1293" s="279"/>
      <c r="AD1293" s="279"/>
      <c r="AE1293" s="279"/>
      <c r="AF1293" s="279"/>
      <c r="AG1293" s="279"/>
      <c r="AH1293" s="279"/>
      <c r="AI1293" s="279"/>
      <c r="AJ1293" s="279"/>
      <c r="AK1293" s="279"/>
      <c r="AL1293" s="279"/>
      <c r="AM1293" s="279"/>
      <c r="AN1293" s="279"/>
      <c r="AO1293" s="279"/>
      <c r="AP1293" s="279"/>
      <c r="AQ1293" s="279"/>
      <c r="AR1293" s="279"/>
      <c r="AS1293" s="279"/>
      <c r="AT1293" s="279"/>
      <c r="AU1293" s="279"/>
      <c r="AV1293" s="279"/>
      <c r="AW1293" s="279"/>
      <c r="AX1293" s="279"/>
      <c r="AY1293" s="279"/>
      <c r="AZ1293" s="279"/>
      <c r="BA1293" s="279"/>
      <c r="BB1293" s="279"/>
      <c r="BC1293" s="279"/>
      <c r="BD1293" s="279"/>
      <c r="BE1293" s="279"/>
      <c r="BF1293" s="279"/>
      <c r="BG1293" s="279"/>
      <c r="BH1293" s="279"/>
      <c r="BI1293" s="279"/>
      <c r="BJ1293" s="279"/>
      <c r="BK1293" s="279"/>
      <c r="BL1293" s="279"/>
      <c r="BM1293" s="279"/>
      <c r="BN1293" s="279"/>
      <c r="BO1293" s="279"/>
      <c r="BP1293" s="279"/>
      <c r="BQ1293" s="279"/>
      <c r="BR1293" s="279"/>
      <c r="BS1293" s="279"/>
      <c r="BT1293" s="279"/>
      <c r="BU1293" s="279"/>
      <c r="BV1293" s="279"/>
      <c r="BW1293" s="279"/>
      <c r="BX1293" s="279"/>
      <c r="BY1293" s="279"/>
      <c r="BZ1293" s="279"/>
      <c r="CA1293" s="279"/>
      <c r="CB1293" s="279"/>
      <c r="CC1293" s="279"/>
      <c r="CD1293" s="279"/>
      <c r="CE1293" s="279"/>
      <c r="CF1293" s="279"/>
      <c r="CG1293" s="279"/>
      <c r="CH1293" s="279"/>
      <c r="CI1293" s="279"/>
      <c r="CJ1293" s="279"/>
      <c r="CK1293" s="279"/>
      <c r="CL1293" s="279"/>
      <c r="CM1293" s="279"/>
      <c r="CN1293" s="382"/>
    </row>
    <row r="1294" x14ac:dyDescent="0.3">
      <c r="B1294" s="361"/>
      <c r="C1294" s="279"/>
      <c r="D1294" s="280"/>
      <c r="E1294" s="287"/>
      <c r="F1294" s="287"/>
      <c r="G1294" s="287"/>
      <c r="H1294" s="1292">
        <f t="shared" si="64"/>
        <v>47</v>
      </c>
      <c r="I1294" s="1190" t="str">
        <f>'I. Stream &amp; Compound Data'!P308</f>
        <v/>
      </c>
      <c r="J1294" s="1295" t="str">
        <f>IF(I188="","",IF('I. Stream &amp; Compound Data'!CC308="",0,'I. Stream &amp; Compound Data'!CC308))</f>
        <v/>
      </c>
      <c r="K1294" s="1295" t="str">
        <f t="shared" si="66"/>
        <v/>
      </c>
      <c r="L1294" s="1317" t="str">
        <f>IF(K1294="","",IF('I. Stream &amp; Compound Data'!E78="H2O",0,(IF(J1294=0,1,J1294))*I1294))</f>
        <v/>
      </c>
      <c r="M1294" s="296"/>
      <c r="N1294" s="280"/>
      <c r="O1294" s="280"/>
      <c r="P1294" s="279"/>
      <c r="Q1294" s="297"/>
      <c r="R1294" s="298"/>
      <c r="S1294" s="298"/>
      <c r="T1294" s="299"/>
      <c r="U1294" s="279"/>
      <c r="V1294" s="279"/>
      <c r="W1294" s="279"/>
      <c r="X1294" s="279"/>
      <c r="Y1294" s="279"/>
      <c r="Z1294" s="279"/>
      <c r="AA1294" s="279"/>
      <c r="AB1294" s="279"/>
      <c r="AC1294" s="279"/>
      <c r="AD1294" s="279"/>
      <c r="AE1294" s="279"/>
      <c r="AF1294" s="279"/>
      <c r="AG1294" s="279"/>
      <c r="AH1294" s="279"/>
      <c r="AI1294" s="279"/>
      <c r="AJ1294" s="279"/>
      <c r="AK1294" s="279"/>
      <c r="AL1294" s="279"/>
      <c r="AM1294" s="279"/>
      <c r="AN1294" s="279"/>
      <c r="AO1294" s="279"/>
      <c r="AP1294" s="279"/>
      <c r="AQ1294" s="279"/>
      <c r="AR1294" s="279"/>
      <c r="AS1294" s="279"/>
      <c r="AT1294" s="279"/>
      <c r="AU1294" s="279"/>
      <c r="AV1294" s="279"/>
      <c r="AW1294" s="279"/>
      <c r="AX1294" s="279"/>
      <c r="AY1294" s="279"/>
      <c r="AZ1294" s="279"/>
      <c r="BA1294" s="279"/>
      <c r="BB1294" s="279"/>
      <c r="BC1294" s="279"/>
      <c r="BD1294" s="279"/>
      <c r="BE1294" s="279"/>
      <c r="BF1294" s="279"/>
      <c r="BG1294" s="279"/>
      <c r="BH1294" s="279"/>
      <c r="BI1294" s="279"/>
      <c r="BJ1294" s="279"/>
      <c r="BK1294" s="279"/>
      <c r="BL1294" s="279"/>
      <c r="BM1294" s="279"/>
      <c r="BN1294" s="279"/>
      <c r="BO1294" s="279"/>
      <c r="BP1294" s="279"/>
      <c r="BQ1294" s="279"/>
      <c r="BR1294" s="279"/>
      <c r="BS1294" s="279"/>
      <c r="BT1294" s="279"/>
      <c r="BU1294" s="279"/>
      <c r="BV1294" s="279"/>
      <c r="BW1294" s="279"/>
      <c r="BX1294" s="279"/>
      <c r="BY1294" s="279"/>
      <c r="BZ1294" s="279"/>
      <c r="CA1294" s="279"/>
      <c r="CB1294" s="279"/>
      <c r="CC1294" s="279"/>
      <c r="CD1294" s="279"/>
      <c r="CE1294" s="279"/>
      <c r="CF1294" s="279"/>
      <c r="CG1294" s="279"/>
      <c r="CH1294" s="279"/>
      <c r="CI1294" s="279"/>
      <c r="CJ1294" s="279"/>
      <c r="CK1294" s="279"/>
      <c r="CL1294" s="279"/>
      <c r="CM1294" s="279"/>
      <c r="CN1294" s="382"/>
    </row>
    <row r="1295" x14ac:dyDescent="0.3">
      <c r="B1295" s="361"/>
      <c r="C1295" s="279"/>
      <c r="D1295" s="280"/>
      <c r="E1295" s="287"/>
      <c r="F1295" s="287"/>
      <c r="G1295" s="287"/>
      <c r="H1295" s="1292">
        <f t="shared" si="64"/>
        <v>48</v>
      </c>
      <c r="I1295" s="1190" t="str">
        <f>'I. Stream &amp; Compound Data'!P309</f>
        <v/>
      </c>
      <c r="J1295" s="1295" t="str">
        <f>IF(I189="","",IF('I. Stream &amp; Compound Data'!CC309="",0,'I. Stream &amp; Compound Data'!CC309))</f>
        <v/>
      </c>
      <c r="K1295" s="1295" t="str">
        <f t="shared" si="66"/>
        <v/>
      </c>
      <c r="L1295" s="1317" t="str">
        <f>IF(K1295="","",IF('I. Stream &amp; Compound Data'!E79="H2O",0,(IF(J1295=0,1,J1295))*I1295))</f>
        <v/>
      </c>
      <c r="M1295" s="296"/>
      <c r="N1295" s="280"/>
      <c r="O1295" s="280"/>
      <c r="P1295" s="279"/>
      <c r="Q1295" s="297"/>
      <c r="R1295" s="298"/>
      <c r="S1295" s="298"/>
      <c r="T1295" s="299"/>
      <c r="U1295" s="279"/>
      <c r="V1295" s="279"/>
      <c r="W1295" s="279"/>
      <c r="X1295" s="279"/>
      <c r="Y1295" s="279"/>
      <c r="Z1295" s="279"/>
      <c r="AA1295" s="279"/>
      <c r="AB1295" s="279"/>
      <c r="AC1295" s="279"/>
      <c r="AD1295" s="279"/>
      <c r="AE1295" s="279"/>
      <c r="AF1295" s="279"/>
      <c r="AG1295" s="279"/>
      <c r="AH1295" s="279"/>
      <c r="AI1295" s="279"/>
      <c r="AJ1295" s="279"/>
      <c r="AK1295" s="279"/>
      <c r="AL1295" s="279"/>
      <c r="AM1295" s="279"/>
      <c r="AN1295" s="279"/>
      <c r="AO1295" s="279"/>
      <c r="AP1295" s="279"/>
      <c r="AQ1295" s="279"/>
      <c r="AR1295" s="279"/>
      <c r="AS1295" s="279"/>
      <c r="AT1295" s="279"/>
      <c r="AU1295" s="279"/>
      <c r="AV1295" s="279"/>
      <c r="AW1295" s="279"/>
      <c r="AX1295" s="279"/>
      <c r="AY1295" s="279"/>
      <c r="AZ1295" s="279"/>
      <c r="BA1295" s="279"/>
      <c r="BB1295" s="279"/>
      <c r="BC1295" s="279"/>
      <c r="BD1295" s="279"/>
      <c r="BE1295" s="279"/>
      <c r="BF1295" s="279"/>
      <c r="BG1295" s="279"/>
      <c r="BH1295" s="279"/>
      <c r="BI1295" s="279"/>
      <c r="BJ1295" s="279"/>
      <c r="BK1295" s="279"/>
      <c r="BL1295" s="279"/>
      <c r="BM1295" s="279"/>
      <c r="BN1295" s="279"/>
      <c r="BO1295" s="279"/>
      <c r="BP1295" s="279"/>
      <c r="BQ1295" s="279"/>
      <c r="BR1295" s="279"/>
      <c r="BS1295" s="279"/>
      <c r="BT1295" s="279"/>
      <c r="BU1295" s="279"/>
      <c r="BV1295" s="279"/>
      <c r="BW1295" s="279"/>
      <c r="BX1295" s="279"/>
      <c r="BY1295" s="279"/>
      <c r="BZ1295" s="279"/>
      <c r="CA1295" s="279"/>
      <c r="CB1295" s="279"/>
      <c r="CC1295" s="279"/>
      <c r="CD1295" s="279"/>
      <c r="CE1295" s="279"/>
      <c r="CF1295" s="279"/>
      <c r="CG1295" s="279"/>
      <c r="CH1295" s="279"/>
      <c r="CI1295" s="279"/>
      <c r="CJ1295" s="279"/>
      <c r="CK1295" s="279"/>
      <c r="CL1295" s="279"/>
      <c r="CM1295" s="279"/>
      <c r="CN1295" s="382"/>
    </row>
    <row r="1296" x14ac:dyDescent="0.3">
      <c r="B1296" s="361"/>
      <c r="C1296" s="279"/>
      <c r="D1296" s="280"/>
      <c r="E1296" s="287"/>
      <c r="F1296" s="287"/>
      <c r="G1296" s="287"/>
      <c r="H1296" s="1292">
        <f t="shared" si="64"/>
        <v>49</v>
      </c>
      <c r="I1296" s="1190" t="str">
        <f>'I. Stream &amp; Compound Data'!P310</f>
        <v/>
      </c>
      <c r="J1296" s="1295" t="str">
        <f>IF(I190="","",IF('I. Stream &amp; Compound Data'!CC310="",0,'I. Stream &amp; Compound Data'!CC310))</f>
        <v/>
      </c>
      <c r="K1296" s="1295" t="str">
        <f t="shared" si="66"/>
        <v/>
      </c>
      <c r="L1296" s="1317" t="str">
        <f>IF(K1296="","",IF('I. Stream &amp; Compound Data'!E80="H2O",0,(IF(J1296=0,1,J1296))*I1296))</f>
        <v/>
      </c>
      <c r="M1296" s="296"/>
      <c r="N1296" s="280"/>
      <c r="O1296" s="280"/>
      <c r="P1296" s="279"/>
      <c r="Q1296" s="297"/>
      <c r="R1296" s="298"/>
      <c r="S1296" s="298"/>
      <c r="T1296" s="299"/>
      <c r="U1296" s="279"/>
      <c r="V1296" s="279"/>
      <c r="W1296" s="279"/>
      <c r="X1296" s="279"/>
      <c r="Y1296" s="279"/>
      <c r="Z1296" s="279"/>
      <c r="AA1296" s="279"/>
      <c r="AB1296" s="279"/>
      <c r="AC1296" s="279"/>
      <c r="AD1296" s="279"/>
      <c r="AE1296" s="279"/>
      <c r="AF1296" s="279"/>
      <c r="AG1296" s="279"/>
      <c r="AH1296" s="279"/>
      <c r="AI1296" s="279"/>
      <c r="AJ1296" s="279"/>
      <c r="AK1296" s="279"/>
      <c r="AL1296" s="279"/>
      <c r="AM1296" s="279"/>
      <c r="AN1296" s="279"/>
      <c r="AO1296" s="279"/>
      <c r="AP1296" s="279"/>
      <c r="AQ1296" s="279"/>
      <c r="AR1296" s="279"/>
      <c r="AS1296" s="279"/>
      <c r="AT1296" s="279"/>
      <c r="AU1296" s="279"/>
      <c r="AV1296" s="279"/>
      <c r="AW1296" s="279"/>
      <c r="AX1296" s="279"/>
      <c r="AY1296" s="279"/>
      <c r="AZ1296" s="279"/>
      <c r="BA1296" s="279"/>
      <c r="BB1296" s="279"/>
      <c r="BC1296" s="279"/>
      <c r="BD1296" s="279"/>
      <c r="BE1296" s="279"/>
      <c r="BF1296" s="279"/>
      <c r="BG1296" s="279"/>
      <c r="BH1296" s="279"/>
      <c r="BI1296" s="279"/>
      <c r="BJ1296" s="279"/>
      <c r="BK1296" s="279"/>
      <c r="BL1296" s="279"/>
      <c r="BM1296" s="279"/>
      <c r="BN1296" s="279"/>
      <c r="BO1296" s="279"/>
      <c r="BP1296" s="279"/>
      <c r="BQ1296" s="279"/>
      <c r="BR1296" s="279"/>
      <c r="BS1296" s="279"/>
      <c r="BT1296" s="279"/>
      <c r="BU1296" s="279"/>
      <c r="BV1296" s="279"/>
      <c r="BW1296" s="279"/>
      <c r="BX1296" s="279"/>
      <c r="BY1296" s="279"/>
      <c r="BZ1296" s="279"/>
      <c r="CA1296" s="279"/>
      <c r="CB1296" s="279"/>
      <c r="CC1296" s="279"/>
      <c r="CD1296" s="279"/>
      <c r="CE1296" s="279"/>
      <c r="CF1296" s="279"/>
      <c r="CG1296" s="279"/>
      <c r="CH1296" s="279"/>
      <c r="CI1296" s="279"/>
      <c r="CJ1296" s="279"/>
      <c r="CK1296" s="279"/>
      <c r="CL1296" s="279"/>
      <c r="CM1296" s="279"/>
      <c r="CN1296" s="382"/>
    </row>
    <row r="1297" ht="16.2" thickBot="true" x14ac:dyDescent="0.35">
      <c r="B1297" s="361"/>
      <c r="C1297" s="279"/>
      <c r="D1297" s="280"/>
      <c r="E1297" s="287"/>
      <c r="F1297" s="287"/>
      <c r="G1297" s="287"/>
      <c r="H1297" s="1298">
        <f t="shared" si="64"/>
        <v>50</v>
      </c>
      <c r="I1297" s="1259" t="str">
        <f>'I. Stream &amp; Compound Data'!P311</f>
        <v/>
      </c>
      <c r="J1297" s="1301" t="str">
        <f>IF(I191="","",IF('I. Stream &amp; Compound Data'!CC311="",0,'I. Stream &amp; Compound Data'!CC311))</f>
        <v/>
      </c>
      <c r="K1297" s="1301" t="str">
        <f t="shared" si="66"/>
        <v/>
      </c>
      <c r="L1297" s="1318" t="str">
        <f>IF(K1297="","",IF('I. Stream &amp; Compound Data'!E81="H2O",0,(IF(J1297=0,1,J1297))*I1297))</f>
        <v/>
      </c>
      <c r="M1297" s="296"/>
      <c r="N1297" s="280"/>
      <c r="O1297" s="280"/>
      <c r="P1297" s="279"/>
      <c r="Q1297" s="297"/>
      <c r="R1297" s="298"/>
      <c r="S1297" s="298"/>
      <c r="T1297" s="299"/>
      <c r="U1297" s="279"/>
      <c r="V1297" s="279"/>
      <c r="W1297" s="279"/>
      <c r="X1297" s="279"/>
      <c r="Y1297" s="279"/>
      <c r="Z1297" s="279"/>
      <c r="AA1297" s="279"/>
      <c r="AB1297" s="279"/>
      <c r="AC1297" s="279"/>
      <c r="AD1297" s="279"/>
      <c r="AE1297" s="279"/>
      <c r="AF1297" s="279"/>
      <c r="AG1297" s="279"/>
      <c r="AH1297" s="279"/>
      <c r="AI1297" s="279"/>
      <c r="AJ1297" s="279"/>
      <c r="AK1297" s="279"/>
      <c r="AL1297" s="279"/>
      <c r="AM1297" s="279"/>
      <c r="AN1297" s="279"/>
      <c r="AO1297" s="279"/>
      <c r="AP1297" s="279"/>
      <c r="AQ1297" s="279"/>
      <c r="AR1297" s="279"/>
      <c r="AS1297" s="279"/>
      <c r="AT1297" s="279"/>
      <c r="AU1297" s="279"/>
      <c r="AV1297" s="279"/>
      <c r="AW1297" s="279"/>
      <c r="AX1297" s="279"/>
      <c r="AY1297" s="279"/>
      <c r="AZ1297" s="279"/>
      <c r="BA1297" s="279"/>
      <c r="BB1297" s="279"/>
      <c r="BC1297" s="279"/>
      <c r="BD1297" s="279"/>
      <c r="BE1297" s="279"/>
      <c r="BF1297" s="279"/>
      <c r="BG1297" s="279"/>
      <c r="BH1297" s="279"/>
      <c r="BI1297" s="279"/>
      <c r="BJ1297" s="279"/>
      <c r="BK1297" s="279"/>
      <c r="BL1297" s="279"/>
      <c r="BM1297" s="279"/>
      <c r="BN1297" s="279"/>
      <c r="BO1297" s="279"/>
      <c r="BP1297" s="279"/>
      <c r="BQ1297" s="279"/>
      <c r="BR1297" s="279"/>
      <c r="BS1297" s="279"/>
      <c r="BT1297" s="279"/>
      <c r="BU1297" s="279"/>
      <c r="BV1297" s="279"/>
      <c r="BW1297" s="279"/>
      <c r="BX1297" s="279"/>
      <c r="BY1297" s="279"/>
      <c r="BZ1297" s="279"/>
      <c r="CA1297" s="279"/>
      <c r="CB1297" s="279"/>
      <c r="CC1297" s="279"/>
      <c r="CD1297" s="279"/>
      <c r="CE1297" s="279"/>
      <c r="CF1297" s="279"/>
      <c r="CG1297" s="279"/>
      <c r="CH1297" s="279"/>
      <c r="CI1297" s="279"/>
      <c r="CJ1297" s="279"/>
      <c r="CK1297" s="279"/>
      <c r="CL1297" s="279"/>
      <c r="CM1297" s="279"/>
      <c r="CN1297" s="382"/>
    </row>
    <row r="1298" ht="16.2" thickBot="true" x14ac:dyDescent="0.35">
      <c r="B1298" s="361"/>
      <c r="C1298" s="279"/>
      <c r="D1298" s="280"/>
      <c r="E1298" s="287"/>
      <c r="F1298" s="287"/>
      <c r="G1298" s="287"/>
      <c r="H1298" s="280"/>
      <c r="I1298" s="279"/>
      <c r="J1298" s="287" t="s">
        <v>88</v>
      </c>
      <c r="K1298" s="1305">
        <f>SUM(K1248:K1297)</f>
        <v>0</v>
      </c>
      <c r="L1298" s="1305">
        <f>SUM(L1248:L1297)</f>
        <v>2980.7504537999998</v>
      </c>
      <c r="M1298" s="296"/>
      <c r="N1298" s="280"/>
      <c r="O1298" s="280"/>
      <c r="P1298" s="279"/>
      <c r="Q1298" s="297"/>
      <c r="R1298" s="298"/>
      <c r="S1298" s="298"/>
      <c r="T1298" s="299"/>
      <c r="U1298" s="279"/>
      <c r="V1298" s="279"/>
      <c r="W1298" s="279"/>
      <c r="X1298" s="279"/>
      <c r="Y1298" s="279"/>
      <c r="Z1298" s="279"/>
      <c r="AA1298" s="279"/>
      <c r="AB1298" s="279"/>
      <c r="AC1298" s="279"/>
      <c r="AD1298" s="279"/>
      <c r="AE1298" s="279"/>
      <c r="AF1298" s="279"/>
      <c r="AG1298" s="279"/>
      <c r="AH1298" s="279"/>
      <c r="AI1298" s="279"/>
      <c r="AJ1298" s="279"/>
      <c r="AK1298" s="279"/>
      <c r="AL1298" s="279"/>
      <c r="AM1298" s="279"/>
      <c r="AN1298" s="279"/>
      <c r="AO1298" s="279"/>
      <c r="AP1298" s="279"/>
      <c r="AQ1298" s="279"/>
      <c r="AR1298" s="279"/>
      <c r="AS1298" s="279"/>
      <c r="AT1298" s="279"/>
      <c r="AU1298" s="279"/>
      <c r="AV1298" s="279"/>
      <c r="AW1298" s="279"/>
      <c r="AX1298" s="279"/>
      <c r="AY1298" s="279"/>
      <c r="AZ1298" s="279"/>
      <c r="BA1298" s="279"/>
      <c r="BB1298" s="279"/>
      <c r="BC1298" s="279"/>
      <c r="BD1298" s="279"/>
      <c r="BE1298" s="279"/>
      <c r="BF1298" s="279"/>
      <c r="BG1298" s="279"/>
      <c r="BH1298" s="279"/>
      <c r="BI1298" s="279"/>
      <c r="BJ1298" s="279"/>
      <c r="BK1298" s="279"/>
      <c r="BL1298" s="279"/>
      <c r="BM1298" s="279"/>
      <c r="BN1298" s="279"/>
      <c r="BO1298" s="279"/>
      <c r="BP1298" s="279"/>
      <c r="BQ1298" s="279"/>
      <c r="BR1298" s="279"/>
      <c r="BS1298" s="279"/>
      <c r="BT1298" s="279"/>
      <c r="BU1298" s="279"/>
      <c r="BV1298" s="279"/>
      <c r="BW1298" s="279"/>
      <c r="BX1298" s="279"/>
      <c r="BY1298" s="279"/>
      <c r="BZ1298" s="279"/>
      <c r="CA1298" s="279"/>
      <c r="CB1298" s="279"/>
      <c r="CC1298" s="279"/>
      <c r="CD1298" s="279"/>
      <c r="CE1298" s="279"/>
      <c r="CF1298" s="279"/>
      <c r="CG1298" s="279"/>
      <c r="CH1298" s="279"/>
      <c r="CI1298" s="279"/>
      <c r="CJ1298" s="279"/>
      <c r="CK1298" s="279"/>
      <c r="CL1298" s="279"/>
      <c r="CM1298" s="279"/>
      <c r="CN1298" s="382"/>
    </row>
    <row r="1299" x14ac:dyDescent="0.3">
      <c r="B1299" s="361"/>
      <c r="C1299" s="279"/>
      <c r="D1299" s="280"/>
      <c r="E1299" s="287"/>
      <c r="F1299" s="287"/>
      <c r="G1299" s="287"/>
      <c r="H1299" s="280"/>
      <c r="I1299" s="279"/>
      <c r="J1299" s="287"/>
      <c r="K1299" s="287"/>
      <c r="L1299" s="287"/>
      <c r="M1299" s="296"/>
      <c r="N1299" s="280"/>
      <c r="O1299" s="280"/>
      <c r="P1299" s="279"/>
      <c r="Q1299" s="297"/>
      <c r="R1299" s="298"/>
      <c r="S1299" s="298"/>
      <c r="T1299" s="299"/>
      <c r="U1299" s="279"/>
      <c r="V1299" s="279"/>
      <c r="W1299" s="279"/>
      <c r="X1299" s="279"/>
      <c r="Y1299" s="279"/>
      <c r="Z1299" s="279"/>
      <c r="AA1299" s="279"/>
      <c r="AB1299" s="279"/>
      <c r="AC1299" s="279"/>
      <c r="AD1299" s="279"/>
      <c r="AE1299" s="279"/>
      <c r="AF1299" s="279"/>
      <c r="AG1299" s="279"/>
      <c r="AH1299" s="279"/>
      <c r="AI1299" s="279"/>
      <c r="AJ1299" s="279"/>
      <c r="AK1299" s="279"/>
      <c r="AL1299" s="279"/>
      <c r="AM1299" s="279"/>
      <c r="AN1299" s="279"/>
      <c r="AO1299" s="279"/>
      <c r="AP1299" s="279"/>
      <c r="AQ1299" s="279"/>
      <c r="AR1299" s="279"/>
      <c r="AS1299" s="279"/>
      <c r="AT1299" s="279"/>
      <c r="AU1299" s="279"/>
      <c r="AV1299" s="279"/>
      <c r="AW1299" s="279"/>
      <c r="AX1299" s="279"/>
      <c r="AY1299" s="279"/>
      <c r="AZ1299" s="279"/>
      <c r="BA1299" s="279"/>
      <c r="BB1299" s="279"/>
      <c r="BC1299" s="279"/>
      <c r="BD1299" s="279"/>
      <c r="BE1299" s="279"/>
      <c r="BF1299" s="279"/>
      <c r="BG1299" s="279"/>
      <c r="BH1299" s="279"/>
      <c r="BI1299" s="279"/>
      <c r="BJ1299" s="279"/>
      <c r="BK1299" s="279"/>
      <c r="BL1299" s="279"/>
      <c r="BM1299" s="279"/>
      <c r="BN1299" s="279"/>
      <c r="BO1299" s="279"/>
      <c r="BP1299" s="279"/>
      <c r="BQ1299" s="279"/>
      <c r="BR1299" s="279"/>
      <c r="BS1299" s="279"/>
      <c r="BT1299" s="279"/>
      <c r="BU1299" s="279"/>
      <c r="BV1299" s="279"/>
      <c r="BW1299" s="279"/>
      <c r="BX1299" s="279"/>
      <c r="BY1299" s="279"/>
      <c r="BZ1299" s="279"/>
      <c r="CA1299" s="279"/>
      <c r="CB1299" s="279"/>
      <c r="CC1299" s="279"/>
      <c r="CD1299" s="279"/>
      <c r="CE1299" s="279"/>
      <c r="CF1299" s="279"/>
      <c r="CG1299" s="279"/>
      <c r="CH1299" s="279"/>
      <c r="CI1299" s="279"/>
      <c r="CJ1299" s="279"/>
      <c r="CK1299" s="279"/>
      <c r="CL1299" s="279"/>
      <c r="CM1299" s="279"/>
      <c r="CN1299" s="382"/>
    </row>
    <row r="1300" x14ac:dyDescent="0.3">
      <c r="B1300" s="361"/>
      <c r="C1300" s="279"/>
      <c r="D1300" s="280"/>
      <c r="E1300" s="287"/>
      <c r="F1300" s="287"/>
      <c r="G1300" s="287"/>
      <c r="H1300" s="280"/>
      <c r="I1300" s="279"/>
      <c r="J1300" s="287"/>
      <c r="K1300" s="287"/>
      <c r="L1300" s="287"/>
      <c r="M1300" s="296"/>
      <c r="N1300" s="280"/>
      <c r="O1300" s="280"/>
      <c r="P1300" s="279"/>
      <c r="Q1300" s="297"/>
      <c r="R1300" s="298"/>
      <c r="S1300" s="298"/>
      <c r="T1300" s="299"/>
      <c r="U1300" s="279"/>
      <c r="V1300" s="279"/>
      <c r="W1300" s="279"/>
      <c r="X1300" s="279"/>
      <c r="Y1300" s="279"/>
      <c r="Z1300" s="279"/>
      <c r="AA1300" s="279"/>
      <c r="AB1300" s="279"/>
      <c r="AC1300" s="279"/>
      <c r="AD1300" s="279"/>
      <c r="AE1300" s="279"/>
      <c r="AF1300" s="279"/>
      <c r="AG1300" s="279"/>
      <c r="AH1300" s="279"/>
      <c r="AI1300" s="279"/>
      <c r="AJ1300" s="279"/>
      <c r="AK1300" s="279"/>
      <c r="AL1300" s="279"/>
      <c r="AM1300" s="279"/>
      <c r="AN1300" s="279"/>
      <c r="AO1300" s="279"/>
      <c r="AP1300" s="279"/>
      <c r="AQ1300" s="279"/>
      <c r="AR1300" s="279"/>
      <c r="AS1300" s="279"/>
      <c r="AT1300" s="279"/>
      <c r="AU1300" s="279"/>
      <c r="AV1300" s="279"/>
      <c r="AW1300" s="279"/>
      <c r="AX1300" s="279"/>
      <c r="AY1300" s="279"/>
      <c r="AZ1300" s="279"/>
      <c r="BA1300" s="279"/>
      <c r="BB1300" s="279"/>
      <c r="BC1300" s="279"/>
      <c r="BD1300" s="279"/>
      <c r="BE1300" s="279"/>
      <c r="BF1300" s="279"/>
      <c r="BG1300" s="279"/>
      <c r="BH1300" s="279"/>
      <c r="BI1300" s="279"/>
      <c r="BJ1300" s="279"/>
      <c r="BK1300" s="279"/>
      <c r="BL1300" s="279"/>
      <c r="BM1300" s="279"/>
      <c r="BN1300" s="279"/>
      <c r="BO1300" s="279"/>
      <c r="BP1300" s="279"/>
      <c r="BQ1300" s="279"/>
      <c r="BR1300" s="279"/>
      <c r="BS1300" s="279"/>
      <c r="BT1300" s="279"/>
      <c r="BU1300" s="279"/>
      <c r="BV1300" s="279"/>
      <c r="BW1300" s="279"/>
      <c r="BX1300" s="279"/>
      <c r="BY1300" s="279"/>
      <c r="BZ1300" s="279"/>
      <c r="CA1300" s="279"/>
      <c r="CB1300" s="279"/>
      <c r="CC1300" s="279"/>
      <c r="CD1300" s="279"/>
      <c r="CE1300" s="279"/>
      <c r="CF1300" s="279"/>
      <c r="CG1300" s="279"/>
      <c r="CH1300" s="279"/>
      <c r="CI1300" s="279"/>
      <c r="CJ1300" s="279"/>
      <c r="CK1300" s="279"/>
      <c r="CL1300" s="279"/>
      <c r="CM1300" s="279"/>
      <c r="CN1300" s="382"/>
    </row>
    <row r="1301" x14ac:dyDescent="0.3">
      <c r="B1301" s="361"/>
      <c r="C1301" s="279"/>
      <c r="D1301" s="280"/>
      <c r="E1301" s="287"/>
      <c r="F1301" s="287"/>
      <c r="G1301" s="287"/>
      <c r="H1301" s="280"/>
      <c r="I1301" s="279"/>
      <c r="J1301" s="279"/>
      <c r="K1301" s="279"/>
      <c r="L1301" s="280"/>
      <c r="M1301" s="296"/>
      <c r="N1301" s="280"/>
      <c r="O1301" s="280"/>
      <c r="P1301" s="279"/>
      <c r="Q1301" s="297"/>
      <c r="R1301" s="298"/>
      <c r="S1301" s="298"/>
      <c r="T1301" s="299"/>
      <c r="U1301" s="279"/>
      <c r="V1301" s="279"/>
      <c r="W1301" s="279"/>
      <c r="X1301" s="279"/>
      <c r="Y1301" s="279"/>
      <c r="Z1301" s="279"/>
      <c r="AA1301" s="279"/>
      <c r="AB1301" s="279"/>
      <c r="AC1301" s="279"/>
      <c r="AD1301" s="279"/>
      <c r="AE1301" s="279"/>
      <c r="AF1301" s="279"/>
      <c r="AG1301" s="279"/>
      <c r="AH1301" s="279"/>
      <c r="AI1301" s="279"/>
      <c r="AJ1301" s="279"/>
      <c r="AK1301" s="279"/>
      <c r="AL1301" s="279"/>
      <c r="AM1301" s="279"/>
      <c r="AN1301" s="279"/>
      <c r="AO1301" s="279"/>
      <c r="AP1301" s="279"/>
      <c r="AQ1301" s="279"/>
      <c r="AR1301" s="279"/>
      <c r="AS1301" s="279"/>
      <c r="AT1301" s="279"/>
      <c r="AU1301" s="279"/>
      <c r="AV1301" s="279"/>
      <c r="AW1301" s="279"/>
      <c r="AX1301" s="279"/>
      <c r="AY1301" s="279"/>
      <c r="AZ1301" s="279"/>
      <c r="BA1301" s="279"/>
      <c r="BB1301" s="279"/>
      <c r="BC1301" s="279"/>
      <c r="BD1301" s="279"/>
      <c r="BE1301" s="279"/>
      <c r="BF1301" s="279"/>
      <c r="BG1301" s="279"/>
      <c r="BH1301" s="279"/>
      <c r="BI1301" s="279"/>
      <c r="BJ1301" s="279"/>
      <c r="BK1301" s="279"/>
      <c r="BL1301" s="279"/>
      <c r="BM1301" s="279"/>
      <c r="BN1301" s="279"/>
      <c r="BO1301" s="279"/>
      <c r="BP1301" s="279"/>
      <c r="BQ1301" s="279"/>
      <c r="BR1301" s="279"/>
      <c r="BS1301" s="279"/>
      <c r="BT1301" s="279"/>
      <c r="BU1301" s="279"/>
      <c r="BV1301" s="279"/>
      <c r="BW1301" s="279"/>
      <c r="BX1301" s="279"/>
      <c r="BY1301" s="279"/>
      <c r="BZ1301" s="279"/>
      <c r="CA1301" s="279"/>
      <c r="CB1301" s="279"/>
      <c r="CC1301" s="279"/>
      <c r="CD1301" s="279"/>
      <c r="CE1301" s="279"/>
      <c r="CF1301" s="279"/>
      <c r="CG1301" s="279"/>
      <c r="CH1301" s="279"/>
      <c r="CI1301" s="279"/>
      <c r="CJ1301" s="279"/>
      <c r="CK1301" s="279"/>
      <c r="CL1301" s="279"/>
      <c r="CM1301" s="279"/>
      <c r="CN1301" s="382"/>
    </row>
    <row r="1302" x14ac:dyDescent="0.3">
      <c r="B1302" s="361"/>
      <c r="C1302" s="279"/>
      <c r="D1302" s="280"/>
      <c r="E1302" s="287"/>
      <c r="F1302" s="287"/>
      <c r="G1302" s="287"/>
      <c r="H1302" s="280"/>
      <c r="I1302" s="279"/>
      <c r="J1302" s="279"/>
      <c r="K1302" s="279"/>
      <c r="L1302" s="280"/>
      <c r="M1302" s="296"/>
      <c r="N1302" s="280"/>
      <c r="O1302" s="280"/>
      <c r="P1302" s="279"/>
      <c r="Q1302" s="297"/>
      <c r="R1302" s="298"/>
      <c r="S1302" s="298"/>
      <c r="T1302" s="299"/>
      <c r="U1302" s="279"/>
      <c r="V1302" s="279"/>
      <c r="W1302" s="279"/>
      <c r="X1302" s="279"/>
      <c r="Y1302" s="279"/>
      <c r="Z1302" s="279"/>
      <c r="AA1302" s="279"/>
      <c r="AB1302" s="279"/>
      <c r="AC1302" s="279"/>
      <c r="AD1302" s="279"/>
      <c r="AE1302" s="279"/>
      <c r="AF1302" s="279"/>
      <c r="AG1302" s="279"/>
      <c r="AH1302" s="279"/>
      <c r="AI1302" s="279"/>
      <c r="AJ1302" s="279"/>
      <c r="AK1302" s="279"/>
      <c r="AL1302" s="279"/>
      <c r="AM1302" s="279"/>
      <c r="AN1302" s="279"/>
      <c r="AO1302" s="279"/>
      <c r="AP1302" s="279"/>
      <c r="AQ1302" s="279"/>
      <c r="AR1302" s="279"/>
      <c r="AS1302" s="279"/>
      <c r="AT1302" s="279"/>
      <c r="AU1302" s="279"/>
      <c r="AV1302" s="279"/>
      <c r="AW1302" s="279"/>
      <c r="AX1302" s="279"/>
      <c r="AY1302" s="279"/>
      <c r="AZ1302" s="279"/>
      <c r="BA1302" s="279"/>
      <c r="BB1302" s="279"/>
      <c r="BC1302" s="279"/>
      <c r="BD1302" s="279"/>
      <c r="BE1302" s="279"/>
      <c r="BF1302" s="279"/>
      <c r="BG1302" s="279"/>
      <c r="BH1302" s="279"/>
      <c r="BI1302" s="279"/>
      <c r="BJ1302" s="279"/>
      <c r="BK1302" s="279"/>
      <c r="BL1302" s="279"/>
      <c r="BM1302" s="279"/>
      <c r="BN1302" s="279"/>
      <c r="BO1302" s="279"/>
      <c r="BP1302" s="279"/>
      <c r="BQ1302" s="279"/>
      <c r="BR1302" s="279"/>
      <c r="BS1302" s="279"/>
      <c r="BT1302" s="279"/>
      <c r="BU1302" s="279"/>
      <c r="BV1302" s="279"/>
      <c r="BW1302" s="279"/>
      <c r="BX1302" s="279"/>
      <c r="BY1302" s="279"/>
      <c r="BZ1302" s="279"/>
      <c r="CA1302" s="279"/>
      <c r="CB1302" s="279"/>
      <c r="CC1302" s="279"/>
      <c r="CD1302" s="279"/>
      <c r="CE1302" s="279"/>
      <c r="CF1302" s="279"/>
      <c r="CG1302" s="279"/>
      <c r="CH1302" s="279"/>
      <c r="CI1302" s="279"/>
      <c r="CJ1302" s="279"/>
      <c r="CK1302" s="279"/>
      <c r="CL1302" s="279"/>
      <c r="CM1302" s="279"/>
      <c r="CN1302" s="382"/>
    </row>
    <row r="1303" ht="16.2" thickBot="true" x14ac:dyDescent="0.35">
      <c r="B1303" s="361"/>
      <c r="C1303" s="279"/>
      <c r="D1303" s="280"/>
      <c r="E1303" s="287"/>
      <c r="F1303" s="287"/>
      <c r="G1303" s="287"/>
      <c r="H1303" s="280"/>
      <c r="I1303" s="279"/>
      <c r="J1303" s="279"/>
      <c r="K1303" s="279"/>
      <c r="L1303" s="280"/>
      <c r="M1303" s="296"/>
      <c r="N1303" s="280"/>
      <c r="O1303" s="280"/>
      <c r="P1303" s="279"/>
      <c r="Q1303" s="297"/>
      <c r="R1303" s="298"/>
      <c r="S1303" s="298"/>
      <c r="T1303" s="299"/>
      <c r="U1303" s="279"/>
      <c r="V1303" s="279"/>
      <c r="W1303" s="279"/>
      <c r="X1303" s="279"/>
      <c r="Y1303" s="279"/>
      <c r="Z1303" s="279"/>
      <c r="AA1303" s="279"/>
      <c r="AB1303" s="279"/>
      <c r="AC1303" s="279"/>
      <c r="AD1303" s="279"/>
      <c r="AE1303" s="279"/>
      <c r="AF1303" s="279"/>
      <c r="AG1303" s="279"/>
      <c r="AH1303" s="279"/>
      <c r="AI1303" s="279"/>
      <c r="AJ1303" s="279"/>
      <c r="AK1303" s="279"/>
      <c r="AL1303" s="279"/>
      <c r="AM1303" s="279"/>
      <c r="AN1303" s="279"/>
      <c r="AO1303" s="279"/>
      <c r="AP1303" s="279"/>
      <c r="AQ1303" s="279"/>
      <c r="AR1303" s="279"/>
      <c r="AS1303" s="279"/>
      <c r="AT1303" s="279"/>
      <c r="AU1303" s="279"/>
      <c r="AV1303" s="279"/>
      <c r="AW1303" s="279"/>
      <c r="AX1303" s="279"/>
      <c r="AY1303" s="279"/>
      <c r="AZ1303" s="279"/>
      <c r="BA1303" s="279"/>
      <c r="BB1303" s="279"/>
      <c r="BC1303" s="279"/>
      <c r="BD1303" s="279"/>
      <c r="BE1303" s="279"/>
      <c r="BF1303" s="279"/>
      <c r="BG1303" s="279"/>
      <c r="BH1303" s="279"/>
      <c r="BI1303" s="279"/>
      <c r="BJ1303" s="279"/>
      <c r="BK1303" s="279"/>
      <c r="BL1303" s="279"/>
      <c r="BM1303" s="279"/>
      <c r="BN1303" s="279"/>
      <c r="BO1303" s="279"/>
      <c r="BP1303" s="279"/>
      <c r="BQ1303" s="279"/>
      <c r="BR1303" s="279"/>
      <c r="BS1303" s="279"/>
      <c r="BT1303" s="279"/>
      <c r="BU1303" s="279"/>
      <c r="BV1303" s="279"/>
      <c r="BW1303" s="279"/>
      <c r="BX1303" s="279"/>
      <c r="BY1303" s="279"/>
      <c r="BZ1303" s="279"/>
      <c r="CA1303" s="279"/>
      <c r="CB1303" s="279"/>
      <c r="CC1303" s="279"/>
      <c r="CD1303" s="279"/>
      <c r="CE1303" s="279"/>
      <c r="CF1303" s="279"/>
      <c r="CG1303" s="279"/>
      <c r="CH1303" s="279"/>
      <c r="CI1303" s="279"/>
      <c r="CJ1303" s="279"/>
      <c r="CK1303" s="279"/>
      <c r="CL1303" s="279"/>
      <c r="CM1303" s="279"/>
      <c r="CN1303" s="382"/>
    </row>
    <row r="1304" ht="27" customHeight="true" thickBot="true" x14ac:dyDescent="0.35">
      <c r="B1304" s="361"/>
      <c r="C1304" s="279"/>
      <c r="D1304" s="280"/>
      <c r="E1304" s="287"/>
      <c r="F1304" s="287"/>
      <c r="G1304" s="287"/>
      <c r="H1304" s="1950" t="s">
        <v>672</v>
      </c>
      <c r="I1304" s="1951"/>
      <c r="J1304" s="1951"/>
      <c r="K1304" s="1951"/>
      <c r="L1304" s="1952"/>
      <c r="M1304" s="296"/>
      <c r="N1304" s="280"/>
      <c r="O1304" s="280"/>
      <c r="P1304" s="279"/>
      <c r="Q1304" s="297"/>
      <c r="R1304" s="298"/>
      <c r="S1304" s="298"/>
      <c r="T1304" s="299"/>
      <c r="U1304" s="279"/>
      <c r="V1304" s="279"/>
      <c r="W1304" s="279"/>
      <c r="X1304" s="279"/>
      <c r="Y1304" s="279"/>
      <c r="Z1304" s="279"/>
      <c r="AA1304" s="279"/>
      <c r="AB1304" s="279"/>
      <c r="AC1304" s="279"/>
      <c r="AD1304" s="279"/>
      <c r="AE1304" s="279"/>
      <c r="AF1304" s="279"/>
      <c r="AG1304" s="279"/>
      <c r="AH1304" s="279"/>
      <c r="AI1304" s="279"/>
      <c r="AJ1304" s="279"/>
      <c r="AK1304" s="279"/>
      <c r="AL1304" s="279"/>
      <c r="AM1304" s="279"/>
      <c r="AN1304" s="279"/>
      <c r="AO1304" s="279"/>
      <c r="AP1304" s="279"/>
      <c r="AQ1304" s="279"/>
      <c r="AR1304" s="279"/>
      <c r="AS1304" s="279"/>
      <c r="AT1304" s="279"/>
      <c r="AU1304" s="279"/>
      <c r="AV1304" s="279"/>
      <c r="AW1304" s="279"/>
      <c r="AX1304" s="279"/>
      <c r="AY1304" s="279"/>
      <c r="AZ1304" s="279"/>
      <c r="BA1304" s="279"/>
      <c r="BB1304" s="279"/>
      <c r="BC1304" s="279"/>
      <c r="BD1304" s="279"/>
      <c r="BE1304" s="279"/>
      <c r="BF1304" s="279"/>
      <c r="BG1304" s="279"/>
      <c r="BH1304" s="279"/>
      <c r="BI1304" s="279"/>
      <c r="BJ1304" s="279"/>
      <c r="BK1304" s="279"/>
      <c r="BL1304" s="279"/>
      <c r="BM1304" s="279"/>
      <c r="BN1304" s="279"/>
      <c r="BO1304" s="279"/>
      <c r="BP1304" s="279"/>
      <c r="BQ1304" s="279"/>
      <c r="BR1304" s="279"/>
      <c r="BS1304" s="279"/>
      <c r="BT1304" s="279"/>
      <c r="BU1304" s="279"/>
      <c r="BV1304" s="279"/>
      <c r="BW1304" s="279"/>
      <c r="BX1304" s="279"/>
      <c r="BY1304" s="279"/>
      <c r="BZ1304" s="279"/>
      <c r="CA1304" s="279"/>
      <c r="CB1304" s="279"/>
      <c r="CC1304" s="279"/>
      <c r="CD1304" s="279"/>
      <c r="CE1304" s="279"/>
      <c r="CF1304" s="279"/>
      <c r="CG1304" s="279"/>
      <c r="CH1304" s="279"/>
      <c r="CI1304" s="279"/>
      <c r="CJ1304" s="279"/>
      <c r="CK1304" s="279"/>
      <c r="CL1304" s="279"/>
      <c r="CM1304" s="279"/>
      <c r="CN1304" s="382"/>
    </row>
    <row r="1305" ht="31.2" x14ac:dyDescent="0.3">
      <c r="B1305" s="361"/>
      <c r="C1305" s="279"/>
      <c r="D1305" s="280"/>
      <c r="E1305" s="287"/>
      <c r="F1305" s="287"/>
      <c r="G1305" s="287"/>
      <c r="H1305" s="282" t="s">
        <v>1469</v>
      </c>
      <c r="I1305" s="1166" t="s">
        <v>289</v>
      </c>
      <c r="J1305" s="1166" t="s">
        <v>701</v>
      </c>
      <c r="K1305" s="1186" t="s">
        <v>702</v>
      </c>
      <c r="L1305" s="291" t="s">
        <v>703</v>
      </c>
      <c r="M1305" s="296"/>
      <c r="N1305" s="280"/>
      <c r="O1305" s="280"/>
      <c r="P1305" s="279"/>
      <c r="Q1305" s="297"/>
      <c r="R1305" s="298"/>
      <c r="S1305" s="298"/>
      <c r="T1305" s="299"/>
      <c r="U1305" s="279"/>
      <c r="V1305" s="279"/>
      <c r="W1305" s="279"/>
      <c r="X1305" s="279"/>
      <c r="Y1305" s="279"/>
      <c r="Z1305" s="279"/>
      <c r="AA1305" s="279"/>
      <c r="AB1305" s="279"/>
      <c r="AC1305" s="279"/>
      <c r="AD1305" s="279"/>
      <c r="AE1305" s="279"/>
      <c r="AF1305" s="279"/>
      <c r="AG1305" s="279"/>
      <c r="AH1305" s="279"/>
      <c r="AI1305" s="279"/>
      <c r="AJ1305" s="279"/>
      <c r="AK1305" s="279"/>
      <c r="AL1305" s="279"/>
      <c r="AM1305" s="279"/>
      <c r="AN1305" s="279"/>
      <c r="AO1305" s="279"/>
      <c r="AP1305" s="279"/>
      <c r="AQ1305" s="279"/>
      <c r="AR1305" s="279"/>
      <c r="AS1305" s="279"/>
      <c r="AT1305" s="279"/>
      <c r="AU1305" s="279"/>
      <c r="AV1305" s="279"/>
      <c r="AW1305" s="279"/>
      <c r="AX1305" s="279"/>
      <c r="AY1305" s="279"/>
      <c r="AZ1305" s="279"/>
      <c r="BA1305" s="279"/>
      <c r="BB1305" s="279"/>
      <c r="BC1305" s="279"/>
      <c r="BD1305" s="279"/>
      <c r="BE1305" s="279"/>
      <c r="BF1305" s="279"/>
      <c r="BG1305" s="279"/>
      <c r="BH1305" s="279"/>
      <c r="BI1305" s="279"/>
      <c r="BJ1305" s="279"/>
      <c r="BK1305" s="279"/>
      <c r="BL1305" s="279"/>
      <c r="BM1305" s="279"/>
      <c r="BN1305" s="279"/>
      <c r="BO1305" s="279"/>
      <c r="BP1305" s="279"/>
      <c r="BQ1305" s="279"/>
      <c r="BR1305" s="279"/>
      <c r="BS1305" s="279"/>
      <c r="BT1305" s="279"/>
      <c r="BU1305" s="279"/>
      <c r="BV1305" s="279"/>
      <c r="BW1305" s="279"/>
      <c r="BX1305" s="279"/>
      <c r="BY1305" s="279"/>
      <c r="BZ1305" s="279"/>
      <c r="CA1305" s="279"/>
      <c r="CB1305" s="279"/>
      <c r="CC1305" s="279"/>
      <c r="CD1305" s="279"/>
      <c r="CE1305" s="279"/>
      <c r="CF1305" s="279"/>
      <c r="CG1305" s="279"/>
      <c r="CH1305" s="279"/>
      <c r="CI1305" s="279"/>
      <c r="CJ1305" s="279"/>
      <c r="CK1305" s="279"/>
      <c r="CL1305" s="279"/>
      <c r="CM1305" s="279"/>
      <c r="CN1305" s="382"/>
    </row>
    <row r="1306" x14ac:dyDescent="0.3">
      <c r="B1306" s="361"/>
      <c r="C1306" s="279"/>
      <c r="D1306" s="280"/>
      <c r="E1306" s="287"/>
      <c r="F1306" s="287"/>
      <c r="G1306" s="287"/>
      <c r="H1306" s="1292">
        <f t="shared" ref="H1306:H1355" si="67">H142</f>
        <v>1</v>
      </c>
      <c r="I1306" s="1190">
        <f>'I. Stream &amp; Compound Data'!P262</f>
        <v>2980.7504537999998</v>
      </c>
      <c r="J1306" s="1295">
        <f>IF(I142="","",IF('I. Stream &amp; Compound Data'!CP262="",0,'I. Stream &amp; Compound Data'!CP262))</f>
        <v>0</v>
      </c>
      <c r="K1306" s="1295">
        <f t="shared" ref="K1306:K1324" si="68">IF(I142="","",I1306*J1306)</f>
        <v>0</v>
      </c>
      <c r="L1306" s="1317">
        <f>IF(K1306="","",IF('I. Stream &amp; Compound Data'!E32="H2O",0,(IF(J1306=0,1,J1306))*I1306))</f>
        <v>2980.7504537999998</v>
      </c>
      <c r="M1306" s="296"/>
      <c r="N1306" s="280"/>
      <c r="O1306" s="280"/>
      <c r="P1306" s="279"/>
      <c r="Q1306" s="297"/>
      <c r="R1306" s="298"/>
      <c r="S1306" s="298"/>
      <c r="T1306" s="299"/>
      <c r="U1306" s="279"/>
      <c r="V1306" s="279"/>
      <c r="W1306" s="279"/>
      <c r="X1306" s="279"/>
      <c r="Y1306" s="279"/>
      <c r="Z1306" s="279"/>
      <c r="AA1306" s="279"/>
      <c r="AB1306" s="279"/>
      <c r="AC1306" s="279"/>
      <c r="AD1306" s="279"/>
      <c r="AE1306" s="279"/>
      <c r="AF1306" s="279"/>
      <c r="AG1306" s="279"/>
      <c r="AH1306" s="279"/>
      <c r="AI1306" s="279"/>
      <c r="AJ1306" s="279"/>
      <c r="AK1306" s="279"/>
      <c r="AL1306" s="279"/>
      <c r="AM1306" s="279"/>
      <c r="AN1306" s="279"/>
      <c r="AO1306" s="279"/>
      <c r="AP1306" s="279"/>
      <c r="AQ1306" s="279"/>
      <c r="AR1306" s="279"/>
      <c r="AS1306" s="279"/>
      <c r="AT1306" s="279"/>
      <c r="AU1306" s="279"/>
      <c r="AV1306" s="279"/>
      <c r="AW1306" s="279"/>
      <c r="AX1306" s="279"/>
      <c r="AY1306" s="279"/>
      <c r="AZ1306" s="279"/>
      <c r="BA1306" s="279"/>
      <c r="BB1306" s="279"/>
      <c r="BC1306" s="279"/>
      <c r="BD1306" s="279"/>
      <c r="BE1306" s="279"/>
      <c r="BF1306" s="279"/>
      <c r="BG1306" s="279"/>
      <c r="BH1306" s="279"/>
      <c r="BI1306" s="279"/>
      <c r="BJ1306" s="279"/>
      <c r="BK1306" s="279"/>
      <c r="BL1306" s="279"/>
      <c r="BM1306" s="279"/>
      <c r="BN1306" s="279"/>
      <c r="BO1306" s="279"/>
      <c r="BP1306" s="279"/>
      <c r="BQ1306" s="279"/>
      <c r="BR1306" s="279"/>
      <c r="BS1306" s="279"/>
      <c r="BT1306" s="279"/>
      <c r="BU1306" s="279"/>
      <c r="BV1306" s="279"/>
      <c r="BW1306" s="279"/>
      <c r="BX1306" s="279"/>
      <c r="BY1306" s="279"/>
      <c r="BZ1306" s="279"/>
      <c r="CA1306" s="279"/>
      <c r="CB1306" s="279"/>
      <c r="CC1306" s="279"/>
      <c r="CD1306" s="279"/>
      <c r="CE1306" s="279"/>
      <c r="CF1306" s="279"/>
      <c r="CG1306" s="279"/>
      <c r="CH1306" s="279"/>
      <c r="CI1306" s="279"/>
      <c r="CJ1306" s="279"/>
      <c r="CK1306" s="279"/>
      <c r="CL1306" s="279"/>
      <c r="CM1306" s="279"/>
      <c r="CN1306" s="382"/>
    </row>
    <row r="1307" x14ac:dyDescent="0.3">
      <c r="B1307" s="361"/>
      <c r="C1307" s="279"/>
      <c r="D1307" s="280"/>
      <c r="E1307" s="287"/>
      <c r="F1307" s="287"/>
      <c r="G1307" s="287"/>
      <c r="H1307" s="1292">
        <f t="shared" si="67"/>
        <v>2</v>
      </c>
      <c r="I1307" s="1190">
        <f>'I. Stream &amp; Compound Data'!P263</f>
        <v>0</v>
      </c>
      <c r="J1307" s="1295">
        <f>IF(I143="","",IF('I. Stream &amp; Compound Data'!CP263="",0,'I. Stream &amp; Compound Data'!CP263))</f>
        <v>0</v>
      </c>
      <c r="K1307" s="1295">
        <f t="shared" si="68"/>
        <v>0</v>
      </c>
      <c r="L1307" s="1317">
        <f>IF(K1307="","",IF('I. Stream &amp; Compound Data'!E33="H2O",0,(IF(J1307=0,1,J1307))*I1307))</f>
        <v>0</v>
      </c>
      <c r="M1307" s="296"/>
      <c r="N1307" s="280"/>
      <c r="O1307" s="280"/>
      <c r="P1307" s="279"/>
      <c r="Q1307" s="297"/>
      <c r="R1307" s="298"/>
      <c r="S1307" s="298"/>
      <c r="T1307" s="299"/>
      <c r="U1307" s="279"/>
      <c r="V1307" s="279"/>
      <c r="W1307" s="279"/>
      <c r="X1307" s="279"/>
      <c r="Y1307" s="279"/>
      <c r="Z1307" s="279"/>
      <c r="AA1307" s="279"/>
      <c r="AB1307" s="279"/>
      <c r="AC1307" s="279"/>
      <c r="AD1307" s="279"/>
      <c r="AE1307" s="279"/>
      <c r="AF1307" s="279"/>
      <c r="AG1307" s="279"/>
      <c r="AH1307" s="279"/>
      <c r="AI1307" s="279"/>
      <c r="AJ1307" s="279"/>
      <c r="AK1307" s="279"/>
      <c r="AL1307" s="279"/>
      <c r="AM1307" s="279"/>
      <c r="AN1307" s="279"/>
      <c r="AO1307" s="279"/>
      <c r="AP1307" s="279"/>
      <c r="AQ1307" s="279"/>
      <c r="AR1307" s="279"/>
      <c r="AS1307" s="279"/>
      <c r="AT1307" s="279"/>
      <c r="AU1307" s="279"/>
      <c r="AV1307" s="279"/>
      <c r="AW1307" s="279"/>
      <c r="AX1307" s="279"/>
      <c r="AY1307" s="279"/>
      <c r="AZ1307" s="279"/>
      <c r="BA1307" s="279"/>
      <c r="BB1307" s="279"/>
      <c r="BC1307" s="279"/>
      <c r="BD1307" s="279"/>
      <c r="BE1307" s="279"/>
      <c r="BF1307" s="279"/>
      <c r="BG1307" s="279"/>
      <c r="BH1307" s="279"/>
      <c r="BI1307" s="279"/>
      <c r="BJ1307" s="279"/>
      <c r="BK1307" s="279"/>
      <c r="BL1307" s="279"/>
      <c r="BM1307" s="279"/>
      <c r="BN1307" s="279"/>
      <c r="BO1307" s="279"/>
      <c r="BP1307" s="279"/>
      <c r="BQ1307" s="279"/>
      <c r="BR1307" s="279"/>
      <c r="BS1307" s="279"/>
      <c r="BT1307" s="279"/>
      <c r="BU1307" s="279"/>
      <c r="BV1307" s="279"/>
      <c r="BW1307" s="279"/>
      <c r="BX1307" s="279"/>
      <c r="BY1307" s="279"/>
      <c r="BZ1307" s="279"/>
      <c r="CA1307" s="279"/>
      <c r="CB1307" s="279"/>
      <c r="CC1307" s="279"/>
      <c r="CD1307" s="279"/>
      <c r="CE1307" s="279"/>
      <c r="CF1307" s="279"/>
      <c r="CG1307" s="279"/>
      <c r="CH1307" s="279"/>
      <c r="CI1307" s="279"/>
      <c r="CJ1307" s="279"/>
      <c r="CK1307" s="279"/>
      <c r="CL1307" s="279"/>
      <c r="CM1307" s="279"/>
      <c r="CN1307" s="382"/>
    </row>
    <row r="1308" x14ac:dyDescent="0.3">
      <c r="B1308" s="361"/>
      <c r="C1308" s="279"/>
      <c r="D1308" s="280"/>
      <c r="E1308" s="287"/>
      <c r="F1308" s="287"/>
      <c r="G1308" s="287"/>
      <c r="H1308" s="1292">
        <f t="shared" si="67"/>
        <v>3</v>
      </c>
      <c r="I1308" s="1190">
        <f>'I. Stream &amp; Compound Data'!P264</f>
        <v>0</v>
      </c>
      <c r="J1308" s="1295">
        <f>IF(I144="","",IF('I. Stream &amp; Compound Data'!CP264="",0,'I. Stream &amp; Compound Data'!CP264))</f>
        <v>-0.28999999999999998</v>
      </c>
      <c r="K1308" s="1295">
        <f t="shared" si="68"/>
        <v>0</v>
      </c>
      <c r="L1308" s="1317">
        <f>IF(K1308="","",IF('I. Stream &amp; Compound Data'!E34="H2O",0,(IF(J1308=0,1,J1308))*I1308))</f>
        <v>0</v>
      </c>
      <c r="M1308" s="296"/>
      <c r="N1308" s="280"/>
      <c r="O1308" s="280"/>
      <c r="P1308" s="279"/>
      <c r="Q1308" s="297"/>
      <c r="R1308" s="298"/>
      <c r="S1308" s="298"/>
      <c r="T1308" s="299"/>
      <c r="U1308" s="279"/>
      <c r="V1308" s="279"/>
      <c r="W1308" s="279"/>
      <c r="X1308" s="279"/>
      <c r="Y1308" s="279"/>
      <c r="Z1308" s="279"/>
      <c r="AA1308" s="279"/>
      <c r="AB1308" s="279"/>
      <c r="AC1308" s="279"/>
      <c r="AD1308" s="279"/>
      <c r="AE1308" s="279"/>
      <c r="AF1308" s="279"/>
      <c r="AG1308" s="279"/>
      <c r="AH1308" s="279"/>
      <c r="AI1308" s="279"/>
      <c r="AJ1308" s="279"/>
      <c r="AK1308" s="279"/>
      <c r="AL1308" s="279"/>
      <c r="AM1308" s="279"/>
      <c r="AN1308" s="279"/>
      <c r="AO1308" s="279"/>
      <c r="AP1308" s="279"/>
      <c r="AQ1308" s="279"/>
      <c r="AR1308" s="279"/>
      <c r="AS1308" s="279"/>
      <c r="AT1308" s="279"/>
      <c r="AU1308" s="279"/>
      <c r="AV1308" s="279"/>
      <c r="AW1308" s="279"/>
      <c r="AX1308" s="279"/>
      <c r="AY1308" s="279"/>
      <c r="AZ1308" s="279"/>
      <c r="BA1308" s="279"/>
      <c r="BB1308" s="279"/>
      <c r="BC1308" s="279"/>
      <c r="BD1308" s="279"/>
      <c r="BE1308" s="279"/>
      <c r="BF1308" s="279"/>
      <c r="BG1308" s="279"/>
      <c r="BH1308" s="279"/>
      <c r="BI1308" s="279"/>
      <c r="BJ1308" s="279"/>
      <c r="BK1308" s="279"/>
      <c r="BL1308" s="279"/>
      <c r="BM1308" s="279"/>
      <c r="BN1308" s="279"/>
      <c r="BO1308" s="279"/>
      <c r="BP1308" s="279"/>
      <c r="BQ1308" s="279"/>
      <c r="BR1308" s="279"/>
      <c r="BS1308" s="279"/>
      <c r="BT1308" s="279"/>
      <c r="BU1308" s="279"/>
      <c r="BV1308" s="279"/>
      <c r="BW1308" s="279"/>
      <c r="BX1308" s="279"/>
      <c r="BY1308" s="279"/>
      <c r="BZ1308" s="279"/>
      <c r="CA1308" s="279"/>
      <c r="CB1308" s="279"/>
      <c r="CC1308" s="279"/>
      <c r="CD1308" s="279"/>
      <c r="CE1308" s="279"/>
      <c r="CF1308" s="279"/>
      <c r="CG1308" s="279"/>
      <c r="CH1308" s="279"/>
      <c r="CI1308" s="279"/>
      <c r="CJ1308" s="279"/>
      <c r="CK1308" s="279"/>
      <c r="CL1308" s="279"/>
      <c r="CM1308" s="279"/>
      <c r="CN1308" s="382"/>
    </row>
    <row r="1309" x14ac:dyDescent="0.3">
      <c r="B1309" s="361"/>
      <c r="C1309" s="279"/>
      <c r="D1309" s="280"/>
      <c r="E1309" s="287"/>
      <c r="F1309" s="287"/>
      <c r="G1309" s="287"/>
      <c r="H1309" s="1292">
        <f t="shared" si="67"/>
        <v>4</v>
      </c>
      <c r="I1309" s="1190">
        <f>'I. Stream &amp; Compound Data'!P265</f>
        <v>0</v>
      </c>
      <c r="J1309" s="1295">
        <f>IF(I145="","",IF('I. Stream &amp; Compound Data'!CP265="",0,'I. Stream &amp; Compound Data'!CP265))</f>
        <v>-0.16</v>
      </c>
      <c r="K1309" s="1295">
        <f t="shared" si="68"/>
        <v>0</v>
      </c>
      <c r="L1309" s="1317">
        <f>IF(K1309="","",IF('I. Stream &amp; Compound Data'!E35="H2O",0,(IF(J1309=0,1,J1309))*I1309))</f>
        <v>0</v>
      </c>
      <c r="M1309" s="296"/>
      <c r="N1309" s="280"/>
      <c r="O1309" s="280"/>
      <c r="P1309" s="279"/>
      <c r="Q1309" s="297"/>
      <c r="R1309" s="298"/>
      <c r="S1309" s="298"/>
      <c r="T1309" s="299"/>
      <c r="U1309" s="279"/>
      <c r="V1309" s="279"/>
      <c r="W1309" s="279"/>
      <c r="X1309" s="279"/>
      <c r="Y1309" s="279"/>
      <c r="Z1309" s="279"/>
      <c r="AA1309" s="279"/>
      <c r="AB1309" s="279"/>
      <c r="AC1309" s="279"/>
      <c r="AD1309" s="279"/>
      <c r="AE1309" s="279"/>
      <c r="AF1309" s="279"/>
      <c r="AG1309" s="279"/>
      <c r="AH1309" s="279"/>
      <c r="AI1309" s="279"/>
      <c r="AJ1309" s="279"/>
      <c r="AK1309" s="279"/>
      <c r="AL1309" s="279"/>
      <c r="AM1309" s="279"/>
      <c r="AN1309" s="279"/>
      <c r="AO1309" s="279"/>
      <c r="AP1309" s="279"/>
      <c r="AQ1309" s="279"/>
      <c r="AR1309" s="279"/>
      <c r="AS1309" s="279"/>
      <c r="AT1309" s="279"/>
      <c r="AU1309" s="279"/>
      <c r="AV1309" s="279"/>
      <c r="AW1309" s="279"/>
      <c r="AX1309" s="279"/>
      <c r="AY1309" s="279"/>
      <c r="AZ1309" s="279"/>
      <c r="BA1309" s="279"/>
      <c r="BB1309" s="279"/>
      <c r="BC1309" s="279"/>
      <c r="BD1309" s="279"/>
      <c r="BE1309" s="279"/>
      <c r="BF1309" s="279"/>
      <c r="BG1309" s="279"/>
      <c r="BH1309" s="279"/>
      <c r="BI1309" s="279"/>
      <c r="BJ1309" s="279"/>
      <c r="BK1309" s="279"/>
      <c r="BL1309" s="279"/>
      <c r="BM1309" s="279"/>
      <c r="BN1309" s="279"/>
      <c r="BO1309" s="279"/>
      <c r="BP1309" s="279"/>
      <c r="BQ1309" s="279"/>
      <c r="BR1309" s="279"/>
      <c r="BS1309" s="279"/>
      <c r="BT1309" s="279"/>
      <c r="BU1309" s="279"/>
      <c r="BV1309" s="279"/>
      <c r="BW1309" s="279"/>
      <c r="BX1309" s="279"/>
      <c r="BY1309" s="279"/>
      <c r="BZ1309" s="279"/>
      <c r="CA1309" s="279"/>
      <c r="CB1309" s="279"/>
      <c r="CC1309" s="279"/>
      <c r="CD1309" s="279"/>
      <c r="CE1309" s="279"/>
      <c r="CF1309" s="279"/>
      <c r="CG1309" s="279"/>
      <c r="CH1309" s="279"/>
      <c r="CI1309" s="279"/>
      <c r="CJ1309" s="279"/>
      <c r="CK1309" s="279"/>
      <c r="CL1309" s="279"/>
      <c r="CM1309" s="279"/>
      <c r="CN1309" s="382"/>
    </row>
    <row r="1310" x14ac:dyDescent="0.3">
      <c r="B1310" s="361"/>
      <c r="C1310" s="279"/>
      <c r="D1310" s="280"/>
      <c r="E1310" s="287"/>
      <c r="F1310" s="287"/>
      <c r="G1310" s="287"/>
      <c r="H1310" s="1292">
        <f t="shared" si="67"/>
        <v>5</v>
      </c>
      <c r="I1310" s="1190" t="str">
        <f>'I. Stream &amp; Compound Data'!P266</f>
        <v/>
      </c>
      <c r="J1310" s="1295" t="str">
        <f>IF(I146="","",IF('I. Stream &amp; Compound Data'!CP266="",0,'I. Stream &amp; Compound Data'!CP266))</f>
        <v/>
      </c>
      <c r="K1310" s="1295" t="str">
        <f t="shared" si="68"/>
        <v/>
      </c>
      <c r="L1310" s="1317" t="str">
        <f>IF(K1310="","",IF('I. Stream &amp; Compound Data'!E36="H2O",0,(IF(J1310=0,1,J1310))*I1310))</f>
        <v/>
      </c>
      <c r="M1310" s="296"/>
      <c r="N1310" s="280"/>
      <c r="O1310" s="280"/>
      <c r="P1310" s="279"/>
      <c r="Q1310" s="297"/>
      <c r="R1310" s="298"/>
      <c r="S1310" s="298"/>
      <c r="T1310" s="299"/>
      <c r="U1310" s="279"/>
      <c r="V1310" s="279"/>
      <c r="W1310" s="279"/>
      <c r="X1310" s="279"/>
      <c r="Y1310" s="279"/>
      <c r="Z1310" s="279"/>
      <c r="AA1310" s="279"/>
      <c r="AB1310" s="279"/>
      <c r="AC1310" s="279"/>
      <c r="AD1310" s="279"/>
      <c r="AE1310" s="279"/>
      <c r="AF1310" s="279"/>
      <c r="AG1310" s="279"/>
      <c r="AH1310" s="279"/>
      <c r="AI1310" s="279"/>
      <c r="AJ1310" s="279"/>
      <c r="AK1310" s="279"/>
      <c r="AL1310" s="279"/>
      <c r="AM1310" s="279"/>
      <c r="AN1310" s="279"/>
      <c r="AO1310" s="279"/>
      <c r="AP1310" s="279"/>
      <c r="AQ1310" s="279"/>
      <c r="AR1310" s="279"/>
      <c r="AS1310" s="279"/>
      <c r="AT1310" s="279"/>
      <c r="AU1310" s="279"/>
      <c r="AV1310" s="279"/>
      <c r="AW1310" s="279"/>
      <c r="AX1310" s="279"/>
      <c r="AY1310" s="279"/>
      <c r="AZ1310" s="279"/>
      <c r="BA1310" s="279"/>
      <c r="BB1310" s="279"/>
      <c r="BC1310" s="279"/>
      <c r="BD1310" s="279"/>
      <c r="BE1310" s="279"/>
      <c r="BF1310" s="279"/>
      <c r="BG1310" s="279"/>
      <c r="BH1310" s="279"/>
      <c r="BI1310" s="279"/>
      <c r="BJ1310" s="279"/>
      <c r="BK1310" s="279"/>
      <c r="BL1310" s="279"/>
      <c r="BM1310" s="279"/>
      <c r="BN1310" s="279"/>
      <c r="BO1310" s="279"/>
      <c r="BP1310" s="279"/>
      <c r="BQ1310" s="279"/>
      <c r="BR1310" s="279"/>
      <c r="BS1310" s="279"/>
      <c r="BT1310" s="279"/>
      <c r="BU1310" s="279"/>
      <c r="BV1310" s="279"/>
      <c r="BW1310" s="279"/>
      <c r="BX1310" s="279"/>
      <c r="BY1310" s="279"/>
      <c r="BZ1310" s="279"/>
      <c r="CA1310" s="279"/>
      <c r="CB1310" s="279"/>
      <c r="CC1310" s="279"/>
      <c r="CD1310" s="279"/>
      <c r="CE1310" s="279"/>
      <c r="CF1310" s="279"/>
      <c r="CG1310" s="279"/>
      <c r="CH1310" s="279"/>
      <c r="CI1310" s="279"/>
      <c r="CJ1310" s="279"/>
      <c r="CK1310" s="279"/>
      <c r="CL1310" s="279"/>
      <c r="CM1310" s="279"/>
      <c r="CN1310" s="382"/>
    </row>
    <row r="1311" x14ac:dyDescent="0.3">
      <c r="B1311" s="361"/>
      <c r="C1311" s="279"/>
      <c r="D1311" s="280"/>
      <c r="E1311" s="287"/>
      <c r="F1311" s="287"/>
      <c r="G1311" s="287"/>
      <c r="H1311" s="1292">
        <f t="shared" si="67"/>
        <v>6</v>
      </c>
      <c r="I1311" s="1190" t="str">
        <f>'I. Stream &amp; Compound Data'!P267</f>
        <v/>
      </c>
      <c r="J1311" s="1295" t="str">
        <f>IF(I147="","",IF('I. Stream &amp; Compound Data'!CP267="",0,'I. Stream &amp; Compound Data'!CP267))</f>
        <v/>
      </c>
      <c r="K1311" s="1295" t="str">
        <f t="shared" si="68"/>
        <v/>
      </c>
      <c r="L1311" s="1317" t="str">
        <f>IF(K1311="","",IF('I. Stream &amp; Compound Data'!E37="H2O",0,(IF(J1311=0,1,J1311))*I1311))</f>
        <v/>
      </c>
      <c r="M1311" s="296"/>
      <c r="N1311" s="280"/>
      <c r="O1311" s="280"/>
      <c r="P1311" s="279"/>
      <c r="Q1311" s="297"/>
      <c r="R1311" s="298"/>
      <c r="S1311" s="298"/>
      <c r="T1311" s="299"/>
      <c r="U1311" s="279"/>
      <c r="V1311" s="279"/>
      <c r="W1311" s="279"/>
      <c r="X1311" s="279"/>
      <c r="Y1311" s="279"/>
      <c r="Z1311" s="279"/>
      <c r="AA1311" s="279"/>
      <c r="AB1311" s="279"/>
      <c r="AC1311" s="279"/>
      <c r="AD1311" s="279"/>
      <c r="AE1311" s="279"/>
      <c r="AF1311" s="279"/>
      <c r="AG1311" s="279"/>
      <c r="AH1311" s="279"/>
      <c r="AI1311" s="279"/>
      <c r="AJ1311" s="279"/>
      <c r="AK1311" s="279"/>
      <c r="AL1311" s="279"/>
      <c r="AM1311" s="279"/>
      <c r="AN1311" s="279"/>
      <c r="AO1311" s="279"/>
      <c r="AP1311" s="279"/>
      <c r="AQ1311" s="279"/>
      <c r="AR1311" s="279"/>
      <c r="AS1311" s="279"/>
      <c r="AT1311" s="279"/>
      <c r="AU1311" s="279"/>
      <c r="AV1311" s="279"/>
      <c r="AW1311" s="279"/>
      <c r="AX1311" s="279"/>
      <c r="AY1311" s="279"/>
      <c r="AZ1311" s="279"/>
      <c r="BA1311" s="279"/>
      <c r="BB1311" s="279"/>
      <c r="BC1311" s="279"/>
      <c r="BD1311" s="279"/>
      <c r="BE1311" s="279"/>
      <c r="BF1311" s="279"/>
      <c r="BG1311" s="279"/>
      <c r="BH1311" s="279"/>
      <c r="BI1311" s="279"/>
      <c r="BJ1311" s="279"/>
      <c r="BK1311" s="279"/>
      <c r="BL1311" s="279"/>
      <c r="BM1311" s="279"/>
      <c r="BN1311" s="279"/>
      <c r="BO1311" s="279"/>
      <c r="BP1311" s="279"/>
      <c r="BQ1311" s="279"/>
      <c r="BR1311" s="279"/>
      <c r="BS1311" s="279"/>
      <c r="BT1311" s="279"/>
      <c r="BU1311" s="279"/>
      <c r="BV1311" s="279"/>
      <c r="BW1311" s="279"/>
      <c r="BX1311" s="279"/>
      <c r="BY1311" s="279"/>
      <c r="BZ1311" s="279"/>
      <c r="CA1311" s="279"/>
      <c r="CB1311" s="279"/>
      <c r="CC1311" s="279"/>
      <c r="CD1311" s="279"/>
      <c r="CE1311" s="279"/>
      <c r="CF1311" s="279"/>
      <c r="CG1311" s="279"/>
      <c r="CH1311" s="279"/>
      <c r="CI1311" s="279"/>
      <c r="CJ1311" s="279"/>
      <c r="CK1311" s="279"/>
      <c r="CL1311" s="279"/>
      <c r="CM1311" s="279"/>
      <c r="CN1311" s="382"/>
    </row>
    <row r="1312" x14ac:dyDescent="0.3">
      <c r="B1312" s="361"/>
      <c r="C1312" s="279"/>
      <c r="D1312" s="280"/>
      <c r="E1312" s="287"/>
      <c r="F1312" s="287"/>
      <c r="G1312" s="287"/>
      <c r="H1312" s="1292">
        <f t="shared" si="67"/>
        <v>7</v>
      </c>
      <c r="I1312" s="1190" t="str">
        <f>'I. Stream &amp; Compound Data'!P268</f>
        <v/>
      </c>
      <c r="J1312" s="1295" t="str">
        <f>IF(I148="","",IF('I. Stream &amp; Compound Data'!CP268="",0,'I. Stream &amp; Compound Data'!CP268))</f>
        <v/>
      </c>
      <c r="K1312" s="1295" t="str">
        <f t="shared" si="68"/>
        <v/>
      </c>
      <c r="L1312" s="1317" t="str">
        <f>IF(K1312="","",IF('I. Stream &amp; Compound Data'!E38="H2O",0,(IF(J1312=0,1,J1312))*I1312))</f>
        <v/>
      </c>
      <c r="M1312" s="296"/>
      <c r="N1312" s="280"/>
      <c r="O1312" s="280"/>
      <c r="P1312" s="279"/>
      <c r="Q1312" s="297"/>
      <c r="R1312" s="298"/>
      <c r="S1312" s="298"/>
      <c r="T1312" s="299"/>
      <c r="U1312" s="279"/>
      <c r="V1312" s="279"/>
      <c r="W1312" s="279"/>
      <c r="X1312" s="279"/>
      <c r="Y1312" s="279"/>
      <c r="Z1312" s="279"/>
      <c r="AA1312" s="279"/>
      <c r="AB1312" s="279"/>
      <c r="AC1312" s="279"/>
      <c r="AD1312" s="279"/>
      <c r="AE1312" s="279"/>
      <c r="AF1312" s="279"/>
      <c r="AG1312" s="279"/>
      <c r="AH1312" s="279"/>
      <c r="AI1312" s="279"/>
      <c r="AJ1312" s="279"/>
      <c r="AK1312" s="279"/>
      <c r="AL1312" s="279"/>
      <c r="AM1312" s="279"/>
      <c r="AN1312" s="279"/>
      <c r="AO1312" s="279"/>
      <c r="AP1312" s="279"/>
      <c r="AQ1312" s="279"/>
      <c r="AR1312" s="279"/>
      <c r="AS1312" s="279"/>
      <c r="AT1312" s="279"/>
      <c r="AU1312" s="279"/>
      <c r="AV1312" s="279"/>
      <c r="AW1312" s="279"/>
      <c r="AX1312" s="279"/>
      <c r="AY1312" s="279"/>
      <c r="AZ1312" s="279"/>
      <c r="BA1312" s="279"/>
      <c r="BB1312" s="279"/>
      <c r="BC1312" s="279"/>
      <c r="BD1312" s="279"/>
      <c r="BE1312" s="279"/>
      <c r="BF1312" s="279"/>
      <c r="BG1312" s="279"/>
      <c r="BH1312" s="279"/>
      <c r="BI1312" s="279"/>
      <c r="BJ1312" s="279"/>
      <c r="BK1312" s="279"/>
      <c r="BL1312" s="279"/>
      <c r="BM1312" s="279"/>
      <c r="BN1312" s="279"/>
      <c r="BO1312" s="279"/>
      <c r="BP1312" s="279"/>
      <c r="BQ1312" s="279"/>
      <c r="BR1312" s="279"/>
      <c r="BS1312" s="279"/>
      <c r="BT1312" s="279"/>
      <c r="BU1312" s="279"/>
      <c r="BV1312" s="279"/>
      <c r="BW1312" s="279"/>
      <c r="BX1312" s="279"/>
      <c r="BY1312" s="279"/>
      <c r="BZ1312" s="279"/>
      <c r="CA1312" s="279"/>
      <c r="CB1312" s="279"/>
      <c r="CC1312" s="279"/>
      <c r="CD1312" s="279"/>
      <c r="CE1312" s="279"/>
      <c r="CF1312" s="279"/>
      <c r="CG1312" s="279"/>
      <c r="CH1312" s="279"/>
      <c r="CI1312" s="279"/>
      <c r="CJ1312" s="279"/>
      <c r="CK1312" s="279"/>
      <c r="CL1312" s="279"/>
      <c r="CM1312" s="279"/>
      <c r="CN1312" s="382"/>
    </row>
    <row r="1313" x14ac:dyDescent="0.3">
      <c r="B1313" s="361"/>
      <c r="C1313" s="279"/>
      <c r="D1313" s="280"/>
      <c r="E1313" s="287"/>
      <c r="F1313" s="287"/>
      <c r="G1313" s="287"/>
      <c r="H1313" s="1292">
        <f t="shared" si="67"/>
        <v>8</v>
      </c>
      <c r="I1313" s="1190" t="str">
        <f>'I. Stream &amp; Compound Data'!P269</f>
        <v/>
      </c>
      <c r="J1313" s="1295" t="str">
        <f>IF(I149="","",IF('I. Stream &amp; Compound Data'!CP269="",0,'I. Stream &amp; Compound Data'!CP269))</f>
        <v/>
      </c>
      <c r="K1313" s="1295" t="str">
        <f t="shared" si="68"/>
        <v/>
      </c>
      <c r="L1313" s="1317" t="str">
        <f>IF(K1313="","",IF('I. Stream &amp; Compound Data'!E39="H2O",0,(IF(J1313=0,1,J1313))*I1313))</f>
        <v/>
      </c>
      <c r="M1313" s="296"/>
      <c r="N1313" s="280"/>
      <c r="O1313" s="280"/>
      <c r="P1313" s="279"/>
      <c r="Q1313" s="297"/>
      <c r="R1313" s="298"/>
      <c r="S1313" s="298"/>
      <c r="T1313" s="299"/>
      <c r="U1313" s="279"/>
      <c r="V1313" s="279"/>
      <c r="W1313" s="279"/>
      <c r="X1313" s="279"/>
      <c r="Y1313" s="279"/>
      <c r="Z1313" s="279"/>
      <c r="AA1313" s="279"/>
      <c r="AB1313" s="279"/>
      <c r="AC1313" s="279"/>
      <c r="AD1313" s="279"/>
      <c r="AE1313" s="279"/>
      <c r="AF1313" s="279"/>
      <c r="AG1313" s="279"/>
      <c r="AH1313" s="279"/>
      <c r="AI1313" s="279"/>
      <c r="AJ1313" s="279"/>
      <c r="AK1313" s="279"/>
      <c r="AL1313" s="279"/>
      <c r="AM1313" s="279"/>
      <c r="AN1313" s="279"/>
      <c r="AO1313" s="279"/>
      <c r="AP1313" s="279"/>
      <c r="AQ1313" s="279"/>
      <c r="AR1313" s="279"/>
      <c r="AS1313" s="279"/>
      <c r="AT1313" s="279"/>
      <c r="AU1313" s="279"/>
      <c r="AV1313" s="279"/>
      <c r="AW1313" s="279"/>
      <c r="AX1313" s="279"/>
      <c r="AY1313" s="279"/>
      <c r="AZ1313" s="279"/>
      <c r="BA1313" s="279"/>
      <c r="BB1313" s="279"/>
      <c r="BC1313" s="279"/>
      <c r="BD1313" s="279"/>
      <c r="BE1313" s="279"/>
      <c r="BF1313" s="279"/>
      <c r="BG1313" s="279"/>
      <c r="BH1313" s="279"/>
      <c r="BI1313" s="279"/>
      <c r="BJ1313" s="279"/>
      <c r="BK1313" s="279"/>
      <c r="BL1313" s="279"/>
      <c r="BM1313" s="279"/>
      <c r="BN1313" s="279"/>
      <c r="BO1313" s="279"/>
      <c r="BP1313" s="279"/>
      <c r="BQ1313" s="279"/>
      <c r="BR1313" s="279"/>
      <c r="BS1313" s="279"/>
      <c r="BT1313" s="279"/>
      <c r="BU1313" s="279"/>
      <c r="BV1313" s="279"/>
      <c r="BW1313" s="279"/>
      <c r="BX1313" s="279"/>
      <c r="BY1313" s="279"/>
      <c r="BZ1313" s="279"/>
      <c r="CA1313" s="279"/>
      <c r="CB1313" s="279"/>
      <c r="CC1313" s="279"/>
      <c r="CD1313" s="279"/>
      <c r="CE1313" s="279"/>
      <c r="CF1313" s="279"/>
      <c r="CG1313" s="279"/>
      <c r="CH1313" s="279"/>
      <c r="CI1313" s="279"/>
      <c r="CJ1313" s="279"/>
      <c r="CK1313" s="279"/>
      <c r="CL1313" s="279"/>
      <c r="CM1313" s="279"/>
      <c r="CN1313" s="382"/>
    </row>
    <row r="1314" x14ac:dyDescent="0.3">
      <c r="B1314" s="361"/>
      <c r="C1314" s="279"/>
      <c r="D1314" s="280"/>
      <c r="E1314" s="287"/>
      <c r="F1314" s="287"/>
      <c r="G1314" s="287"/>
      <c r="H1314" s="1292">
        <f t="shared" si="67"/>
        <v>9</v>
      </c>
      <c r="I1314" s="1190" t="str">
        <f>'I. Stream &amp; Compound Data'!P270</f>
        <v/>
      </c>
      <c r="J1314" s="1295" t="str">
        <f>IF(I150="","",IF('I. Stream &amp; Compound Data'!CP270="",0,'I. Stream &amp; Compound Data'!CP270))</f>
        <v/>
      </c>
      <c r="K1314" s="1295" t="str">
        <f t="shared" si="68"/>
        <v/>
      </c>
      <c r="L1314" s="1317" t="str">
        <f>IF(K1314="","",IF('I. Stream &amp; Compound Data'!E40="H2O",0,(IF(J1314=0,1,J1314))*I1314))</f>
        <v/>
      </c>
      <c r="M1314" s="296"/>
      <c r="N1314" s="280"/>
      <c r="O1314" s="280"/>
      <c r="P1314" s="279"/>
      <c r="Q1314" s="297"/>
      <c r="R1314" s="298"/>
      <c r="S1314" s="298"/>
      <c r="T1314" s="299"/>
      <c r="U1314" s="279"/>
      <c r="V1314" s="279"/>
      <c r="W1314" s="279"/>
      <c r="X1314" s="279"/>
      <c r="Y1314" s="279"/>
      <c r="Z1314" s="279"/>
      <c r="AA1314" s="279"/>
      <c r="AB1314" s="279"/>
      <c r="AC1314" s="279"/>
      <c r="AD1314" s="279"/>
      <c r="AE1314" s="279"/>
      <c r="AF1314" s="279"/>
      <c r="AG1314" s="279"/>
      <c r="AH1314" s="279"/>
      <c r="AI1314" s="279"/>
      <c r="AJ1314" s="279"/>
      <c r="AK1314" s="279"/>
      <c r="AL1314" s="279"/>
      <c r="AM1314" s="279"/>
      <c r="AN1314" s="279"/>
      <c r="AO1314" s="279"/>
      <c r="AP1314" s="279"/>
      <c r="AQ1314" s="279"/>
      <c r="AR1314" s="279"/>
      <c r="AS1314" s="279"/>
      <c r="AT1314" s="279"/>
      <c r="AU1314" s="279"/>
      <c r="AV1314" s="279"/>
      <c r="AW1314" s="279"/>
      <c r="AX1314" s="279"/>
      <c r="AY1314" s="279"/>
      <c r="AZ1314" s="279"/>
      <c r="BA1314" s="279"/>
      <c r="BB1314" s="279"/>
      <c r="BC1314" s="279"/>
      <c r="BD1314" s="279"/>
      <c r="BE1314" s="279"/>
      <c r="BF1314" s="279"/>
      <c r="BG1314" s="279"/>
      <c r="BH1314" s="279"/>
      <c r="BI1314" s="279"/>
      <c r="BJ1314" s="279"/>
      <c r="BK1314" s="279"/>
      <c r="BL1314" s="279"/>
      <c r="BM1314" s="279"/>
      <c r="BN1314" s="279"/>
      <c r="BO1314" s="279"/>
      <c r="BP1314" s="279"/>
      <c r="BQ1314" s="279"/>
      <c r="BR1314" s="279"/>
      <c r="BS1314" s="279"/>
      <c r="BT1314" s="279"/>
      <c r="BU1314" s="279"/>
      <c r="BV1314" s="279"/>
      <c r="BW1314" s="279"/>
      <c r="BX1314" s="279"/>
      <c r="BY1314" s="279"/>
      <c r="BZ1314" s="279"/>
      <c r="CA1314" s="279"/>
      <c r="CB1314" s="279"/>
      <c r="CC1314" s="279"/>
      <c r="CD1314" s="279"/>
      <c r="CE1314" s="279"/>
      <c r="CF1314" s="279"/>
      <c r="CG1314" s="279"/>
      <c r="CH1314" s="279"/>
      <c r="CI1314" s="279"/>
      <c r="CJ1314" s="279"/>
      <c r="CK1314" s="279"/>
      <c r="CL1314" s="279"/>
      <c r="CM1314" s="279"/>
      <c r="CN1314" s="382"/>
    </row>
    <row r="1315" x14ac:dyDescent="0.3">
      <c r="B1315" s="361"/>
      <c r="C1315" s="279"/>
      <c r="D1315" s="280"/>
      <c r="E1315" s="287"/>
      <c r="F1315" s="287"/>
      <c r="G1315" s="287"/>
      <c r="H1315" s="1292">
        <f t="shared" si="67"/>
        <v>10</v>
      </c>
      <c r="I1315" s="1190" t="str">
        <f>'I. Stream &amp; Compound Data'!P271</f>
        <v/>
      </c>
      <c r="J1315" s="1295" t="str">
        <f>IF(I151="","",IF('I. Stream &amp; Compound Data'!CP271="",0,'I. Stream &amp; Compound Data'!CP271))</f>
        <v/>
      </c>
      <c r="K1315" s="1295" t="str">
        <f t="shared" si="68"/>
        <v/>
      </c>
      <c r="L1315" s="1317" t="str">
        <f>IF(K1315="","",IF('I. Stream &amp; Compound Data'!E41="H2O",0,(IF(J1315=0,1,J1315))*I1315))</f>
        <v/>
      </c>
      <c r="M1315" s="296"/>
      <c r="N1315" s="280"/>
      <c r="O1315" s="280"/>
      <c r="P1315" s="279"/>
      <c r="Q1315" s="297"/>
      <c r="R1315" s="298"/>
      <c r="S1315" s="298"/>
      <c r="T1315" s="299"/>
      <c r="U1315" s="279"/>
      <c r="V1315" s="279"/>
      <c r="W1315" s="279"/>
      <c r="X1315" s="279"/>
      <c r="Y1315" s="279"/>
      <c r="Z1315" s="279"/>
      <c r="AA1315" s="279"/>
      <c r="AB1315" s="279"/>
      <c r="AC1315" s="279"/>
      <c r="AD1315" s="279"/>
      <c r="AE1315" s="279"/>
      <c r="AF1315" s="279"/>
      <c r="AG1315" s="279"/>
      <c r="AH1315" s="279"/>
      <c r="AI1315" s="279"/>
      <c r="AJ1315" s="279"/>
      <c r="AK1315" s="279"/>
      <c r="AL1315" s="279"/>
      <c r="AM1315" s="279"/>
      <c r="AN1315" s="279"/>
      <c r="AO1315" s="279"/>
      <c r="AP1315" s="279"/>
      <c r="AQ1315" s="279"/>
      <c r="AR1315" s="279"/>
      <c r="AS1315" s="279"/>
      <c r="AT1315" s="279"/>
      <c r="AU1315" s="279"/>
      <c r="AV1315" s="279"/>
      <c r="AW1315" s="279"/>
      <c r="AX1315" s="279"/>
      <c r="AY1315" s="279"/>
      <c r="AZ1315" s="279"/>
      <c r="BA1315" s="279"/>
      <c r="BB1315" s="279"/>
      <c r="BC1315" s="279"/>
      <c r="BD1315" s="279"/>
      <c r="BE1315" s="279"/>
      <c r="BF1315" s="279"/>
      <c r="BG1315" s="279"/>
      <c r="BH1315" s="279"/>
      <c r="BI1315" s="279"/>
      <c r="BJ1315" s="279"/>
      <c r="BK1315" s="279"/>
      <c r="BL1315" s="279"/>
      <c r="BM1315" s="279"/>
      <c r="BN1315" s="279"/>
      <c r="BO1315" s="279"/>
      <c r="BP1315" s="279"/>
      <c r="BQ1315" s="279"/>
      <c r="BR1315" s="279"/>
      <c r="BS1315" s="279"/>
      <c r="BT1315" s="279"/>
      <c r="BU1315" s="279"/>
      <c r="BV1315" s="279"/>
      <c r="BW1315" s="279"/>
      <c r="BX1315" s="279"/>
      <c r="BY1315" s="279"/>
      <c r="BZ1315" s="279"/>
      <c r="CA1315" s="279"/>
      <c r="CB1315" s="279"/>
      <c r="CC1315" s="279"/>
      <c r="CD1315" s="279"/>
      <c r="CE1315" s="279"/>
      <c r="CF1315" s="279"/>
      <c r="CG1315" s="279"/>
      <c r="CH1315" s="279"/>
      <c r="CI1315" s="279"/>
      <c r="CJ1315" s="279"/>
      <c r="CK1315" s="279"/>
      <c r="CL1315" s="279"/>
      <c r="CM1315" s="279"/>
      <c r="CN1315" s="382"/>
    </row>
    <row r="1316" x14ac:dyDescent="0.3">
      <c r="B1316" s="361"/>
      <c r="C1316" s="279"/>
      <c r="D1316" s="280"/>
      <c r="E1316" s="287"/>
      <c r="F1316" s="287"/>
      <c r="G1316" s="287"/>
      <c r="H1316" s="1292">
        <f t="shared" si="67"/>
        <v>11</v>
      </c>
      <c r="I1316" s="1190" t="str">
        <f>'I. Stream &amp; Compound Data'!P272</f>
        <v/>
      </c>
      <c r="J1316" s="1295" t="str">
        <f>IF(I152="","",IF('I. Stream &amp; Compound Data'!CP272="",0,'I. Stream &amp; Compound Data'!CP272))</f>
        <v/>
      </c>
      <c r="K1316" s="1295" t="str">
        <f t="shared" si="68"/>
        <v/>
      </c>
      <c r="L1316" s="1317" t="str">
        <f>IF(K1316="","",IF('I. Stream &amp; Compound Data'!E42="H2O",0,(IF(J1316=0,1,J1316))*I1316))</f>
        <v/>
      </c>
      <c r="M1316" s="296"/>
      <c r="N1316" s="280"/>
      <c r="O1316" s="280"/>
      <c r="P1316" s="279"/>
      <c r="Q1316" s="297"/>
      <c r="R1316" s="298"/>
      <c r="S1316" s="298"/>
      <c r="T1316" s="299"/>
      <c r="U1316" s="279"/>
      <c r="V1316" s="279"/>
      <c r="W1316" s="279"/>
      <c r="X1316" s="279"/>
      <c r="Y1316" s="279"/>
      <c r="Z1316" s="279"/>
      <c r="AA1316" s="279"/>
      <c r="AB1316" s="279"/>
      <c r="AC1316" s="279"/>
      <c r="AD1316" s="279"/>
      <c r="AE1316" s="279"/>
      <c r="AF1316" s="279"/>
      <c r="AG1316" s="279"/>
      <c r="AH1316" s="279"/>
      <c r="AI1316" s="279"/>
      <c r="AJ1316" s="279"/>
      <c r="AK1316" s="279"/>
      <c r="AL1316" s="279"/>
      <c r="AM1316" s="279"/>
      <c r="AN1316" s="279"/>
      <c r="AO1316" s="279"/>
      <c r="AP1316" s="279"/>
      <c r="AQ1316" s="279"/>
      <c r="AR1316" s="279"/>
      <c r="AS1316" s="279"/>
      <c r="AT1316" s="279"/>
      <c r="AU1316" s="279"/>
      <c r="AV1316" s="279"/>
      <c r="AW1316" s="279"/>
      <c r="AX1316" s="279"/>
      <c r="AY1316" s="279"/>
      <c r="AZ1316" s="279"/>
      <c r="BA1316" s="279"/>
      <c r="BB1316" s="279"/>
      <c r="BC1316" s="279"/>
      <c r="BD1316" s="279"/>
      <c r="BE1316" s="279"/>
      <c r="BF1316" s="279"/>
      <c r="BG1316" s="279"/>
      <c r="BH1316" s="279"/>
      <c r="BI1316" s="279"/>
      <c r="BJ1316" s="279"/>
      <c r="BK1316" s="279"/>
      <c r="BL1316" s="279"/>
      <c r="BM1316" s="279"/>
      <c r="BN1316" s="279"/>
      <c r="BO1316" s="279"/>
      <c r="BP1316" s="279"/>
      <c r="BQ1316" s="279"/>
      <c r="BR1316" s="279"/>
      <c r="BS1316" s="279"/>
      <c r="BT1316" s="279"/>
      <c r="BU1316" s="279"/>
      <c r="BV1316" s="279"/>
      <c r="BW1316" s="279"/>
      <c r="BX1316" s="279"/>
      <c r="BY1316" s="279"/>
      <c r="BZ1316" s="279"/>
      <c r="CA1316" s="279"/>
      <c r="CB1316" s="279"/>
      <c r="CC1316" s="279"/>
      <c r="CD1316" s="279"/>
      <c r="CE1316" s="279"/>
      <c r="CF1316" s="279"/>
      <c r="CG1316" s="279"/>
      <c r="CH1316" s="279"/>
      <c r="CI1316" s="279"/>
      <c r="CJ1316" s="279"/>
      <c r="CK1316" s="279"/>
      <c r="CL1316" s="279"/>
      <c r="CM1316" s="279"/>
      <c r="CN1316" s="382"/>
    </row>
    <row r="1317" x14ac:dyDescent="0.3">
      <c r="B1317" s="361"/>
      <c r="C1317" s="279"/>
      <c r="D1317" s="280"/>
      <c r="E1317" s="287"/>
      <c r="F1317" s="287"/>
      <c r="G1317" s="287"/>
      <c r="H1317" s="1292">
        <f t="shared" si="67"/>
        <v>12</v>
      </c>
      <c r="I1317" s="1190" t="str">
        <f>'I. Stream &amp; Compound Data'!P273</f>
        <v/>
      </c>
      <c r="J1317" s="1295" t="str">
        <f>IF(I153="","",IF('I. Stream &amp; Compound Data'!CP273="",0,'I. Stream &amp; Compound Data'!CP273))</f>
        <v/>
      </c>
      <c r="K1317" s="1295" t="str">
        <f t="shared" si="68"/>
        <v/>
      </c>
      <c r="L1317" s="1317" t="str">
        <f>IF(K1317="","",IF('I. Stream &amp; Compound Data'!E43="H2O",0,(IF(J1317=0,1,J1317))*I1317))</f>
        <v/>
      </c>
      <c r="M1317" s="296"/>
      <c r="N1317" s="280"/>
      <c r="O1317" s="280"/>
      <c r="P1317" s="279"/>
      <c r="Q1317" s="297"/>
      <c r="R1317" s="298"/>
      <c r="S1317" s="298"/>
      <c r="T1317" s="299"/>
      <c r="U1317" s="279"/>
      <c r="V1317" s="279"/>
      <c r="W1317" s="279"/>
      <c r="X1317" s="279"/>
      <c r="Y1317" s="279"/>
      <c r="Z1317" s="279"/>
      <c r="AA1317" s="279"/>
      <c r="AB1317" s="279"/>
      <c r="AC1317" s="279"/>
      <c r="AD1317" s="279"/>
      <c r="AE1317" s="279"/>
      <c r="AF1317" s="279"/>
      <c r="AG1317" s="279"/>
      <c r="AH1317" s="279"/>
      <c r="AI1317" s="279"/>
      <c r="AJ1317" s="279"/>
      <c r="AK1317" s="279"/>
      <c r="AL1317" s="279"/>
      <c r="AM1317" s="279"/>
      <c r="AN1317" s="279"/>
      <c r="AO1317" s="279"/>
      <c r="AP1317" s="279"/>
      <c r="AQ1317" s="279"/>
      <c r="AR1317" s="279"/>
      <c r="AS1317" s="279"/>
      <c r="AT1317" s="279"/>
      <c r="AU1317" s="279"/>
      <c r="AV1317" s="279"/>
      <c r="AW1317" s="279"/>
      <c r="AX1317" s="279"/>
      <c r="AY1317" s="279"/>
      <c r="AZ1317" s="279"/>
      <c r="BA1317" s="279"/>
      <c r="BB1317" s="279"/>
      <c r="BC1317" s="279"/>
      <c r="BD1317" s="279"/>
      <c r="BE1317" s="279"/>
      <c r="BF1317" s="279"/>
      <c r="BG1317" s="279"/>
      <c r="BH1317" s="279"/>
      <c r="BI1317" s="279"/>
      <c r="BJ1317" s="279"/>
      <c r="BK1317" s="279"/>
      <c r="BL1317" s="279"/>
      <c r="BM1317" s="279"/>
      <c r="BN1317" s="279"/>
      <c r="BO1317" s="279"/>
      <c r="BP1317" s="279"/>
      <c r="BQ1317" s="279"/>
      <c r="BR1317" s="279"/>
      <c r="BS1317" s="279"/>
      <c r="BT1317" s="279"/>
      <c r="BU1317" s="279"/>
      <c r="BV1317" s="279"/>
      <c r="BW1317" s="279"/>
      <c r="BX1317" s="279"/>
      <c r="BY1317" s="279"/>
      <c r="BZ1317" s="279"/>
      <c r="CA1317" s="279"/>
      <c r="CB1317" s="279"/>
      <c r="CC1317" s="279"/>
      <c r="CD1317" s="279"/>
      <c r="CE1317" s="279"/>
      <c r="CF1317" s="279"/>
      <c r="CG1317" s="279"/>
      <c r="CH1317" s="279"/>
      <c r="CI1317" s="279"/>
      <c r="CJ1317" s="279"/>
      <c r="CK1317" s="279"/>
      <c r="CL1317" s="279"/>
      <c r="CM1317" s="279"/>
      <c r="CN1317" s="382"/>
    </row>
    <row r="1318" x14ac:dyDescent="0.3">
      <c r="B1318" s="361"/>
      <c r="C1318" s="279"/>
      <c r="D1318" s="280"/>
      <c r="E1318" s="287"/>
      <c r="F1318" s="287"/>
      <c r="G1318" s="287"/>
      <c r="H1318" s="1292">
        <f t="shared" si="67"/>
        <v>13</v>
      </c>
      <c r="I1318" s="1190" t="str">
        <f>'I. Stream &amp; Compound Data'!P274</f>
        <v/>
      </c>
      <c r="J1318" s="1295" t="str">
        <f>IF(I154="","",IF('I. Stream &amp; Compound Data'!CP274="",0,'I. Stream &amp; Compound Data'!CP274))</f>
        <v/>
      </c>
      <c r="K1318" s="1295" t="str">
        <f t="shared" si="68"/>
        <v/>
      </c>
      <c r="L1318" s="1317" t="str">
        <f>IF(K1318="","",IF('I. Stream &amp; Compound Data'!E44="H2O",0,(IF(J1318=0,1,J1318))*I1318))</f>
        <v/>
      </c>
      <c r="M1318" s="296"/>
      <c r="N1318" s="280"/>
      <c r="O1318" s="280"/>
      <c r="P1318" s="279"/>
      <c r="Q1318" s="297"/>
      <c r="R1318" s="298"/>
      <c r="S1318" s="298"/>
      <c r="T1318" s="299"/>
      <c r="U1318" s="279"/>
      <c r="V1318" s="279"/>
      <c r="W1318" s="279"/>
      <c r="X1318" s="279"/>
      <c r="Y1318" s="279"/>
      <c r="Z1318" s="279"/>
      <c r="AA1318" s="279"/>
      <c r="AB1318" s="279"/>
      <c r="AC1318" s="279"/>
      <c r="AD1318" s="279"/>
      <c r="AE1318" s="279"/>
      <c r="AF1318" s="279"/>
      <c r="AG1318" s="279"/>
      <c r="AH1318" s="279"/>
      <c r="AI1318" s="279"/>
      <c r="AJ1318" s="279"/>
      <c r="AK1318" s="279"/>
      <c r="AL1318" s="279"/>
      <c r="AM1318" s="279"/>
      <c r="AN1318" s="279"/>
      <c r="AO1318" s="279"/>
      <c r="AP1318" s="279"/>
      <c r="AQ1318" s="279"/>
      <c r="AR1318" s="279"/>
      <c r="AS1318" s="279"/>
      <c r="AT1318" s="279"/>
      <c r="AU1318" s="279"/>
      <c r="AV1318" s="279"/>
      <c r="AW1318" s="279"/>
      <c r="AX1318" s="279"/>
      <c r="AY1318" s="279"/>
      <c r="AZ1318" s="279"/>
      <c r="BA1318" s="279"/>
      <c r="BB1318" s="279"/>
      <c r="BC1318" s="279"/>
      <c r="BD1318" s="279"/>
      <c r="BE1318" s="279"/>
      <c r="BF1318" s="279"/>
      <c r="BG1318" s="279"/>
      <c r="BH1318" s="279"/>
      <c r="BI1318" s="279"/>
      <c r="BJ1318" s="279"/>
      <c r="BK1318" s="279"/>
      <c r="BL1318" s="279"/>
      <c r="BM1318" s="279"/>
      <c r="BN1318" s="279"/>
      <c r="BO1318" s="279"/>
      <c r="BP1318" s="279"/>
      <c r="BQ1318" s="279"/>
      <c r="BR1318" s="279"/>
      <c r="BS1318" s="279"/>
      <c r="BT1318" s="279"/>
      <c r="BU1318" s="279"/>
      <c r="BV1318" s="279"/>
      <c r="BW1318" s="279"/>
      <c r="BX1318" s="279"/>
      <c r="BY1318" s="279"/>
      <c r="BZ1318" s="279"/>
      <c r="CA1318" s="279"/>
      <c r="CB1318" s="279"/>
      <c r="CC1318" s="279"/>
      <c r="CD1318" s="279"/>
      <c r="CE1318" s="279"/>
      <c r="CF1318" s="279"/>
      <c r="CG1318" s="279"/>
      <c r="CH1318" s="279"/>
      <c r="CI1318" s="279"/>
      <c r="CJ1318" s="279"/>
      <c r="CK1318" s="279"/>
      <c r="CL1318" s="279"/>
      <c r="CM1318" s="279"/>
      <c r="CN1318" s="382"/>
    </row>
    <row r="1319" x14ac:dyDescent="0.3">
      <c r="B1319" s="361"/>
      <c r="C1319" s="279"/>
      <c r="D1319" s="280"/>
      <c r="E1319" s="287"/>
      <c r="F1319" s="287"/>
      <c r="G1319" s="287"/>
      <c r="H1319" s="1292">
        <f t="shared" si="67"/>
        <v>14</v>
      </c>
      <c r="I1319" s="1190" t="str">
        <f>'I. Stream &amp; Compound Data'!P275</f>
        <v/>
      </c>
      <c r="J1319" s="1295" t="str">
        <f>IF(I155="","",IF('I. Stream &amp; Compound Data'!CP275="",0,'I. Stream &amp; Compound Data'!CP275))</f>
        <v/>
      </c>
      <c r="K1319" s="1295" t="str">
        <f t="shared" si="68"/>
        <v/>
      </c>
      <c r="L1319" s="1317" t="str">
        <f>IF(K1319="","",IF('I. Stream &amp; Compound Data'!E45="H2O",0,(IF(J1319=0,1,J1319))*I1319))</f>
        <v/>
      </c>
      <c r="M1319" s="296"/>
      <c r="N1319" s="280"/>
      <c r="O1319" s="280"/>
      <c r="P1319" s="279"/>
      <c r="Q1319" s="297"/>
      <c r="R1319" s="298"/>
      <c r="S1319" s="298"/>
      <c r="T1319" s="299"/>
      <c r="U1319" s="279"/>
      <c r="V1319" s="279"/>
      <c r="W1319" s="279"/>
      <c r="X1319" s="279"/>
      <c r="Y1319" s="279"/>
      <c r="Z1319" s="279"/>
      <c r="AA1319" s="279"/>
      <c r="AB1319" s="279"/>
      <c r="AC1319" s="279"/>
      <c r="AD1319" s="279"/>
      <c r="AE1319" s="279"/>
      <c r="AF1319" s="279"/>
      <c r="AG1319" s="279"/>
      <c r="AH1319" s="279"/>
      <c r="AI1319" s="279"/>
      <c r="AJ1319" s="279"/>
      <c r="AK1319" s="279"/>
      <c r="AL1319" s="279"/>
      <c r="AM1319" s="279"/>
      <c r="AN1319" s="279"/>
      <c r="AO1319" s="279"/>
      <c r="AP1319" s="279"/>
      <c r="AQ1319" s="279"/>
      <c r="AR1319" s="279"/>
      <c r="AS1319" s="279"/>
      <c r="AT1319" s="279"/>
      <c r="AU1319" s="279"/>
      <c r="AV1319" s="279"/>
      <c r="AW1319" s="279"/>
      <c r="AX1319" s="279"/>
      <c r="AY1319" s="279"/>
      <c r="AZ1319" s="279"/>
      <c r="BA1319" s="279"/>
      <c r="BB1319" s="279"/>
      <c r="BC1319" s="279"/>
      <c r="BD1319" s="279"/>
      <c r="BE1319" s="279"/>
      <c r="BF1319" s="279"/>
      <c r="BG1319" s="279"/>
      <c r="BH1319" s="279"/>
      <c r="BI1319" s="279"/>
      <c r="BJ1319" s="279"/>
      <c r="BK1319" s="279"/>
      <c r="BL1319" s="279"/>
      <c r="BM1319" s="279"/>
      <c r="BN1319" s="279"/>
      <c r="BO1319" s="279"/>
      <c r="BP1319" s="279"/>
      <c r="BQ1319" s="279"/>
      <c r="BR1319" s="279"/>
      <c r="BS1319" s="279"/>
      <c r="BT1319" s="279"/>
      <c r="BU1319" s="279"/>
      <c r="BV1319" s="279"/>
      <c r="BW1319" s="279"/>
      <c r="BX1319" s="279"/>
      <c r="BY1319" s="279"/>
      <c r="BZ1319" s="279"/>
      <c r="CA1319" s="279"/>
      <c r="CB1319" s="279"/>
      <c r="CC1319" s="279"/>
      <c r="CD1319" s="279"/>
      <c r="CE1319" s="279"/>
      <c r="CF1319" s="279"/>
      <c r="CG1319" s="279"/>
      <c r="CH1319" s="279"/>
      <c r="CI1319" s="279"/>
      <c r="CJ1319" s="279"/>
      <c r="CK1319" s="279"/>
      <c r="CL1319" s="279"/>
      <c r="CM1319" s="279"/>
      <c r="CN1319" s="382"/>
    </row>
    <row r="1320" x14ac:dyDescent="0.3">
      <c r="B1320" s="361"/>
      <c r="C1320" s="279"/>
      <c r="D1320" s="280"/>
      <c r="E1320" s="287"/>
      <c r="F1320" s="287"/>
      <c r="G1320" s="287"/>
      <c r="H1320" s="1292">
        <f t="shared" si="67"/>
        <v>15</v>
      </c>
      <c r="I1320" s="1190" t="str">
        <f>'I. Stream &amp; Compound Data'!P276</f>
        <v/>
      </c>
      <c r="J1320" s="1295" t="str">
        <f>IF(I156="","",IF('I. Stream &amp; Compound Data'!CP276="",0,'I. Stream &amp; Compound Data'!CP276))</f>
        <v/>
      </c>
      <c r="K1320" s="1295" t="str">
        <f t="shared" si="68"/>
        <v/>
      </c>
      <c r="L1320" s="1317" t="str">
        <f>IF(K1320="","",IF('I. Stream &amp; Compound Data'!E46="H2O",0,(IF(J1320=0,1,J1320))*I1320))</f>
        <v/>
      </c>
      <c r="M1320" s="296"/>
      <c r="N1320" s="280"/>
      <c r="O1320" s="280"/>
      <c r="P1320" s="279"/>
      <c r="Q1320" s="297"/>
      <c r="R1320" s="298"/>
      <c r="S1320" s="298"/>
      <c r="T1320" s="299"/>
      <c r="U1320" s="279"/>
      <c r="V1320" s="279"/>
      <c r="W1320" s="279"/>
      <c r="X1320" s="279"/>
      <c r="Y1320" s="279"/>
      <c r="Z1320" s="279"/>
      <c r="AA1320" s="279"/>
      <c r="AB1320" s="279"/>
      <c r="AC1320" s="279"/>
      <c r="AD1320" s="279"/>
      <c r="AE1320" s="279"/>
      <c r="AF1320" s="279"/>
      <c r="AG1320" s="279"/>
      <c r="AH1320" s="279"/>
      <c r="AI1320" s="279"/>
      <c r="AJ1320" s="279"/>
      <c r="AK1320" s="279"/>
      <c r="AL1320" s="279"/>
      <c r="AM1320" s="279"/>
      <c r="AN1320" s="279"/>
      <c r="AO1320" s="279"/>
      <c r="AP1320" s="279"/>
      <c r="AQ1320" s="279"/>
      <c r="AR1320" s="279"/>
      <c r="AS1320" s="279"/>
      <c r="AT1320" s="279"/>
      <c r="AU1320" s="279"/>
      <c r="AV1320" s="279"/>
      <c r="AW1320" s="279"/>
      <c r="AX1320" s="279"/>
      <c r="AY1320" s="279"/>
      <c r="AZ1320" s="279"/>
      <c r="BA1320" s="279"/>
      <c r="BB1320" s="279"/>
      <c r="BC1320" s="279"/>
      <c r="BD1320" s="279"/>
      <c r="BE1320" s="279"/>
      <c r="BF1320" s="279"/>
      <c r="BG1320" s="279"/>
      <c r="BH1320" s="279"/>
      <c r="BI1320" s="279"/>
      <c r="BJ1320" s="279"/>
      <c r="BK1320" s="279"/>
      <c r="BL1320" s="279"/>
      <c r="BM1320" s="279"/>
      <c r="BN1320" s="279"/>
      <c r="BO1320" s="279"/>
      <c r="BP1320" s="279"/>
      <c r="BQ1320" s="279"/>
      <c r="BR1320" s="279"/>
      <c r="BS1320" s="279"/>
      <c r="BT1320" s="279"/>
      <c r="BU1320" s="279"/>
      <c r="BV1320" s="279"/>
      <c r="BW1320" s="279"/>
      <c r="BX1320" s="279"/>
      <c r="BY1320" s="279"/>
      <c r="BZ1320" s="279"/>
      <c r="CA1320" s="279"/>
      <c r="CB1320" s="279"/>
      <c r="CC1320" s="279"/>
      <c r="CD1320" s="279"/>
      <c r="CE1320" s="279"/>
      <c r="CF1320" s="279"/>
      <c r="CG1320" s="279"/>
      <c r="CH1320" s="279"/>
      <c r="CI1320" s="279"/>
      <c r="CJ1320" s="279"/>
      <c r="CK1320" s="279"/>
      <c r="CL1320" s="279"/>
      <c r="CM1320" s="279"/>
      <c r="CN1320" s="382"/>
    </row>
    <row r="1321" x14ac:dyDescent="0.3">
      <c r="B1321" s="361"/>
      <c r="C1321" s="279"/>
      <c r="D1321" s="280"/>
      <c r="E1321" s="287"/>
      <c r="F1321" s="287"/>
      <c r="G1321" s="287"/>
      <c r="H1321" s="1292">
        <f t="shared" si="67"/>
        <v>16</v>
      </c>
      <c r="I1321" s="1190" t="str">
        <f>'I. Stream &amp; Compound Data'!P277</f>
        <v/>
      </c>
      <c r="J1321" s="1295" t="str">
        <f>IF(I157="","",IF('I. Stream &amp; Compound Data'!CP277="",0,'I. Stream &amp; Compound Data'!CP277))</f>
        <v/>
      </c>
      <c r="K1321" s="1295" t="str">
        <f t="shared" si="68"/>
        <v/>
      </c>
      <c r="L1321" s="1317" t="str">
        <f>IF(K1321="","",IF('I. Stream &amp; Compound Data'!E47="H2O",0,(IF(J1321=0,1,J1321))*I1321))</f>
        <v/>
      </c>
      <c r="M1321" s="296"/>
      <c r="N1321" s="280"/>
      <c r="O1321" s="280"/>
      <c r="P1321" s="279"/>
      <c r="Q1321" s="297"/>
      <c r="R1321" s="298"/>
      <c r="S1321" s="298"/>
      <c r="T1321" s="299"/>
      <c r="U1321" s="279"/>
      <c r="V1321" s="279"/>
      <c r="W1321" s="279"/>
      <c r="X1321" s="279"/>
      <c r="Y1321" s="279"/>
      <c r="Z1321" s="279"/>
      <c r="AA1321" s="279"/>
      <c r="AB1321" s="279"/>
      <c r="AC1321" s="279"/>
      <c r="AD1321" s="279"/>
      <c r="AE1321" s="279"/>
      <c r="AF1321" s="279"/>
      <c r="AG1321" s="279"/>
      <c r="AH1321" s="279"/>
      <c r="AI1321" s="279"/>
      <c r="AJ1321" s="279"/>
      <c r="AK1321" s="279"/>
      <c r="AL1321" s="279"/>
      <c r="AM1321" s="279"/>
      <c r="AN1321" s="279"/>
      <c r="AO1321" s="279"/>
      <c r="AP1321" s="279"/>
      <c r="AQ1321" s="279"/>
      <c r="AR1321" s="279"/>
      <c r="AS1321" s="279"/>
      <c r="AT1321" s="279"/>
      <c r="AU1321" s="279"/>
      <c r="AV1321" s="279"/>
      <c r="AW1321" s="279"/>
      <c r="AX1321" s="279"/>
      <c r="AY1321" s="279"/>
      <c r="AZ1321" s="279"/>
      <c r="BA1321" s="279"/>
      <c r="BB1321" s="279"/>
      <c r="BC1321" s="279"/>
      <c r="BD1321" s="279"/>
      <c r="BE1321" s="279"/>
      <c r="BF1321" s="279"/>
      <c r="BG1321" s="279"/>
      <c r="BH1321" s="279"/>
      <c r="BI1321" s="279"/>
      <c r="BJ1321" s="279"/>
      <c r="BK1321" s="279"/>
      <c r="BL1321" s="279"/>
      <c r="BM1321" s="279"/>
      <c r="BN1321" s="279"/>
      <c r="BO1321" s="279"/>
      <c r="BP1321" s="279"/>
      <c r="BQ1321" s="279"/>
      <c r="BR1321" s="279"/>
      <c r="BS1321" s="279"/>
      <c r="BT1321" s="279"/>
      <c r="BU1321" s="279"/>
      <c r="BV1321" s="279"/>
      <c r="BW1321" s="279"/>
      <c r="BX1321" s="279"/>
      <c r="BY1321" s="279"/>
      <c r="BZ1321" s="279"/>
      <c r="CA1321" s="279"/>
      <c r="CB1321" s="279"/>
      <c r="CC1321" s="279"/>
      <c r="CD1321" s="279"/>
      <c r="CE1321" s="279"/>
      <c r="CF1321" s="279"/>
      <c r="CG1321" s="279"/>
      <c r="CH1321" s="279"/>
      <c r="CI1321" s="279"/>
      <c r="CJ1321" s="279"/>
      <c r="CK1321" s="279"/>
      <c r="CL1321" s="279"/>
      <c r="CM1321" s="279"/>
      <c r="CN1321" s="382"/>
    </row>
    <row r="1322" x14ac:dyDescent="0.3">
      <c r="B1322" s="361"/>
      <c r="C1322" s="279"/>
      <c r="D1322" s="280"/>
      <c r="E1322" s="287"/>
      <c r="F1322" s="287"/>
      <c r="G1322" s="287"/>
      <c r="H1322" s="1292">
        <f t="shared" si="67"/>
        <v>17</v>
      </c>
      <c r="I1322" s="1190" t="str">
        <f>'I. Stream &amp; Compound Data'!P278</f>
        <v/>
      </c>
      <c r="J1322" s="1295" t="str">
        <f>IF(I158="","",IF('I. Stream &amp; Compound Data'!CP278="",0,'I. Stream &amp; Compound Data'!CP278))</f>
        <v/>
      </c>
      <c r="K1322" s="1295" t="str">
        <f t="shared" si="68"/>
        <v/>
      </c>
      <c r="L1322" s="1317" t="str">
        <f>IF(K1322="","",IF('I. Stream &amp; Compound Data'!E48="H2O",0,(IF(J1322=0,1,J1322))*I1322))</f>
        <v/>
      </c>
      <c r="M1322" s="296"/>
      <c r="N1322" s="280"/>
      <c r="O1322" s="280"/>
      <c r="P1322" s="279"/>
      <c r="Q1322" s="297"/>
      <c r="R1322" s="298"/>
      <c r="S1322" s="298"/>
      <c r="T1322" s="299"/>
      <c r="U1322" s="279"/>
      <c r="V1322" s="279"/>
      <c r="W1322" s="279"/>
      <c r="X1322" s="279"/>
      <c r="Y1322" s="279"/>
      <c r="Z1322" s="279"/>
      <c r="AA1322" s="279"/>
      <c r="AB1322" s="279"/>
      <c r="AC1322" s="279"/>
      <c r="AD1322" s="279"/>
      <c r="AE1322" s="279"/>
      <c r="AF1322" s="279"/>
      <c r="AG1322" s="279"/>
      <c r="AH1322" s="279"/>
      <c r="AI1322" s="279"/>
      <c r="AJ1322" s="279"/>
      <c r="AK1322" s="279"/>
      <c r="AL1322" s="279"/>
      <c r="AM1322" s="279"/>
      <c r="AN1322" s="279"/>
      <c r="AO1322" s="279"/>
      <c r="AP1322" s="279"/>
      <c r="AQ1322" s="279"/>
      <c r="AR1322" s="279"/>
      <c r="AS1322" s="279"/>
      <c r="AT1322" s="279"/>
      <c r="AU1322" s="279"/>
      <c r="AV1322" s="279"/>
      <c r="AW1322" s="279"/>
      <c r="AX1322" s="279"/>
      <c r="AY1322" s="279"/>
      <c r="AZ1322" s="279"/>
      <c r="BA1322" s="279"/>
      <c r="BB1322" s="279"/>
      <c r="BC1322" s="279"/>
      <c r="BD1322" s="279"/>
      <c r="BE1322" s="279"/>
      <c r="BF1322" s="279"/>
      <c r="BG1322" s="279"/>
      <c r="BH1322" s="279"/>
      <c r="BI1322" s="279"/>
      <c r="BJ1322" s="279"/>
      <c r="BK1322" s="279"/>
      <c r="BL1322" s="279"/>
      <c r="BM1322" s="279"/>
      <c r="BN1322" s="279"/>
      <c r="BO1322" s="279"/>
      <c r="BP1322" s="279"/>
      <c r="BQ1322" s="279"/>
      <c r="BR1322" s="279"/>
      <c r="BS1322" s="279"/>
      <c r="BT1322" s="279"/>
      <c r="BU1322" s="279"/>
      <c r="BV1322" s="279"/>
      <c r="BW1322" s="279"/>
      <c r="BX1322" s="279"/>
      <c r="BY1322" s="279"/>
      <c r="BZ1322" s="279"/>
      <c r="CA1322" s="279"/>
      <c r="CB1322" s="279"/>
      <c r="CC1322" s="279"/>
      <c r="CD1322" s="279"/>
      <c r="CE1322" s="279"/>
      <c r="CF1322" s="279"/>
      <c r="CG1322" s="279"/>
      <c r="CH1322" s="279"/>
      <c r="CI1322" s="279"/>
      <c r="CJ1322" s="279"/>
      <c r="CK1322" s="279"/>
      <c r="CL1322" s="279"/>
      <c r="CM1322" s="279"/>
      <c r="CN1322" s="382"/>
    </row>
    <row r="1323" x14ac:dyDescent="0.3">
      <c r="B1323" s="361"/>
      <c r="C1323" s="279"/>
      <c r="D1323" s="280"/>
      <c r="E1323" s="287"/>
      <c r="F1323" s="287"/>
      <c r="G1323" s="287"/>
      <c r="H1323" s="1292">
        <f t="shared" si="67"/>
        <v>18</v>
      </c>
      <c r="I1323" s="1190" t="str">
        <f>'I. Stream &amp; Compound Data'!P279</f>
        <v/>
      </c>
      <c r="J1323" s="1295" t="str">
        <f>IF(I159="","",IF('I. Stream &amp; Compound Data'!CP279="",0,'I. Stream &amp; Compound Data'!CP279))</f>
        <v/>
      </c>
      <c r="K1323" s="1295" t="str">
        <f t="shared" si="68"/>
        <v/>
      </c>
      <c r="L1323" s="1317" t="str">
        <f>IF(K1323="","",IF('I. Stream &amp; Compound Data'!E49="H2O",0,(IF(J1323=0,1,J1323))*I1323))</f>
        <v/>
      </c>
      <c r="M1323" s="296"/>
      <c r="N1323" s="280"/>
      <c r="O1323" s="280"/>
      <c r="P1323" s="279"/>
      <c r="Q1323" s="297"/>
      <c r="R1323" s="298"/>
      <c r="S1323" s="298"/>
      <c r="T1323" s="299"/>
      <c r="U1323" s="279"/>
      <c r="V1323" s="279"/>
      <c r="W1323" s="279"/>
      <c r="X1323" s="279"/>
      <c r="Y1323" s="279"/>
      <c r="Z1323" s="279"/>
      <c r="AA1323" s="279"/>
      <c r="AB1323" s="279"/>
      <c r="AC1323" s="279"/>
      <c r="AD1323" s="279"/>
      <c r="AE1323" s="279"/>
      <c r="AF1323" s="279"/>
      <c r="AG1323" s="279"/>
      <c r="AH1323" s="279"/>
      <c r="AI1323" s="279"/>
      <c r="AJ1323" s="279"/>
      <c r="AK1323" s="279"/>
      <c r="AL1323" s="279"/>
      <c r="AM1323" s="279"/>
      <c r="AN1323" s="279"/>
      <c r="AO1323" s="279"/>
      <c r="AP1323" s="279"/>
      <c r="AQ1323" s="279"/>
      <c r="AR1323" s="279"/>
      <c r="AS1323" s="279"/>
      <c r="AT1323" s="279"/>
      <c r="AU1323" s="279"/>
      <c r="AV1323" s="279"/>
      <c r="AW1323" s="279"/>
      <c r="AX1323" s="279"/>
      <c r="AY1323" s="279"/>
      <c r="AZ1323" s="279"/>
      <c r="BA1323" s="279"/>
      <c r="BB1323" s="279"/>
      <c r="BC1323" s="279"/>
      <c r="BD1323" s="279"/>
      <c r="BE1323" s="279"/>
      <c r="BF1323" s="279"/>
      <c r="BG1323" s="279"/>
      <c r="BH1323" s="279"/>
      <c r="BI1323" s="279"/>
      <c r="BJ1323" s="279"/>
      <c r="BK1323" s="279"/>
      <c r="BL1323" s="279"/>
      <c r="BM1323" s="279"/>
      <c r="BN1323" s="279"/>
      <c r="BO1323" s="279"/>
      <c r="BP1323" s="279"/>
      <c r="BQ1323" s="279"/>
      <c r="BR1323" s="279"/>
      <c r="BS1323" s="279"/>
      <c r="BT1323" s="279"/>
      <c r="BU1323" s="279"/>
      <c r="BV1323" s="279"/>
      <c r="BW1323" s="279"/>
      <c r="BX1323" s="279"/>
      <c r="BY1323" s="279"/>
      <c r="BZ1323" s="279"/>
      <c r="CA1323" s="279"/>
      <c r="CB1323" s="279"/>
      <c r="CC1323" s="279"/>
      <c r="CD1323" s="279"/>
      <c r="CE1323" s="279"/>
      <c r="CF1323" s="279"/>
      <c r="CG1323" s="279"/>
      <c r="CH1323" s="279"/>
      <c r="CI1323" s="279"/>
      <c r="CJ1323" s="279"/>
      <c r="CK1323" s="279"/>
      <c r="CL1323" s="279"/>
      <c r="CM1323" s="279"/>
      <c r="CN1323" s="382"/>
    </row>
    <row r="1324" x14ac:dyDescent="0.3">
      <c r="B1324" s="361"/>
      <c r="C1324" s="279"/>
      <c r="D1324" s="280"/>
      <c r="E1324" s="287"/>
      <c r="F1324" s="287"/>
      <c r="G1324" s="287"/>
      <c r="H1324" s="1292">
        <f t="shared" si="67"/>
        <v>19</v>
      </c>
      <c r="I1324" s="1190" t="str">
        <f>'I. Stream &amp; Compound Data'!P280</f>
        <v/>
      </c>
      <c r="J1324" s="1295" t="str">
        <f>IF(I160="","",IF('I. Stream &amp; Compound Data'!CP280="",0,'I. Stream &amp; Compound Data'!CP280))</f>
        <v/>
      </c>
      <c r="K1324" s="1295" t="str">
        <f t="shared" si="68"/>
        <v/>
      </c>
      <c r="L1324" s="1317" t="str">
        <f>IF(K1324="","",IF('I. Stream &amp; Compound Data'!E50="H2O",0,(IF(J1324=0,1,J1324))*I1324))</f>
        <v/>
      </c>
      <c r="M1324" s="296"/>
      <c r="N1324" s="280"/>
      <c r="O1324" s="280"/>
      <c r="P1324" s="279"/>
      <c r="Q1324" s="297"/>
      <c r="R1324" s="298"/>
      <c r="S1324" s="298"/>
      <c r="T1324" s="299"/>
      <c r="U1324" s="279"/>
      <c r="V1324" s="279"/>
      <c r="W1324" s="279"/>
      <c r="X1324" s="279"/>
      <c r="Y1324" s="279"/>
      <c r="Z1324" s="279"/>
      <c r="AA1324" s="279"/>
      <c r="AB1324" s="279"/>
      <c r="AC1324" s="279"/>
      <c r="AD1324" s="279"/>
      <c r="AE1324" s="279"/>
      <c r="AF1324" s="279"/>
      <c r="AG1324" s="279"/>
      <c r="AH1324" s="279"/>
      <c r="AI1324" s="279"/>
      <c r="AJ1324" s="279"/>
      <c r="AK1324" s="279"/>
      <c r="AL1324" s="279"/>
      <c r="AM1324" s="279"/>
      <c r="AN1324" s="279"/>
      <c r="AO1324" s="279"/>
      <c r="AP1324" s="279"/>
      <c r="AQ1324" s="279"/>
      <c r="AR1324" s="279"/>
      <c r="AS1324" s="279"/>
      <c r="AT1324" s="279"/>
      <c r="AU1324" s="279"/>
      <c r="AV1324" s="279"/>
      <c r="AW1324" s="279"/>
      <c r="AX1324" s="279"/>
      <c r="AY1324" s="279"/>
      <c r="AZ1324" s="279"/>
      <c r="BA1324" s="279"/>
      <c r="BB1324" s="279"/>
      <c r="BC1324" s="279"/>
      <c r="BD1324" s="279"/>
      <c r="BE1324" s="279"/>
      <c r="BF1324" s="279"/>
      <c r="BG1324" s="279"/>
      <c r="BH1324" s="279"/>
      <c r="BI1324" s="279"/>
      <c r="BJ1324" s="279"/>
      <c r="BK1324" s="279"/>
      <c r="BL1324" s="279"/>
      <c r="BM1324" s="279"/>
      <c r="BN1324" s="279"/>
      <c r="BO1324" s="279"/>
      <c r="BP1324" s="279"/>
      <c r="BQ1324" s="279"/>
      <c r="BR1324" s="279"/>
      <c r="BS1324" s="279"/>
      <c r="BT1324" s="279"/>
      <c r="BU1324" s="279"/>
      <c r="BV1324" s="279"/>
      <c r="BW1324" s="279"/>
      <c r="BX1324" s="279"/>
      <c r="BY1324" s="279"/>
      <c r="BZ1324" s="279"/>
      <c r="CA1324" s="279"/>
      <c r="CB1324" s="279"/>
      <c r="CC1324" s="279"/>
      <c r="CD1324" s="279"/>
      <c r="CE1324" s="279"/>
      <c r="CF1324" s="279"/>
      <c r="CG1324" s="279"/>
      <c r="CH1324" s="279"/>
      <c r="CI1324" s="279"/>
      <c r="CJ1324" s="279"/>
      <c r="CK1324" s="279"/>
      <c r="CL1324" s="279"/>
      <c r="CM1324" s="279"/>
      <c r="CN1324" s="382"/>
    </row>
    <row r="1325" x14ac:dyDescent="0.3">
      <c r="B1325" s="361"/>
      <c r="C1325" s="279"/>
      <c r="D1325" s="280"/>
      <c r="E1325" s="287"/>
      <c r="F1325" s="287"/>
      <c r="G1325" s="287"/>
      <c r="H1325" s="1292">
        <f t="shared" si="67"/>
        <v>20</v>
      </c>
      <c r="I1325" s="1190" t="str">
        <f>'I. Stream &amp; Compound Data'!P281</f>
        <v/>
      </c>
      <c r="J1325" s="1295" t="str">
        <f>IF(I161="","",IF('I. Stream &amp; Compound Data'!CP281="",0,'I. Stream &amp; Compound Data'!CP281))</f>
        <v/>
      </c>
      <c r="K1325" s="1295" t="str">
        <f t="shared" ref="K1325:K1355" si="69">IF(I161="","",I1325*J1325)</f>
        <v/>
      </c>
      <c r="L1325" s="1317" t="str">
        <f>IF(K1325="","",IF('I. Stream &amp; Compound Data'!E51="H2O",0,(IF(J1325=0,1,J1325))*I1325))</f>
        <v/>
      </c>
      <c r="M1325" s="296"/>
      <c r="N1325" s="280"/>
      <c r="O1325" s="280"/>
      <c r="P1325" s="279"/>
      <c r="Q1325" s="297"/>
      <c r="R1325" s="298"/>
      <c r="S1325" s="298"/>
      <c r="T1325" s="299"/>
      <c r="U1325" s="279"/>
      <c r="V1325" s="279"/>
      <c r="W1325" s="279"/>
      <c r="X1325" s="279"/>
      <c r="Y1325" s="279"/>
      <c r="Z1325" s="279"/>
      <c r="AA1325" s="279"/>
      <c r="AB1325" s="279"/>
      <c r="AC1325" s="279"/>
      <c r="AD1325" s="279"/>
      <c r="AE1325" s="279"/>
      <c r="AF1325" s="279"/>
      <c r="AG1325" s="279"/>
      <c r="AH1325" s="279"/>
      <c r="AI1325" s="279"/>
      <c r="AJ1325" s="279"/>
      <c r="AK1325" s="279"/>
      <c r="AL1325" s="279"/>
      <c r="AM1325" s="279"/>
      <c r="AN1325" s="279"/>
      <c r="AO1325" s="279"/>
      <c r="AP1325" s="279"/>
      <c r="AQ1325" s="279"/>
      <c r="AR1325" s="279"/>
      <c r="AS1325" s="279"/>
      <c r="AT1325" s="279"/>
      <c r="AU1325" s="279"/>
      <c r="AV1325" s="279"/>
      <c r="AW1325" s="279"/>
      <c r="AX1325" s="279"/>
      <c r="AY1325" s="279"/>
      <c r="AZ1325" s="279"/>
      <c r="BA1325" s="279"/>
      <c r="BB1325" s="279"/>
      <c r="BC1325" s="279"/>
      <c r="BD1325" s="279"/>
      <c r="BE1325" s="279"/>
      <c r="BF1325" s="279"/>
      <c r="BG1325" s="279"/>
      <c r="BH1325" s="279"/>
      <c r="BI1325" s="279"/>
      <c r="BJ1325" s="279"/>
      <c r="BK1325" s="279"/>
      <c r="BL1325" s="279"/>
      <c r="BM1325" s="279"/>
      <c r="BN1325" s="279"/>
      <c r="BO1325" s="279"/>
      <c r="BP1325" s="279"/>
      <c r="BQ1325" s="279"/>
      <c r="BR1325" s="279"/>
      <c r="BS1325" s="279"/>
      <c r="BT1325" s="279"/>
      <c r="BU1325" s="279"/>
      <c r="BV1325" s="279"/>
      <c r="BW1325" s="279"/>
      <c r="BX1325" s="279"/>
      <c r="BY1325" s="279"/>
      <c r="BZ1325" s="279"/>
      <c r="CA1325" s="279"/>
      <c r="CB1325" s="279"/>
      <c r="CC1325" s="279"/>
      <c r="CD1325" s="279"/>
      <c r="CE1325" s="279"/>
      <c r="CF1325" s="279"/>
      <c r="CG1325" s="279"/>
      <c r="CH1325" s="279"/>
      <c r="CI1325" s="279"/>
      <c r="CJ1325" s="279"/>
      <c r="CK1325" s="279"/>
      <c r="CL1325" s="279"/>
      <c r="CM1325" s="279"/>
      <c r="CN1325" s="382"/>
    </row>
    <row r="1326" x14ac:dyDescent="0.3">
      <c r="B1326" s="361"/>
      <c r="C1326" s="279"/>
      <c r="D1326" s="280"/>
      <c r="E1326" s="287"/>
      <c r="F1326" s="287"/>
      <c r="G1326" s="287"/>
      <c r="H1326" s="1292">
        <f t="shared" si="67"/>
        <v>21</v>
      </c>
      <c r="I1326" s="1190" t="str">
        <f>'I. Stream &amp; Compound Data'!P282</f>
        <v/>
      </c>
      <c r="J1326" s="1295" t="str">
        <f>IF(I162="","",IF('I. Stream &amp; Compound Data'!CP282="",0,'I. Stream &amp; Compound Data'!CP282))</f>
        <v/>
      </c>
      <c r="K1326" s="1295" t="str">
        <f t="shared" si="69"/>
        <v/>
      </c>
      <c r="L1326" s="1317" t="str">
        <f>IF(K1326="","",IF('I. Stream &amp; Compound Data'!E52="H2O",0,(IF(J1326=0,1,J1326))*I1326))</f>
        <v/>
      </c>
      <c r="M1326" s="296"/>
      <c r="N1326" s="280"/>
      <c r="O1326" s="280"/>
      <c r="P1326" s="279"/>
      <c r="Q1326" s="297"/>
      <c r="R1326" s="298"/>
      <c r="S1326" s="298"/>
      <c r="T1326" s="299"/>
      <c r="U1326" s="279"/>
      <c r="V1326" s="279"/>
      <c r="W1326" s="279"/>
      <c r="X1326" s="279"/>
      <c r="Y1326" s="279"/>
      <c r="Z1326" s="279"/>
      <c r="AA1326" s="279"/>
      <c r="AB1326" s="279"/>
      <c r="AC1326" s="279"/>
      <c r="AD1326" s="279"/>
      <c r="AE1326" s="279"/>
      <c r="AF1326" s="279"/>
      <c r="AG1326" s="279"/>
      <c r="AH1326" s="279"/>
      <c r="AI1326" s="279"/>
      <c r="AJ1326" s="279"/>
      <c r="AK1326" s="279"/>
      <c r="AL1326" s="279"/>
      <c r="AM1326" s="279"/>
      <c r="AN1326" s="279"/>
      <c r="AO1326" s="279"/>
      <c r="AP1326" s="279"/>
      <c r="AQ1326" s="279"/>
      <c r="AR1326" s="279"/>
      <c r="AS1326" s="279"/>
      <c r="AT1326" s="279"/>
      <c r="AU1326" s="279"/>
      <c r="AV1326" s="279"/>
      <c r="AW1326" s="279"/>
      <c r="AX1326" s="279"/>
      <c r="AY1326" s="279"/>
      <c r="AZ1326" s="279"/>
      <c r="BA1326" s="279"/>
      <c r="BB1326" s="279"/>
      <c r="BC1326" s="279"/>
      <c r="BD1326" s="279"/>
      <c r="BE1326" s="279"/>
      <c r="BF1326" s="279"/>
      <c r="BG1326" s="279"/>
      <c r="BH1326" s="279"/>
      <c r="BI1326" s="279"/>
      <c r="BJ1326" s="279"/>
      <c r="BK1326" s="279"/>
      <c r="BL1326" s="279"/>
      <c r="BM1326" s="279"/>
      <c r="BN1326" s="279"/>
      <c r="BO1326" s="279"/>
      <c r="BP1326" s="279"/>
      <c r="BQ1326" s="279"/>
      <c r="BR1326" s="279"/>
      <c r="BS1326" s="279"/>
      <c r="BT1326" s="279"/>
      <c r="BU1326" s="279"/>
      <c r="BV1326" s="279"/>
      <c r="BW1326" s="279"/>
      <c r="BX1326" s="279"/>
      <c r="BY1326" s="279"/>
      <c r="BZ1326" s="279"/>
      <c r="CA1326" s="279"/>
      <c r="CB1326" s="279"/>
      <c r="CC1326" s="279"/>
      <c r="CD1326" s="279"/>
      <c r="CE1326" s="279"/>
      <c r="CF1326" s="279"/>
      <c r="CG1326" s="279"/>
      <c r="CH1326" s="279"/>
      <c r="CI1326" s="279"/>
      <c r="CJ1326" s="279"/>
      <c r="CK1326" s="279"/>
      <c r="CL1326" s="279"/>
      <c r="CM1326" s="279"/>
      <c r="CN1326" s="382"/>
    </row>
    <row r="1327" x14ac:dyDescent="0.3">
      <c r="B1327" s="361"/>
      <c r="C1327" s="279"/>
      <c r="D1327" s="280"/>
      <c r="E1327" s="287"/>
      <c r="F1327" s="287"/>
      <c r="G1327" s="287"/>
      <c r="H1327" s="1292">
        <f t="shared" si="67"/>
        <v>22</v>
      </c>
      <c r="I1327" s="1190" t="str">
        <f>'I. Stream &amp; Compound Data'!P283</f>
        <v/>
      </c>
      <c r="J1327" s="1295" t="str">
        <f>IF(I163="","",IF('I. Stream &amp; Compound Data'!CP283="",0,'I. Stream &amp; Compound Data'!CP283))</f>
        <v/>
      </c>
      <c r="K1327" s="1295" t="str">
        <f t="shared" si="69"/>
        <v/>
      </c>
      <c r="L1327" s="1317" t="str">
        <f>IF(K1327="","",IF('I. Stream &amp; Compound Data'!E53="H2O",0,(IF(J1327=0,1,J1327))*I1327))</f>
        <v/>
      </c>
      <c r="M1327" s="296"/>
      <c r="N1327" s="280"/>
      <c r="O1327" s="280"/>
      <c r="P1327" s="279"/>
      <c r="Q1327" s="297"/>
      <c r="R1327" s="298"/>
      <c r="S1327" s="298"/>
      <c r="T1327" s="299"/>
      <c r="U1327" s="279"/>
      <c r="V1327" s="279"/>
      <c r="W1327" s="279"/>
      <c r="X1327" s="279"/>
      <c r="Y1327" s="279"/>
      <c r="Z1327" s="279"/>
      <c r="AA1327" s="279"/>
      <c r="AB1327" s="279"/>
      <c r="AC1327" s="279"/>
      <c r="AD1327" s="279"/>
      <c r="AE1327" s="279"/>
      <c r="AF1327" s="279"/>
      <c r="AG1327" s="279"/>
      <c r="AH1327" s="279"/>
      <c r="AI1327" s="279"/>
      <c r="AJ1327" s="279"/>
      <c r="AK1327" s="279"/>
      <c r="AL1327" s="279"/>
      <c r="AM1327" s="279"/>
      <c r="AN1327" s="279"/>
      <c r="AO1327" s="279"/>
      <c r="AP1327" s="279"/>
      <c r="AQ1327" s="279"/>
      <c r="AR1327" s="279"/>
      <c r="AS1327" s="279"/>
      <c r="AT1327" s="279"/>
      <c r="AU1327" s="279"/>
      <c r="AV1327" s="279"/>
      <c r="AW1327" s="279"/>
      <c r="AX1327" s="279"/>
      <c r="AY1327" s="279"/>
      <c r="AZ1327" s="279"/>
      <c r="BA1327" s="279"/>
      <c r="BB1327" s="279"/>
      <c r="BC1327" s="279"/>
      <c r="BD1327" s="279"/>
      <c r="BE1327" s="279"/>
      <c r="BF1327" s="279"/>
      <c r="BG1327" s="279"/>
      <c r="BH1327" s="279"/>
      <c r="BI1327" s="279"/>
      <c r="BJ1327" s="279"/>
      <c r="BK1327" s="279"/>
      <c r="BL1327" s="279"/>
      <c r="BM1327" s="279"/>
      <c r="BN1327" s="279"/>
      <c r="BO1327" s="279"/>
      <c r="BP1327" s="279"/>
      <c r="BQ1327" s="279"/>
      <c r="BR1327" s="279"/>
      <c r="BS1327" s="279"/>
      <c r="BT1327" s="279"/>
      <c r="BU1327" s="279"/>
      <c r="BV1327" s="279"/>
      <c r="BW1327" s="279"/>
      <c r="BX1327" s="279"/>
      <c r="BY1327" s="279"/>
      <c r="BZ1327" s="279"/>
      <c r="CA1327" s="279"/>
      <c r="CB1327" s="279"/>
      <c r="CC1327" s="279"/>
      <c r="CD1327" s="279"/>
      <c r="CE1327" s="279"/>
      <c r="CF1327" s="279"/>
      <c r="CG1327" s="279"/>
      <c r="CH1327" s="279"/>
      <c r="CI1327" s="279"/>
      <c r="CJ1327" s="279"/>
      <c r="CK1327" s="279"/>
      <c r="CL1327" s="279"/>
      <c r="CM1327" s="279"/>
      <c r="CN1327" s="382"/>
    </row>
    <row r="1328" x14ac:dyDescent="0.3">
      <c r="B1328" s="361"/>
      <c r="C1328" s="279"/>
      <c r="D1328" s="280"/>
      <c r="E1328" s="287"/>
      <c r="F1328" s="287"/>
      <c r="G1328" s="287"/>
      <c r="H1328" s="1292">
        <f t="shared" si="67"/>
        <v>23</v>
      </c>
      <c r="I1328" s="1190" t="str">
        <f>'I. Stream &amp; Compound Data'!P284</f>
        <v/>
      </c>
      <c r="J1328" s="1295" t="str">
        <f>IF(I164="","",IF('I. Stream &amp; Compound Data'!CP284="",0,'I. Stream &amp; Compound Data'!CP284))</f>
        <v/>
      </c>
      <c r="K1328" s="1295" t="str">
        <f t="shared" si="69"/>
        <v/>
      </c>
      <c r="L1328" s="1317" t="str">
        <f>IF(K1328="","",IF('I. Stream &amp; Compound Data'!E54="H2O",0,(IF(J1328=0,1,J1328))*I1328))</f>
        <v/>
      </c>
      <c r="M1328" s="296"/>
      <c r="N1328" s="280"/>
      <c r="O1328" s="280"/>
      <c r="P1328" s="279"/>
      <c r="Q1328" s="297"/>
      <c r="R1328" s="298"/>
      <c r="S1328" s="298"/>
      <c r="T1328" s="299"/>
      <c r="U1328" s="279"/>
      <c r="V1328" s="279"/>
      <c r="W1328" s="279"/>
      <c r="X1328" s="279"/>
      <c r="Y1328" s="279"/>
      <c r="Z1328" s="279"/>
      <c r="AA1328" s="279"/>
      <c r="AB1328" s="279"/>
      <c r="AC1328" s="279"/>
      <c r="AD1328" s="279"/>
      <c r="AE1328" s="279"/>
      <c r="AF1328" s="279"/>
      <c r="AG1328" s="279"/>
      <c r="AH1328" s="279"/>
      <c r="AI1328" s="279"/>
      <c r="AJ1328" s="279"/>
      <c r="AK1328" s="279"/>
      <c r="AL1328" s="279"/>
      <c r="AM1328" s="279"/>
      <c r="AN1328" s="279"/>
      <c r="AO1328" s="279"/>
      <c r="AP1328" s="279"/>
      <c r="AQ1328" s="279"/>
      <c r="AR1328" s="279"/>
      <c r="AS1328" s="279"/>
      <c r="AT1328" s="279"/>
      <c r="AU1328" s="279"/>
      <c r="AV1328" s="279"/>
      <c r="AW1328" s="279"/>
      <c r="AX1328" s="279"/>
      <c r="AY1328" s="279"/>
      <c r="AZ1328" s="279"/>
      <c r="BA1328" s="279"/>
      <c r="BB1328" s="279"/>
      <c r="BC1328" s="279"/>
      <c r="BD1328" s="279"/>
      <c r="BE1328" s="279"/>
      <c r="BF1328" s="279"/>
      <c r="BG1328" s="279"/>
      <c r="BH1328" s="279"/>
      <c r="BI1328" s="279"/>
      <c r="BJ1328" s="279"/>
      <c r="BK1328" s="279"/>
      <c r="BL1328" s="279"/>
      <c r="BM1328" s="279"/>
      <c r="BN1328" s="279"/>
      <c r="BO1328" s="279"/>
      <c r="BP1328" s="279"/>
      <c r="BQ1328" s="279"/>
      <c r="BR1328" s="279"/>
      <c r="BS1328" s="279"/>
      <c r="BT1328" s="279"/>
      <c r="BU1328" s="279"/>
      <c r="BV1328" s="279"/>
      <c r="BW1328" s="279"/>
      <c r="BX1328" s="279"/>
      <c r="BY1328" s="279"/>
      <c r="BZ1328" s="279"/>
      <c r="CA1328" s="279"/>
      <c r="CB1328" s="279"/>
      <c r="CC1328" s="279"/>
      <c r="CD1328" s="279"/>
      <c r="CE1328" s="279"/>
      <c r="CF1328" s="279"/>
      <c r="CG1328" s="279"/>
      <c r="CH1328" s="279"/>
      <c r="CI1328" s="279"/>
      <c r="CJ1328" s="279"/>
      <c r="CK1328" s="279"/>
      <c r="CL1328" s="279"/>
      <c r="CM1328" s="279"/>
      <c r="CN1328" s="382"/>
    </row>
    <row r="1329" x14ac:dyDescent="0.3">
      <c r="B1329" s="361"/>
      <c r="C1329" s="279"/>
      <c r="D1329" s="280"/>
      <c r="E1329" s="287"/>
      <c r="F1329" s="287"/>
      <c r="G1329" s="287"/>
      <c r="H1329" s="1292">
        <f t="shared" si="67"/>
        <v>24</v>
      </c>
      <c r="I1329" s="1190" t="str">
        <f>'I. Stream &amp; Compound Data'!P285</f>
        <v/>
      </c>
      <c r="J1329" s="1295" t="str">
        <f>IF(I165="","",IF('I. Stream &amp; Compound Data'!CP285="",0,'I. Stream &amp; Compound Data'!CP285))</f>
        <v/>
      </c>
      <c r="K1329" s="1295" t="str">
        <f t="shared" si="69"/>
        <v/>
      </c>
      <c r="L1329" s="1317" t="str">
        <f>IF(K1329="","",IF('I. Stream &amp; Compound Data'!E55="H2O",0,(IF(J1329=0,1,J1329))*I1329))</f>
        <v/>
      </c>
      <c r="M1329" s="296"/>
      <c r="N1329" s="280"/>
      <c r="O1329" s="280"/>
      <c r="P1329" s="279"/>
      <c r="Q1329" s="297"/>
      <c r="R1329" s="298"/>
      <c r="S1329" s="298"/>
      <c r="T1329" s="299"/>
      <c r="U1329" s="279"/>
      <c r="V1329" s="279"/>
      <c r="W1329" s="279"/>
      <c r="X1329" s="279"/>
      <c r="Y1329" s="279"/>
      <c r="Z1329" s="279"/>
      <c r="AA1329" s="279"/>
      <c r="AB1329" s="279"/>
      <c r="AC1329" s="279"/>
      <c r="AD1329" s="279"/>
      <c r="AE1329" s="279"/>
      <c r="AF1329" s="279"/>
      <c r="AG1329" s="279"/>
      <c r="AH1329" s="279"/>
      <c r="AI1329" s="279"/>
      <c r="AJ1329" s="279"/>
      <c r="AK1329" s="279"/>
      <c r="AL1329" s="279"/>
      <c r="AM1329" s="279"/>
      <c r="AN1329" s="279"/>
      <c r="AO1329" s="279"/>
      <c r="AP1329" s="279"/>
      <c r="AQ1329" s="279"/>
      <c r="AR1329" s="279"/>
      <c r="AS1329" s="279"/>
      <c r="AT1329" s="279"/>
      <c r="AU1329" s="279"/>
      <c r="AV1329" s="279"/>
      <c r="AW1329" s="279"/>
      <c r="AX1329" s="279"/>
      <c r="AY1329" s="279"/>
      <c r="AZ1329" s="279"/>
      <c r="BA1329" s="279"/>
      <c r="BB1329" s="279"/>
      <c r="BC1329" s="279"/>
      <c r="BD1329" s="279"/>
      <c r="BE1329" s="279"/>
      <c r="BF1329" s="279"/>
      <c r="BG1329" s="279"/>
      <c r="BH1329" s="279"/>
      <c r="BI1329" s="279"/>
      <c r="BJ1329" s="279"/>
      <c r="BK1329" s="279"/>
      <c r="BL1329" s="279"/>
      <c r="BM1329" s="279"/>
      <c r="BN1329" s="279"/>
      <c r="BO1329" s="279"/>
      <c r="BP1329" s="279"/>
      <c r="BQ1329" s="279"/>
      <c r="BR1329" s="279"/>
      <c r="BS1329" s="279"/>
      <c r="BT1329" s="279"/>
      <c r="BU1329" s="279"/>
      <c r="BV1329" s="279"/>
      <c r="BW1329" s="279"/>
      <c r="BX1329" s="279"/>
      <c r="BY1329" s="279"/>
      <c r="BZ1329" s="279"/>
      <c r="CA1329" s="279"/>
      <c r="CB1329" s="279"/>
      <c r="CC1329" s="279"/>
      <c r="CD1329" s="279"/>
      <c r="CE1329" s="279"/>
      <c r="CF1329" s="279"/>
      <c r="CG1329" s="279"/>
      <c r="CH1329" s="279"/>
      <c r="CI1329" s="279"/>
      <c r="CJ1329" s="279"/>
      <c r="CK1329" s="279"/>
      <c r="CL1329" s="279"/>
      <c r="CM1329" s="279"/>
      <c r="CN1329" s="382"/>
    </row>
    <row r="1330" x14ac:dyDescent="0.3">
      <c r="B1330" s="361"/>
      <c r="C1330" s="279"/>
      <c r="D1330" s="280"/>
      <c r="E1330" s="287"/>
      <c r="F1330" s="287"/>
      <c r="G1330" s="287"/>
      <c r="H1330" s="1292">
        <f t="shared" si="67"/>
        <v>25</v>
      </c>
      <c r="I1330" s="1190" t="str">
        <f>'I. Stream &amp; Compound Data'!P286</f>
        <v/>
      </c>
      <c r="J1330" s="1295" t="str">
        <f>IF(I166="","",IF('I. Stream &amp; Compound Data'!CP286="",0,'I. Stream &amp; Compound Data'!CP286))</f>
        <v/>
      </c>
      <c r="K1330" s="1295" t="str">
        <f t="shared" si="69"/>
        <v/>
      </c>
      <c r="L1330" s="1317" t="str">
        <f>IF(K1330="","",IF('I. Stream &amp; Compound Data'!E56="H2O",0,(IF(J1330=0,1,J1330))*I1330))</f>
        <v/>
      </c>
      <c r="M1330" s="296"/>
      <c r="N1330" s="280"/>
      <c r="O1330" s="280"/>
      <c r="P1330" s="279"/>
      <c r="Q1330" s="297"/>
      <c r="R1330" s="298"/>
      <c r="S1330" s="298"/>
      <c r="T1330" s="299"/>
      <c r="U1330" s="279"/>
      <c r="V1330" s="279"/>
      <c r="W1330" s="279"/>
      <c r="X1330" s="279"/>
      <c r="Y1330" s="279"/>
      <c r="Z1330" s="279"/>
      <c r="AA1330" s="279"/>
      <c r="AB1330" s="279"/>
      <c r="AC1330" s="279"/>
      <c r="AD1330" s="279"/>
      <c r="AE1330" s="279"/>
      <c r="AF1330" s="279"/>
      <c r="AG1330" s="279"/>
      <c r="AH1330" s="279"/>
      <c r="AI1330" s="279"/>
      <c r="AJ1330" s="279"/>
      <c r="AK1330" s="279"/>
      <c r="AL1330" s="279"/>
      <c r="AM1330" s="279"/>
      <c r="AN1330" s="279"/>
      <c r="AO1330" s="279"/>
      <c r="AP1330" s="279"/>
      <c r="AQ1330" s="279"/>
      <c r="AR1330" s="279"/>
      <c r="AS1330" s="279"/>
      <c r="AT1330" s="279"/>
      <c r="AU1330" s="279"/>
      <c r="AV1330" s="279"/>
      <c r="AW1330" s="279"/>
      <c r="AX1330" s="279"/>
      <c r="AY1330" s="279"/>
      <c r="AZ1330" s="279"/>
      <c r="BA1330" s="279"/>
      <c r="BB1330" s="279"/>
      <c r="BC1330" s="279"/>
      <c r="BD1330" s="279"/>
      <c r="BE1330" s="279"/>
      <c r="BF1330" s="279"/>
      <c r="BG1330" s="279"/>
      <c r="BH1330" s="279"/>
      <c r="BI1330" s="279"/>
      <c r="BJ1330" s="279"/>
      <c r="BK1330" s="279"/>
      <c r="BL1330" s="279"/>
      <c r="BM1330" s="279"/>
      <c r="BN1330" s="279"/>
      <c r="BO1330" s="279"/>
      <c r="BP1330" s="279"/>
      <c r="BQ1330" s="279"/>
      <c r="BR1330" s="279"/>
      <c r="BS1330" s="279"/>
      <c r="BT1330" s="279"/>
      <c r="BU1330" s="279"/>
      <c r="BV1330" s="279"/>
      <c r="BW1330" s="279"/>
      <c r="BX1330" s="279"/>
      <c r="BY1330" s="279"/>
      <c r="BZ1330" s="279"/>
      <c r="CA1330" s="279"/>
      <c r="CB1330" s="279"/>
      <c r="CC1330" s="279"/>
      <c r="CD1330" s="279"/>
      <c r="CE1330" s="279"/>
      <c r="CF1330" s="279"/>
      <c r="CG1330" s="279"/>
      <c r="CH1330" s="279"/>
      <c r="CI1330" s="279"/>
      <c r="CJ1330" s="279"/>
      <c r="CK1330" s="279"/>
      <c r="CL1330" s="279"/>
      <c r="CM1330" s="279"/>
      <c r="CN1330" s="382"/>
    </row>
    <row r="1331" x14ac:dyDescent="0.3">
      <c r="B1331" s="361"/>
      <c r="C1331" s="279"/>
      <c r="D1331" s="280"/>
      <c r="E1331" s="287"/>
      <c r="F1331" s="287"/>
      <c r="G1331" s="287"/>
      <c r="H1331" s="1292">
        <f t="shared" si="67"/>
        <v>26</v>
      </c>
      <c r="I1331" s="1190" t="str">
        <f>'I. Stream &amp; Compound Data'!P287</f>
        <v/>
      </c>
      <c r="J1331" s="1295" t="str">
        <f>IF(I167="","",IF('I. Stream &amp; Compound Data'!CP287="",0,'I. Stream &amp; Compound Data'!CP287))</f>
        <v/>
      </c>
      <c r="K1331" s="1295" t="str">
        <f t="shared" si="69"/>
        <v/>
      </c>
      <c r="L1331" s="1317" t="str">
        <f>IF(K1331="","",IF('I. Stream &amp; Compound Data'!E57="H2O",0,(IF(J1331=0,1,J1331))*I1331))</f>
        <v/>
      </c>
      <c r="M1331" s="296"/>
      <c r="N1331" s="280"/>
      <c r="O1331" s="280"/>
      <c r="P1331" s="279"/>
      <c r="Q1331" s="297"/>
      <c r="R1331" s="298"/>
      <c r="S1331" s="298"/>
      <c r="T1331" s="299"/>
      <c r="U1331" s="279"/>
      <c r="V1331" s="279"/>
      <c r="W1331" s="279"/>
      <c r="X1331" s="279"/>
      <c r="Y1331" s="279"/>
      <c r="Z1331" s="279"/>
      <c r="AA1331" s="279"/>
      <c r="AB1331" s="279"/>
      <c r="AC1331" s="279"/>
      <c r="AD1331" s="279"/>
      <c r="AE1331" s="279"/>
      <c r="AF1331" s="279"/>
      <c r="AG1331" s="279"/>
      <c r="AH1331" s="279"/>
      <c r="AI1331" s="279"/>
      <c r="AJ1331" s="279"/>
      <c r="AK1331" s="279"/>
      <c r="AL1331" s="279"/>
      <c r="AM1331" s="279"/>
      <c r="AN1331" s="279"/>
      <c r="AO1331" s="279"/>
      <c r="AP1331" s="279"/>
      <c r="AQ1331" s="279"/>
      <c r="AR1331" s="279"/>
      <c r="AS1331" s="279"/>
      <c r="AT1331" s="279"/>
      <c r="AU1331" s="279"/>
      <c r="AV1331" s="279"/>
      <c r="AW1331" s="279"/>
      <c r="AX1331" s="279"/>
      <c r="AY1331" s="279"/>
      <c r="AZ1331" s="279"/>
      <c r="BA1331" s="279"/>
      <c r="BB1331" s="279"/>
      <c r="BC1331" s="279"/>
      <c r="BD1331" s="279"/>
      <c r="BE1331" s="279"/>
      <c r="BF1331" s="279"/>
      <c r="BG1331" s="279"/>
      <c r="BH1331" s="279"/>
      <c r="BI1331" s="279"/>
      <c r="BJ1331" s="279"/>
      <c r="BK1331" s="279"/>
      <c r="BL1331" s="279"/>
      <c r="BM1331" s="279"/>
      <c r="BN1331" s="279"/>
      <c r="BO1331" s="279"/>
      <c r="BP1331" s="279"/>
      <c r="BQ1331" s="279"/>
      <c r="BR1331" s="279"/>
      <c r="BS1331" s="279"/>
      <c r="BT1331" s="279"/>
      <c r="BU1331" s="279"/>
      <c r="BV1331" s="279"/>
      <c r="BW1331" s="279"/>
      <c r="BX1331" s="279"/>
      <c r="BY1331" s="279"/>
      <c r="BZ1331" s="279"/>
      <c r="CA1331" s="279"/>
      <c r="CB1331" s="279"/>
      <c r="CC1331" s="279"/>
      <c r="CD1331" s="279"/>
      <c r="CE1331" s="279"/>
      <c r="CF1331" s="279"/>
      <c r="CG1331" s="279"/>
      <c r="CH1331" s="279"/>
      <c r="CI1331" s="279"/>
      <c r="CJ1331" s="279"/>
      <c r="CK1331" s="279"/>
      <c r="CL1331" s="279"/>
      <c r="CM1331" s="279"/>
      <c r="CN1331" s="382"/>
    </row>
    <row r="1332" x14ac:dyDescent="0.3">
      <c r="B1332" s="361"/>
      <c r="C1332" s="279"/>
      <c r="D1332" s="280"/>
      <c r="E1332" s="287"/>
      <c r="F1332" s="287"/>
      <c r="G1332" s="287"/>
      <c r="H1332" s="1292">
        <f t="shared" si="67"/>
        <v>27</v>
      </c>
      <c r="I1332" s="1190" t="str">
        <f>'I. Stream &amp; Compound Data'!P288</f>
        <v/>
      </c>
      <c r="J1332" s="1295" t="str">
        <f>IF(I168="","",IF('I. Stream &amp; Compound Data'!CP288="",0,'I. Stream &amp; Compound Data'!CP288))</f>
        <v/>
      </c>
      <c r="K1332" s="1295" t="str">
        <f t="shared" si="69"/>
        <v/>
      </c>
      <c r="L1332" s="1317" t="str">
        <f>IF(K1332="","",IF('I. Stream &amp; Compound Data'!E58="H2O",0,(IF(J1332=0,1,J1332))*I1332))</f>
        <v/>
      </c>
      <c r="M1332" s="296"/>
      <c r="N1332" s="280"/>
      <c r="O1332" s="280"/>
      <c r="P1332" s="279"/>
      <c r="Q1332" s="297"/>
      <c r="R1332" s="298"/>
      <c r="S1332" s="298"/>
      <c r="T1332" s="299"/>
      <c r="U1332" s="279"/>
      <c r="V1332" s="279"/>
      <c r="W1332" s="279"/>
      <c r="X1332" s="279"/>
      <c r="Y1332" s="279"/>
      <c r="Z1332" s="279"/>
      <c r="AA1332" s="279"/>
      <c r="AB1332" s="279"/>
      <c r="AC1332" s="279"/>
      <c r="AD1332" s="279"/>
      <c r="AE1332" s="279"/>
      <c r="AF1332" s="279"/>
      <c r="AG1332" s="279"/>
      <c r="AH1332" s="279"/>
      <c r="AI1332" s="279"/>
      <c r="AJ1332" s="279"/>
      <c r="AK1332" s="279"/>
      <c r="AL1332" s="279"/>
      <c r="AM1332" s="279"/>
      <c r="AN1332" s="279"/>
      <c r="AO1332" s="279"/>
      <c r="AP1332" s="279"/>
      <c r="AQ1332" s="279"/>
      <c r="AR1332" s="279"/>
      <c r="AS1332" s="279"/>
      <c r="AT1332" s="279"/>
      <c r="AU1332" s="279"/>
      <c r="AV1332" s="279"/>
      <c r="AW1332" s="279"/>
      <c r="AX1332" s="279"/>
      <c r="AY1332" s="279"/>
      <c r="AZ1332" s="279"/>
      <c r="BA1332" s="279"/>
      <c r="BB1332" s="279"/>
      <c r="BC1332" s="279"/>
      <c r="BD1332" s="279"/>
      <c r="BE1332" s="279"/>
      <c r="BF1332" s="279"/>
      <c r="BG1332" s="279"/>
      <c r="BH1332" s="279"/>
      <c r="BI1332" s="279"/>
      <c r="BJ1332" s="279"/>
      <c r="BK1332" s="279"/>
      <c r="BL1332" s="279"/>
      <c r="BM1332" s="279"/>
      <c r="BN1332" s="279"/>
      <c r="BO1332" s="279"/>
      <c r="BP1332" s="279"/>
      <c r="BQ1332" s="279"/>
      <c r="BR1332" s="279"/>
      <c r="BS1332" s="279"/>
      <c r="BT1332" s="279"/>
      <c r="BU1332" s="279"/>
      <c r="BV1332" s="279"/>
      <c r="BW1332" s="279"/>
      <c r="BX1332" s="279"/>
      <c r="BY1332" s="279"/>
      <c r="BZ1332" s="279"/>
      <c r="CA1332" s="279"/>
      <c r="CB1332" s="279"/>
      <c r="CC1332" s="279"/>
      <c r="CD1332" s="279"/>
      <c r="CE1332" s="279"/>
      <c r="CF1332" s="279"/>
      <c r="CG1332" s="279"/>
      <c r="CH1332" s="279"/>
      <c r="CI1332" s="279"/>
      <c r="CJ1332" s="279"/>
      <c r="CK1332" s="279"/>
      <c r="CL1332" s="279"/>
      <c r="CM1332" s="279"/>
      <c r="CN1332" s="382"/>
    </row>
    <row r="1333" x14ac:dyDescent="0.3">
      <c r="B1333" s="361"/>
      <c r="C1333" s="279"/>
      <c r="D1333" s="280"/>
      <c r="E1333" s="287"/>
      <c r="F1333" s="287"/>
      <c r="G1333" s="287"/>
      <c r="H1333" s="1292">
        <f t="shared" si="67"/>
        <v>28</v>
      </c>
      <c r="I1333" s="1190" t="str">
        <f>'I. Stream &amp; Compound Data'!P289</f>
        <v/>
      </c>
      <c r="J1333" s="1295" t="str">
        <f>IF(I169="","",IF('I. Stream &amp; Compound Data'!CP289="",0,'I. Stream &amp; Compound Data'!CP289))</f>
        <v/>
      </c>
      <c r="K1333" s="1295" t="str">
        <f t="shared" si="69"/>
        <v/>
      </c>
      <c r="L1333" s="1317" t="str">
        <f>IF(K1333="","",IF('I. Stream &amp; Compound Data'!E59="H2O",0,(IF(J1333=0,1,J1333))*I1333))</f>
        <v/>
      </c>
      <c r="M1333" s="296"/>
      <c r="N1333" s="280"/>
      <c r="O1333" s="280"/>
      <c r="P1333" s="279"/>
      <c r="Q1333" s="297"/>
      <c r="R1333" s="298"/>
      <c r="S1333" s="298"/>
      <c r="T1333" s="299"/>
      <c r="U1333" s="279"/>
      <c r="V1333" s="279"/>
      <c r="W1333" s="279"/>
      <c r="X1333" s="279"/>
      <c r="Y1333" s="279"/>
      <c r="Z1333" s="279"/>
      <c r="AA1333" s="279"/>
      <c r="AB1333" s="279"/>
      <c r="AC1333" s="279"/>
      <c r="AD1333" s="279"/>
      <c r="AE1333" s="279"/>
      <c r="AF1333" s="279"/>
      <c r="AG1333" s="279"/>
      <c r="AH1333" s="279"/>
      <c r="AI1333" s="279"/>
      <c r="AJ1333" s="279"/>
      <c r="AK1333" s="279"/>
      <c r="AL1333" s="279"/>
      <c r="AM1333" s="279"/>
      <c r="AN1333" s="279"/>
      <c r="AO1333" s="279"/>
      <c r="AP1333" s="279"/>
      <c r="AQ1333" s="279"/>
      <c r="AR1333" s="279"/>
      <c r="AS1333" s="279"/>
      <c r="AT1333" s="279"/>
      <c r="AU1333" s="279"/>
      <c r="AV1333" s="279"/>
      <c r="AW1333" s="279"/>
      <c r="AX1333" s="279"/>
      <c r="AY1333" s="279"/>
      <c r="AZ1333" s="279"/>
      <c r="BA1333" s="279"/>
      <c r="BB1333" s="279"/>
      <c r="BC1333" s="279"/>
      <c r="BD1333" s="279"/>
      <c r="BE1333" s="279"/>
      <c r="BF1333" s="279"/>
      <c r="BG1333" s="279"/>
      <c r="BH1333" s="279"/>
      <c r="BI1333" s="279"/>
      <c r="BJ1333" s="279"/>
      <c r="BK1333" s="279"/>
      <c r="BL1333" s="279"/>
      <c r="BM1333" s="279"/>
      <c r="BN1333" s="279"/>
      <c r="BO1333" s="279"/>
      <c r="BP1333" s="279"/>
      <c r="BQ1333" s="279"/>
      <c r="BR1333" s="279"/>
      <c r="BS1333" s="279"/>
      <c r="BT1333" s="279"/>
      <c r="BU1333" s="279"/>
      <c r="BV1333" s="279"/>
      <c r="BW1333" s="279"/>
      <c r="BX1333" s="279"/>
      <c r="BY1333" s="279"/>
      <c r="BZ1333" s="279"/>
      <c r="CA1333" s="279"/>
      <c r="CB1333" s="279"/>
      <c r="CC1333" s="279"/>
      <c r="CD1333" s="279"/>
      <c r="CE1333" s="279"/>
      <c r="CF1333" s="279"/>
      <c r="CG1333" s="279"/>
      <c r="CH1333" s="279"/>
      <c r="CI1333" s="279"/>
      <c r="CJ1333" s="279"/>
      <c r="CK1333" s="279"/>
      <c r="CL1333" s="279"/>
      <c r="CM1333" s="279"/>
      <c r="CN1333" s="382"/>
    </row>
    <row r="1334" x14ac:dyDescent="0.3">
      <c r="B1334" s="361"/>
      <c r="C1334" s="279"/>
      <c r="D1334" s="280"/>
      <c r="E1334" s="287"/>
      <c r="F1334" s="287"/>
      <c r="G1334" s="287"/>
      <c r="H1334" s="1292">
        <f t="shared" si="67"/>
        <v>29</v>
      </c>
      <c r="I1334" s="1190" t="str">
        <f>'I. Stream &amp; Compound Data'!P290</f>
        <v/>
      </c>
      <c r="J1334" s="1295" t="str">
        <f>IF(I170="","",IF('I. Stream &amp; Compound Data'!CP290="",0,'I. Stream &amp; Compound Data'!CP290))</f>
        <v/>
      </c>
      <c r="K1334" s="1295" t="str">
        <f t="shared" si="69"/>
        <v/>
      </c>
      <c r="L1334" s="1317" t="str">
        <f>IF(K1334="","",IF('I. Stream &amp; Compound Data'!E60="H2O",0,(IF(J1334=0,1,J1334))*I1334))</f>
        <v/>
      </c>
      <c r="M1334" s="296"/>
      <c r="N1334" s="280"/>
      <c r="O1334" s="280"/>
      <c r="P1334" s="279"/>
      <c r="Q1334" s="297"/>
      <c r="R1334" s="298"/>
      <c r="S1334" s="298"/>
      <c r="T1334" s="299"/>
      <c r="U1334" s="279"/>
      <c r="V1334" s="279"/>
      <c r="W1334" s="279"/>
      <c r="X1334" s="279"/>
      <c r="Y1334" s="279"/>
      <c r="Z1334" s="279"/>
      <c r="AA1334" s="279"/>
      <c r="AB1334" s="279"/>
      <c r="AC1334" s="279"/>
      <c r="AD1334" s="279"/>
      <c r="AE1334" s="279"/>
      <c r="AF1334" s="279"/>
      <c r="AG1334" s="279"/>
      <c r="AH1334" s="279"/>
      <c r="AI1334" s="279"/>
      <c r="AJ1334" s="279"/>
      <c r="AK1334" s="279"/>
      <c r="AL1334" s="279"/>
      <c r="AM1334" s="279"/>
      <c r="AN1334" s="279"/>
      <c r="AO1334" s="279"/>
      <c r="AP1334" s="279"/>
      <c r="AQ1334" s="279"/>
      <c r="AR1334" s="279"/>
      <c r="AS1334" s="279"/>
      <c r="AT1334" s="279"/>
      <c r="AU1334" s="279"/>
      <c r="AV1334" s="279"/>
      <c r="AW1334" s="279"/>
      <c r="AX1334" s="279"/>
      <c r="AY1334" s="279"/>
      <c r="AZ1334" s="279"/>
      <c r="BA1334" s="279"/>
      <c r="BB1334" s="279"/>
      <c r="BC1334" s="279"/>
      <c r="BD1334" s="279"/>
      <c r="BE1334" s="279"/>
      <c r="BF1334" s="279"/>
      <c r="BG1334" s="279"/>
      <c r="BH1334" s="279"/>
      <c r="BI1334" s="279"/>
      <c r="BJ1334" s="279"/>
      <c r="BK1334" s="279"/>
      <c r="BL1334" s="279"/>
      <c r="BM1334" s="279"/>
      <c r="BN1334" s="279"/>
      <c r="BO1334" s="279"/>
      <c r="BP1334" s="279"/>
      <c r="BQ1334" s="279"/>
      <c r="BR1334" s="279"/>
      <c r="BS1334" s="279"/>
      <c r="BT1334" s="279"/>
      <c r="BU1334" s="279"/>
      <c r="BV1334" s="279"/>
      <c r="BW1334" s="279"/>
      <c r="BX1334" s="279"/>
      <c r="BY1334" s="279"/>
      <c r="BZ1334" s="279"/>
      <c r="CA1334" s="279"/>
      <c r="CB1334" s="279"/>
      <c r="CC1334" s="279"/>
      <c r="CD1334" s="279"/>
      <c r="CE1334" s="279"/>
      <c r="CF1334" s="279"/>
      <c r="CG1334" s="279"/>
      <c r="CH1334" s="279"/>
      <c r="CI1334" s="279"/>
      <c r="CJ1334" s="279"/>
      <c r="CK1334" s="279"/>
      <c r="CL1334" s="279"/>
      <c r="CM1334" s="279"/>
      <c r="CN1334" s="382"/>
    </row>
    <row r="1335" x14ac:dyDescent="0.3">
      <c r="B1335" s="361"/>
      <c r="C1335" s="279"/>
      <c r="D1335" s="280"/>
      <c r="E1335" s="287"/>
      <c r="F1335" s="287"/>
      <c r="G1335" s="287"/>
      <c r="H1335" s="1292">
        <f t="shared" si="67"/>
        <v>30</v>
      </c>
      <c r="I1335" s="1190" t="str">
        <f>'I. Stream &amp; Compound Data'!P291</f>
        <v/>
      </c>
      <c r="J1335" s="1295" t="str">
        <f>IF(I171="","",IF('I. Stream &amp; Compound Data'!CP291="",0,'I. Stream &amp; Compound Data'!CP291))</f>
        <v/>
      </c>
      <c r="K1335" s="1295" t="str">
        <f t="shared" si="69"/>
        <v/>
      </c>
      <c r="L1335" s="1317" t="str">
        <f>IF(K1335="","",IF('I. Stream &amp; Compound Data'!E61="H2O",0,(IF(J1335=0,1,J1335))*I1335))</f>
        <v/>
      </c>
      <c r="M1335" s="296"/>
      <c r="N1335" s="280"/>
      <c r="O1335" s="280"/>
      <c r="P1335" s="279"/>
      <c r="Q1335" s="297"/>
      <c r="R1335" s="298"/>
      <c r="S1335" s="298"/>
      <c r="T1335" s="299"/>
      <c r="U1335" s="279"/>
      <c r="V1335" s="279"/>
      <c r="W1335" s="279"/>
      <c r="X1335" s="279"/>
      <c r="Y1335" s="279"/>
      <c r="Z1335" s="279"/>
      <c r="AA1335" s="279"/>
      <c r="AB1335" s="279"/>
      <c r="AC1335" s="279"/>
      <c r="AD1335" s="279"/>
      <c r="AE1335" s="279"/>
      <c r="AF1335" s="279"/>
      <c r="AG1335" s="279"/>
      <c r="AH1335" s="279"/>
      <c r="AI1335" s="279"/>
      <c r="AJ1335" s="279"/>
      <c r="AK1335" s="279"/>
      <c r="AL1335" s="279"/>
      <c r="AM1335" s="279"/>
      <c r="AN1335" s="279"/>
      <c r="AO1335" s="279"/>
      <c r="AP1335" s="279"/>
      <c r="AQ1335" s="279"/>
      <c r="AR1335" s="279"/>
      <c r="AS1335" s="279"/>
      <c r="AT1335" s="279"/>
      <c r="AU1335" s="279"/>
      <c r="AV1335" s="279"/>
      <c r="AW1335" s="279"/>
      <c r="AX1335" s="279"/>
      <c r="AY1335" s="279"/>
      <c r="AZ1335" s="279"/>
      <c r="BA1335" s="279"/>
      <c r="BB1335" s="279"/>
      <c r="BC1335" s="279"/>
      <c r="BD1335" s="279"/>
      <c r="BE1335" s="279"/>
      <c r="BF1335" s="279"/>
      <c r="BG1335" s="279"/>
      <c r="BH1335" s="279"/>
      <c r="BI1335" s="279"/>
      <c r="BJ1335" s="279"/>
      <c r="BK1335" s="279"/>
      <c r="BL1335" s="279"/>
      <c r="BM1335" s="279"/>
      <c r="BN1335" s="279"/>
      <c r="BO1335" s="279"/>
      <c r="BP1335" s="279"/>
      <c r="BQ1335" s="279"/>
      <c r="BR1335" s="279"/>
      <c r="BS1335" s="279"/>
      <c r="BT1335" s="279"/>
      <c r="BU1335" s="279"/>
      <c r="BV1335" s="279"/>
      <c r="BW1335" s="279"/>
      <c r="BX1335" s="279"/>
      <c r="BY1335" s="279"/>
      <c r="BZ1335" s="279"/>
      <c r="CA1335" s="279"/>
      <c r="CB1335" s="279"/>
      <c r="CC1335" s="279"/>
      <c r="CD1335" s="279"/>
      <c r="CE1335" s="279"/>
      <c r="CF1335" s="279"/>
      <c r="CG1335" s="279"/>
      <c r="CH1335" s="279"/>
      <c r="CI1335" s="279"/>
      <c r="CJ1335" s="279"/>
      <c r="CK1335" s="279"/>
      <c r="CL1335" s="279"/>
      <c r="CM1335" s="279"/>
      <c r="CN1335" s="382"/>
    </row>
    <row r="1336" x14ac:dyDescent="0.3">
      <c r="B1336" s="361"/>
      <c r="C1336" s="279"/>
      <c r="D1336" s="280"/>
      <c r="E1336" s="287"/>
      <c r="F1336" s="287"/>
      <c r="G1336" s="287"/>
      <c r="H1336" s="1292">
        <f t="shared" si="67"/>
        <v>31</v>
      </c>
      <c r="I1336" s="1190" t="str">
        <f>'I. Stream &amp; Compound Data'!P292</f>
        <v/>
      </c>
      <c r="J1336" s="1295" t="str">
        <f>IF(I172="","",IF('I. Stream &amp; Compound Data'!CP292="",0,'I. Stream &amp; Compound Data'!CP292))</f>
        <v/>
      </c>
      <c r="K1336" s="1295" t="str">
        <f t="shared" si="69"/>
        <v/>
      </c>
      <c r="L1336" s="1317" t="str">
        <f>IF(K1336="","",IF('I. Stream &amp; Compound Data'!E62="H2O",0,(IF(J1336=0,1,J1336))*I1336))</f>
        <v/>
      </c>
      <c r="M1336" s="296"/>
      <c r="N1336" s="280"/>
      <c r="O1336" s="280"/>
      <c r="P1336" s="279"/>
      <c r="Q1336" s="297"/>
      <c r="R1336" s="298"/>
      <c r="S1336" s="298"/>
      <c r="T1336" s="299"/>
      <c r="U1336" s="279"/>
      <c r="V1336" s="279"/>
      <c r="W1336" s="279"/>
      <c r="X1336" s="279"/>
      <c r="Y1336" s="279"/>
      <c r="Z1336" s="279"/>
      <c r="AA1336" s="279"/>
      <c r="AB1336" s="279"/>
      <c r="AC1336" s="279"/>
      <c r="AD1336" s="279"/>
      <c r="AE1336" s="279"/>
      <c r="AF1336" s="279"/>
      <c r="AG1336" s="279"/>
      <c r="AH1336" s="279"/>
      <c r="AI1336" s="279"/>
      <c r="AJ1336" s="279"/>
      <c r="AK1336" s="279"/>
      <c r="AL1336" s="279"/>
      <c r="AM1336" s="279"/>
      <c r="AN1336" s="279"/>
      <c r="AO1336" s="279"/>
      <c r="AP1336" s="279"/>
      <c r="AQ1336" s="279"/>
      <c r="AR1336" s="279"/>
      <c r="AS1336" s="279"/>
      <c r="AT1336" s="279"/>
      <c r="AU1336" s="279"/>
      <c r="AV1336" s="279"/>
      <c r="AW1336" s="279"/>
      <c r="AX1336" s="279"/>
      <c r="AY1336" s="279"/>
      <c r="AZ1336" s="279"/>
      <c r="BA1336" s="279"/>
      <c r="BB1336" s="279"/>
      <c r="BC1336" s="279"/>
      <c r="BD1336" s="279"/>
      <c r="BE1336" s="279"/>
      <c r="BF1336" s="279"/>
      <c r="BG1336" s="279"/>
      <c r="BH1336" s="279"/>
      <c r="BI1336" s="279"/>
      <c r="BJ1336" s="279"/>
      <c r="BK1336" s="279"/>
      <c r="BL1336" s="279"/>
      <c r="BM1336" s="279"/>
      <c r="BN1336" s="279"/>
      <c r="BO1336" s="279"/>
      <c r="BP1336" s="279"/>
      <c r="BQ1336" s="279"/>
      <c r="BR1336" s="279"/>
      <c r="BS1336" s="279"/>
      <c r="BT1336" s="279"/>
      <c r="BU1336" s="279"/>
      <c r="BV1336" s="279"/>
      <c r="BW1336" s="279"/>
      <c r="BX1336" s="279"/>
      <c r="BY1336" s="279"/>
      <c r="BZ1336" s="279"/>
      <c r="CA1336" s="279"/>
      <c r="CB1336" s="279"/>
      <c r="CC1336" s="279"/>
      <c r="CD1336" s="279"/>
      <c r="CE1336" s="279"/>
      <c r="CF1336" s="279"/>
      <c r="CG1336" s="279"/>
      <c r="CH1336" s="279"/>
      <c r="CI1336" s="279"/>
      <c r="CJ1336" s="279"/>
      <c r="CK1336" s="279"/>
      <c r="CL1336" s="279"/>
      <c r="CM1336" s="279"/>
      <c r="CN1336" s="382"/>
    </row>
    <row r="1337" x14ac:dyDescent="0.3">
      <c r="B1337" s="361"/>
      <c r="C1337" s="279"/>
      <c r="D1337" s="280"/>
      <c r="E1337" s="287"/>
      <c r="F1337" s="287"/>
      <c r="G1337" s="287"/>
      <c r="H1337" s="1292">
        <f t="shared" si="67"/>
        <v>32</v>
      </c>
      <c r="I1337" s="1190" t="str">
        <f>'I. Stream &amp; Compound Data'!P293</f>
        <v/>
      </c>
      <c r="J1337" s="1295" t="str">
        <f>IF(I173="","",IF('I. Stream &amp; Compound Data'!CP293="",0,'I. Stream &amp; Compound Data'!CP293))</f>
        <v/>
      </c>
      <c r="K1337" s="1295" t="str">
        <f t="shared" si="69"/>
        <v/>
      </c>
      <c r="L1337" s="1317" t="str">
        <f>IF(K1337="","",IF('I. Stream &amp; Compound Data'!E63="H2O",0,(IF(J1337=0,1,J1337))*I1337))</f>
        <v/>
      </c>
      <c r="M1337" s="296"/>
      <c r="N1337" s="280"/>
      <c r="O1337" s="280"/>
      <c r="P1337" s="279"/>
      <c r="Q1337" s="297"/>
      <c r="R1337" s="298"/>
      <c r="S1337" s="298"/>
      <c r="T1337" s="299"/>
      <c r="U1337" s="279"/>
      <c r="V1337" s="279"/>
      <c r="W1337" s="279"/>
      <c r="X1337" s="279"/>
      <c r="Y1337" s="279"/>
      <c r="Z1337" s="279"/>
      <c r="AA1337" s="279"/>
      <c r="AB1337" s="279"/>
      <c r="AC1337" s="279"/>
      <c r="AD1337" s="279"/>
      <c r="AE1337" s="279"/>
      <c r="AF1337" s="279"/>
      <c r="AG1337" s="279"/>
      <c r="AH1337" s="279"/>
      <c r="AI1337" s="279"/>
      <c r="AJ1337" s="279"/>
      <c r="AK1337" s="279"/>
      <c r="AL1337" s="279"/>
      <c r="AM1337" s="279"/>
      <c r="AN1337" s="279"/>
      <c r="AO1337" s="279"/>
      <c r="AP1337" s="279"/>
      <c r="AQ1337" s="279"/>
      <c r="AR1337" s="279"/>
      <c r="AS1337" s="279"/>
      <c r="AT1337" s="279"/>
      <c r="AU1337" s="279"/>
      <c r="AV1337" s="279"/>
      <c r="AW1337" s="279"/>
      <c r="AX1337" s="279"/>
      <c r="AY1337" s="279"/>
      <c r="AZ1337" s="279"/>
      <c r="BA1337" s="279"/>
      <c r="BB1337" s="279"/>
      <c r="BC1337" s="279"/>
      <c r="BD1337" s="279"/>
      <c r="BE1337" s="279"/>
      <c r="BF1337" s="279"/>
      <c r="BG1337" s="279"/>
      <c r="BH1337" s="279"/>
      <c r="BI1337" s="279"/>
      <c r="BJ1337" s="279"/>
      <c r="BK1337" s="279"/>
      <c r="BL1337" s="279"/>
      <c r="BM1337" s="279"/>
      <c r="BN1337" s="279"/>
      <c r="BO1337" s="279"/>
      <c r="BP1337" s="279"/>
      <c r="BQ1337" s="279"/>
      <c r="BR1337" s="279"/>
      <c r="BS1337" s="279"/>
      <c r="BT1337" s="279"/>
      <c r="BU1337" s="279"/>
      <c r="BV1337" s="279"/>
      <c r="BW1337" s="279"/>
      <c r="BX1337" s="279"/>
      <c r="BY1337" s="279"/>
      <c r="BZ1337" s="279"/>
      <c r="CA1337" s="279"/>
      <c r="CB1337" s="279"/>
      <c r="CC1337" s="279"/>
      <c r="CD1337" s="279"/>
      <c r="CE1337" s="279"/>
      <c r="CF1337" s="279"/>
      <c r="CG1337" s="279"/>
      <c r="CH1337" s="279"/>
      <c r="CI1337" s="279"/>
      <c r="CJ1337" s="279"/>
      <c r="CK1337" s="279"/>
      <c r="CL1337" s="279"/>
      <c r="CM1337" s="279"/>
      <c r="CN1337" s="382"/>
    </row>
    <row r="1338" x14ac:dyDescent="0.3">
      <c r="B1338" s="361"/>
      <c r="C1338" s="279"/>
      <c r="D1338" s="280"/>
      <c r="E1338" s="287"/>
      <c r="F1338" s="287"/>
      <c r="G1338" s="287"/>
      <c r="H1338" s="1292">
        <f t="shared" si="67"/>
        <v>33</v>
      </c>
      <c r="I1338" s="1190" t="str">
        <f>'I. Stream &amp; Compound Data'!P294</f>
        <v/>
      </c>
      <c r="J1338" s="1295" t="str">
        <f>IF(I174="","",IF('I. Stream &amp; Compound Data'!CP294="",0,'I. Stream &amp; Compound Data'!CP294))</f>
        <v/>
      </c>
      <c r="K1338" s="1295" t="str">
        <f t="shared" si="69"/>
        <v/>
      </c>
      <c r="L1338" s="1317" t="str">
        <f>IF(K1338="","",IF('I. Stream &amp; Compound Data'!E64="H2O",0,(IF(J1338=0,1,J1338))*I1338))</f>
        <v/>
      </c>
      <c r="M1338" s="296"/>
      <c r="N1338" s="280"/>
      <c r="O1338" s="280"/>
      <c r="P1338" s="279"/>
      <c r="Q1338" s="297"/>
      <c r="R1338" s="298"/>
      <c r="S1338" s="298"/>
      <c r="T1338" s="299"/>
      <c r="U1338" s="279"/>
      <c r="V1338" s="279"/>
      <c r="W1338" s="279"/>
      <c r="X1338" s="279"/>
      <c r="Y1338" s="279"/>
      <c r="Z1338" s="279"/>
      <c r="AA1338" s="279"/>
      <c r="AB1338" s="279"/>
      <c r="AC1338" s="279"/>
      <c r="AD1338" s="279"/>
      <c r="AE1338" s="279"/>
      <c r="AF1338" s="279"/>
      <c r="AG1338" s="279"/>
      <c r="AH1338" s="279"/>
      <c r="AI1338" s="279"/>
      <c r="AJ1338" s="279"/>
      <c r="AK1338" s="279"/>
      <c r="AL1338" s="279"/>
      <c r="AM1338" s="279"/>
      <c r="AN1338" s="279"/>
      <c r="AO1338" s="279"/>
      <c r="AP1338" s="279"/>
      <c r="AQ1338" s="279"/>
      <c r="AR1338" s="279"/>
      <c r="AS1338" s="279"/>
      <c r="AT1338" s="279"/>
      <c r="AU1338" s="279"/>
      <c r="AV1338" s="279"/>
      <c r="AW1338" s="279"/>
      <c r="AX1338" s="279"/>
      <c r="AY1338" s="279"/>
      <c r="AZ1338" s="279"/>
      <c r="BA1338" s="279"/>
      <c r="BB1338" s="279"/>
      <c r="BC1338" s="279"/>
      <c r="BD1338" s="279"/>
      <c r="BE1338" s="279"/>
      <c r="BF1338" s="279"/>
      <c r="BG1338" s="279"/>
      <c r="BH1338" s="279"/>
      <c r="BI1338" s="279"/>
      <c r="BJ1338" s="279"/>
      <c r="BK1338" s="279"/>
      <c r="BL1338" s="279"/>
      <c r="BM1338" s="279"/>
      <c r="BN1338" s="279"/>
      <c r="BO1338" s="279"/>
      <c r="BP1338" s="279"/>
      <c r="BQ1338" s="279"/>
      <c r="BR1338" s="279"/>
      <c r="BS1338" s="279"/>
      <c r="BT1338" s="279"/>
      <c r="BU1338" s="279"/>
      <c r="BV1338" s="279"/>
      <c r="BW1338" s="279"/>
      <c r="BX1338" s="279"/>
      <c r="BY1338" s="279"/>
      <c r="BZ1338" s="279"/>
      <c r="CA1338" s="279"/>
      <c r="CB1338" s="279"/>
      <c r="CC1338" s="279"/>
      <c r="CD1338" s="279"/>
      <c r="CE1338" s="279"/>
      <c r="CF1338" s="279"/>
      <c r="CG1338" s="279"/>
      <c r="CH1338" s="279"/>
      <c r="CI1338" s="279"/>
      <c r="CJ1338" s="279"/>
      <c r="CK1338" s="279"/>
      <c r="CL1338" s="279"/>
      <c r="CM1338" s="279"/>
      <c r="CN1338" s="382"/>
    </row>
    <row r="1339" x14ac:dyDescent="0.3">
      <c r="B1339" s="361"/>
      <c r="C1339" s="279"/>
      <c r="D1339" s="280"/>
      <c r="E1339" s="287"/>
      <c r="F1339" s="287"/>
      <c r="G1339" s="287"/>
      <c r="H1339" s="1292">
        <f t="shared" si="67"/>
        <v>34</v>
      </c>
      <c r="I1339" s="1190" t="str">
        <f>'I. Stream &amp; Compound Data'!P295</f>
        <v/>
      </c>
      <c r="J1339" s="1295" t="str">
        <f>IF(I175="","",IF('I. Stream &amp; Compound Data'!CP295="",0,'I. Stream &amp; Compound Data'!CP295))</f>
        <v/>
      </c>
      <c r="K1339" s="1295" t="str">
        <f t="shared" si="69"/>
        <v/>
      </c>
      <c r="L1339" s="1317" t="str">
        <f>IF(K1339="","",IF('I. Stream &amp; Compound Data'!E65="H2O",0,(IF(J1339=0,1,J1339))*I1339))</f>
        <v/>
      </c>
      <c r="M1339" s="296"/>
      <c r="N1339" s="280"/>
      <c r="O1339" s="280"/>
      <c r="P1339" s="279"/>
      <c r="Q1339" s="297"/>
      <c r="R1339" s="298"/>
      <c r="S1339" s="298"/>
      <c r="T1339" s="299"/>
      <c r="U1339" s="279"/>
      <c r="V1339" s="279"/>
      <c r="W1339" s="279"/>
      <c r="X1339" s="279"/>
      <c r="Y1339" s="279"/>
      <c r="Z1339" s="279"/>
      <c r="AA1339" s="279"/>
      <c r="AB1339" s="279"/>
      <c r="AC1339" s="279"/>
      <c r="AD1339" s="279"/>
      <c r="AE1339" s="279"/>
      <c r="AF1339" s="279"/>
      <c r="AG1339" s="279"/>
      <c r="AH1339" s="279"/>
      <c r="AI1339" s="279"/>
      <c r="AJ1339" s="279"/>
      <c r="AK1339" s="279"/>
      <c r="AL1339" s="279"/>
      <c r="AM1339" s="279"/>
      <c r="AN1339" s="279"/>
      <c r="AO1339" s="279"/>
      <c r="AP1339" s="279"/>
      <c r="AQ1339" s="279"/>
      <c r="AR1339" s="279"/>
      <c r="AS1339" s="279"/>
      <c r="AT1339" s="279"/>
      <c r="AU1339" s="279"/>
      <c r="AV1339" s="279"/>
      <c r="AW1339" s="279"/>
      <c r="AX1339" s="279"/>
      <c r="AY1339" s="279"/>
      <c r="AZ1339" s="279"/>
      <c r="BA1339" s="279"/>
      <c r="BB1339" s="279"/>
      <c r="BC1339" s="279"/>
      <c r="BD1339" s="279"/>
      <c r="BE1339" s="279"/>
      <c r="BF1339" s="279"/>
      <c r="BG1339" s="279"/>
      <c r="BH1339" s="279"/>
      <c r="BI1339" s="279"/>
      <c r="BJ1339" s="279"/>
      <c r="BK1339" s="279"/>
      <c r="BL1339" s="279"/>
      <c r="BM1339" s="279"/>
      <c r="BN1339" s="279"/>
      <c r="BO1339" s="279"/>
      <c r="BP1339" s="279"/>
      <c r="BQ1339" s="279"/>
      <c r="BR1339" s="279"/>
      <c r="BS1339" s="279"/>
      <c r="BT1339" s="279"/>
      <c r="BU1339" s="279"/>
      <c r="BV1339" s="279"/>
      <c r="BW1339" s="279"/>
      <c r="BX1339" s="279"/>
      <c r="BY1339" s="279"/>
      <c r="BZ1339" s="279"/>
      <c r="CA1339" s="279"/>
      <c r="CB1339" s="279"/>
      <c r="CC1339" s="279"/>
      <c r="CD1339" s="279"/>
      <c r="CE1339" s="279"/>
      <c r="CF1339" s="279"/>
      <c r="CG1339" s="279"/>
      <c r="CH1339" s="279"/>
      <c r="CI1339" s="279"/>
      <c r="CJ1339" s="279"/>
      <c r="CK1339" s="279"/>
      <c r="CL1339" s="279"/>
      <c r="CM1339" s="279"/>
      <c r="CN1339" s="382"/>
    </row>
    <row r="1340" x14ac:dyDescent="0.3">
      <c r="B1340" s="361"/>
      <c r="C1340" s="279"/>
      <c r="D1340" s="280"/>
      <c r="E1340" s="287"/>
      <c r="F1340" s="287"/>
      <c r="G1340" s="287"/>
      <c r="H1340" s="1292">
        <f t="shared" si="67"/>
        <v>35</v>
      </c>
      <c r="I1340" s="1190" t="str">
        <f>'I. Stream &amp; Compound Data'!P296</f>
        <v/>
      </c>
      <c r="J1340" s="1295" t="str">
        <f>IF(I176="","",IF('I. Stream &amp; Compound Data'!CP296="",0,'I. Stream &amp; Compound Data'!CP296))</f>
        <v/>
      </c>
      <c r="K1340" s="1295" t="str">
        <f t="shared" si="69"/>
        <v/>
      </c>
      <c r="L1340" s="1317" t="str">
        <f>IF(K1340="","",IF('I. Stream &amp; Compound Data'!E66="H2O",0,(IF(J1340=0,1,J1340))*I1340))</f>
        <v/>
      </c>
      <c r="M1340" s="296"/>
      <c r="N1340" s="280"/>
      <c r="O1340" s="280"/>
      <c r="P1340" s="279"/>
      <c r="Q1340" s="297"/>
      <c r="R1340" s="298"/>
      <c r="S1340" s="298"/>
      <c r="T1340" s="299"/>
      <c r="U1340" s="279"/>
      <c r="V1340" s="279"/>
      <c r="W1340" s="279"/>
      <c r="X1340" s="279"/>
      <c r="Y1340" s="279"/>
      <c r="Z1340" s="279"/>
      <c r="AA1340" s="279"/>
      <c r="AB1340" s="279"/>
      <c r="AC1340" s="279"/>
      <c r="AD1340" s="279"/>
      <c r="AE1340" s="279"/>
      <c r="AF1340" s="279"/>
      <c r="AG1340" s="279"/>
      <c r="AH1340" s="279"/>
      <c r="AI1340" s="279"/>
      <c r="AJ1340" s="279"/>
      <c r="AK1340" s="279"/>
      <c r="AL1340" s="279"/>
      <c r="AM1340" s="279"/>
      <c r="AN1340" s="279"/>
      <c r="AO1340" s="279"/>
      <c r="AP1340" s="279"/>
      <c r="AQ1340" s="279"/>
      <c r="AR1340" s="279"/>
      <c r="AS1340" s="279"/>
      <c r="AT1340" s="279"/>
      <c r="AU1340" s="279"/>
      <c r="AV1340" s="279"/>
      <c r="AW1340" s="279"/>
      <c r="AX1340" s="279"/>
      <c r="AY1340" s="279"/>
      <c r="AZ1340" s="279"/>
      <c r="BA1340" s="279"/>
      <c r="BB1340" s="279"/>
      <c r="BC1340" s="279"/>
      <c r="BD1340" s="279"/>
      <c r="BE1340" s="279"/>
      <c r="BF1340" s="279"/>
      <c r="BG1340" s="279"/>
      <c r="BH1340" s="279"/>
      <c r="BI1340" s="279"/>
      <c r="BJ1340" s="279"/>
      <c r="BK1340" s="279"/>
      <c r="BL1340" s="279"/>
      <c r="BM1340" s="279"/>
      <c r="BN1340" s="279"/>
      <c r="BO1340" s="279"/>
      <c r="BP1340" s="279"/>
      <c r="BQ1340" s="279"/>
      <c r="BR1340" s="279"/>
      <c r="BS1340" s="279"/>
      <c r="BT1340" s="279"/>
      <c r="BU1340" s="279"/>
      <c r="BV1340" s="279"/>
      <c r="BW1340" s="279"/>
      <c r="BX1340" s="279"/>
      <c r="BY1340" s="279"/>
      <c r="BZ1340" s="279"/>
      <c r="CA1340" s="279"/>
      <c r="CB1340" s="279"/>
      <c r="CC1340" s="279"/>
      <c r="CD1340" s="279"/>
      <c r="CE1340" s="279"/>
      <c r="CF1340" s="279"/>
      <c r="CG1340" s="279"/>
      <c r="CH1340" s="279"/>
      <c r="CI1340" s="279"/>
      <c r="CJ1340" s="279"/>
      <c r="CK1340" s="279"/>
      <c r="CL1340" s="279"/>
      <c r="CM1340" s="279"/>
      <c r="CN1340" s="382"/>
    </row>
    <row r="1341" x14ac:dyDescent="0.3">
      <c r="B1341" s="361"/>
      <c r="C1341" s="279"/>
      <c r="D1341" s="280"/>
      <c r="E1341" s="287"/>
      <c r="F1341" s="287"/>
      <c r="G1341" s="287"/>
      <c r="H1341" s="1292">
        <f t="shared" si="67"/>
        <v>36</v>
      </c>
      <c r="I1341" s="1190" t="str">
        <f>'I. Stream &amp; Compound Data'!P297</f>
        <v/>
      </c>
      <c r="J1341" s="1295" t="str">
        <f>IF(I177="","",IF('I. Stream &amp; Compound Data'!CP297="",0,'I. Stream &amp; Compound Data'!CP297))</f>
        <v/>
      </c>
      <c r="K1341" s="1295" t="str">
        <f t="shared" si="69"/>
        <v/>
      </c>
      <c r="L1341" s="1317" t="str">
        <f>IF(K1341="","",IF('I. Stream &amp; Compound Data'!E67="H2O",0,(IF(J1341=0,1,J1341))*I1341))</f>
        <v/>
      </c>
      <c r="M1341" s="296"/>
      <c r="N1341" s="280"/>
      <c r="O1341" s="280"/>
      <c r="P1341" s="279"/>
      <c r="Q1341" s="297"/>
      <c r="R1341" s="298"/>
      <c r="S1341" s="298"/>
      <c r="T1341" s="299"/>
      <c r="U1341" s="279"/>
      <c r="V1341" s="279"/>
      <c r="W1341" s="279"/>
      <c r="X1341" s="279"/>
      <c r="Y1341" s="279"/>
      <c r="Z1341" s="279"/>
      <c r="AA1341" s="279"/>
      <c r="AB1341" s="279"/>
      <c r="AC1341" s="279"/>
      <c r="AD1341" s="279"/>
      <c r="AE1341" s="279"/>
      <c r="AF1341" s="279"/>
      <c r="AG1341" s="279"/>
      <c r="AH1341" s="279"/>
      <c r="AI1341" s="279"/>
      <c r="AJ1341" s="279"/>
      <c r="AK1341" s="279"/>
      <c r="AL1341" s="279"/>
      <c r="AM1341" s="279"/>
      <c r="AN1341" s="279"/>
      <c r="AO1341" s="279"/>
      <c r="AP1341" s="279"/>
      <c r="AQ1341" s="279"/>
      <c r="AR1341" s="279"/>
      <c r="AS1341" s="279"/>
      <c r="AT1341" s="279"/>
      <c r="AU1341" s="279"/>
      <c r="AV1341" s="279"/>
      <c r="AW1341" s="279"/>
      <c r="AX1341" s="279"/>
      <c r="AY1341" s="279"/>
      <c r="AZ1341" s="279"/>
      <c r="BA1341" s="279"/>
      <c r="BB1341" s="279"/>
      <c r="BC1341" s="279"/>
      <c r="BD1341" s="279"/>
      <c r="BE1341" s="279"/>
      <c r="BF1341" s="279"/>
      <c r="BG1341" s="279"/>
      <c r="BH1341" s="279"/>
      <c r="BI1341" s="279"/>
      <c r="BJ1341" s="279"/>
      <c r="BK1341" s="279"/>
      <c r="BL1341" s="279"/>
      <c r="BM1341" s="279"/>
      <c r="BN1341" s="279"/>
      <c r="BO1341" s="279"/>
      <c r="BP1341" s="279"/>
      <c r="BQ1341" s="279"/>
      <c r="BR1341" s="279"/>
      <c r="BS1341" s="279"/>
      <c r="BT1341" s="279"/>
      <c r="BU1341" s="279"/>
      <c r="BV1341" s="279"/>
      <c r="BW1341" s="279"/>
      <c r="BX1341" s="279"/>
      <c r="BY1341" s="279"/>
      <c r="BZ1341" s="279"/>
      <c r="CA1341" s="279"/>
      <c r="CB1341" s="279"/>
      <c r="CC1341" s="279"/>
      <c r="CD1341" s="279"/>
      <c r="CE1341" s="279"/>
      <c r="CF1341" s="279"/>
      <c r="CG1341" s="279"/>
      <c r="CH1341" s="279"/>
      <c r="CI1341" s="279"/>
      <c r="CJ1341" s="279"/>
      <c r="CK1341" s="279"/>
      <c r="CL1341" s="279"/>
      <c r="CM1341" s="279"/>
      <c r="CN1341" s="382"/>
    </row>
    <row r="1342" x14ac:dyDescent="0.3">
      <c r="B1342" s="361"/>
      <c r="C1342" s="279"/>
      <c r="D1342" s="280"/>
      <c r="E1342" s="287"/>
      <c r="F1342" s="287"/>
      <c r="G1342" s="287"/>
      <c r="H1342" s="1292">
        <f t="shared" si="67"/>
        <v>37</v>
      </c>
      <c r="I1342" s="1190" t="str">
        <f>'I. Stream &amp; Compound Data'!P298</f>
        <v/>
      </c>
      <c r="J1342" s="1295" t="str">
        <f>IF(I178="","",IF('I. Stream &amp; Compound Data'!CP298="",0,'I. Stream &amp; Compound Data'!CP298))</f>
        <v/>
      </c>
      <c r="K1342" s="1295" t="str">
        <f t="shared" si="69"/>
        <v/>
      </c>
      <c r="L1342" s="1317" t="str">
        <f>IF(K1342="","",IF('I. Stream &amp; Compound Data'!E68="H2O",0,(IF(J1342=0,1,J1342))*I1342))</f>
        <v/>
      </c>
      <c r="M1342" s="296"/>
      <c r="N1342" s="280"/>
      <c r="O1342" s="280"/>
      <c r="P1342" s="279"/>
      <c r="Q1342" s="297"/>
      <c r="R1342" s="298"/>
      <c r="S1342" s="298"/>
      <c r="T1342" s="299"/>
      <c r="U1342" s="279"/>
      <c r="V1342" s="279"/>
      <c r="W1342" s="279"/>
      <c r="X1342" s="279"/>
      <c r="Y1342" s="279"/>
      <c r="Z1342" s="279"/>
      <c r="AA1342" s="279"/>
      <c r="AB1342" s="279"/>
      <c r="AC1342" s="279"/>
      <c r="AD1342" s="279"/>
      <c r="AE1342" s="279"/>
      <c r="AF1342" s="279"/>
      <c r="AG1342" s="279"/>
      <c r="AH1342" s="279"/>
      <c r="AI1342" s="279"/>
      <c r="AJ1342" s="279"/>
      <c r="AK1342" s="279"/>
      <c r="AL1342" s="279"/>
      <c r="AM1342" s="279"/>
      <c r="AN1342" s="279"/>
      <c r="AO1342" s="279"/>
      <c r="AP1342" s="279"/>
      <c r="AQ1342" s="279"/>
      <c r="AR1342" s="279"/>
      <c r="AS1342" s="279"/>
      <c r="AT1342" s="279"/>
      <c r="AU1342" s="279"/>
      <c r="AV1342" s="279"/>
      <c r="AW1342" s="279"/>
      <c r="AX1342" s="279"/>
      <c r="AY1342" s="279"/>
      <c r="AZ1342" s="279"/>
      <c r="BA1342" s="279"/>
      <c r="BB1342" s="279"/>
      <c r="BC1342" s="279"/>
      <c r="BD1342" s="279"/>
      <c r="BE1342" s="279"/>
      <c r="BF1342" s="279"/>
      <c r="BG1342" s="279"/>
      <c r="BH1342" s="279"/>
      <c r="BI1342" s="279"/>
      <c r="BJ1342" s="279"/>
      <c r="BK1342" s="279"/>
      <c r="BL1342" s="279"/>
      <c r="BM1342" s="279"/>
      <c r="BN1342" s="279"/>
      <c r="BO1342" s="279"/>
      <c r="BP1342" s="279"/>
      <c r="BQ1342" s="279"/>
      <c r="BR1342" s="279"/>
      <c r="BS1342" s="279"/>
      <c r="BT1342" s="279"/>
      <c r="BU1342" s="279"/>
      <c r="BV1342" s="279"/>
      <c r="BW1342" s="279"/>
      <c r="BX1342" s="279"/>
      <c r="BY1342" s="279"/>
      <c r="BZ1342" s="279"/>
      <c r="CA1342" s="279"/>
      <c r="CB1342" s="279"/>
      <c r="CC1342" s="279"/>
      <c r="CD1342" s="279"/>
      <c r="CE1342" s="279"/>
      <c r="CF1342" s="279"/>
      <c r="CG1342" s="279"/>
      <c r="CH1342" s="279"/>
      <c r="CI1342" s="279"/>
      <c r="CJ1342" s="279"/>
      <c r="CK1342" s="279"/>
      <c r="CL1342" s="279"/>
      <c r="CM1342" s="279"/>
      <c r="CN1342" s="382"/>
    </row>
    <row r="1343" x14ac:dyDescent="0.3">
      <c r="B1343" s="361"/>
      <c r="C1343" s="279"/>
      <c r="D1343" s="280"/>
      <c r="E1343" s="287"/>
      <c r="F1343" s="287"/>
      <c r="G1343" s="287"/>
      <c r="H1343" s="1292">
        <f t="shared" si="67"/>
        <v>38</v>
      </c>
      <c r="I1343" s="1190" t="str">
        <f>'I. Stream &amp; Compound Data'!P299</f>
        <v/>
      </c>
      <c r="J1343" s="1295" t="str">
        <f>IF(I179="","",IF('I. Stream &amp; Compound Data'!CP299="",0,'I. Stream &amp; Compound Data'!CP299))</f>
        <v/>
      </c>
      <c r="K1343" s="1295" t="str">
        <f t="shared" si="69"/>
        <v/>
      </c>
      <c r="L1343" s="1317" t="str">
        <f>IF(K1343="","",IF('I. Stream &amp; Compound Data'!E69="H2O",0,(IF(J1343=0,1,J1343))*I1343))</f>
        <v/>
      </c>
      <c r="M1343" s="296"/>
      <c r="N1343" s="280"/>
      <c r="O1343" s="280"/>
      <c r="P1343" s="279"/>
      <c r="Q1343" s="297"/>
      <c r="R1343" s="298"/>
      <c r="S1343" s="298"/>
      <c r="T1343" s="299"/>
      <c r="U1343" s="279"/>
      <c r="V1343" s="279"/>
      <c r="W1343" s="279"/>
      <c r="X1343" s="279"/>
      <c r="Y1343" s="279"/>
      <c r="Z1343" s="279"/>
      <c r="AA1343" s="279"/>
      <c r="AB1343" s="279"/>
      <c r="AC1343" s="279"/>
      <c r="AD1343" s="279"/>
      <c r="AE1343" s="279"/>
      <c r="AF1343" s="279"/>
      <c r="AG1343" s="279"/>
      <c r="AH1343" s="279"/>
      <c r="AI1343" s="279"/>
      <c r="AJ1343" s="279"/>
      <c r="AK1343" s="279"/>
      <c r="AL1343" s="279"/>
      <c r="AM1343" s="279"/>
      <c r="AN1343" s="279"/>
      <c r="AO1343" s="279"/>
      <c r="AP1343" s="279"/>
      <c r="AQ1343" s="279"/>
      <c r="AR1343" s="279"/>
      <c r="AS1343" s="279"/>
      <c r="AT1343" s="279"/>
      <c r="AU1343" s="279"/>
      <c r="AV1343" s="279"/>
      <c r="AW1343" s="279"/>
      <c r="AX1343" s="279"/>
      <c r="AY1343" s="279"/>
      <c r="AZ1343" s="279"/>
      <c r="BA1343" s="279"/>
      <c r="BB1343" s="279"/>
      <c r="BC1343" s="279"/>
      <c r="BD1343" s="279"/>
      <c r="BE1343" s="279"/>
      <c r="BF1343" s="279"/>
      <c r="BG1343" s="279"/>
      <c r="BH1343" s="279"/>
      <c r="BI1343" s="279"/>
      <c r="BJ1343" s="279"/>
      <c r="BK1343" s="279"/>
      <c r="BL1343" s="279"/>
      <c r="BM1343" s="279"/>
      <c r="BN1343" s="279"/>
      <c r="BO1343" s="279"/>
      <c r="BP1343" s="279"/>
      <c r="BQ1343" s="279"/>
      <c r="BR1343" s="279"/>
      <c r="BS1343" s="279"/>
      <c r="BT1343" s="279"/>
      <c r="BU1343" s="279"/>
      <c r="BV1343" s="279"/>
      <c r="BW1343" s="279"/>
      <c r="BX1343" s="279"/>
      <c r="BY1343" s="279"/>
      <c r="BZ1343" s="279"/>
      <c r="CA1343" s="279"/>
      <c r="CB1343" s="279"/>
      <c r="CC1343" s="279"/>
      <c r="CD1343" s="279"/>
      <c r="CE1343" s="279"/>
      <c r="CF1343" s="279"/>
      <c r="CG1343" s="279"/>
      <c r="CH1343" s="279"/>
      <c r="CI1343" s="279"/>
      <c r="CJ1343" s="279"/>
      <c r="CK1343" s="279"/>
      <c r="CL1343" s="279"/>
      <c r="CM1343" s="279"/>
      <c r="CN1343" s="382"/>
    </row>
    <row r="1344" x14ac:dyDescent="0.3">
      <c r="B1344" s="361"/>
      <c r="C1344" s="279"/>
      <c r="D1344" s="280"/>
      <c r="E1344" s="287"/>
      <c r="F1344" s="287"/>
      <c r="G1344" s="287"/>
      <c r="H1344" s="1292">
        <f t="shared" si="67"/>
        <v>39</v>
      </c>
      <c r="I1344" s="1190" t="str">
        <f>'I. Stream &amp; Compound Data'!P300</f>
        <v/>
      </c>
      <c r="J1344" s="1295" t="str">
        <f>IF(I180="","",IF('I. Stream &amp; Compound Data'!CP300="",0,'I. Stream &amp; Compound Data'!CP300))</f>
        <v/>
      </c>
      <c r="K1344" s="1295" t="str">
        <f t="shared" si="69"/>
        <v/>
      </c>
      <c r="L1344" s="1317" t="str">
        <f>IF(K1344="","",IF('I. Stream &amp; Compound Data'!E70="H2O",0,(IF(J1344=0,1,J1344))*I1344))</f>
        <v/>
      </c>
      <c r="M1344" s="296"/>
      <c r="N1344" s="280"/>
      <c r="O1344" s="280"/>
      <c r="P1344" s="279"/>
      <c r="Q1344" s="297"/>
      <c r="R1344" s="298"/>
      <c r="S1344" s="298"/>
      <c r="T1344" s="299"/>
      <c r="U1344" s="279"/>
      <c r="V1344" s="279"/>
      <c r="W1344" s="279"/>
      <c r="X1344" s="279"/>
      <c r="Y1344" s="279"/>
      <c r="Z1344" s="279"/>
      <c r="AA1344" s="279"/>
      <c r="AB1344" s="279"/>
      <c r="AC1344" s="279"/>
      <c r="AD1344" s="279"/>
      <c r="AE1344" s="279"/>
      <c r="AF1344" s="279"/>
      <c r="AG1344" s="279"/>
      <c r="AH1344" s="279"/>
      <c r="AI1344" s="279"/>
      <c r="AJ1344" s="279"/>
      <c r="AK1344" s="279"/>
      <c r="AL1344" s="279"/>
      <c r="AM1344" s="279"/>
      <c r="AN1344" s="279"/>
      <c r="AO1344" s="279"/>
      <c r="AP1344" s="279"/>
      <c r="AQ1344" s="279"/>
      <c r="AR1344" s="279"/>
      <c r="AS1344" s="279"/>
      <c r="AT1344" s="279"/>
      <c r="AU1344" s="279"/>
      <c r="AV1344" s="279"/>
      <c r="AW1344" s="279"/>
      <c r="AX1344" s="279"/>
      <c r="AY1344" s="279"/>
      <c r="AZ1344" s="279"/>
      <c r="BA1344" s="279"/>
      <c r="BB1344" s="279"/>
      <c r="BC1344" s="279"/>
      <c r="BD1344" s="279"/>
      <c r="BE1344" s="279"/>
      <c r="BF1344" s="279"/>
      <c r="BG1344" s="279"/>
      <c r="BH1344" s="279"/>
      <c r="BI1344" s="279"/>
      <c r="BJ1344" s="279"/>
      <c r="BK1344" s="279"/>
      <c r="BL1344" s="279"/>
      <c r="BM1344" s="279"/>
      <c r="BN1344" s="279"/>
      <c r="BO1344" s="279"/>
      <c r="BP1344" s="279"/>
      <c r="BQ1344" s="279"/>
      <c r="BR1344" s="279"/>
      <c r="BS1344" s="279"/>
      <c r="BT1344" s="279"/>
      <c r="BU1344" s="279"/>
      <c r="BV1344" s="279"/>
      <c r="BW1344" s="279"/>
      <c r="BX1344" s="279"/>
      <c r="BY1344" s="279"/>
      <c r="BZ1344" s="279"/>
      <c r="CA1344" s="279"/>
      <c r="CB1344" s="279"/>
      <c r="CC1344" s="279"/>
      <c r="CD1344" s="279"/>
      <c r="CE1344" s="279"/>
      <c r="CF1344" s="279"/>
      <c r="CG1344" s="279"/>
      <c r="CH1344" s="279"/>
      <c r="CI1344" s="279"/>
      <c r="CJ1344" s="279"/>
      <c r="CK1344" s="279"/>
      <c r="CL1344" s="279"/>
      <c r="CM1344" s="279"/>
      <c r="CN1344" s="382"/>
    </row>
    <row r="1345" x14ac:dyDescent="0.3">
      <c r="B1345" s="361"/>
      <c r="C1345" s="279"/>
      <c r="D1345" s="280"/>
      <c r="E1345" s="287"/>
      <c r="F1345" s="287"/>
      <c r="G1345" s="287"/>
      <c r="H1345" s="1292">
        <f t="shared" si="67"/>
        <v>40</v>
      </c>
      <c r="I1345" s="1190" t="str">
        <f>'I. Stream &amp; Compound Data'!P301</f>
        <v/>
      </c>
      <c r="J1345" s="1295" t="str">
        <f>IF(I181="","",IF('I. Stream &amp; Compound Data'!CP301="",0,'I. Stream &amp; Compound Data'!CP301))</f>
        <v/>
      </c>
      <c r="K1345" s="1295" t="str">
        <f t="shared" si="69"/>
        <v/>
      </c>
      <c r="L1345" s="1317" t="str">
        <f>IF(K1345="","",IF('I. Stream &amp; Compound Data'!E71="H2O",0,(IF(J1345=0,1,J1345))*I1345))</f>
        <v/>
      </c>
      <c r="M1345" s="296"/>
      <c r="N1345" s="280"/>
      <c r="O1345" s="280"/>
      <c r="P1345" s="279"/>
      <c r="Q1345" s="297"/>
      <c r="R1345" s="298"/>
      <c r="S1345" s="298"/>
      <c r="T1345" s="299"/>
      <c r="U1345" s="279"/>
      <c r="V1345" s="279"/>
      <c r="W1345" s="279"/>
      <c r="X1345" s="279"/>
      <c r="Y1345" s="279"/>
      <c r="Z1345" s="279"/>
      <c r="AA1345" s="279"/>
      <c r="AB1345" s="279"/>
      <c r="AC1345" s="279"/>
      <c r="AD1345" s="279"/>
      <c r="AE1345" s="279"/>
      <c r="AF1345" s="279"/>
      <c r="AG1345" s="279"/>
      <c r="AH1345" s="279"/>
      <c r="AI1345" s="279"/>
      <c r="AJ1345" s="279"/>
      <c r="AK1345" s="279"/>
      <c r="AL1345" s="279"/>
      <c r="AM1345" s="279"/>
      <c r="AN1345" s="279"/>
      <c r="AO1345" s="279"/>
      <c r="AP1345" s="279"/>
      <c r="AQ1345" s="279"/>
      <c r="AR1345" s="279"/>
      <c r="AS1345" s="279"/>
      <c r="AT1345" s="279"/>
      <c r="AU1345" s="279"/>
      <c r="AV1345" s="279"/>
      <c r="AW1345" s="279"/>
      <c r="AX1345" s="279"/>
      <c r="AY1345" s="279"/>
      <c r="AZ1345" s="279"/>
      <c r="BA1345" s="279"/>
      <c r="BB1345" s="279"/>
      <c r="BC1345" s="279"/>
      <c r="BD1345" s="279"/>
      <c r="BE1345" s="279"/>
      <c r="BF1345" s="279"/>
      <c r="BG1345" s="279"/>
      <c r="BH1345" s="279"/>
      <c r="BI1345" s="279"/>
      <c r="BJ1345" s="279"/>
      <c r="BK1345" s="279"/>
      <c r="BL1345" s="279"/>
      <c r="BM1345" s="279"/>
      <c r="BN1345" s="279"/>
      <c r="BO1345" s="279"/>
      <c r="BP1345" s="279"/>
      <c r="BQ1345" s="279"/>
      <c r="BR1345" s="279"/>
      <c r="BS1345" s="279"/>
      <c r="BT1345" s="279"/>
      <c r="BU1345" s="279"/>
      <c r="BV1345" s="279"/>
      <c r="BW1345" s="279"/>
      <c r="BX1345" s="279"/>
      <c r="BY1345" s="279"/>
      <c r="BZ1345" s="279"/>
      <c r="CA1345" s="279"/>
      <c r="CB1345" s="279"/>
      <c r="CC1345" s="279"/>
      <c r="CD1345" s="279"/>
      <c r="CE1345" s="279"/>
      <c r="CF1345" s="279"/>
      <c r="CG1345" s="279"/>
      <c r="CH1345" s="279"/>
      <c r="CI1345" s="279"/>
      <c r="CJ1345" s="279"/>
      <c r="CK1345" s="279"/>
      <c r="CL1345" s="279"/>
      <c r="CM1345" s="279"/>
      <c r="CN1345" s="382"/>
    </row>
    <row r="1346" x14ac:dyDescent="0.3">
      <c r="B1346" s="361"/>
      <c r="C1346" s="279"/>
      <c r="D1346" s="280"/>
      <c r="E1346" s="287"/>
      <c r="F1346" s="287"/>
      <c r="G1346" s="287"/>
      <c r="H1346" s="1292">
        <f t="shared" si="67"/>
        <v>41</v>
      </c>
      <c r="I1346" s="1190" t="str">
        <f>'I. Stream &amp; Compound Data'!P302</f>
        <v/>
      </c>
      <c r="J1346" s="1295" t="str">
        <f>IF(I182="","",IF('I. Stream &amp; Compound Data'!CP302="",0,'I. Stream &amp; Compound Data'!CP302))</f>
        <v/>
      </c>
      <c r="K1346" s="1295" t="str">
        <f t="shared" si="69"/>
        <v/>
      </c>
      <c r="L1346" s="1317" t="str">
        <f>IF(K1346="","",IF('I. Stream &amp; Compound Data'!E72="H2O",0,(IF(J1346=0,1,J1346))*I1346))</f>
        <v/>
      </c>
      <c r="M1346" s="296"/>
      <c r="N1346" s="280"/>
      <c r="O1346" s="280"/>
      <c r="P1346" s="279"/>
      <c r="Q1346" s="297"/>
      <c r="R1346" s="298"/>
      <c r="S1346" s="298"/>
      <c r="T1346" s="299"/>
      <c r="U1346" s="279"/>
      <c r="V1346" s="279"/>
      <c r="W1346" s="279"/>
      <c r="X1346" s="279"/>
      <c r="Y1346" s="279"/>
      <c r="Z1346" s="279"/>
      <c r="AA1346" s="279"/>
      <c r="AB1346" s="279"/>
      <c r="AC1346" s="279"/>
      <c r="AD1346" s="279"/>
      <c r="AE1346" s="279"/>
      <c r="AF1346" s="279"/>
      <c r="AG1346" s="279"/>
      <c r="AH1346" s="279"/>
      <c r="AI1346" s="279"/>
      <c r="AJ1346" s="279"/>
      <c r="AK1346" s="279"/>
      <c r="AL1346" s="279"/>
      <c r="AM1346" s="279"/>
      <c r="AN1346" s="279"/>
      <c r="AO1346" s="279"/>
      <c r="AP1346" s="279"/>
      <c r="AQ1346" s="279"/>
      <c r="AR1346" s="279"/>
      <c r="AS1346" s="279"/>
      <c r="AT1346" s="279"/>
      <c r="AU1346" s="279"/>
      <c r="AV1346" s="279"/>
      <c r="AW1346" s="279"/>
      <c r="AX1346" s="279"/>
      <c r="AY1346" s="279"/>
      <c r="AZ1346" s="279"/>
      <c r="BA1346" s="279"/>
      <c r="BB1346" s="279"/>
      <c r="BC1346" s="279"/>
      <c r="BD1346" s="279"/>
      <c r="BE1346" s="279"/>
      <c r="BF1346" s="279"/>
      <c r="BG1346" s="279"/>
      <c r="BH1346" s="279"/>
      <c r="BI1346" s="279"/>
      <c r="BJ1346" s="279"/>
      <c r="BK1346" s="279"/>
      <c r="BL1346" s="279"/>
      <c r="BM1346" s="279"/>
      <c r="BN1346" s="279"/>
      <c r="BO1346" s="279"/>
      <c r="BP1346" s="279"/>
      <c r="BQ1346" s="279"/>
      <c r="BR1346" s="279"/>
      <c r="BS1346" s="279"/>
      <c r="BT1346" s="279"/>
      <c r="BU1346" s="279"/>
      <c r="BV1346" s="279"/>
      <c r="BW1346" s="279"/>
      <c r="BX1346" s="279"/>
      <c r="BY1346" s="279"/>
      <c r="BZ1346" s="279"/>
      <c r="CA1346" s="279"/>
      <c r="CB1346" s="279"/>
      <c r="CC1346" s="279"/>
      <c r="CD1346" s="279"/>
      <c r="CE1346" s="279"/>
      <c r="CF1346" s="279"/>
      <c r="CG1346" s="279"/>
      <c r="CH1346" s="279"/>
      <c r="CI1346" s="279"/>
      <c r="CJ1346" s="279"/>
      <c r="CK1346" s="279"/>
      <c r="CL1346" s="279"/>
      <c r="CM1346" s="279"/>
      <c r="CN1346" s="382"/>
    </row>
    <row r="1347" x14ac:dyDescent="0.3">
      <c r="B1347" s="361"/>
      <c r="C1347" s="279"/>
      <c r="D1347" s="280"/>
      <c r="E1347" s="287"/>
      <c r="F1347" s="287"/>
      <c r="G1347" s="287"/>
      <c r="H1347" s="1292">
        <f t="shared" si="67"/>
        <v>42</v>
      </c>
      <c r="I1347" s="1190" t="str">
        <f>'I. Stream &amp; Compound Data'!P303</f>
        <v/>
      </c>
      <c r="J1347" s="1295" t="str">
        <f>IF(I183="","",IF('I. Stream &amp; Compound Data'!CP303="",0,'I. Stream &amp; Compound Data'!CP303))</f>
        <v/>
      </c>
      <c r="K1347" s="1295" t="str">
        <f t="shared" si="69"/>
        <v/>
      </c>
      <c r="L1347" s="1317" t="str">
        <f>IF(K1347="","",IF('I. Stream &amp; Compound Data'!E73="H2O",0,(IF(J1347=0,1,J1347))*I1347))</f>
        <v/>
      </c>
      <c r="M1347" s="296"/>
      <c r="N1347" s="280"/>
      <c r="O1347" s="280"/>
      <c r="P1347" s="279"/>
      <c r="Q1347" s="297"/>
      <c r="R1347" s="298"/>
      <c r="S1347" s="298"/>
      <c r="T1347" s="299"/>
      <c r="U1347" s="279"/>
      <c r="V1347" s="279"/>
      <c r="W1347" s="279"/>
      <c r="X1347" s="279"/>
      <c r="Y1347" s="279"/>
      <c r="Z1347" s="279"/>
      <c r="AA1347" s="279"/>
      <c r="AB1347" s="279"/>
      <c r="AC1347" s="279"/>
      <c r="AD1347" s="279"/>
      <c r="AE1347" s="279"/>
      <c r="AF1347" s="279"/>
      <c r="AG1347" s="279"/>
      <c r="AH1347" s="279"/>
      <c r="AI1347" s="279"/>
      <c r="AJ1347" s="279"/>
      <c r="AK1347" s="279"/>
      <c r="AL1347" s="279"/>
      <c r="AM1347" s="279"/>
      <c r="AN1347" s="279"/>
      <c r="AO1347" s="279"/>
      <c r="AP1347" s="279"/>
      <c r="AQ1347" s="279"/>
      <c r="AR1347" s="279"/>
      <c r="AS1347" s="279"/>
      <c r="AT1347" s="279"/>
      <c r="AU1347" s="279"/>
      <c r="AV1347" s="279"/>
      <c r="AW1347" s="279"/>
      <c r="AX1347" s="279"/>
      <c r="AY1347" s="279"/>
      <c r="AZ1347" s="279"/>
      <c r="BA1347" s="279"/>
      <c r="BB1347" s="279"/>
      <c r="BC1347" s="279"/>
      <c r="BD1347" s="279"/>
      <c r="BE1347" s="279"/>
      <c r="BF1347" s="279"/>
      <c r="BG1347" s="279"/>
      <c r="BH1347" s="279"/>
      <c r="BI1347" s="279"/>
      <c r="BJ1347" s="279"/>
      <c r="BK1347" s="279"/>
      <c r="BL1347" s="279"/>
      <c r="BM1347" s="279"/>
      <c r="BN1347" s="279"/>
      <c r="BO1347" s="279"/>
      <c r="BP1347" s="279"/>
      <c r="BQ1347" s="279"/>
      <c r="BR1347" s="279"/>
      <c r="BS1347" s="279"/>
      <c r="BT1347" s="279"/>
      <c r="BU1347" s="279"/>
      <c r="BV1347" s="279"/>
      <c r="BW1347" s="279"/>
      <c r="BX1347" s="279"/>
      <c r="BY1347" s="279"/>
      <c r="BZ1347" s="279"/>
      <c r="CA1347" s="279"/>
      <c r="CB1347" s="279"/>
      <c r="CC1347" s="279"/>
      <c r="CD1347" s="279"/>
      <c r="CE1347" s="279"/>
      <c r="CF1347" s="279"/>
      <c r="CG1347" s="279"/>
      <c r="CH1347" s="279"/>
      <c r="CI1347" s="279"/>
      <c r="CJ1347" s="279"/>
      <c r="CK1347" s="279"/>
      <c r="CL1347" s="279"/>
      <c r="CM1347" s="279"/>
      <c r="CN1347" s="382"/>
    </row>
    <row r="1348" x14ac:dyDescent="0.3">
      <c r="B1348" s="361"/>
      <c r="C1348" s="279"/>
      <c r="D1348" s="280"/>
      <c r="E1348" s="287"/>
      <c r="F1348" s="287"/>
      <c r="G1348" s="287"/>
      <c r="H1348" s="1292">
        <f t="shared" si="67"/>
        <v>43</v>
      </c>
      <c r="I1348" s="1190" t="str">
        <f>'I. Stream &amp; Compound Data'!P304</f>
        <v/>
      </c>
      <c r="J1348" s="1295" t="str">
        <f>IF(I184="","",IF('I. Stream &amp; Compound Data'!CP304="",0,'I. Stream &amp; Compound Data'!CP304))</f>
        <v/>
      </c>
      <c r="K1348" s="1295" t="str">
        <f t="shared" si="69"/>
        <v/>
      </c>
      <c r="L1348" s="1317" t="str">
        <f>IF(K1348="","",IF('I. Stream &amp; Compound Data'!E74="H2O",0,(IF(J1348=0,1,J1348))*I1348))</f>
        <v/>
      </c>
      <c r="M1348" s="296"/>
      <c r="N1348" s="280"/>
      <c r="O1348" s="280"/>
      <c r="P1348" s="279"/>
      <c r="Q1348" s="297"/>
      <c r="R1348" s="298"/>
      <c r="S1348" s="298"/>
      <c r="T1348" s="299"/>
      <c r="U1348" s="279"/>
      <c r="V1348" s="279"/>
      <c r="W1348" s="279"/>
      <c r="X1348" s="279"/>
      <c r="Y1348" s="279"/>
      <c r="Z1348" s="279"/>
      <c r="AA1348" s="279"/>
      <c r="AB1348" s="279"/>
      <c r="AC1348" s="279"/>
      <c r="AD1348" s="279"/>
      <c r="AE1348" s="279"/>
      <c r="AF1348" s="279"/>
      <c r="AG1348" s="279"/>
      <c r="AH1348" s="279"/>
      <c r="AI1348" s="279"/>
      <c r="AJ1348" s="279"/>
      <c r="AK1348" s="279"/>
      <c r="AL1348" s="279"/>
      <c r="AM1348" s="279"/>
      <c r="AN1348" s="279"/>
      <c r="AO1348" s="279"/>
      <c r="AP1348" s="279"/>
      <c r="AQ1348" s="279"/>
      <c r="AR1348" s="279"/>
      <c r="AS1348" s="279"/>
      <c r="AT1348" s="279"/>
      <c r="AU1348" s="279"/>
      <c r="AV1348" s="279"/>
      <c r="AW1348" s="279"/>
      <c r="AX1348" s="279"/>
      <c r="AY1348" s="279"/>
      <c r="AZ1348" s="279"/>
      <c r="BA1348" s="279"/>
      <c r="BB1348" s="279"/>
      <c r="BC1348" s="279"/>
      <c r="BD1348" s="279"/>
      <c r="BE1348" s="279"/>
      <c r="BF1348" s="279"/>
      <c r="BG1348" s="279"/>
      <c r="BH1348" s="279"/>
      <c r="BI1348" s="279"/>
      <c r="BJ1348" s="279"/>
      <c r="BK1348" s="279"/>
      <c r="BL1348" s="279"/>
      <c r="BM1348" s="279"/>
      <c r="BN1348" s="279"/>
      <c r="BO1348" s="279"/>
      <c r="BP1348" s="279"/>
      <c r="BQ1348" s="279"/>
      <c r="BR1348" s="279"/>
      <c r="BS1348" s="279"/>
      <c r="BT1348" s="279"/>
      <c r="BU1348" s="279"/>
      <c r="BV1348" s="279"/>
      <c r="BW1348" s="279"/>
      <c r="BX1348" s="279"/>
      <c r="BY1348" s="279"/>
      <c r="BZ1348" s="279"/>
      <c r="CA1348" s="279"/>
      <c r="CB1348" s="279"/>
      <c r="CC1348" s="279"/>
      <c r="CD1348" s="279"/>
      <c r="CE1348" s="279"/>
      <c r="CF1348" s="279"/>
      <c r="CG1348" s="279"/>
      <c r="CH1348" s="279"/>
      <c r="CI1348" s="279"/>
      <c r="CJ1348" s="279"/>
      <c r="CK1348" s="279"/>
      <c r="CL1348" s="279"/>
      <c r="CM1348" s="279"/>
      <c r="CN1348" s="382"/>
    </row>
    <row r="1349" x14ac:dyDescent="0.3">
      <c r="B1349" s="361"/>
      <c r="C1349" s="279"/>
      <c r="D1349" s="280"/>
      <c r="E1349" s="287"/>
      <c r="F1349" s="287"/>
      <c r="G1349" s="287"/>
      <c r="H1349" s="1292">
        <f t="shared" si="67"/>
        <v>44</v>
      </c>
      <c r="I1349" s="1190" t="str">
        <f>'I. Stream &amp; Compound Data'!P305</f>
        <v/>
      </c>
      <c r="J1349" s="1295" t="str">
        <f>IF(I185="","",IF('I. Stream &amp; Compound Data'!CP305="",0,'I. Stream &amp; Compound Data'!CP305))</f>
        <v/>
      </c>
      <c r="K1349" s="1295" t="str">
        <f t="shared" si="69"/>
        <v/>
      </c>
      <c r="L1349" s="1317" t="str">
        <f>IF(K1349="","",IF('I. Stream &amp; Compound Data'!E75="H2O",0,(IF(J1349=0,1,J1349))*I1349))</f>
        <v/>
      </c>
      <c r="M1349" s="296"/>
      <c r="N1349" s="280"/>
      <c r="O1349" s="280"/>
      <c r="P1349" s="279"/>
      <c r="Q1349" s="297"/>
      <c r="R1349" s="298"/>
      <c r="S1349" s="298"/>
      <c r="T1349" s="299"/>
      <c r="U1349" s="279"/>
      <c r="V1349" s="279"/>
      <c r="W1349" s="279"/>
      <c r="X1349" s="279"/>
      <c r="Y1349" s="279"/>
      <c r="Z1349" s="279"/>
      <c r="AA1349" s="279"/>
      <c r="AB1349" s="279"/>
      <c r="AC1349" s="279"/>
      <c r="AD1349" s="279"/>
      <c r="AE1349" s="279"/>
      <c r="AF1349" s="279"/>
      <c r="AG1349" s="279"/>
      <c r="AH1349" s="279"/>
      <c r="AI1349" s="279"/>
      <c r="AJ1349" s="279"/>
      <c r="AK1349" s="279"/>
      <c r="AL1349" s="279"/>
      <c r="AM1349" s="279"/>
      <c r="AN1349" s="279"/>
      <c r="AO1349" s="279"/>
      <c r="AP1349" s="279"/>
      <c r="AQ1349" s="279"/>
      <c r="AR1349" s="279"/>
      <c r="AS1349" s="279"/>
      <c r="AT1349" s="279"/>
      <c r="AU1349" s="279"/>
      <c r="AV1349" s="279"/>
      <c r="AW1349" s="279"/>
      <c r="AX1349" s="279"/>
      <c r="AY1349" s="279"/>
      <c r="AZ1349" s="279"/>
      <c r="BA1349" s="279"/>
      <c r="BB1349" s="279"/>
      <c r="BC1349" s="279"/>
      <c r="BD1349" s="279"/>
      <c r="BE1349" s="279"/>
      <c r="BF1349" s="279"/>
      <c r="BG1349" s="279"/>
      <c r="BH1349" s="279"/>
      <c r="BI1349" s="279"/>
      <c r="BJ1349" s="279"/>
      <c r="BK1349" s="279"/>
      <c r="BL1349" s="279"/>
      <c r="BM1349" s="279"/>
      <c r="BN1349" s="279"/>
      <c r="BO1349" s="279"/>
      <c r="BP1349" s="279"/>
      <c r="BQ1349" s="279"/>
      <c r="BR1349" s="279"/>
      <c r="BS1349" s="279"/>
      <c r="BT1349" s="279"/>
      <c r="BU1349" s="279"/>
      <c r="BV1349" s="279"/>
      <c r="BW1349" s="279"/>
      <c r="BX1349" s="279"/>
      <c r="BY1349" s="279"/>
      <c r="BZ1349" s="279"/>
      <c r="CA1349" s="279"/>
      <c r="CB1349" s="279"/>
      <c r="CC1349" s="279"/>
      <c r="CD1349" s="279"/>
      <c r="CE1349" s="279"/>
      <c r="CF1349" s="279"/>
      <c r="CG1349" s="279"/>
      <c r="CH1349" s="279"/>
      <c r="CI1349" s="279"/>
      <c r="CJ1349" s="279"/>
      <c r="CK1349" s="279"/>
      <c r="CL1349" s="279"/>
      <c r="CM1349" s="279"/>
      <c r="CN1349" s="382"/>
    </row>
    <row r="1350" x14ac:dyDescent="0.3">
      <c r="B1350" s="361"/>
      <c r="C1350" s="279"/>
      <c r="D1350" s="280"/>
      <c r="E1350" s="287"/>
      <c r="F1350" s="287"/>
      <c r="G1350" s="287"/>
      <c r="H1350" s="1292">
        <f t="shared" si="67"/>
        <v>45</v>
      </c>
      <c r="I1350" s="1190" t="str">
        <f>'I. Stream &amp; Compound Data'!P306</f>
        <v/>
      </c>
      <c r="J1350" s="1295" t="str">
        <f>IF(I186="","",IF('I. Stream &amp; Compound Data'!CP306="",0,'I. Stream &amp; Compound Data'!CP306))</f>
        <v/>
      </c>
      <c r="K1350" s="1295" t="str">
        <f t="shared" si="69"/>
        <v/>
      </c>
      <c r="L1350" s="1317" t="str">
        <f>IF(K1350="","",IF('I. Stream &amp; Compound Data'!E76="H2O",0,(IF(J1350=0,1,J1350))*I1350))</f>
        <v/>
      </c>
      <c r="M1350" s="296"/>
      <c r="N1350" s="280"/>
      <c r="O1350" s="280"/>
      <c r="P1350" s="279"/>
      <c r="Q1350" s="297"/>
      <c r="R1350" s="298"/>
      <c r="S1350" s="298"/>
      <c r="T1350" s="299"/>
      <c r="U1350" s="279"/>
      <c r="V1350" s="279"/>
      <c r="W1350" s="279"/>
      <c r="X1350" s="279"/>
      <c r="Y1350" s="279"/>
      <c r="Z1350" s="279"/>
      <c r="AA1350" s="279"/>
      <c r="AB1350" s="279"/>
      <c r="AC1350" s="279"/>
      <c r="AD1350" s="279"/>
      <c r="AE1350" s="279"/>
      <c r="AF1350" s="279"/>
      <c r="AG1350" s="279"/>
      <c r="AH1350" s="279"/>
      <c r="AI1350" s="279"/>
      <c r="AJ1350" s="279"/>
      <c r="AK1350" s="279"/>
      <c r="AL1350" s="279"/>
      <c r="AM1350" s="279"/>
      <c r="AN1350" s="279"/>
      <c r="AO1350" s="279"/>
      <c r="AP1350" s="279"/>
      <c r="AQ1350" s="279"/>
      <c r="AR1350" s="279"/>
      <c r="AS1350" s="279"/>
      <c r="AT1350" s="279"/>
      <c r="AU1350" s="279"/>
      <c r="AV1350" s="279"/>
      <c r="AW1350" s="279"/>
      <c r="AX1350" s="279"/>
      <c r="AY1350" s="279"/>
      <c r="AZ1350" s="279"/>
      <c r="BA1350" s="279"/>
      <c r="BB1350" s="279"/>
      <c r="BC1350" s="279"/>
      <c r="BD1350" s="279"/>
      <c r="BE1350" s="279"/>
      <c r="BF1350" s="279"/>
      <c r="BG1350" s="279"/>
      <c r="BH1350" s="279"/>
      <c r="BI1350" s="279"/>
      <c r="BJ1350" s="279"/>
      <c r="BK1350" s="279"/>
      <c r="BL1350" s="279"/>
      <c r="BM1350" s="279"/>
      <c r="BN1350" s="279"/>
      <c r="BO1350" s="279"/>
      <c r="BP1350" s="279"/>
      <c r="BQ1350" s="279"/>
      <c r="BR1350" s="279"/>
      <c r="BS1350" s="279"/>
      <c r="BT1350" s="279"/>
      <c r="BU1350" s="279"/>
      <c r="BV1350" s="279"/>
      <c r="BW1350" s="279"/>
      <c r="BX1350" s="279"/>
      <c r="BY1350" s="279"/>
      <c r="BZ1350" s="279"/>
      <c r="CA1350" s="279"/>
      <c r="CB1350" s="279"/>
      <c r="CC1350" s="279"/>
      <c r="CD1350" s="279"/>
      <c r="CE1350" s="279"/>
      <c r="CF1350" s="279"/>
      <c r="CG1350" s="279"/>
      <c r="CH1350" s="279"/>
      <c r="CI1350" s="279"/>
      <c r="CJ1350" s="279"/>
      <c r="CK1350" s="279"/>
      <c r="CL1350" s="279"/>
      <c r="CM1350" s="279"/>
      <c r="CN1350" s="382"/>
    </row>
    <row r="1351" x14ac:dyDescent="0.3">
      <c r="B1351" s="361"/>
      <c r="C1351" s="279"/>
      <c r="D1351" s="280"/>
      <c r="E1351" s="287"/>
      <c r="F1351" s="287"/>
      <c r="G1351" s="287"/>
      <c r="H1351" s="1292">
        <f t="shared" si="67"/>
        <v>46</v>
      </c>
      <c r="I1351" s="1190" t="str">
        <f>'I. Stream &amp; Compound Data'!P307</f>
        <v/>
      </c>
      <c r="J1351" s="1295" t="str">
        <f>IF(I187="","",IF('I. Stream &amp; Compound Data'!CP307="",0,'I. Stream &amp; Compound Data'!CP307))</f>
        <v/>
      </c>
      <c r="K1351" s="1295" t="str">
        <f t="shared" si="69"/>
        <v/>
      </c>
      <c r="L1351" s="1317" t="str">
        <f>IF(K1351="","",IF('I. Stream &amp; Compound Data'!E77="H2O",0,(IF(J1351=0,1,J1351))*I1351))</f>
        <v/>
      </c>
      <c r="M1351" s="296"/>
      <c r="N1351" s="280"/>
      <c r="O1351" s="280"/>
      <c r="P1351" s="279"/>
      <c r="Q1351" s="297"/>
      <c r="R1351" s="298"/>
      <c r="S1351" s="298"/>
      <c r="T1351" s="299"/>
      <c r="U1351" s="279"/>
      <c r="V1351" s="279"/>
      <c r="W1351" s="279"/>
      <c r="X1351" s="279"/>
      <c r="Y1351" s="279"/>
      <c r="Z1351" s="279"/>
      <c r="AA1351" s="279"/>
      <c r="AB1351" s="279"/>
      <c r="AC1351" s="279"/>
      <c r="AD1351" s="279"/>
      <c r="AE1351" s="279"/>
      <c r="AF1351" s="279"/>
      <c r="AG1351" s="279"/>
      <c r="AH1351" s="279"/>
      <c r="AI1351" s="279"/>
      <c r="AJ1351" s="279"/>
      <c r="AK1351" s="279"/>
      <c r="AL1351" s="279"/>
      <c r="AM1351" s="279"/>
      <c r="AN1351" s="279"/>
      <c r="AO1351" s="279"/>
      <c r="AP1351" s="279"/>
      <c r="AQ1351" s="279"/>
      <c r="AR1351" s="279"/>
      <c r="AS1351" s="279"/>
      <c r="AT1351" s="279"/>
      <c r="AU1351" s="279"/>
      <c r="AV1351" s="279"/>
      <c r="AW1351" s="279"/>
      <c r="AX1351" s="279"/>
      <c r="AY1351" s="279"/>
      <c r="AZ1351" s="279"/>
      <c r="BA1351" s="279"/>
      <c r="BB1351" s="279"/>
      <c r="BC1351" s="279"/>
      <c r="BD1351" s="279"/>
      <c r="BE1351" s="279"/>
      <c r="BF1351" s="279"/>
      <c r="BG1351" s="279"/>
      <c r="BH1351" s="279"/>
      <c r="BI1351" s="279"/>
      <c r="BJ1351" s="279"/>
      <c r="BK1351" s="279"/>
      <c r="BL1351" s="279"/>
      <c r="BM1351" s="279"/>
      <c r="BN1351" s="279"/>
      <c r="BO1351" s="279"/>
      <c r="BP1351" s="279"/>
      <c r="BQ1351" s="279"/>
      <c r="BR1351" s="279"/>
      <c r="BS1351" s="279"/>
      <c r="BT1351" s="279"/>
      <c r="BU1351" s="279"/>
      <c r="BV1351" s="279"/>
      <c r="BW1351" s="279"/>
      <c r="BX1351" s="279"/>
      <c r="BY1351" s="279"/>
      <c r="BZ1351" s="279"/>
      <c r="CA1351" s="279"/>
      <c r="CB1351" s="279"/>
      <c r="CC1351" s="279"/>
      <c r="CD1351" s="279"/>
      <c r="CE1351" s="279"/>
      <c r="CF1351" s="279"/>
      <c r="CG1351" s="279"/>
      <c r="CH1351" s="279"/>
      <c r="CI1351" s="279"/>
      <c r="CJ1351" s="279"/>
      <c r="CK1351" s="279"/>
      <c r="CL1351" s="279"/>
      <c r="CM1351" s="279"/>
      <c r="CN1351" s="382"/>
    </row>
    <row r="1352" x14ac:dyDescent="0.3">
      <c r="B1352" s="361"/>
      <c r="C1352" s="279"/>
      <c r="D1352" s="280"/>
      <c r="E1352" s="287"/>
      <c r="F1352" s="287"/>
      <c r="G1352" s="287"/>
      <c r="H1352" s="1292">
        <f t="shared" si="67"/>
        <v>47</v>
      </c>
      <c r="I1352" s="1190" t="str">
        <f>'I. Stream &amp; Compound Data'!P308</f>
        <v/>
      </c>
      <c r="J1352" s="1295" t="str">
        <f>IF(I188="","",IF('I. Stream &amp; Compound Data'!CP308="",0,'I. Stream &amp; Compound Data'!CP308))</f>
        <v/>
      </c>
      <c r="K1352" s="1295" t="str">
        <f t="shared" si="69"/>
        <v/>
      </c>
      <c r="L1352" s="1317" t="str">
        <f>IF(K1352="","",IF('I. Stream &amp; Compound Data'!E78="H2O",0,(IF(J1352=0,1,J1352))*I1352))</f>
        <v/>
      </c>
      <c r="M1352" s="296"/>
      <c r="N1352" s="280"/>
      <c r="O1352" s="280"/>
      <c r="P1352" s="279"/>
      <c r="Q1352" s="297"/>
      <c r="R1352" s="298"/>
      <c r="S1352" s="298"/>
      <c r="T1352" s="299"/>
      <c r="U1352" s="279"/>
      <c r="V1352" s="279"/>
      <c r="W1352" s="279"/>
      <c r="X1352" s="279"/>
      <c r="Y1352" s="279"/>
      <c r="Z1352" s="279"/>
      <c r="AA1352" s="279"/>
      <c r="AB1352" s="279"/>
      <c r="AC1352" s="279"/>
      <c r="AD1352" s="279"/>
      <c r="AE1352" s="279"/>
      <c r="AF1352" s="279"/>
      <c r="AG1352" s="279"/>
      <c r="AH1352" s="279"/>
      <c r="AI1352" s="279"/>
      <c r="AJ1352" s="279"/>
      <c r="AK1352" s="279"/>
      <c r="AL1352" s="279"/>
      <c r="AM1352" s="279"/>
      <c r="AN1352" s="279"/>
      <c r="AO1352" s="279"/>
      <c r="AP1352" s="279"/>
      <c r="AQ1352" s="279"/>
      <c r="AR1352" s="279"/>
      <c r="AS1352" s="279"/>
      <c r="AT1352" s="279"/>
      <c r="AU1352" s="279"/>
      <c r="AV1352" s="279"/>
      <c r="AW1352" s="279"/>
      <c r="AX1352" s="279"/>
      <c r="AY1352" s="279"/>
      <c r="AZ1352" s="279"/>
      <c r="BA1352" s="279"/>
      <c r="BB1352" s="279"/>
      <c r="BC1352" s="279"/>
      <c r="BD1352" s="279"/>
      <c r="BE1352" s="279"/>
      <c r="BF1352" s="279"/>
      <c r="BG1352" s="279"/>
      <c r="BH1352" s="279"/>
      <c r="BI1352" s="279"/>
      <c r="BJ1352" s="279"/>
      <c r="BK1352" s="279"/>
      <c r="BL1352" s="279"/>
      <c r="BM1352" s="279"/>
      <c r="BN1352" s="279"/>
      <c r="BO1352" s="279"/>
      <c r="BP1352" s="279"/>
      <c r="BQ1352" s="279"/>
      <c r="BR1352" s="279"/>
      <c r="BS1352" s="279"/>
      <c r="BT1352" s="279"/>
      <c r="BU1352" s="279"/>
      <c r="BV1352" s="279"/>
      <c r="BW1352" s="279"/>
      <c r="BX1352" s="279"/>
      <c r="BY1352" s="279"/>
      <c r="BZ1352" s="279"/>
      <c r="CA1352" s="279"/>
      <c r="CB1352" s="279"/>
      <c r="CC1352" s="279"/>
      <c r="CD1352" s="279"/>
      <c r="CE1352" s="279"/>
      <c r="CF1352" s="279"/>
      <c r="CG1352" s="279"/>
      <c r="CH1352" s="279"/>
      <c r="CI1352" s="279"/>
      <c r="CJ1352" s="279"/>
      <c r="CK1352" s="279"/>
      <c r="CL1352" s="279"/>
      <c r="CM1352" s="279"/>
      <c r="CN1352" s="382"/>
    </row>
    <row r="1353" x14ac:dyDescent="0.3">
      <c r="B1353" s="361"/>
      <c r="C1353" s="279"/>
      <c r="D1353" s="280"/>
      <c r="E1353" s="287"/>
      <c r="F1353" s="287"/>
      <c r="G1353" s="287"/>
      <c r="H1353" s="1292">
        <f t="shared" si="67"/>
        <v>48</v>
      </c>
      <c r="I1353" s="1190" t="str">
        <f>'I. Stream &amp; Compound Data'!P309</f>
        <v/>
      </c>
      <c r="J1353" s="1295" t="str">
        <f>IF(I189="","",IF('I. Stream &amp; Compound Data'!CP309="",0,'I. Stream &amp; Compound Data'!CP309))</f>
        <v/>
      </c>
      <c r="K1353" s="1295" t="str">
        <f t="shared" si="69"/>
        <v/>
      </c>
      <c r="L1353" s="1317" t="str">
        <f>IF(K1353="","",IF('I. Stream &amp; Compound Data'!E79="H2O",0,(IF(J1353=0,1,J1353))*I1353))</f>
        <v/>
      </c>
      <c r="M1353" s="296"/>
      <c r="N1353" s="280"/>
      <c r="O1353" s="280"/>
      <c r="P1353" s="279"/>
      <c r="Q1353" s="297"/>
      <c r="R1353" s="298"/>
      <c r="S1353" s="298"/>
      <c r="T1353" s="299"/>
      <c r="U1353" s="279"/>
      <c r="V1353" s="279"/>
      <c r="W1353" s="279"/>
      <c r="X1353" s="279"/>
      <c r="Y1353" s="279"/>
      <c r="Z1353" s="279"/>
      <c r="AA1353" s="279"/>
      <c r="AB1353" s="279"/>
      <c r="AC1353" s="279"/>
      <c r="AD1353" s="279"/>
      <c r="AE1353" s="279"/>
      <c r="AF1353" s="279"/>
      <c r="AG1353" s="279"/>
      <c r="AH1353" s="279"/>
      <c r="AI1353" s="279"/>
      <c r="AJ1353" s="279"/>
      <c r="AK1353" s="279"/>
      <c r="AL1353" s="279"/>
      <c r="AM1353" s="279"/>
      <c r="AN1353" s="279"/>
      <c r="AO1353" s="279"/>
      <c r="AP1353" s="279"/>
      <c r="AQ1353" s="279"/>
      <c r="AR1353" s="279"/>
      <c r="AS1353" s="279"/>
      <c r="AT1353" s="279"/>
      <c r="AU1353" s="279"/>
      <c r="AV1353" s="279"/>
      <c r="AW1353" s="279"/>
      <c r="AX1353" s="279"/>
      <c r="AY1353" s="279"/>
      <c r="AZ1353" s="279"/>
      <c r="BA1353" s="279"/>
      <c r="BB1353" s="279"/>
      <c r="BC1353" s="279"/>
      <c r="BD1353" s="279"/>
      <c r="BE1353" s="279"/>
      <c r="BF1353" s="279"/>
      <c r="BG1353" s="279"/>
      <c r="BH1353" s="279"/>
      <c r="BI1353" s="279"/>
      <c r="BJ1353" s="279"/>
      <c r="BK1353" s="279"/>
      <c r="BL1353" s="279"/>
      <c r="BM1353" s="279"/>
      <c r="BN1353" s="279"/>
      <c r="BO1353" s="279"/>
      <c r="BP1353" s="279"/>
      <c r="BQ1353" s="279"/>
      <c r="BR1353" s="279"/>
      <c r="BS1353" s="279"/>
      <c r="BT1353" s="279"/>
      <c r="BU1353" s="279"/>
      <c r="BV1353" s="279"/>
      <c r="BW1353" s="279"/>
      <c r="BX1353" s="279"/>
      <c r="BY1353" s="279"/>
      <c r="BZ1353" s="279"/>
      <c r="CA1353" s="279"/>
      <c r="CB1353" s="279"/>
      <c r="CC1353" s="279"/>
      <c r="CD1353" s="279"/>
      <c r="CE1353" s="279"/>
      <c r="CF1353" s="279"/>
      <c r="CG1353" s="279"/>
      <c r="CH1353" s="279"/>
      <c r="CI1353" s="279"/>
      <c r="CJ1353" s="279"/>
      <c r="CK1353" s="279"/>
      <c r="CL1353" s="279"/>
      <c r="CM1353" s="279"/>
      <c r="CN1353" s="382"/>
    </row>
    <row r="1354" x14ac:dyDescent="0.3">
      <c r="B1354" s="361"/>
      <c r="C1354" s="279"/>
      <c r="D1354" s="280"/>
      <c r="E1354" s="287"/>
      <c r="F1354" s="287"/>
      <c r="G1354" s="287"/>
      <c r="H1354" s="1292">
        <f t="shared" si="67"/>
        <v>49</v>
      </c>
      <c r="I1354" s="1190" t="str">
        <f>'I. Stream &amp; Compound Data'!P310</f>
        <v/>
      </c>
      <c r="J1354" s="1295" t="str">
        <f>IF(I190="","",IF('I. Stream &amp; Compound Data'!CP310="",0,'I. Stream &amp; Compound Data'!CP310))</f>
        <v/>
      </c>
      <c r="K1354" s="1295" t="str">
        <f t="shared" si="69"/>
        <v/>
      </c>
      <c r="L1354" s="1317" t="str">
        <f>IF(K1354="","",IF('I. Stream &amp; Compound Data'!E80="H2O",0,(IF(J1354=0,1,J1354))*I1354))</f>
        <v/>
      </c>
      <c r="M1354" s="296"/>
      <c r="N1354" s="280"/>
      <c r="O1354" s="280"/>
      <c r="P1354" s="279"/>
      <c r="Q1354" s="297"/>
      <c r="R1354" s="298"/>
      <c r="S1354" s="298"/>
      <c r="T1354" s="299"/>
      <c r="U1354" s="279"/>
      <c r="V1354" s="279"/>
      <c r="W1354" s="279"/>
      <c r="X1354" s="279"/>
      <c r="Y1354" s="279"/>
      <c r="Z1354" s="279"/>
      <c r="AA1354" s="279"/>
      <c r="AB1354" s="279"/>
      <c r="AC1354" s="279"/>
      <c r="AD1354" s="279"/>
      <c r="AE1354" s="279"/>
      <c r="AF1354" s="279"/>
      <c r="AG1354" s="279"/>
      <c r="AH1354" s="279"/>
      <c r="AI1354" s="279"/>
      <c r="AJ1354" s="279"/>
      <c r="AK1354" s="279"/>
      <c r="AL1354" s="279"/>
      <c r="AM1354" s="279"/>
      <c r="AN1354" s="279"/>
      <c r="AO1354" s="279"/>
      <c r="AP1354" s="279"/>
      <c r="AQ1354" s="279"/>
      <c r="AR1354" s="279"/>
      <c r="AS1354" s="279"/>
      <c r="AT1354" s="279"/>
      <c r="AU1354" s="279"/>
      <c r="AV1354" s="279"/>
      <c r="AW1354" s="279"/>
      <c r="AX1354" s="279"/>
      <c r="AY1354" s="279"/>
      <c r="AZ1354" s="279"/>
      <c r="BA1354" s="279"/>
      <c r="BB1354" s="279"/>
      <c r="BC1354" s="279"/>
      <c r="BD1354" s="279"/>
      <c r="BE1354" s="279"/>
      <c r="BF1354" s="279"/>
      <c r="BG1354" s="279"/>
      <c r="BH1354" s="279"/>
      <c r="BI1354" s="279"/>
      <c r="BJ1354" s="279"/>
      <c r="BK1354" s="279"/>
      <c r="BL1354" s="279"/>
      <c r="BM1354" s="279"/>
      <c r="BN1354" s="279"/>
      <c r="BO1354" s="279"/>
      <c r="BP1354" s="279"/>
      <c r="BQ1354" s="279"/>
      <c r="BR1354" s="279"/>
      <c r="BS1354" s="279"/>
      <c r="BT1354" s="279"/>
      <c r="BU1354" s="279"/>
      <c r="BV1354" s="279"/>
      <c r="BW1354" s="279"/>
      <c r="BX1354" s="279"/>
      <c r="BY1354" s="279"/>
      <c r="BZ1354" s="279"/>
      <c r="CA1354" s="279"/>
      <c r="CB1354" s="279"/>
      <c r="CC1354" s="279"/>
      <c r="CD1354" s="279"/>
      <c r="CE1354" s="279"/>
      <c r="CF1354" s="279"/>
      <c r="CG1354" s="279"/>
      <c r="CH1354" s="279"/>
      <c r="CI1354" s="279"/>
      <c r="CJ1354" s="279"/>
      <c r="CK1354" s="279"/>
      <c r="CL1354" s="279"/>
      <c r="CM1354" s="279"/>
      <c r="CN1354" s="382"/>
    </row>
    <row r="1355" ht="16.2" thickBot="true" x14ac:dyDescent="0.35">
      <c r="B1355" s="361"/>
      <c r="C1355" s="279"/>
      <c r="D1355" s="280"/>
      <c r="E1355" s="287"/>
      <c r="F1355" s="287"/>
      <c r="G1355" s="287"/>
      <c r="H1355" s="1298">
        <f t="shared" si="67"/>
        <v>50</v>
      </c>
      <c r="I1355" s="1259" t="str">
        <f>'I. Stream &amp; Compound Data'!P311</f>
        <v/>
      </c>
      <c r="J1355" s="1301" t="str">
        <f>IF(I191="","",IF('I. Stream &amp; Compound Data'!CP311="",0,'I. Stream &amp; Compound Data'!CP311))</f>
        <v/>
      </c>
      <c r="K1355" s="1301" t="str">
        <f t="shared" si="69"/>
        <v/>
      </c>
      <c r="L1355" s="1318" t="str">
        <f>IF(K1355="","",IF('I. Stream &amp; Compound Data'!E81="H2O",0,(IF(J1355=0,1,J1355))*I1355))</f>
        <v/>
      </c>
      <c r="M1355" s="296"/>
      <c r="N1355" s="280"/>
      <c r="O1355" s="280"/>
      <c r="P1355" s="279"/>
      <c r="Q1355" s="297"/>
      <c r="R1355" s="298"/>
      <c r="S1355" s="298"/>
      <c r="T1355" s="299"/>
      <c r="U1355" s="279"/>
      <c r="V1355" s="279"/>
      <c r="W1355" s="279"/>
      <c r="X1355" s="279"/>
      <c r="Y1355" s="279"/>
      <c r="Z1355" s="279"/>
      <c r="AA1355" s="279"/>
      <c r="AB1355" s="279"/>
      <c r="AC1355" s="279"/>
      <c r="AD1355" s="279"/>
      <c r="AE1355" s="279"/>
      <c r="AF1355" s="279"/>
      <c r="AG1355" s="279"/>
      <c r="AH1355" s="279"/>
      <c r="AI1355" s="279"/>
      <c r="AJ1355" s="279"/>
      <c r="AK1355" s="279"/>
      <c r="AL1355" s="279"/>
      <c r="AM1355" s="279"/>
      <c r="AN1355" s="279"/>
      <c r="AO1355" s="279"/>
      <c r="AP1355" s="279"/>
      <c r="AQ1355" s="279"/>
      <c r="AR1355" s="279"/>
      <c r="AS1355" s="279"/>
      <c r="AT1355" s="279"/>
      <c r="AU1355" s="279"/>
      <c r="AV1355" s="279"/>
      <c r="AW1355" s="279"/>
      <c r="AX1355" s="279"/>
      <c r="AY1355" s="279"/>
      <c r="AZ1355" s="279"/>
      <c r="BA1355" s="279"/>
      <c r="BB1355" s="279"/>
      <c r="BC1355" s="279"/>
      <c r="BD1355" s="279"/>
      <c r="BE1355" s="279"/>
      <c r="BF1355" s="279"/>
      <c r="BG1355" s="279"/>
      <c r="BH1355" s="279"/>
      <c r="BI1355" s="279"/>
      <c r="BJ1355" s="279"/>
      <c r="BK1355" s="279"/>
      <c r="BL1355" s="279"/>
      <c r="BM1355" s="279"/>
      <c r="BN1355" s="279"/>
      <c r="BO1355" s="279"/>
      <c r="BP1355" s="279"/>
      <c r="BQ1355" s="279"/>
      <c r="BR1355" s="279"/>
      <c r="BS1355" s="279"/>
      <c r="BT1355" s="279"/>
      <c r="BU1355" s="279"/>
      <c r="BV1355" s="279"/>
      <c r="BW1355" s="279"/>
      <c r="BX1355" s="279"/>
      <c r="BY1355" s="279"/>
      <c r="BZ1355" s="279"/>
      <c r="CA1355" s="279"/>
      <c r="CB1355" s="279"/>
      <c r="CC1355" s="279"/>
      <c r="CD1355" s="279"/>
      <c r="CE1355" s="279"/>
      <c r="CF1355" s="279"/>
      <c r="CG1355" s="279"/>
      <c r="CH1355" s="279"/>
      <c r="CI1355" s="279"/>
      <c r="CJ1355" s="279"/>
      <c r="CK1355" s="279"/>
      <c r="CL1355" s="279"/>
      <c r="CM1355" s="279"/>
      <c r="CN1355" s="382"/>
    </row>
    <row r="1356" ht="16.2" thickBot="true" x14ac:dyDescent="0.35">
      <c r="B1356" s="361"/>
      <c r="C1356" s="279"/>
      <c r="D1356" s="280"/>
      <c r="E1356" s="287"/>
      <c r="F1356" s="287"/>
      <c r="G1356" s="287"/>
      <c r="H1356" s="280"/>
      <c r="I1356" s="279"/>
      <c r="J1356" s="287" t="s">
        <v>88</v>
      </c>
      <c r="K1356" s="1305">
        <f>SUM(K1306:K1355)</f>
        <v>0</v>
      </c>
      <c r="L1356" s="1305">
        <f>SUM(L1306:L1355)</f>
        <v>2980.7504537999998</v>
      </c>
      <c r="M1356" s="296"/>
      <c r="N1356" s="280"/>
      <c r="O1356" s="280"/>
      <c r="P1356" s="279"/>
      <c r="Q1356" s="297"/>
      <c r="R1356" s="298"/>
      <c r="S1356" s="298"/>
      <c r="T1356" s="299"/>
      <c r="U1356" s="279"/>
      <c r="V1356" s="279"/>
      <c r="W1356" s="279"/>
      <c r="X1356" s="279"/>
      <c r="Y1356" s="279"/>
      <c r="Z1356" s="279"/>
      <c r="AA1356" s="279"/>
      <c r="AB1356" s="279"/>
      <c r="AC1356" s="279"/>
      <c r="AD1356" s="279"/>
      <c r="AE1356" s="279"/>
      <c r="AF1356" s="279"/>
      <c r="AG1356" s="279"/>
      <c r="AH1356" s="279"/>
      <c r="AI1356" s="279"/>
      <c r="AJ1356" s="279"/>
      <c r="AK1356" s="279"/>
      <c r="AL1356" s="279"/>
      <c r="AM1356" s="279"/>
      <c r="AN1356" s="279"/>
      <c r="AO1356" s="279"/>
      <c r="AP1356" s="279"/>
      <c r="AQ1356" s="279"/>
      <c r="AR1356" s="279"/>
      <c r="AS1356" s="279"/>
      <c r="AT1356" s="279"/>
      <c r="AU1356" s="279"/>
      <c r="AV1356" s="279"/>
      <c r="AW1356" s="279"/>
      <c r="AX1356" s="279"/>
      <c r="AY1356" s="279"/>
      <c r="AZ1356" s="279"/>
      <c r="BA1356" s="279"/>
      <c r="BB1356" s="279"/>
      <c r="BC1356" s="279"/>
      <c r="BD1356" s="279"/>
      <c r="BE1356" s="279"/>
      <c r="BF1356" s="279"/>
      <c r="BG1356" s="279"/>
      <c r="BH1356" s="279"/>
      <c r="BI1356" s="279"/>
      <c r="BJ1356" s="279"/>
      <c r="BK1356" s="279"/>
      <c r="BL1356" s="279"/>
      <c r="BM1356" s="279"/>
      <c r="BN1356" s="279"/>
      <c r="BO1356" s="279"/>
      <c r="BP1356" s="279"/>
      <c r="BQ1356" s="279"/>
      <c r="BR1356" s="279"/>
      <c r="BS1356" s="279"/>
      <c r="BT1356" s="279"/>
      <c r="BU1356" s="279"/>
      <c r="BV1356" s="279"/>
      <c r="BW1356" s="279"/>
      <c r="BX1356" s="279"/>
      <c r="BY1356" s="279"/>
      <c r="BZ1356" s="279"/>
      <c r="CA1356" s="279"/>
      <c r="CB1356" s="279"/>
      <c r="CC1356" s="279"/>
      <c r="CD1356" s="279"/>
      <c r="CE1356" s="279"/>
      <c r="CF1356" s="279"/>
      <c r="CG1356" s="279"/>
      <c r="CH1356" s="279"/>
      <c r="CI1356" s="279"/>
      <c r="CJ1356" s="279"/>
      <c r="CK1356" s="279"/>
      <c r="CL1356" s="279"/>
      <c r="CM1356" s="279"/>
      <c r="CN1356" s="382"/>
    </row>
    <row r="1357" x14ac:dyDescent="0.3">
      <c r="B1357" s="361"/>
      <c r="C1357" s="279"/>
      <c r="D1357" s="280"/>
      <c r="E1357" s="287"/>
      <c r="F1357" s="287"/>
      <c r="G1357" s="287"/>
      <c r="H1357" s="280"/>
      <c r="I1357" s="279"/>
      <c r="J1357" s="287"/>
      <c r="K1357" s="287"/>
      <c r="L1357" s="287"/>
      <c r="M1357" s="296"/>
      <c r="N1357" s="280"/>
      <c r="O1357" s="280"/>
      <c r="P1357" s="279"/>
      <c r="Q1357" s="297"/>
      <c r="R1357" s="298"/>
      <c r="S1357" s="298"/>
      <c r="T1357" s="299"/>
      <c r="U1357" s="279"/>
      <c r="V1357" s="279"/>
      <c r="W1357" s="279"/>
      <c r="X1357" s="279"/>
      <c r="Y1357" s="279"/>
      <c r="Z1357" s="279"/>
      <c r="AA1357" s="279"/>
      <c r="AB1357" s="279"/>
      <c r="AC1357" s="279"/>
      <c r="AD1357" s="279"/>
      <c r="AE1357" s="279"/>
      <c r="AF1357" s="279"/>
      <c r="AG1357" s="279"/>
      <c r="AH1357" s="279"/>
      <c r="AI1357" s="279"/>
      <c r="AJ1357" s="279"/>
      <c r="AK1357" s="279"/>
      <c r="AL1357" s="279"/>
      <c r="AM1357" s="279"/>
      <c r="AN1357" s="279"/>
      <c r="AO1357" s="279"/>
      <c r="AP1357" s="279"/>
      <c r="AQ1357" s="279"/>
      <c r="AR1357" s="279"/>
      <c r="AS1357" s="279"/>
      <c r="AT1357" s="279"/>
      <c r="AU1357" s="279"/>
      <c r="AV1357" s="279"/>
      <c r="AW1357" s="279"/>
      <c r="AX1357" s="279"/>
      <c r="AY1357" s="279"/>
      <c r="AZ1357" s="279"/>
      <c r="BA1357" s="279"/>
      <c r="BB1357" s="279"/>
      <c r="BC1357" s="279"/>
      <c r="BD1357" s="279"/>
      <c r="BE1357" s="279"/>
      <c r="BF1357" s="279"/>
      <c r="BG1357" s="279"/>
      <c r="BH1357" s="279"/>
      <c r="BI1357" s="279"/>
      <c r="BJ1357" s="279"/>
      <c r="BK1357" s="279"/>
      <c r="BL1357" s="279"/>
      <c r="BM1357" s="279"/>
      <c r="BN1357" s="279"/>
      <c r="BO1357" s="279"/>
      <c r="BP1357" s="279"/>
      <c r="BQ1357" s="279"/>
      <c r="BR1357" s="279"/>
      <c r="BS1357" s="279"/>
      <c r="BT1357" s="279"/>
      <c r="BU1357" s="279"/>
      <c r="BV1357" s="279"/>
      <c r="BW1357" s="279"/>
      <c r="BX1357" s="279"/>
      <c r="BY1357" s="279"/>
      <c r="BZ1357" s="279"/>
      <c r="CA1357" s="279"/>
      <c r="CB1357" s="279"/>
      <c r="CC1357" s="279"/>
      <c r="CD1357" s="279"/>
      <c r="CE1357" s="279"/>
      <c r="CF1357" s="279"/>
      <c r="CG1357" s="279"/>
      <c r="CH1357" s="279"/>
      <c r="CI1357" s="279"/>
      <c r="CJ1357" s="279"/>
      <c r="CK1357" s="279"/>
      <c r="CL1357" s="279"/>
      <c r="CM1357" s="279"/>
      <c r="CN1357" s="382"/>
    </row>
    <row r="1358" x14ac:dyDescent="0.3">
      <c r="B1358" s="361"/>
      <c r="C1358" s="279"/>
      <c r="D1358" s="280"/>
      <c r="E1358" s="287"/>
      <c r="F1358" s="287"/>
      <c r="G1358" s="287"/>
      <c r="H1358" s="280"/>
      <c r="I1358" s="279"/>
      <c r="J1358" s="287"/>
      <c r="K1358" s="287"/>
      <c r="L1358" s="287"/>
      <c r="M1358" s="296"/>
      <c r="N1358" s="280"/>
      <c r="O1358" s="280"/>
      <c r="P1358" s="279"/>
      <c r="Q1358" s="297"/>
      <c r="R1358" s="298"/>
      <c r="S1358" s="298"/>
      <c r="T1358" s="299"/>
      <c r="U1358" s="279"/>
      <c r="V1358" s="279"/>
      <c r="W1358" s="279"/>
      <c r="X1358" s="279"/>
      <c r="Y1358" s="279"/>
      <c r="Z1358" s="279"/>
      <c r="AA1358" s="279"/>
      <c r="AB1358" s="279"/>
      <c r="AC1358" s="279"/>
      <c r="AD1358" s="279"/>
      <c r="AE1358" s="279"/>
      <c r="AF1358" s="279"/>
      <c r="AG1358" s="279"/>
      <c r="AH1358" s="279"/>
      <c r="AI1358" s="279"/>
      <c r="AJ1358" s="279"/>
      <c r="AK1358" s="279"/>
      <c r="AL1358" s="279"/>
      <c r="AM1358" s="279"/>
      <c r="AN1358" s="279"/>
      <c r="AO1358" s="279"/>
      <c r="AP1358" s="279"/>
      <c r="AQ1358" s="279"/>
      <c r="AR1358" s="279"/>
      <c r="AS1358" s="279"/>
      <c r="AT1358" s="279"/>
      <c r="AU1358" s="279"/>
      <c r="AV1358" s="279"/>
      <c r="AW1358" s="279"/>
      <c r="AX1358" s="279"/>
      <c r="AY1358" s="279"/>
      <c r="AZ1358" s="279"/>
      <c r="BA1358" s="279"/>
      <c r="BB1358" s="279"/>
      <c r="BC1358" s="279"/>
      <c r="BD1358" s="279"/>
      <c r="BE1358" s="279"/>
      <c r="BF1358" s="279"/>
      <c r="BG1358" s="279"/>
      <c r="BH1358" s="279"/>
      <c r="BI1358" s="279"/>
      <c r="BJ1358" s="279"/>
      <c r="BK1358" s="279"/>
      <c r="BL1358" s="279"/>
      <c r="BM1358" s="279"/>
      <c r="BN1358" s="279"/>
      <c r="BO1358" s="279"/>
      <c r="BP1358" s="279"/>
      <c r="BQ1358" s="279"/>
      <c r="BR1358" s="279"/>
      <c r="BS1358" s="279"/>
      <c r="BT1358" s="279"/>
      <c r="BU1358" s="279"/>
      <c r="BV1358" s="279"/>
      <c r="BW1358" s="279"/>
      <c r="BX1358" s="279"/>
      <c r="BY1358" s="279"/>
      <c r="BZ1358" s="279"/>
      <c r="CA1358" s="279"/>
      <c r="CB1358" s="279"/>
      <c r="CC1358" s="279"/>
      <c r="CD1358" s="279"/>
      <c r="CE1358" s="279"/>
      <c r="CF1358" s="279"/>
      <c r="CG1358" s="279"/>
      <c r="CH1358" s="279"/>
      <c r="CI1358" s="279"/>
      <c r="CJ1358" s="279"/>
      <c r="CK1358" s="279"/>
      <c r="CL1358" s="279"/>
      <c r="CM1358" s="279"/>
      <c r="CN1358" s="382"/>
    </row>
    <row r="1359" x14ac:dyDescent="0.3">
      <c r="B1359" s="361"/>
      <c r="C1359" s="279"/>
      <c r="D1359" s="280"/>
      <c r="E1359" s="287"/>
      <c r="F1359" s="287"/>
      <c r="G1359" s="287"/>
      <c r="H1359" s="280"/>
      <c r="I1359" s="304"/>
      <c r="J1359" s="279"/>
      <c r="K1359" s="279"/>
      <c r="L1359" s="280"/>
      <c r="M1359" s="296"/>
      <c r="N1359" s="280"/>
      <c r="O1359" s="280"/>
      <c r="P1359" s="279"/>
      <c r="Q1359" s="297"/>
      <c r="R1359" s="298"/>
      <c r="S1359" s="298"/>
      <c r="T1359" s="299"/>
      <c r="U1359" s="279"/>
      <c r="V1359" s="279"/>
      <c r="W1359" s="279"/>
      <c r="X1359" s="279"/>
      <c r="Y1359" s="279"/>
      <c r="Z1359" s="279"/>
      <c r="AA1359" s="279"/>
      <c r="AB1359" s="279"/>
      <c r="AC1359" s="279"/>
      <c r="AD1359" s="279"/>
      <c r="AE1359" s="279"/>
      <c r="AF1359" s="279"/>
      <c r="AG1359" s="279"/>
      <c r="AH1359" s="279"/>
      <c r="AI1359" s="279"/>
      <c r="AJ1359" s="279"/>
      <c r="AK1359" s="279"/>
      <c r="AL1359" s="279"/>
      <c r="AM1359" s="279"/>
      <c r="AN1359" s="279"/>
      <c r="AO1359" s="279"/>
      <c r="AP1359" s="279"/>
      <c r="AQ1359" s="279"/>
      <c r="AR1359" s="279"/>
      <c r="AS1359" s="279"/>
      <c r="AT1359" s="279"/>
      <c r="AU1359" s="279"/>
      <c r="AV1359" s="279"/>
      <c r="AW1359" s="279"/>
      <c r="AX1359" s="279"/>
      <c r="AY1359" s="279"/>
      <c r="AZ1359" s="279"/>
      <c r="BA1359" s="279"/>
      <c r="BB1359" s="279"/>
      <c r="BC1359" s="279"/>
      <c r="BD1359" s="279"/>
      <c r="BE1359" s="279"/>
      <c r="BF1359" s="279"/>
      <c r="BG1359" s="279"/>
      <c r="BH1359" s="279"/>
      <c r="BI1359" s="279"/>
      <c r="BJ1359" s="279"/>
      <c r="BK1359" s="279"/>
      <c r="BL1359" s="279"/>
      <c r="BM1359" s="279"/>
      <c r="BN1359" s="279"/>
      <c r="BO1359" s="279"/>
      <c r="BP1359" s="279"/>
      <c r="BQ1359" s="279"/>
      <c r="BR1359" s="279"/>
      <c r="BS1359" s="279"/>
      <c r="BT1359" s="279"/>
      <c r="BU1359" s="279"/>
      <c r="BV1359" s="279"/>
      <c r="BW1359" s="279"/>
      <c r="BX1359" s="279"/>
      <c r="BY1359" s="279"/>
      <c r="BZ1359" s="279"/>
      <c r="CA1359" s="279"/>
      <c r="CB1359" s="279"/>
      <c r="CC1359" s="279"/>
      <c r="CD1359" s="279"/>
      <c r="CE1359" s="279"/>
      <c r="CF1359" s="279"/>
      <c r="CG1359" s="279"/>
      <c r="CH1359" s="279"/>
      <c r="CI1359" s="279"/>
      <c r="CJ1359" s="279"/>
      <c r="CK1359" s="279"/>
      <c r="CL1359" s="279"/>
      <c r="CM1359" s="279"/>
      <c r="CN1359" s="382"/>
    </row>
    <row r="1360" x14ac:dyDescent="0.3">
      <c r="B1360" s="361"/>
      <c r="C1360" s="279"/>
      <c r="D1360" s="280"/>
      <c r="E1360" s="287"/>
      <c r="F1360" s="287"/>
      <c r="G1360" s="287"/>
      <c r="H1360" s="280"/>
      <c r="I1360" s="304"/>
      <c r="J1360" s="279"/>
      <c r="K1360" s="280"/>
      <c r="L1360" s="362"/>
      <c r="M1360" s="287"/>
      <c r="N1360" s="296"/>
      <c r="O1360" s="280"/>
      <c r="P1360" s="280"/>
      <c r="Q1360" s="279"/>
      <c r="R1360" s="297"/>
      <c r="S1360" s="298"/>
      <c r="T1360" s="298"/>
      <c r="U1360" s="299"/>
      <c r="V1360" s="279"/>
      <c r="W1360" s="279"/>
      <c r="X1360" s="279"/>
      <c r="Y1360" s="279"/>
      <c r="Z1360" s="279"/>
      <c r="AA1360" s="279"/>
      <c r="AB1360" s="279"/>
      <c r="AC1360" s="279"/>
      <c r="AD1360" s="279"/>
      <c r="AE1360" s="279"/>
      <c r="AF1360" s="279"/>
      <c r="AG1360" s="279"/>
      <c r="AH1360" s="279"/>
      <c r="AI1360" s="279"/>
      <c r="AJ1360" s="279"/>
      <c r="AK1360" s="279"/>
      <c r="AL1360" s="279"/>
      <c r="AM1360" s="279"/>
      <c r="AN1360" s="279"/>
      <c r="AO1360" s="279"/>
      <c r="AP1360" s="279"/>
      <c r="AQ1360" s="279"/>
      <c r="AR1360" s="279"/>
      <c r="AS1360" s="279"/>
      <c r="AT1360" s="279"/>
      <c r="AU1360" s="279"/>
      <c r="AV1360" s="279"/>
      <c r="AW1360" s="279"/>
      <c r="AX1360" s="279"/>
      <c r="AY1360" s="279"/>
      <c r="AZ1360" s="279"/>
      <c r="BA1360" s="279"/>
      <c r="BB1360" s="279"/>
      <c r="BC1360" s="279"/>
      <c r="BD1360" s="279"/>
      <c r="BE1360" s="279"/>
      <c r="BF1360" s="279"/>
      <c r="BG1360" s="279"/>
      <c r="BH1360" s="279"/>
      <c r="BI1360" s="279"/>
      <c r="BJ1360" s="279"/>
      <c r="BK1360" s="279"/>
      <c r="BL1360" s="279"/>
      <c r="BM1360" s="279"/>
      <c r="BN1360" s="279"/>
      <c r="BO1360" s="279"/>
      <c r="BP1360" s="279"/>
      <c r="BQ1360" s="279"/>
      <c r="BR1360" s="279"/>
      <c r="BS1360" s="279"/>
      <c r="BT1360" s="279"/>
      <c r="BU1360" s="279"/>
      <c r="BV1360" s="279"/>
      <c r="BW1360" s="279"/>
      <c r="BX1360" s="279"/>
      <c r="BY1360" s="279"/>
      <c r="BZ1360" s="279"/>
      <c r="CA1360" s="279"/>
      <c r="CB1360" s="279"/>
      <c r="CC1360" s="279"/>
      <c r="CD1360" s="279"/>
      <c r="CE1360" s="279"/>
      <c r="CF1360" s="279"/>
      <c r="CG1360" s="279"/>
      <c r="CH1360" s="279"/>
      <c r="CI1360" s="279"/>
      <c r="CJ1360" s="279"/>
      <c r="CK1360" s="279"/>
      <c r="CL1360" s="279"/>
      <c r="CM1360" s="279"/>
      <c r="CN1360" s="382"/>
    </row>
    <row r="1361" ht="16.2" thickBot="true" x14ac:dyDescent="0.35">
      <c r="B1361" s="361"/>
      <c r="C1361" s="279"/>
      <c r="D1361" s="280"/>
      <c r="E1361" s="287"/>
      <c r="F1361" s="287"/>
      <c r="G1361" s="287"/>
      <c r="H1361" s="280"/>
      <c r="I1361" s="304"/>
      <c r="J1361" s="279"/>
      <c r="K1361" s="280"/>
      <c r="L1361" s="362"/>
      <c r="M1361" s="287"/>
      <c r="N1361" s="296"/>
      <c r="O1361" s="280"/>
      <c r="P1361" s="280"/>
      <c r="Q1361" s="279"/>
      <c r="R1361" s="297"/>
      <c r="S1361" s="298"/>
      <c r="T1361" s="298"/>
      <c r="U1361" s="299"/>
      <c r="V1361" s="279"/>
      <c r="W1361" s="279"/>
      <c r="X1361" s="279"/>
      <c r="Y1361" s="279"/>
      <c r="Z1361" s="279"/>
      <c r="AA1361" s="279"/>
      <c r="AB1361" s="279"/>
      <c r="AC1361" s="279"/>
      <c r="AD1361" s="279"/>
      <c r="AE1361" s="279"/>
      <c r="AF1361" s="279"/>
      <c r="AG1361" s="279"/>
      <c r="AH1361" s="279"/>
      <c r="AI1361" s="279"/>
      <c r="AJ1361" s="279"/>
      <c r="AK1361" s="279"/>
      <c r="AL1361" s="279"/>
      <c r="AM1361" s="279"/>
      <c r="AN1361" s="279"/>
      <c r="AO1361" s="279"/>
      <c r="AP1361" s="279"/>
      <c r="AQ1361" s="279"/>
      <c r="AR1361" s="279"/>
      <c r="AS1361" s="279"/>
      <c r="AT1361" s="279"/>
      <c r="AU1361" s="279"/>
      <c r="AV1361" s="279"/>
      <c r="AW1361" s="279"/>
      <c r="AX1361" s="279"/>
      <c r="AY1361" s="279"/>
      <c r="AZ1361" s="279"/>
      <c r="BA1361" s="279"/>
      <c r="BB1361" s="279"/>
      <c r="BC1361" s="279"/>
      <c r="BD1361" s="279"/>
      <c r="BE1361" s="279"/>
      <c r="BF1361" s="279"/>
      <c r="BG1361" s="279"/>
      <c r="BH1361" s="279"/>
      <c r="BI1361" s="279"/>
      <c r="BJ1361" s="279"/>
      <c r="BK1361" s="279"/>
      <c r="BL1361" s="279"/>
      <c r="BM1361" s="279"/>
      <c r="BN1361" s="279"/>
      <c r="BO1361" s="279"/>
      <c r="BP1361" s="279"/>
      <c r="BQ1361" s="279"/>
      <c r="BR1361" s="279"/>
      <c r="BS1361" s="279"/>
      <c r="BT1361" s="279"/>
      <c r="BU1361" s="279"/>
      <c r="BV1361" s="279"/>
      <c r="BW1361" s="279"/>
      <c r="BX1361" s="279"/>
      <c r="BY1361" s="279"/>
      <c r="BZ1361" s="279"/>
      <c r="CA1361" s="279"/>
      <c r="CB1361" s="279"/>
      <c r="CC1361" s="279"/>
      <c r="CD1361" s="279"/>
      <c r="CE1361" s="279"/>
      <c r="CF1361" s="279"/>
      <c r="CG1361" s="279"/>
      <c r="CH1361" s="279"/>
      <c r="CI1361" s="279"/>
      <c r="CJ1361" s="279"/>
      <c r="CK1361" s="279"/>
      <c r="CL1361" s="279"/>
      <c r="CM1361" s="279"/>
      <c r="CN1361" s="382"/>
    </row>
    <row r="1362" ht="27" customHeight="true" thickBot="true" x14ac:dyDescent="0.35">
      <c r="B1362" s="361"/>
      <c r="C1362" s="279"/>
      <c r="D1362" s="280"/>
      <c r="E1362" s="287"/>
      <c r="F1362" s="287"/>
      <c r="G1362" s="287"/>
      <c r="H1362" s="1950" t="s">
        <v>962</v>
      </c>
      <c r="I1362" s="1951"/>
      <c r="J1362" s="1951"/>
      <c r="K1362" s="1951"/>
      <c r="L1362" s="1952"/>
      <c r="M1362" s="296"/>
      <c r="N1362" s="280"/>
      <c r="O1362" s="280"/>
      <c r="P1362" s="279"/>
      <c r="Q1362" s="297"/>
      <c r="R1362" s="298"/>
      <c r="S1362" s="298"/>
      <c r="T1362" s="299"/>
      <c r="U1362" s="279"/>
      <c r="V1362" s="279"/>
      <c r="W1362" s="279"/>
      <c r="X1362" s="279"/>
      <c r="Y1362" s="279"/>
      <c r="Z1362" s="279"/>
      <c r="AA1362" s="279"/>
      <c r="AB1362" s="279"/>
      <c r="AC1362" s="279"/>
      <c r="AD1362" s="279"/>
      <c r="AE1362" s="279"/>
      <c r="AF1362" s="279"/>
      <c r="AG1362" s="279"/>
      <c r="AH1362" s="279"/>
      <c r="AI1362" s="279"/>
      <c r="AJ1362" s="279"/>
      <c r="AK1362" s="279"/>
      <c r="AL1362" s="279"/>
      <c r="AM1362" s="279"/>
      <c r="AN1362" s="279"/>
      <c r="AO1362" s="279"/>
      <c r="AP1362" s="279"/>
      <c r="AQ1362" s="279"/>
      <c r="AR1362" s="279"/>
      <c r="AS1362" s="279"/>
      <c r="AT1362" s="279"/>
      <c r="AU1362" s="279"/>
      <c r="AV1362" s="279"/>
      <c r="AW1362" s="279"/>
      <c r="AX1362" s="279"/>
      <c r="AY1362" s="279"/>
      <c r="AZ1362" s="279"/>
      <c r="BA1362" s="279"/>
      <c r="BB1362" s="279"/>
      <c r="BC1362" s="279"/>
      <c r="BD1362" s="279"/>
      <c r="BE1362" s="279"/>
      <c r="BF1362" s="279"/>
      <c r="BG1362" s="279"/>
      <c r="BH1362" s="279"/>
      <c r="BI1362" s="279"/>
      <c r="BJ1362" s="279"/>
      <c r="BK1362" s="279"/>
      <c r="BL1362" s="279"/>
      <c r="BM1362" s="279"/>
      <c r="BN1362" s="279"/>
      <c r="BO1362" s="279"/>
      <c r="BP1362" s="279"/>
      <c r="BQ1362" s="279"/>
      <c r="BR1362" s="279"/>
      <c r="BS1362" s="279"/>
      <c r="BT1362" s="279"/>
      <c r="BU1362" s="279"/>
      <c r="BV1362" s="279"/>
      <c r="BW1362" s="279"/>
      <c r="BX1362" s="279"/>
      <c r="BY1362" s="279"/>
      <c r="BZ1362" s="279"/>
      <c r="CA1362" s="279"/>
      <c r="CB1362" s="279"/>
      <c r="CC1362" s="279"/>
      <c r="CD1362" s="279"/>
      <c r="CE1362" s="279"/>
      <c r="CF1362" s="279"/>
      <c r="CG1362" s="279"/>
      <c r="CH1362" s="279"/>
      <c r="CI1362" s="279"/>
      <c r="CJ1362" s="279"/>
      <c r="CK1362" s="279"/>
      <c r="CL1362" s="279"/>
      <c r="CM1362" s="279"/>
      <c r="CN1362" s="382"/>
    </row>
    <row r="1363" ht="31.2" x14ac:dyDescent="0.3">
      <c r="B1363" s="361"/>
      <c r="C1363" s="279"/>
      <c r="D1363" s="280"/>
      <c r="E1363" s="287"/>
      <c r="F1363" s="287"/>
      <c r="G1363" s="287"/>
      <c r="H1363" s="282" t="s">
        <v>1469</v>
      </c>
      <c r="I1363" s="1166" t="s">
        <v>289</v>
      </c>
      <c r="J1363" s="1166" t="s">
        <v>963</v>
      </c>
      <c r="K1363" s="1186" t="s">
        <v>964</v>
      </c>
      <c r="L1363" s="291" t="s">
        <v>965</v>
      </c>
      <c r="M1363" s="296"/>
      <c r="N1363" s="280"/>
      <c r="O1363" s="280"/>
      <c r="P1363" s="279"/>
      <c r="Q1363" s="297"/>
      <c r="R1363" s="298"/>
      <c r="S1363" s="298"/>
      <c r="T1363" s="299"/>
      <c r="U1363" s="279"/>
      <c r="V1363" s="279"/>
      <c r="W1363" s="279"/>
      <c r="X1363" s="279"/>
      <c r="Y1363" s="279"/>
      <c r="Z1363" s="279"/>
      <c r="AA1363" s="279"/>
      <c r="AB1363" s="279"/>
      <c r="AC1363" s="279"/>
      <c r="AD1363" s="279"/>
      <c r="AE1363" s="279"/>
      <c r="AF1363" s="279"/>
      <c r="AG1363" s="279"/>
      <c r="AH1363" s="279"/>
      <c r="AI1363" s="279"/>
      <c r="AJ1363" s="279"/>
      <c r="AK1363" s="279"/>
      <c r="AL1363" s="279"/>
      <c r="AM1363" s="279"/>
      <c r="AN1363" s="279"/>
      <c r="AO1363" s="279"/>
      <c r="AP1363" s="279"/>
      <c r="AQ1363" s="279"/>
      <c r="AR1363" s="279"/>
      <c r="AS1363" s="279"/>
      <c r="AT1363" s="279"/>
      <c r="AU1363" s="279"/>
      <c r="AV1363" s="279"/>
      <c r="AW1363" s="279"/>
      <c r="AX1363" s="279"/>
      <c r="AY1363" s="279"/>
      <c r="AZ1363" s="279"/>
      <c r="BA1363" s="279"/>
      <c r="BB1363" s="279"/>
      <c r="BC1363" s="279"/>
      <c r="BD1363" s="279"/>
      <c r="BE1363" s="279"/>
      <c r="BF1363" s="279"/>
      <c r="BG1363" s="279"/>
      <c r="BH1363" s="279"/>
      <c r="BI1363" s="279"/>
      <c r="BJ1363" s="279"/>
      <c r="BK1363" s="279"/>
      <c r="BL1363" s="279"/>
      <c r="BM1363" s="279"/>
      <c r="BN1363" s="279"/>
      <c r="BO1363" s="279"/>
      <c r="BP1363" s="279"/>
      <c r="BQ1363" s="279"/>
      <c r="BR1363" s="279"/>
      <c r="BS1363" s="279"/>
      <c r="BT1363" s="279"/>
      <c r="BU1363" s="279"/>
      <c r="BV1363" s="279"/>
      <c r="BW1363" s="279"/>
      <c r="BX1363" s="279"/>
      <c r="BY1363" s="279"/>
      <c r="BZ1363" s="279"/>
      <c r="CA1363" s="279"/>
      <c r="CB1363" s="279"/>
      <c r="CC1363" s="279"/>
      <c r="CD1363" s="279"/>
      <c r="CE1363" s="279"/>
      <c r="CF1363" s="279"/>
      <c r="CG1363" s="279"/>
      <c r="CH1363" s="279"/>
      <c r="CI1363" s="279"/>
      <c r="CJ1363" s="279"/>
      <c r="CK1363" s="279"/>
      <c r="CL1363" s="279"/>
      <c r="CM1363" s="279"/>
      <c r="CN1363" s="382"/>
    </row>
    <row r="1364" x14ac:dyDescent="0.3">
      <c r="B1364" s="361"/>
      <c r="C1364" s="279"/>
      <c r="D1364" s="280"/>
      <c r="E1364" s="287"/>
      <c r="F1364" s="287"/>
      <c r="G1364" s="287"/>
      <c r="H1364" s="1292">
        <f t="shared" ref="H1364:H1413" si="70">H142</f>
        <v>1</v>
      </c>
      <c r="I1364" s="1190">
        <f>'I. Stream &amp; Compound Data'!P262</f>
        <v>2980.7504537999998</v>
      </c>
      <c r="J1364" s="1295">
        <f>IF(I142="","",IF('I. Stream &amp; Compound Data'!CD262&lt;&gt;"",'I. Stream &amp; Compound Data'!CD262,'I. Stream &amp; Compound Data'!CE262))</f>
        <v>0</v>
      </c>
      <c r="K1364" s="1295">
        <f t="shared" ref="K1364:K1383" si="71">IF(I142="","",I1364*J1364)</f>
        <v>0</v>
      </c>
      <c r="L1364" s="1317">
        <f>IF(K1364="","",IF('I. Stream &amp; Compound Data'!E32="H2O",0,(IF(J1364=0,1,J1364))*I1364))</f>
        <v>2980.7504537999998</v>
      </c>
      <c r="M1364" s="296"/>
      <c r="N1364" s="280"/>
      <c r="O1364" s="280"/>
      <c r="P1364" s="279"/>
      <c r="Q1364" s="297"/>
      <c r="R1364" s="298"/>
      <c r="S1364" s="298"/>
      <c r="T1364" s="299"/>
      <c r="U1364" s="279"/>
      <c r="V1364" s="279"/>
      <c r="W1364" s="279"/>
      <c r="X1364" s="279"/>
      <c r="Y1364" s="279"/>
      <c r="Z1364" s="279"/>
      <c r="AA1364" s="279"/>
      <c r="AB1364" s="279"/>
      <c r="AC1364" s="279"/>
      <c r="AD1364" s="279"/>
      <c r="AE1364" s="279"/>
      <c r="AF1364" s="279"/>
      <c r="AG1364" s="279"/>
      <c r="AH1364" s="279"/>
      <c r="AI1364" s="279"/>
      <c r="AJ1364" s="279"/>
      <c r="AK1364" s="279"/>
      <c r="AL1364" s="279"/>
      <c r="AM1364" s="279"/>
      <c r="AN1364" s="279"/>
      <c r="AO1364" s="279"/>
      <c r="AP1364" s="279"/>
      <c r="AQ1364" s="279"/>
      <c r="AR1364" s="279"/>
      <c r="AS1364" s="279"/>
      <c r="AT1364" s="279"/>
      <c r="AU1364" s="279"/>
      <c r="AV1364" s="279"/>
      <c r="AW1364" s="279"/>
      <c r="AX1364" s="279"/>
      <c r="AY1364" s="279"/>
      <c r="AZ1364" s="279"/>
      <c r="BA1364" s="279"/>
      <c r="BB1364" s="279"/>
      <c r="BC1364" s="279"/>
      <c r="BD1364" s="279"/>
      <c r="BE1364" s="279"/>
      <c r="BF1364" s="279"/>
      <c r="BG1364" s="279"/>
      <c r="BH1364" s="279"/>
      <c r="BI1364" s="279"/>
      <c r="BJ1364" s="279"/>
      <c r="BK1364" s="279"/>
      <c r="BL1364" s="279"/>
      <c r="BM1364" s="279"/>
      <c r="BN1364" s="279"/>
      <c r="BO1364" s="279"/>
      <c r="BP1364" s="279"/>
      <c r="BQ1364" s="279"/>
      <c r="BR1364" s="279"/>
      <c r="BS1364" s="279"/>
      <c r="BT1364" s="279"/>
      <c r="BU1364" s="279"/>
      <c r="BV1364" s="279"/>
      <c r="BW1364" s="279"/>
      <c r="BX1364" s="279"/>
      <c r="BY1364" s="279"/>
      <c r="BZ1364" s="279"/>
      <c r="CA1364" s="279"/>
      <c r="CB1364" s="279"/>
      <c r="CC1364" s="279"/>
      <c r="CD1364" s="279"/>
      <c r="CE1364" s="279"/>
      <c r="CF1364" s="279"/>
      <c r="CG1364" s="279"/>
      <c r="CH1364" s="279"/>
      <c r="CI1364" s="279"/>
      <c r="CJ1364" s="279"/>
      <c r="CK1364" s="279"/>
      <c r="CL1364" s="279"/>
      <c r="CM1364" s="279"/>
      <c r="CN1364" s="382"/>
    </row>
    <row r="1365" x14ac:dyDescent="0.3">
      <c r="B1365" s="361"/>
      <c r="C1365" s="279"/>
      <c r="D1365" s="280"/>
      <c r="E1365" s="287"/>
      <c r="F1365" s="287"/>
      <c r="G1365" s="287"/>
      <c r="H1365" s="1292">
        <f t="shared" si="70"/>
        <v>2</v>
      </c>
      <c r="I1365" s="1190">
        <f>'I. Stream &amp; Compound Data'!P263</f>
        <v>0</v>
      </c>
      <c r="J1365" s="1295">
        <f>IF(I143="","",IF('I. Stream &amp; Compound Data'!CD263&lt;&gt;"",'I. Stream &amp; Compound Data'!CD263,'I. Stream &amp; Compound Data'!CE263))</f>
        <v>0</v>
      </c>
      <c r="K1365" s="1295">
        <f t="shared" si="71"/>
        <v>0</v>
      </c>
      <c r="L1365" s="1317">
        <f>IF(K1365="","",IF('I. Stream &amp; Compound Data'!E33="H2O",0,(IF(J1365=0,1,J1365))*I1365))</f>
        <v>0</v>
      </c>
      <c r="M1365" s="296"/>
      <c r="N1365" s="280"/>
      <c r="O1365" s="280"/>
      <c r="P1365" s="279"/>
      <c r="Q1365" s="297"/>
      <c r="R1365" s="298"/>
      <c r="S1365" s="298"/>
      <c r="T1365" s="299"/>
      <c r="U1365" s="279"/>
      <c r="V1365" s="279"/>
      <c r="W1365" s="279"/>
      <c r="X1365" s="279"/>
      <c r="Y1365" s="279"/>
      <c r="Z1365" s="279"/>
      <c r="AA1365" s="279"/>
      <c r="AB1365" s="279"/>
      <c r="AC1365" s="279"/>
      <c r="AD1365" s="279"/>
      <c r="AE1365" s="279"/>
      <c r="AF1365" s="279"/>
      <c r="AG1365" s="279"/>
      <c r="AH1365" s="279"/>
      <c r="AI1365" s="279"/>
      <c r="AJ1365" s="279"/>
      <c r="AK1365" s="279"/>
      <c r="AL1365" s="279"/>
      <c r="AM1365" s="279"/>
      <c r="AN1365" s="279"/>
      <c r="AO1365" s="279"/>
      <c r="AP1365" s="279"/>
      <c r="AQ1365" s="279"/>
      <c r="AR1365" s="279"/>
      <c r="AS1365" s="279"/>
      <c r="AT1365" s="279"/>
      <c r="AU1365" s="279"/>
      <c r="AV1365" s="279"/>
      <c r="AW1365" s="279"/>
      <c r="AX1365" s="279"/>
      <c r="AY1365" s="279"/>
      <c r="AZ1365" s="279"/>
      <c r="BA1365" s="279"/>
      <c r="BB1365" s="279"/>
      <c r="BC1365" s="279"/>
      <c r="BD1365" s="279"/>
      <c r="BE1365" s="279"/>
      <c r="BF1365" s="279"/>
      <c r="BG1365" s="279"/>
      <c r="BH1365" s="279"/>
      <c r="BI1365" s="279"/>
      <c r="BJ1365" s="279"/>
      <c r="BK1365" s="279"/>
      <c r="BL1365" s="279"/>
      <c r="BM1365" s="279"/>
      <c r="BN1365" s="279"/>
      <c r="BO1365" s="279"/>
      <c r="BP1365" s="279"/>
      <c r="BQ1365" s="279"/>
      <c r="BR1365" s="279"/>
      <c r="BS1365" s="279"/>
      <c r="BT1365" s="279"/>
      <c r="BU1365" s="279"/>
      <c r="BV1365" s="279"/>
      <c r="BW1365" s="279"/>
      <c r="BX1365" s="279"/>
      <c r="BY1365" s="279"/>
      <c r="BZ1365" s="279"/>
      <c r="CA1365" s="279"/>
      <c r="CB1365" s="279"/>
      <c r="CC1365" s="279"/>
      <c r="CD1365" s="279"/>
      <c r="CE1365" s="279"/>
      <c r="CF1365" s="279"/>
      <c r="CG1365" s="279"/>
      <c r="CH1365" s="279"/>
      <c r="CI1365" s="279"/>
      <c r="CJ1365" s="279"/>
      <c r="CK1365" s="279"/>
      <c r="CL1365" s="279"/>
      <c r="CM1365" s="279"/>
      <c r="CN1365" s="382"/>
    </row>
    <row r="1366" x14ac:dyDescent="0.3">
      <c r="B1366" s="361"/>
      <c r="C1366" s="279"/>
      <c r="D1366" s="280"/>
      <c r="E1366" s="287"/>
      <c r="F1366" s="287"/>
      <c r="G1366" s="287"/>
      <c r="H1366" s="1292">
        <f t="shared" si="70"/>
        <v>3</v>
      </c>
      <c r="I1366" s="1190">
        <f>'I. Stream &amp; Compound Data'!P264</f>
        <v>0</v>
      </c>
      <c r="J1366" s="1295">
        <f>IF(I144="","",IF('I. Stream &amp; Compound Data'!CD264&lt;&gt;"",'I. Stream &amp; Compound Data'!CD264,'I. Stream &amp; Compound Data'!CE264))</f>
        <v>0</v>
      </c>
      <c r="K1366" s="1295">
        <f t="shared" si="71"/>
        <v>0</v>
      </c>
      <c r="L1366" s="1317">
        <f>IF(K1366="","",IF('I. Stream &amp; Compound Data'!E34="H2O",0,(IF(J1366=0,1,J1366))*I1366))</f>
        <v>0</v>
      </c>
      <c r="M1366" s="296"/>
      <c r="N1366" s="280"/>
      <c r="O1366" s="280"/>
      <c r="P1366" s="279"/>
      <c r="Q1366" s="297"/>
      <c r="R1366" s="298"/>
      <c r="S1366" s="298"/>
      <c r="T1366" s="299"/>
      <c r="U1366" s="279"/>
      <c r="V1366" s="279"/>
      <c r="W1366" s="279"/>
      <c r="X1366" s="279"/>
      <c r="Y1366" s="279"/>
      <c r="Z1366" s="279"/>
      <c r="AA1366" s="279"/>
      <c r="AB1366" s="279"/>
      <c r="AC1366" s="279"/>
      <c r="AD1366" s="279"/>
      <c r="AE1366" s="279"/>
      <c r="AF1366" s="279"/>
      <c r="AG1366" s="279"/>
      <c r="AH1366" s="279"/>
      <c r="AI1366" s="279"/>
      <c r="AJ1366" s="279"/>
      <c r="AK1366" s="279"/>
      <c r="AL1366" s="279"/>
      <c r="AM1366" s="279"/>
      <c r="AN1366" s="279"/>
      <c r="AO1366" s="279"/>
      <c r="AP1366" s="279"/>
      <c r="AQ1366" s="279"/>
      <c r="AR1366" s="279"/>
      <c r="AS1366" s="279"/>
      <c r="AT1366" s="279"/>
      <c r="AU1366" s="279"/>
      <c r="AV1366" s="279"/>
      <c r="AW1366" s="279"/>
      <c r="AX1366" s="279"/>
      <c r="AY1366" s="279"/>
      <c r="AZ1366" s="279"/>
      <c r="BA1366" s="279"/>
      <c r="BB1366" s="279"/>
      <c r="BC1366" s="279"/>
      <c r="BD1366" s="279"/>
      <c r="BE1366" s="279"/>
      <c r="BF1366" s="279"/>
      <c r="BG1366" s="279"/>
      <c r="BH1366" s="279"/>
      <c r="BI1366" s="279"/>
      <c r="BJ1366" s="279"/>
      <c r="BK1366" s="279"/>
      <c r="BL1366" s="279"/>
      <c r="BM1366" s="279"/>
      <c r="BN1366" s="279"/>
      <c r="BO1366" s="279"/>
      <c r="BP1366" s="279"/>
      <c r="BQ1366" s="279"/>
      <c r="BR1366" s="279"/>
      <c r="BS1366" s="279"/>
      <c r="BT1366" s="279"/>
      <c r="BU1366" s="279"/>
      <c r="BV1366" s="279"/>
      <c r="BW1366" s="279"/>
      <c r="BX1366" s="279"/>
      <c r="BY1366" s="279"/>
      <c r="BZ1366" s="279"/>
      <c r="CA1366" s="279"/>
      <c r="CB1366" s="279"/>
      <c r="CC1366" s="279"/>
      <c r="CD1366" s="279"/>
      <c r="CE1366" s="279"/>
      <c r="CF1366" s="279"/>
      <c r="CG1366" s="279"/>
      <c r="CH1366" s="279"/>
      <c r="CI1366" s="279"/>
      <c r="CJ1366" s="279"/>
      <c r="CK1366" s="279"/>
      <c r="CL1366" s="279"/>
      <c r="CM1366" s="279"/>
      <c r="CN1366" s="382"/>
    </row>
    <row r="1367" x14ac:dyDescent="0.3">
      <c r="B1367" s="361"/>
      <c r="C1367" s="279"/>
      <c r="D1367" s="280"/>
      <c r="E1367" s="287"/>
      <c r="F1367" s="287"/>
      <c r="G1367" s="287"/>
      <c r="H1367" s="1292">
        <f t="shared" si="70"/>
        <v>4</v>
      </c>
      <c r="I1367" s="1190">
        <f>'I. Stream &amp; Compound Data'!P265</f>
        <v>0</v>
      </c>
      <c r="J1367" s="1295">
        <f>IF(I145="","",IF('I. Stream &amp; Compound Data'!CD265&lt;&gt;"",'I. Stream &amp; Compound Data'!CD265,'I. Stream &amp; Compound Data'!CE265))</f>
        <v>0</v>
      </c>
      <c r="K1367" s="1295">
        <f t="shared" si="71"/>
        <v>0</v>
      </c>
      <c r="L1367" s="1317">
        <f>IF(K1367="","",IF('I. Stream &amp; Compound Data'!E35="H2O",0,(IF(J1367=0,1,J1367))*I1367))</f>
        <v>0</v>
      </c>
      <c r="M1367" s="296"/>
      <c r="N1367" s="280"/>
      <c r="O1367" s="280"/>
      <c r="P1367" s="279"/>
      <c r="Q1367" s="297"/>
      <c r="R1367" s="298"/>
      <c r="S1367" s="298"/>
      <c r="T1367" s="299"/>
      <c r="U1367" s="279"/>
      <c r="V1367" s="279"/>
      <c r="W1367" s="279"/>
      <c r="X1367" s="279"/>
      <c r="Y1367" s="279"/>
      <c r="Z1367" s="279"/>
      <c r="AA1367" s="279"/>
      <c r="AB1367" s="279"/>
      <c r="AC1367" s="279"/>
      <c r="AD1367" s="279"/>
      <c r="AE1367" s="279"/>
      <c r="AF1367" s="279"/>
      <c r="AG1367" s="279"/>
      <c r="AH1367" s="279"/>
      <c r="AI1367" s="279"/>
      <c r="AJ1367" s="279"/>
      <c r="AK1367" s="279"/>
      <c r="AL1367" s="279"/>
      <c r="AM1367" s="279"/>
      <c r="AN1367" s="279"/>
      <c r="AO1367" s="279"/>
      <c r="AP1367" s="279"/>
      <c r="AQ1367" s="279"/>
      <c r="AR1367" s="279"/>
      <c r="AS1367" s="279"/>
      <c r="AT1367" s="279"/>
      <c r="AU1367" s="279"/>
      <c r="AV1367" s="279"/>
      <c r="AW1367" s="279"/>
      <c r="AX1367" s="279"/>
      <c r="AY1367" s="279"/>
      <c r="AZ1367" s="279"/>
      <c r="BA1367" s="279"/>
      <c r="BB1367" s="279"/>
      <c r="BC1367" s="279"/>
      <c r="BD1367" s="279"/>
      <c r="BE1367" s="279"/>
      <c r="BF1367" s="279"/>
      <c r="BG1367" s="279"/>
      <c r="BH1367" s="279"/>
      <c r="BI1367" s="279"/>
      <c r="BJ1367" s="279"/>
      <c r="BK1367" s="279"/>
      <c r="BL1367" s="279"/>
      <c r="BM1367" s="279"/>
      <c r="BN1367" s="279"/>
      <c r="BO1367" s="279"/>
      <c r="BP1367" s="279"/>
      <c r="BQ1367" s="279"/>
      <c r="BR1367" s="279"/>
      <c r="BS1367" s="279"/>
      <c r="BT1367" s="279"/>
      <c r="BU1367" s="279"/>
      <c r="BV1367" s="279"/>
      <c r="BW1367" s="279"/>
      <c r="BX1367" s="279"/>
      <c r="BY1367" s="279"/>
      <c r="BZ1367" s="279"/>
      <c r="CA1367" s="279"/>
      <c r="CB1367" s="279"/>
      <c r="CC1367" s="279"/>
      <c r="CD1367" s="279"/>
      <c r="CE1367" s="279"/>
      <c r="CF1367" s="279"/>
      <c r="CG1367" s="279"/>
      <c r="CH1367" s="279"/>
      <c r="CI1367" s="279"/>
      <c r="CJ1367" s="279"/>
      <c r="CK1367" s="279"/>
      <c r="CL1367" s="279"/>
      <c r="CM1367" s="279"/>
      <c r="CN1367" s="382"/>
    </row>
    <row r="1368" x14ac:dyDescent="0.3">
      <c r="B1368" s="361"/>
      <c r="C1368" s="279"/>
      <c r="D1368" s="280"/>
      <c r="E1368" s="287"/>
      <c r="F1368" s="287"/>
      <c r="G1368" s="287"/>
      <c r="H1368" s="1292">
        <f t="shared" si="70"/>
        <v>5</v>
      </c>
      <c r="I1368" s="1190" t="str">
        <f>'I. Stream &amp; Compound Data'!P266</f>
        <v/>
      </c>
      <c r="J1368" s="1295" t="str">
        <f>IF(I146="","",IF('I. Stream &amp; Compound Data'!CD266&lt;&gt;"",'I. Stream &amp; Compound Data'!CD266,'I. Stream &amp; Compound Data'!CE266))</f>
        <v/>
      </c>
      <c r="K1368" s="1295" t="str">
        <f t="shared" si="71"/>
        <v/>
      </c>
      <c r="L1368" s="1317" t="str">
        <f>IF(K1368="","",IF('I. Stream &amp; Compound Data'!E36="H2O",0,(IF(J1368=0,1,J1368))*I1368))</f>
        <v/>
      </c>
      <c r="M1368" s="296"/>
      <c r="N1368" s="280"/>
      <c r="O1368" s="280"/>
      <c r="P1368" s="279"/>
      <c r="Q1368" s="297"/>
      <c r="R1368" s="298"/>
      <c r="S1368" s="298"/>
      <c r="T1368" s="299"/>
      <c r="U1368" s="279"/>
      <c r="V1368" s="279"/>
      <c r="W1368" s="279"/>
      <c r="X1368" s="279"/>
      <c r="Y1368" s="279"/>
      <c r="Z1368" s="279"/>
      <c r="AA1368" s="279"/>
      <c r="AB1368" s="279"/>
      <c r="AC1368" s="279"/>
      <c r="AD1368" s="279"/>
      <c r="AE1368" s="279"/>
      <c r="AF1368" s="279"/>
      <c r="AG1368" s="279"/>
      <c r="AH1368" s="279"/>
      <c r="AI1368" s="279"/>
      <c r="AJ1368" s="279"/>
      <c r="AK1368" s="279"/>
      <c r="AL1368" s="279"/>
      <c r="AM1368" s="279"/>
      <c r="AN1368" s="279"/>
      <c r="AO1368" s="279"/>
      <c r="AP1368" s="279"/>
      <c r="AQ1368" s="279"/>
      <c r="AR1368" s="279"/>
      <c r="AS1368" s="279"/>
      <c r="AT1368" s="279"/>
      <c r="AU1368" s="279"/>
      <c r="AV1368" s="279"/>
      <c r="AW1368" s="279"/>
      <c r="AX1368" s="279"/>
      <c r="AY1368" s="279"/>
      <c r="AZ1368" s="279"/>
      <c r="BA1368" s="279"/>
      <c r="BB1368" s="279"/>
      <c r="BC1368" s="279"/>
      <c r="BD1368" s="279"/>
      <c r="BE1368" s="279"/>
      <c r="BF1368" s="279"/>
      <c r="BG1368" s="279"/>
      <c r="BH1368" s="279"/>
      <c r="BI1368" s="279"/>
      <c r="BJ1368" s="279"/>
      <c r="BK1368" s="279"/>
      <c r="BL1368" s="279"/>
      <c r="BM1368" s="279"/>
      <c r="BN1368" s="279"/>
      <c r="BO1368" s="279"/>
      <c r="BP1368" s="279"/>
      <c r="BQ1368" s="279"/>
      <c r="BR1368" s="279"/>
      <c r="BS1368" s="279"/>
      <c r="BT1368" s="279"/>
      <c r="BU1368" s="279"/>
      <c r="BV1368" s="279"/>
      <c r="BW1368" s="279"/>
      <c r="BX1368" s="279"/>
      <c r="BY1368" s="279"/>
      <c r="BZ1368" s="279"/>
      <c r="CA1368" s="279"/>
      <c r="CB1368" s="279"/>
      <c r="CC1368" s="279"/>
      <c r="CD1368" s="279"/>
      <c r="CE1368" s="279"/>
      <c r="CF1368" s="279"/>
      <c r="CG1368" s="279"/>
      <c r="CH1368" s="279"/>
      <c r="CI1368" s="279"/>
      <c r="CJ1368" s="279"/>
      <c r="CK1368" s="279"/>
      <c r="CL1368" s="279"/>
      <c r="CM1368" s="279"/>
      <c r="CN1368" s="382"/>
    </row>
    <row r="1369" x14ac:dyDescent="0.3">
      <c r="B1369" s="361"/>
      <c r="C1369" s="279"/>
      <c r="D1369" s="280"/>
      <c r="E1369" s="287"/>
      <c r="F1369" s="287"/>
      <c r="G1369" s="287"/>
      <c r="H1369" s="1292">
        <f t="shared" si="70"/>
        <v>6</v>
      </c>
      <c r="I1369" s="1190" t="str">
        <f>'I. Stream &amp; Compound Data'!P267</f>
        <v/>
      </c>
      <c r="J1369" s="1295" t="str">
        <f>IF(I147="","",IF('I. Stream &amp; Compound Data'!CD267&lt;&gt;"",'I. Stream &amp; Compound Data'!CD267,'I. Stream &amp; Compound Data'!CE267))</f>
        <v/>
      </c>
      <c r="K1369" s="1295" t="str">
        <f t="shared" si="71"/>
        <v/>
      </c>
      <c r="L1369" s="1317" t="str">
        <f>IF(K1369="","",IF('I. Stream &amp; Compound Data'!E37="H2O",0,(IF(J1369=0,1,J1369))*I1369))</f>
        <v/>
      </c>
      <c r="M1369" s="296"/>
      <c r="N1369" s="280"/>
      <c r="O1369" s="280"/>
      <c r="P1369" s="279"/>
      <c r="Q1369" s="297"/>
      <c r="R1369" s="298"/>
      <c r="S1369" s="298"/>
      <c r="T1369" s="299"/>
      <c r="U1369" s="279"/>
      <c r="V1369" s="279"/>
      <c r="W1369" s="279"/>
      <c r="X1369" s="279"/>
      <c r="Y1369" s="279"/>
      <c r="Z1369" s="279"/>
      <c r="AA1369" s="279"/>
      <c r="AB1369" s="279"/>
      <c r="AC1369" s="279"/>
      <c r="AD1369" s="279"/>
      <c r="AE1369" s="279"/>
      <c r="AF1369" s="279"/>
      <c r="AG1369" s="279"/>
      <c r="AH1369" s="279"/>
      <c r="AI1369" s="279"/>
      <c r="AJ1369" s="279"/>
      <c r="AK1369" s="279"/>
      <c r="AL1369" s="279"/>
      <c r="AM1369" s="279"/>
      <c r="AN1369" s="279"/>
      <c r="AO1369" s="279"/>
      <c r="AP1369" s="279"/>
      <c r="AQ1369" s="279"/>
      <c r="AR1369" s="279"/>
      <c r="AS1369" s="279"/>
      <c r="AT1369" s="279"/>
      <c r="AU1369" s="279"/>
      <c r="AV1369" s="279"/>
      <c r="AW1369" s="279"/>
      <c r="AX1369" s="279"/>
      <c r="AY1369" s="279"/>
      <c r="AZ1369" s="279"/>
      <c r="BA1369" s="279"/>
      <c r="BB1369" s="279"/>
      <c r="BC1369" s="279"/>
      <c r="BD1369" s="279"/>
      <c r="BE1369" s="279"/>
      <c r="BF1369" s="279"/>
      <c r="BG1369" s="279"/>
      <c r="BH1369" s="279"/>
      <c r="BI1369" s="279"/>
      <c r="BJ1369" s="279"/>
      <c r="BK1369" s="279"/>
      <c r="BL1369" s="279"/>
      <c r="BM1369" s="279"/>
      <c r="BN1369" s="279"/>
      <c r="BO1369" s="279"/>
      <c r="BP1369" s="279"/>
      <c r="BQ1369" s="279"/>
      <c r="BR1369" s="279"/>
      <c r="BS1369" s="279"/>
      <c r="BT1369" s="279"/>
      <c r="BU1369" s="279"/>
      <c r="BV1369" s="279"/>
      <c r="BW1369" s="279"/>
      <c r="BX1369" s="279"/>
      <c r="BY1369" s="279"/>
      <c r="BZ1369" s="279"/>
      <c r="CA1369" s="279"/>
      <c r="CB1369" s="279"/>
      <c r="CC1369" s="279"/>
      <c r="CD1369" s="279"/>
      <c r="CE1369" s="279"/>
      <c r="CF1369" s="279"/>
      <c r="CG1369" s="279"/>
      <c r="CH1369" s="279"/>
      <c r="CI1369" s="279"/>
      <c r="CJ1369" s="279"/>
      <c r="CK1369" s="279"/>
      <c r="CL1369" s="279"/>
      <c r="CM1369" s="279"/>
      <c r="CN1369" s="382"/>
    </row>
    <row r="1370" x14ac:dyDescent="0.3">
      <c r="B1370" s="361"/>
      <c r="C1370" s="279"/>
      <c r="D1370" s="280"/>
      <c r="E1370" s="287"/>
      <c r="F1370" s="287"/>
      <c r="G1370" s="287"/>
      <c r="H1370" s="1292">
        <f t="shared" si="70"/>
        <v>7</v>
      </c>
      <c r="I1370" s="1190" t="str">
        <f>'I. Stream &amp; Compound Data'!P268</f>
        <v/>
      </c>
      <c r="J1370" s="1295" t="str">
        <f>IF(I148="","",IF('I. Stream &amp; Compound Data'!CD268&lt;&gt;"",'I. Stream &amp; Compound Data'!CD268,'I. Stream &amp; Compound Data'!CE268))</f>
        <v/>
      </c>
      <c r="K1370" s="1295" t="str">
        <f t="shared" si="71"/>
        <v/>
      </c>
      <c r="L1370" s="1317" t="str">
        <f>IF(K1370="","",IF('I. Stream &amp; Compound Data'!E38="H2O",0,(IF(J1370=0,1,J1370))*I1370))</f>
        <v/>
      </c>
      <c r="M1370" s="296"/>
      <c r="N1370" s="280"/>
      <c r="O1370" s="280"/>
      <c r="P1370" s="279"/>
      <c r="Q1370" s="297"/>
      <c r="R1370" s="298"/>
      <c r="S1370" s="298"/>
      <c r="T1370" s="299"/>
      <c r="U1370" s="279"/>
      <c r="V1370" s="279"/>
      <c r="W1370" s="279"/>
      <c r="X1370" s="279"/>
      <c r="Y1370" s="279"/>
      <c r="Z1370" s="279"/>
      <c r="AA1370" s="279"/>
      <c r="AB1370" s="279"/>
      <c r="AC1370" s="279"/>
      <c r="AD1370" s="279"/>
      <c r="AE1370" s="279"/>
      <c r="AF1370" s="279"/>
      <c r="AG1370" s="279"/>
      <c r="AH1370" s="279"/>
      <c r="AI1370" s="279"/>
      <c r="AJ1370" s="279"/>
      <c r="AK1370" s="279"/>
      <c r="AL1370" s="279"/>
      <c r="AM1370" s="279"/>
      <c r="AN1370" s="279"/>
      <c r="AO1370" s="279"/>
      <c r="AP1370" s="279"/>
      <c r="AQ1370" s="279"/>
      <c r="AR1370" s="279"/>
      <c r="AS1370" s="279"/>
      <c r="AT1370" s="279"/>
      <c r="AU1370" s="279"/>
      <c r="AV1370" s="279"/>
      <c r="AW1370" s="279"/>
      <c r="AX1370" s="279"/>
      <c r="AY1370" s="279"/>
      <c r="AZ1370" s="279"/>
      <c r="BA1370" s="279"/>
      <c r="BB1370" s="279"/>
      <c r="BC1370" s="279"/>
      <c r="BD1370" s="279"/>
      <c r="BE1370" s="279"/>
      <c r="BF1370" s="279"/>
      <c r="BG1370" s="279"/>
      <c r="BH1370" s="279"/>
      <c r="BI1370" s="279"/>
      <c r="BJ1370" s="279"/>
      <c r="BK1370" s="279"/>
      <c r="BL1370" s="279"/>
      <c r="BM1370" s="279"/>
      <c r="BN1370" s="279"/>
      <c r="BO1370" s="279"/>
      <c r="BP1370" s="279"/>
      <c r="BQ1370" s="279"/>
      <c r="BR1370" s="279"/>
      <c r="BS1370" s="279"/>
      <c r="BT1370" s="279"/>
      <c r="BU1370" s="279"/>
      <c r="BV1370" s="279"/>
      <c r="BW1370" s="279"/>
      <c r="BX1370" s="279"/>
      <c r="BY1370" s="279"/>
      <c r="BZ1370" s="279"/>
      <c r="CA1370" s="279"/>
      <c r="CB1370" s="279"/>
      <c r="CC1370" s="279"/>
      <c r="CD1370" s="279"/>
      <c r="CE1370" s="279"/>
      <c r="CF1370" s="279"/>
      <c r="CG1370" s="279"/>
      <c r="CH1370" s="279"/>
      <c r="CI1370" s="279"/>
      <c r="CJ1370" s="279"/>
      <c r="CK1370" s="279"/>
      <c r="CL1370" s="279"/>
      <c r="CM1370" s="279"/>
      <c r="CN1370" s="382"/>
    </row>
    <row r="1371" x14ac:dyDescent="0.3">
      <c r="B1371" s="361"/>
      <c r="C1371" s="279"/>
      <c r="D1371" s="280"/>
      <c r="E1371" s="287"/>
      <c r="F1371" s="287"/>
      <c r="G1371" s="287"/>
      <c r="H1371" s="1292">
        <f t="shared" si="70"/>
        <v>8</v>
      </c>
      <c r="I1371" s="1190" t="str">
        <f>'I. Stream &amp; Compound Data'!P269</f>
        <v/>
      </c>
      <c r="J1371" s="1295" t="str">
        <f>IF(I149="","",IF('I. Stream &amp; Compound Data'!CD269&lt;&gt;"",'I. Stream &amp; Compound Data'!CD269,'I. Stream &amp; Compound Data'!CE269))</f>
        <v/>
      </c>
      <c r="K1371" s="1295" t="str">
        <f t="shared" si="71"/>
        <v/>
      </c>
      <c r="L1371" s="1317" t="str">
        <f>IF(K1371="","",IF('I. Stream &amp; Compound Data'!E39="H2O",0,(IF(J1371=0,1,J1371))*I1371))</f>
        <v/>
      </c>
      <c r="M1371" s="296"/>
      <c r="N1371" s="280"/>
      <c r="O1371" s="280"/>
      <c r="P1371" s="279"/>
      <c r="Q1371" s="297"/>
      <c r="R1371" s="298"/>
      <c r="S1371" s="298"/>
      <c r="T1371" s="299"/>
      <c r="U1371" s="279"/>
      <c r="V1371" s="279"/>
      <c r="W1371" s="279"/>
      <c r="X1371" s="279"/>
      <c r="Y1371" s="279"/>
      <c r="Z1371" s="279"/>
      <c r="AA1371" s="279"/>
      <c r="AB1371" s="279"/>
      <c r="AC1371" s="279"/>
      <c r="AD1371" s="279"/>
      <c r="AE1371" s="279"/>
      <c r="AF1371" s="279"/>
      <c r="AG1371" s="279"/>
      <c r="AH1371" s="279"/>
      <c r="AI1371" s="279"/>
      <c r="AJ1371" s="279"/>
      <c r="AK1371" s="279"/>
      <c r="AL1371" s="279"/>
      <c r="AM1371" s="279"/>
      <c r="AN1371" s="279"/>
      <c r="AO1371" s="279"/>
      <c r="AP1371" s="279"/>
      <c r="AQ1371" s="279"/>
      <c r="AR1371" s="279"/>
      <c r="AS1371" s="279"/>
      <c r="AT1371" s="279"/>
      <c r="AU1371" s="279"/>
      <c r="AV1371" s="279"/>
      <c r="AW1371" s="279"/>
      <c r="AX1371" s="279"/>
      <c r="AY1371" s="279"/>
      <c r="AZ1371" s="279"/>
      <c r="BA1371" s="279"/>
      <c r="BB1371" s="279"/>
      <c r="BC1371" s="279"/>
      <c r="BD1371" s="279"/>
      <c r="BE1371" s="279"/>
      <c r="BF1371" s="279"/>
      <c r="BG1371" s="279"/>
      <c r="BH1371" s="279"/>
      <c r="BI1371" s="279"/>
      <c r="BJ1371" s="279"/>
      <c r="BK1371" s="279"/>
      <c r="BL1371" s="279"/>
      <c r="BM1371" s="279"/>
      <c r="BN1371" s="279"/>
      <c r="BO1371" s="279"/>
      <c r="BP1371" s="279"/>
      <c r="BQ1371" s="279"/>
      <c r="BR1371" s="279"/>
      <c r="BS1371" s="279"/>
      <c r="BT1371" s="279"/>
      <c r="BU1371" s="279"/>
      <c r="BV1371" s="279"/>
      <c r="BW1371" s="279"/>
      <c r="BX1371" s="279"/>
      <c r="BY1371" s="279"/>
      <c r="BZ1371" s="279"/>
      <c r="CA1371" s="279"/>
      <c r="CB1371" s="279"/>
      <c r="CC1371" s="279"/>
      <c r="CD1371" s="279"/>
      <c r="CE1371" s="279"/>
      <c r="CF1371" s="279"/>
      <c r="CG1371" s="279"/>
      <c r="CH1371" s="279"/>
      <c r="CI1371" s="279"/>
      <c r="CJ1371" s="279"/>
      <c r="CK1371" s="279"/>
      <c r="CL1371" s="279"/>
      <c r="CM1371" s="279"/>
      <c r="CN1371" s="382"/>
    </row>
    <row r="1372" x14ac:dyDescent="0.3">
      <c r="B1372" s="361"/>
      <c r="C1372" s="279"/>
      <c r="D1372" s="280"/>
      <c r="E1372" s="287"/>
      <c r="F1372" s="287"/>
      <c r="G1372" s="287"/>
      <c r="H1372" s="1292">
        <f t="shared" si="70"/>
        <v>9</v>
      </c>
      <c r="I1372" s="1190" t="str">
        <f>'I. Stream &amp; Compound Data'!P270</f>
        <v/>
      </c>
      <c r="J1372" s="1295" t="str">
        <f>IF(I150="","",IF('I. Stream &amp; Compound Data'!CD270&lt;&gt;"",'I. Stream &amp; Compound Data'!CD270,'I. Stream &amp; Compound Data'!CE270))</f>
        <v/>
      </c>
      <c r="K1372" s="1295" t="str">
        <f t="shared" si="71"/>
        <v/>
      </c>
      <c r="L1372" s="1317" t="str">
        <f>IF(K1372="","",IF('I. Stream &amp; Compound Data'!E40="H2O",0,(IF(J1372=0,1,J1372))*I1372))</f>
        <v/>
      </c>
      <c r="M1372" s="296"/>
      <c r="N1372" s="280"/>
      <c r="O1372" s="280"/>
      <c r="P1372" s="279"/>
      <c r="Q1372" s="297"/>
      <c r="R1372" s="298"/>
      <c r="S1372" s="298"/>
      <c r="T1372" s="299"/>
      <c r="U1372" s="279"/>
      <c r="V1372" s="279"/>
      <c r="W1372" s="279"/>
      <c r="X1372" s="279"/>
      <c r="Y1372" s="279"/>
      <c r="Z1372" s="279"/>
      <c r="AA1372" s="279"/>
      <c r="AB1372" s="279"/>
      <c r="AC1372" s="279"/>
      <c r="AD1372" s="279"/>
      <c r="AE1372" s="279"/>
      <c r="AF1372" s="279"/>
      <c r="AG1372" s="279"/>
      <c r="AH1372" s="279"/>
      <c r="AI1372" s="279"/>
      <c r="AJ1372" s="279"/>
      <c r="AK1372" s="279"/>
      <c r="AL1372" s="279"/>
      <c r="AM1372" s="279"/>
      <c r="AN1372" s="279"/>
      <c r="AO1372" s="279"/>
      <c r="AP1372" s="279"/>
      <c r="AQ1372" s="279"/>
      <c r="AR1372" s="279"/>
      <c r="AS1372" s="279"/>
      <c r="AT1372" s="279"/>
      <c r="AU1372" s="279"/>
      <c r="AV1372" s="279"/>
      <c r="AW1372" s="279"/>
      <c r="AX1372" s="279"/>
      <c r="AY1372" s="279"/>
      <c r="AZ1372" s="279"/>
      <c r="BA1372" s="279"/>
      <c r="BB1372" s="279"/>
      <c r="BC1372" s="279"/>
      <c r="BD1372" s="279"/>
      <c r="BE1372" s="279"/>
      <c r="BF1372" s="279"/>
      <c r="BG1372" s="279"/>
      <c r="BH1372" s="279"/>
      <c r="BI1372" s="279"/>
      <c r="BJ1372" s="279"/>
      <c r="BK1372" s="279"/>
      <c r="BL1372" s="279"/>
      <c r="BM1372" s="279"/>
      <c r="BN1372" s="279"/>
      <c r="BO1372" s="279"/>
      <c r="BP1372" s="279"/>
      <c r="BQ1372" s="279"/>
      <c r="BR1372" s="279"/>
      <c r="BS1372" s="279"/>
      <c r="BT1372" s="279"/>
      <c r="BU1372" s="279"/>
      <c r="BV1372" s="279"/>
      <c r="BW1372" s="279"/>
      <c r="BX1372" s="279"/>
      <c r="BY1372" s="279"/>
      <c r="BZ1372" s="279"/>
      <c r="CA1372" s="279"/>
      <c r="CB1372" s="279"/>
      <c r="CC1372" s="279"/>
      <c r="CD1372" s="279"/>
      <c r="CE1372" s="279"/>
      <c r="CF1372" s="279"/>
      <c r="CG1372" s="279"/>
      <c r="CH1372" s="279"/>
      <c r="CI1372" s="279"/>
      <c r="CJ1372" s="279"/>
      <c r="CK1372" s="279"/>
      <c r="CL1372" s="279"/>
      <c r="CM1372" s="279"/>
      <c r="CN1372" s="382"/>
    </row>
    <row r="1373" x14ac:dyDescent="0.3">
      <c r="B1373" s="361"/>
      <c r="C1373" s="279"/>
      <c r="D1373" s="280"/>
      <c r="E1373" s="287"/>
      <c r="F1373" s="287"/>
      <c r="G1373" s="287"/>
      <c r="H1373" s="1292">
        <f t="shared" si="70"/>
        <v>10</v>
      </c>
      <c r="I1373" s="1190" t="str">
        <f>'I. Stream &amp; Compound Data'!P271</f>
        <v/>
      </c>
      <c r="J1373" s="1295" t="str">
        <f>IF(I151="","",IF('I. Stream &amp; Compound Data'!CD271&lt;&gt;"",'I. Stream &amp; Compound Data'!CD271,'I. Stream &amp; Compound Data'!CE271))</f>
        <v/>
      </c>
      <c r="K1373" s="1295" t="str">
        <f t="shared" si="71"/>
        <v/>
      </c>
      <c r="L1373" s="1317" t="str">
        <f>IF(K1373="","",IF('I. Stream &amp; Compound Data'!E41="H2O",0,(IF(J1373=0,1,J1373))*I1373))</f>
        <v/>
      </c>
      <c r="M1373" s="296"/>
      <c r="N1373" s="280"/>
      <c r="O1373" s="280"/>
      <c r="P1373" s="279"/>
      <c r="Q1373" s="297"/>
      <c r="R1373" s="298"/>
      <c r="S1373" s="298"/>
      <c r="T1373" s="299"/>
      <c r="U1373" s="279"/>
      <c r="V1373" s="279"/>
      <c r="W1373" s="279"/>
      <c r="X1373" s="279"/>
      <c r="Y1373" s="279"/>
      <c r="Z1373" s="279"/>
      <c r="AA1373" s="279"/>
      <c r="AB1373" s="279"/>
      <c r="AC1373" s="279"/>
      <c r="AD1373" s="279"/>
      <c r="AE1373" s="279"/>
      <c r="AF1373" s="279"/>
      <c r="AG1373" s="279"/>
      <c r="AH1373" s="279"/>
      <c r="AI1373" s="279"/>
      <c r="AJ1373" s="279"/>
      <c r="AK1373" s="279"/>
      <c r="AL1373" s="279"/>
      <c r="AM1373" s="279"/>
      <c r="AN1373" s="279"/>
      <c r="AO1373" s="279"/>
      <c r="AP1373" s="279"/>
      <c r="AQ1373" s="279"/>
      <c r="AR1373" s="279"/>
      <c r="AS1373" s="279"/>
      <c r="AT1373" s="279"/>
      <c r="AU1373" s="279"/>
      <c r="AV1373" s="279"/>
      <c r="AW1373" s="279"/>
      <c r="AX1373" s="279"/>
      <c r="AY1373" s="279"/>
      <c r="AZ1373" s="279"/>
      <c r="BA1373" s="279"/>
      <c r="BB1373" s="279"/>
      <c r="BC1373" s="279"/>
      <c r="BD1373" s="279"/>
      <c r="BE1373" s="279"/>
      <c r="BF1373" s="279"/>
      <c r="BG1373" s="279"/>
      <c r="BH1373" s="279"/>
      <c r="BI1373" s="279"/>
      <c r="BJ1373" s="279"/>
      <c r="BK1373" s="279"/>
      <c r="BL1373" s="279"/>
      <c r="BM1373" s="279"/>
      <c r="BN1373" s="279"/>
      <c r="BO1373" s="279"/>
      <c r="BP1373" s="279"/>
      <c r="BQ1373" s="279"/>
      <c r="BR1373" s="279"/>
      <c r="BS1373" s="279"/>
      <c r="BT1373" s="279"/>
      <c r="BU1373" s="279"/>
      <c r="BV1373" s="279"/>
      <c r="BW1373" s="279"/>
      <c r="BX1373" s="279"/>
      <c r="BY1373" s="279"/>
      <c r="BZ1373" s="279"/>
      <c r="CA1373" s="279"/>
      <c r="CB1373" s="279"/>
      <c r="CC1373" s="279"/>
      <c r="CD1373" s="279"/>
      <c r="CE1373" s="279"/>
      <c r="CF1373" s="279"/>
      <c r="CG1373" s="279"/>
      <c r="CH1373" s="279"/>
      <c r="CI1373" s="279"/>
      <c r="CJ1373" s="279"/>
      <c r="CK1373" s="279"/>
      <c r="CL1373" s="279"/>
      <c r="CM1373" s="279"/>
      <c r="CN1373" s="382"/>
    </row>
    <row r="1374" x14ac:dyDescent="0.3">
      <c r="B1374" s="361"/>
      <c r="C1374" s="279"/>
      <c r="D1374" s="280"/>
      <c r="E1374" s="287"/>
      <c r="F1374" s="287"/>
      <c r="G1374" s="287"/>
      <c r="H1374" s="1292">
        <f t="shared" si="70"/>
        <v>11</v>
      </c>
      <c r="I1374" s="1190" t="str">
        <f>'I. Stream &amp; Compound Data'!P272</f>
        <v/>
      </c>
      <c r="J1374" s="1295" t="str">
        <f>IF(I152="","",IF('I. Stream &amp; Compound Data'!CD272&lt;&gt;"",'I. Stream &amp; Compound Data'!CD272,'I. Stream &amp; Compound Data'!CE272))</f>
        <v/>
      </c>
      <c r="K1374" s="1295" t="str">
        <f t="shared" si="71"/>
        <v/>
      </c>
      <c r="L1374" s="1317" t="str">
        <f>IF(K1374="","",IF('I. Stream &amp; Compound Data'!E42="H2O",0,(IF(J1374=0,1,J1374))*I1374))</f>
        <v/>
      </c>
      <c r="M1374" s="296"/>
      <c r="N1374" s="280"/>
      <c r="O1374" s="280"/>
      <c r="P1374" s="279"/>
      <c r="Q1374" s="297"/>
      <c r="R1374" s="298"/>
      <c r="S1374" s="298"/>
      <c r="T1374" s="299"/>
      <c r="U1374" s="279"/>
      <c r="V1374" s="279"/>
      <c r="W1374" s="279"/>
      <c r="X1374" s="279"/>
      <c r="Y1374" s="279"/>
      <c r="Z1374" s="279"/>
      <c r="AA1374" s="279"/>
      <c r="AB1374" s="279"/>
      <c r="AC1374" s="279"/>
      <c r="AD1374" s="279"/>
      <c r="AE1374" s="279"/>
      <c r="AF1374" s="279"/>
      <c r="AG1374" s="279"/>
      <c r="AH1374" s="279"/>
      <c r="AI1374" s="279"/>
      <c r="AJ1374" s="279"/>
      <c r="AK1374" s="279"/>
      <c r="AL1374" s="279"/>
      <c r="AM1374" s="279"/>
      <c r="AN1374" s="279"/>
      <c r="AO1374" s="279"/>
      <c r="AP1374" s="279"/>
      <c r="AQ1374" s="279"/>
      <c r="AR1374" s="279"/>
      <c r="AS1374" s="279"/>
      <c r="AT1374" s="279"/>
      <c r="AU1374" s="279"/>
      <c r="AV1374" s="279"/>
      <c r="AW1374" s="279"/>
      <c r="AX1374" s="279"/>
      <c r="AY1374" s="279"/>
      <c r="AZ1374" s="279"/>
      <c r="BA1374" s="279"/>
      <c r="BB1374" s="279"/>
      <c r="BC1374" s="279"/>
      <c r="BD1374" s="279"/>
      <c r="BE1374" s="279"/>
      <c r="BF1374" s="279"/>
      <c r="BG1374" s="279"/>
      <c r="BH1374" s="279"/>
      <c r="BI1374" s="279"/>
      <c r="BJ1374" s="279"/>
      <c r="BK1374" s="279"/>
      <c r="BL1374" s="279"/>
      <c r="BM1374" s="279"/>
      <c r="BN1374" s="279"/>
      <c r="BO1374" s="279"/>
      <c r="BP1374" s="279"/>
      <c r="BQ1374" s="279"/>
      <c r="BR1374" s="279"/>
      <c r="BS1374" s="279"/>
      <c r="BT1374" s="279"/>
      <c r="BU1374" s="279"/>
      <c r="BV1374" s="279"/>
      <c r="BW1374" s="279"/>
      <c r="BX1374" s="279"/>
      <c r="BY1374" s="279"/>
      <c r="BZ1374" s="279"/>
      <c r="CA1374" s="279"/>
      <c r="CB1374" s="279"/>
      <c r="CC1374" s="279"/>
      <c r="CD1374" s="279"/>
      <c r="CE1374" s="279"/>
      <c r="CF1374" s="279"/>
      <c r="CG1374" s="279"/>
      <c r="CH1374" s="279"/>
      <c r="CI1374" s="279"/>
      <c r="CJ1374" s="279"/>
      <c r="CK1374" s="279"/>
      <c r="CL1374" s="279"/>
      <c r="CM1374" s="279"/>
      <c r="CN1374" s="382"/>
    </row>
    <row r="1375" x14ac:dyDescent="0.3">
      <c r="B1375" s="361"/>
      <c r="C1375" s="279"/>
      <c r="D1375" s="280"/>
      <c r="E1375" s="287"/>
      <c r="F1375" s="287"/>
      <c r="G1375" s="287"/>
      <c r="H1375" s="1292">
        <f t="shared" si="70"/>
        <v>12</v>
      </c>
      <c r="I1375" s="1190" t="str">
        <f>'I. Stream &amp; Compound Data'!P273</f>
        <v/>
      </c>
      <c r="J1375" s="1295" t="str">
        <f>IF(I153="","",IF('I. Stream &amp; Compound Data'!CD273&lt;&gt;"",'I. Stream &amp; Compound Data'!CD273,'I. Stream &amp; Compound Data'!CE273))</f>
        <v/>
      </c>
      <c r="K1375" s="1295" t="str">
        <f t="shared" si="71"/>
        <v/>
      </c>
      <c r="L1375" s="1317" t="str">
        <f>IF(K1375="","",IF('I. Stream &amp; Compound Data'!E43="H2O",0,(IF(J1375=0,1,J1375))*I1375))</f>
        <v/>
      </c>
      <c r="M1375" s="296"/>
      <c r="N1375" s="280"/>
      <c r="O1375" s="280"/>
      <c r="P1375" s="279"/>
      <c r="Q1375" s="297"/>
      <c r="R1375" s="298"/>
      <c r="S1375" s="298"/>
      <c r="T1375" s="299"/>
      <c r="U1375" s="279"/>
      <c r="V1375" s="279"/>
      <c r="W1375" s="279"/>
      <c r="X1375" s="279"/>
      <c r="Y1375" s="279"/>
      <c r="Z1375" s="279"/>
      <c r="AA1375" s="279"/>
      <c r="AB1375" s="279"/>
      <c r="AC1375" s="279"/>
      <c r="AD1375" s="279"/>
      <c r="AE1375" s="279"/>
      <c r="AF1375" s="279"/>
      <c r="AG1375" s="279"/>
      <c r="AH1375" s="279"/>
      <c r="AI1375" s="279"/>
      <c r="AJ1375" s="279"/>
      <c r="AK1375" s="279"/>
      <c r="AL1375" s="279"/>
      <c r="AM1375" s="279"/>
      <c r="AN1375" s="279"/>
      <c r="AO1375" s="279"/>
      <c r="AP1375" s="279"/>
      <c r="AQ1375" s="279"/>
      <c r="AR1375" s="279"/>
      <c r="AS1375" s="279"/>
      <c r="AT1375" s="279"/>
      <c r="AU1375" s="279"/>
      <c r="AV1375" s="279"/>
      <c r="AW1375" s="279"/>
      <c r="AX1375" s="279"/>
      <c r="AY1375" s="279"/>
      <c r="AZ1375" s="279"/>
      <c r="BA1375" s="279"/>
      <c r="BB1375" s="279"/>
      <c r="BC1375" s="279"/>
      <c r="BD1375" s="279"/>
      <c r="BE1375" s="279"/>
      <c r="BF1375" s="279"/>
      <c r="BG1375" s="279"/>
      <c r="BH1375" s="279"/>
      <c r="BI1375" s="279"/>
      <c r="BJ1375" s="279"/>
      <c r="BK1375" s="279"/>
      <c r="BL1375" s="279"/>
      <c r="BM1375" s="279"/>
      <c r="BN1375" s="279"/>
      <c r="BO1375" s="279"/>
      <c r="BP1375" s="279"/>
      <c r="BQ1375" s="279"/>
      <c r="BR1375" s="279"/>
      <c r="BS1375" s="279"/>
      <c r="BT1375" s="279"/>
      <c r="BU1375" s="279"/>
      <c r="BV1375" s="279"/>
      <c r="BW1375" s="279"/>
      <c r="BX1375" s="279"/>
      <c r="BY1375" s="279"/>
      <c r="BZ1375" s="279"/>
      <c r="CA1375" s="279"/>
      <c r="CB1375" s="279"/>
      <c r="CC1375" s="279"/>
      <c r="CD1375" s="279"/>
      <c r="CE1375" s="279"/>
      <c r="CF1375" s="279"/>
      <c r="CG1375" s="279"/>
      <c r="CH1375" s="279"/>
      <c r="CI1375" s="279"/>
      <c r="CJ1375" s="279"/>
      <c r="CK1375" s="279"/>
      <c r="CL1375" s="279"/>
      <c r="CM1375" s="279"/>
      <c r="CN1375" s="382"/>
    </row>
    <row r="1376" x14ac:dyDescent="0.3">
      <c r="B1376" s="361"/>
      <c r="C1376" s="279"/>
      <c r="D1376" s="280"/>
      <c r="E1376" s="287"/>
      <c r="F1376" s="287"/>
      <c r="G1376" s="287"/>
      <c r="H1376" s="1292">
        <f t="shared" si="70"/>
        <v>13</v>
      </c>
      <c r="I1376" s="1190" t="str">
        <f>'I. Stream &amp; Compound Data'!P274</f>
        <v/>
      </c>
      <c r="J1376" s="1295" t="str">
        <f>IF(I154="","",IF('I. Stream &amp; Compound Data'!CD274&lt;&gt;"",'I. Stream &amp; Compound Data'!CD274,'I. Stream &amp; Compound Data'!CE274))</f>
        <v/>
      </c>
      <c r="K1376" s="1295" t="str">
        <f t="shared" si="71"/>
        <v/>
      </c>
      <c r="L1376" s="1317" t="str">
        <f>IF(K1376="","",IF('I. Stream &amp; Compound Data'!E44="H2O",0,(IF(J1376=0,1,J1376))*I1376))</f>
        <v/>
      </c>
      <c r="M1376" s="296"/>
      <c r="N1376" s="280"/>
      <c r="O1376" s="280"/>
      <c r="P1376" s="279"/>
      <c r="Q1376" s="297"/>
      <c r="R1376" s="298"/>
      <c r="S1376" s="298"/>
      <c r="T1376" s="299"/>
      <c r="U1376" s="279"/>
      <c r="V1376" s="279"/>
      <c r="W1376" s="279"/>
      <c r="X1376" s="279"/>
      <c r="Y1376" s="279"/>
      <c r="Z1376" s="279"/>
      <c r="AA1376" s="279"/>
      <c r="AB1376" s="279"/>
      <c r="AC1376" s="279"/>
      <c r="AD1376" s="279"/>
      <c r="AE1376" s="279"/>
      <c r="AF1376" s="279"/>
      <c r="AG1376" s="279"/>
      <c r="AH1376" s="279"/>
      <c r="AI1376" s="279"/>
      <c r="AJ1376" s="279"/>
      <c r="AK1376" s="279"/>
      <c r="AL1376" s="279"/>
      <c r="AM1376" s="279"/>
      <c r="AN1376" s="279"/>
      <c r="AO1376" s="279"/>
      <c r="AP1376" s="279"/>
      <c r="AQ1376" s="279"/>
      <c r="AR1376" s="279"/>
      <c r="AS1376" s="279"/>
      <c r="AT1376" s="279"/>
      <c r="AU1376" s="279"/>
      <c r="AV1376" s="279"/>
      <c r="AW1376" s="279"/>
      <c r="AX1376" s="279"/>
      <c r="AY1376" s="279"/>
      <c r="AZ1376" s="279"/>
      <c r="BA1376" s="279"/>
      <c r="BB1376" s="279"/>
      <c r="BC1376" s="279"/>
      <c r="BD1376" s="279"/>
      <c r="BE1376" s="279"/>
      <c r="BF1376" s="279"/>
      <c r="BG1376" s="279"/>
      <c r="BH1376" s="279"/>
      <c r="BI1376" s="279"/>
      <c r="BJ1376" s="279"/>
      <c r="BK1376" s="279"/>
      <c r="BL1376" s="279"/>
      <c r="BM1376" s="279"/>
      <c r="BN1376" s="279"/>
      <c r="BO1376" s="279"/>
      <c r="BP1376" s="279"/>
      <c r="BQ1376" s="279"/>
      <c r="BR1376" s="279"/>
      <c r="BS1376" s="279"/>
      <c r="BT1376" s="279"/>
      <c r="BU1376" s="279"/>
      <c r="BV1376" s="279"/>
      <c r="BW1376" s="279"/>
      <c r="BX1376" s="279"/>
      <c r="BY1376" s="279"/>
      <c r="BZ1376" s="279"/>
      <c r="CA1376" s="279"/>
      <c r="CB1376" s="279"/>
      <c r="CC1376" s="279"/>
      <c r="CD1376" s="279"/>
      <c r="CE1376" s="279"/>
      <c r="CF1376" s="279"/>
      <c r="CG1376" s="279"/>
      <c r="CH1376" s="279"/>
      <c r="CI1376" s="279"/>
      <c r="CJ1376" s="279"/>
      <c r="CK1376" s="279"/>
      <c r="CL1376" s="279"/>
      <c r="CM1376" s="279"/>
      <c r="CN1376" s="382"/>
    </row>
    <row r="1377" x14ac:dyDescent="0.3">
      <c r="B1377" s="361"/>
      <c r="C1377" s="279"/>
      <c r="D1377" s="280"/>
      <c r="E1377" s="287"/>
      <c r="F1377" s="287"/>
      <c r="G1377" s="287"/>
      <c r="H1377" s="1292">
        <f t="shared" si="70"/>
        <v>14</v>
      </c>
      <c r="I1377" s="1190" t="str">
        <f>'I. Stream &amp; Compound Data'!P275</f>
        <v/>
      </c>
      <c r="J1377" s="1295" t="str">
        <f>IF(I155="","",IF('I. Stream &amp; Compound Data'!CD275&lt;&gt;"",'I. Stream &amp; Compound Data'!CD275,'I. Stream &amp; Compound Data'!CE275))</f>
        <v/>
      </c>
      <c r="K1377" s="1295" t="str">
        <f t="shared" si="71"/>
        <v/>
      </c>
      <c r="L1377" s="1317" t="str">
        <f>IF(K1377="","",IF('I. Stream &amp; Compound Data'!E45="H2O",0,(IF(J1377=0,1,J1377))*I1377))</f>
        <v/>
      </c>
      <c r="M1377" s="296"/>
      <c r="N1377" s="280"/>
      <c r="O1377" s="280"/>
      <c r="P1377" s="279"/>
      <c r="Q1377" s="297"/>
      <c r="R1377" s="298"/>
      <c r="S1377" s="298"/>
      <c r="T1377" s="299"/>
      <c r="U1377" s="279"/>
      <c r="V1377" s="279"/>
      <c r="W1377" s="279"/>
      <c r="X1377" s="279"/>
      <c r="Y1377" s="279"/>
      <c r="Z1377" s="279"/>
      <c r="AA1377" s="279"/>
      <c r="AB1377" s="279"/>
      <c r="AC1377" s="279"/>
      <c r="AD1377" s="279"/>
      <c r="AE1377" s="279"/>
      <c r="AF1377" s="279"/>
      <c r="AG1377" s="279"/>
      <c r="AH1377" s="279"/>
      <c r="AI1377" s="279"/>
      <c r="AJ1377" s="279"/>
      <c r="AK1377" s="279"/>
      <c r="AL1377" s="279"/>
      <c r="AM1377" s="279"/>
      <c r="AN1377" s="279"/>
      <c r="AO1377" s="279"/>
      <c r="AP1377" s="279"/>
      <c r="AQ1377" s="279"/>
      <c r="AR1377" s="279"/>
      <c r="AS1377" s="279"/>
      <c r="AT1377" s="279"/>
      <c r="AU1377" s="279"/>
      <c r="AV1377" s="279"/>
      <c r="AW1377" s="279"/>
      <c r="AX1377" s="279"/>
      <c r="AY1377" s="279"/>
      <c r="AZ1377" s="279"/>
      <c r="BA1377" s="279"/>
      <c r="BB1377" s="279"/>
      <c r="BC1377" s="279"/>
      <c r="BD1377" s="279"/>
      <c r="BE1377" s="279"/>
      <c r="BF1377" s="279"/>
      <c r="BG1377" s="279"/>
      <c r="BH1377" s="279"/>
      <c r="BI1377" s="279"/>
      <c r="BJ1377" s="279"/>
      <c r="BK1377" s="279"/>
      <c r="BL1377" s="279"/>
      <c r="BM1377" s="279"/>
      <c r="BN1377" s="279"/>
      <c r="BO1377" s="279"/>
      <c r="BP1377" s="279"/>
      <c r="BQ1377" s="279"/>
      <c r="BR1377" s="279"/>
      <c r="BS1377" s="279"/>
      <c r="BT1377" s="279"/>
      <c r="BU1377" s="279"/>
      <c r="BV1377" s="279"/>
      <c r="BW1377" s="279"/>
      <c r="BX1377" s="279"/>
      <c r="BY1377" s="279"/>
      <c r="BZ1377" s="279"/>
      <c r="CA1377" s="279"/>
      <c r="CB1377" s="279"/>
      <c r="CC1377" s="279"/>
      <c r="CD1377" s="279"/>
      <c r="CE1377" s="279"/>
      <c r="CF1377" s="279"/>
      <c r="CG1377" s="279"/>
      <c r="CH1377" s="279"/>
      <c r="CI1377" s="279"/>
      <c r="CJ1377" s="279"/>
      <c r="CK1377" s="279"/>
      <c r="CL1377" s="279"/>
      <c r="CM1377" s="279"/>
      <c r="CN1377" s="382"/>
    </row>
    <row r="1378" x14ac:dyDescent="0.3">
      <c r="B1378" s="361"/>
      <c r="C1378" s="279"/>
      <c r="D1378" s="280"/>
      <c r="E1378" s="287"/>
      <c r="F1378" s="287"/>
      <c r="G1378" s="287"/>
      <c r="H1378" s="1292">
        <f t="shared" si="70"/>
        <v>15</v>
      </c>
      <c r="I1378" s="1190" t="str">
        <f>'I. Stream &amp; Compound Data'!P276</f>
        <v/>
      </c>
      <c r="J1378" s="1295" t="str">
        <f>IF(I156="","",IF('I. Stream &amp; Compound Data'!CD276&lt;&gt;"",'I. Stream &amp; Compound Data'!CD276,'I. Stream &amp; Compound Data'!CE276))</f>
        <v/>
      </c>
      <c r="K1378" s="1295" t="str">
        <f t="shared" si="71"/>
        <v/>
      </c>
      <c r="L1378" s="1317" t="str">
        <f>IF(K1378="","",IF('I. Stream &amp; Compound Data'!E46="H2O",0,(IF(J1378=0,1,J1378))*I1378))</f>
        <v/>
      </c>
      <c r="M1378" s="296"/>
      <c r="N1378" s="280"/>
      <c r="O1378" s="280"/>
      <c r="P1378" s="279"/>
      <c r="Q1378" s="297"/>
      <c r="R1378" s="298"/>
      <c r="S1378" s="298"/>
      <c r="T1378" s="299"/>
      <c r="U1378" s="279"/>
      <c r="V1378" s="279"/>
      <c r="W1378" s="279"/>
      <c r="X1378" s="279"/>
      <c r="Y1378" s="279"/>
      <c r="Z1378" s="279"/>
      <c r="AA1378" s="279"/>
      <c r="AB1378" s="279"/>
      <c r="AC1378" s="279"/>
      <c r="AD1378" s="279"/>
      <c r="AE1378" s="279"/>
      <c r="AF1378" s="279"/>
      <c r="AG1378" s="279"/>
      <c r="AH1378" s="279"/>
      <c r="AI1378" s="279"/>
      <c r="AJ1378" s="279"/>
      <c r="AK1378" s="279"/>
      <c r="AL1378" s="279"/>
      <c r="AM1378" s="279"/>
      <c r="AN1378" s="279"/>
      <c r="AO1378" s="279"/>
      <c r="AP1378" s="279"/>
      <c r="AQ1378" s="279"/>
      <c r="AR1378" s="279"/>
      <c r="AS1378" s="279"/>
      <c r="AT1378" s="279"/>
      <c r="AU1378" s="279"/>
      <c r="AV1378" s="279"/>
      <c r="AW1378" s="279"/>
      <c r="AX1378" s="279"/>
      <c r="AY1378" s="279"/>
      <c r="AZ1378" s="279"/>
      <c r="BA1378" s="279"/>
      <c r="BB1378" s="279"/>
      <c r="BC1378" s="279"/>
      <c r="BD1378" s="279"/>
      <c r="BE1378" s="279"/>
      <c r="BF1378" s="279"/>
      <c r="BG1378" s="279"/>
      <c r="BH1378" s="279"/>
      <c r="BI1378" s="279"/>
      <c r="BJ1378" s="279"/>
      <c r="BK1378" s="279"/>
      <c r="BL1378" s="279"/>
      <c r="BM1378" s="279"/>
      <c r="BN1378" s="279"/>
      <c r="BO1378" s="279"/>
      <c r="BP1378" s="279"/>
      <c r="BQ1378" s="279"/>
      <c r="BR1378" s="279"/>
      <c r="BS1378" s="279"/>
      <c r="BT1378" s="279"/>
      <c r="BU1378" s="279"/>
      <c r="BV1378" s="279"/>
      <c r="BW1378" s="279"/>
      <c r="BX1378" s="279"/>
      <c r="BY1378" s="279"/>
      <c r="BZ1378" s="279"/>
      <c r="CA1378" s="279"/>
      <c r="CB1378" s="279"/>
      <c r="CC1378" s="279"/>
      <c r="CD1378" s="279"/>
      <c r="CE1378" s="279"/>
      <c r="CF1378" s="279"/>
      <c r="CG1378" s="279"/>
      <c r="CH1378" s="279"/>
      <c r="CI1378" s="279"/>
      <c r="CJ1378" s="279"/>
      <c r="CK1378" s="279"/>
      <c r="CL1378" s="279"/>
      <c r="CM1378" s="279"/>
      <c r="CN1378" s="382"/>
    </row>
    <row r="1379" x14ac:dyDescent="0.3">
      <c r="B1379" s="361"/>
      <c r="C1379" s="279"/>
      <c r="D1379" s="280"/>
      <c r="E1379" s="287"/>
      <c r="F1379" s="287"/>
      <c r="G1379" s="287"/>
      <c r="H1379" s="1292">
        <f t="shared" si="70"/>
        <v>16</v>
      </c>
      <c r="I1379" s="1190" t="str">
        <f>'I. Stream &amp; Compound Data'!P277</f>
        <v/>
      </c>
      <c r="J1379" s="1295" t="str">
        <f>IF(I157="","",IF('I. Stream &amp; Compound Data'!CD277&lt;&gt;"",'I. Stream &amp; Compound Data'!CD277,'I. Stream &amp; Compound Data'!CE277))</f>
        <v/>
      </c>
      <c r="K1379" s="1295" t="str">
        <f t="shared" si="71"/>
        <v/>
      </c>
      <c r="L1379" s="1317" t="str">
        <f>IF(K1379="","",IF('I. Stream &amp; Compound Data'!E47="H2O",0,(IF(J1379=0,1,J1379))*I1379))</f>
        <v/>
      </c>
      <c r="M1379" s="296"/>
      <c r="N1379" s="280"/>
      <c r="O1379" s="280"/>
      <c r="P1379" s="279"/>
      <c r="Q1379" s="297"/>
      <c r="R1379" s="298"/>
      <c r="S1379" s="298"/>
      <c r="T1379" s="299"/>
      <c r="U1379" s="279"/>
      <c r="V1379" s="279"/>
      <c r="W1379" s="279"/>
      <c r="X1379" s="279"/>
      <c r="Y1379" s="279"/>
      <c r="Z1379" s="279"/>
      <c r="AA1379" s="279"/>
      <c r="AB1379" s="279"/>
      <c r="AC1379" s="279"/>
      <c r="AD1379" s="279"/>
      <c r="AE1379" s="279"/>
      <c r="AF1379" s="279"/>
      <c r="AG1379" s="279"/>
      <c r="AH1379" s="279"/>
      <c r="AI1379" s="279"/>
      <c r="AJ1379" s="279"/>
      <c r="AK1379" s="279"/>
      <c r="AL1379" s="279"/>
      <c r="AM1379" s="279"/>
      <c r="AN1379" s="279"/>
      <c r="AO1379" s="279"/>
      <c r="AP1379" s="279"/>
      <c r="AQ1379" s="279"/>
      <c r="AR1379" s="279"/>
      <c r="AS1379" s="279"/>
      <c r="AT1379" s="279"/>
      <c r="AU1379" s="279"/>
      <c r="AV1379" s="279"/>
      <c r="AW1379" s="279"/>
      <c r="AX1379" s="279"/>
      <c r="AY1379" s="279"/>
      <c r="AZ1379" s="279"/>
      <c r="BA1379" s="279"/>
      <c r="BB1379" s="279"/>
      <c r="BC1379" s="279"/>
      <c r="BD1379" s="279"/>
      <c r="BE1379" s="279"/>
      <c r="BF1379" s="279"/>
      <c r="BG1379" s="279"/>
      <c r="BH1379" s="279"/>
      <c r="BI1379" s="279"/>
      <c r="BJ1379" s="279"/>
      <c r="BK1379" s="279"/>
      <c r="BL1379" s="279"/>
      <c r="BM1379" s="279"/>
      <c r="BN1379" s="279"/>
      <c r="BO1379" s="279"/>
      <c r="BP1379" s="279"/>
      <c r="BQ1379" s="279"/>
      <c r="BR1379" s="279"/>
      <c r="BS1379" s="279"/>
      <c r="BT1379" s="279"/>
      <c r="BU1379" s="279"/>
      <c r="BV1379" s="279"/>
      <c r="BW1379" s="279"/>
      <c r="BX1379" s="279"/>
      <c r="BY1379" s="279"/>
      <c r="BZ1379" s="279"/>
      <c r="CA1379" s="279"/>
      <c r="CB1379" s="279"/>
      <c r="CC1379" s="279"/>
      <c r="CD1379" s="279"/>
      <c r="CE1379" s="279"/>
      <c r="CF1379" s="279"/>
      <c r="CG1379" s="279"/>
      <c r="CH1379" s="279"/>
      <c r="CI1379" s="279"/>
      <c r="CJ1379" s="279"/>
      <c r="CK1379" s="279"/>
      <c r="CL1379" s="279"/>
      <c r="CM1379" s="279"/>
      <c r="CN1379" s="382"/>
    </row>
    <row r="1380" x14ac:dyDescent="0.3">
      <c r="B1380" s="361"/>
      <c r="C1380" s="279"/>
      <c r="D1380" s="280"/>
      <c r="E1380" s="287"/>
      <c r="F1380" s="287"/>
      <c r="G1380" s="287"/>
      <c r="H1380" s="1292">
        <f t="shared" si="70"/>
        <v>17</v>
      </c>
      <c r="I1380" s="1190" t="str">
        <f>'I. Stream &amp; Compound Data'!P278</f>
        <v/>
      </c>
      <c r="J1380" s="1295" t="str">
        <f>IF(I158="","",IF('I. Stream &amp; Compound Data'!CD278&lt;&gt;"",'I. Stream &amp; Compound Data'!CD278,'I. Stream &amp; Compound Data'!CE278))</f>
        <v/>
      </c>
      <c r="K1380" s="1295" t="str">
        <f t="shared" si="71"/>
        <v/>
      </c>
      <c r="L1380" s="1317" t="str">
        <f>IF(K1380="","",IF('I. Stream &amp; Compound Data'!E48="H2O",0,(IF(J1380=0,1,J1380))*I1380))</f>
        <v/>
      </c>
      <c r="M1380" s="296"/>
      <c r="N1380" s="280"/>
      <c r="O1380" s="280"/>
      <c r="P1380" s="279"/>
      <c r="Q1380" s="297"/>
      <c r="R1380" s="298"/>
      <c r="S1380" s="298"/>
      <c r="T1380" s="299"/>
      <c r="U1380" s="279"/>
      <c r="V1380" s="279"/>
      <c r="W1380" s="279"/>
      <c r="X1380" s="279"/>
      <c r="Y1380" s="279"/>
      <c r="Z1380" s="279"/>
      <c r="AA1380" s="279"/>
      <c r="AB1380" s="279"/>
      <c r="AC1380" s="279"/>
      <c r="AD1380" s="279"/>
      <c r="AE1380" s="279"/>
      <c r="AF1380" s="279"/>
      <c r="AG1380" s="279"/>
      <c r="AH1380" s="279"/>
      <c r="AI1380" s="279"/>
      <c r="AJ1380" s="279"/>
      <c r="AK1380" s="279"/>
      <c r="AL1380" s="279"/>
      <c r="AM1380" s="279"/>
      <c r="AN1380" s="279"/>
      <c r="AO1380" s="279"/>
      <c r="AP1380" s="279"/>
      <c r="AQ1380" s="279"/>
      <c r="AR1380" s="279"/>
      <c r="AS1380" s="279"/>
      <c r="AT1380" s="279"/>
      <c r="AU1380" s="279"/>
      <c r="AV1380" s="279"/>
      <c r="AW1380" s="279"/>
      <c r="AX1380" s="279"/>
      <c r="AY1380" s="279"/>
      <c r="AZ1380" s="279"/>
      <c r="BA1380" s="279"/>
      <c r="BB1380" s="279"/>
      <c r="BC1380" s="279"/>
      <c r="BD1380" s="279"/>
      <c r="BE1380" s="279"/>
      <c r="BF1380" s="279"/>
      <c r="BG1380" s="279"/>
      <c r="BH1380" s="279"/>
      <c r="BI1380" s="279"/>
      <c r="BJ1380" s="279"/>
      <c r="BK1380" s="279"/>
      <c r="BL1380" s="279"/>
      <c r="BM1380" s="279"/>
      <c r="BN1380" s="279"/>
      <c r="BO1380" s="279"/>
      <c r="BP1380" s="279"/>
      <c r="BQ1380" s="279"/>
      <c r="BR1380" s="279"/>
      <c r="BS1380" s="279"/>
      <c r="BT1380" s="279"/>
      <c r="BU1380" s="279"/>
      <c r="BV1380" s="279"/>
      <c r="BW1380" s="279"/>
      <c r="BX1380" s="279"/>
      <c r="BY1380" s="279"/>
      <c r="BZ1380" s="279"/>
      <c r="CA1380" s="279"/>
      <c r="CB1380" s="279"/>
      <c r="CC1380" s="279"/>
      <c r="CD1380" s="279"/>
      <c r="CE1380" s="279"/>
      <c r="CF1380" s="279"/>
      <c r="CG1380" s="279"/>
      <c r="CH1380" s="279"/>
      <c r="CI1380" s="279"/>
      <c r="CJ1380" s="279"/>
      <c r="CK1380" s="279"/>
      <c r="CL1380" s="279"/>
      <c r="CM1380" s="279"/>
      <c r="CN1380" s="382"/>
    </row>
    <row r="1381" x14ac:dyDescent="0.3">
      <c r="B1381" s="361"/>
      <c r="C1381" s="279"/>
      <c r="D1381" s="280"/>
      <c r="E1381" s="287"/>
      <c r="F1381" s="287"/>
      <c r="G1381" s="287"/>
      <c r="H1381" s="1292">
        <f t="shared" si="70"/>
        <v>18</v>
      </c>
      <c r="I1381" s="1190" t="str">
        <f>'I. Stream &amp; Compound Data'!P279</f>
        <v/>
      </c>
      <c r="J1381" s="1295" t="str">
        <f>IF(I159="","",IF('I. Stream &amp; Compound Data'!CD279&lt;&gt;"",'I. Stream &amp; Compound Data'!CD279,'I. Stream &amp; Compound Data'!CE279))</f>
        <v/>
      </c>
      <c r="K1381" s="1295" t="str">
        <f t="shared" si="71"/>
        <v/>
      </c>
      <c r="L1381" s="1317" t="str">
        <f>IF(K1381="","",IF('I. Stream &amp; Compound Data'!E49="H2O",0,(IF(J1381=0,1,J1381))*I1381))</f>
        <v/>
      </c>
      <c r="M1381" s="296"/>
      <c r="N1381" s="280"/>
      <c r="O1381" s="280"/>
      <c r="P1381" s="279"/>
      <c r="Q1381" s="297"/>
      <c r="R1381" s="298"/>
      <c r="S1381" s="298"/>
      <c r="T1381" s="299"/>
      <c r="U1381" s="279"/>
      <c r="V1381" s="279"/>
      <c r="W1381" s="279"/>
      <c r="X1381" s="279"/>
      <c r="Y1381" s="279"/>
      <c r="Z1381" s="279"/>
      <c r="AA1381" s="279"/>
      <c r="AB1381" s="279"/>
      <c r="AC1381" s="279"/>
      <c r="AD1381" s="279"/>
      <c r="AE1381" s="279"/>
      <c r="AF1381" s="279"/>
      <c r="AG1381" s="279"/>
      <c r="AH1381" s="279"/>
      <c r="AI1381" s="279"/>
      <c r="AJ1381" s="279"/>
      <c r="AK1381" s="279"/>
      <c r="AL1381" s="279"/>
      <c r="AM1381" s="279"/>
      <c r="AN1381" s="279"/>
      <c r="AO1381" s="279"/>
      <c r="AP1381" s="279"/>
      <c r="AQ1381" s="279"/>
      <c r="AR1381" s="279"/>
      <c r="AS1381" s="279"/>
      <c r="AT1381" s="279"/>
      <c r="AU1381" s="279"/>
      <c r="AV1381" s="279"/>
      <c r="AW1381" s="279"/>
      <c r="AX1381" s="279"/>
      <c r="AY1381" s="279"/>
      <c r="AZ1381" s="279"/>
      <c r="BA1381" s="279"/>
      <c r="BB1381" s="279"/>
      <c r="BC1381" s="279"/>
      <c r="BD1381" s="279"/>
      <c r="BE1381" s="279"/>
      <c r="BF1381" s="279"/>
      <c r="BG1381" s="279"/>
      <c r="BH1381" s="279"/>
      <c r="BI1381" s="279"/>
      <c r="BJ1381" s="279"/>
      <c r="BK1381" s="279"/>
      <c r="BL1381" s="279"/>
      <c r="BM1381" s="279"/>
      <c r="BN1381" s="279"/>
      <c r="BO1381" s="279"/>
      <c r="BP1381" s="279"/>
      <c r="BQ1381" s="279"/>
      <c r="BR1381" s="279"/>
      <c r="BS1381" s="279"/>
      <c r="BT1381" s="279"/>
      <c r="BU1381" s="279"/>
      <c r="BV1381" s="279"/>
      <c r="BW1381" s="279"/>
      <c r="BX1381" s="279"/>
      <c r="BY1381" s="279"/>
      <c r="BZ1381" s="279"/>
      <c r="CA1381" s="279"/>
      <c r="CB1381" s="279"/>
      <c r="CC1381" s="279"/>
      <c r="CD1381" s="279"/>
      <c r="CE1381" s="279"/>
      <c r="CF1381" s="279"/>
      <c r="CG1381" s="279"/>
      <c r="CH1381" s="279"/>
      <c r="CI1381" s="279"/>
      <c r="CJ1381" s="279"/>
      <c r="CK1381" s="279"/>
      <c r="CL1381" s="279"/>
      <c r="CM1381" s="279"/>
      <c r="CN1381" s="382"/>
    </row>
    <row r="1382" x14ac:dyDescent="0.3">
      <c r="B1382" s="361"/>
      <c r="C1382" s="279"/>
      <c r="D1382" s="280"/>
      <c r="E1382" s="287"/>
      <c r="F1382" s="287"/>
      <c r="G1382" s="287"/>
      <c r="H1382" s="1292">
        <f t="shared" si="70"/>
        <v>19</v>
      </c>
      <c r="I1382" s="1190" t="str">
        <f>'I. Stream &amp; Compound Data'!P280</f>
        <v/>
      </c>
      <c r="J1382" s="1295" t="str">
        <f>IF(I160="","",IF('I. Stream &amp; Compound Data'!CD280&lt;&gt;"",'I. Stream &amp; Compound Data'!CD280,'I. Stream &amp; Compound Data'!CE280))</f>
        <v/>
      </c>
      <c r="K1382" s="1295" t="str">
        <f t="shared" si="71"/>
        <v/>
      </c>
      <c r="L1382" s="1317" t="str">
        <f>IF(K1382="","",IF('I. Stream &amp; Compound Data'!E50="H2O",0,(IF(J1382=0,1,J1382))*I1382))</f>
        <v/>
      </c>
      <c r="M1382" s="287"/>
      <c r="N1382" s="296"/>
      <c r="O1382" s="280"/>
      <c r="P1382" s="280"/>
      <c r="Q1382" s="279"/>
      <c r="R1382" s="297"/>
      <c r="S1382" s="298"/>
      <c r="T1382" s="298"/>
      <c r="U1382" s="299"/>
      <c r="V1382" s="279"/>
      <c r="W1382" s="279"/>
      <c r="X1382" s="279"/>
      <c r="Y1382" s="279"/>
      <c r="Z1382" s="279"/>
      <c r="AA1382" s="279"/>
      <c r="AB1382" s="279"/>
      <c r="AC1382" s="279"/>
      <c r="AD1382" s="279"/>
      <c r="AE1382" s="279"/>
      <c r="AF1382" s="279"/>
      <c r="AG1382" s="279"/>
      <c r="AH1382" s="279"/>
      <c r="AI1382" s="279"/>
      <c r="AJ1382" s="279"/>
      <c r="AK1382" s="279"/>
      <c r="AL1382" s="279"/>
      <c r="AM1382" s="279"/>
      <c r="AN1382" s="279"/>
      <c r="AO1382" s="279"/>
      <c r="AP1382" s="279"/>
      <c r="AQ1382" s="279"/>
      <c r="AR1382" s="279"/>
      <c r="AS1382" s="279"/>
      <c r="AT1382" s="279"/>
      <c r="AU1382" s="279"/>
      <c r="AV1382" s="279"/>
      <c r="AW1382" s="279"/>
      <c r="AX1382" s="279"/>
      <c r="AY1382" s="279"/>
      <c r="AZ1382" s="279"/>
      <c r="BA1382" s="279"/>
      <c r="BB1382" s="279"/>
      <c r="BC1382" s="279"/>
      <c r="BD1382" s="279"/>
      <c r="BE1382" s="279"/>
      <c r="BF1382" s="279"/>
      <c r="BG1382" s="279"/>
      <c r="BH1382" s="279"/>
      <c r="BI1382" s="279"/>
      <c r="BJ1382" s="279"/>
      <c r="BK1382" s="279"/>
      <c r="BL1382" s="279"/>
      <c r="BM1382" s="279"/>
      <c r="BN1382" s="279"/>
      <c r="BO1382" s="279"/>
      <c r="BP1382" s="279"/>
      <c r="BQ1382" s="279"/>
      <c r="BR1382" s="279"/>
      <c r="BS1382" s="279"/>
      <c r="BT1382" s="279"/>
      <c r="BU1382" s="279"/>
      <c r="BV1382" s="279"/>
      <c r="BW1382" s="279"/>
      <c r="BX1382" s="279"/>
      <c r="BY1382" s="279"/>
      <c r="BZ1382" s="279"/>
      <c r="CA1382" s="279"/>
      <c r="CB1382" s="279"/>
      <c r="CC1382" s="279"/>
      <c r="CD1382" s="279"/>
      <c r="CE1382" s="279"/>
      <c r="CF1382" s="279"/>
      <c r="CG1382" s="279"/>
      <c r="CH1382" s="279"/>
      <c r="CI1382" s="279"/>
      <c r="CJ1382" s="279"/>
      <c r="CK1382" s="279"/>
      <c r="CL1382" s="279"/>
      <c r="CM1382" s="279"/>
      <c r="CN1382" s="382"/>
    </row>
    <row r="1383" x14ac:dyDescent="0.3">
      <c r="B1383" s="361"/>
      <c r="C1383" s="279"/>
      <c r="D1383" s="280"/>
      <c r="E1383" s="287"/>
      <c r="F1383" s="287"/>
      <c r="G1383" s="287"/>
      <c r="H1383" s="1292">
        <f t="shared" si="70"/>
        <v>20</v>
      </c>
      <c r="I1383" s="1190" t="str">
        <f>'I. Stream &amp; Compound Data'!P281</f>
        <v/>
      </c>
      <c r="J1383" s="1295" t="str">
        <f>IF(I161="","",IF('I. Stream &amp; Compound Data'!CD281&lt;&gt;"",'I. Stream &amp; Compound Data'!CD281,'I. Stream &amp; Compound Data'!CE281))</f>
        <v/>
      </c>
      <c r="K1383" s="1295" t="str">
        <f t="shared" si="71"/>
        <v/>
      </c>
      <c r="L1383" s="1317" t="str">
        <f>IF(K1383="","",IF('I. Stream &amp; Compound Data'!E51="H2O",0,(IF(J1383=0,1,J1383))*I1383))</f>
        <v/>
      </c>
      <c r="M1383" s="287"/>
      <c r="N1383" s="296"/>
      <c r="O1383" s="280"/>
      <c r="P1383" s="280"/>
      <c r="Q1383" s="279"/>
      <c r="R1383" s="297"/>
      <c r="S1383" s="298"/>
      <c r="T1383" s="298"/>
      <c r="U1383" s="299"/>
      <c r="V1383" s="279"/>
      <c r="W1383" s="279"/>
      <c r="X1383" s="279"/>
      <c r="Y1383" s="279"/>
      <c r="Z1383" s="279"/>
      <c r="AA1383" s="279"/>
      <c r="AB1383" s="279"/>
      <c r="AC1383" s="279"/>
      <c r="AD1383" s="279"/>
      <c r="AE1383" s="279"/>
      <c r="AF1383" s="279"/>
      <c r="AG1383" s="279"/>
      <c r="AH1383" s="279"/>
      <c r="AI1383" s="279"/>
      <c r="AJ1383" s="279"/>
      <c r="AK1383" s="279"/>
      <c r="AL1383" s="279"/>
      <c r="AM1383" s="279"/>
      <c r="AN1383" s="279"/>
      <c r="AO1383" s="279"/>
      <c r="AP1383" s="279"/>
      <c r="AQ1383" s="279"/>
      <c r="AR1383" s="279"/>
      <c r="AS1383" s="279"/>
      <c r="AT1383" s="279"/>
      <c r="AU1383" s="279"/>
      <c r="AV1383" s="279"/>
      <c r="AW1383" s="279"/>
      <c r="AX1383" s="279"/>
      <c r="AY1383" s="279"/>
      <c r="AZ1383" s="279"/>
      <c r="BA1383" s="279"/>
      <c r="BB1383" s="279"/>
      <c r="BC1383" s="279"/>
      <c r="BD1383" s="279"/>
      <c r="BE1383" s="279"/>
      <c r="BF1383" s="279"/>
      <c r="BG1383" s="279"/>
      <c r="BH1383" s="279"/>
      <c r="BI1383" s="279"/>
      <c r="BJ1383" s="279"/>
      <c r="BK1383" s="279"/>
      <c r="BL1383" s="279"/>
      <c r="BM1383" s="279"/>
      <c r="BN1383" s="279"/>
      <c r="BO1383" s="279"/>
      <c r="BP1383" s="279"/>
      <c r="BQ1383" s="279"/>
      <c r="BR1383" s="279"/>
      <c r="BS1383" s="279"/>
      <c r="BT1383" s="279"/>
      <c r="BU1383" s="279"/>
      <c r="BV1383" s="279"/>
      <c r="BW1383" s="279"/>
      <c r="BX1383" s="279"/>
      <c r="BY1383" s="279"/>
      <c r="BZ1383" s="279"/>
      <c r="CA1383" s="279"/>
      <c r="CB1383" s="279"/>
      <c r="CC1383" s="279"/>
      <c r="CD1383" s="279"/>
      <c r="CE1383" s="279"/>
      <c r="CF1383" s="279"/>
      <c r="CG1383" s="279"/>
      <c r="CH1383" s="279"/>
      <c r="CI1383" s="279"/>
      <c r="CJ1383" s="279"/>
      <c r="CK1383" s="279"/>
      <c r="CL1383" s="279"/>
      <c r="CM1383" s="279"/>
      <c r="CN1383" s="382"/>
    </row>
    <row r="1384" x14ac:dyDescent="0.3">
      <c r="B1384" s="361"/>
      <c r="C1384" s="279"/>
      <c r="D1384" s="280"/>
      <c r="E1384" s="287"/>
      <c r="F1384" s="287"/>
      <c r="G1384" s="287"/>
      <c r="H1384" s="1292">
        <f t="shared" si="70"/>
        <v>21</v>
      </c>
      <c r="I1384" s="1190" t="str">
        <f>'I. Stream &amp; Compound Data'!P282</f>
        <v/>
      </c>
      <c r="J1384" s="1295" t="str">
        <f>IF(I162="","",IF('I. Stream &amp; Compound Data'!CD282&lt;&gt;"",'I. Stream &amp; Compound Data'!CD282,'I. Stream &amp; Compound Data'!CE282))</f>
        <v/>
      </c>
      <c r="K1384" s="1295" t="str">
        <f t="shared" ref="K1384:K1413" si="72">IF(I162="","",I1384*J1384)</f>
        <v/>
      </c>
      <c r="L1384" s="1317" t="str">
        <f>IF(K1384="","",IF('I. Stream &amp; Compound Data'!E52="H2O",0,(IF(J1384=0,1,J1384))*I1384))</f>
        <v/>
      </c>
      <c r="M1384" s="287"/>
      <c r="N1384" s="296"/>
      <c r="O1384" s="280"/>
      <c r="P1384" s="280"/>
      <c r="Q1384" s="279"/>
      <c r="R1384" s="297"/>
      <c r="S1384" s="298"/>
      <c r="T1384" s="298"/>
      <c r="U1384" s="299"/>
      <c r="V1384" s="279"/>
      <c r="W1384" s="279"/>
      <c r="X1384" s="279"/>
      <c r="Y1384" s="279"/>
      <c r="Z1384" s="279"/>
      <c r="AA1384" s="279"/>
      <c r="AB1384" s="279"/>
      <c r="AC1384" s="279"/>
      <c r="AD1384" s="279"/>
      <c r="AE1384" s="279"/>
      <c r="AF1384" s="279"/>
      <c r="AG1384" s="279"/>
      <c r="AH1384" s="279"/>
      <c r="AI1384" s="279"/>
      <c r="AJ1384" s="279"/>
      <c r="AK1384" s="279"/>
      <c r="AL1384" s="279"/>
      <c r="AM1384" s="279"/>
      <c r="AN1384" s="279"/>
      <c r="AO1384" s="279"/>
      <c r="AP1384" s="279"/>
      <c r="AQ1384" s="279"/>
      <c r="AR1384" s="279"/>
      <c r="AS1384" s="279"/>
      <c r="AT1384" s="279"/>
      <c r="AU1384" s="279"/>
      <c r="AV1384" s="279"/>
      <c r="AW1384" s="279"/>
      <c r="AX1384" s="279"/>
      <c r="AY1384" s="279"/>
      <c r="AZ1384" s="279"/>
      <c r="BA1384" s="279"/>
      <c r="BB1384" s="279"/>
      <c r="BC1384" s="279"/>
      <c r="BD1384" s="279"/>
      <c r="BE1384" s="279"/>
      <c r="BF1384" s="279"/>
      <c r="BG1384" s="279"/>
      <c r="BH1384" s="279"/>
      <c r="BI1384" s="279"/>
      <c r="BJ1384" s="279"/>
      <c r="BK1384" s="279"/>
      <c r="BL1384" s="279"/>
      <c r="BM1384" s="279"/>
      <c r="BN1384" s="279"/>
      <c r="BO1384" s="279"/>
      <c r="BP1384" s="279"/>
      <c r="BQ1384" s="279"/>
      <c r="BR1384" s="279"/>
      <c r="BS1384" s="279"/>
      <c r="BT1384" s="279"/>
      <c r="BU1384" s="279"/>
      <c r="BV1384" s="279"/>
      <c r="BW1384" s="279"/>
      <c r="BX1384" s="279"/>
      <c r="BY1384" s="279"/>
      <c r="BZ1384" s="279"/>
      <c r="CA1384" s="279"/>
      <c r="CB1384" s="279"/>
      <c r="CC1384" s="279"/>
      <c r="CD1384" s="279"/>
      <c r="CE1384" s="279"/>
      <c r="CF1384" s="279"/>
      <c r="CG1384" s="279"/>
      <c r="CH1384" s="279"/>
      <c r="CI1384" s="279"/>
      <c r="CJ1384" s="279"/>
      <c r="CK1384" s="279"/>
      <c r="CL1384" s="279"/>
      <c r="CM1384" s="279"/>
      <c r="CN1384" s="382"/>
    </row>
    <row r="1385" x14ac:dyDescent="0.3">
      <c r="B1385" s="361"/>
      <c r="C1385" s="279"/>
      <c r="D1385" s="280"/>
      <c r="E1385" s="287"/>
      <c r="F1385" s="287"/>
      <c r="G1385" s="287"/>
      <c r="H1385" s="1292">
        <f t="shared" si="70"/>
        <v>22</v>
      </c>
      <c r="I1385" s="1190" t="str">
        <f>'I. Stream &amp; Compound Data'!P283</f>
        <v/>
      </c>
      <c r="J1385" s="1295" t="str">
        <f>IF(I163="","",IF('I. Stream &amp; Compound Data'!CD283&lt;&gt;"",'I. Stream &amp; Compound Data'!CD283,'I. Stream &amp; Compound Data'!CE283))</f>
        <v/>
      </c>
      <c r="K1385" s="1295" t="str">
        <f t="shared" si="72"/>
        <v/>
      </c>
      <c r="L1385" s="1317" t="str">
        <f>IF(K1385="","",IF('I. Stream &amp; Compound Data'!E53="H2O",0,(IF(J1385=0,1,J1385))*I1385))</f>
        <v/>
      </c>
      <c r="M1385" s="287"/>
      <c r="N1385" s="296"/>
      <c r="O1385" s="280"/>
      <c r="P1385" s="280"/>
      <c r="Q1385" s="279"/>
      <c r="R1385" s="297"/>
      <c r="S1385" s="298"/>
      <c r="T1385" s="298"/>
      <c r="U1385" s="299"/>
      <c r="V1385" s="279"/>
      <c r="W1385" s="279"/>
      <c r="X1385" s="279"/>
      <c r="Y1385" s="279"/>
      <c r="Z1385" s="279"/>
      <c r="AA1385" s="279"/>
      <c r="AB1385" s="279"/>
      <c r="AC1385" s="279"/>
      <c r="AD1385" s="279"/>
      <c r="AE1385" s="279"/>
      <c r="AF1385" s="279"/>
      <c r="AG1385" s="279"/>
      <c r="AH1385" s="279"/>
      <c r="AI1385" s="279"/>
      <c r="AJ1385" s="279"/>
      <c r="AK1385" s="279"/>
      <c r="AL1385" s="279"/>
      <c r="AM1385" s="279"/>
      <c r="AN1385" s="279"/>
      <c r="AO1385" s="279"/>
      <c r="AP1385" s="279"/>
      <c r="AQ1385" s="279"/>
      <c r="AR1385" s="279"/>
      <c r="AS1385" s="279"/>
      <c r="AT1385" s="279"/>
      <c r="AU1385" s="279"/>
      <c r="AV1385" s="279"/>
      <c r="AW1385" s="279"/>
      <c r="AX1385" s="279"/>
      <c r="AY1385" s="279"/>
      <c r="AZ1385" s="279"/>
      <c r="BA1385" s="279"/>
      <c r="BB1385" s="279"/>
      <c r="BC1385" s="279"/>
      <c r="BD1385" s="279"/>
      <c r="BE1385" s="279"/>
      <c r="BF1385" s="279"/>
      <c r="BG1385" s="279"/>
      <c r="BH1385" s="279"/>
      <c r="BI1385" s="279"/>
      <c r="BJ1385" s="279"/>
      <c r="BK1385" s="279"/>
      <c r="BL1385" s="279"/>
      <c r="BM1385" s="279"/>
      <c r="BN1385" s="279"/>
      <c r="BO1385" s="279"/>
      <c r="BP1385" s="279"/>
      <c r="BQ1385" s="279"/>
      <c r="BR1385" s="279"/>
      <c r="BS1385" s="279"/>
      <c r="BT1385" s="279"/>
      <c r="BU1385" s="279"/>
      <c r="BV1385" s="279"/>
      <c r="BW1385" s="279"/>
      <c r="BX1385" s="279"/>
      <c r="BY1385" s="279"/>
      <c r="BZ1385" s="279"/>
      <c r="CA1385" s="279"/>
      <c r="CB1385" s="279"/>
      <c r="CC1385" s="279"/>
      <c r="CD1385" s="279"/>
      <c r="CE1385" s="279"/>
      <c r="CF1385" s="279"/>
      <c r="CG1385" s="279"/>
      <c r="CH1385" s="279"/>
      <c r="CI1385" s="279"/>
      <c r="CJ1385" s="279"/>
      <c r="CK1385" s="279"/>
      <c r="CL1385" s="279"/>
      <c r="CM1385" s="279"/>
      <c r="CN1385" s="382"/>
    </row>
    <row r="1386" x14ac:dyDescent="0.3">
      <c r="B1386" s="361"/>
      <c r="C1386" s="279"/>
      <c r="D1386" s="280"/>
      <c r="E1386" s="287"/>
      <c r="F1386" s="287"/>
      <c r="G1386" s="287"/>
      <c r="H1386" s="1292">
        <f t="shared" si="70"/>
        <v>23</v>
      </c>
      <c r="I1386" s="1190" t="str">
        <f>'I. Stream &amp; Compound Data'!P284</f>
        <v/>
      </c>
      <c r="J1386" s="1295" t="str">
        <f>IF(I164="","",IF('I. Stream &amp; Compound Data'!CD284&lt;&gt;"",'I. Stream &amp; Compound Data'!CD284,'I. Stream &amp; Compound Data'!CE284))</f>
        <v/>
      </c>
      <c r="K1386" s="1295" t="str">
        <f t="shared" si="72"/>
        <v/>
      </c>
      <c r="L1386" s="1317" t="str">
        <f>IF(K1386="","",IF('I. Stream &amp; Compound Data'!E54="H2O",0,(IF(J1386=0,1,J1386))*I1386))</f>
        <v/>
      </c>
      <c r="M1386" s="287"/>
      <c r="N1386" s="296"/>
      <c r="O1386" s="280"/>
      <c r="P1386" s="280"/>
      <c r="Q1386" s="279"/>
      <c r="R1386" s="297"/>
      <c r="S1386" s="298"/>
      <c r="T1386" s="298"/>
      <c r="U1386" s="299"/>
      <c r="V1386" s="279"/>
      <c r="W1386" s="279"/>
      <c r="X1386" s="279"/>
      <c r="Y1386" s="279"/>
      <c r="Z1386" s="279"/>
      <c r="AA1386" s="279"/>
      <c r="AB1386" s="279"/>
      <c r="AC1386" s="279"/>
      <c r="AD1386" s="279"/>
      <c r="AE1386" s="279"/>
      <c r="AF1386" s="279"/>
      <c r="AG1386" s="279"/>
      <c r="AH1386" s="279"/>
      <c r="AI1386" s="279"/>
      <c r="AJ1386" s="279"/>
      <c r="AK1386" s="279"/>
      <c r="AL1386" s="279"/>
      <c r="AM1386" s="279"/>
      <c r="AN1386" s="279"/>
      <c r="AO1386" s="279"/>
      <c r="AP1386" s="279"/>
      <c r="AQ1386" s="279"/>
      <c r="AR1386" s="279"/>
      <c r="AS1386" s="279"/>
      <c r="AT1386" s="279"/>
      <c r="AU1386" s="279"/>
      <c r="AV1386" s="279"/>
      <c r="AW1386" s="279"/>
      <c r="AX1386" s="279"/>
      <c r="AY1386" s="279"/>
      <c r="AZ1386" s="279"/>
      <c r="BA1386" s="279"/>
      <c r="BB1386" s="279"/>
      <c r="BC1386" s="279"/>
      <c r="BD1386" s="279"/>
      <c r="BE1386" s="279"/>
      <c r="BF1386" s="279"/>
      <c r="BG1386" s="279"/>
      <c r="BH1386" s="279"/>
      <c r="BI1386" s="279"/>
      <c r="BJ1386" s="279"/>
      <c r="BK1386" s="279"/>
      <c r="BL1386" s="279"/>
      <c r="BM1386" s="279"/>
      <c r="BN1386" s="279"/>
      <c r="BO1386" s="279"/>
      <c r="BP1386" s="279"/>
      <c r="BQ1386" s="279"/>
      <c r="BR1386" s="279"/>
      <c r="BS1386" s="279"/>
      <c r="BT1386" s="279"/>
      <c r="BU1386" s="279"/>
      <c r="BV1386" s="279"/>
      <c r="BW1386" s="279"/>
      <c r="BX1386" s="279"/>
      <c r="BY1386" s="279"/>
      <c r="BZ1386" s="279"/>
      <c r="CA1386" s="279"/>
      <c r="CB1386" s="279"/>
      <c r="CC1386" s="279"/>
      <c r="CD1386" s="279"/>
      <c r="CE1386" s="279"/>
      <c r="CF1386" s="279"/>
      <c r="CG1386" s="279"/>
      <c r="CH1386" s="279"/>
      <c r="CI1386" s="279"/>
      <c r="CJ1386" s="279"/>
      <c r="CK1386" s="279"/>
      <c r="CL1386" s="279"/>
      <c r="CM1386" s="279"/>
      <c r="CN1386" s="382"/>
    </row>
    <row r="1387" x14ac:dyDescent="0.3">
      <c r="B1387" s="361"/>
      <c r="C1387" s="279"/>
      <c r="D1387" s="280"/>
      <c r="E1387" s="287"/>
      <c r="F1387" s="287"/>
      <c r="G1387" s="287"/>
      <c r="H1387" s="1292">
        <f t="shared" si="70"/>
        <v>24</v>
      </c>
      <c r="I1387" s="1190" t="str">
        <f>'I. Stream &amp; Compound Data'!P285</f>
        <v/>
      </c>
      <c r="J1387" s="1295" t="str">
        <f>IF(I165="","",IF('I. Stream &amp; Compound Data'!CD285&lt;&gt;"",'I. Stream &amp; Compound Data'!CD285,'I. Stream &amp; Compound Data'!CE285))</f>
        <v/>
      </c>
      <c r="K1387" s="1295" t="str">
        <f t="shared" si="72"/>
        <v/>
      </c>
      <c r="L1387" s="1317" t="str">
        <f>IF(K1387="","",IF('I. Stream &amp; Compound Data'!E55="H2O",0,(IF(J1387=0,1,J1387))*I1387))</f>
        <v/>
      </c>
      <c r="M1387" s="287"/>
      <c r="N1387" s="296"/>
      <c r="O1387" s="280"/>
      <c r="P1387" s="280"/>
      <c r="Q1387" s="279"/>
      <c r="R1387" s="297"/>
      <c r="S1387" s="298"/>
      <c r="T1387" s="298"/>
      <c r="U1387" s="299"/>
      <c r="V1387" s="279"/>
      <c r="W1387" s="279"/>
      <c r="X1387" s="279"/>
      <c r="Y1387" s="279"/>
      <c r="Z1387" s="279"/>
      <c r="AA1387" s="279"/>
      <c r="AB1387" s="279"/>
      <c r="AC1387" s="279"/>
      <c r="AD1387" s="279"/>
      <c r="AE1387" s="279"/>
      <c r="AF1387" s="279"/>
      <c r="AG1387" s="279"/>
      <c r="AH1387" s="279"/>
      <c r="AI1387" s="279"/>
      <c r="AJ1387" s="279"/>
      <c r="AK1387" s="279"/>
      <c r="AL1387" s="279"/>
      <c r="AM1387" s="279"/>
      <c r="AN1387" s="279"/>
      <c r="AO1387" s="279"/>
      <c r="AP1387" s="279"/>
      <c r="AQ1387" s="279"/>
      <c r="AR1387" s="279"/>
      <c r="AS1387" s="279"/>
      <c r="AT1387" s="279"/>
      <c r="AU1387" s="279"/>
      <c r="AV1387" s="279"/>
      <c r="AW1387" s="279"/>
      <c r="AX1387" s="279"/>
      <c r="AY1387" s="279"/>
      <c r="AZ1387" s="279"/>
      <c r="BA1387" s="279"/>
      <c r="BB1387" s="279"/>
      <c r="BC1387" s="279"/>
      <c r="BD1387" s="279"/>
      <c r="BE1387" s="279"/>
      <c r="BF1387" s="279"/>
      <c r="BG1387" s="279"/>
      <c r="BH1387" s="279"/>
      <c r="BI1387" s="279"/>
      <c r="BJ1387" s="279"/>
      <c r="BK1387" s="279"/>
      <c r="BL1387" s="279"/>
      <c r="BM1387" s="279"/>
      <c r="BN1387" s="279"/>
      <c r="BO1387" s="279"/>
      <c r="BP1387" s="279"/>
      <c r="BQ1387" s="279"/>
      <c r="BR1387" s="279"/>
      <c r="BS1387" s="279"/>
      <c r="BT1387" s="279"/>
      <c r="BU1387" s="279"/>
      <c r="BV1387" s="279"/>
      <c r="BW1387" s="279"/>
      <c r="BX1387" s="279"/>
      <c r="BY1387" s="279"/>
      <c r="BZ1387" s="279"/>
      <c r="CA1387" s="279"/>
      <c r="CB1387" s="279"/>
      <c r="CC1387" s="279"/>
      <c r="CD1387" s="279"/>
      <c r="CE1387" s="279"/>
      <c r="CF1387" s="279"/>
      <c r="CG1387" s="279"/>
      <c r="CH1387" s="279"/>
      <c r="CI1387" s="279"/>
      <c r="CJ1387" s="279"/>
      <c r="CK1387" s="279"/>
      <c r="CL1387" s="279"/>
      <c r="CM1387" s="279"/>
      <c r="CN1387" s="382"/>
    </row>
    <row r="1388" x14ac:dyDescent="0.3">
      <c r="B1388" s="361"/>
      <c r="C1388" s="279"/>
      <c r="D1388" s="280"/>
      <c r="E1388" s="287"/>
      <c r="F1388" s="287"/>
      <c r="G1388" s="287"/>
      <c r="H1388" s="1292">
        <f t="shared" si="70"/>
        <v>25</v>
      </c>
      <c r="I1388" s="1190" t="str">
        <f>'I. Stream &amp; Compound Data'!P286</f>
        <v/>
      </c>
      <c r="J1388" s="1295" t="str">
        <f>IF(I166="","",IF('I. Stream &amp; Compound Data'!CD286&lt;&gt;"",'I. Stream &amp; Compound Data'!CD286,'I. Stream &amp; Compound Data'!CE286))</f>
        <v/>
      </c>
      <c r="K1388" s="1295" t="str">
        <f t="shared" si="72"/>
        <v/>
      </c>
      <c r="L1388" s="1317" t="str">
        <f>IF(K1388="","",IF('I. Stream &amp; Compound Data'!E56="H2O",0,(IF(J1388=0,1,J1388))*I1388))</f>
        <v/>
      </c>
      <c r="M1388" s="287"/>
      <c r="N1388" s="296"/>
      <c r="O1388" s="280"/>
      <c r="P1388" s="280"/>
      <c r="Q1388" s="279"/>
      <c r="R1388" s="297"/>
      <c r="S1388" s="298"/>
      <c r="T1388" s="298"/>
      <c r="U1388" s="299"/>
      <c r="V1388" s="279"/>
      <c r="W1388" s="279"/>
      <c r="X1388" s="279"/>
      <c r="Y1388" s="279"/>
      <c r="Z1388" s="279"/>
      <c r="AA1388" s="279"/>
      <c r="AB1388" s="279"/>
      <c r="AC1388" s="279"/>
      <c r="AD1388" s="279"/>
      <c r="AE1388" s="279"/>
      <c r="AF1388" s="279"/>
      <c r="AG1388" s="279"/>
      <c r="AH1388" s="279"/>
      <c r="AI1388" s="279"/>
      <c r="AJ1388" s="279"/>
      <c r="AK1388" s="279"/>
      <c r="AL1388" s="279"/>
      <c r="AM1388" s="279"/>
      <c r="AN1388" s="279"/>
      <c r="AO1388" s="279"/>
      <c r="AP1388" s="279"/>
      <c r="AQ1388" s="279"/>
      <c r="AR1388" s="279"/>
      <c r="AS1388" s="279"/>
      <c r="AT1388" s="279"/>
      <c r="AU1388" s="279"/>
      <c r="AV1388" s="279"/>
      <c r="AW1388" s="279"/>
      <c r="AX1388" s="279"/>
      <c r="AY1388" s="279"/>
      <c r="AZ1388" s="279"/>
      <c r="BA1388" s="279"/>
      <c r="BB1388" s="279"/>
      <c r="BC1388" s="279"/>
      <c r="BD1388" s="279"/>
      <c r="BE1388" s="279"/>
      <c r="BF1388" s="279"/>
      <c r="BG1388" s="279"/>
      <c r="BH1388" s="279"/>
      <c r="BI1388" s="279"/>
      <c r="BJ1388" s="279"/>
      <c r="BK1388" s="279"/>
      <c r="BL1388" s="279"/>
      <c r="BM1388" s="279"/>
      <c r="BN1388" s="279"/>
      <c r="BO1388" s="279"/>
      <c r="BP1388" s="279"/>
      <c r="BQ1388" s="279"/>
      <c r="BR1388" s="279"/>
      <c r="BS1388" s="279"/>
      <c r="BT1388" s="279"/>
      <c r="BU1388" s="279"/>
      <c r="BV1388" s="279"/>
      <c r="BW1388" s="279"/>
      <c r="BX1388" s="279"/>
      <c r="BY1388" s="279"/>
      <c r="BZ1388" s="279"/>
      <c r="CA1388" s="279"/>
      <c r="CB1388" s="279"/>
      <c r="CC1388" s="279"/>
      <c r="CD1388" s="279"/>
      <c r="CE1388" s="279"/>
      <c r="CF1388" s="279"/>
      <c r="CG1388" s="279"/>
      <c r="CH1388" s="279"/>
      <c r="CI1388" s="279"/>
      <c r="CJ1388" s="279"/>
      <c r="CK1388" s="279"/>
      <c r="CL1388" s="279"/>
      <c r="CM1388" s="279"/>
      <c r="CN1388" s="382"/>
    </row>
    <row r="1389" x14ac:dyDescent="0.3">
      <c r="B1389" s="361"/>
      <c r="C1389" s="279"/>
      <c r="D1389" s="280"/>
      <c r="E1389" s="287"/>
      <c r="F1389" s="287"/>
      <c r="G1389" s="287"/>
      <c r="H1389" s="1292">
        <f t="shared" si="70"/>
        <v>26</v>
      </c>
      <c r="I1389" s="1190" t="str">
        <f>'I. Stream &amp; Compound Data'!P287</f>
        <v/>
      </c>
      <c r="J1389" s="1295" t="str">
        <f>IF(I167="","",IF('I. Stream &amp; Compound Data'!CD287&lt;&gt;"",'I. Stream &amp; Compound Data'!CD287,'I. Stream &amp; Compound Data'!CE287))</f>
        <v/>
      </c>
      <c r="K1389" s="1295" t="str">
        <f t="shared" si="72"/>
        <v/>
      </c>
      <c r="L1389" s="1317" t="str">
        <f>IF(K1389="","",IF('I. Stream &amp; Compound Data'!E57="H2O",0,(IF(J1389=0,1,J1389))*I1389))</f>
        <v/>
      </c>
      <c r="M1389" s="287"/>
      <c r="N1389" s="296"/>
      <c r="O1389" s="280"/>
      <c r="P1389" s="280"/>
      <c r="Q1389" s="279"/>
      <c r="R1389" s="297"/>
      <c r="S1389" s="298"/>
      <c r="T1389" s="298"/>
      <c r="U1389" s="299"/>
      <c r="V1389" s="279"/>
      <c r="W1389" s="279"/>
      <c r="X1389" s="279"/>
      <c r="Y1389" s="279"/>
      <c r="Z1389" s="279"/>
      <c r="AA1389" s="279"/>
      <c r="AB1389" s="279"/>
      <c r="AC1389" s="279"/>
      <c r="AD1389" s="279"/>
      <c r="AE1389" s="279"/>
      <c r="AF1389" s="279"/>
      <c r="AG1389" s="279"/>
      <c r="AH1389" s="279"/>
      <c r="AI1389" s="279"/>
      <c r="AJ1389" s="279"/>
      <c r="AK1389" s="279"/>
      <c r="AL1389" s="279"/>
      <c r="AM1389" s="279"/>
      <c r="AN1389" s="279"/>
      <c r="AO1389" s="279"/>
      <c r="AP1389" s="279"/>
      <c r="AQ1389" s="279"/>
      <c r="AR1389" s="279"/>
      <c r="AS1389" s="279"/>
      <c r="AT1389" s="279"/>
      <c r="AU1389" s="279"/>
      <c r="AV1389" s="279"/>
      <c r="AW1389" s="279"/>
      <c r="AX1389" s="279"/>
      <c r="AY1389" s="279"/>
      <c r="AZ1389" s="279"/>
      <c r="BA1389" s="279"/>
      <c r="BB1389" s="279"/>
      <c r="BC1389" s="279"/>
      <c r="BD1389" s="279"/>
      <c r="BE1389" s="279"/>
      <c r="BF1389" s="279"/>
      <c r="BG1389" s="279"/>
      <c r="BH1389" s="279"/>
      <c r="BI1389" s="279"/>
      <c r="BJ1389" s="279"/>
      <c r="BK1389" s="279"/>
      <c r="BL1389" s="279"/>
      <c r="BM1389" s="279"/>
      <c r="BN1389" s="279"/>
      <c r="BO1389" s="279"/>
      <c r="BP1389" s="279"/>
      <c r="BQ1389" s="279"/>
      <c r="BR1389" s="279"/>
      <c r="BS1389" s="279"/>
      <c r="BT1389" s="279"/>
      <c r="BU1389" s="279"/>
      <c r="BV1389" s="279"/>
      <c r="BW1389" s="279"/>
      <c r="BX1389" s="279"/>
      <c r="BY1389" s="279"/>
      <c r="BZ1389" s="279"/>
      <c r="CA1389" s="279"/>
      <c r="CB1389" s="279"/>
      <c r="CC1389" s="279"/>
      <c r="CD1389" s="279"/>
      <c r="CE1389" s="279"/>
      <c r="CF1389" s="279"/>
      <c r="CG1389" s="279"/>
      <c r="CH1389" s="279"/>
      <c r="CI1389" s="279"/>
      <c r="CJ1389" s="279"/>
      <c r="CK1389" s="279"/>
      <c r="CL1389" s="279"/>
      <c r="CM1389" s="279"/>
      <c r="CN1389" s="382"/>
    </row>
    <row r="1390" x14ac:dyDescent="0.3">
      <c r="B1390" s="361"/>
      <c r="C1390" s="279"/>
      <c r="D1390" s="280"/>
      <c r="E1390" s="287"/>
      <c r="F1390" s="287"/>
      <c r="G1390" s="287"/>
      <c r="H1390" s="1292">
        <f t="shared" si="70"/>
        <v>27</v>
      </c>
      <c r="I1390" s="1190" t="str">
        <f>'I. Stream &amp; Compound Data'!P288</f>
        <v/>
      </c>
      <c r="J1390" s="1295" t="str">
        <f>IF(I168="","",IF('I. Stream &amp; Compound Data'!CD288&lt;&gt;"",'I. Stream &amp; Compound Data'!CD288,'I. Stream &amp; Compound Data'!CE288))</f>
        <v/>
      </c>
      <c r="K1390" s="1295" t="str">
        <f t="shared" si="72"/>
        <v/>
      </c>
      <c r="L1390" s="1317" t="str">
        <f>IF(K1390="","",IF('I. Stream &amp; Compound Data'!E58="H2O",0,(IF(J1390=0,1,J1390))*I1390))</f>
        <v/>
      </c>
      <c r="M1390" s="287"/>
      <c r="N1390" s="296"/>
      <c r="O1390" s="280"/>
      <c r="P1390" s="280"/>
      <c r="Q1390" s="279"/>
      <c r="R1390" s="297"/>
      <c r="S1390" s="298"/>
      <c r="T1390" s="298"/>
      <c r="U1390" s="299"/>
      <c r="V1390" s="279"/>
      <c r="W1390" s="279"/>
      <c r="X1390" s="279"/>
      <c r="Y1390" s="279"/>
      <c r="Z1390" s="279"/>
      <c r="AA1390" s="279"/>
      <c r="AB1390" s="279"/>
      <c r="AC1390" s="279"/>
      <c r="AD1390" s="279"/>
      <c r="AE1390" s="279"/>
      <c r="AF1390" s="279"/>
      <c r="AG1390" s="279"/>
      <c r="AH1390" s="279"/>
      <c r="AI1390" s="279"/>
      <c r="AJ1390" s="279"/>
      <c r="AK1390" s="279"/>
      <c r="AL1390" s="279"/>
      <c r="AM1390" s="279"/>
      <c r="AN1390" s="279"/>
      <c r="AO1390" s="279"/>
      <c r="AP1390" s="279"/>
      <c r="AQ1390" s="279"/>
      <c r="AR1390" s="279"/>
      <c r="AS1390" s="279"/>
      <c r="AT1390" s="279"/>
      <c r="AU1390" s="279"/>
      <c r="AV1390" s="279"/>
      <c r="AW1390" s="279"/>
      <c r="AX1390" s="279"/>
      <c r="AY1390" s="279"/>
      <c r="AZ1390" s="279"/>
      <c r="BA1390" s="279"/>
      <c r="BB1390" s="279"/>
      <c r="BC1390" s="279"/>
      <c r="BD1390" s="279"/>
      <c r="BE1390" s="279"/>
      <c r="BF1390" s="279"/>
      <c r="BG1390" s="279"/>
      <c r="BH1390" s="279"/>
      <c r="BI1390" s="279"/>
      <c r="BJ1390" s="279"/>
      <c r="BK1390" s="279"/>
      <c r="BL1390" s="279"/>
      <c r="BM1390" s="279"/>
      <c r="BN1390" s="279"/>
      <c r="BO1390" s="279"/>
      <c r="BP1390" s="279"/>
      <c r="BQ1390" s="279"/>
      <c r="BR1390" s="279"/>
      <c r="BS1390" s="279"/>
      <c r="BT1390" s="279"/>
      <c r="BU1390" s="279"/>
      <c r="BV1390" s="279"/>
      <c r="BW1390" s="279"/>
      <c r="BX1390" s="279"/>
      <c r="BY1390" s="279"/>
      <c r="BZ1390" s="279"/>
      <c r="CA1390" s="279"/>
      <c r="CB1390" s="279"/>
      <c r="CC1390" s="279"/>
      <c r="CD1390" s="279"/>
      <c r="CE1390" s="279"/>
      <c r="CF1390" s="279"/>
      <c r="CG1390" s="279"/>
      <c r="CH1390" s="279"/>
      <c r="CI1390" s="279"/>
      <c r="CJ1390" s="279"/>
      <c r="CK1390" s="279"/>
      <c r="CL1390" s="279"/>
      <c r="CM1390" s="279"/>
      <c r="CN1390" s="382"/>
    </row>
    <row r="1391" x14ac:dyDescent="0.3">
      <c r="B1391" s="361"/>
      <c r="C1391" s="279"/>
      <c r="D1391" s="280"/>
      <c r="E1391" s="287"/>
      <c r="F1391" s="287"/>
      <c r="G1391" s="287"/>
      <c r="H1391" s="1292">
        <f t="shared" si="70"/>
        <v>28</v>
      </c>
      <c r="I1391" s="1190" t="str">
        <f>'I. Stream &amp; Compound Data'!P289</f>
        <v/>
      </c>
      <c r="J1391" s="1295" t="str">
        <f>IF(I169="","",IF('I. Stream &amp; Compound Data'!CD289&lt;&gt;"",'I. Stream &amp; Compound Data'!CD289,'I. Stream &amp; Compound Data'!CE289))</f>
        <v/>
      </c>
      <c r="K1391" s="1295" t="str">
        <f t="shared" si="72"/>
        <v/>
      </c>
      <c r="L1391" s="1317" t="str">
        <f>IF(K1391="","",IF('I. Stream &amp; Compound Data'!E59="H2O",0,(IF(J1391=0,1,J1391))*I1391))</f>
        <v/>
      </c>
      <c r="M1391" s="287"/>
      <c r="N1391" s="296"/>
      <c r="O1391" s="280"/>
      <c r="P1391" s="280"/>
      <c r="Q1391" s="279"/>
      <c r="R1391" s="297"/>
      <c r="S1391" s="298"/>
      <c r="T1391" s="298"/>
      <c r="U1391" s="299"/>
      <c r="V1391" s="279"/>
      <c r="W1391" s="279"/>
      <c r="X1391" s="279"/>
      <c r="Y1391" s="279"/>
      <c r="Z1391" s="279"/>
      <c r="AA1391" s="279"/>
      <c r="AB1391" s="279"/>
      <c r="AC1391" s="279"/>
      <c r="AD1391" s="279"/>
      <c r="AE1391" s="279"/>
      <c r="AF1391" s="279"/>
      <c r="AG1391" s="279"/>
      <c r="AH1391" s="279"/>
      <c r="AI1391" s="279"/>
      <c r="AJ1391" s="279"/>
      <c r="AK1391" s="279"/>
      <c r="AL1391" s="279"/>
      <c r="AM1391" s="279"/>
      <c r="AN1391" s="279"/>
      <c r="AO1391" s="279"/>
      <c r="AP1391" s="279"/>
      <c r="AQ1391" s="279"/>
      <c r="AR1391" s="279"/>
      <c r="AS1391" s="279"/>
      <c r="AT1391" s="279"/>
      <c r="AU1391" s="279"/>
      <c r="AV1391" s="279"/>
      <c r="AW1391" s="279"/>
      <c r="AX1391" s="279"/>
      <c r="AY1391" s="279"/>
      <c r="AZ1391" s="279"/>
      <c r="BA1391" s="279"/>
      <c r="BB1391" s="279"/>
      <c r="BC1391" s="279"/>
      <c r="BD1391" s="279"/>
      <c r="BE1391" s="279"/>
      <c r="BF1391" s="279"/>
      <c r="BG1391" s="279"/>
      <c r="BH1391" s="279"/>
      <c r="BI1391" s="279"/>
      <c r="BJ1391" s="279"/>
      <c r="BK1391" s="279"/>
      <c r="BL1391" s="279"/>
      <c r="BM1391" s="279"/>
      <c r="BN1391" s="279"/>
      <c r="BO1391" s="279"/>
      <c r="BP1391" s="279"/>
      <c r="BQ1391" s="279"/>
      <c r="BR1391" s="279"/>
      <c r="BS1391" s="279"/>
      <c r="BT1391" s="279"/>
      <c r="BU1391" s="279"/>
      <c r="BV1391" s="279"/>
      <c r="BW1391" s="279"/>
      <c r="BX1391" s="279"/>
      <c r="BY1391" s="279"/>
      <c r="BZ1391" s="279"/>
      <c r="CA1391" s="279"/>
      <c r="CB1391" s="279"/>
      <c r="CC1391" s="279"/>
      <c r="CD1391" s="279"/>
      <c r="CE1391" s="279"/>
      <c r="CF1391" s="279"/>
      <c r="CG1391" s="279"/>
      <c r="CH1391" s="279"/>
      <c r="CI1391" s="279"/>
      <c r="CJ1391" s="279"/>
      <c r="CK1391" s="279"/>
      <c r="CL1391" s="279"/>
      <c r="CM1391" s="279"/>
      <c r="CN1391" s="382"/>
    </row>
    <row r="1392" x14ac:dyDescent="0.3">
      <c r="B1392" s="361"/>
      <c r="C1392" s="279"/>
      <c r="D1392" s="280"/>
      <c r="E1392" s="287"/>
      <c r="F1392" s="287"/>
      <c r="G1392" s="287"/>
      <c r="H1392" s="1292">
        <f t="shared" si="70"/>
        <v>29</v>
      </c>
      <c r="I1392" s="1190" t="str">
        <f>'I. Stream &amp; Compound Data'!P290</f>
        <v/>
      </c>
      <c r="J1392" s="1295" t="str">
        <f>IF(I170="","",IF('I. Stream &amp; Compound Data'!CD290&lt;&gt;"",'I. Stream &amp; Compound Data'!CD290,'I. Stream &amp; Compound Data'!CE290))</f>
        <v/>
      </c>
      <c r="K1392" s="1295" t="str">
        <f t="shared" si="72"/>
        <v/>
      </c>
      <c r="L1392" s="1317" t="str">
        <f>IF(K1392="","",IF('I. Stream &amp; Compound Data'!E60="H2O",0,(IF(J1392=0,1,J1392))*I1392))</f>
        <v/>
      </c>
      <c r="M1392" s="287"/>
      <c r="N1392" s="296"/>
      <c r="O1392" s="280"/>
      <c r="P1392" s="280"/>
      <c r="Q1392" s="279"/>
      <c r="R1392" s="297"/>
      <c r="S1392" s="298"/>
      <c r="T1392" s="298"/>
      <c r="U1392" s="299"/>
      <c r="V1392" s="279"/>
      <c r="W1392" s="279"/>
      <c r="X1392" s="279"/>
      <c r="Y1392" s="279"/>
      <c r="Z1392" s="279"/>
      <c r="AA1392" s="279"/>
      <c r="AB1392" s="279"/>
      <c r="AC1392" s="279"/>
      <c r="AD1392" s="279"/>
      <c r="AE1392" s="279"/>
      <c r="AF1392" s="279"/>
      <c r="AG1392" s="279"/>
      <c r="AH1392" s="279"/>
      <c r="AI1392" s="279"/>
      <c r="AJ1392" s="279"/>
      <c r="AK1392" s="279"/>
      <c r="AL1392" s="279"/>
      <c r="AM1392" s="279"/>
      <c r="AN1392" s="279"/>
      <c r="AO1392" s="279"/>
      <c r="AP1392" s="279"/>
      <c r="AQ1392" s="279"/>
      <c r="AR1392" s="279"/>
      <c r="AS1392" s="279"/>
      <c r="AT1392" s="279"/>
      <c r="AU1392" s="279"/>
      <c r="AV1392" s="279"/>
      <c r="AW1392" s="279"/>
      <c r="AX1392" s="279"/>
      <c r="AY1392" s="279"/>
      <c r="AZ1392" s="279"/>
      <c r="BA1392" s="279"/>
      <c r="BB1392" s="279"/>
      <c r="BC1392" s="279"/>
      <c r="BD1392" s="279"/>
      <c r="BE1392" s="279"/>
      <c r="BF1392" s="279"/>
      <c r="BG1392" s="279"/>
      <c r="BH1392" s="279"/>
      <c r="BI1392" s="279"/>
      <c r="BJ1392" s="279"/>
      <c r="BK1392" s="279"/>
      <c r="BL1392" s="279"/>
      <c r="BM1392" s="279"/>
      <c r="BN1392" s="279"/>
      <c r="BO1392" s="279"/>
      <c r="BP1392" s="279"/>
      <c r="BQ1392" s="279"/>
      <c r="BR1392" s="279"/>
      <c r="BS1392" s="279"/>
      <c r="BT1392" s="279"/>
      <c r="BU1392" s="279"/>
      <c r="BV1392" s="279"/>
      <c r="BW1392" s="279"/>
      <c r="BX1392" s="279"/>
      <c r="BY1392" s="279"/>
      <c r="BZ1392" s="279"/>
      <c r="CA1392" s="279"/>
      <c r="CB1392" s="279"/>
      <c r="CC1392" s="279"/>
      <c r="CD1392" s="279"/>
      <c r="CE1392" s="279"/>
      <c r="CF1392" s="279"/>
      <c r="CG1392" s="279"/>
      <c r="CH1392" s="279"/>
      <c r="CI1392" s="279"/>
      <c r="CJ1392" s="279"/>
      <c r="CK1392" s="279"/>
      <c r="CL1392" s="279"/>
      <c r="CM1392" s="279"/>
      <c r="CN1392" s="382"/>
    </row>
    <row r="1393" x14ac:dyDescent="0.3">
      <c r="B1393" s="361"/>
      <c r="C1393" s="279"/>
      <c r="D1393" s="280"/>
      <c r="E1393" s="287"/>
      <c r="F1393" s="287"/>
      <c r="G1393" s="287"/>
      <c r="H1393" s="1292">
        <f t="shared" si="70"/>
        <v>30</v>
      </c>
      <c r="I1393" s="1190" t="str">
        <f>'I. Stream &amp; Compound Data'!P291</f>
        <v/>
      </c>
      <c r="J1393" s="1295" t="str">
        <f>IF(I171="","",IF('I. Stream &amp; Compound Data'!CD291&lt;&gt;"",'I. Stream &amp; Compound Data'!CD291,'I. Stream &amp; Compound Data'!CE291))</f>
        <v/>
      </c>
      <c r="K1393" s="1295" t="str">
        <f t="shared" si="72"/>
        <v/>
      </c>
      <c r="L1393" s="1317" t="str">
        <f>IF(K1393="","",IF('I. Stream &amp; Compound Data'!E61="H2O",0,(IF(J1393=0,1,J1393))*I1393))</f>
        <v/>
      </c>
      <c r="M1393" s="287"/>
      <c r="N1393" s="296"/>
      <c r="O1393" s="280"/>
      <c r="P1393" s="280"/>
      <c r="Q1393" s="279"/>
      <c r="R1393" s="297"/>
      <c r="S1393" s="298"/>
      <c r="T1393" s="298"/>
      <c r="U1393" s="299"/>
      <c r="V1393" s="279"/>
      <c r="W1393" s="279"/>
      <c r="X1393" s="279"/>
      <c r="Y1393" s="279"/>
      <c r="Z1393" s="279"/>
      <c r="AA1393" s="279"/>
      <c r="AB1393" s="279"/>
      <c r="AC1393" s="279"/>
      <c r="AD1393" s="279"/>
      <c r="AE1393" s="279"/>
      <c r="AF1393" s="279"/>
      <c r="AG1393" s="279"/>
      <c r="AH1393" s="279"/>
      <c r="AI1393" s="279"/>
      <c r="AJ1393" s="279"/>
      <c r="AK1393" s="279"/>
      <c r="AL1393" s="279"/>
      <c r="AM1393" s="279"/>
      <c r="AN1393" s="279"/>
      <c r="AO1393" s="279"/>
      <c r="AP1393" s="279"/>
      <c r="AQ1393" s="279"/>
      <c r="AR1393" s="279"/>
      <c r="AS1393" s="279"/>
      <c r="AT1393" s="279"/>
      <c r="AU1393" s="279"/>
      <c r="AV1393" s="279"/>
      <c r="AW1393" s="279"/>
      <c r="AX1393" s="279"/>
      <c r="AY1393" s="279"/>
      <c r="AZ1393" s="279"/>
      <c r="BA1393" s="279"/>
      <c r="BB1393" s="279"/>
      <c r="BC1393" s="279"/>
      <c r="BD1393" s="279"/>
      <c r="BE1393" s="279"/>
      <c r="BF1393" s="279"/>
      <c r="BG1393" s="279"/>
      <c r="BH1393" s="279"/>
      <c r="BI1393" s="279"/>
      <c r="BJ1393" s="279"/>
      <c r="BK1393" s="279"/>
      <c r="BL1393" s="279"/>
      <c r="BM1393" s="279"/>
      <c r="BN1393" s="279"/>
      <c r="BO1393" s="279"/>
      <c r="BP1393" s="279"/>
      <c r="BQ1393" s="279"/>
      <c r="BR1393" s="279"/>
      <c r="BS1393" s="279"/>
      <c r="BT1393" s="279"/>
      <c r="BU1393" s="279"/>
      <c r="BV1393" s="279"/>
      <c r="BW1393" s="279"/>
      <c r="BX1393" s="279"/>
      <c r="BY1393" s="279"/>
      <c r="BZ1393" s="279"/>
      <c r="CA1393" s="279"/>
      <c r="CB1393" s="279"/>
      <c r="CC1393" s="279"/>
      <c r="CD1393" s="279"/>
      <c r="CE1393" s="279"/>
      <c r="CF1393" s="279"/>
      <c r="CG1393" s="279"/>
      <c r="CH1393" s="279"/>
      <c r="CI1393" s="279"/>
      <c r="CJ1393" s="279"/>
      <c r="CK1393" s="279"/>
      <c r="CL1393" s="279"/>
      <c r="CM1393" s="279"/>
      <c r="CN1393" s="382"/>
    </row>
    <row r="1394" x14ac:dyDescent="0.3">
      <c r="B1394" s="361"/>
      <c r="C1394" s="279"/>
      <c r="D1394" s="280"/>
      <c r="E1394" s="287"/>
      <c r="F1394" s="287"/>
      <c r="G1394" s="287"/>
      <c r="H1394" s="1292">
        <f t="shared" si="70"/>
        <v>31</v>
      </c>
      <c r="I1394" s="1190" t="str">
        <f>'I. Stream &amp; Compound Data'!P292</f>
        <v/>
      </c>
      <c r="J1394" s="1295" t="str">
        <f>IF(I172="","",IF('I. Stream &amp; Compound Data'!CD292&lt;&gt;"",'I. Stream &amp; Compound Data'!CD292,'I. Stream &amp; Compound Data'!CE292))</f>
        <v/>
      </c>
      <c r="K1394" s="1295" t="str">
        <f t="shared" si="72"/>
        <v/>
      </c>
      <c r="L1394" s="1317" t="str">
        <f>IF(K1394="","",IF('I. Stream &amp; Compound Data'!E62="H2O",0,(IF(J1394=0,1,J1394))*I1394))</f>
        <v/>
      </c>
      <c r="M1394" s="287"/>
      <c r="N1394" s="296"/>
      <c r="O1394" s="280"/>
      <c r="P1394" s="280"/>
      <c r="Q1394" s="279"/>
      <c r="R1394" s="297"/>
      <c r="S1394" s="298"/>
      <c r="T1394" s="298"/>
      <c r="U1394" s="299"/>
      <c r="V1394" s="279"/>
      <c r="W1394" s="279"/>
      <c r="X1394" s="279"/>
      <c r="Y1394" s="279"/>
      <c r="Z1394" s="279"/>
      <c r="AA1394" s="279"/>
      <c r="AB1394" s="279"/>
      <c r="AC1394" s="279"/>
      <c r="AD1394" s="279"/>
      <c r="AE1394" s="279"/>
      <c r="AF1394" s="279"/>
      <c r="AG1394" s="279"/>
      <c r="AH1394" s="279"/>
      <c r="AI1394" s="279"/>
      <c r="AJ1394" s="279"/>
      <c r="AK1394" s="279"/>
      <c r="AL1394" s="279"/>
      <c r="AM1394" s="279"/>
      <c r="AN1394" s="279"/>
      <c r="AO1394" s="279"/>
      <c r="AP1394" s="279"/>
      <c r="AQ1394" s="279"/>
      <c r="AR1394" s="279"/>
      <c r="AS1394" s="279"/>
      <c r="AT1394" s="279"/>
      <c r="AU1394" s="279"/>
      <c r="AV1394" s="279"/>
      <c r="AW1394" s="279"/>
      <c r="AX1394" s="279"/>
      <c r="AY1394" s="279"/>
      <c r="AZ1394" s="279"/>
      <c r="BA1394" s="279"/>
      <c r="BB1394" s="279"/>
      <c r="BC1394" s="279"/>
      <c r="BD1394" s="279"/>
      <c r="BE1394" s="279"/>
      <c r="BF1394" s="279"/>
      <c r="BG1394" s="279"/>
      <c r="BH1394" s="279"/>
      <c r="BI1394" s="279"/>
      <c r="BJ1394" s="279"/>
      <c r="BK1394" s="279"/>
      <c r="BL1394" s="279"/>
      <c r="BM1394" s="279"/>
      <c r="BN1394" s="279"/>
      <c r="BO1394" s="279"/>
      <c r="BP1394" s="279"/>
      <c r="BQ1394" s="279"/>
      <c r="BR1394" s="279"/>
      <c r="BS1394" s="279"/>
      <c r="BT1394" s="279"/>
      <c r="BU1394" s="279"/>
      <c r="BV1394" s="279"/>
      <c r="BW1394" s="279"/>
      <c r="BX1394" s="279"/>
      <c r="BY1394" s="279"/>
      <c r="BZ1394" s="279"/>
      <c r="CA1394" s="279"/>
      <c r="CB1394" s="279"/>
      <c r="CC1394" s="279"/>
      <c r="CD1394" s="279"/>
      <c r="CE1394" s="279"/>
      <c r="CF1394" s="279"/>
      <c r="CG1394" s="279"/>
      <c r="CH1394" s="279"/>
      <c r="CI1394" s="279"/>
      <c r="CJ1394" s="279"/>
      <c r="CK1394" s="279"/>
      <c r="CL1394" s="279"/>
      <c r="CM1394" s="279"/>
      <c r="CN1394" s="382"/>
    </row>
    <row r="1395" x14ac:dyDescent="0.3">
      <c r="B1395" s="361"/>
      <c r="C1395" s="279"/>
      <c r="D1395" s="280"/>
      <c r="E1395" s="287"/>
      <c r="F1395" s="287"/>
      <c r="G1395" s="287"/>
      <c r="H1395" s="1292">
        <f t="shared" si="70"/>
        <v>32</v>
      </c>
      <c r="I1395" s="1190" t="str">
        <f>'I. Stream &amp; Compound Data'!P293</f>
        <v/>
      </c>
      <c r="J1395" s="1295" t="str">
        <f>IF(I173="","",IF('I. Stream &amp; Compound Data'!CD293&lt;&gt;"",'I. Stream &amp; Compound Data'!CD293,'I. Stream &amp; Compound Data'!CE293))</f>
        <v/>
      </c>
      <c r="K1395" s="1295" t="str">
        <f t="shared" si="72"/>
        <v/>
      </c>
      <c r="L1395" s="1317" t="str">
        <f>IF(K1395="","",IF('I. Stream &amp; Compound Data'!E63="H2O",0,(IF(J1395=0,1,J1395))*I1395))</f>
        <v/>
      </c>
      <c r="M1395" s="287"/>
      <c r="N1395" s="296"/>
      <c r="O1395" s="280"/>
      <c r="P1395" s="280"/>
      <c r="Q1395" s="279"/>
      <c r="R1395" s="297"/>
      <c r="S1395" s="298"/>
      <c r="T1395" s="298"/>
      <c r="U1395" s="299"/>
      <c r="V1395" s="279"/>
      <c r="W1395" s="279"/>
      <c r="X1395" s="279"/>
      <c r="Y1395" s="279"/>
      <c r="Z1395" s="279"/>
      <c r="AA1395" s="279"/>
      <c r="AB1395" s="279"/>
      <c r="AC1395" s="279"/>
      <c r="AD1395" s="279"/>
      <c r="AE1395" s="279"/>
      <c r="AF1395" s="279"/>
      <c r="AG1395" s="279"/>
      <c r="AH1395" s="279"/>
      <c r="AI1395" s="279"/>
      <c r="AJ1395" s="279"/>
      <c r="AK1395" s="279"/>
      <c r="AL1395" s="279"/>
      <c r="AM1395" s="279"/>
      <c r="AN1395" s="279"/>
      <c r="AO1395" s="279"/>
      <c r="AP1395" s="279"/>
      <c r="AQ1395" s="279"/>
      <c r="AR1395" s="279"/>
      <c r="AS1395" s="279"/>
      <c r="AT1395" s="279"/>
      <c r="AU1395" s="279"/>
      <c r="AV1395" s="279"/>
      <c r="AW1395" s="279"/>
      <c r="AX1395" s="279"/>
      <c r="AY1395" s="279"/>
      <c r="AZ1395" s="279"/>
      <c r="BA1395" s="279"/>
      <c r="BB1395" s="279"/>
      <c r="BC1395" s="279"/>
      <c r="BD1395" s="279"/>
      <c r="BE1395" s="279"/>
      <c r="BF1395" s="279"/>
      <c r="BG1395" s="279"/>
      <c r="BH1395" s="279"/>
      <c r="BI1395" s="279"/>
      <c r="BJ1395" s="279"/>
      <c r="BK1395" s="279"/>
      <c r="BL1395" s="279"/>
      <c r="BM1395" s="279"/>
      <c r="BN1395" s="279"/>
      <c r="BO1395" s="279"/>
      <c r="BP1395" s="279"/>
      <c r="BQ1395" s="279"/>
      <c r="BR1395" s="279"/>
      <c r="BS1395" s="279"/>
      <c r="BT1395" s="279"/>
      <c r="BU1395" s="279"/>
      <c r="BV1395" s="279"/>
      <c r="BW1395" s="279"/>
      <c r="BX1395" s="279"/>
      <c r="BY1395" s="279"/>
      <c r="BZ1395" s="279"/>
      <c r="CA1395" s="279"/>
      <c r="CB1395" s="279"/>
      <c r="CC1395" s="279"/>
      <c r="CD1395" s="279"/>
      <c r="CE1395" s="279"/>
      <c r="CF1395" s="279"/>
      <c r="CG1395" s="279"/>
      <c r="CH1395" s="279"/>
      <c r="CI1395" s="279"/>
      <c r="CJ1395" s="279"/>
      <c r="CK1395" s="279"/>
      <c r="CL1395" s="279"/>
      <c r="CM1395" s="279"/>
      <c r="CN1395" s="382"/>
    </row>
    <row r="1396" x14ac:dyDescent="0.3">
      <c r="B1396" s="361"/>
      <c r="C1396" s="279"/>
      <c r="D1396" s="280"/>
      <c r="E1396" s="287"/>
      <c r="F1396" s="287"/>
      <c r="G1396" s="287"/>
      <c r="H1396" s="1292">
        <f t="shared" si="70"/>
        <v>33</v>
      </c>
      <c r="I1396" s="1190" t="str">
        <f>'I. Stream &amp; Compound Data'!P294</f>
        <v/>
      </c>
      <c r="J1396" s="1295" t="str">
        <f>IF(I174="","",IF('I. Stream &amp; Compound Data'!CD294&lt;&gt;"",'I. Stream &amp; Compound Data'!CD294,'I. Stream &amp; Compound Data'!CE294))</f>
        <v/>
      </c>
      <c r="K1396" s="1295" t="str">
        <f t="shared" si="72"/>
        <v/>
      </c>
      <c r="L1396" s="1317" t="str">
        <f>IF(K1396="","",IF('I. Stream &amp; Compound Data'!E64="H2O",0,(IF(J1396=0,1,J1396))*I1396))</f>
        <v/>
      </c>
      <c r="M1396" s="287"/>
      <c r="N1396" s="296"/>
      <c r="O1396" s="280"/>
      <c r="P1396" s="280"/>
      <c r="Q1396" s="279"/>
      <c r="R1396" s="297"/>
      <c r="S1396" s="298"/>
      <c r="T1396" s="298"/>
      <c r="U1396" s="299"/>
      <c r="V1396" s="279"/>
      <c r="W1396" s="279"/>
      <c r="X1396" s="279"/>
      <c r="Y1396" s="279"/>
      <c r="Z1396" s="279"/>
      <c r="AA1396" s="279"/>
      <c r="AB1396" s="279"/>
      <c r="AC1396" s="279"/>
      <c r="AD1396" s="279"/>
      <c r="AE1396" s="279"/>
      <c r="AF1396" s="279"/>
      <c r="AG1396" s="279"/>
      <c r="AH1396" s="279"/>
      <c r="AI1396" s="279"/>
      <c r="AJ1396" s="279"/>
      <c r="AK1396" s="279"/>
      <c r="AL1396" s="279"/>
      <c r="AM1396" s="279"/>
      <c r="AN1396" s="279"/>
      <c r="AO1396" s="279"/>
      <c r="AP1396" s="279"/>
      <c r="AQ1396" s="279"/>
      <c r="AR1396" s="279"/>
      <c r="AS1396" s="279"/>
      <c r="AT1396" s="279"/>
      <c r="AU1396" s="279"/>
      <c r="AV1396" s="279"/>
      <c r="AW1396" s="279"/>
      <c r="AX1396" s="279"/>
      <c r="AY1396" s="279"/>
      <c r="AZ1396" s="279"/>
      <c r="BA1396" s="279"/>
      <c r="BB1396" s="279"/>
      <c r="BC1396" s="279"/>
      <c r="BD1396" s="279"/>
      <c r="BE1396" s="279"/>
      <c r="BF1396" s="279"/>
      <c r="BG1396" s="279"/>
      <c r="BH1396" s="279"/>
      <c r="BI1396" s="279"/>
      <c r="BJ1396" s="279"/>
      <c r="BK1396" s="279"/>
      <c r="BL1396" s="279"/>
      <c r="BM1396" s="279"/>
      <c r="BN1396" s="279"/>
      <c r="BO1396" s="279"/>
      <c r="BP1396" s="279"/>
      <c r="BQ1396" s="279"/>
      <c r="BR1396" s="279"/>
      <c r="BS1396" s="279"/>
      <c r="BT1396" s="279"/>
      <c r="BU1396" s="279"/>
      <c r="BV1396" s="279"/>
      <c r="BW1396" s="279"/>
      <c r="BX1396" s="279"/>
      <c r="BY1396" s="279"/>
      <c r="BZ1396" s="279"/>
      <c r="CA1396" s="279"/>
      <c r="CB1396" s="279"/>
      <c r="CC1396" s="279"/>
      <c r="CD1396" s="279"/>
      <c r="CE1396" s="279"/>
      <c r="CF1396" s="279"/>
      <c r="CG1396" s="279"/>
      <c r="CH1396" s="279"/>
      <c r="CI1396" s="279"/>
      <c r="CJ1396" s="279"/>
      <c r="CK1396" s="279"/>
      <c r="CL1396" s="279"/>
      <c r="CM1396" s="279"/>
      <c r="CN1396" s="382"/>
    </row>
    <row r="1397" x14ac:dyDescent="0.3">
      <c r="B1397" s="361"/>
      <c r="C1397" s="279"/>
      <c r="D1397" s="280"/>
      <c r="E1397" s="287"/>
      <c r="F1397" s="287"/>
      <c r="G1397" s="287"/>
      <c r="H1397" s="1292">
        <f t="shared" si="70"/>
        <v>34</v>
      </c>
      <c r="I1397" s="1190" t="str">
        <f>'I. Stream &amp; Compound Data'!P295</f>
        <v/>
      </c>
      <c r="J1397" s="1295" t="str">
        <f>IF(I175="","",IF('I. Stream &amp; Compound Data'!CD295&lt;&gt;"",'I. Stream &amp; Compound Data'!CD295,'I. Stream &amp; Compound Data'!CE295))</f>
        <v/>
      </c>
      <c r="K1397" s="1295" t="str">
        <f t="shared" si="72"/>
        <v/>
      </c>
      <c r="L1397" s="1317" t="str">
        <f>IF(K1397="","",IF('I. Stream &amp; Compound Data'!E65="H2O",0,(IF(J1397=0,1,J1397))*I1397))</f>
        <v/>
      </c>
      <c r="M1397" s="287"/>
      <c r="N1397" s="296"/>
      <c r="O1397" s="280"/>
      <c r="P1397" s="280"/>
      <c r="Q1397" s="279"/>
      <c r="R1397" s="297"/>
      <c r="S1397" s="298"/>
      <c r="T1397" s="298"/>
      <c r="U1397" s="299"/>
      <c r="V1397" s="279"/>
      <c r="W1397" s="279"/>
      <c r="X1397" s="279"/>
      <c r="Y1397" s="279"/>
      <c r="Z1397" s="279"/>
      <c r="AA1397" s="279"/>
      <c r="AB1397" s="279"/>
      <c r="AC1397" s="279"/>
      <c r="AD1397" s="279"/>
      <c r="AE1397" s="279"/>
      <c r="AF1397" s="279"/>
      <c r="AG1397" s="279"/>
      <c r="AH1397" s="279"/>
      <c r="AI1397" s="279"/>
      <c r="AJ1397" s="279"/>
      <c r="AK1397" s="279"/>
      <c r="AL1397" s="279"/>
      <c r="AM1397" s="279"/>
      <c r="AN1397" s="279"/>
      <c r="AO1397" s="279"/>
      <c r="AP1397" s="279"/>
      <c r="AQ1397" s="279"/>
      <c r="AR1397" s="279"/>
      <c r="AS1397" s="279"/>
      <c r="AT1397" s="279"/>
      <c r="AU1397" s="279"/>
      <c r="AV1397" s="279"/>
      <c r="AW1397" s="279"/>
      <c r="AX1397" s="279"/>
      <c r="AY1397" s="279"/>
      <c r="AZ1397" s="279"/>
      <c r="BA1397" s="279"/>
      <c r="BB1397" s="279"/>
      <c r="BC1397" s="279"/>
      <c r="BD1397" s="279"/>
      <c r="BE1397" s="279"/>
      <c r="BF1397" s="279"/>
      <c r="BG1397" s="279"/>
      <c r="BH1397" s="279"/>
      <c r="BI1397" s="279"/>
      <c r="BJ1397" s="279"/>
      <c r="BK1397" s="279"/>
      <c r="BL1397" s="279"/>
      <c r="BM1397" s="279"/>
      <c r="BN1397" s="279"/>
      <c r="BO1397" s="279"/>
      <c r="BP1397" s="279"/>
      <c r="BQ1397" s="279"/>
      <c r="BR1397" s="279"/>
      <c r="BS1397" s="279"/>
      <c r="BT1397" s="279"/>
      <c r="BU1397" s="279"/>
      <c r="BV1397" s="279"/>
      <c r="BW1397" s="279"/>
      <c r="BX1397" s="279"/>
      <c r="BY1397" s="279"/>
      <c r="BZ1397" s="279"/>
      <c r="CA1397" s="279"/>
      <c r="CB1397" s="279"/>
      <c r="CC1397" s="279"/>
      <c r="CD1397" s="279"/>
      <c r="CE1397" s="279"/>
      <c r="CF1397" s="279"/>
      <c r="CG1397" s="279"/>
      <c r="CH1397" s="279"/>
      <c r="CI1397" s="279"/>
      <c r="CJ1397" s="279"/>
      <c r="CK1397" s="279"/>
      <c r="CL1397" s="279"/>
      <c r="CM1397" s="279"/>
      <c r="CN1397" s="382"/>
    </row>
    <row r="1398" x14ac:dyDescent="0.3">
      <c r="B1398" s="361"/>
      <c r="C1398" s="279"/>
      <c r="D1398" s="280"/>
      <c r="E1398" s="287"/>
      <c r="F1398" s="287"/>
      <c r="G1398" s="287"/>
      <c r="H1398" s="1292">
        <f t="shared" si="70"/>
        <v>35</v>
      </c>
      <c r="I1398" s="1190" t="str">
        <f>'I. Stream &amp; Compound Data'!P296</f>
        <v/>
      </c>
      <c r="J1398" s="1295" t="str">
        <f>IF(I176="","",IF('I. Stream &amp; Compound Data'!CD296&lt;&gt;"",'I. Stream &amp; Compound Data'!CD296,'I. Stream &amp; Compound Data'!CE296))</f>
        <v/>
      </c>
      <c r="K1398" s="1295" t="str">
        <f t="shared" si="72"/>
        <v/>
      </c>
      <c r="L1398" s="1317" t="str">
        <f>IF(K1398="","",IF('I. Stream &amp; Compound Data'!E66="H2O",0,(IF(J1398=0,1,J1398))*I1398))</f>
        <v/>
      </c>
      <c r="M1398" s="287"/>
      <c r="N1398" s="296"/>
      <c r="O1398" s="280"/>
      <c r="P1398" s="280"/>
      <c r="Q1398" s="279"/>
      <c r="R1398" s="297"/>
      <c r="S1398" s="298"/>
      <c r="T1398" s="298"/>
      <c r="U1398" s="299"/>
      <c r="V1398" s="279"/>
      <c r="W1398" s="279"/>
      <c r="X1398" s="279"/>
      <c r="Y1398" s="279"/>
      <c r="Z1398" s="279"/>
      <c r="AA1398" s="279"/>
      <c r="AB1398" s="279"/>
      <c r="AC1398" s="279"/>
      <c r="AD1398" s="279"/>
      <c r="AE1398" s="279"/>
      <c r="AF1398" s="279"/>
      <c r="AG1398" s="279"/>
      <c r="AH1398" s="279"/>
      <c r="AI1398" s="279"/>
      <c r="AJ1398" s="279"/>
      <c r="AK1398" s="279"/>
      <c r="AL1398" s="279"/>
      <c r="AM1398" s="279"/>
      <c r="AN1398" s="279"/>
      <c r="AO1398" s="279"/>
      <c r="AP1398" s="279"/>
      <c r="AQ1398" s="279"/>
      <c r="AR1398" s="279"/>
      <c r="AS1398" s="279"/>
      <c r="AT1398" s="279"/>
      <c r="AU1398" s="279"/>
      <c r="AV1398" s="279"/>
      <c r="AW1398" s="279"/>
      <c r="AX1398" s="279"/>
      <c r="AY1398" s="279"/>
      <c r="AZ1398" s="279"/>
      <c r="BA1398" s="279"/>
      <c r="BB1398" s="279"/>
      <c r="BC1398" s="279"/>
      <c r="BD1398" s="279"/>
      <c r="BE1398" s="279"/>
      <c r="BF1398" s="279"/>
      <c r="BG1398" s="279"/>
      <c r="BH1398" s="279"/>
      <c r="BI1398" s="279"/>
      <c r="BJ1398" s="279"/>
      <c r="BK1398" s="279"/>
      <c r="BL1398" s="279"/>
      <c r="BM1398" s="279"/>
      <c r="BN1398" s="279"/>
      <c r="BO1398" s="279"/>
      <c r="BP1398" s="279"/>
      <c r="BQ1398" s="279"/>
      <c r="BR1398" s="279"/>
      <c r="BS1398" s="279"/>
      <c r="BT1398" s="279"/>
      <c r="BU1398" s="279"/>
      <c r="BV1398" s="279"/>
      <c r="BW1398" s="279"/>
      <c r="BX1398" s="279"/>
      <c r="BY1398" s="279"/>
      <c r="BZ1398" s="279"/>
      <c r="CA1398" s="279"/>
      <c r="CB1398" s="279"/>
      <c r="CC1398" s="279"/>
      <c r="CD1398" s="279"/>
      <c r="CE1398" s="279"/>
      <c r="CF1398" s="279"/>
      <c r="CG1398" s="279"/>
      <c r="CH1398" s="279"/>
      <c r="CI1398" s="279"/>
      <c r="CJ1398" s="279"/>
      <c r="CK1398" s="279"/>
      <c r="CL1398" s="279"/>
      <c r="CM1398" s="279"/>
      <c r="CN1398" s="382"/>
    </row>
    <row r="1399" x14ac:dyDescent="0.3">
      <c r="B1399" s="361"/>
      <c r="C1399" s="279"/>
      <c r="D1399" s="280"/>
      <c r="E1399" s="287"/>
      <c r="F1399" s="287"/>
      <c r="G1399" s="287"/>
      <c r="H1399" s="1292">
        <f t="shared" si="70"/>
        <v>36</v>
      </c>
      <c r="I1399" s="1190" t="str">
        <f>'I. Stream &amp; Compound Data'!P297</f>
        <v/>
      </c>
      <c r="J1399" s="1295" t="str">
        <f>IF(I177="","",IF('I. Stream &amp; Compound Data'!CD297&lt;&gt;"",'I. Stream &amp; Compound Data'!CD297,'I. Stream &amp; Compound Data'!CE297))</f>
        <v/>
      </c>
      <c r="K1399" s="1295" t="str">
        <f t="shared" si="72"/>
        <v/>
      </c>
      <c r="L1399" s="1317" t="str">
        <f>IF(K1399="","",IF('I. Stream &amp; Compound Data'!E67="H2O",0,(IF(J1399=0,1,J1399))*I1399))</f>
        <v/>
      </c>
      <c r="M1399" s="287"/>
      <c r="N1399" s="296"/>
      <c r="O1399" s="280"/>
      <c r="P1399" s="280"/>
      <c r="Q1399" s="279"/>
      <c r="R1399" s="297"/>
      <c r="S1399" s="298"/>
      <c r="T1399" s="298"/>
      <c r="U1399" s="299"/>
      <c r="V1399" s="279"/>
      <c r="W1399" s="279"/>
      <c r="X1399" s="279"/>
      <c r="Y1399" s="279"/>
      <c r="Z1399" s="279"/>
      <c r="AA1399" s="279"/>
      <c r="AB1399" s="279"/>
      <c r="AC1399" s="279"/>
      <c r="AD1399" s="279"/>
      <c r="AE1399" s="279"/>
      <c r="AF1399" s="279"/>
      <c r="AG1399" s="279"/>
      <c r="AH1399" s="279"/>
      <c r="AI1399" s="279"/>
      <c r="AJ1399" s="279"/>
      <c r="AK1399" s="279"/>
      <c r="AL1399" s="279"/>
      <c r="AM1399" s="279"/>
      <c r="AN1399" s="279"/>
      <c r="AO1399" s="279"/>
      <c r="AP1399" s="279"/>
      <c r="AQ1399" s="279"/>
      <c r="AR1399" s="279"/>
      <c r="AS1399" s="279"/>
      <c r="AT1399" s="279"/>
      <c r="AU1399" s="279"/>
      <c r="AV1399" s="279"/>
      <c r="AW1399" s="279"/>
      <c r="AX1399" s="279"/>
      <c r="AY1399" s="279"/>
      <c r="AZ1399" s="279"/>
      <c r="BA1399" s="279"/>
      <c r="BB1399" s="279"/>
      <c r="BC1399" s="279"/>
      <c r="BD1399" s="279"/>
      <c r="BE1399" s="279"/>
      <c r="BF1399" s="279"/>
      <c r="BG1399" s="279"/>
      <c r="BH1399" s="279"/>
      <c r="BI1399" s="279"/>
      <c r="BJ1399" s="279"/>
      <c r="BK1399" s="279"/>
      <c r="BL1399" s="279"/>
      <c r="BM1399" s="279"/>
      <c r="BN1399" s="279"/>
      <c r="BO1399" s="279"/>
      <c r="BP1399" s="279"/>
      <c r="BQ1399" s="279"/>
      <c r="BR1399" s="279"/>
      <c r="BS1399" s="279"/>
      <c r="BT1399" s="279"/>
      <c r="BU1399" s="279"/>
      <c r="BV1399" s="279"/>
      <c r="BW1399" s="279"/>
      <c r="BX1399" s="279"/>
      <c r="BY1399" s="279"/>
      <c r="BZ1399" s="279"/>
      <c r="CA1399" s="279"/>
      <c r="CB1399" s="279"/>
      <c r="CC1399" s="279"/>
      <c r="CD1399" s="279"/>
      <c r="CE1399" s="279"/>
      <c r="CF1399" s="279"/>
      <c r="CG1399" s="279"/>
      <c r="CH1399" s="279"/>
      <c r="CI1399" s="279"/>
      <c r="CJ1399" s="279"/>
      <c r="CK1399" s="279"/>
      <c r="CL1399" s="279"/>
      <c r="CM1399" s="279"/>
      <c r="CN1399" s="382"/>
    </row>
    <row r="1400" x14ac:dyDescent="0.3">
      <c r="B1400" s="361"/>
      <c r="C1400" s="279"/>
      <c r="D1400" s="280"/>
      <c r="E1400" s="287"/>
      <c r="F1400" s="287"/>
      <c r="G1400" s="287"/>
      <c r="H1400" s="1292">
        <f t="shared" si="70"/>
        <v>37</v>
      </c>
      <c r="I1400" s="1190" t="str">
        <f>'I. Stream &amp; Compound Data'!P298</f>
        <v/>
      </c>
      <c r="J1400" s="1295" t="str">
        <f>IF(I178="","",IF('I. Stream &amp; Compound Data'!CD298&lt;&gt;"",'I. Stream &amp; Compound Data'!CD298,'I. Stream &amp; Compound Data'!CE298))</f>
        <v/>
      </c>
      <c r="K1400" s="1295" t="str">
        <f t="shared" si="72"/>
        <v/>
      </c>
      <c r="L1400" s="1317" t="str">
        <f>IF(K1400="","",IF('I. Stream &amp; Compound Data'!E68="H2O",0,(IF(J1400=0,1,J1400))*I1400))</f>
        <v/>
      </c>
      <c r="M1400" s="287"/>
      <c r="N1400" s="296"/>
      <c r="O1400" s="280"/>
      <c r="P1400" s="280"/>
      <c r="Q1400" s="279"/>
      <c r="R1400" s="297"/>
      <c r="S1400" s="298"/>
      <c r="T1400" s="298"/>
      <c r="U1400" s="299"/>
      <c r="V1400" s="279"/>
      <c r="W1400" s="279"/>
      <c r="X1400" s="279"/>
      <c r="Y1400" s="279"/>
      <c r="Z1400" s="279"/>
      <c r="AA1400" s="279"/>
      <c r="AB1400" s="279"/>
      <c r="AC1400" s="279"/>
      <c r="AD1400" s="279"/>
      <c r="AE1400" s="279"/>
      <c r="AF1400" s="279"/>
      <c r="AG1400" s="279"/>
      <c r="AH1400" s="279"/>
      <c r="AI1400" s="279"/>
      <c r="AJ1400" s="279"/>
      <c r="AK1400" s="279"/>
      <c r="AL1400" s="279"/>
      <c r="AM1400" s="279"/>
      <c r="AN1400" s="279"/>
      <c r="AO1400" s="279"/>
      <c r="AP1400" s="279"/>
      <c r="AQ1400" s="279"/>
      <c r="AR1400" s="279"/>
      <c r="AS1400" s="279"/>
      <c r="AT1400" s="279"/>
      <c r="AU1400" s="279"/>
      <c r="AV1400" s="279"/>
      <c r="AW1400" s="279"/>
      <c r="AX1400" s="279"/>
      <c r="AY1400" s="279"/>
      <c r="AZ1400" s="279"/>
      <c r="BA1400" s="279"/>
      <c r="BB1400" s="279"/>
      <c r="BC1400" s="279"/>
      <c r="BD1400" s="279"/>
      <c r="BE1400" s="279"/>
      <c r="BF1400" s="279"/>
      <c r="BG1400" s="279"/>
      <c r="BH1400" s="279"/>
      <c r="BI1400" s="279"/>
      <c r="BJ1400" s="279"/>
      <c r="BK1400" s="279"/>
      <c r="BL1400" s="279"/>
      <c r="BM1400" s="279"/>
      <c r="BN1400" s="279"/>
      <c r="BO1400" s="279"/>
      <c r="BP1400" s="279"/>
      <c r="BQ1400" s="279"/>
      <c r="BR1400" s="279"/>
      <c r="BS1400" s="279"/>
      <c r="BT1400" s="279"/>
      <c r="BU1400" s="279"/>
      <c r="BV1400" s="279"/>
      <c r="BW1400" s="279"/>
      <c r="BX1400" s="279"/>
      <c r="BY1400" s="279"/>
      <c r="BZ1400" s="279"/>
      <c r="CA1400" s="279"/>
      <c r="CB1400" s="279"/>
      <c r="CC1400" s="279"/>
      <c r="CD1400" s="279"/>
      <c r="CE1400" s="279"/>
      <c r="CF1400" s="279"/>
      <c r="CG1400" s="279"/>
      <c r="CH1400" s="279"/>
      <c r="CI1400" s="279"/>
      <c r="CJ1400" s="279"/>
      <c r="CK1400" s="279"/>
      <c r="CL1400" s="279"/>
      <c r="CM1400" s="279"/>
      <c r="CN1400" s="382"/>
    </row>
    <row r="1401" x14ac:dyDescent="0.3">
      <c r="B1401" s="361"/>
      <c r="C1401" s="279"/>
      <c r="D1401" s="280"/>
      <c r="E1401" s="287"/>
      <c r="F1401" s="287"/>
      <c r="G1401" s="287"/>
      <c r="H1401" s="1292">
        <f t="shared" si="70"/>
        <v>38</v>
      </c>
      <c r="I1401" s="1190" t="str">
        <f>'I. Stream &amp; Compound Data'!P299</f>
        <v/>
      </c>
      <c r="J1401" s="1295" t="str">
        <f>IF(I179="","",IF('I. Stream &amp; Compound Data'!CD299&lt;&gt;"",'I. Stream &amp; Compound Data'!CD299,'I. Stream &amp; Compound Data'!CE299))</f>
        <v/>
      </c>
      <c r="K1401" s="1295" t="str">
        <f t="shared" si="72"/>
        <v/>
      </c>
      <c r="L1401" s="1317" t="str">
        <f>IF(K1401="","",IF('I. Stream &amp; Compound Data'!E69="H2O",0,(IF(J1401=0,1,J1401))*I1401))</f>
        <v/>
      </c>
      <c r="M1401" s="287"/>
      <c r="N1401" s="296"/>
      <c r="O1401" s="280"/>
      <c r="P1401" s="280"/>
      <c r="Q1401" s="279"/>
      <c r="R1401" s="297"/>
      <c r="S1401" s="298"/>
      <c r="T1401" s="298"/>
      <c r="U1401" s="299"/>
      <c r="V1401" s="279"/>
      <c r="W1401" s="279"/>
      <c r="X1401" s="279"/>
      <c r="Y1401" s="279"/>
      <c r="Z1401" s="279"/>
      <c r="AA1401" s="279"/>
      <c r="AB1401" s="279"/>
      <c r="AC1401" s="279"/>
      <c r="AD1401" s="279"/>
      <c r="AE1401" s="279"/>
      <c r="AF1401" s="279"/>
      <c r="AG1401" s="279"/>
      <c r="AH1401" s="279"/>
      <c r="AI1401" s="279"/>
      <c r="AJ1401" s="279"/>
      <c r="AK1401" s="279"/>
      <c r="AL1401" s="279"/>
      <c r="AM1401" s="279"/>
      <c r="AN1401" s="279"/>
      <c r="AO1401" s="279"/>
      <c r="AP1401" s="279"/>
      <c r="AQ1401" s="279"/>
      <c r="AR1401" s="279"/>
      <c r="AS1401" s="279"/>
      <c r="AT1401" s="279"/>
      <c r="AU1401" s="279"/>
      <c r="AV1401" s="279"/>
      <c r="AW1401" s="279"/>
      <c r="AX1401" s="279"/>
      <c r="AY1401" s="279"/>
      <c r="AZ1401" s="279"/>
      <c r="BA1401" s="279"/>
      <c r="BB1401" s="279"/>
      <c r="BC1401" s="279"/>
      <c r="BD1401" s="279"/>
      <c r="BE1401" s="279"/>
      <c r="BF1401" s="279"/>
      <c r="BG1401" s="279"/>
      <c r="BH1401" s="279"/>
      <c r="BI1401" s="279"/>
      <c r="BJ1401" s="279"/>
      <c r="BK1401" s="279"/>
      <c r="BL1401" s="279"/>
      <c r="BM1401" s="279"/>
      <c r="BN1401" s="279"/>
      <c r="BO1401" s="279"/>
      <c r="BP1401" s="279"/>
      <c r="BQ1401" s="279"/>
      <c r="BR1401" s="279"/>
      <c r="BS1401" s="279"/>
      <c r="BT1401" s="279"/>
      <c r="BU1401" s="279"/>
      <c r="BV1401" s="279"/>
      <c r="BW1401" s="279"/>
      <c r="BX1401" s="279"/>
      <c r="BY1401" s="279"/>
      <c r="BZ1401" s="279"/>
      <c r="CA1401" s="279"/>
      <c r="CB1401" s="279"/>
      <c r="CC1401" s="279"/>
      <c r="CD1401" s="279"/>
      <c r="CE1401" s="279"/>
      <c r="CF1401" s="279"/>
      <c r="CG1401" s="279"/>
      <c r="CH1401" s="279"/>
      <c r="CI1401" s="279"/>
      <c r="CJ1401" s="279"/>
      <c r="CK1401" s="279"/>
      <c r="CL1401" s="279"/>
      <c r="CM1401" s="279"/>
      <c r="CN1401" s="382"/>
    </row>
    <row r="1402" x14ac:dyDescent="0.3">
      <c r="B1402" s="361"/>
      <c r="C1402" s="279"/>
      <c r="D1402" s="280"/>
      <c r="E1402" s="287"/>
      <c r="F1402" s="287"/>
      <c r="G1402" s="287"/>
      <c r="H1402" s="1292">
        <f t="shared" si="70"/>
        <v>39</v>
      </c>
      <c r="I1402" s="1190" t="str">
        <f>'I. Stream &amp; Compound Data'!P300</f>
        <v/>
      </c>
      <c r="J1402" s="1295" t="str">
        <f>IF(I180="","",IF('I. Stream &amp; Compound Data'!CD300&lt;&gt;"",'I. Stream &amp; Compound Data'!CD300,'I. Stream &amp; Compound Data'!CE300))</f>
        <v/>
      </c>
      <c r="K1402" s="1295" t="str">
        <f t="shared" si="72"/>
        <v/>
      </c>
      <c r="L1402" s="1317" t="str">
        <f>IF(K1402="","",IF('I. Stream &amp; Compound Data'!E70="H2O",0,(IF(J1402=0,1,J1402))*I1402))</f>
        <v/>
      </c>
      <c r="M1402" s="287"/>
      <c r="N1402" s="296"/>
      <c r="O1402" s="280"/>
      <c r="P1402" s="280"/>
      <c r="Q1402" s="279"/>
      <c r="R1402" s="297"/>
      <c r="S1402" s="298"/>
      <c r="T1402" s="298"/>
      <c r="U1402" s="299"/>
      <c r="V1402" s="279"/>
      <c r="W1402" s="279"/>
      <c r="X1402" s="279"/>
      <c r="Y1402" s="279"/>
      <c r="Z1402" s="279"/>
      <c r="AA1402" s="279"/>
      <c r="AB1402" s="279"/>
      <c r="AC1402" s="279"/>
      <c r="AD1402" s="279"/>
      <c r="AE1402" s="279"/>
      <c r="AF1402" s="279"/>
      <c r="AG1402" s="279"/>
      <c r="AH1402" s="279"/>
      <c r="AI1402" s="279"/>
      <c r="AJ1402" s="279"/>
      <c r="AK1402" s="279"/>
      <c r="AL1402" s="279"/>
      <c r="AM1402" s="279"/>
      <c r="AN1402" s="279"/>
      <c r="AO1402" s="279"/>
      <c r="AP1402" s="279"/>
      <c r="AQ1402" s="279"/>
      <c r="AR1402" s="279"/>
      <c r="AS1402" s="279"/>
      <c r="AT1402" s="279"/>
      <c r="AU1402" s="279"/>
      <c r="AV1402" s="279"/>
      <c r="AW1402" s="279"/>
      <c r="AX1402" s="279"/>
      <c r="AY1402" s="279"/>
      <c r="AZ1402" s="279"/>
      <c r="BA1402" s="279"/>
      <c r="BB1402" s="279"/>
      <c r="BC1402" s="279"/>
      <c r="BD1402" s="279"/>
      <c r="BE1402" s="279"/>
      <c r="BF1402" s="279"/>
      <c r="BG1402" s="279"/>
      <c r="BH1402" s="279"/>
      <c r="BI1402" s="279"/>
      <c r="BJ1402" s="279"/>
      <c r="BK1402" s="279"/>
      <c r="BL1402" s="279"/>
      <c r="BM1402" s="279"/>
      <c r="BN1402" s="279"/>
      <c r="BO1402" s="279"/>
      <c r="BP1402" s="279"/>
      <c r="BQ1402" s="279"/>
      <c r="BR1402" s="279"/>
      <c r="BS1402" s="279"/>
      <c r="BT1402" s="279"/>
      <c r="BU1402" s="279"/>
      <c r="BV1402" s="279"/>
      <c r="BW1402" s="279"/>
      <c r="BX1402" s="279"/>
      <c r="BY1402" s="279"/>
      <c r="BZ1402" s="279"/>
      <c r="CA1402" s="279"/>
      <c r="CB1402" s="279"/>
      <c r="CC1402" s="279"/>
      <c r="CD1402" s="279"/>
      <c r="CE1402" s="279"/>
      <c r="CF1402" s="279"/>
      <c r="CG1402" s="279"/>
      <c r="CH1402" s="279"/>
      <c r="CI1402" s="279"/>
      <c r="CJ1402" s="279"/>
      <c r="CK1402" s="279"/>
      <c r="CL1402" s="279"/>
      <c r="CM1402" s="279"/>
      <c r="CN1402" s="382"/>
    </row>
    <row r="1403" x14ac:dyDescent="0.3">
      <c r="B1403" s="361"/>
      <c r="C1403" s="279"/>
      <c r="D1403" s="280"/>
      <c r="E1403" s="287"/>
      <c r="F1403" s="287"/>
      <c r="G1403" s="287"/>
      <c r="H1403" s="1292">
        <f t="shared" si="70"/>
        <v>40</v>
      </c>
      <c r="I1403" s="1190" t="str">
        <f>'I. Stream &amp; Compound Data'!P301</f>
        <v/>
      </c>
      <c r="J1403" s="1295" t="str">
        <f>IF(I181="","",IF('I. Stream &amp; Compound Data'!CD301&lt;&gt;"",'I. Stream &amp; Compound Data'!CD301,'I. Stream &amp; Compound Data'!CE301))</f>
        <v/>
      </c>
      <c r="K1403" s="1295" t="str">
        <f t="shared" si="72"/>
        <v/>
      </c>
      <c r="L1403" s="1317" t="str">
        <f>IF(K1403="","",IF('I. Stream &amp; Compound Data'!E71="H2O",0,(IF(J1403=0,1,J1403))*I1403))</f>
        <v/>
      </c>
      <c r="M1403" s="287"/>
      <c r="N1403" s="296"/>
      <c r="O1403" s="280"/>
      <c r="P1403" s="280"/>
      <c r="Q1403" s="279"/>
      <c r="R1403" s="297"/>
      <c r="S1403" s="298"/>
      <c r="T1403" s="298"/>
      <c r="U1403" s="299"/>
      <c r="V1403" s="279"/>
      <c r="W1403" s="279"/>
      <c r="X1403" s="279"/>
      <c r="Y1403" s="279"/>
      <c r="Z1403" s="279"/>
      <c r="AA1403" s="279"/>
      <c r="AB1403" s="279"/>
      <c r="AC1403" s="279"/>
      <c r="AD1403" s="279"/>
      <c r="AE1403" s="279"/>
      <c r="AF1403" s="279"/>
      <c r="AG1403" s="279"/>
      <c r="AH1403" s="279"/>
      <c r="AI1403" s="279"/>
      <c r="AJ1403" s="279"/>
      <c r="AK1403" s="279"/>
      <c r="AL1403" s="279"/>
      <c r="AM1403" s="279"/>
      <c r="AN1403" s="279"/>
      <c r="AO1403" s="279"/>
      <c r="AP1403" s="279"/>
      <c r="AQ1403" s="279"/>
      <c r="AR1403" s="279"/>
      <c r="AS1403" s="279"/>
      <c r="AT1403" s="279"/>
      <c r="AU1403" s="279"/>
      <c r="AV1403" s="279"/>
      <c r="AW1403" s="279"/>
      <c r="AX1403" s="279"/>
      <c r="AY1403" s="279"/>
      <c r="AZ1403" s="279"/>
      <c r="BA1403" s="279"/>
      <c r="BB1403" s="279"/>
      <c r="BC1403" s="279"/>
      <c r="BD1403" s="279"/>
      <c r="BE1403" s="279"/>
      <c r="BF1403" s="279"/>
      <c r="BG1403" s="279"/>
      <c r="BH1403" s="279"/>
      <c r="BI1403" s="279"/>
      <c r="BJ1403" s="279"/>
      <c r="BK1403" s="279"/>
      <c r="BL1403" s="279"/>
      <c r="BM1403" s="279"/>
      <c r="BN1403" s="279"/>
      <c r="BO1403" s="279"/>
      <c r="BP1403" s="279"/>
      <c r="BQ1403" s="279"/>
      <c r="BR1403" s="279"/>
      <c r="BS1403" s="279"/>
      <c r="BT1403" s="279"/>
      <c r="BU1403" s="279"/>
      <c r="BV1403" s="279"/>
      <c r="BW1403" s="279"/>
      <c r="BX1403" s="279"/>
      <c r="BY1403" s="279"/>
      <c r="BZ1403" s="279"/>
      <c r="CA1403" s="279"/>
      <c r="CB1403" s="279"/>
      <c r="CC1403" s="279"/>
      <c r="CD1403" s="279"/>
      <c r="CE1403" s="279"/>
      <c r="CF1403" s="279"/>
      <c r="CG1403" s="279"/>
      <c r="CH1403" s="279"/>
      <c r="CI1403" s="279"/>
      <c r="CJ1403" s="279"/>
      <c r="CK1403" s="279"/>
      <c r="CL1403" s="279"/>
      <c r="CM1403" s="279"/>
      <c r="CN1403" s="382"/>
    </row>
    <row r="1404" x14ac:dyDescent="0.3">
      <c r="B1404" s="361"/>
      <c r="C1404" s="279"/>
      <c r="D1404" s="280"/>
      <c r="E1404" s="287"/>
      <c r="F1404" s="287"/>
      <c r="G1404" s="287"/>
      <c r="H1404" s="1292">
        <f t="shared" si="70"/>
        <v>41</v>
      </c>
      <c r="I1404" s="1190" t="str">
        <f>'I. Stream &amp; Compound Data'!P302</f>
        <v/>
      </c>
      <c r="J1404" s="1295" t="str">
        <f>IF(I182="","",IF('I. Stream &amp; Compound Data'!CD302&lt;&gt;"",'I. Stream &amp; Compound Data'!CD302,'I. Stream &amp; Compound Data'!CE302))</f>
        <v/>
      </c>
      <c r="K1404" s="1295" t="str">
        <f t="shared" si="72"/>
        <v/>
      </c>
      <c r="L1404" s="1317" t="str">
        <f>IF(K1404="","",IF('I. Stream &amp; Compound Data'!E72="H2O",0,(IF(J1404=0,1,J1404))*I1404))</f>
        <v/>
      </c>
      <c r="M1404" s="287"/>
      <c r="N1404" s="296"/>
      <c r="O1404" s="280"/>
      <c r="P1404" s="280"/>
      <c r="Q1404" s="279"/>
      <c r="R1404" s="297"/>
      <c r="S1404" s="298"/>
      <c r="T1404" s="298"/>
      <c r="U1404" s="299"/>
      <c r="V1404" s="279"/>
      <c r="W1404" s="279"/>
      <c r="X1404" s="279"/>
      <c r="Y1404" s="279"/>
      <c r="Z1404" s="279"/>
      <c r="AA1404" s="279"/>
      <c r="AB1404" s="279"/>
      <c r="AC1404" s="279"/>
      <c r="AD1404" s="279"/>
      <c r="AE1404" s="279"/>
      <c r="AF1404" s="279"/>
      <c r="AG1404" s="279"/>
      <c r="AH1404" s="279"/>
      <c r="AI1404" s="279"/>
      <c r="AJ1404" s="279"/>
      <c r="AK1404" s="279"/>
      <c r="AL1404" s="279"/>
      <c r="AM1404" s="279"/>
      <c r="AN1404" s="279"/>
      <c r="AO1404" s="279"/>
      <c r="AP1404" s="279"/>
      <c r="AQ1404" s="279"/>
      <c r="AR1404" s="279"/>
      <c r="AS1404" s="279"/>
      <c r="AT1404" s="279"/>
      <c r="AU1404" s="279"/>
      <c r="AV1404" s="279"/>
      <c r="AW1404" s="279"/>
      <c r="AX1404" s="279"/>
      <c r="AY1404" s="279"/>
      <c r="AZ1404" s="279"/>
      <c r="BA1404" s="279"/>
      <c r="BB1404" s="279"/>
      <c r="BC1404" s="279"/>
      <c r="BD1404" s="279"/>
      <c r="BE1404" s="279"/>
      <c r="BF1404" s="279"/>
      <c r="BG1404" s="279"/>
      <c r="BH1404" s="279"/>
      <c r="BI1404" s="279"/>
      <c r="BJ1404" s="279"/>
      <c r="BK1404" s="279"/>
      <c r="BL1404" s="279"/>
      <c r="BM1404" s="279"/>
      <c r="BN1404" s="279"/>
      <c r="BO1404" s="279"/>
      <c r="BP1404" s="279"/>
      <c r="BQ1404" s="279"/>
      <c r="BR1404" s="279"/>
      <c r="BS1404" s="279"/>
      <c r="BT1404" s="279"/>
      <c r="BU1404" s="279"/>
      <c r="BV1404" s="279"/>
      <c r="BW1404" s="279"/>
      <c r="BX1404" s="279"/>
      <c r="BY1404" s="279"/>
      <c r="BZ1404" s="279"/>
      <c r="CA1404" s="279"/>
      <c r="CB1404" s="279"/>
      <c r="CC1404" s="279"/>
      <c r="CD1404" s="279"/>
      <c r="CE1404" s="279"/>
      <c r="CF1404" s="279"/>
      <c r="CG1404" s="279"/>
      <c r="CH1404" s="279"/>
      <c r="CI1404" s="279"/>
      <c r="CJ1404" s="279"/>
      <c r="CK1404" s="279"/>
      <c r="CL1404" s="279"/>
      <c r="CM1404" s="279"/>
      <c r="CN1404" s="382"/>
    </row>
    <row r="1405" x14ac:dyDescent="0.3">
      <c r="B1405" s="361"/>
      <c r="C1405" s="279"/>
      <c r="D1405" s="280"/>
      <c r="E1405" s="287"/>
      <c r="F1405" s="287"/>
      <c r="G1405" s="287"/>
      <c r="H1405" s="1292">
        <f t="shared" si="70"/>
        <v>42</v>
      </c>
      <c r="I1405" s="1190" t="str">
        <f>'I. Stream &amp; Compound Data'!P303</f>
        <v/>
      </c>
      <c r="J1405" s="1295" t="str">
        <f>IF(I183="","",IF('I. Stream &amp; Compound Data'!CD303&lt;&gt;"",'I. Stream &amp; Compound Data'!CD303,'I. Stream &amp; Compound Data'!CE303))</f>
        <v/>
      </c>
      <c r="K1405" s="1295" t="str">
        <f t="shared" si="72"/>
        <v/>
      </c>
      <c r="L1405" s="1317" t="str">
        <f>IF(K1405="","",IF('I. Stream &amp; Compound Data'!E73="H2O",0,(IF(J1405=0,1,J1405))*I1405))</f>
        <v/>
      </c>
      <c r="M1405" s="287"/>
      <c r="N1405" s="296"/>
      <c r="O1405" s="280"/>
      <c r="P1405" s="280"/>
      <c r="Q1405" s="279"/>
      <c r="R1405" s="297"/>
      <c r="S1405" s="298"/>
      <c r="T1405" s="298"/>
      <c r="U1405" s="299"/>
      <c r="V1405" s="279"/>
      <c r="W1405" s="279"/>
      <c r="X1405" s="279"/>
      <c r="Y1405" s="279"/>
      <c r="Z1405" s="279"/>
      <c r="AA1405" s="279"/>
      <c r="AB1405" s="279"/>
      <c r="AC1405" s="279"/>
      <c r="AD1405" s="279"/>
      <c r="AE1405" s="279"/>
      <c r="AF1405" s="279"/>
      <c r="AG1405" s="279"/>
      <c r="AH1405" s="279"/>
      <c r="AI1405" s="279"/>
      <c r="AJ1405" s="279"/>
      <c r="AK1405" s="279"/>
      <c r="AL1405" s="279"/>
      <c r="AM1405" s="279"/>
      <c r="AN1405" s="279"/>
      <c r="AO1405" s="279"/>
      <c r="AP1405" s="279"/>
      <c r="AQ1405" s="279"/>
      <c r="AR1405" s="279"/>
      <c r="AS1405" s="279"/>
      <c r="AT1405" s="279"/>
      <c r="AU1405" s="279"/>
      <c r="AV1405" s="279"/>
      <c r="AW1405" s="279"/>
      <c r="AX1405" s="279"/>
      <c r="AY1405" s="279"/>
      <c r="AZ1405" s="279"/>
      <c r="BA1405" s="279"/>
      <c r="BB1405" s="279"/>
      <c r="BC1405" s="279"/>
      <c r="BD1405" s="279"/>
      <c r="BE1405" s="279"/>
      <c r="BF1405" s="279"/>
      <c r="BG1405" s="279"/>
      <c r="BH1405" s="279"/>
      <c r="BI1405" s="279"/>
      <c r="BJ1405" s="279"/>
      <c r="BK1405" s="279"/>
      <c r="BL1405" s="279"/>
      <c r="BM1405" s="279"/>
      <c r="BN1405" s="279"/>
      <c r="BO1405" s="279"/>
      <c r="BP1405" s="279"/>
      <c r="BQ1405" s="279"/>
      <c r="BR1405" s="279"/>
      <c r="BS1405" s="279"/>
      <c r="BT1405" s="279"/>
      <c r="BU1405" s="279"/>
      <c r="BV1405" s="279"/>
      <c r="BW1405" s="279"/>
      <c r="BX1405" s="279"/>
      <c r="BY1405" s="279"/>
      <c r="BZ1405" s="279"/>
      <c r="CA1405" s="279"/>
      <c r="CB1405" s="279"/>
      <c r="CC1405" s="279"/>
      <c r="CD1405" s="279"/>
      <c r="CE1405" s="279"/>
      <c r="CF1405" s="279"/>
      <c r="CG1405" s="279"/>
      <c r="CH1405" s="279"/>
      <c r="CI1405" s="279"/>
      <c r="CJ1405" s="279"/>
      <c r="CK1405" s="279"/>
      <c r="CL1405" s="279"/>
      <c r="CM1405" s="279"/>
      <c r="CN1405" s="382"/>
    </row>
    <row r="1406" x14ac:dyDescent="0.3">
      <c r="B1406" s="361"/>
      <c r="C1406" s="279"/>
      <c r="D1406" s="280"/>
      <c r="E1406" s="287"/>
      <c r="F1406" s="287"/>
      <c r="G1406" s="287"/>
      <c r="H1406" s="1292">
        <f t="shared" si="70"/>
        <v>43</v>
      </c>
      <c r="I1406" s="1190" t="str">
        <f>'I. Stream &amp; Compound Data'!P304</f>
        <v/>
      </c>
      <c r="J1406" s="1295" t="str">
        <f>IF(I184="","",IF('I. Stream &amp; Compound Data'!CD304&lt;&gt;"",'I. Stream &amp; Compound Data'!CD304,'I. Stream &amp; Compound Data'!CE304))</f>
        <v/>
      </c>
      <c r="K1406" s="1295" t="str">
        <f t="shared" si="72"/>
        <v/>
      </c>
      <c r="L1406" s="1317" t="str">
        <f>IF(K1406="","",IF('I. Stream &amp; Compound Data'!E74="H2O",0,(IF(J1406=0,1,J1406))*I1406))</f>
        <v/>
      </c>
      <c r="M1406" s="287"/>
      <c r="N1406" s="296"/>
      <c r="O1406" s="280"/>
      <c r="P1406" s="280"/>
      <c r="Q1406" s="279"/>
      <c r="R1406" s="297"/>
      <c r="S1406" s="298"/>
      <c r="T1406" s="298"/>
      <c r="U1406" s="299"/>
      <c r="V1406" s="279"/>
      <c r="W1406" s="279"/>
      <c r="X1406" s="279"/>
      <c r="Y1406" s="279"/>
      <c r="Z1406" s="279"/>
      <c r="AA1406" s="279"/>
      <c r="AB1406" s="279"/>
      <c r="AC1406" s="279"/>
      <c r="AD1406" s="279"/>
      <c r="AE1406" s="279"/>
      <c r="AF1406" s="279"/>
      <c r="AG1406" s="279"/>
      <c r="AH1406" s="279"/>
      <c r="AI1406" s="279"/>
      <c r="AJ1406" s="279"/>
      <c r="AK1406" s="279"/>
      <c r="AL1406" s="279"/>
      <c r="AM1406" s="279"/>
      <c r="AN1406" s="279"/>
      <c r="AO1406" s="279"/>
      <c r="AP1406" s="279"/>
      <c r="AQ1406" s="279"/>
      <c r="AR1406" s="279"/>
      <c r="AS1406" s="279"/>
      <c r="AT1406" s="279"/>
      <c r="AU1406" s="279"/>
      <c r="AV1406" s="279"/>
      <c r="AW1406" s="279"/>
      <c r="AX1406" s="279"/>
      <c r="AY1406" s="279"/>
      <c r="AZ1406" s="279"/>
      <c r="BA1406" s="279"/>
      <c r="BB1406" s="279"/>
      <c r="BC1406" s="279"/>
      <c r="BD1406" s="279"/>
      <c r="BE1406" s="279"/>
      <c r="BF1406" s="279"/>
      <c r="BG1406" s="279"/>
      <c r="BH1406" s="279"/>
      <c r="BI1406" s="279"/>
      <c r="BJ1406" s="279"/>
      <c r="BK1406" s="279"/>
      <c r="BL1406" s="279"/>
      <c r="BM1406" s="279"/>
      <c r="BN1406" s="279"/>
      <c r="BO1406" s="279"/>
      <c r="BP1406" s="279"/>
      <c r="BQ1406" s="279"/>
      <c r="BR1406" s="279"/>
      <c r="BS1406" s="279"/>
      <c r="BT1406" s="279"/>
      <c r="BU1406" s="279"/>
      <c r="BV1406" s="279"/>
      <c r="BW1406" s="279"/>
      <c r="BX1406" s="279"/>
      <c r="BY1406" s="279"/>
      <c r="BZ1406" s="279"/>
      <c r="CA1406" s="279"/>
      <c r="CB1406" s="279"/>
      <c r="CC1406" s="279"/>
      <c r="CD1406" s="279"/>
      <c r="CE1406" s="279"/>
      <c r="CF1406" s="279"/>
      <c r="CG1406" s="279"/>
      <c r="CH1406" s="279"/>
      <c r="CI1406" s="279"/>
      <c r="CJ1406" s="279"/>
      <c r="CK1406" s="279"/>
      <c r="CL1406" s="279"/>
      <c r="CM1406" s="279"/>
      <c r="CN1406" s="382"/>
    </row>
    <row r="1407" x14ac:dyDescent="0.3">
      <c r="B1407" s="361"/>
      <c r="C1407" s="279"/>
      <c r="D1407" s="280"/>
      <c r="E1407" s="287"/>
      <c r="F1407" s="287"/>
      <c r="G1407" s="287"/>
      <c r="H1407" s="1292">
        <f t="shared" si="70"/>
        <v>44</v>
      </c>
      <c r="I1407" s="1190" t="str">
        <f>'I. Stream &amp; Compound Data'!P305</f>
        <v/>
      </c>
      <c r="J1407" s="1295" t="str">
        <f>IF(I185="","",IF('I. Stream &amp; Compound Data'!CD305&lt;&gt;"",'I. Stream &amp; Compound Data'!CD305,'I. Stream &amp; Compound Data'!CE305))</f>
        <v/>
      </c>
      <c r="K1407" s="1295" t="str">
        <f t="shared" si="72"/>
        <v/>
      </c>
      <c r="L1407" s="1317" t="str">
        <f>IF(K1407="","",IF('I. Stream &amp; Compound Data'!E75="H2O",0,(IF(J1407=0,1,J1407))*I1407))</f>
        <v/>
      </c>
      <c r="M1407" s="287"/>
      <c r="N1407" s="296"/>
      <c r="O1407" s="280"/>
      <c r="P1407" s="280"/>
      <c r="Q1407" s="279"/>
      <c r="R1407" s="297"/>
      <c r="S1407" s="298"/>
      <c r="T1407" s="298"/>
      <c r="U1407" s="299"/>
      <c r="V1407" s="279"/>
      <c r="W1407" s="279"/>
      <c r="X1407" s="279"/>
      <c r="Y1407" s="279"/>
      <c r="Z1407" s="279"/>
      <c r="AA1407" s="279"/>
      <c r="AB1407" s="279"/>
      <c r="AC1407" s="279"/>
      <c r="AD1407" s="279"/>
      <c r="AE1407" s="279"/>
      <c r="AF1407" s="279"/>
      <c r="AG1407" s="279"/>
      <c r="AH1407" s="279"/>
      <c r="AI1407" s="279"/>
      <c r="AJ1407" s="279"/>
      <c r="AK1407" s="279"/>
      <c r="AL1407" s="279"/>
      <c r="AM1407" s="279"/>
      <c r="AN1407" s="279"/>
      <c r="AO1407" s="279"/>
      <c r="AP1407" s="279"/>
      <c r="AQ1407" s="279"/>
      <c r="AR1407" s="279"/>
      <c r="AS1407" s="279"/>
      <c r="AT1407" s="279"/>
      <c r="AU1407" s="279"/>
      <c r="AV1407" s="279"/>
      <c r="AW1407" s="279"/>
      <c r="AX1407" s="279"/>
      <c r="AY1407" s="279"/>
      <c r="AZ1407" s="279"/>
      <c r="BA1407" s="279"/>
      <c r="BB1407" s="279"/>
      <c r="BC1407" s="279"/>
      <c r="BD1407" s="279"/>
      <c r="BE1407" s="279"/>
      <c r="BF1407" s="279"/>
      <c r="BG1407" s="279"/>
      <c r="BH1407" s="279"/>
      <c r="BI1407" s="279"/>
      <c r="BJ1407" s="279"/>
      <c r="BK1407" s="279"/>
      <c r="BL1407" s="279"/>
      <c r="BM1407" s="279"/>
      <c r="BN1407" s="279"/>
      <c r="BO1407" s="279"/>
      <c r="BP1407" s="279"/>
      <c r="BQ1407" s="279"/>
      <c r="BR1407" s="279"/>
      <c r="BS1407" s="279"/>
      <c r="BT1407" s="279"/>
      <c r="BU1407" s="279"/>
      <c r="BV1407" s="279"/>
      <c r="BW1407" s="279"/>
      <c r="BX1407" s="279"/>
      <c r="BY1407" s="279"/>
      <c r="BZ1407" s="279"/>
      <c r="CA1407" s="279"/>
      <c r="CB1407" s="279"/>
      <c r="CC1407" s="279"/>
      <c r="CD1407" s="279"/>
      <c r="CE1407" s="279"/>
      <c r="CF1407" s="279"/>
      <c r="CG1407" s="279"/>
      <c r="CH1407" s="279"/>
      <c r="CI1407" s="279"/>
      <c r="CJ1407" s="279"/>
      <c r="CK1407" s="279"/>
      <c r="CL1407" s="279"/>
      <c r="CM1407" s="279"/>
      <c r="CN1407" s="382"/>
    </row>
    <row r="1408" x14ac:dyDescent="0.3">
      <c r="B1408" s="361"/>
      <c r="C1408" s="279"/>
      <c r="D1408" s="280"/>
      <c r="E1408" s="287"/>
      <c r="F1408" s="287"/>
      <c r="G1408" s="287"/>
      <c r="H1408" s="1292">
        <f t="shared" si="70"/>
        <v>45</v>
      </c>
      <c r="I1408" s="1190" t="str">
        <f>'I. Stream &amp; Compound Data'!P306</f>
        <v/>
      </c>
      <c r="J1408" s="1295" t="str">
        <f>IF(I186="","",IF('I. Stream &amp; Compound Data'!CD306&lt;&gt;"",'I. Stream &amp; Compound Data'!CD306,'I. Stream &amp; Compound Data'!CE306))</f>
        <v/>
      </c>
      <c r="K1408" s="1295" t="str">
        <f t="shared" si="72"/>
        <v/>
      </c>
      <c r="L1408" s="1317" t="str">
        <f>IF(K1408="","",IF('I. Stream &amp; Compound Data'!E76="H2O",0,(IF(J1408=0,1,J1408))*I1408))</f>
        <v/>
      </c>
      <c r="M1408" s="287"/>
      <c r="N1408" s="296"/>
      <c r="O1408" s="280"/>
      <c r="P1408" s="280"/>
      <c r="Q1408" s="279"/>
      <c r="R1408" s="297"/>
      <c r="S1408" s="298"/>
      <c r="T1408" s="298"/>
      <c r="U1408" s="299"/>
      <c r="V1408" s="279"/>
      <c r="W1408" s="279"/>
      <c r="X1408" s="279"/>
      <c r="Y1408" s="279"/>
      <c r="Z1408" s="279"/>
      <c r="AA1408" s="279"/>
      <c r="AB1408" s="279"/>
      <c r="AC1408" s="279"/>
      <c r="AD1408" s="279"/>
      <c r="AE1408" s="279"/>
      <c r="AF1408" s="279"/>
      <c r="AG1408" s="279"/>
      <c r="AH1408" s="279"/>
      <c r="AI1408" s="279"/>
      <c r="AJ1408" s="279"/>
      <c r="AK1408" s="279"/>
      <c r="AL1408" s="279"/>
      <c r="AM1408" s="279"/>
      <c r="AN1408" s="279"/>
      <c r="AO1408" s="279"/>
      <c r="AP1408" s="279"/>
      <c r="AQ1408" s="279"/>
      <c r="AR1408" s="279"/>
      <c r="AS1408" s="279"/>
      <c r="AT1408" s="279"/>
      <c r="AU1408" s="279"/>
      <c r="AV1408" s="279"/>
      <c r="AW1408" s="279"/>
      <c r="AX1408" s="279"/>
      <c r="AY1408" s="279"/>
      <c r="AZ1408" s="279"/>
      <c r="BA1408" s="279"/>
      <c r="BB1408" s="279"/>
      <c r="BC1408" s="279"/>
      <c r="BD1408" s="279"/>
      <c r="BE1408" s="279"/>
      <c r="BF1408" s="279"/>
      <c r="BG1408" s="279"/>
      <c r="BH1408" s="279"/>
      <c r="BI1408" s="279"/>
      <c r="BJ1408" s="279"/>
      <c r="BK1408" s="279"/>
      <c r="BL1408" s="279"/>
      <c r="BM1408" s="279"/>
      <c r="BN1408" s="279"/>
      <c r="BO1408" s="279"/>
      <c r="BP1408" s="279"/>
      <c r="BQ1408" s="279"/>
      <c r="BR1408" s="279"/>
      <c r="BS1408" s="279"/>
      <c r="BT1408" s="279"/>
      <c r="BU1408" s="279"/>
      <c r="BV1408" s="279"/>
      <c r="BW1408" s="279"/>
      <c r="BX1408" s="279"/>
      <c r="BY1408" s="279"/>
      <c r="BZ1408" s="279"/>
      <c r="CA1408" s="279"/>
      <c r="CB1408" s="279"/>
      <c r="CC1408" s="279"/>
      <c r="CD1408" s="279"/>
      <c r="CE1408" s="279"/>
      <c r="CF1408" s="279"/>
      <c r="CG1408" s="279"/>
      <c r="CH1408" s="279"/>
      <c r="CI1408" s="279"/>
      <c r="CJ1408" s="279"/>
      <c r="CK1408" s="279"/>
      <c r="CL1408" s="279"/>
      <c r="CM1408" s="279"/>
      <c r="CN1408" s="382"/>
    </row>
    <row r="1409" x14ac:dyDescent="0.3">
      <c r="B1409" s="361"/>
      <c r="C1409" s="279"/>
      <c r="D1409" s="280"/>
      <c r="E1409" s="287"/>
      <c r="F1409" s="287"/>
      <c r="G1409" s="287"/>
      <c r="H1409" s="1292">
        <f t="shared" si="70"/>
        <v>46</v>
      </c>
      <c r="I1409" s="1190" t="str">
        <f>'I. Stream &amp; Compound Data'!P307</f>
        <v/>
      </c>
      <c r="J1409" s="1295" t="str">
        <f>IF(I187="","",IF('I. Stream &amp; Compound Data'!CD307&lt;&gt;"",'I. Stream &amp; Compound Data'!CD307,'I. Stream &amp; Compound Data'!CE307))</f>
        <v/>
      </c>
      <c r="K1409" s="1295" t="str">
        <f t="shared" si="72"/>
        <v/>
      </c>
      <c r="L1409" s="1317" t="str">
        <f>IF(K1409="","",IF('I. Stream &amp; Compound Data'!E77="H2O",0,(IF(J1409=0,1,J1409))*I1409))</f>
        <v/>
      </c>
      <c r="M1409" s="287"/>
      <c r="N1409" s="296"/>
      <c r="O1409" s="280"/>
      <c r="P1409" s="280"/>
      <c r="Q1409" s="279"/>
      <c r="R1409" s="297"/>
      <c r="S1409" s="298"/>
      <c r="T1409" s="298"/>
      <c r="U1409" s="299"/>
      <c r="V1409" s="279"/>
      <c r="W1409" s="279"/>
      <c r="X1409" s="279"/>
      <c r="Y1409" s="279"/>
      <c r="Z1409" s="279"/>
      <c r="AA1409" s="279"/>
      <c r="AB1409" s="279"/>
      <c r="AC1409" s="279"/>
      <c r="AD1409" s="279"/>
      <c r="AE1409" s="279"/>
      <c r="AF1409" s="279"/>
      <c r="AG1409" s="279"/>
      <c r="AH1409" s="279"/>
      <c r="AI1409" s="279"/>
      <c r="AJ1409" s="279"/>
      <c r="AK1409" s="279"/>
      <c r="AL1409" s="279"/>
      <c r="AM1409" s="279"/>
      <c r="AN1409" s="279"/>
      <c r="AO1409" s="279"/>
      <c r="AP1409" s="279"/>
      <c r="AQ1409" s="279"/>
      <c r="AR1409" s="279"/>
      <c r="AS1409" s="279"/>
      <c r="AT1409" s="279"/>
      <c r="AU1409" s="279"/>
      <c r="AV1409" s="279"/>
      <c r="AW1409" s="279"/>
      <c r="AX1409" s="279"/>
      <c r="AY1409" s="279"/>
      <c r="AZ1409" s="279"/>
      <c r="BA1409" s="279"/>
      <c r="BB1409" s="279"/>
      <c r="BC1409" s="279"/>
      <c r="BD1409" s="279"/>
      <c r="BE1409" s="279"/>
      <c r="BF1409" s="279"/>
      <c r="BG1409" s="279"/>
      <c r="BH1409" s="279"/>
      <c r="BI1409" s="279"/>
      <c r="BJ1409" s="279"/>
      <c r="BK1409" s="279"/>
      <c r="BL1409" s="279"/>
      <c r="BM1409" s="279"/>
      <c r="BN1409" s="279"/>
      <c r="BO1409" s="279"/>
      <c r="BP1409" s="279"/>
      <c r="BQ1409" s="279"/>
      <c r="BR1409" s="279"/>
      <c r="BS1409" s="279"/>
      <c r="BT1409" s="279"/>
      <c r="BU1409" s="279"/>
      <c r="BV1409" s="279"/>
      <c r="BW1409" s="279"/>
      <c r="BX1409" s="279"/>
      <c r="BY1409" s="279"/>
      <c r="BZ1409" s="279"/>
      <c r="CA1409" s="279"/>
      <c r="CB1409" s="279"/>
      <c r="CC1409" s="279"/>
      <c r="CD1409" s="279"/>
      <c r="CE1409" s="279"/>
      <c r="CF1409" s="279"/>
      <c r="CG1409" s="279"/>
      <c r="CH1409" s="279"/>
      <c r="CI1409" s="279"/>
      <c r="CJ1409" s="279"/>
      <c r="CK1409" s="279"/>
      <c r="CL1409" s="279"/>
      <c r="CM1409" s="279"/>
      <c r="CN1409" s="382"/>
    </row>
    <row r="1410" x14ac:dyDescent="0.3">
      <c r="B1410" s="361"/>
      <c r="C1410" s="279"/>
      <c r="D1410" s="280"/>
      <c r="E1410" s="287"/>
      <c r="F1410" s="287"/>
      <c r="G1410" s="287"/>
      <c r="H1410" s="1292">
        <f t="shared" si="70"/>
        <v>47</v>
      </c>
      <c r="I1410" s="1190" t="str">
        <f>'I. Stream &amp; Compound Data'!P308</f>
        <v/>
      </c>
      <c r="J1410" s="1295" t="str">
        <f>IF(I188="","",IF('I. Stream &amp; Compound Data'!CD308&lt;&gt;"",'I. Stream &amp; Compound Data'!CD308,'I. Stream &amp; Compound Data'!CE308))</f>
        <v/>
      </c>
      <c r="K1410" s="1295" t="str">
        <f t="shared" si="72"/>
        <v/>
      </c>
      <c r="L1410" s="1317" t="str">
        <f>IF(K1410="","",IF('I. Stream &amp; Compound Data'!E78="H2O",0,(IF(J1410=0,1,J1410))*I1410))</f>
        <v/>
      </c>
      <c r="M1410" s="287"/>
      <c r="N1410" s="296"/>
      <c r="O1410" s="280"/>
      <c r="P1410" s="280"/>
      <c r="Q1410" s="279"/>
      <c r="R1410" s="297"/>
      <c r="S1410" s="298"/>
      <c r="T1410" s="298"/>
      <c r="U1410" s="299"/>
      <c r="V1410" s="279"/>
      <c r="W1410" s="279"/>
      <c r="X1410" s="279"/>
      <c r="Y1410" s="279"/>
      <c r="Z1410" s="279"/>
      <c r="AA1410" s="279"/>
      <c r="AB1410" s="279"/>
      <c r="AC1410" s="279"/>
      <c r="AD1410" s="279"/>
      <c r="AE1410" s="279"/>
      <c r="AF1410" s="279"/>
      <c r="AG1410" s="279"/>
      <c r="AH1410" s="279"/>
      <c r="AI1410" s="279"/>
      <c r="AJ1410" s="279"/>
      <c r="AK1410" s="279"/>
      <c r="AL1410" s="279"/>
      <c r="AM1410" s="279"/>
      <c r="AN1410" s="279"/>
      <c r="AO1410" s="279"/>
      <c r="AP1410" s="279"/>
      <c r="AQ1410" s="279"/>
      <c r="AR1410" s="279"/>
      <c r="AS1410" s="279"/>
      <c r="AT1410" s="279"/>
      <c r="AU1410" s="279"/>
      <c r="AV1410" s="279"/>
      <c r="AW1410" s="279"/>
      <c r="AX1410" s="279"/>
      <c r="AY1410" s="279"/>
      <c r="AZ1410" s="279"/>
      <c r="BA1410" s="279"/>
      <c r="BB1410" s="279"/>
      <c r="BC1410" s="279"/>
      <c r="BD1410" s="279"/>
      <c r="BE1410" s="279"/>
      <c r="BF1410" s="279"/>
      <c r="BG1410" s="279"/>
      <c r="BH1410" s="279"/>
      <c r="BI1410" s="279"/>
      <c r="BJ1410" s="279"/>
      <c r="BK1410" s="279"/>
      <c r="BL1410" s="279"/>
      <c r="BM1410" s="279"/>
      <c r="BN1410" s="279"/>
      <c r="BO1410" s="279"/>
      <c r="BP1410" s="279"/>
      <c r="BQ1410" s="279"/>
      <c r="BR1410" s="279"/>
      <c r="BS1410" s="279"/>
      <c r="BT1410" s="279"/>
      <c r="BU1410" s="279"/>
      <c r="BV1410" s="279"/>
      <c r="BW1410" s="279"/>
      <c r="BX1410" s="279"/>
      <c r="BY1410" s="279"/>
      <c r="BZ1410" s="279"/>
      <c r="CA1410" s="279"/>
      <c r="CB1410" s="279"/>
      <c r="CC1410" s="279"/>
      <c r="CD1410" s="279"/>
      <c r="CE1410" s="279"/>
      <c r="CF1410" s="279"/>
      <c r="CG1410" s="279"/>
      <c r="CH1410" s="279"/>
      <c r="CI1410" s="279"/>
      <c r="CJ1410" s="279"/>
      <c r="CK1410" s="279"/>
      <c r="CL1410" s="279"/>
      <c r="CM1410" s="279"/>
      <c r="CN1410" s="382"/>
    </row>
    <row r="1411" x14ac:dyDescent="0.3">
      <c r="B1411" s="361"/>
      <c r="C1411" s="279"/>
      <c r="D1411" s="280"/>
      <c r="E1411" s="287"/>
      <c r="F1411" s="287"/>
      <c r="G1411" s="287"/>
      <c r="H1411" s="1292">
        <f t="shared" si="70"/>
        <v>48</v>
      </c>
      <c r="I1411" s="1190" t="str">
        <f>'I. Stream &amp; Compound Data'!P309</f>
        <v/>
      </c>
      <c r="J1411" s="1295" t="str">
        <f>IF(I189="","",IF('I. Stream &amp; Compound Data'!CD309&lt;&gt;"",'I. Stream &amp; Compound Data'!CD309,'I. Stream &amp; Compound Data'!CE309))</f>
        <v/>
      </c>
      <c r="K1411" s="1295" t="str">
        <f t="shared" si="72"/>
        <v/>
      </c>
      <c r="L1411" s="1317" t="str">
        <f>IF(K1411="","",IF('I. Stream &amp; Compound Data'!E79="H2O",0,(IF(J1411=0,1,J1411))*I1411))</f>
        <v/>
      </c>
      <c r="M1411" s="287"/>
      <c r="N1411" s="296"/>
      <c r="O1411" s="280"/>
      <c r="P1411" s="280"/>
      <c r="Q1411" s="279"/>
      <c r="R1411" s="297"/>
      <c r="S1411" s="298"/>
      <c r="T1411" s="298"/>
      <c r="U1411" s="299"/>
      <c r="V1411" s="279"/>
      <c r="W1411" s="279"/>
      <c r="X1411" s="279"/>
      <c r="Y1411" s="279"/>
      <c r="Z1411" s="279"/>
      <c r="AA1411" s="279"/>
      <c r="AB1411" s="279"/>
      <c r="AC1411" s="279"/>
      <c r="AD1411" s="279"/>
      <c r="AE1411" s="279"/>
      <c r="AF1411" s="279"/>
      <c r="AG1411" s="279"/>
      <c r="AH1411" s="279"/>
      <c r="AI1411" s="279"/>
      <c r="AJ1411" s="279"/>
      <c r="AK1411" s="279"/>
      <c r="AL1411" s="279"/>
      <c r="AM1411" s="279"/>
      <c r="AN1411" s="279"/>
      <c r="AO1411" s="279"/>
      <c r="AP1411" s="279"/>
      <c r="AQ1411" s="279"/>
      <c r="AR1411" s="279"/>
      <c r="AS1411" s="279"/>
      <c r="AT1411" s="279"/>
      <c r="AU1411" s="279"/>
      <c r="AV1411" s="279"/>
      <c r="AW1411" s="279"/>
      <c r="AX1411" s="279"/>
      <c r="AY1411" s="279"/>
      <c r="AZ1411" s="279"/>
      <c r="BA1411" s="279"/>
      <c r="BB1411" s="279"/>
      <c r="BC1411" s="279"/>
      <c r="BD1411" s="279"/>
      <c r="BE1411" s="279"/>
      <c r="BF1411" s="279"/>
      <c r="BG1411" s="279"/>
      <c r="BH1411" s="279"/>
      <c r="BI1411" s="279"/>
      <c r="BJ1411" s="279"/>
      <c r="BK1411" s="279"/>
      <c r="BL1411" s="279"/>
      <c r="BM1411" s="279"/>
      <c r="BN1411" s="279"/>
      <c r="BO1411" s="279"/>
      <c r="BP1411" s="279"/>
      <c r="BQ1411" s="279"/>
      <c r="BR1411" s="279"/>
      <c r="BS1411" s="279"/>
      <c r="BT1411" s="279"/>
      <c r="BU1411" s="279"/>
      <c r="BV1411" s="279"/>
      <c r="BW1411" s="279"/>
      <c r="BX1411" s="279"/>
      <c r="BY1411" s="279"/>
      <c r="BZ1411" s="279"/>
      <c r="CA1411" s="279"/>
      <c r="CB1411" s="279"/>
      <c r="CC1411" s="279"/>
      <c r="CD1411" s="279"/>
      <c r="CE1411" s="279"/>
      <c r="CF1411" s="279"/>
      <c r="CG1411" s="279"/>
      <c r="CH1411" s="279"/>
      <c r="CI1411" s="279"/>
      <c r="CJ1411" s="279"/>
      <c r="CK1411" s="279"/>
      <c r="CL1411" s="279"/>
      <c r="CM1411" s="279"/>
      <c r="CN1411" s="382"/>
    </row>
    <row r="1412" x14ac:dyDescent="0.3">
      <c r="B1412" s="361"/>
      <c r="C1412" s="279"/>
      <c r="D1412" s="280"/>
      <c r="E1412" s="287"/>
      <c r="F1412" s="287"/>
      <c r="G1412" s="287"/>
      <c r="H1412" s="1292">
        <f t="shared" si="70"/>
        <v>49</v>
      </c>
      <c r="I1412" s="1190" t="str">
        <f>'I. Stream &amp; Compound Data'!P310</f>
        <v/>
      </c>
      <c r="J1412" s="1295" t="str">
        <f>IF(I190="","",IF('I. Stream &amp; Compound Data'!CD310&lt;&gt;"",'I. Stream &amp; Compound Data'!CD310,'I. Stream &amp; Compound Data'!CE310))</f>
        <v/>
      </c>
      <c r="K1412" s="1295" t="str">
        <f t="shared" si="72"/>
        <v/>
      </c>
      <c r="L1412" s="1317" t="str">
        <f>IF(K1412="","",IF('I. Stream &amp; Compound Data'!E80="H2O",0,(IF(J1412=0,1,J1412))*I1412))</f>
        <v/>
      </c>
      <c r="M1412" s="287"/>
      <c r="N1412" s="296"/>
      <c r="O1412" s="280"/>
      <c r="P1412" s="280"/>
      <c r="Q1412" s="279"/>
      <c r="R1412" s="297"/>
      <c r="S1412" s="298"/>
      <c r="T1412" s="298"/>
      <c r="U1412" s="299"/>
      <c r="V1412" s="279"/>
      <c r="W1412" s="279"/>
      <c r="X1412" s="279"/>
      <c r="Y1412" s="279"/>
      <c r="Z1412" s="279"/>
      <c r="AA1412" s="279"/>
      <c r="AB1412" s="279"/>
      <c r="AC1412" s="279"/>
      <c r="AD1412" s="279"/>
      <c r="AE1412" s="279"/>
      <c r="AF1412" s="279"/>
      <c r="AG1412" s="279"/>
      <c r="AH1412" s="279"/>
      <c r="AI1412" s="279"/>
      <c r="AJ1412" s="279"/>
      <c r="AK1412" s="279"/>
      <c r="AL1412" s="279"/>
      <c r="AM1412" s="279"/>
      <c r="AN1412" s="279"/>
      <c r="AO1412" s="279"/>
      <c r="AP1412" s="279"/>
      <c r="AQ1412" s="279"/>
      <c r="AR1412" s="279"/>
      <c r="AS1412" s="279"/>
      <c r="AT1412" s="279"/>
      <c r="AU1412" s="279"/>
      <c r="AV1412" s="279"/>
      <c r="AW1412" s="279"/>
      <c r="AX1412" s="279"/>
      <c r="AY1412" s="279"/>
      <c r="AZ1412" s="279"/>
      <c r="BA1412" s="279"/>
      <c r="BB1412" s="279"/>
      <c r="BC1412" s="279"/>
      <c r="BD1412" s="279"/>
      <c r="BE1412" s="279"/>
      <c r="BF1412" s="279"/>
      <c r="BG1412" s="279"/>
      <c r="BH1412" s="279"/>
      <c r="BI1412" s="279"/>
      <c r="BJ1412" s="279"/>
      <c r="BK1412" s="279"/>
      <c r="BL1412" s="279"/>
      <c r="BM1412" s="279"/>
      <c r="BN1412" s="279"/>
      <c r="BO1412" s="279"/>
      <c r="BP1412" s="279"/>
      <c r="BQ1412" s="279"/>
      <c r="BR1412" s="279"/>
      <c r="BS1412" s="279"/>
      <c r="BT1412" s="279"/>
      <c r="BU1412" s="279"/>
      <c r="BV1412" s="279"/>
      <c r="BW1412" s="279"/>
      <c r="BX1412" s="279"/>
      <c r="BY1412" s="279"/>
      <c r="BZ1412" s="279"/>
      <c r="CA1412" s="279"/>
      <c r="CB1412" s="279"/>
      <c r="CC1412" s="279"/>
      <c r="CD1412" s="279"/>
      <c r="CE1412" s="279"/>
      <c r="CF1412" s="279"/>
      <c r="CG1412" s="279"/>
      <c r="CH1412" s="279"/>
      <c r="CI1412" s="279"/>
      <c r="CJ1412" s="279"/>
      <c r="CK1412" s="279"/>
      <c r="CL1412" s="279"/>
      <c r="CM1412" s="279"/>
      <c r="CN1412" s="382"/>
    </row>
    <row r="1413" ht="16.2" thickBot="true" x14ac:dyDescent="0.35">
      <c r="B1413" s="361"/>
      <c r="C1413" s="279"/>
      <c r="D1413" s="280"/>
      <c r="E1413" s="287"/>
      <c r="F1413" s="287"/>
      <c r="G1413" s="287"/>
      <c r="H1413" s="1298">
        <f t="shared" si="70"/>
        <v>50</v>
      </c>
      <c r="I1413" s="1259" t="str">
        <f>'I. Stream &amp; Compound Data'!P311</f>
        <v/>
      </c>
      <c r="J1413" s="1301" t="str">
        <f>IF(I191="","",IF('I. Stream &amp; Compound Data'!CD311&lt;&gt;"",'I. Stream &amp; Compound Data'!CD311,'I. Stream &amp; Compound Data'!CE311))</f>
        <v/>
      </c>
      <c r="K1413" s="1301" t="str">
        <f t="shared" si="72"/>
        <v/>
      </c>
      <c r="L1413" s="1318" t="str">
        <f>IF(K1413="","",IF('I. Stream &amp; Compound Data'!E81="H2O",0,(IF(J1413=0,1,J1413))*I1413))</f>
        <v/>
      </c>
      <c r="M1413" s="287"/>
      <c r="N1413" s="296"/>
      <c r="O1413" s="280"/>
      <c r="P1413" s="280"/>
      <c r="Q1413" s="279"/>
      <c r="R1413" s="297"/>
      <c r="S1413" s="298"/>
      <c r="T1413" s="298"/>
      <c r="U1413" s="299"/>
      <c r="V1413" s="279"/>
      <c r="W1413" s="279"/>
      <c r="X1413" s="279"/>
      <c r="Y1413" s="279"/>
      <c r="Z1413" s="279"/>
      <c r="AA1413" s="279"/>
      <c r="AB1413" s="279"/>
      <c r="AC1413" s="279"/>
      <c r="AD1413" s="279"/>
      <c r="AE1413" s="279"/>
      <c r="AF1413" s="279"/>
      <c r="AG1413" s="279"/>
      <c r="AH1413" s="279"/>
      <c r="AI1413" s="279"/>
      <c r="AJ1413" s="279"/>
      <c r="AK1413" s="279"/>
      <c r="AL1413" s="279"/>
      <c r="AM1413" s="279"/>
      <c r="AN1413" s="279"/>
      <c r="AO1413" s="279"/>
      <c r="AP1413" s="279"/>
      <c r="AQ1413" s="279"/>
      <c r="AR1413" s="279"/>
      <c r="AS1413" s="279"/>
      <c r="AT1413" s="279"/>
      <c r="AU1413" s="279"/>
      <c r="AV1413" s="279"/>
      <c r="AW1413" s="279"/>
      <c r="AX1413" s="279"/>
      <c r="AY1413" s="279"/>
      <c r="AZ1413" s="279"/>
      <c r="BA1413" s="279"/>
      <c r="BB1413" s="279"/>
      <c r="BC1413" s="279"/>
      <c r="BD1413" s="279"/>
      <c r="BE1413" s="279"/>
      <c r="BF1413" s="279"/>
      <c r="BG1413" s="279"/>
      <c r="BH1413" s="279"/>
      <c r="BI1413" s="279"/>
      <c r="BJ1413" s="279"/>
      <c r="BK1413" s="279"/>
      <c r="BL1413" s="279"/>
      <c r="BM1413" s="279"/>
      <c r="BN1413" s="279"/>
      <c r="BO1413" s="279"/>
      <c r="BP1413" s="279"/>
      <c r="BQ1413" s="279"/>
      <c r="BR1413" s="279"/>
      <c r="BS1413" s="279"/>
      <c r="BT1413" s="279"/>
      <c r="BU1413" s="279"/>
      <c r="BV1413" s="279"/>
      <c r="BW1413" s="279"/>
      <c r="BX1413" s="279"/>
      <c r="BY1413" s="279"/>
      <c r="BZ1413" s="279"/>
      <c r="CA1413" s="279"/>
      <c r="CB1413" s="279"/>
      <c r="CC1413" s="279"/>
      <c r="CD1413" s="279"/>
      <c r="CE1413" s="279"/>
      <c r="CF1413" s="279"/>
      <c r="CG1413" s="279"/>
      <c r="CH1413" s="279"/>
      <c r="CI1413" s="279"/>
      <c r="CJ1413" s="279"/>
      <c r="CK1413" s="279"/>
      <c r="CL1413" s="279"/>
      <c r="CM1413" s="279"/>
      <c r="CN1413" s="382"/>
    </row>
    <row r="1414" ht="16.2" thickBot="true" x14ac:dyDescent="0.35">
      <c r="B1414" s="361"/>
      <c r="C1414" s="279"/>
      <c r="D1414" s="280"/>
      <c r="E1414" s="287"/>
      <c r="F1414" s="287"/>
      <c r="G1414" s="287"/>
      <c r="H1414" s="280"/>
      <c r="I1414" s="279"/>
      <c r="J1414" s="305" t="s">
        <v>88</v>
      </c>
      <c r="K1414" s="1305">
        <f>SUM(K1364:K1413)</f>
        <v>0</v>
      </c>
      <c r="L1414" s="1305">
        <f>SUM(L1364:L1413)</f>
        <v>2980.7504537999998</v>
      </c>
      <c r="M1414" s="287"/>
      <c r="N1414" s="296"/>
      <c r="O1414" s="280"/>
      <c r="P1414" s="280"/>
      <c r="Q1414" s="279"/>
      <c r="R1414" s="297"/>
      <c r="S1414" s="298"/>
      <c r="T1414" s="298"/>
      <c r="U1414" s="299"/>
      <c r="V1414" s="279"/>
      <c r="W1414" s="279"/>
      <c r="X1414" s="279"/>
      <c r="Y1414" s="279"/>
      <c r="Z1414" s="279"/>
      <c r="AA1414" s="279"/>
      <c r="AB1414" s="279"/>
      <c r="AC1414" s="279"/>
      <c r="AD1414" s="279"/>
      <c r="AE1414" s="279"/>
      <c r="AF1414" s="279"/>
      <c r="AG1414" s="279"/>
      <c r="AH1414" s="279"/>
      <c r="AI1414" s="279"/>
      <c r="AJ1414" s="279"/>
      <c r="AK1414" s="279"/>
      <c r="AL1414" s="279"/>
      <c r="AM1414" s="279"/>
      <c r="AN1414" s="279"/>
      <c r="AO1414" s="279"/>
      <c r="AP1414" s="279"/>
      <c r="AQ1414" s="279"/>
      <c r="AR1414" s="279"/>
      <c r="AS1414" s="279"/>
      <c r="AT1414" s="279"/>
      <c r="AU1414" s="279"/>
      <c r="AV1414" s="279"/>
      <c r="AW1414" s="279"/>
      <c r="AX1414" s="279"/>
      <c r="AY1414" s="279"/>
      <c r="AZ1414" s="279"/>
      <c r="BA1414" s="279"/>
      <c r="BB1414" s="279"/>
      <c r="BC1414" s="279"/>
      <c r="BD1414" s="279"/>
      <c r="BE1414" s="279"/>
      <c r="BF1414" s="279"/>
      <c r="BG1414" s="279"/>
      <c r="BH1414" s="279"/>
      <c r="BI1414" s="279"/>
      <c r="BJ1414" s="279"/>
      <c r="BK1414" s="279"/>
      <c r="BL1414" s="279"/>
      <c r="BM1414" s="279"/>
      <c r="BN1414" s="279"/>
      <c r="BO1414" s="279"/>
      <c r="BP1414" s="279"/>
      <c r="BQ1414" s="279"/>
      <c r="BR1414" s="279"/>
      <c r="BS1414" s="279"/>
      <c r="BT1414" s="279"/>
      <c r="BU1414" s="279"/>
      <c r="BV1414" s="279"/>
      <c r="BW1414" s="279"/>
      <c r="BX1414" s="279"/>
      <c r="BY1414" s="279"/>
      <c r="BZ1414" s="279"/>
      <c r="CA1414" s="279"/>
      <c r="CB1414" s="279"/>
      <c r="CC1414" s="279"/>
      <c r="CD1414" s="279"/>
      <c r="CE1414" s="279"/>
      <c r="CF1414" s="279"/>
      <c r="CG1414" s="279"/>
      <c r="CH1414" s="279"/>
      <c r="CI1414" s="279"/>
      <c r="CJ1414" s="279"/>
      <c r="CK1414" s="279"/>
      <c r="CL1414" s="279"/>
      <c r="CM1414" s="279"/>
      <c r="CN1414" s="382"/>
    </row>
    <row r="1415" x14ac:dyDescent="0.3">
      <c r="B1415" s="361"/>
      <c r="C1415" s="279"/>
      <c r="D1415" s="280"/>
      <c r="E1415" s="287"/>
      <c r="F1415" s="287"/>
      <c r="G1415" s="287"/>
      <c r="H1415" s="280"/>
      <c r="I1415" s="279"/>
      <c r="J1415" s="305"/>
      <c r="K1415" s="287"/>
      <c r="L1415" s="287"/>
      <c r="M1415" s="287"/>
      <c r="N1415" s="296"/>
      <c r="O1415" s="280"/>
      <c r="P1415" s="280"/>
      <c r="Q1415" s="279"/>
      <c r="R1415" s="297"/>
      <c r="S1415" s="298"/>
      <c r="T1415" s="298"/>
      <c r="U1415" s="299"/>
      <c r="V1415" s="279"/>
      <c r="W1415" s="279"/>
      <c r="X1415" s="279"/>
      <c r="Y1415" s="279"/>
      <c r="Z1415" s="279"/>
      <c r="AA1415" s="279"/>
      <c r="AB1415" s="279"/>
      <c r="AC1415" s="279"/>
      <c r="AD1415" s="279"/>
      <c r="AE1415" s="279"/>
      <c r="AF1415" s="279"/>
      <c r="AG1415" s="279"/>
      <c r="AH1415" s="279"/>
      <c r="AI1415" s="279"/>
      <c r="AJ1415" s="279"/>
      <c r="AK1415" s="279"/>
      <c r="AL1415" s="279"/>
      <c r="AM1415" s="279"/>
      <c r="AN1415" s="279"/>
      <c r="AO1415" s="279"/>
      <c r="AP1415" s="279"/>
      <c r="AQ1415" s="279"/>
      <c r="AR1415" s="279"/>
      <c r="AS1415" s="279"/>
      <c r="AT1415" s="279"/>
      <c r="AU1415" s="279"/>
      <c r="AV1415" s="279"/>
      <c r="AW1415" s="279"/>
      <c r="AX1415" s="279"/>
      <c r="AY1415" s="279"/>
      <c r="AZ1415" s="279"/>
      <c r="BA1415" s="279"/>
      <c r="BB1415" s="279"/>
      <c r="BC1415" s="279"/>
      <c r="BD1415" s="279"/>
      <c r="BE1415" s="279"/>
      <c r="BF1415" s="279"/>
      <c r="BG1415" s="279"/>
      <c r="BH1415" s="279"/>
      <c r="BI1415" s="279"/>
      <c r="BJ1415" s="279"/>
      <c r="BK1415" s="279"/>
      <c r="BL1415" s="279"/>
      <c r="BM1415" s="279"/>
      <c r="BN1415" s="279"/>
      <c r="BO1415" s="279"/>
      <c r="BP1415" s="279"/>
      <c r="BQ1415" s="279"/>
      <c r="BR1415" s="279"/>
      <c r="BS1415" s="279"/>
      <c r="BT1415" s="279"/>
      <c r="BU1415" s="279"/>
      <c r="BV1415" s="279"/>
      <c r="BW1415" s="279"/>
      <c r="BX1415" s="279"/>
      <c r="BY1415" s="279"/>
      <c r="BZ1415" s="279"/>
      <c r="CA1415" s="279"/>
      <c r="CB1415" s="279"/>
      <c r="CC1415" s="279"/>
      <c r="CD1415" s="279"/>
      <c r="CE1415" s="279"/>
      <c r="CF1415" s="279"/>
      <c r="CG1415" s="279"/>
      <c r="CH1415" s="279"/>
      <c r="CI1415" s="279"/>
      <c r="CJ1415" s="279"/>
      <c r="CK1415" s="279"/>
      <c r="CL1415" s="279"/>
      <c r="CM1415" s="279"/>
      <c r="CN1415" s="382"/>
    </row>
    <row r="1416" x14ac:dyDescent="0.3">
      <c r="B1416" s="361"/>
      <c r="C1416" s="279"/>
      <c r="D1416" s="280"/>
      <c r="E1416" s="287"/>
      <c r="F1416" s="287"/>
      <c r="G1416" s="287"/>
      <c r="H1416" s="280"/>
      <c r="I1416" s="279"/>
      <c r="J1416" s="305"/>
      <c r="K1416" s="287"/>
      <c r="L1416" s="287"/>
      <c r="M1416" s="287"/>
      <c r="N1416" s="296"/>
      <c r="O1416" s="280"/>
      <c r="P1416" s="280"/>
      <c r="Q1416" s="279"/>
      <c r="R1416" s="297"/>
      <c r="S1416" s="298"/>
      <c r="T1416" s="298"/>
      <c r="U1416" s="299"/>
      <c r="V1416" s="279"/>
      <c r="W1416" s="279"/>
      <c r="X1416" s="279"/>
      <c r="Y1416" s="279"/>
      <c r="Z1416" s="279"/>
      <c r="AA1416" s="279"/>
      <c r="AB1416" s="279"/>
      <c r="AC1416" s="279"/>
      <c r="AD1416" s="279"/>
      <c r="AE1416" s="279"/>
      <c r="AF1416" s="279"/>
      <c r="AG1416" s="279"/>
      <c r="AH1416" s="279"/>
      <c r="AI1416" s="279"/>
      <c r="AJ1416" s="279"/>
      <c r="AK1416" s="279"/>
      <c r="AL1416" s="279"/>
      <c r="AM1416" s="279"/>
      <c r="AN1416" s="279"/>
      <c r="AO1416" s="279"/>
      <c r="AP1416" s="279"/>
      <c r="AQ1416" s="279"/>
      <c r="AR1416" s="279"/>
      <c r="AS1416" s="279"/>
      <c r="AT1416" s="279"/>
      <c r="AU1416" s="279"/>
      <c r="AV1416" s="279"/>
      <c r="AW1416" s="279"/>
      <c r="AX1416" s="279"/>
      <c r="AY1416" s="279"/>
      <c r="AZ1416" s="279"/>
      <c r="BA1416" s="279"/>
      <c r="BB1416" s="279"/>
      <c r="BC1416" s="279"/>
      <c r="BD1416" s="279"/>
      <c r="BE1416" s="279"/>
      <c r="BF1416" s="279"/>
      <c r="BG1416" s="279"/>
      <c r="BH1416" s="279"/>
      <c r="BI1416" s="279"/>
      <c r="BJ1416" s="279"/>
      <c r="BK1416" s="279"/>
      <c r="BL1416" s="279"/>
      <c r="BM1416" s="279"/>
      <c r="BN1416" s="279"/>
      <c r="BO1416" s="279"/>
      <c r="BP1416" s="279"/>
      <c r="BQ1416" s="279"/>
      <c r="BR1416" s="279"/>
      <c r="BS1416" s="279"/>
      <c r="BT1416" s="279"/>
      <c r="BU1416" s="279"/>
      <c r="BV1416" s="279"/>
      <c r="BW1416" s="279"/>
      <c r="BX1416" s="279"/>
      <c r="BY1416" s="279"/>
      <c r="BZ1416" s="279"/>
      <c r="CA1416" s="279"/>
      <c r="CB1416" s="279"/>
      <c r="CC1416" s="279"/>
      <c r="CD1416" s="279"/>
      <c r="CE1416" s="279"/>
      <c r="CF1416" s="279"/>
      <c r="CG1416" s="279"/>
      <c r="CH1416" s="279"/>
      <c r="CI1416" s="279"/>
      <c r="CJ1416" s="279"/>
      <c r="CK1416" s="279"/>
      <c r="CL1416" s="279"/>
      <c r="CM1416" s="279"/>
      <c r="CN1416" s="382"/>
    </row>
    <row r="1417" x14ac:dyDescent="0.3">
      <c r="B1417" s="361"/>
      <c r="C1417" s="279"/>
      <c r="D1417" s="280"/>
      <c r="E1417" s="287"/>
      <c r="F1417" s="287"/>
      <c r="G1417" s="287"/>
      <c r="H1417" s="280"/>
      <c r="I1417" s="279"/>
      <c r="J1417" s="279"/>
      <c r="K1417" s="279"/>
      <c r="L1417" s="280"/>
      <c r="M1417" s="287"/>
      <c r="N1417" s="296"/>
      <c r="O1417" s="280"/>
      <c r="P1417" s="280"/>
      <c r="Q1417" s="279"/>
      <c r="R1417" s="297"/>
      <c r="S1417" s="298"/>
      <c r="T1417" s="298"/>
      <c r="U1417" s="299"/>
      <c r="V1417" s="279"/>
      <c r="W1417" s="279"/>
      <c r="X1417" s="279"/>
      <c r="Y1417" s="279"/>
      <c r="Z1417" s="279"/>
      <c r="AA1417" s="279"/>
      <c r="AB1417" s="279"/>
      <c r="AC1417" s="279"/>
      <c r="AD1417" s="279"/>
      <c r="AE1417" s="279"/>
      <c r="AF1417" s="279"/>
      <c r="AG1417" s="279"/>
      <c r="AH1417" s="279"/>
      <c r="AI1417" s="279"/>
      <c r="AJ1417" s="279"/>
      <c r="AK1417" s="279"/>
      <c r="AL1417" s="279"/>
      <c r="AM1417" s="279"/>
      <c r="AN1417" s="279"/>
      <c r="AO1417" s="279"/>
      <c r="AP1417" s="279"/>
      <c r="AQ1417" s="279"/>
      <c r="AR1417" s="279"/>
      <c r="AS1417" s="279"/>
      <c r="AT1417" s="279"/>
      <c r="AU1417" s="279"/>
      <c r="AV1417" s="279"/>
      <c r="AW1417" s="279"/>
      <c r="AX1417" s="279"/>
      <c r="AY1417" s="279"/>
      <c r="AZ1417" s="279"/>
      <c r="BA1417" s="279"/>
      <c r="BB1417" s="279"/>
      <c r="BC1417" s="279"/>
      <c r="BD1417" s="279"/>
      <c r="BE1417" s="279"/>
      <c r="BF1417" s="279"/>
      <c r="BG1417" s="279"/>
      <c r="BH1417" s="279"/>
      <c r="BI1417" s="279"/>
      <c r="BJ1417" s="279"/>
      <c r="BK1417" s="279"/>
      <c r="BL1417" s="279"/>
      <c r="BM1417" s="279"/>
      <c r="BN1417" s="279"/>
      <c r="BO1417" s="279"/>
      <c r="BP1417" s="279"/>
      <c r="BQ1417" s="279"/>
      <c r="BR1417" s="279"/>
      <c r="BS1417" s="279"/>
      <c r="BT1417" s="279"/>
      <c r="BU1417" s="279"/>
      <c r="BV1417" s="279"/>
      <c r="BW1417" s="279"/>
      <c r="BX1417" s="279"/>
      <c r="BY1417" s="279"/>
      <c r="BZ1417" s="279"/>
      <c r="CA1417" s="279"/>
      <c r="CB1417" s="279"/>
      <c r="CC1417" s="279"/>
      <c r="CD1417" s="279"/>
      <c r="CE1417" s="279"/>
      <c r="CF1417" s="279"/>
      <c r="CG1417" s="279"/>
      <c r="CH1417" s="279"/>
      <c r="CI1417" s="279"/>
      <c r="CJ1417" s="279"/>
      <c r="CK1417" s="279"/>
      <c r="CL1417" s="279"/>
      <c r="CM1417" s="279"/>
      <c r="CN1417" s="382"/>
    </row>
    <row r="1418" x14ac:dyDescent="0.3">
      <c r="B1418" s="361"/>
      <c r="C1418" s="279"/>
      <c r="D1418" s="280"/>
      <c r="E1418" s="287"/>
      <c r="F1418" s="287"/>
      <c r="G1418" s="287"/>
      <c r="H1418" s="280"/>
      <c r="I1418" s="279"/>
      <c r="J1418" s="279"/>
      <c r="K1418" s="279"/>
      <c r="L1418" s="280"/>
      <c r="M1418" s="296"/>
      <c r="N1418" s="280"/>
      <c r="O1418" s="280"/>
      <c r="P1418" s="279"/>
      <c r="Q1418" s="297"/>
      <c r="R1418" s="298"/>
      <c r="S1418" s="298"/>
      <c r="T1418" s="299"/>
      <c r="U1418" s="279"/>
      <c r="V1418" s="279"/>
      <c r="W1418" s="279"/>
      <c r="X1418" s="279"/>
      <c r="Y1418" s="279"/>
      <c r="Z1418" s="279"/>
      <c r="AA1418" s="279"/>
      <c r="AB1418" s="279"/>
      <c r="AC1418" s="279"/>
      <c r="AD1418" s="279"/>
      <c r="AE1418" s="279"/>
      <c r="AF1418" s="279"/>
      <c r="AG1418" s="279"/>
      <c r="AH1418" s="279"/>
      <c r="AI1418" s="279"/>
      <c r="AJ1418" s="279"/>
      <c r="AK1418" s="279"/>
      <c r="AL1418" s="279"/>
      <c r="AM1418" s="279"/>
      <c r="AN1418" s="279"/>
      <c r="AO1418" s="279"/>
      <c r="AP1418" s="279"/>
      <c r="AQ1418" s="279"/>
      <c r="AR1418" s="279"/>
      <c r="AS1418" s="279"/>
      <c r="AT1418" s="279"/>
      <c r="AU1418" s="279"/>
      <c r="AV1418" s="279"/>
      <c r="AW1418" s="279"/>
      <c r="AX1418" s="279"/>
      <c r="AY1418" s="279"/>
      <c r="AZ1418" s="279"/>
      <c r="BA1418" s="279"/>
      <c r="BB1418" s="279"/>
      <c r="BC1418" s="279"/>
      <c r="BD1418" s="279"/>
      <c r="BE1418" s="279"/>
      <c r="BF1418" s="279"/>
      <c r="BG1418" s="279"/>
      <c r="BH1418" s="279"/>
      <c r="BI1418" s="279"/>
      <c r="BJ1418" s="279"/>
      <c r="BK1418" s="279"/>
      <c r="BL1418" s="279"/>
      <c r="BM1418" s="279"/>
      <c r="BN1418" s="279"/>
      <c r="BO1418" s="279"/>
      <c r="BP1418" s="279"/>
      <c r="BQ1418" s="279"/>
      <c r="BR1418" s="279"/>
      <c r="BS1418" s="279"/>
      <c r="BT1418" s="279"/>
      <c r="BU1418" s="279"/>
      <c r="BV1418" s="279"/>
      <c r="BW1418" s="279"/>
      <c r="BX1418" s="279"/>
      <c r="BY1418" s="279"/>
      <c r="BZ1418" s="279"/>
      <c r="CA1418" s="279"/>
      <c r="CB1418" s="279"/>
      <c r="CC1418" s="279"/>
      <c r="CD1418" s="279"/>
      <c r="CE1418" s="279"/>
      <c r="CF1418" s="279"/>
      <c r="CG1418" s="279"/>
      <c r="CH1418" s="279"/>
      <c r="CI1418" s="279"/>
      <c r="CJ1418" s="279"/>
      <c r="CK1418" s="279"/>
      <c r="CL1418" s="279"/>
      <c r="CM1418" s="279"/>
      <c r="CN1418" s="382"/>
    </row>
    <row r="1419" ht="16.2" thickBot="true" x14ac:dyDescent="0.35">
      <c r="B1419" s="361"/>
      <c r="C1419" s="279"/>
      <c r="D1419" s="280"/>
      <c r="E1419" s="287"/>
      <c r="F1419" s="287"/>
      <c r="G1419" s="287"/>
      <c r="H1419" s="280"/>
      <c r="I1419" s="279"/>
      <c r="J1419" s="279"/>
      <c r="K1419" s="279"/>
      <c r="L1419" s="280"/>
      <c r="M1419" s="296"/>
      <c r="N1419" s="280"/>
      <c r="O1419" s="280"/>
      <c r="P1419" s="279"/>
      <c r="Q1419" s="297"/>
      <c r="R1419" s="298"/>
      <c r="S1419" s="298"/>
      <c r="T1419" s="299"/>
      <c r="U1419" s="279"/>
      <c r="V1419" s="279"/>
      <c r="W1419" s="279"/>
      <c r="X1419" s="279"/>
      <c r="Y1419" s="279"/>
      <c r="Z1419" s="279"/>
      <c r="AA1419" s="279"/>
      <c r="AB1419" s="279"/>
      <c r="AC1419" s="279"/>
      <c r="AD1419" s="279"/>
      <c r="AE1419" s="279"/>
      <c r="AF1419" s="279"/>
      <c r="AG1419" s="279"/>
      <c r="AH1419" s="279"/>
      <c r="AI1419" s="279"/>
      <c r="AJ1419" s="279"/>
      <c r="AK1419" s="279"/>
      <c r="AL1419" s="279"/>
      <c r="AM1419" s="279"/>
      <c r="AN1419" s="279"/>
      <c r="AO1419" s="279"/>
      <c r="AP1419" s="279"/>
      <c r="AQ1419" s="279"/>
      <c r="AR1419" s="279"/>
      <c r="AS1419" s="279"/>
      <c r="AT1419" s="279"/>
      <c r="AU1419" s="279"/>
      <c r="AV1419" s="279"/>
      <c r="AW1419" s="279"/>
      <c r="AX1419" s="279"/>
      <c r="AY1419" s="279"/>
      <c r="AZ1419" s="279"/>
      <c r="BA1419" s="279"/>
      <c r="BB1419" s="279"/>
      <c r="BC1419" s="279"/>
      <c r="BD1419" s="279"/>
      <c r="BE1419" s="279"/>
      <c r="BF1419" s="279"/>
      <c r="BG1419" s="279"/>
      <c r="BH1419" s="279"/>
      <c r="BI1419" s="279"/>
      <c r="BJ1419" s="279"/>
      <c r="BK1419" s="279"/>
      <c r="BL1419" s="279"/>
      <c r="BM1419" s="279"/>
      <c r="BN1419" s="279"/>
      <c r="BO1419" s="279"/>
      <c r="BP1419" s="279"/>
      <c r="BQ1419" s="279"/>
      <c r="BR1419" s="279"/>
      <c r="BS1419" s="279"/>
      <c r="BT1419" s="279"/>
      <c r="BU1419" s="279"/>
      <c r="BV1419" s="279"/>
      <c r="BW1419" s="279"/>
      <c r="BX1419" s="279"/>
      <c r="BY1419" s="279"/>
      <c r="BZ1419" s="279"/>
      <c r="CA1419" s="279"/>
      <c r="CB1419" s="279"/>
      <c r="CC1419" s="279"/>
      <c r="CD1419" s="279"/>
      <c r="CE1419" s="279"/>
      <c r="CF1419" s="279"/>
      <c r="CG1419" s="279"/>
      <c r="CH1419" s="279"/>
      <c r="CI1419" s="279"/>
      <c r="CJ1419" s="279"/>
      <c r="CK1419" s="279"/>
      <c r="CL1419" s="279"/>
      <c r="CM1419" s="279"/>
      <c r="CN1419" s="382"/>
    </row>
    <row r="1420" ht="27" customHeight="true" x14ac:dyDescent="0.3">
      <c r="B1420" s="361"/>
      <c r="C1420" s="279"/>
      <c r="D1420" s="280"/>
      <c r="E1420" s="287"/>
      <c r="F1420" s="287"/>
      <c r="G1420" s="287"/>
      <c r="H1420" s="1956" t="s">
        <v>969</v>
      </c>
      <c r="I1420" s="1957"/>
      <c r="J1420" s="1957"/>
      <c r="K1420" s="1957"/>
      <c r="L1420" s="1958"/>
      <c r="M1420" s="296"/>
      <c r="N1420" s="280"/>
      <c r="O1420" s="280"/>
      <c r="P1420" s="279"/>
      <c r="Q1420" s="297"/>
      <c r="R1420" s="298"/>
      <c r="S1420" s="298"/>
      <c r="T1420" s="299"/>
      <c r="U1420" s="279"/>
      <c r="V1420" s="279"/>
      <c r="W1420" s="279"/>
      <c r="X1420" s="279"/>
      <c r="Y1420" s="279"/>
      <c r="Z1420" s="279"/>
      <c r="AA1420" s="279"/>
      <c r="AB1420" s="279"/>
      <c r="AC1420" s="279"/>
      <c r="AD1420" s="279"/>
      <c r="AE1420" s="279"/>
      <c r="AF1420" s="279"/>
      <c r="AG1420" s="279"/>
      <c r="AH1420" s="279"/>
      <c r="AI1420" s="279"/>
      <c r="AJ1420" s="279"/>
      <c r="AK1420" s="279"/>
      <c r="AL1420" s="279"/>
      <c r="AM1420" s="279"/>
      <c r="AN1420" s="279"/>
      <c r="AO1420" s="279"/>
      <c r="AP1420" s="279"/>
      <c r="AQ1420" s="279"/>
      <c r="AR1420" s="279"/>
      <c r="AS1420" s="279"/>
      <c r="AT1420" s="279"/>
      <c r="AU1420" s="279"/>
      <c r="AV1420" s="279"/>
      <c r="AW1420" s="279"/>
      <c r="AX1420" s="279"/>
      <c r="AY1420" s="279"/>
      <c r="AZ1420" s="279"/>
      <c r="BA1420" s="279"/>
      <c r="BB1420" s="279"/>
      <c r="BC1420" s="279"/>
      <c r="BD1420" s="279"/>
      <c r="BE1420" s="279"/>
      <c r="BF1420" s="279"/>
      <c r="BG1420" s="279"/>
      <c r="BH1420" s="279"/>
      <c r="BI1420" s="279"/>
      <c r="BJ1420" s="279"/>
      <c r="BK1420" s="279"/>
      <c r="BL1420" s="279"/>
      <c r="BM1420" s="279"/>
      <c r="BN1420" s="279"/>
      <c r="BO1420" s="279"/>
      <c r="BP1420" s="279"/>
      <c r="BQ1420" s="279"/>
      <c r="BR1420" s="279"/>
      <c r="BS1420" s="279"/>
      <c r="BT1420" s="279"/>
      <c r="BU1420" s="279"/>
      <c r="BV1420" s="279"/>
      <c r="BW1420" s="279"/>
      <c r="BX1420" s="279"/>
      <c r="BY1420" s="279"/>
      <c r="BZ1420" s="279"/>
      <c r="CA1420" s="279"/>
      <c r="CB1420" s="279"/>
      <c r="CC1420" s="279"/>
      <c r="CD1420" s="279"/>
      <c r="CE1420" s="279"/>
      <c r="CF1420" s="279"/>
      <c r="CG1420" s="279"/>
      <c r="CH1420" s="279"/>
      <c r="CI1420" s="279"/>
      <c r="CJ1420" s="279"/>
      <c r="CK1420" s="279"/>
      <c r="CL1420" s="279"/>
      <c r="CM1420" s="279"/>
      <c r="CN1420" s="382"/>
    </row>
    <row r="1421" ht="31.2" x14ac:dyDescent="0.3">
      <c r="B1421" s="361"/>
      <c r="C1421" s="279"/>
      <c r="D1421" s="280"/>
      <c r="E1421" s="287"/>
      <c r="F1421" s="287"/>
      <c r="G1421" s="287"/>
      <c r="H1421" s="310" t="s">
        <v>1469</v>
      </c>
      <c r="I1421" s="1190" t="s">
        <v>289</v>
      </c>
      <c r="J1421" s="1190" t="s">
        <v>970</v>
      </c>
      <c r="K1421" s="290" t="s">
        <v>971</v>
      </c>
      <c r="L1421" s="301" t="s">
        <v>972</v>
      </c>
      <c r="M1421" s="296"/>
      <c r="N1421" s="280"/>
      <c r="O1421" s="280"/>
      <c r="P1421" s="279"/>
      <c r="Q1421" s="297"/>
      <c r="R1421" s="298"/>
      <c r="S1421" s="298"/>
      <c r="T1421" s="299"/>
      <c r="U1421" s="279"/>
      <c r="V1421" s="279"/>
      <c r="W1421" s="279"/>
      <c r="X1421" s="279"/>
      <c r="Y1421" s="279"/>
      <c r="Z1421" s="279"/>
      <c r="AA1421" s="279"/>
      <c r="AB1421" s="279"/>
      <c r="AC1421" s="279"/>
      <c r="AD1421" s="279"/>
      <c r="AE1421" s="279"/>
      <c r="AF1421" s="279"/>
      <c r="AG1421" s="279"/>
      <c r="AH1421" s="279"/>
      <c r="AI1421" s="279"/>
      <c r="AJ1421" s="279"/>
      <c r="AK1421" s="279"/>
      <c r="AL1421" s="279"/>
      <c r="AM1421" s="279"/>
      <c r="AN1421" s="279"/>
      <c r="AO1421" s="279"/>
      <c r="AP1421" s="279"/>
      <c r="AQ1421" s="279"/>
      <c r="AR1421" s="279"/>
      <c r="AS1421" s="279"/>
      <c r="AT1421" s="279"/>
      <c r="AU1421" s="279"/>
      <c r="AV1421" s="279"/>
      <c r="AW1421" s="279"/>
      <c r="AX1421" s="279"/>
      <c r="AY1421" s="279"/>
      <c r="AZ1421" s="279"/>
      <c r="BA1421" s="279"/>
      <c r="BB1421" s="279"/>
      <c r="BC1421" s="279"/>
      <c r="BD1421" s="279"/>
      <c r="BE1421" s="279"/>
      <c r="BF1421" s="279"/>
      <c r="BG1421" s="279"/>
      <c r="BH1421" s="279"/>
      <c r="BI1421" s="279"/>
      <c r="BJ1421" s="279"/>
      <c r="BK1421" s="279"/>
      <c r="BL1421" s="279"/>
      <c r="BM1421" s="279"/>
      <c r="BN1421" s="279"/>
      <c r="BO1421" s="279"/>
      <c r="BP1421" s="279"/>
      <c r="BQ1421" s="279"/>
      <c r="BR1421" s="279"/>
      <c r="BS1421" s="279"/>
      <c r="BT1421" s="279"/>
      <c r="BU1421" s="279"/>
      <c r="BV1421" s="279"/>
      <c r="BW1421" s="279"/>
      <c r="BX1421" s="279"/>
      <c r="BY1421" s="279"/>
      <c r="BZ1421" s="279"/>
      <c r="CA1421" s="279"/>
      <c r="CB1421" s="279"/>
      <c r="CC1421" s="279"/>
      <c r="CD1421" s="279"/>
      <c r="CE1421" s="279"/>
      <c r="CF1421" s="279"/>
      <c r="CG1421" s="279"/>
      <c r="CH1421" s="279"/>
      <c r="CI1421" s="279"/>
      <c r="CJ1421" s="279"/>
      <c r="CK1421" s="279"/>
      <c r="CL1421" s="279"/>
      <c r="CM1421" s="279"/>
      <c r="CN1421" s="382"/>
    </row>
    <row r="1422" x14ac:dyDescent="0.3">
      <c r="B1422" s="361"/>
      <c r="C1422" s="279"/>
      <c r="D1422" s="280"/>
      <c r="E1422" s="287"/>
      <c r="F1422" s="287"/>
      <c r="G1422" s="287"/>
      <c r="H1422" s="1292">
        <f t="shared" ref="H1422:H1471" si="73">H142</f>
        <v>1</v>
      </c>
      <c r="I1422" s="1190">
        <f>'I. Stream &amp; Compound Data'!P262</f>
        <v>2980.7504537999998</v>
      </c>
      <c r="J1422" s="1295">
        <f>IF(I142="","",IF('I. Stream &amp; Compound Data'!CF262&lt;&gt;"",'I. Stream &amp; Compound Data'!CF262,'I. Stream &amp; Compound Data'!CG262))</f>
        <v>0</v>
      </c>
      <c r="K1422" s="1312">
        <f t="shared" ref="K1422:K1440" si="74">IF(I142="","",I1422*J1422)</f>
        <v>0</v>
      </c>
      <c r="L1422" s="301">
        <f>IF(K1422="","",IF('I. Stream &amp; Compound Data'!E32="H2O",0,(IF(J1422=0,1,J1422))*I1422))</f>
        <v>2980.7504537999998</v>
      </c>
      <c r="M1422" s="296"/>
      <c r="N1422" s="280"/>
      <c r="O1422" s="280"/>
      <c r="P1422" s="279"/>
      <c r="Q1422" s="297"/>
      <c r="R1422" s="298"/>
      <c r="S1422" s="298"/>
      <c r="T1422" s="299"/>
      <c r="U1422" s="279"/>
      <c r="V1422" s="279"/>
      <c r="W1422" s="279"/>
      <c r="X1422" s="279"/>
      <c r="Y1422" s="279"/>
      <c r="Z1422" s="279"/>
      <c r="AA1422" s="279"/>
      <c r="AB1422" s="279"/>
      <c r="AC1422" s="279"/>
      <c r="AD1422" s="279"/>
      <c r="AE1422" s="279"/>
      <c r="AF1422" s="279"/>
      <c r="AG1422" s="279"/>
      <c r="AH1422" s="279"/>
      <c r="AI1422" s="279"/>
      <c r="AJ1422" s="279"/>
      <c r="AK1422" s="279"/>
      <c r="AL1422" s="279"/>
      <c r="AM1422" s="279"/>
      <c r="AN1422" s="279"/>
      <c r="AO1422" s="279"/>
      <c r="AP1422" s="279"/>
      <c r="AQ1422" s="279"/>
      <c r="AR1422" s="279"/>
      <c r="AS1422" s="279"/>
      <c r="AT1422" s="279"/>
      <c r="AU1422" s="279"/>
      <c r="AV1422" s="279"/>
      <c r="AW1422" s="279"/>
      <c r="AX1422" s="279"/>
      <c r="AY1422" s="279"/>
      <c r="AZ1422" s="279"/>
      <c r="BA1422" s="279"/>
      <c r="BB1422" s="279"/>
      <c r="BC1422" s="279"/>
      <c r="BD1422" s="279"/>
      <c r="BE1422" s="279"/>
      <c r="BF1422" s="279"/>
      <c r="BG1422" s="279"/>
      <c r="BH1422" s="279"/>
      <c r="BI1422" s="279"/>
      <c r="BJ1422" s="279"/>
      <c r="BK1422" s="279"/>
      <c r="BL1422" s="279"/>
      <c r="BM1422" s="279"/>
      <c r="BN1422" s="279"/>
      <c r="BO1422" s="279"/>
      <c r="BP1422" s="279"/>
      <c r="BQ1422" s="279"/>
      <c r="BR1422" s="279"/>
      <c r="BS1422" s="279"/>
      <c r="BT1422" s="279"/>
      <c r="BU1422" s="279"/>
      <c r="BV1422" s="279"/>
      <c r="BW1422" s="279"/>
      <c r="BX1422" s="279"/>
      <c r="BY1422" s="279"/>
      <c r="BZ1422" s="279"/>
      <c r="CA1422" s="279"/>
      <c r="CB1422" s="279"/>
      <c r="CC1422" s="279"/>
      <c r="CD1422" s="279"/>
      <c r="CE1422" s="279"/>
      <c r="CF1422" s="279"/>
      <c r="CG1422" s="279"/>
      <c r="CH1422" s="279"/>
      <c r="CI1422" s="279"/>
      <c r="CJ1422" s="279"/>
      <c r="CK1422" s="279"/>
      <c r="CL1422" s="279"/>
      <c r="CM1422" s="279"/>
      <c r="CN1422" s="382"/>
    </row>
    <row r="1423" x14ac:dyDescent="0.3">
      <c r="B1423" s="361"/>
      <c r="C1423" s="279"/>
      <c r="D1423" s="280"/>
      <c r="E1423" s="287"/>
      <c r="F1423" s="287"/>
      <c r="G1423" s="287"/>
      <c r="H1423" s="1292">
        <f t="shared" si="73"/>
        <v>2</v>
      </c>
      <c r="I1423" s="1190">
        <f>'I. Stream &amp; Compound Data'!P263</f>
        <v>0</v>
      </c>
      <c r="J1423" s="1295">
        <f>IF(I143="","",IF('I. Stream &amp; Compound Data'!CF263&lt;&gt;"",'I. Stream &amp; Compound Data'!CF263,'I. Stream &amp; Compound Data'!CG263))</f>
        <v>0</v>
      </c>
      <c r="K1423" s="1312">
        <f t="shared" si="74"/>
        <v>0</v>
      </c>
      <c r="L1423" s="301">
        <f>IF(K1423="","",IF('I. Stream &amp; Compound Data'!E33="H2O",0,(IF(J1423=0,1,J1423))*I1423))</f>
        <v>0</v>
      </c>
      <c r="M1423" s="296"/>
      <c r="N1423" s="280"/>
      <c r="O1423" s="280"/>
      <c r="P1423" s="279"/>
      <c r="Q1423" s="297"/>
      <c r="R1423" s="298"/>
      <c r="S1423" s="298"/>
      <c r="T1423" s="299"/>
      <c r="U1423" s="279"/>
      <c r="V1423" s="279"/>
      <c r="W1423" s="279"/>
      <c r="X1423" s="279"/>
      <c r="Y1423" s="279"/>
      <c r="Z1423" s="279"/>
      <c r="AA1423" s="279"/>
      <c r="AB1423" s="279"/>
      <c r="AC1423" s="279"/>
      <c r="AD1423" s="279"/>
      <c r="AE1423" s="279"/>
      <c r="AF1423" s="279"/>
      <c r="AG1423" s="279"/>
      <c r="AH1423" s="279"/>
      <c r="AI1423" s="279"/>
      <c r="AJ1423" s="279"/>
      <c r="AK1423" s="279"/>
      <c r="AL1423" s="279"/>
      <c r="AM1423" s="279"/>
      <c r="AN1423" s="279"/>
      <c r="AO1423" s="279"/>
      <c r="AP1423" s="279"/>
      <c r="AQ1423" s="279"/>
      <c r="AR1423" s="279"/>
      <c r="AS1423" s="279"/>
      <c r="AT1423" s="279"/>
      <c r="AU1423" s="279"/>
      <c r="AV1423" s="279"/>
      <c r="AW1423" s="279"/>
      <c r="AX1423" s="279"/>
      <c r="AY1423" s="279"/>
      <c r="AZ1423" s="279"/>
      <c r="BA1423" s="279"/>
      <c r="BB1423" s="279"/>
      <c r="BC1423" s="279"/>
      <c r="BD1423" s="279"/>
      <c r="BE1423" s="279"/>
      <c r="BF1423" s="279"/>
      <c r="BG1423" s="279"/>
      <c r="BH1423" s="279"/>
      <c r="BI1423" s="279"/>
      <c r="BJ1423" s="279"/>
      <c r="BK1423" s="279"/>
      <c r="BL1423" s="279"/>
      <c r="BM1423" s="279"/>
      <c r="BN1423" s="279"/>
      <c r="BO1423" s="279"/>
      <c r="BP1423" s="279"/>
      <c r="BQ1423" s="279"/>
      <c r="BR1423" s="279"/>
      <c r="BS1423" s="279"/>
      <c r="BT1423" s="279"/>
      <c r="BU1423" s="279"/>
      <c r="BV1423" s="279"/>
      <c r="BW1423" s="279"/>
      <c r="BX1423" s="279"/>
      <c r="BY1423" s="279"/>
      <c r="BZ1423" s="279"/>
      <c r="CA1423" s="279"/>
      <c r="CB1423" s="279"/>
      <c r="CC1423" s="279"/>
      <c r="CD1423" s="279"/>
      <c r="CE1423" s="279"/>
      <c r="CF1423" s="279"/>
      <c r="CG1423" s="279"/>
      <c r="CH1423" s="279"/>
      <c r="CI1423" s="279"/>
      <c r="CJ1423" s="279"/>
      <c r="CK1423" s="279"/>
      <c r="CL1423" s="279"/>
      <c r="CM1423" s="279"/>
      <c r="CN1423" s="382"/>
    </row>
    <row r="1424" x14ac:dyDescent="0.3">
      <c r="B1424" s="361"/>
      <c r="C1424" s="279"/>
      <c r="D1424" s="280"/>
      <c r="E1424" s="287"/>
      <c r="F1424" s="287"/>
      <c r="G1424" s="287"/>
      <c r="H1424" s="1292">
        <f t="shared" si="73"/>
        <v>3</v>
      </c>
      <c r="I1424" s="1190">
        <f>'I. Stream &amp; Compound Data'!P264</f>
        <v>0</v>
      </c>
      <c r="J1424" s="1295">
        <f>IF(I144="","",IF('I. Stream &amp; Compound Data'!CF264&lt;&gt;"",'I. Stream &amp; Compound Data'!CF264,'I. Stream &amp; Compound Data'!CG264))</f>
        <v>0</v>
      </c>
      <c r="K1424" s="1312">
        <f t="shared" si="74"/>
        <v>0</v>
      </c>
      <c r="L1424" s="301">
        <f>IF(K1424="","",IF('I. Stream &amp; Compound Data'!E34="H2O",0,(IF(J1424=0,1,J1424))*I1424))</f>
        <v>0</v>
      </c>
      <c r="M1424" s="296"/>
      <c r="N1424" s="280"/>
      <c r="O1424" s="280"/>
      <c r="P1424" s="279"/>
      <c r="Q1424" s="297"/>
      <c r="R1424" s="298"/>
      <c r="S1424" s="298"/>
      <c r="T1424" s="299"/>
      <c r="U1424" s="279"/>
      <c r="V1424" s="279"/>
      <c r="W1424" s="279"/>
      <c r="X1424" s="279"/>
      <c r="Y1424" s="279"/>
      <c r="Z1424" s="279"/>
      <c r="AA1424" s="279"/>
      <c r="AB1424" s="279"/>
      <c r="AC1424" s="279"/>
      <c r="AD1424" s="279"/>
      <c r="AE1424" s="279"/>
      <c r="AF1424" s="279"/>
      <c r="AG1424" s="279"/>
      <c r="AH1424" s="279"/>
      <c r="AI1424" s="279"/>
      <c r="AJ1424" s="279"/>
      <c r="AK1424" s="279"/>
      <c r="AL1424" s="279"/>
      <c r="AM1424" s="279"/>
      <c r="AN1424" s="279"/>
      <c r="AO1424" s="279"/>
      <c r="AP1424" s="279"/>
      <c r="AQ1424" s="279"/>
      <c r="AR1424" s="279"/>
      <c r="AS1424" s="279"/>
      <c r="AT1424" s="279"/>
      <c r="AU1424" s="279"/>
      <c r="AV1424" s="279"/>
      <c r="AW1424" s="279"/>
      <c r="AX1424" s="279"/>
      <c r="AY1424" s="279"/>
      <c r="AZ1424" s="279"/>
      <c r="BA1424" s="279"/>
      <c r="BB1424" s="279"/>
      <c r="BC1424" s="279"/>
      <c r="BD1424" s="279"/>
      <c r="BE1424" s="279"/>
      <c r="BF1424" s="279"/>
      <c r="BG1424" s="279"/>
      <c r="BH1424" s="279"/>
      <c r="BI1424" s="279"/>
      <c r="BJ1424" s="279"/>
      <c r="BK1424" s="279"/>
      <c r="BL1424" s="279"/>
      <c r="BM1424" s="279"/>
      <c r="BN1424" s="279"/>
      <c r="BO1424" s="279"/>
      <c r="BP1424" s="279"/>
      <c r="BQ1424" s="279"/>
      <c r="BR1424" s="279"/>
      <c r="BS1424" s="279"/>
      <c r="BT1424" s="279"/>
      <c r="BU1424" s="279"/>
      <c r="BV1424" s="279"/>
      <c r="BW1424" s="279"/>
      <c r="BX1424" s="279"/>
      <c r="BY1424" s="279"/>
      <c r="BZ1424" s="279"/>
      <c r="CA1424" s="279"/>
      <c r="CB1424" s="279"/>
      <c r="CC1424" s="279"/>
      <c r="CD1424" s="279"/>
      <c r="CE1424" s="279"/>
      <c r="CF1424" s="279"/>
      <c r="CG1424" s="279"/>
      <c r="CH1424" s="279"/>
      <c r="CI1424" s="279"/>
      <c r="CJ1424" s="279"/>
      <c r="CK1424" s="279"/>
      <c r="CL1424" s="279"/>
      <c r="CM1424" s="279"/>
      <c r="CN1424" s="382"/>
    </row>
    <row r="1425" x14ac:dyDescent="0.3">
      <c r="B1425" s="361"/>
      <c r="C1425" s="279"/>
      <c r="D1425" s="280"/>
      <c r="E1425" s="287"/>
      <c r="F1425" s="287"/>
      <c r="G1425" s="287"/>
      <c r="H1425" s="1292">
        <f t="shared" si="73"/>
        <v>4</v>
      </c>
      <c r="I1425" s="1190">
        <f>'I. Stream &amp; Compound Data'!P265</f>
        <v>0</v>
      </c>
      <c r="J1425" s="1295">
        <f>IF(I145="","",IF('I. Stream &amp; Compound Data'!CF265&lt;&gt;"",'I. Stream &amp; Compound Data'!CF265,'I. Stream &amp; Compound Data'!CG265))</f>
        <v>0</v>
      </c>
      <c r="K1425" s="1312">
        <f t="shared" si="74"/>
        <v>0</v>
      </c>
      <c r="L1425" s="301">
        <f>IF(K1425="","",IF('I. Stream &amp; Compound Data'!E35="H2O",0,(IF(J1425=0,1,J1425))*I1425))</f>
        <v>0</v>
      </c>
      <c r="M1425" s="296"/>
      <c r="N1425" s="280"/>
      <c r="O1425" s="280"/>
      <c r="P1425" s="279"/>
      <c r="Q1425" s="297"/>
      <c r="R1425" s="298"/>
      <c r="S1425" s="298"/>
      <c r="T1425" s="299"/>
      <c r="U1425" s="279"/>
      <c r="V1425" s="279"/>
      <c r="W1425" s="279"/>
      <c r="X1425" s="279"/>
      <c r="Y1425" s="279"/>
      <c r="Z1425" s="279"/>
      <c r="AA1425" s="279"/>
      <c r="AB1425" s="279"/>
      <c r="AC1425" s="279"/>
      <c r="AD1425" s="279"/>
      <c r="AE1425" s="279"/>
      <c r="AF1425" s="279"/>
      <c r="AG1425" s="279"/>
      <c r="AH1425" s="279"/>
      <c r="AI1425" s="279"/>
      <c r="AJ1425" s="279"/>
      <c r="AK1425" s="279"/>
      <c r="AL1425" s="279"/>
      <c r="AM1425" s="279"/>
      <c r="AN1425" s="279"/>
      <c r="AO1425" s="279"/>
      <c r="AP1425" s="279"/>
      <c r="AQ1425" s="279"/>
      <c r="AR1425" s="279"/>
      <c r="AS1425" s="279"/>
      <c r="AT1425" s="279"/>
      <c r="AU1425" s="279"/>
      <c r="AV1425" s="279"/>
      <c r="AW1425" s="279"/>
      <c r="AX1425" s="279"/>
      <c r="AY1425" s="279"/>
      <c r="AZ1425" s="279"/>
      <c r="BA1425" s="279"/>
      <c r="BB1425" s="279"/>
      <c r="BC1425" s="279"/>
      <c r="BD1425" s="279"/>
      <c r="BE1425" s="279"/>
      <c r="BF1425" s="279"/>
      <c r="BG1425" s="279"/>
      <c r="BH1425" s="279"/>
      <c r="BI1425" s="279"/>
      <c r="BJ1425" s="279"/>
      <c r="BK1425" s="279"/>
      <c r="BL1425" s="279"/>
      <c r="BM1425" s="279"/>
      <c r="BN1425" s="279"/>
      <c r="BO1425" s="279"/>
      <c r="BP1425" s="279"/>
      <c r="BQ1425" s="279"/>
      <c r="BR1425" s="279"/>
      <c r="BS1425" s="279"/>
      <c r="BT1425" s="279"/>
      <c r="BU1425" s="279"/>
      <c r="BV1425" s="279"/>
      <c r="BW1425" s="279"/>
      <c r="BX1425" s="279"/>
      <c r="BY1425" s="279"/>
      <c r="BZ1425" s="279"/>
      <c r="CA1425" s="279"/>
      <c r="CB1425" s="279"/>
      <c r="CC1425" s="279"/>
      <c r="CD1425" s="279"/>
      <c r="CE1425" s="279"/>
      <c r="CF1425" s="279"/>
      <c r="CG1425" s="279"/>
      <c r="CH1425" s="279"/>
      <c r="CI1425" s="279"/>
      <c r="CJ1425" s="279"/>
      <c r="CK1425" s="279"/>
      <c r="CL1425" s="279"/>
      <c r="CM1425" s="279"/>
      <c r="CN1425" s="382"/>
    </row>
    <row r="1426" x14ac:dyDescent="0.3">
      <c r="B1426" s="361"/>
      <c r="C1426" s="279"/>
      <c r="D1426" s="280"/>
      <c r="E1426" s="287"/>
      <c r="F1426" s="287"/>
      <c r="G1426" s="287"/>
      <c r="H1426" s="1292">
        <f t="shared" si="73"/>
        <v>5</v>
      </c>
      <c r="I1426" s="1190" t="str">
        <f>'I. Stream &amp; Compound Data'!P266</f>
        <v/>
      </c>
      <c r="J1426" s="1295" t="str">
        <f>IF(I146="","",IF('I. Stream &amp; Compound Data'!CF266&lt;&gt;"",'I. Stream &amp; Compound Data'!CF266,'I. Stream &amp; Compound Data'!CG266))</f>
        <v/>
      </c>
      <c r="K1426" s="1312" t="str">
        <f t="shared" si="74"/>
        <v/>
      </c>
      <c r="L1426" s="301" t="str">
        <f>IF(K1426="","",IF('I. Stream &amp; Compound Data'!E36="H2O",0,(IF(J1426=0,1,J1426))*I1426))</f>
        <v/>
      </c>
      <c r="M1426" s="296"/>
      <c r="N1426" s="280"/>
      <c r="O1426" s="280"/>
      <c r="P1426" s="279"/>
      <c r="Q1426" s="297"/>
      <c r="R1426" s="298"/>
      <c r="S1426" s="298"/>
      <c r="T1426" s="299"/>
      <c r="U1426" s="279"/>
      <c r="V1426" s="279"/>
      <c r="W1426" s="279"/>
      <c r="X1426" s="279"/>
      <c r="Y1426" s="279"/>
      <c r="Z1426" s="279"/>
      <c r="AA1426" s="279"/>
      <c r="AB1426" s="279"/>
      <c r="AC1426" s="279"/>
      <c r="AD1426" s="279"/>
      <c r="AE1426" s="279"/>
      <c r="AF1426" s="279"/>
      <c r="AG1426" s="279"/>
      <c r="AH1426" s="279"/>
      <c r="AI1426" s="279"/>
      <c r="AJ1426" s="279"/>
      <c r="AK1426" s="279"/>
      <c r="AL1426" s="279"/>
      <c r="AM1426" s="279"/>
      <c r="AN1426" s="279"/>
      <c r="AO1426" s="279"/>
      <c r="AP1426" s="279"/>
      <c r="AQ1426" s="279"/>
      <c r="AR1426" s="279"/>
      <c r="AS1426" s="279"/>
      <c r="AT1426" s="279"/>
      <c r="AU1426" s="279"/>
      <c r="AV1426" s="279"/>
      <c r="AW1426" s="279"/>
      <c r="AX1426" s="279"/>
      <c r="AY1426" s="279"/>
      <c r="AZ1426" s="279"/>
      <c r="BA1426" s="279"/>
      <c r="BB1426" s="279"/>
      <c r="BC1426" s="279"/>
      <c r="BD1426" s="279"/>
      <c r="BE1426" s="279"/>
      <c r="BF1426" s="279"/>
      <c r="BG1426" s="279"/>
      <c r="BH1426" s="279"/>
      <c r="BI1426" s="279"/>
      <c r="BJ1426" s="279"/>
      <c r="BK1426" s="279"/>
      <c r="BL1426" s="279"/>
      <c r="BM1426" s="279"/>
      <c r="BN1426" s="279"/>
      <c r="BO1426" s="279"/>
      <c r="BP1426" s="279"/>
      <c r="BQ1426" s="279"/>
      <c r="BR1426" s="279"/>
      <c r="BS1426" s="279"/>
      <c r="BT1426" s="279"/>
      <c r="BU1426" s="279"/>
      <c r="BV1426" s="279"/>
      <c r="BW1426" s="279"/>
      <c r="BX1426" s="279"/>
      <c r="BY1426" s="279"/>
      <c r="BZ1426" s="279"/>
      <c r="CA1426" s="279"/>
      <c r="CB1426" s="279"/>
      <c r="CC1426" s="279"/>
      <c r="CD1426" s="279"/>
      <c r="CE1426" s="279"/>
      <c r="CF1426" s="279"/>
      <c r="CG1426" s="279"/>
      <c r="CH1426" s="279"/>
      <c r="CI1426" s="279"/>
      <c r="CJ1426" s="279"/>
      <c r="CK1426" s="279"/>
      <c r="CL1426" s="279"/>
      <c r="CM1426" s="279"/>
      <c r="CN1426" s="382"/>
    </row>
    <row r="1427" x14ac:dyDescent="0.3">
      <c r="B1427" s="361"/>
      <c r="C1427" s="279"/>
      <c r="D1427" s="280"/>
      <c r="E1427" s="287"/>
      <c r="F1427" s="287"/>
      <c r="G1427" s="287"/>
      <c r="H1427" s="1292">
        <f t="shared" si="73"/>
        <v>6</v>
      </c>
      <c r="I1427" s="1190" t="str">
        <f>'I. Stream &amp; Compound Data'!P267</f>
        <v/>
      </c>
      <c r="J1427" s="1295" t="str">
        <f>IF(I147="","",IF('I. Stream &amp; Compound Data'!CF267&lt;&gt;"",'I. Stream &amp; Compound Data'!CF267,'I. Stream &amp; Compound Data'!CG267))</f>
        <v/>
      </c>
      <c r="K1427" s="1312" t="str">
        <f t="shared" si="74"/>
        <v/>
      </c>
      <c r="L1427" s="301" t="str">
        <f>IF(K1427="","",IF('I. Stream &amp; Compound Data'!E37="H2O",0,(IF(J1427=0,1,J1427))*I1427))</f>
        <v/>
      </c>
      <c r="M1427" s="296"/>
      <c r="N1427" s="280"/>
      <c r="O1427" s="280"/>
      <c r="P1427" s="279"/>
      <c r="Q1427" s="297"/>
      <c r="R1427" s="298"/>
      <c r="S1427" s="298"/>
      <c r="T1427" s="299"/>
      <c r="U1427" s="279"/>
      <c r="V1427" s="279"/>
      <c r="W1427" s="279"/>
      <c r="X1427" s="279"/>
      <c r="Y1427" s="279"/>
      <c r="Z1427" s="279"/>
      <c r="AA1427" s="279"/>
      <c r="AB1427" s="279"/>
      <c r="AC1427" s="279"/>
      <c r="AD1427" s="279"/>
      <c r="AE1427" s="279"/>
      <c r="AF1427" s="279"/>
      <c r="AG1427" s="279"/>
      <c r="AH1427" s="279"/>
      <c r="AI1427" s="279"/>
      <c r="AJ1427" s="279"/>
      <c r="AK1427" s="279"/>
      <c r="AL1427" s="279"/>
      <c r="AM1427" s="279"/>
      <c r="AN1427" s="279"/>
      <c r="AO1427" s="279"/>
      <c r="AP1427" s="279"/>
      <c r="AQ1427" s="279"/>
      <c r="AR1427" s="279"/>
      <c r="AS1427" s="279"/>
      <c r="AT1427" s="279"/>
      <c r="AU1427" s="279"/>
      <c r="AV1427" s="279"/>
      <c r="AW1427" s="279"/>
      <c r="AX1427" s="279"/>
      <c r="AY1427" s="279"/>
      <c r="AZ1427" s="279"/>
      <c r="BA1427" s="279"/>
      <c r="BB1427" s="279"/>
      <c r="BC1427" s="279"/>
      <c r="BD1427" s="279"/>
      <c r="BE1427" s="279"/>
      <c r="BF1427" s="279"/>
      <c r="BG1427" s="279"/>
      <c r="BH1427" s="279"/>
      <c r="BI1427" s="279"/>
      <c r="BJ1427" s="279"/>
      <c r="BK1427" s="279"/>
      <c r="BL1427" s="279"/>
      <c r="BM1427" s="279"/>
      <c r="BN1427" s="279"/>
      <c r="BO1427" s="279"/>
      <c r="BP1427" s="279"/>
      <c r="BQ1427" s="279"/>
      <c r="BR1427" s="279"/>
      <c r="BS1427" s="279"/>
      <c r="BT1427" s="279"/>
      <c r="BU1427" s="279"/>
      <c r="BV1427" s="279"/>
      <c r="BW1427" s="279"/>
      <c r="BX1427" s="279"/>
      <c r="BY1427" s="279"/>
      <c r="BZ1427" s="279"/>
      <c r="CA1427" s="279"/>
      <c r="CB1427" s="279"/>
      <c r="CC1427" s="279"/>
      <c r="CD1427" s="279"/>
      <c r="CE1427" s="279"/>
      <c r="CF1427" s="279"/>
      <c r="CG1427" s="279"/>
      <c r="CH1427" s="279"/>
      <c r="CI1427" s="279"/>
      <c r="CJ1427" s="279"/>
      <c r="CK1427" s="279"/>
      <c r="CL1427" s="279"/>
      <c r="CM1427" s="279"/>
      <c r="CN1427" s="382"/>
    </row>
    <row r="1428" x14ac:dyDescent="0.3">
      <c r="B1428" s="361"/>
      <c r="C1428" s="279"/>
      <c r="D1428" s="280"/>
      <c r="E1428" s="287"/>
      <c r="F1428" s="287"/>
      <c r="G1428" s="287"/>
      <c r="H1428" s="1292">
        <f t="shared" si="73"/>
        <v>7</v>
      </c>
      <c r="I1428" s="1190" t="str">
        <f>'I. Stream &amp; Compound Data'!P268</f>
        <v/>
      </c>
      <c r="J1428" s="1295" t="str">
        <f>IF(I148="","",IF('I. Stream &amp; Compound Data'!CF268&lt;&gt;"",'I. Stream &amp; Compound Data'!CF268,'I. Stream &amp; Compound Data'!CG268))</f>
        <v/>
      </c>
      <c r="K1428" s="1312" t="str">
        <f t="shared" si="74"/>
        <v/>
      </c>
      <c r="L1428" s="301" t="str">
        <f>IF(K1428="","",IF('I. Stream &amp; Compound Data'!E38="H2O",0,(IF(J1428=0,1,J1428))*I1428))</f>
        <v/>
      </c>
      <c r="M1428" s="296"/>
      <c r="N1428" s="280"/>
      <c r="O1428" s="280"/>
      <c r="P1428" s="279"/>
      <c r="Q1428" s="297"/>
      <c r="R1428" s="298"/>
      <c r="S1428" s="298"/>
      <c r="T1428" s="299"/>
      <c r="U1428" s="279"/>
      <c r="V1428" s="279"/>
      <c r="W1428" s="279"/>
      <c r="X1428" s="279"/>
      <c r="Y1428" s="279"/>
      <c r="Z1428" s="279"/>
      <c r="AA1428" s="279"/>
      <c r="AB1428" s="279"/>
      <c r="AC1428" s="279"/>
      <c r="AD1428" s="279"/>
      <c r="AE1428" s="279"/>
      <c r="AF1428" s="279"/>
      <c r="AG1428" s="279"/>
      <c r="AH1428" s="279"/>
      <c r="AI1428" s="279"/>
      <c r="AJ1428" s="279"/>
      <c r="AK1428" s="279"/>
      <c r="AL1428" s="279"/>
      <c r="AM1428" s="279"/>
      <c r="AN1428" s="279"/>
      <c r="AO1428" s="279"/>
      <c r="AP1428" s="279"/>
      <c r="AQ1428" s="279"/>
      <c r="AR1428" s="279"/>
      <c r="AS1428" s="279"/>
      <c r="AT1428" s="279"/>
      <c r="AU1428" s="279"/>
      <c r="AV1428" s="279"/>
      <c r="AW1428" s="279"/>
      <c r="AX1428" s="279"/>
      <c r="AY1428" s="279"/>
      <c r="AZ1428" s="279"/>
      <c r="BA1428" s="279"/>
      <c r="BB1428" s="279"/>
      <c r="BC1428" s="279"/>
      <c r="BD1428" s="279"/>
      <c r="BE1428" s="279"/>
      <c r="BF1428" s="279"/>
      <c r="BG1428" s="279"/>
      <c r="BH1428" s="279"/>
      <c r="BI1428" s="279"/>
      <c r="BJ1428" s="279"/>
      <c r="BK1428" s="279"/>
      <c r="BL1428" s="279"/>
      <c r="BM1428" s="279"/>
      <c r="BN1428" s="279"/>
      <c r="BO1428" s="279"/>
      <c r="BP1428" s="279"/>
      <c r="BQ1428" s="279"/>
      <c r="BR1428" s="279"/>
      <c r="BS1428" s="279"/>
      <c r="BT1428" s="279"/>
      <c r="BU1428" s="279"/>
      <c r="BV1428" s="279"/>
      <c r="BW1428" s="279"/>
      <c r="BX1428" s="279"/>
      <c r="BY1428" s="279"/>
      <c r="BZ1428" s="279"/>
      <c r="CA1428" s="279"/>
      <c r="CB1428" s="279"/>
      <c r="CC1428" s="279"/>
      <c r="CD1428" s="279"/>
      <c r="CE1428" s="279"/>
      <c r="CF1428" s="279"/>
      <c r="CG1428" s="279"/>
      <c r="CH1428" s="279"/>
      <c r="CI1428" s="279"/>
      <c r="CJ1428" s="279"/>
      <c r="CK1428" s="279"/>
      <c r="CL1428" s="279"/>
      <c r="CM1428" s="279"/>
      <c r="CN1428" s="382"/>
    </row>
    <row r="1429" x14ac:dyDescent="0.3">
      <c r="B1429" s="361"/>
      <c r="C1429" s="279"/>
      <c r="D1429" s="280"/>
      <c r="E1429" s="287"/>
      <c r="F1429" s="287"/>
      <c r="G1429" s="287"/>
      <c r="H1429" s="1292">
        <f t="shared" si="73"/>
        <v>8</v>
      </c>
      <c r="I1429" s="1190" t="str">
        <f>'I. Stream &amp; Compound Data'!P269</f>
        <v/>
      </c>
      <c r="J1429" s="1295" t="str">
        <f>IF(I149="","",IF('I. Stream &amp; Compound Data'!CF269&lt;&gt;"",'I. Stream &amp; Compound Data'!CF269,'I. Stream &amp; Compound Data'!CG269))</f>
        <v/>
      </c>
      <c r="K1429" s="1312" t="str">
        <f t="shared" si="74"/>
        <v/>
      </c>
      <c r="L1429" s="301" t="str">
        <f>IF(K1429="","",IF('I. Stream &amp; Compound Data'!E39="H2O",0,(IF(J1429=0,1,J1429))*I1429))</f>
        <v/>
      </c>
      <c r="M1429" s="296"/>
      <c r="N1429" s="280"/>
      <c r="O1429" s="280"/>
      <c r="P1429" s="279"/>
      <c r="Q1429" s="297"/>
      <c r="R1429" s="298"/>
      <c r="S1429" s="298"/>
      <c r="T1429" s="299"/>
      <c r="U1429" s="279"/>
      <c r="V1429" s="279"/>
      <c r="W1429" s="279"/>
      <c r="X1429" s="279"/>
      <c r="Y1429" s="279"/>
      <c r="Z1429" s="279"/>
      <c r="AA1429" s="279"/>
      <c r="AB1429" s="279"/>
      <c r="AC1429" s="279"/>
      <c r="AD1429" s="279"/>
      <c r="AE1429" s="279"/>
      <c r="AF1429" s="279"/>
      <c r="AG1429" s="279"/>
      <c r="AH1429" s="279"/>
      <c r="AI1429" s="279"/>
      <c r="AJ1429" s="279"/>
      <c r="AK1429" s="279"/>
      <c r="AL1429" s="279"/>
      <c r="AM1429" s="279"/>
      <c r="AN1429" s="279"/>
      <c r="AO1429" s="279"/>
      <c r="AP1429" s="279"/>
      <c r="AQ1429" s="279"/>
      <c r="AR1429" s="279"/>
      <c r="AS1429" s="279"/>
      <c r="AT1429" s="279"/>
      <c r="AU1429" s="279"/>
      <c r="AV1429" s="279"/>
      <c r="AW1429" s="279"/>
      <c r="AX1429" s="279"/>
      <c r="AY1429" s="279"/>
      <c r="AZ1429" s="279"/>
      <c r="BA1429" s="279"/>
      <c r="BB1429" s="279"/>
      <c r="BC1429" s="279"/>
      <c r="BD1429" s="279"/>
      <c r="BE1429" s="279"/>
      <c r="BF1429" s="279"/>
      <c r="BG1429" s="279"/>
      <c r="BH1429" s="279"/>
      <c r="BI1429" s="279"/>
      <c r="BJ1429" s="279"/>
      <c r="BK1429" s="279"/>
      <c r="BL1429" s="279"/>
      <c r="BM1429" s="279"/>
      <c r="BN1429" s="279"/>
      <c r="BO1429" s="279"/>
      <c r="BP1429" s="279"/>
      <c r="BQ1429" s="279"/>
      <c r="BR1429" s="279"/>
      <c r="BS1429" s="279"/>
      <c r="BT1429" s="279"/>
      <c r="BU1429" s="279"/>
      <c r="BV1429" s="279"/>
      <c r="BW1429" s="279"/>
      <c r="BX1429" s="279"/>
      <c r="BY1429" s="279"/>
      <c r="BZ1429" s="279"/>
      <c r="CA1429" s="279"/>
      <c r="CB1429" s="279"/>
      <c r="CC1429" s="279"/>
      <c r="CD1429" s="279"/>
      <c r="CE1429" s="279"/>
      <c r="CF1429" s="279"/>
      <c r="CG1429" s="279"/>
      <c r="CH1429" s="279"/>
      <c r="CI1429" s="279"/>
      <c r="CJ1429" s="279"/>
      <c r="CK1429" s="279"/>
      <c r="CL1429" s="279"/>
      <c r="CM1429" s="279"/>
      <c r="CN1429" s="382"/>
    </row>
    <row r="1430" x14ac:dyDescent="0.3">
      <c r="B1430" s="361"/>
      <c r="C1430" s="279"/>
      <c r="D1430" s="280"/>
      <c r="E1430" s="287"/>
      <c r="F1430" s="287"/>
      <c r="G1430" s="287"/>
      <c r="H1430" s="1292">
        <f t="shared" si="73"/>
        <v>9</v>
      </c>
      <c r="I1430" s="1190" t="str">
        <f>'I. Stream &amp; Compound Data'!P270</f>
        <v/>
      </c>
      <c r="J1430" s="1295" t="str">
        <f>IF(I150="","",IF('I. Stream &amp; Compound Data'!CF270&lt;&gt;"",'I. Stream &amp; Compound Data'!CF270,'I. Stream &amp; Compound Data'!CG270))</f>
        <v/>
      </c>
      <c r="K1430" s="1312" t="str">
        <f t="shared" si="74"/>
        <v/>
      </c>
      <c r="L1430" s="301" t="str">
        <f>IF(K1430="","",IF('I. Stream &amp; Compound Data'!E40="H2O",0,(IF(J1430=0,1,J1430))*I1430))</f>
        <v/>
      </c>
      <c r="M1430" s="287"/>
      <c r="N1430" s="296"/>
      <c r="O1430" s="280"/>
      <c r="P1430" s="280"/>
      <c r="Q1430" s="279"/>
      <c r="R1430" s="297"/>
      <c r="S1430" s="298"/>
      <c r="T1430" s="298"/>
      <c r="U1430" s="299"/>
      <c r="V1430" s="279"/>
      <c r="W1430" s="279"/>
      <c r="X1430" s="279"/>
      <c r="Y1430" s="279"/>
      <c r="Z1430" s="279"/>
      <c r="AA1430" s="279"/>
      <c r="AB1430" s="279"/>
      <c r="AC1430" s="279"/>
      <c r="AD1430" s="279"/>
      <c r="AE1430" s="279"/>
      <c r="AF1430" s="279"/>
      <c r="AG1430" s="279"/>
      <c r="AH1430" s="279"/>
      <c r="AI1430" s="279"/>
      <c r="AJ1430" s="279"/>
      <c r="AK1430" s="279"/>
      <c r="AL1430" s="279"/>
      <c r="AM1430" s="279"/>
      <c r="AN1430" s="279"/>
      <c r="AO1430" s="279"/>
      <c r="AP1430" s="279"/>
      <c r="AQ1430" s="279"/>
      <c r="AR1430" s="279"/>
      <c r="AS1430" s="279"/>
      <c r="AT1430" s="279"/>
      <c r="AU1430" s="279"/>
      <c r="AV1430" s="279"/>
      <c r="AW1430" s="279"/>
      <c r="AX1430" s="279"/>
      <c r="AY1430" s="279"/>
      <c r="AZ1430" s="279"/>
      <c r="BA1430" s="279"/>
      <c r="BB1430" s="279"/>
      <c r="BC1430" s="279"/>
      <c r="BD1430" s="279"/>
      <c r="BE1430" s="279"/>
      <c r="BF1430" s="279"/>
      <c r="BG1430" s="279"/>
      <c r="BH1430" s="279"/>
      <c r="BI1430" s="279"/>
      <c r="BJ1430" s="279"/>
      <c r="BK1430" s="279"/>
      <c r="BL1430" s="279"/>
      <c r="BM1430" s="279"/>
      <c r="BN1430" s="279"/>
      <c r="BO1430" s="279"/>
      <c r="BP1430" s="279"/>
      <c r="BQ1430" s="279"/>
      <c r="BR1430" s="279"/>
      <c r="BS1430" s="279"/>
      <c r="BT1430" s="279"/>
      <c r="BU1430" s="279"/>
      <c r="BV1430" s="279"/>
      <c r="BW1430" s="279"/>
      <c r="BX1430" s="279"/>
      <c r="BY1430" s="279"/>
      <c r="BZ1430" s="279"/>
      <c r="CA1430" s="279"/>
      <c r="CB1430" s="279"/>
      <c r="CC1430" s="279"/>
      <c r="CD1430" s="279"/>
      <c r="CE1430" s="279"/>
      <c r="CF1430" s="279"/>
      <c r="CG1430" s="279"/>
      <c r="CH1430" s="279"/>
      <c r="CI1430" s="279"/>
      <c r="CJ1430" s="279"/>
      <c r="CK1430" s="279"/>
      <c r="CL1430" s="279"/>
      <c r="CM1430" s="279"/>
      <c r="CN1430" s="382"/>
    </row>
    <row r="1431" x14ac:dyDescent="0.3">
      <c r="B1431" s="361"/>
      <c r="C1431" s="279"/>
      <c r="D1431" s="280"/>
      <c r="E1431" s="287"/>
      <c r="F1431" s="287"/>
      <c r="G1431" s="287"/>
      <c r="H1431" s="1292">
        <f t="shared" si="73"/>
        <v>10</v>
      </c>
      <c r="I1431" s="1190" t="str">
        <f>'I. Stream &amp; Compound Data'!P271</f>
        <v/>
      </c>
      <c r="J1431" s="1295" t="str">
        <f>IF(I151="","",IF('I. Stream &amp; Compound Data'!CF271&lt;&gt;"",'I. Stream &amp; Compound Data'!CF271,'I. Stream &amp; Compound Data'!CG271))</f>
        <v/>
      </c>
      <c r="K1431" s="1312" t="str">
        <f t="shared" si="74"/>
        <v/>
      </c>
      <c r="L1431" s="301" t="str">
        <f>IF(K1431="","",IF('I. Stream &amp; Compound Data'!E41="H2O",0,(IF(J1431=0,1,J1431))*I1431))</f>
        <v/>
      </c>
      <c r="M1431" s="287"/>
      <c r="N1431" s="296"/>
      <c r="O1431" s="280"/>
      <c r="P1431" s="280"/>
      <c r="Q1431" s="279"/>
      <c r="R1431" s="297"/>
      <c r="S1431" s="298"/>
      <c r="T1431" s="298"/>
      <c r="U1431" s="299"/>
      <c r="V1431" s="279"/>
      <c r="W1431" s="279"/>
      <c r="X1431" s="279"/>
      <c r="Y1431" s="279"/>
      <c r="Z1431" s="279"/>
      <c r="AA1431" s="279"/>
      <c r="AB1431" s="279"/>
      <c r="AC1431" s="279"/>
      <c r="AD1431" s="279"/>
      <c r="AE1431" s="279"/>
      <c r="AF1431" s="279"/>
      <c r="AG1431" s="279"/>
      <c r="AH1431" s="279"/>
      <c r="AI1431" s="279"/>
      <c r="AJ1431" s="279"/>
      <c r="AK1431" s="279"/>
      <c r="AL1431" s="279"/>
      <c r="AM1431" s="279"/>
      <c r="AN1431" s="279"/>
      <c r="AO1431" s="279"/>
      <c r="AP1431" s="279"/>
      <c r="AQ1431" s="279"/>
      <c r="AR1431" s="279"/>
      <c r="AS1431" s="279"/>
      <c r="AT1431" s="279"/>
      <c r="AU1431" s="279"/>
      <c r="AV1431" s="279"/>
      <c r="AW1431" s="279"/>
      <c r="AX1431" s="279"/>
      <c r="AY1431" s="279"/>
      <c r="AZ1431" s="279"/>
      <c r="BA1431" s="279"/>
      <c r="BB1431" s="279"/>
      <c r="BC1431" s="279"/>
      <c r="BD1431" s="279"/>
      <c r="BE1431" s="279"/>
      <c r="BF1431" s="279"/>
      <c r="BG1431" s="279"/>
      <c r="BH1431" s="279"/>
      <c r="BI1431" s="279"/>
      <c r="BJ1431" s="279"/>
      <c r="BK1431" s="279"/>
      <c r="BL1431" s="279"/>
      <c r="BM1431" s="279"/>
      <c r="BN1431" s="279"/>
      <c r="BO1431" s="279"/>
      <c r="BP1431" s="279"/>
      <c r="BQ1431" s="279"/>
      <c r="BR1431" s="279"/>
      <c r="BS1431" s="279"/>
      <c r="BT1431" s="279"/>
      <c r="BU1431" s="279"/>
      <c r="BV1431" s="279"/>
      <c r="BW1431" s="279"/>
      <c r="BX1431" s="279"/>
      <c r="BY1431" s="279"/>
      <c r="BZ1431" s="279"/>
      <c r="CA1431" s="279"/>
      <c r="CB1431" s="279"/>
      <c r="CC1431" s="279"/>
      <c r="CD1431" s="279"/>
      <c r="CE1431" s="279"/>
      <c r="CF1431" s="279"/>
      <c r="CG1431" s="279"/>
      <c r="CH1431" s="279"/>
      <c r="CI1431" s="279"/>
      <c r="CJ1431" s="279"/>
      <c r="CK1431" s="279"/>
      <c r="CL1431" s="279"/>
      <c r="CM1431" s="279"/>
      <c r="CN1431" s="382"/>
    </row>
    <row r="1432" x14ac:dyDescent="0.3">
      <c r="B1432" s="361"/>
      <c r="C1432" s="279"/>
      <c r="D1432" s="280"/>
      <c r="E1432" s="287"/>
      <c r="F1432" s="287"/>
      <c r="G1432" s="287"/>
      <c r="H1432" s="1292">
        <f t="shared" si="73"/>
        <v>11</v>
      </c>
      <c r="I1432" s="1190" t="str">
        <f>'I. Stream &amp; Compound Data'!P272</f>
        <v/>
      </c>
      <c r="J1432" s="1295" t="str">
        <f>IF(I152="","",IF('I. Stream &amp; Compound Data'!CF272&lt;&gt;"",'I. Stream &amp; Compound Data'!CF272,'I. Stream &amp; Compound Data'!CG272))</f>
        <v/>
      </c>
      <c r="K1432" s="1312" t="str">
        <f t="shared" si="74"/>
        <v/>
      </c>
      <c r="L1432" s="301" t="str">
        <f>IF(K1432="","",IF('I. Stream &amp; Compound Data'!E42="H2O",0,(IF(J1432=0,1,J1432))*I1432))</f>
        <v/>
      </c>
      <c r="M1432" s="296"/>
      <c r="N1432" s="280"/>
      <c r="O1432" s="280"/>
      <c r="P1432" s="279"/>
      <c r="Q1432" s="297"/>
      <c r="R1432" s="298"/>
      <c r="S1432" s="298"/>
      <c r="T1432" s="299"/>
      <c r="U1432" s="279"/>
      <c r="V1432" s="279"/>
      <c r="W1432" s="279"/>
      <c r="X1432" s="279"/>
      <c r="Y1432" s="279"/>
      <c r="Z1432" s="279"/>
      <c r="AA1432" s="279"/>
      <c r="AB1432" s="279"/>
      <c r="AC1432" s="279"/>
      <c r="AD1432" s="279"/>
      <c r="AE1432" s="279"/>
      <c r="AF1432" s="279"/>
      <c r="AG1432" s="279"/>
      <c r="AH1432" s="279"/>
      <c r="AI1432" s="279"/>
      <c r="AJ1432" s="279"/>
      <c r="AK1432" s="279"/>
      <c r="AL1432" s="279"/>
      <c r="AM1432" s="279"/>
      <c r="AN1432" s="279"/>
      <c r="AO1432" s="279"/>
      <c r="AP1432" s="279"/>
      <c r="AQ1432" s="279"/>
      <c r="AR1432" s="279"/>
      <c r="AS1432" s="279"/>
      <c r="AT1432" s="279"/>
      <c r="AU1432" s="279"/>
      <c r="AV1432" s="279"/>
      <c r="AW1432" s="279"/>
      <c r="AX1432" s="279"/>
      <c r="AY1432" s="279"/>
      <c r="AZ1432" s="279"/>
      <c r="BA1432" s="279"/>
      <c r="BB1432" s="279"/>
      <c r="BC1432" s="279"/>
      <c r="BD1432" s="279"/>
      <c r="BE1432" s="279"/>
      <c r="BF1432" s="279"/>
      <c r="BG1432" s="279"/>
      <c r="BH1432" s="279"/>
      <c r="BI1432" s="279"/>
      <c r="BJ1432" s="279"/>
      <c r="BK1432" s="279"/>
      <c r="BL1432" s="279"/>
      <c r="BM1432" s="279"/>
      <c r="BN1432" s="279"/>
      <c r="BO1432" s="279"/>
      <c r="BP1432" s="279"/>
      <c r="BQ1432" s="279"/>
      <c r="BR1432" s="279"/>
      <c r="BS1432" s="279"/>
      <c r="BT1432" s="279"/>
      <c r="BU1432" s="279"/>
      <c r="BV1432" s="279"/>
      <c r="BW1432" s="279"/>
      <c r="BX1432" s="279"/>
      <c r="BY1432" s="279"/>
      <c r="BZ1432" s="279"/>
      <c r="CA1432" s="279"/>
      <c r="CB1432" s="279"/>
      <c r="CC1432" s="279"/>
      <c r="CD1432" s="279"/>
      <c r="CE1432" s="279"/>
      <c r="CF1432" s="279"/>
      <c r="CG1432" s="279"/>
      <c r="CH1432" s="279"/>
      <c r="CI1432" s="279"/>
      <c r="CJ1432" s="279"/>
      <c r="CK1432" s="279"/>
      <c r="CL1432" s="279"/>
      <c r="CM1432" s="279"/>
      <c r="CN1432" s="382"/>
    </row>
    <row r="1433" x14ac:dyDescent="0.3">
      <c r="B1433" s="361"/>
      <c r="C1433" s="279"/>
      <c r="D1433" s="280"/>
      <c r="E1433" s="287"/>
      <c r="F1433" s="287"/>
      <c r="G1433" s="287"/>
      <c r="H1433" s="1292">
        <f t="shared" si="73"/>
        <v>12</v>
      </c>
      <c r="I1433" s="1190" t="str">
        <f>'I. Stream &amp; Compound Data'!P273</f>
        <v/>
      </c>
      <c r="J1433" s="1295" t="str">
        <f>IF(I153="","",IF('I. Stream &amp; Compound Data'!CF273&lt;&gt;"",'I. Stream &amp; Compound Data'!CF273,'I. Stream &amp; Compound Data'!CG273))</f>
        <v/>
      </c>
      <c r="K1433" s="1312" t="str">
        <f t="shared" si="74"/>
        <v/>
      </c>
      <c r="L1433" s="301" t="str">
        <f>IF(K1433="","",IF('I. Stream &amp; Compound Data'!E43="H2O",0,(IF(J1433=0,1,J1433))*I1433))</f>
        <v/>
      </c>
      <c r="M1433" s="296"/>
      <c r="N1433" s="280"/>
      <c r="O1433" s="280"/>
      <c r="P1433" s="279"/>
      <c r="Q1433" s="297"/>
      <c r="R1433" s="298"/>
      <c r="S1433" s="298"/>
      <c r="T1433" s="299"/>
      <c r="U1433" s="279"/>
      <c r="V1433" s="279"/>
      <c r="W1433" s="279"/>
      <c r="X1433" s="279"/>
      <c r="Y1433" s="279"/>
      <c r="Z1433" s="279"/>
      <c r="AA1433" s="279"/>
      <c r="AB1433" s="279"/>
      <c r="AC1433" s="279"/>
      <c r="AD1433" s="279"/>
      <c r="AE1433" s="279"/>
      <c r="AF1433" s="279"/>
      <c r="AG1433" s="279"/>
      <c r="AH1433" s="279"/>
      <c r="AI1433" s="279"/>
      <c r="AJ1433" s="279"/>
      <c r="AK1433" s="279"/>
      <c r="AL1433" s="279"/>
      <c r="AM1433" s="279"/>
      <c r="AN1433" s="279"/>
      <c r="AO1433" s="279"/>
      <c r="AP1433" s="279"/>
      <c r="AQ1433" s="279"/>
      <c r="AR1433" s="279"/>
      <c r="AS1433" s="279"/>
      <c r="AT1433" s="279"/>
      <c r="AU1433" s="279"/>
      <c r="AV1433" s="279"/>
      <c r="AW1433" s="279"/>
      <c r="AX1433" s="279"/>
      <c r="AY1433" s="279"/>
      <c r="AZ1433" s="279"/>
      <c r="BA1433" s="279"/>
      <c r="BB1433" s="279"/>
      <c r="BC1433" s="279"/>
      <c r="BD1433" s="279"/>
      <c r="BE1433" s="279"/>
      <c r="BF1433" s="279"/>
      <c r="BG1433" s="279"/>
      <c r="BH1433" s="279"/>
      <c r="BI1433" s="279"/>
      <c r="BJ1433" s="279"/>
      <c r="BK1433" s="279"/>
      <c r="BL1433" s="279"/>
      <c r="BM1433" s="279"/>
      <c r="BN1433" s="279"/>
      <c r="BO1433" s="279"/>
      <c r="BP1433" s="279"/>
      <c r="BQ1433" s="279"/>
      <c r="BR1433" s="279"/>
      <c r="BS1433" s="279"/>
      <c r="BT1433" s="279"/>
      <c r="BU1433" s="279"/>
      <c r="BV1433" s="279"/>
      <c r="BW1433" s="279"/>
      <c r="BX1433" s="279"/>
      <c r="BY1433" s="279"/>
      <c r="BZ1433" s="279"/>
      <c r="CA1433" s="279"/>
      <c r="CB1433" s="279"/>
      <c r="CC1433" s="279"/>
      <c r="CD1433" s="279"/>
      <c r="CE1433" s="279"/>
      <c r="CF1433" s="279"/>
      <c r="CG1433" s="279"/>
      <c r="CH1433" s="279"/>
      <c r="CI1433" s="279"/>
      <c r="CJ1433" s="279"/>
      <c r="CK1433" s="279"/>
      <c r="CL1433" s="279"/>
      <c r="CM1433" s="279"/>
      <c r="CN1433" s="382"/>
    </row>
    <row r="1434" x14ac:dyDescent="0.3">
      <c r="B1434" s="361"/>
      <c r="C1434" s="279"/>
      <c r="D1434" s="280"/>
      <c r="E1434" s="287"/>
      <c r="F1434" s="287"/>
      <c r="G1434" s="287"/>
      <c r="H1434" s="1292">
        <f t="shared" si="73"/>
        <v>13</v>
      </c>
      <c r="I1434" s="1190" t="str">
        <f>'I. Stream &amp; Compound Data'!P274</f>
        <v/>
      </c>
      <c r="J1434" s="1295" t="str">
        <f>IF(I154="","",IF('I. Stream &amp; Compound Data'!CF274&lt;&gt;"",'I. Stream &amp; Compound Data'!CF274,'I. Stream &amp; Compound Data'!CG274))</f>
        <v/>
      </c>
      <c r="K1434" s="1312" t="str">
        <f t="shared" si="74"/>
        <v/>
      </c>
      <c r="L1434" s="301" t="str">
        <f>IF(K1434="","",IF('I. Stream &amp; Compound Data'!E44="H2O",0,(IF(J1434=0,1,J1434))*I1434))</f>
        <v/>
      </c>
      <c r="M1434" s="296"/>
      <c r="N1434" s="280"/>
      <c r="O1434" s="280"/>
      <c r="P1434" s="279"/>
      <c r="Q1434" s="297"/>
      <c r="R1434" s="298"/>
      <c r="S1434" s="298"/>
      <c r="T1434" s="299"/>
      <c r="U1434" s="279"/>
      <c r="V1434" s="279"/>
      <c r="W1434" s="279"/>
      <c r="X1434" s="279"/>
      <c r="Y1434" s="279"/>
      <c r="Z1434" s="279"/>
      <c r="AA1434" s="279"/>
      <c r="AB1434" s="279"/>
      <c r="AC1434" s="279"/>
      <c r="AD1434" s="279"/>
      <c r="AE1434" s="279"/>
      <c r="AF1434" s="279"/>
      <c r="AG1434" s="279"/>
      <c r="AH1434" s="279"/>
      <c r="AI1434" s="279"/>
      <c r="AJ1434" s="279"/>
      <c r="AK1434" s="279"/>
      <c r="AL1434" s="279"/>
      <c r="AM1434" s="279"/>
      <c r="AN1434" s="279"/>
      <c r="AO1434" s="279"/>
      <c r="AP1434" s="279"/>
      <c r="AQ1434" s="279"/>
      <c r="AR1434" s="279"/>
      <c r="AS1434" s="279"/>
      <c r="AT1434" s="279"/>
      <c r="AU1434" s="279"/>
      <c r="AV1434" s="279"/>
      <c r="AW1434" s="279"/>
      <c r="AX1434" s="279"/>
      <c r="AY1434" s="279"/>
      <c r="AZ1434" s="279"/>
      <c r="BA1434" s="279"/>
      <c r="BB1434" s="279"/>
      <c r="BC1434" s="279"/>
      <c r="BD1434" s="279"/>
      <c r="BE1434" s="279"/>
      <c r="BF1434" s="279"/>
      <c r="BG1434" s="279"/>
      <c r="BH1434" s="279"/>
      <c r="BI1434" s="279"/>
      <c r="BJ1434" s="279"/>
      <c r="BK1434" s="279"/>
      <c r="BL1434" s="279"/>
      <c r="BM1434" s="279"/>
      <c r="BN1434" s="279"/>
      <c r="BO1434" s="279"/>
      <c r="BP1434" s="279"/>
      <c r="BQ1434" s="279"/>
      <c r="BR1434" s="279"/>
      <c r="BS1434" s="279"/>
      <c r="BT1434" s="279"/>
      <c r="BU1434" s="279"/>
      <c r="BV1434" s="279"/>
      <c r="BW1434" s="279"/>
      <c r="BX1434" s="279"/>
      <c r="BY1434" s="279"/>
      <c r="BZ1434" s="279"/>
      <c r="CA1434" s="279"/>
      <c r="CB1434" s="279"/>
      <c r="CC1434" s="279"/>
      <c r="CD1434" s="279"/>
      <c r="CE1434" s="279"/>
      <c r="CF1434" s="279"/>
      <c r="CG1434" s="279"/>
      <c r="CH1434" s="279"/>
      <c r="CI1434" s="279"/>
      <c r="CJ1434" s="279"/>
      <c r="CK1434" s="279"/>
      <c r="CL1434" s="279"/>
      <c r="CM1434" s="279"/>
      <c r="CN1434" s="382"/>
    </row>
    <row r="1435" x14ac:dyDescent="0.3">
      <c r="B1435" s="361"/>
      <c r="C1435" s="279"/>
      <c r="D1435" s="280"/>
      <c r="E1435" s="287"/>
      <c r="F1435" s="287"/>
      <c r="G1435" s="287"/>
      <c r="H1435" s="1292">
        <f t="shared" si="73"/>
        <v>14</v>
      </c>
      <c r="I1435" s="1190" t="str">
        <f>'I. Stream &amp; Compound Data'!P275</f>
        <v/>
      </c>
      <c r="J1435" s="1295" t="str">
        <f>IF(I155="","",IF('I. Stream &amp; Compound Data'!CF275&lt;&gt;"",'I. Stream &amp; Compound Data'!CF275,'I. Stream &amp; Compound Data'!CG275))</f>
        <v/>
      </c>
      <c r="K1435" s="1312" t="str">
        <f t="shared" si="74"/>
        <v/>
      </c>
      <c r="L1435" s="301" t="str">
        <f>IF(K1435="","",IF('I. Stream &amp; Compound Data'!E45="H2O",0,(IF(J1435=0,1,J1435))*I1435))</f>
        <v/>
      </c>
      <c r="M1435" s="296"/>
      <c r="N1435" s="280"/>
      <c r="O1435" s="280"/>
      <c r="P1435" s="279"/>
      <c r="Q1435" s="297"/>
      <c r="R1435" s="298"/>
      <c r="S1435" s="298"/>
      <c r="T1435" s="299"/>
      <c r="U1435" s="279"/>
      <c r="V1435" s="279"/>
      <c r="W1435" s="279"/>
      <c r="X1435" s="279"/>
      <c r="Y1435" s="279"/>
      <c r="Z1435" s="279"/>
      <c r="AA1435" s="279"/>
      <c r="AB1435" s="279"/>
      <c r="AC1435" s="279"/>
      <c r="AD1435" s="279"/>
      <c r="AE1435" s="279"/>
      <c r="AF1435" s="279"/>
      <c r="AG1435" s="279"/>
      <c r="AH1435" s="279"/>
      <c r="AI1435" s="279"/>
      <c r="AJ1435" s="279"/>
      <c r="AK1435" s="279"/>
      <c r="AL1435" s="279"/>
      <c r="AM1435" s="279"/>
      <c r="AN1435" s="279"/>
      <c r="AO1435" s="279"/>
      <c r="AP1435" s="279"/>
      <c r="AQ1435" s="279"/>
      <c r="AR1435" s="279"/>
      <c r="AS1435" s="279"/>
      <c r="AT1435" s="279"/>
      <c r="AU1435" s="279"/>
      <c r="AV1435" s="279"/>
      <c r="AW1435" s="279"/>
      <c r="AX1435" s="279"/>
      <c r="AY1435" s="279"/>
      <c r="AZ1435" s="279"/>
      <c r="BA1435" s="279"/>
      <c r="BB1435" s="279"/>
      <c r="BC1435" s="279"/>
      <c r="BD1435" s="279"/>
      <c r="BE1435" s="279"/>
      <c r="BF1435" s="279"/>
      <c r="BG1435" s="279"/>
      <c r="BH1435" s="279"/>
      <c r="BI1435" s="279"/>
      <c r="BJ1435" s="279"/>
      <c r="BK1435" s="279"/>
      <c r="BL1435" s="279"/>
      <c r="BM1435" s="279"/>
      <c r="BN1435" s="279"/>
      <c r="BO1435" s="279"/>
      <c r="BP1435" s="279"/>
      <c r="BQ1435" s="279"/>
      <c r="BR1435" s="279"/>
      <c r="BS1435" s="279"/>
      <c r="BT1435" s="279"/>
      <c r="BU1435" s="279"/>
      <c r="BV1435" s="279"/>
      <c r="BW1435" s="279"/>
      <c r="BX1435" s="279"/>
      <c r="BY1435" s="279"/>
      <c r="BZ1435" s="279"/>
      <c r="CA1435" s="279"/>
      <c r="CB1435" s="279"/>
      <c r="CC1435" s="279"/>
      <c r="CD1435" s="279"/>
      <c r="CE1435" s="279"/>
      <c r="CF1435" s="279"/>
      <c r="CG1435" s="279"/>
      <c r="CH1435" s="279"/>
      <c r="CI1435" s="279"/>
      <c r="CJ1435" s="279"/>
      <c r="CK1435" s="279"/>
      <c r="CL1435" s="279"/>
      <c r="CM1435" s="279"/>
      <c r="CN1435" s="382"/>
    </row>
    <row r="1436" x14ac:dyDescent="0.3">
      <c r="B1436" s="361"/>
      <c r="C1436" s="279"/>
      <c r="D1436" s="280"/>
      <c r="E1436" s="287"/>
      <c r="F1436" s="287"/>
      <c r="G1436" s="287"/>
      <c r="H1436" s="1292">
        <f t="shared" si="73"/>
        <v>15</v>
      </c>
      <c r="I1436" s="1190" t="str">
        <f>'I. Stream &amp; Compound Data'!P276</f>
        <v/>
      </c>
      <c r="J1436" s="1295" t="str">
        <f>IF(I156="","",IF('I. Stream &amp; Compound Data'!CF276&lt;&gt;"",'I. Stream &amp; Compound Data'!CF276,'I. Stream &amp; Compound Data'!CG276))</f>
        <v/>
      </c>
      <c r="K1436" s="1312" t="str">
        <f t="shared" si="74"/>
        <v/>
      </c>
      <c r="L1436" s="301" t="str">
        <f>IF(K1436="","",IF('I. Stream &amp; Compound Data'!E46="H2O",0,(IF(J1436=0,1,J1436))*I1436))</f>
        <v/>
      </c>
      <c r="M1436" s="296"/>
      <c r="N1436" s="280"/>
      <c r="O1436" s="280"/>
      <c r="P1436" s="279"/>
      <c r="Q1436" s="297"/>
      <c r="R1436" s="298"/>
      <c r="S1436" s="298"/>
      <c r="T1436" s="299"/>
      <c r="U1436" s="279"/>
      <c r="V1436" s="279"/>
      <c r="W1436" s="279"/>
      <c r="X1436" s="279"/>
      <c r="Y1436" s="279"/>
      <c r="Z1436" s="279"/>
      <c r="AA1436" s="279"/>
      <c r="AB1436" s="279"/>
      <c r="AC1436" s="279"/>
      <c r="AD1436" s="279"/>
      <c r="AE1436" s="279"/>
      <c r="AF1436" s="279"/>
      <c r="AG1436" s="279"/>
      <c r="AH1436" s="279"/>
      <c r="AI1436" s="279"/>
      <c r="AJ1436" s="279"/>
      <c r="AK1436" s="279"/>
      <c r="AL1436" s="279"/>
      <c r="AM1436" s="279"/>
      <c r="AN1436" s="279"/>
      <c r="AO1436" s="279"/>
      <c r="AP1436" s="279"/>
      <c r="AQ1436" s="279"/>
      <c r="AR1436" s="279"/>
      <c r="AS1436" s="279"/>
      <c r="AT1436" s="279"/>
      <c r="AU1436" s="279"/>
      <c r="AV1436" s="279"/>
      <c r="AW1436" s="279"/>
      <c r="AX1436" s="279"/>
      <c r="AY1436" s="279"/>
      <c r="AZ1436" s="279"/>
      <c r="BA1436" s="279"/>
      <c r="BB1436" s="279"/>
      <c r="BC1436" s="279"/>
      <c r="BD1436" s="279"/>
      <c r="BE1436" s="279"/>
      <c r="BF1436" s="279"/>
      <c r="BG1436" s="279"/>
      <c r="BH1436" s="279"/>
      <c r="BI1436" s="279"/>
      <c r="BJ1436" s="279"/>
      <c r="BK1436" s="279"/>
      <c r="BL1436" s="279"/>
      <c r="BM1436" s="279"/>
      <c r="BN1436" s="279"/>
      <c r="BO1436" s="279"/>
      <c r="BP1436" s="279"/>
      <c r="BQ1436" s="279"/>
      <c r="BR1436" s="279"/>
      <c r="BS1436" s="279"/>
      <c r="BT1436" s="279"/>
      <c r="BU1436" s="279"/>
      <c r="BV1436" s="279"/>
      <c r="BW1436" s="279"/>
      <c r="BX1436" s="279"/>
      <c r="BY1436" s="279"/>
      <c r="BZ1436" s="279"/>
      <c r="CA1436" s="279"/>
      <c r="CB1436" s="279"/>
      <c r="CC1436" s="279"/>
      <c r="CD1436" s="279"/>
      <c r="CE1436" s="279"/>
      <c r="CF1436" s="279"/>
      <c r="CG1436" s="279"/>
      <c r="CH1436" s="279"/>
      <c r="CI1436" s="279"/>
      <c r="CJ1436" s="279"/>
      <c r="CK1436" s="279"/>
      <c r="CL1436" s="279"/>
      <c r="CM1436" s="279"/>
      <c r="CN1436" s="382"/>
    </row>
    <row r="1437" x14ac:dyDescent="0.3">
      <c r="B1437" s="361"/>
      <c r="C1437" s="279"/>
      <c r="D1437" s="280"/>
      <c r="E1437" s="287"/>
      <c r="F1437" s="287"/>
      <c r="G1437" s="287"/>
      <c r="H1437" s="1292">
        <f t="shared" si="73"/>
        <v>16</v>
      </c>
      <c r="I1437" s="1190" t="str">
        <f>'I. Stream &amp; Compound Data'!P277</f>
        <v/>
      </c>
      <c r="J1437" s="1295" t="str">
        <f>IF(I157="","",IF('I. Stream &amp; Compound Data'!CF277&lt;&gt;"",'I. Stream &amp; Compound Data'!CF277,'I. Stream &amp; Compound Data'!CG277))</f>
        <v/>
      </c>
      <c r="K1437" s="1312" t="str">
        <f t="shared" si="74"/>
        <v/>
      </c>
      <c r="L1437" s="301" t="str">
        <f>IF(K1437="","",IF('I. Stream &amp; Compound Data'!E47="H2O",0,(IF(J1437=0,1,J1437))*I1437))</f>
        <v/>
      </c>
      <c r="M1437" s="296"/>
      <c r="N1437" s="280"/>
      <c r="O1437" s="280"/>
      <c r="P1437" s="279"/>
      <c r="Q1437" s="297"/>
      <c r="R1437" s="298"/>
      <c r="S1437" s="298"/>
      <c r="T1437" s="299"/>
      <c r="U1437" s="279"/>
      <c r="V1437" s="279"/>
      <c r="W1437" s="279"/>
      <c r="X1437" s="279"/>
      <c r="Y1437" s="279"/>
      <c r="Z1437" s="279"/>
      <c r="AA1437" s="279"/>
      <c r="AB1437" s="279"/>
      <c r="AC1437" s="279"/>
      <c r="AD1437" s="279"/>
      <c r="AE1437" s="279"/>
      <c r="AF1437" s="279"/>
      <c r="AG1437" s="279"/>
      <c r="AH1437" s="279"/>
      <c r="AI1437" s="279"/>
      <c r="AJ1437" s="279"/>
      <c r="AK1437" s="279"/>
      <c r="AL1437" s="279"/>
      <c r="AM1437" s="279"/>
      <c r="AN1437" s="279"/>
      <c r="AO1437" s="279"/>
      <c r="AP1437" s="279"/>
      <c r="AQ1437" s="279"/>
      <c r="AR1437" s="279"/>
      <c r="AS1437" s="279"/>
      <c r="AT1437" s="279"/>
      <c r="AU1437" s="279"/>
      <c r="AV1437" s="279"/>
      <c r="AW1437" s="279"/>
      <c r="AX1437" s="279"/>
      <c r="AY1437" s="279"/>
      <c r="AZ1437" s="279"/>
      <c r="BA1437" s="279"/>
      <c r="BB1437" s="279"/>
      <c r="BC1437" s="279"/>
      <c r="BD1437" s="279"/>
      <c r="BE1437" s="279"/>
      <c r="BF1437" s="279"/>
      <c r="BG1437" s="279"/>
      <c r="BH1437" s="279"/>
      <c r="BI1437" s="279"/>
      <c r="BJ1437" s="279"/>
      <c r="BK1437" s="279"/>
      <c r="BL1437" s="279"/>
      <c r="BM1437" s="279"/>
      <c r="BN1437" s="279"/>
      <c r="BO1437" s="279"/>
      <c r="BP1437" s="279"/>
      <c r="BQ1437" s="279"/>
      <c r="BR1437" s="279"/>
      <c r="BS1437" s="279"/>
      <c r="BT1437" s="279"/>
      <c r="BU1437" s="279"/>
      <c r="BV1437" s="279"/>
      <c r="BW1437" s="279"/>
      <c r="BX1437" s="279"/>
      <c r="BY1437" s="279"/>
      <c r="BZ1437" s="279"/>
      <c r="CA1437" s="279"/>
      <c r="CB1437" s="279"/>
      <c r="CC1437" s="279"/>
      <c r="CD1437" s="279"/>
      <c r="CE1437" s="279"/>
      <c r="CF1437" s="279"/>
      <c r="CG1437" s="279"/>
      <c r="CH1437" s="279"/>
      <c r="CI1437" s="279"/>
      <c r="CJ1437" s="279"/>
      <c r="CK1437" s="279"/>
      <c r="CL1437" s="279"/>
      <c r="CM1437" s="279"/>
      <c r="CN1437" s="382"/>
    </row>
    <row r="1438" x14ac:dyDescent="0.3">
      <c r="B1438" s="361"/>
      <c r="C1438" s="279"/>
      <c r="D1438" s="280"/>
      <c r="E1438" s="287"/>
      <c r="F1438" s="287"/>
      <c r="G1438" s="287"/>
      <c r="H1438" s="1292">
        <f t="shared" si="73"/>
        <v>17</v>
      </c>
      <c r="I1438" s="1190" t="str">
        <f>'I. Stream &amp; Compound Data'!P278</f>
        <v/>
      </c>
      <c r="J1438" s="1295" t="str">
        <f>IF(I158="","",IF('I. Stream &amp; Compound Data'!CF278&lt;&gt;"",'I. Stream &amp; Compound Data'!CF278,'I. Stream &amp; Compound Data'!CG278))</f>
        <v/>
      </c>
      <c r="K1438" s="1312" t="str">
        <f t="shared" si="74"/>
        <v/>
      </c>
      <c r="L1438" s="301" t="str">
        <f>IF(K1438="","",IF('I. Stream &amp; Compound Data'!E48="H2O",0,(IF(J1438=0,1,J1438))*I1438))</f>
        <v/>
      </c>
      <c r="M1438" s="296"/>
      <c r="N1438" s="280"/>
      <c r="O1438" s="280"/>
      <c r="P1438" s="279"/>
      <c r="Q1438" s="297"/>
      <c r="R1438" s="298"/>
      <c r="S1438" s="298"/>
      <c r="T1438" s="299"/>
      <c r="U1438" s="279"/>
      <c r="V1438" s="279"/>
      <c r="W1438" s="279"/>
      <c r="X1438" s="279"/>
      <c r="Y1438" s="279"/>
      <c r="Z1438" s="279"/>
      <c r="AA1438" s="279"/>
      <c r="AB1438" s="279"/>
      <c r="AC1438" s="279"/>
      <c r="AD1438" s="279"/>
      <c r="AE1438" s="279"/>
      <c r="AF1438" s="279"/>
      <c r="AG1438" s="279"/>
      <c r="AH1438" s="279"/>
      <c r="AI1438" s="279"/>
      <c r="AJ1438" s="279"/>
      <c r="AK1438" s="279"/>
      <c r="AL1438" s="279"/>
      <c r="AM1438" s="279"/>
      <c r="AN1438" s="279"/>
      <c r="AO1438" s="279"/>
      <c r="AP1438" s="279"/>
      <c r="AQ1438" s="279"/>
      <c r="AR1438" s="279"/>
      <c r="AS1438" s="279"/>
      <c r="AT1438" s="279"/>
      <c r="AU1438" s="279"/>
      <c r="AV1438" s="279"/>
      <c r="AW1438" s="279"/>
      <c r="AX1438" s="279"/>
      <c r="AY1438" s="279"/>
      <c r="AZ1438" s="279"/>
      <c r="BA1438" s="279"/>
      <c r="BB1438" s="279"/>
      <c r="BC1438" s="279"/>
      <c r="BD1438" s="279"/>
      <c r="BE1438" s="279"/>
      <c r="BF1438" s="279"/>
      <c r="BG1438" s="279"/>
      <c r="BH1438" s="279"/>
      <c r="BI1438" s="279"/>
      <c r="BJ1438" s="279"/>
      <c r="BK1438" s="279"/>
      <c r="BL1438" s="279"/>
      <c r="BM1438" s="279"/>
      <c r="BN1438" s="279"/>
      <c r="BO1438" s="279"/>
      <c r="BP1438" s="279"/>
      <c r="BQ1438" s="279"/>
      <c r="BR1438" s="279"/>
      <c r="BS1438" s="279"/>
      <c r="BT1438" s="279"/>
      <c r="BU1438" s="279"/>
      <c r="BV1438" s="279"/>
      <c r="BW1438" s="279"/>
      <c r="BX1438" s="279"/>
      <c r="BY1438" s="279"/>
      <c r="BZ1438" s="279"/>
      <c r="CA1438" s="279"/>
      <c r="CB1438" s="279"/>
      <c r="CC1438" s="279"/>
      <c r="CD1438" s="279"/>
      <c r="CE1438" s="279"/>
      <c r="CF1438" s="279"/>
      <c r="CG1438" s="279"/>
      <c r="CH1438" s="279"/>
      <c r="CI1438" s="279"/>
      <c r="CJ1438" s="279"/>
      <c r="CK1438" s="279"/>
      <c r="CL1438" s="279"/>
      <c r="CM1438" s="279"/>
      <c r="CN1438" s="382"/>
    </row>
    <row r="1439" x14ac:dyDescent="0.3">
      <c r="B1439" s="361"/>
      <c r="C1439" s="279"/>
      <c r="D1439" s="280"/>
      <c r="E1439" s="287"/>
      <c r="F1439" s="287"/>
      <c r="G1439" s="287"/>
      <c r="H1439" s="1292">
        <f t="shared" si="73"/>
        <v>18</v>
      </c>
      <c r="I1439" s="1190" t="str">
        <f>'I. Stream &amp; Compound Data'!P279</f>
        <v/>
      </c>
      <c r="J1439" s="1295" t="str">
        <f>IF(I159="","",IF('I. Stream &amp; Compound Data'!CF279&lt;&gt;"",'I. Stream &amp; Compound Data'!CF279,'I. Stream &amp; Compound Data'!CG279))</f>
        <v/>
      </c>
      <c r="K1439" s="1312" t="str">
        <f t="shared" si="74"/>
        <v/>
      </c>
      <c r="L1439" s="301" t="str">
        <f>IF(K1439="","",IF('I. Stream &amp; Compound Data'!E49="H2O",0,(IF(J1439=0,1,J1439))*I1439))</f>
        <v/>
      </c>
      <c r="M1439" s="296"/>
      <c r="N1439" s="280"/>
      <c r="O1439" s="280"/>
      <c r="P1439" s="279"/>
      <c r="Q1439" s="297"/>
      <c r="R1439" s="298"/>
      <c r="S1439" s="298"/>
      <c r="T1439" s="299"/>
      <c r="U1439" s="279"/>
      <c r="V1439" s="279"/>
      <c r="W1439" s="279"/>
      <c r="X1439" s="279"/>
      <c r="Y1439" s="279"/>
      <c r="Z1439" s="279"/>
      <c r="AA1439" s="279"/>
      <c r="AB1439" s="279"/>
      <c r="AC1439" s="279"/>
      <c r="AD1439" s="279"/>
      <c r="AE1439" s="279"/>
      <c r="AF1439" s="279"/>
      <c r="AG1439" s="279"/>
      <c r="AH1439" s="279"/>
      <c r="AI1439" s="279"/>
      <c r="AJ1439" s="279"/>
      <c r="AK1439" s="279"/>
      <c r="AL1439" s="279"/>
      <c r="AM1439" s="279"/>
      <c r="AN1439" s="279"/>
      <c r="AO1439" s="279"/>
      <c r="AP1439" s="279"/>
      <c r="AQ1439" s="279"/>
      <c r="AR1439" s="279"/>
      <c r="AS1439" s="279"/>
      <c r="AT1439" s="279"/>
      <c r="AU1439" s="279"/>
      <c r="AV1439" s="279"/>
      <c r="AW1439" s="279"/>
      <c r="AX1439" s="279"/>
      <c r="AY1439" s="279"/>
      <c r="AZ1439" s="279"/>
      <c r="BA1439" s="279"/>
      <c r="BB1439" s="279"/>
      <c r="BC1439" s="279"/>
      <c r="BD1439" s="279"/>
      <c r="BE1439" s="279"/>
      <c r="BF1439" s="279"/>
      <c r="BG1439" s="279"/>
      <c r="BH1439" s="279"/>
      <c r="BI1439" s="279"/>
      <c r="BJ1439" s="279"/>
      <c r="BK1439" s="279"/>
      <c r="BL1439" s="279"/>
      <c r="BM1439" s="279"/>
      <c r="BN1439" s="279"/>
      <c r="BO1439" s="279"/>
      <c r="BP1439" s="279"/>
      <c r="BQ1439" s="279"/>
      <c r="BR1439" s="279"/>
      <c r="BS1439" s="279"/>
      <c r="BT1439" s="279"/>
      <c r="BU1439" s="279"/>
      <c r="BV1439" s="279"/>
      <c r="BW1439" s="279"/>
      <c r="BX1439" s="279"/>
      <c r="BY1439" s="279"/>
      <c r="BZ1439" s="279"/>
      <c r="CA1439" s="279"/>
      <c r="CB1439" s="279"/>
      <c r="CC1439" s="279"/>
      <c r="CD1439" s="279"/>
      <c r="CE1439" s="279"/>
      <c r="CF1439" s="279"/>
      <c r="CG1439" s="279"/>
      <c r="CH1439" s="279"/>
      <c r="CI1439" s="279"/>
      <c r="CJ1439" s="279"/>
      <c r="CK1439" s="279"/>
      <c r="CL1439" s="279"/>
      <c r="CM1439" s="279"/>
      <c r="CN1439" s="382"/>
    </row>
    <row r="1440" x14ac:dyDescent="0.3">
      <c r="B1440" s="361"/>
      <c r="C1440" s="279"/>
      <c r="D1440" s="280"/>
      <c r="E1440" s="287"/>
      <c r="F1440" s="287"/>
      <c r="G1440" s="287"/>
      <c r="H1440" s="1292">
        <f t="shared" si="73"/>
        <v>19</v>
      </c>
      <c r="I1440" s="1190" t="str">
        <f>'I. Stream &amp; Compound Data'!P280</f>
        <v/>
      </c>
      <c r="J1440" s="1295" t="str">
        <f>IF(I160="","",IF('I. Stream &amp; Compound Data'!CF280&lt;&gt;"",'I. Stream &amp; Compound Data'!CF280,'I. Stream &amp; Compound Data'!CG280))</f>
        <v/>
      </c>
      <c r="K1440" s="1312" t="str">
        <f t="shared" si="74"/>
        <v/>
      </c>
      <c r="L1440" s="301" t="str">
        <f>IF(K1440="","",IF('I. Stream &amp; Compound Data'!E50="H2O",0,(IF(J1440=0,1,J1440))*I1440))</f>
        <v/>
      </c>
      <c r="M1440" s="296"/>
      <c r="N1440" s="280"/>
      <c r="O1440" s="280"/>
      <c r="P1440" s="279"/>
      <c r="Q1440" s="297"/>
      <c r="R1440" s="298"/>
      <c r="S1440" s="298"/>
      <c r="T1440" s="299"/>
      <c r="U1440" s="279"/>
      <c r="V1440" s="279"/>
      <c r="W1440" s="279"/>
      <c r="X1440" s="279"/>
      <c r="Y1440" s="279"/>
      <c r="Z1440" s="279"/>
      <c r="AA1440" s="279"/>
      <c r="AB1440" s="279"/>
      <c r="AC1440" s="279"/>
      <c r="AD1440" s="279"/>
      <c r="AE1440" s="279"/>
      <c r="AF1440" s="279"/>
      <c r="AG1440" s="279"/>
      <c r="AH1440" s="279"/>
      <c r="AI1440" s="279"/>
      <c r="AJ1440" s="279"/>
      <c r="AK1440" s="279"/>
      <c r="AL1440" s="279"/>
      <c r="AM1440" s="279"/>
      <c r="AN1440" s="279"/>
      <c r="AO1440" s="279"/>
      <c r="AP1440" s="279"/>
      <c r="AQ1440" s="279"/>
      <c r="AR1440" s="279"/>
      <c r="AS1440" s="279"/>
      <c r="AT1440" s="279"/>
      <c r="AU1440" s="279"/>
      <c r="AV1440" s="279"/>
      <c r="AW1440" s="279"/>
      <c r="AX1440" s="279"/>
      <c r="AY1440" s="279"/>
      <c r="AZ1440" s="279"/>
      <c r="BA1440" s="279"/>
      <c r="BB1440" s="279"/>
      <c r="BC1440" s="279"/>
      <c r="BD1440" s="279"/>
      <c r="BE1440" s="279"/>
      <c r="BF1440" s="279"/>
      <c r="BG1440" s="279"/>
      <c r="BH1440" s="279"/>
      <c r="BI1440" s="279"/>
      <c r="BJ1440" s="279"/>
      <c r="BK1440" s="279"/>
      <c r="BL1440" s="279"/>
      <c r="BM1440" s="279"/>
      <c r="BN1440" s="279"/>
      <c r="BO1440" s="279"/>
      <c r="BP1440" s="279"/>
      <c r="BQ1440" s="279"/>
      <c r="BR1440" s="279"/>
      <c r="BS1440" s="279"/>
      <c r="BT1440" s="279"/>
      <c r="BU1440" s="279"/>
      <c r="BV1440" s="279"/>
      <c r="BW1440" s="279"/>
      <c r="BX1440" s="279"/>
      <c r="BY1440" s="279"/>
      <c r="BZ1440" s="279"/>
      <c r="CA1440" s="279"/>
      <c r="CB1440" s="279"/>
      <c r="CC1440" s="279"/>
      <c r="CD1440" s="279"/>
      <c r="CE1440" s="279"/>
      <c r="CF1440" s="279"/>
      <c r="CG1440" s="279"/>
      <c r="CH1440" s="279"/>
      <c r="CI1440" s="279"/>
      <c r="CJ1440" s="279"/>
      <c r="CK1440" s="279"/>
      <c r="CL1440" s="279"/>
      <c r="CM1440" s="279"/>
      <c r="CN1440" s="382"/>
    </row>
    <row r="1441" x14ac:dyDescent="0.3">
      <c r="B1441" s="361"/>
      <c r="C1441" s="279"/>
      <c r="D1441" s="280"/>
      <c r="E1441" s="287"/>
      <c r="F1441" s="287"/>
      <c r="G1441" s="287"/>
      <c r="H1441" s="1292">
        <f t="shared" si="73"/>
        <v>20</v>
      </c>
      <c r="I1441" s="1190" t="str">
        <f>'I. Stream &amp; Compound Data'!P281</f>
        <v/>
      </c>
      <c r="J1441" s="1295" t="str">
        <f>IF(I161="","",IF('I. Stream &amp; Compound Data'!CF281&lt;&gt;"",'I. Stream &amp; Compound Data'!CF281,'I. Stream &amp; Compound Data'!CG281))</f>
        <v/>
      </c>
      <c r="K1441" s="1312" t="str">
        <f t="shared" ref="K1441:K1471" si="75">IF(I161="","",I1441*J1441)</f>
        <v/>
      </c>
      <c r="L1441" s="301" t="str">
        <f>IF(K1441="","",IF('I. Stream &amp; Compound Data'!E51="H2O",0,(IF(J1441=0,1,J1441))*I1441))</f>
        <v/>
      </c>
      <c r="M1441" s="296"/>
      <c r="N1441" s="280"/>
      <c r="O1441" s="280"/>
      <c r="P1441" s="279"/>
      <c r="Q1441" s="297"/>
      <c r="R1441" s="298"/>
      <c r="S1441" s="298"/>
      <c r="T1441" s="299"/>
      <c r="U1441" s="279"/>
      <c r="V1441" s="279"/>
      <c r="W1441" s="279"/>
      <c r="X1441" s="279"/>
      <c r="Y1441" s="279"/>
      <c r="Z1441" s="279"/>
      <c r="AA1441" s="279"/>
      <c r="AB1441" s="279"/>
      <c r="AC1441" s="279"/>
      <c r="AD1441" s="279"/>
      <c r="AE1441" s="279"/>
      <c r="AF1441" s="279"/>
      <c r="AG1441" s="279"/>
      <c r="AH1441" s="279"/>
      <c r="AI1441" s="279"/>
      <c r="AJ1441" s="279"/>
      <c r="AK1441" s="279"/>
      <c r="AL1441" s="279"/>
      <c r="AM1441" s="279"/>
      <c r="AN1441" s="279"/>
      <c r="AO1441" s="279"/>
      <c r="AP1441" s="279"/>
      <c r="AQ1441" s="279"/>
      <c r="AR1441" s="279"/>
      <c r="AS1441" s="279"/>
      <c r="AT1441" s="279"/>
      <c r="AU1441" s="279"/>
      <c r="AV1441" s="279"/>
      <c r="AW1441" s="279"/>
      <c r="AX1441" s="279"/>
      <c r="AY1441" s="279"/>
      <c r="AZ1441" s="279"/>
      <c r="BA1441" s="279"/>
      <c r="BB1441" s="279"/>
      <c r="BC1441" s="279"/>
      <c r="BD1441" s="279"/>
      <c r="BE1441" s="279"/>
      <c r="BF1441" s="279"/>
      <c r="BG1441" s="279"/>
      <c r="BH1441" s="279"/>
      <c r="BI1441" s="279"/>
      <c r="BJ1441" s="279"/>
      <c r="BK1441" s="279"/>
      <c r="BL1441" s="279"/>
      <c r="BM1441" s="279"/>
      <c r="BN1441" s="279"/>
      <c r="BO1441" s="279"/>
      <c r="BP1441" s="279"/>
      <c r="BQ1441" s="279"/>
      <c r="BR1441" s="279"/>
      <c r="BS1441" s="279"/>
      <c r="BT1441" s="279"/>
      <c r="BU1441" s="279"/>
      <c r="BV1441" s="279"/>
      <c r="BW1441" s="279"/>
      <c r="BX1441" s="279"/>
      <c r="BY1441" s="279"/>
      <c r="BZ1441" s="279"/>
      <c r="CA1441" s="279"/>
      <c r="CB1441" s="279"/>
      <c r="CC1441" s="279"/>
      <c r="CD1441" s="279"/>
      <c r="CE1441" s="279"/>
      <c r="CF1441" s="279"/>
      <c r="CG1441" s="279"/>
      <c r="CH1441" s="279"/>
      <c r="CI1441" s="279"/>
      <c r="CJ1441" s="279"/>
      <c r="CK1441" s="279"/>
      <c r="CL1441" s="279"/>
      <c r="CM1441" s="279"/>
      <c r="CN1441" s="382"/>
    </row>
    <row r="1442" x14ac:dyDescent="0.3">
      <c r="B1442" s="361"/>
      <c r="C1442" s="279"/>
      <c r="D1442" s="280"/>
      <c r="E1442" s="287"/>
      <c r="F1442" s="287"/>
      <c r="G1442" s="287"/>
      <c r="H1442" s="1292">
        <f t="shared" si="73"/>
        <v>21</v>
      </c>
      <c r="I1442" s="1190" t="str">
        <f>'I. Stream &amp; Compound Data'!P282</f>
        <v/>
      </c>
      <c r="J1442" s="1295" t="str">
        <f>IF(I162="","",IF('I. Stream &amp; Compound Data'!CF282&lt;&gt;"",'I. Stream &amp; Compound Data'!CF282,'I. Stream &amp; Compound Data'!CG282))</f>
        <v/>
      </c>
      <c r="K1442" s="1312" t="str">
        <f t="shared" si="75"/>
        <v/>
      </c>
      <c r="L1442" s="301" t="str">
        <f>IF(K1442="","",IF('I. Stream &amp; Compound Data'!E52="H2O",0,(IF(J1442=0,1,J1442))*I1442))</f>
        <v/>
      </c>
      <c r="M1442" s="296"/>
      <c r="N1442" s="280"/>
      <c r="O1442" s="280"/>
      <c r="P1442" s="279"/>
      <c r="Q1442" s="297"/>
      <c r="R1442" s="298"/>
      <c r="S1442" s="298"/>
      <c r="T1442" s="299"/>
      <c r="U1442" s="279"/>
      <c r="V1442" s="279"/>
      <c r="W1442" s="279"/>
      <c r="X1442" s="279"/>
      <c r="Y1442" s="279"/>
      <c r="Z1442" s="279"/>
      <c r="AA1442" s="279"/>
      <c r="AB1442" s="279"/>
      <c r="AC1442" s="279"/>
      <c r="AD1442" s="279"/>
      <c r="AE1442" s="279"/>
      <c r="AF1442" s="279"/>
      <c r="AG1442" s="279"/>
      <c r="AH1442" s="279"/>
      <c r="AI1442" s="279"/>
      <c r="AJ1442" s="279"/>
      <c r="AK1442" s="279"/>
      <c r="AL1442" s="279"/>
      <c r="AM1442" s="279"/>
      <c r="AN1442" s="279"/>
      <c r="AO1442" s="279"/>
      <c r="AP1442" s="279"/>
      <c r="AQ1442" s="279"/>
      <c r="AR1442" s="279"/>
      <c r="AS1442" s="279"/>
      <c r="AT1442" s="279"/>
      <c r="AU1442" s="279"/>
      <c r="AV1442" s="279"/>
      <c r="AW1442" s="279"/>
      <c r="AX1442" s="279"/>
      <c r="AY1442" s="279"/>
      <c r="AZ1442" s="279"/>
      <c r="BA1442" s="279"/>
      <c r="BB1442" s="279"/>
      <c r="BC1442" s="279"/>
      <c r="BD1442" s="279"/>
      <c r="BE1442" s="279"/>
      <c r="BF1442" s="279"/>
      <c r="BG1442" s="279"/>
      <c r="BH1442" s="279"/>
      <c r="BI1442" s="279"/>
      <c r="BJ1442" s="279"/>
      <c r="BK1442" s="279"/>
      <c r="BL1442" s="279"/>
      <c r="BM1442" s="279"/>
      <c r="BN1442" s="279"/>
      <c r="BO1442" s="279"/>
      <c r="BP1442" s="279"/>
      <c r="BQ1442" s="279"/>
      <c r="BR1442" s="279"/>
      <c r="BS1442" s="279"/>
      <c r="BT1442" s="279"/>
      <c r="BU1442" s="279"/>
      <c r="BV1442" s="279"/>
      <c r="BW1442" s="279"/>
      <c r="BX1442" s="279"/>
      <c r="BY1442" s="279"/>
      <c r="BZ1442" s="279"/>
      <c r="CA1442" s="279"/>
      <c r="CB1442" s="279"/>
      <c r="CC1442" s="279"/>
      <c r="CD1442" s="279"/>
      <c r="CE1442" s="279"/>
      <c r="CF1442" s="279"/>
      <c r="CG1442" s="279"/>
      <c r="CH1442" s="279"/>
      <c r="CI1442" s="279"/>
      <c r="CJ1442" s="279"/>
      <c r="CK1442" s="279"/>
      <c r="CL1442" s="279"/>
      <c r="CM1442" s="279"/>
      <c r="CN1442" s="382"/>
    </row>
    <row r="1443" x14ac:dyDescent="0.3">
      <c r="B1443" s="361"/>
      <c r="C1443" s="279"/>
      <c r="D1443" s="280"/>
      <c r="E1443" s="287"/>
      <c r="F1443" s="287"/>
      <c r="G1443" s="287"/>
      <c r="H1443" s="1292">
        <f t="shared" si="73"/>
        <v>22</v>
      </c>
      <c r="I1443" s="1190" t="str">
        <f>'I. Stream &amp; Compound Data'!P283</f>
        <v/>
      </c>
      <c r="J1443" s="1295" t="str">
        <f>IF(I163="","",IF('I. Stream &amp; Compound Data'!CF283&lt;&gt;"",'I. Stream &amp; Compound Data'!CF283,'I. Stream &amp; Compound Data'!CG283))</f>
        <v/>
      </c>
      <c r="K1443" s="1312" t="str">
        <f t="shared" si="75"/>
        <v/>
      </c>
      <c r="L1443" s="301" t="str">
        <f>IF(K1443="","",IF('I. Stream &amp; Compound Data'!E53="H2O",0,(IF(J1443=0,1,J1443))*I1443))</f>
        <v/>
      </c>
      <c r="M1443" s="296"/>
      <c r="N1443" s="280"/>
      <c r="O1443" s="280"/>
      <c r="P1443" s="279"/>
      <c r="Q1443" s="297"/>
      <c r="R1443" s="298"/>
      <c r="S1443" s="298"/>
      <c r="T1443" s="299"/>
      <c r="U1443" s="279"/>
      <c r="V1443" s="279"/>
      <c r="W1443" s="279"/>
      <c r="X1443" s="279"/>
      <c r="Y1443" s="279"/>
      <c r="Z1443" s="279"/>
      <c r="AA1443" s="279"/>
      <c r="AB1443" s="279"/>
      <c r="AC1443" s="279"/>
      <c r="AD1443" s="279"/>
      <c r="AE1443" s="279"/>
      <c r="AF1443" s="279"/>
      <c r="AG1443" s="279"/>
      <c r="AH1443" s="279"/>
      <c r="AI1443" s="279"/>
      <c r="AJ1443" s="279"/>
      <c r="AK1443" s="279"/>
      <c r="AL1443" s="279"/>
      <c r="AM1443" s="279"/>
      <c r="AN1443" s="279"/>
      <c r="AO1443" s="279"/>
      <c r="AP1443" s="279"/>
      <c r="AQ1443" s="279"/>
      <c r="AR1443" s="279"/>
      <c r="AS1443" s="279"/>
      <c r="AT1443" s="279"/>
      <c r="AU1443" s="279"/>
      <c r="AV1443" s="279"/>
      <c r="AW1443" s="279"/>
      <c r="AX1443" s="279"/>
      <c r="AY1443" s="279"/>
      <c r="AZ1443" s="279"/>
      <c r="BA1443" s="279"/>
      <c r="BB1443" s="279"/>
      <c r="BC1443" s="279"/>
      <c r="BD1443" s="279"/>
      <c r="BE1443" s="279"/>
      <c r="BF1443" s="279"/>
      <c r="BG1443" s="279"/>
      <c r="BH1443" s="279"/>
      <c r="BI1443" s="279"/>
      <c r="BJ1443" s="279"/>
      <c r="BK1443" s="279"/>
      <c r="BL1443" s="279"/>
      <c r="BM1443" s="279"/>
      <c r="BN1443" s="279"/>
      <c r="BO1443" s="279"/>
      <c r="BP1443" s="279"/>
      <c r="BQ1443" s="279"/>
      <c r="BR1443" s="279"/>
      <c r="BS1443" s="279"/>
      <c r="BT1443" s="279"/>
      <c r="BU1443" s="279"/>
      <c r="BV1443" s="279"/>
      <c r="BW1443" s="279"/>
      <c r="BX1443" s="279"/>
      <c r="BY1443" s="279"/>
      <c r="BZ1443" s="279"/>
      <c r="CA1443" s="279"/>
      <c r="CB1443" s="279"/>
      <c r="CC1443" s="279"/>
      <c r="CD1443" s="279"/>
      <c r="CE1443" s="279"/>
      <c r="CF1443" s="279"/>
      <c r="CG1443" s="279"/>
      <c r="CH1443" s="279"/>
      <c r="CI1443" s="279"/>
      <c r="CJ1443" s="279"/>
      <c r="CK1443" s="279"/>
      <c r="CL1443" s="279"/>
      <c r="CM1443" s="279"/>
      <c r="CN1443" s="382"/>
    </row>
    <row r="1444" x14ac:dyDescent="0.3">
      <c r="B1444" s="361"/>
      <c r="C1444" s="279"/>
      <c r="D1444" s="280"/>
      <c r="E1444" s="287"/>
      <c r="F1444" s="287"/>
      <c r="G1444" s="287"/>
      <c r="H1444" s="1292">
        <f t="shared" si="73"/>
        <v>23</v>
      </c>
      <c r="I1444" s="1190" t="str">
        <f>'I. Stream &amp; Compound Data'!P284</f>
        <v/>
      </c>
      <c r="J1444" s="1295" t="str">
        <f>IF(I164="","",IF('I. Stream &amp; Compound Data'!CF284&lt;&gt;"",'I. Stream &amp; Compound Data'!CF284,'I. Stream &amp; Compound Data'!CG284))</f>
        <v/>
      </c>
      <c r="K1444" s="1312" t="str">
        <f t="shared" si="75"/>
        <v/>
      </c>
      <c r="L1444" s="301" t="str">
        <f>IF(K1444="","",IF('I. Stream &amp; Compound Data'!E54="H2O",0,(IF(J1444=0,1,J1444))*I1444))</f>
        <v/>
      </c>
      <c r="M1444" s="296"/>
      <c r="N1444" s="280"/>
      <c r="O1444" s="280"/>
      <c r="P1444" s="279"/>
      <c r="Q1444" s="297"/>
      <c r="R1444" s="298"/>
      <c r="S1444" s="298"/>
      <c r="T1444" s="299"/>
      <c r="U1444" s="279"/>
      <c r="V1444" s="279"/>
      <c r="W1444" s="279"/>
      <c r="X1444" s="279"/>
      <c r="Y1444" s="279"/>
      <c r="Z1444" s="279"/>
      <c r="AA1444" s="279"/>
      <c r="AB1444" s="279"/>
      <c r="AC1444" s="279"/>
      <c r="AD1444" s="279"/>
      <c r="AE1444" s="279"/>
      <c r="AF1444" s="279"/>
      <c r="AG1444" s="279"/>
      <c r="AH1444" s="279"/>
      <c r="AI1444" s="279"/>
      <c r="AJ1444" s="279"/>
      <c r="AK1444" s="279"/>
      <c r="AL1444" s="279"/>
      <c r="AM1444" s="279"/>
      <c r="AN1444" s="279"/>
      <c r="AO1444" s="279"/>
      <c r="AP1444" s="279"/>
      <c r="AQ1444" s="279"/>
      <c r="AR1444" s="279"/>
      <c r="AS1444" s="279"/>
      <c r="AT1444" s="279"/>
      <c r="AU1444" s="279"/>
      <c r="AV1444" s="279"/>
      <c r="AW1444" s="279"/>
      <c r="AX1444" s="279"/>
      <c r="AY1444" s="279"/>
      <c r="AZ1444" s="279"/>
      <c r="BA1444" s="279"/>
      <c r="BB1444" s="279"/>
      <c r="BC1444" s="279"/>
      <c r="BD1444" s="279"/>
      <c r="BE1444" s="279"/>
      <c r="BF1444" s="279"/>
      <c r="BG1444" s="279"/>
      <c r="BH1444" s="279"/>
      <c r="BI1444" s="279"/>
      <c r="BJ1444" s="279"/>
      <c r="BK1444" s="279"/>
      <c r="BL1444" s="279"/>
      <c r="BM1444" s="279"/>
      <c r="BN1444" s="279"/>
      <c r="BO1444" s="279"/>
      <c r="BP1444" s="279"/>
      <c r="BQ1444" s="279"/>
      <c r="BR1444" s="279"/>
      <c r="BS1444" s="279"/>
      <c r="BT1444" s="279"/>
      <c r="BU1444" s="279"/>
      <c r="BV1444" s="279"/>
      <c r="BW1444" s="279"/>
      <c r="BX1444" s="279"/>
      <c r="BY1444" s="279"/>
      <c r="BZ1444" s="279"/>
      <c r="CA1444" s="279"/>
      <c r="CB1444" s="279"/>
      <c r="CC1444" s="279"/>
      <c r="CD1444" s="279"/>
      <c r="CE1444" s="279"/>
      <c r="CF1444" s="279"/>
      <c r="CG1444" s="279"/>
      <c r="CH1444" s="279"/>
      <c r="CI1444" s="279"/>
      <c r="CJ1444" s="279"/>
      <c r="CK1444" s="279"/>
      <c r="CL1444" s="279"/>
      <c r="CM1444" s="279"/>
      <c r="CN1444" s="382"/>
    </row>
    <row r="1445" x14ac:dyDescent="0.3">
      <c r="B1445" s="361"/>
      <c r="C1445" s="279"/>
      <c r="D1445" s="280"/>
      <c r="E1445" s="287"/>
      <c r="F1445" s="287"/>
      <c r="G1445" s="287"/>
      <c r="H1445" s="1292">
        <f t="shared" si="73"/>
        <v>24</v>
      </c>
      <c r="I1445" s="1190" t="str">
        <f>'I. Stream &amp; Compound Data'!P285</f>
        <v/>
      </c>
      <c r="J1445" s="1295" t="str">
        <f>IF(I165="","",IF('I. Stream &amp; Compound Data'!CF285&lt;&gt;"",'I. Stream &amp; Compound Data'!CF285,'I. Stream &amp; Compound Data'!CG285))</f>
        <v/>
      </c>
      <c r="K1445" s="1312" t="str">
        <f t="shared" si="75"/>
        <v/>
      </c>
      <c r="L1445" s="301" t="str">
        <f>IF(K1445="","",IF('I. Stream &amp; Compound Data'!E55="H2O",0,(IF(J1445=0,1,J1445))*I1445))</f>
        <v/>
      </c>
      <c r="M1445" s="296"/>
      <c r="N1445" s="280"/>
      <c r="O1445" s="280"/>
      <c r="P1445" s="279"/>
      <c r="Q1445" s="297"/>
      <c r="R1445" s="298"/>
      <c r="S1445" s="298"/>
      <c r="T1445" s="299"/>
      <c r="U1445" s="279"/>
      <c r="V1445" s="279"/>
      <c r="W1445" s="279"/>
      <c r="X1445" s="279"/>
      <c r="Y1445" s="279"/>
      <c r="Z1445" s="279"/>
      <c r="AA1445" s="279"/>
      <c r="AB1445" s="279"/>
      <c r="AC1445" s="279"/>
      <c r="AD1445" s="279"/>
      <c r="AE1445" s="279"/>
      <c r="AF1445" s="279"/>
      <c r="AG1445" s="279"/>
      <c r="AH1445" s="279"/>
      <c r="AI1445" s="279"/>
      <c r="AJ1445" s="279"/>
      <c r="AK1445" s="279"/>
      <c r="AL1445" s="279"/>
      <c r="AM1445" s="279"/>
      <c r="AN1445" s="279"/>
      <c r="AO1445" s="279"/>
      <c r="AP1445" s="279"/>
      <c r="AQ1445" s="279"/>
      <c r="AR1445" s="279"/>
      <c r="AS1445" s="279"/>
      <c r="AT1445" s="279"/>
      <c r="AU1445" s="279"/>
      <c r="AV1445" s="279"/>
      <c r="AW1445" s="279"/>
      <c r="AX1445" s="279"/>
      <c r="AY1445" s="279"/>
      <c r="AZ1445" s="279"/>
      <c r="BA1445" s="279"/>
      <c r="BB1445" s="279"/>
      <c r="BC1445" s="279"/>
      <c r="BD1445" s="279"/>
      <c r="BE1445" s="279"/>
      <c r="BF1445" s="279"/>
      <c r="BG1445" s="279"/>
      <c r="BH1445" s="279"/>
      <c r="BI1445" s="279"/>
      <c r="BJ1445" s="279"/>
      <c r="BK1445" s="279"/>
      <c r="BL1445" s="279"/>
      <c r="BM1445" s="279"/>
      <c r="BN1445" s="279"/>
      <c r="BO1445" s="279"/>
      <c r="BP1445" s="279"/>
      <c r="BQ1445" s="279"/>
      <c r="BR1445" s="279"/>
      <c r="BS1445" s="279"/>
      <c r="BT1445" s="279"/>
      <c r="BU1445" s="279"/>
      <c r="BV1445" s="279"/>
      <c r="BW1445" s="279"/>
      <c r="BX1445" s="279"/>
      <c r="BY1445" s="279"/>
      <c r="BZ1445" s="279"/>
      <c r="CA1445" s="279"/>
      <c r="CB1445" s="279"/>
      <c r="CC1445" s="279"/>
      <c r="CD1445" s="279"/>
      <c r="CE1445" s="279"/>
      <c r="CF1445" s="279"/>
      <c r="CG1445" s="279"/>
      <c r="CH1445" s="279"/>
      <c r="CI1445" s="279"/>
      <c r="CJ1445" s="279"/>
      <c r="CK1445" s="279"/>
      <c r="CL1445" s="279"/>
      <c r="CM1445" s="279"/>
      <c r="CN1445" s="382"/>
    </row>
    <row r="1446" x14ac:dyDescent="0.3">
      <c r="B1446" s="361"/>
      <c r="C1446" s="279"/>
      <c r="D1446" s="280"/>
      <c r="E1446" s="287"/>
      <c r="F1446" s="287"/>
      <c r="G1446" s="287"/>
      <c r="H1446" s="1292">
        <f t="shared" si="73"/>
        <v>25</v>
      </c>
      <c r="I1446" s="1190" t="str">
        <f>'I. Stream &amp; Compound Data'!P286</f>
        <v/>
      </c>
      <c r="J1446" s="1295" t="str">
        <f>IF(I166="","",IF('I. Stream &amp; Compound Data'!CF286&lt;&gt;"",'I. Stream &amp; Compound Data'!CF286,'I. Stream &amp; Compound Data'!CG286))</f>
        <v/>
      </c>
      <c r="K1446" s="1312" t="str">
        <f t="shared" si="75"/>
        <v/>
      </c>
      <c r="L1446" s="301" t="str">
        <f>IF(K1446="","",IF('I. Stream &amp; Compound Data'!E56="H2O",0,(IF(J1446=0,1,J1446))*I1446))</f>
        <v/>
      </c>
      <c r="M1446" s="296"/>
      <c r="N1446" s="280"/>
      <c r="O1446" s="280"/>
      <c r="P1446" s="279"/>
      <c r="Q1446" s="297"/>
      <c r="R1446" s="298"/>
      <c r="S1446" s="298"/>
      <c r="T1446" s="299"/>
      <c r="U1446" s="279"/>
      <c r="V1446" s="279"/>
      <c r="W1446" s="279"/>
      <c r="X1446" s="279"/>
      <c r="Y1446" s="279"/>
      <c r="Z1446" s="279"/>
      <c r="AA1446" s="279"/>
      <c r="AB1446" s="279"/>
      <c r="AC1446" s="279"/>
      <c r="AD1446" s="279"/>
      <c r="AE1446" s="279"/>
      <c r="AF1446" s="279"/>
      <c r="AG1446" s="279"/>
      <c r="AH1446" s="279"/>
      <c r="AI1446" s="279"/>
      <c r="AJ1446" s="279"/>
      <c r="AK1446" s="279"/>
      <c r="AL1446" s="279"/>
      <c r="AM1446" s="279"/>
      <c r="AN1446" s="279"/>
      <c r="AO1446" s="279"/>
      <c r="AP1446" s="279"/>
      <c r="AQ1446" s="279"/>
      <c r="AR1446" s="279"/>
      <c r="AS1446" s="279"/>
      <c r="AT1446" s="279"/>
      <c r="AU1446" s="279"/>
      <c r="AV1446" s="279"/>
      <c r="AW1446" s="279"/>
      <c r="AX1446" s="279"/>
      <c r="AY1446" s="279"/>
      <c r="AZ1446" s="279"/>
      <c r="BA1446" s="279"/>
      <c r="BB1446" s="279"/>
      <c r="BC1446" s="279"/>
      <c r="BD1446" s="279"/>
      <c r="BE1446" s="279"/>
      <c r="BF1446" s="279"/>
      <c r="BG1446" s="279"/>
      <c r="BH1446" s="279"/>
      <c r="BI1446" s="279"/>
      <c r="BJ1446" s="279"/>
      <c r="BK1446" s="279"/>
      <c r="BL1446" s="279"/>
      <c r="BM1446" s="279"/>
      <c r="BN1446" s="279"/>
      <c r="BO1446" s="279"/>
      <c r="BP1446" s="279"/>
      <c r="BQ1446" s="279"/>
      <c r="BR1446" s="279"/>
      <c r="BS1446" s="279"/>
      <c r="BT1446" s="279"/>
      <c r="BU1446" s="279"/>
      <c r="BV1446" s="279"/>
      <c r="BW1446" s="279"/>
      <c r="BX1446" s="279"/>
      <c r="BY1446" s="279"/>
      <c r="BZ1446" s="279"/>
      <c r="CA1446" s="279"/>
      <c r="CB1446" s="279"/>
      <c r="CC1446" s="279"/>
      <c r="CD1446" s="279"/>
      <c r="CE1446" s="279"/>
      <c r="CF1446" s="279"/>
      <c r="CG1446" s="279"/>
      <c r="CH1446" s="279"/>
      <c r="CI1446" s="279"/>
      <c r="CJ1446" s="279"/>
      <c r="CK1446" s="279"/>
      <c r="CL1446" s="279"/>
      <c r="CM1446" s="279"/>
      <c r="CN1446" s="382"/>
    </row>
    <row r="1447" x14ac:dyDescent="0.3">
      <c r="B1447" s="361"/>
      <c r="C1447" s="279"/>
      <c r="D1447" s="280"/>
      <c r="E1447" s="287"/>
      <c r="F1447" s="287"/>
      <c r="G1447" s="287"/>
      <c r="H1447" s="1292">
        <f t="shared" si="73"/>
        <v>26</v>
      </c>
      <c r="I1447" s="1190" t="str">
        <f>'I. Stream &amp; Compound Data'!P287</f>
        <v/>
      </c>
      <c r="J1447" s="1295" t="str">
        <f>IF(I167="","",IF('I. Stream &amp; Compound Data'!CF287&lt;&gt;"",'I. Stream &amp; Compound Data'!CF287,'I. Stream &amp; Compound Data'!CG287))</f>
        <v/>
      </c>
      <c r="K1447" s="1312" t="str">
        <f t="shared" si="75"/>
        <v/>
      </c>
      <c r="L1447" s="301" t="str">
        <f>IF(K1447="","",IF('I. Stream &amp; Compound Data'!E57="H2O",0,(IF(J1447=0,1,J1447))*I1447))</f>
        <v/>
      </c>
      <c r="M1447" s="296"/>
      <c r="N1447" s="280"/>
      <c r="O1447" s="280"/>
      <c r="P1447" s="279"/>
      <c r="Q1447" s="297"/>
      <c r="R1447" s="298"/>
      <c r="S1447" s="298"/>
      <c r="T1447" s="299"/>
      <c r="U1447" s="279"/>
      <c r="V1447" s="279"/>
      <c r="W1447" s="279"/>
      <c r="X1447" s="279"/>
      <c r="Y1447" s="279"/>
      <c r="Z1447" s="279"/>
      <c r="AA1447" s="279"/>
      <c r="AB1447" s="279"/>
      <c r="AC1447" s="279"/>
      <c r="AD1447" s="279"/>
      <c r="AE1447" s="279"/>
      <c r="AF1447" s="279"/>
      <c r="AG1447" s="279"/>
      <c r="AH1447" s="279"/>
      <c r="AI1447" s="279"/>
      <c r="AJ1447" s="279"/>
      <c r="AK1447" s="279"/>
      <c r="AL1447" s="279"/>
      <c r="AM1447" s="279"/>
      <c r="AN1447" s="279"/>
      <c r="AO1447" s="279"/>
      <c r="AP1447" s="279"/>
      <c r="AQ1447" s="279"/>
      <c r="AR1447" s="279"/>
      <c r="AS1447" s="279"/>
      <c r="AT1447" s="279"/>
      <c r="AU1447" s="279"/>
      <c r="AV1447" s="279"/>
      <c r="AW1447" s="279"/>
      <c r="AX1447" s="279"/>
      <c r="AY1447" s="279"/>
      <c r="AZ1447" s="279"/>
      <c r="BA1447" s="279"/>
      <c r="BB1447" s="279"/>
      <c r="BC1447" s="279"/>
      <c r="BD1447" s="279"/>
      <c r="BE1447" s="279"/>
      <c r="BF1447" s="279"/>
      <c r="BG1447" s="279"/>
      <c r="BH1447" s="279"/>
      <c r="BI1447" s="279"/>
      <c r="BJ1447" s="279"/>
      <c r="BK1447" s="279"/>
      <c r="BL1447" s="279"/>
      <c r="BM1447" s="279"/>
      <c r="BN1447" s="279"/>
      <c r="BO1447" s="279"/>
      <c r="BP1447" s="279"/>
      <c r="BQ1447" s="279"/>
      <c r="BR1447" s="279"/>
      <c r="BS1447" s="279"/>
      <c r="BT1447" s="279"/>
      <c r="BU1447" s="279"/>
      <c r="BV1447" s="279"/>
      <c r="BW1447" s="279"/>
      <c r="BX1447" s="279"/>
      <c r="BY1447" s="279"/>
      <c r="BZ1447" s="279"/>
      <c r="CA1447" s="279"/>
      <c r="CB1447" s="279"/>
      <c r="CC1447" s="279"/>
      <c r="CD1447" s="279"/>
      <c r="CE1447" s="279"/>
      <c r="CF1447" s="279"/>
      <c r="CG1447" s="279"/>
      <c r="CH1447" s="279"/>
      <c r="CI1447" s="279"/>
      <c r="CJ1447" s="279"/>
      <c r="CK1447" s="279"/>
      <c r="CL1447" s="279"/>
      <c r="CM1447" s="279"/>
      <c r="CN1447" s="382"/>
    </row>
    <row r="1448" x14ac:dyDescent="0.3">
      <c r="B1448" s="361"/>
      <c r="C1448" s="279"/>
      <c r="D1448" s="280"/>
      <c r="E1448" s="287"/>
      <c r="F1448" s="287"/>
      <c r="G1448" s="287"/>
      <c r="H1448" s="1292">
        <f t="shared" si="73"/>
        <v>27</v>
      </c>
      <c r="I1448" s="1190" t="str">
        <f>'I. Stream &amp; Compound Data'!P288</f>
        <v/>
      </c>
      <c r="J1448" s="1295" t="str">
        <f>IF(I168="","",IF('I. Stream &amp; Compound Data'!CF288&lt;&gt;"",'I. Stream &amp; Compound Data'!CF288,'I. Stream &amp; Compound Data'!CG288))</f>
        <v/>
      </c>
      <c r="K1448" s="1312" t="str">
        <f t="shared" si="75"/>
        <v/>
      </c>
      <c r="L1448" s="301" t="str">
        <f>IF(K1448="","",IF('I. Stream &amp; Compound Data'!E58="H2O",0,(IF(J1448=0,1,J1448))*I1448))</f>
        <v/>
      </c>
      <c r="M1448" s="296"/>
      <c r="N1448" s="280"/>
      <c r="O1448" s="280"/>
      <c r="P1448" s="279"/>
      <c r="Q1448" s="297"/>
      <c r="R1448" s="298"/>
      <c r="S1448" s="298"/>
      <c r="T1448" s="299"/>
      <c r="U1448" s="279"/>
      <c r="V1448" s="279"/>
      <c r="W1448" s="279"/>
      <c r="X1448" s="279"/>
      <c r="Y1448" s="279"/>
      <c r="Z1448" s="279"/>
      <c r="AA1448" s="279"/>
      <c r="AB1448" s="279"/>
      <c r="AC1448" s="279"/>
      <c r="AD1448" s="279"/>
      <c r="AE1448" s="279"/>
      <c r="AF1448" s="279"/>
      <c r="AG1448" s="279"/>
      <c r="AH1448" s="279"/>
      <c r="AI1448" s="279"/>
      <c r="AJ1448" s="279"/>
      <c r="AK1448" s="279"/>
      <c r="AL1448" s="279"/>
      <c r="AM1448" s="279"/>
      <c r="AN1448" s="279"/>
      <c r="AO1448" s="279"/>
      <c r="AP1448" s="279"/>
      <c r="AQ1448" s="279"/>
      <c r="AR1448" s="279"/>
      <c r="AS1448" s="279"/>
      <c r="AT1448" s="279"/>
      <c r="AU1448" s="279"/>
      <c r="AV1448" s="279"/>
      <c r="AW1448" s="279"/>
      <c r="AX1448" s="279"/>
      <c r="AY1448" s="279"/>
      <c r="AZ1448" s="279"/>
      <c r="BA1448" s="279"/>
      <c r="BB1448" s="279"/>
      <c r="BC1448" s="279"/>
      <c r="BD1448" s="279"/>
      <c r="BE1448" s="279"/>
      <c r="BF1448" s="279"/>
      <c r="BG1448" s="279"/>
      <c r="BH1448" s="279"/>
      <c r="BI1448" s="279"/>
      <c r="BJ1448" s="279"/>
      <c r="BK1448" s="279"/>
      <c r="BL1448" s="279"/>
      <c r="BM1448" s="279"/>
      <c r="BN1448" s="279"/>
      <c r="BO1448" s="279"/>
      <c r="BP1448" s="279"/>
      <c r="BQ1448" s="279"/>
      <c r="BR1448" s="279"/>
      <c r="BS1448" s="279"/>
      <c r="BT1448" s="279"/>
      <c r="BU1448" s="279"/>
      <c r="BV1448" s="279"/>
      <c r="BW1448" s="279"/>
      <c r="BX1448" s="279"/>
      <c r="BY1448" s="279"/>
      <c r="BZ1448" s="279"/>
      <c r="CA1448" s="279"/>
      <c r="CB1448" s="279"/>
      <c r="CC1448" s="279"/>
      <c r="CD1448" s="279"/>
      <c r="CE1448" s="279"/>
      <c r="CF1448" s="279"/>
      <c r="CG1448" s="279"/>
      <c r="CH1448" s="279"/>
      <c r="CI1448" s="279"/>
      <c r="CJ1448" s="279"/>
      <c r="CK1448" s="279"/>
      <c r="CL1448" s="279"/>
      <c r="CM1448" s="279"/>
      <c r="CN1448" s="382"/>
    </row>
    <row r="1449" x14ac:dyDescent="0.3">
      <c r="B1449" s="361"/>
      <c r="C1449" s="279"/>
      <c r="D1449" s="280"/>
      <c r="E1449" s="287"/>
      <c r="F1449" s="287"/>
      <c r="G1449" s="287"/>
      <c r="H1449" s="1292">
        <f t="shared" si="73"/>
        <v>28</v>
      </c>
      <c r="I1449" s="1190" t="str">
        <f>'I. Stream &amp; Compound Data'!P289</f>
        <v/>
      </c>
      <c r="J1449" s="1295" t="str">
        <f>IF(I169="","",IF('I. Stream &amp; Compound Data'!CF289&lt;&gt;"",'I. Stream &amp; Compound Data'!CF289,'I. Stream &amp; Compound Data'!CG289))</f>
        <v/>
      </c>
      <c r="K1449" s="1312" t="str">
        <f t="shared" si="75"/>
        <v/>
      </c>
      <c r="L1449" s="301" t="str">
        <f>IF(K1449="","",IF('I. Stream &amp; Compound Data'!E59="H2O",0,(IF(J1449=0,1,J1449))*I1449))</f>
        <v/>
      </c>
      <c r="M1449" s="296"/>
      <c r="N1449" s="280"/>
      <c r="O1449" s="280"/>
      <c r="P1449" s="279"/>
      <c r="Q1449" s="297"/>
      <c r="R1449" s="298"/>
      <c r="S1449" s="298"/>
      <c r="T1449" s="299"/>
      <c r="U1449" s="279"/>
      <c r="V1449" s="279"/>
      <c r="W1449" s="279"/>
      <c r="X1449" s="279"/>
      <c r="Y1449" s="279"/>
      <c r="Z1449" s="279"/>
      <c r="AA1449" s="279"/>
      <c r="AB1449" s="279"/>
      <c r="AC1449" s="279"/>
      <c r="AD1449" s="279"/>
      <c r="AE1449" s="279"/>
      <c r="AF1449" s="279"/>
      <c r="AG1449" s="279"/>
      <c r="AH1449" s="279"/>
      <c r="AI1449" s="279"/>
      <c r="AJ1449" s="279"/>
      <c r="AK1449" s="279"/>
      <c r="AL1449" s="279"/>
      <c r="AM1449" s="279"/>
      <c r="AN1449" s="279"/>
      <c r="AO1449" s="279"/>
      <c r="AP1449" s="279"/>
      <c r="AQ1449" s="279"/>
      <c r="AR1449" s="279"/>
      <c r="AS1449" s="279"/>
      <c r="AT1449" s="279"/>
      <c r="AU1449" s="279"/>
      <c r="AV1449" s="279"/>
      <c r="AW1449" s="279"/>
      <c r="AX1449" s="279"/>
      <c r="AY1449" s="279"/>
      <c r="AZ1449" s="279"/>
      <c r="BA1449" s="279"/>
      <c r="BB1449" s="279"/>
      <c r="BC1449" s="279"/>
      <c r="BD1449" s="279"/>
      <c r="BE1449" s="279"/>
      <c r="BF1449" s="279"/>
      <c r="BG1449" s="279"/>
      <c r="BH1449" s="279"/>
      <c r="BI1449" s="279"/>
      <c r="BJ1449" s="279"/>
      <c r="BK1449" s="279"/>
      <c r="BL1449" s="279"/>
      <c r="BM1449" s="279"/>
      <c r="BN1449" s="279"/>
      <c r="BO1449" s="279"/>
      <c r="BP1449" s="279"/>
      <c r="BQ1449" s="279"/>
      <c r="BR1449" s="279"/>
      <c r="BS1449" s="279"/>
      <c r="BT1449" s="279"/>
      <c r="BU1449" s="279"/>
      <c r="BV1449" s="279"/>
      <c r="BW1449" s="279"/>
      <c r="BX1449" s="279"/>
      <c r="BY1449" s="279"/>
      <c r="BZ1449" s="279"/>
      <c r="CA1449" s="279"/>
      <c r="CB1449" s="279"/>
      <c r="CC1449" s="279"/>
      <c r="CD1449" s="279"/>
      <c r="CE1449" s="279"/>
      <c r="CF1449" s="279"/>
      <c r="CG1449" s="279"/>
      <c r="CH1449" s="279"/>
      <c r="CI1449" s="279"/>
      <c r="CJ1449" s="279"/>
      <c r="CK1449" s="279"/>
      <c r="CL1449" s="279"/>
      <c r="CM1449" s="279"/>
      <c r="CN1449" s="382"/>
    </row>
    <row r="1450" x14ac:dyDescent="0.3">
      <c r="B1450" s="361"/>
      <c r="C1450" s="279"/>
      <c r="D1450" s="280"/>
      <c r="E1450" s="287"/>
      <c r="F1450" s="287"/>
      <c r="G1450" s="287"/>
      <c r="H1450" s="1292">
        <f t="shared" si="73"/>
        <v>29</v>
      </c>
      <c r="I1450" s="1190" t="str">
        <f>'I. Stream &amp; Compound Data'!P290</f>
        <v/>
      </c>
      <c r="J1450" s="1295" t="str">
        <f>IF(I170="","",IF('I. Stream &amp; Compound Data'!CF290&lt;&gt;"",'I. Stream &amp; Compound Data'!CF290,'I. Stream &amp; Compound Data'!CG290))</f>
        <v/>
      </c>
      <c r="K1450" s="1312" t="str">
        <f t="shared" si="75"/>
        <v/>
      </c>
      <c r="L1450" s="301" t="str">
        <f>IF(K1450="","",IF('I. Stream &amp; Compound Data'!E60="H2O",0,(IF(J1450=0,1,J1450))*I1450))</f>
        <v/>
      </c>
      <c r="M1450" s="296"/>
      <c r="N1450" s="280"/>
      <c r="O1450" s="280"/>
      <c r="P1450" s="279"/>
      <c r="Q1450" s="297"/>
      <c r="R1450" s="298"/>
      <c r="S1450" s="298"/>
      <c r="T1450" s="299"/>
      <c r="U1450" s="279"/>
      <c r="V1450" s="279"/>
      <c r="W1450" s="279"/>
      <c r="X1450" s="279"/>
      <c r="Y1450" s="279"/>
      <c r="Z1450" s="279"/>
      <c r="AA1450" s="279"/>
      <c r="AB1450" s="279"/>
      <c r="AC1450" s="279"/>
      <c r="AD1450" s="279"/>
      <c r="AE1450" s="279"/>
      <c r="AF1450" s="279"/>
      <c r="AG1450" s="279"/>
      <c r="AH1450" s="279"/>
      <c r="AI1450" s="279"/>
      <c r="AJ1450" s="279"/>
      <c r="AK1450" s="279"/>
      <c r="AL1450" s="279"/>
      <c r="AM1450" s="279"/>
      <c r="AN1450" s="279"/>
      <c r="AO1450" s="279"/>
      <c r="AP1450" s="279"/>
      <c r="AQ1450" s="279"/>
      <c r="AR1450" s="279"/>
      <c r="AS1450" s="279"/>
      <c r="AT1450" s="279"/>
      <c r="AU1450" s="279"/>
      <c r="AV1450" s="279"/>
      <c r="AW1450" s="279"/>
      <c r="AX1450" s="279"/>
      <c r="AY1450" s="279"/>
      <c r="AZ1450" s="279"/>
      <c r="BA1450" s="279"/>
      <c r="BB1450" s="279"/>
      <c r="BC1450" s="279"/>
      <c r="BD1450" s="279"/>
      <c r="BE1450" s="279"/>
      <c r="BF1450" s="279"/>
      <c r="BG1450" s="279"/>
      <c r="BH1450" s="279"/>
      <c r="BI1450" s="279"/>
      <c r="BJ1450" s="279"/>
      <c r="BK1450" s="279"/>
      <c r="BL1450" s="279"/>
      <c r="BM1450" s="279"/>
      <c r="BN1450" s="279"/>
      <c r="BO1450" s="279"/>
      <c r="BP1450" s="279"/>
      <c r="BQ1450" s="279"/>
      <c r="BR1450" s="279"/>
      <c r="BS1450" s="279"/>
      <c r="BT1450" s="279"/>
      <c r="BU1450" s="279"/>
      <c r="BV1450" s="279"/>
      <c r="BW1450" s="279"/>
      <c r="BX1450" s="279"/>
      <c r="BY1450" s="279"/>
      <c r="BZ1450" s="279"/>
      <c r="CA1450" s="279"/>
      <c r="CB1450" s="279"/>
      <c r="CC1450" s="279"/>
      <c r="CD1450" s="279"/>
      <c r="CE1450" s="279"/>
      <c r="CF1450" s="279"/>
      <c r="CG1450" s="279"/>
      <c r="CH1450" s="279"/>
      <c r="CI1450" s="279"/>
      <c r="CJ1450" s="279"/>
      <c r="CK1450" s="279"/>
      <c r="CL1450" s="279"/>
      <c r="CM1450" s="279"/>
      <c r="CN1450" s="382"/>
    </row>
    <row r="1451" x14ac:dyDescent="0.3">
      <c r="B1451" s="361"/>
      <c r="C1451" s="279"/>
      <c r="D1451" s="280"/>
      <c r="E1451" s="287"/>
      <c r="F1451" s="287"/>
      <c r="G1451" s="287"/>
      <c r="H1451" s="1292">
        <f t="shared" si="73"/>
        <v>30</v>
      </c>
      <c r="I1451" s="1190" t="str">
        <f>'I. Stream &amp; Compound Data'!P291</f>
        <v/>
      </c>
      <c r="J1451" s="1295" t="str">
        <f>IF(I171="","",IF('I. Stream &amp; Compound Data'!CF291&lt;&gt;"",'I. Stream &amp; Compound Data'!CF291,'I. Stream &amp; Compound Data'!CG291))</f>
        <v/>
      </c>
      <c r="K1451" s="1312" t="str">
        <f t="shared" si="75"/>
        <v/>
      </c>
      <c r="L1451" s="301" t="str">
        <f>IF(K1451="","",IF('I. Stream &amp; Compound Data'!E61="H2O",0,(IF(J1451=0,1,J1451))*I1451))</f>
        <v/>
      </c>
      <c r="M1451" s="296"/>
      <c r="N1451" s="280"/>
      <c r="O1451" s="280"/>
      <c r="P1451" s="279"/>
      <c r="Q1451" s="297"/>
      <c r="R1451" s="298"/>
      <c r="S1451" s="298"/>
      <c r="T1451" s="299"/>
      <c r="U1451" s="279"/>
      <c r="V1451" s="279"/>
      <c r="W1451" s="279"/>
      <c r="X1451" s="279"/>
      <c r="Y1451" s="279"/>
      <c r="Z1451" s="279"/>
      <c r="AA1451" s="279"/>
      <c r="AB1451" s="279"/>
      <c r="AC1451" s="279"/>
      <c r="AD1451" s="279"/>
      <c r="AE1451" s="279"/>
      <c r="AF1451" s="279"/>
      <c r="AG1451" s="279"/>
      <c r="AH1451" s="279"/>
      <c r="AI1451" s="279"/>
      <c r="AJ1451" s="279"/>
      <c r="AK1451" s="279"/>
      <c r="AL1451" s="279"/>
      <c r="AM1451" s="279"/>
      <c r="AN1451" s="279"/>
      <c r="AO1451" s="279"/>
      <c r="AP1451" s="279"/>
      <c r="AQ1451" s="279"/>
      <c r="AR1451" s="279"/>
      <c r="AS1451" s="279"/>
      <c r="AT1451" s="279"/>
      <c r="AU1451" s="279"/>
      <c r="AV1451" s="279"/>
      <c r="AW1451" s="279"/>
      <c r="AX1451" s="279"/>
      <c r="AY1451" s="279"/>
      <c r="AZ1451" s="279"/>
      <c r="BA1451" s="279"/>
      <c r="BB1451" s="279"/>
      <c r="BC1451" s="279"/>
      <c r="BD1451" s="279"/>
      <c r="BE1451" s="279"/>
      <c r="BF1451" s="279"/>
      <c r="BG1451" s="279"/>
      <c r="BH1451" s="279"/>
      <c r="BI1451" s="279"/>
      <c r="BJ1451" s="279"/>
      <c r="BK1451" s="279"/>
      <c r="BL1451" s="279"/>
      <c r="BM1451" s="279"/>
      <c r="BN1451" s="279"/>
      <c r="BO1451" s="279"/>
      <c r="BP1451" s="279"/>
      <c r="BQ1451" s="279"/>
      <c r="BR1451" s="279"/>
      <c r="BS1451" s="279"/>
      <c r="BT1451" s="279"/>
      <c r="BU1451" s="279"/>
      <c r="BV1451" s="279"/>
      <c r="BW1451" s="279"/>
      <c r="BX1451" s="279"/>
      <c r="BY1451" s="279"/>
      <c r="BZ1451" s="279"/>
      <c r="CA1451" s="279"/>
      <c r="CB1451" s="279"/>
      <c r="CC1451" s="279"/>
      <c r="CD1451" s="279"/>
      <c r="CE1451" s="279"/>
      <c r="CF1451" s="279"/>
      <c r="CG1451" s="279"/>
      <c r="CH1451" s="279"/>
      <c r="CI1451" s="279"/>
      <c r="CJ1451" s="279"/>
      <c r="CK1451" s="279"/>
      <c r="CL1451" s="279"/>
      <c r="CM1451" s="279"/>
      <c r="CN1451" s="382"/>
    </row>
    <row r="1452" x14ac:dyDescent="0.3">
      <c r="B1452" s="361"/>
      <c r="C1452" s="279"/>
      <c r="D1452" s="280"/>
      <c r="E1452" s="287"/>
      <c r="F1452" s="287"/>
      <c r="G1452" s="287"/>
      <c r="H1452" s="1292">
        <f t="shared" si="73"/>
        <v>31</v>
      </c>
      <c r="I1452" s="1190" t="str">
        <f>'I. Stream &amp; Compound Data'!P292</f>
        <v/>
      </c>
      <c r="J1452" s="1295" t="str">
        <f>IF(I172="","",IF('I. Stream &amp; Compound Data'!CF292&lt;&gt;"",'I. Stream &amp; Compound Data'!CF292,'I. Stream &amp; Compound Data'!CG292))</f>
        <v/>
      </c>
      <c r="K1452" s="1312" t="str">
        <f t="shared" si="75"/>
        <v/>
      </c>
      <c r="L1452" s="301" t="str">
        <f>IF(K1452="","",IF('I. Stream &amp; Compound Data'!E62="H2O",0,(IF(J1452=0,1,J1452))*I1452))</f>
        <v/>
      </c>
      <c r="M1452" s="296"/>
      <c r="N1452" s="280"/>
      <c r="O1452" s="280"/>
      <c r="P1452" s="279"/>
      <c r="Q1452" s="297"/>
      <c r="R1452" s="298"/>
      <c r="S1452" s="298"/>
      <c r="T1452" s="299"/>
      <c r="U1452" s="279"/>
      <c r="V1452" s="279"/>
      <c r="W1452" s="279"/>
      <c r="X1452" s="279"/>
      <c r="Y1452" s="279"/>
      <c r="Z1452" s="279"/>
      <c r="AA1452" s="279"/>
      <c r="AB1452" s="279"/>
      <c r="AC1452" s="279"/>
      <c r="AD1452" s="279"/>
      <c r="AE1452" s="279"/>
      <c r="AF1452" s="279"/>
      <c r="AG1452" s="279"/>
      <c r="AH1452" s="279"/>
      <c r="AI1452" s="279"/>
      <c r="AJ1452" s="279"/>
      <c r="AK1452" s="279"/>
      <c r="AL1452" s="279"/>
      <c r="AM1452" s="279"/>
      <c r="AN1452" s="279"/>
      <c r="AO1452" s="279"/>
      <c r="AP1452" s="279"/>
      <c r="AQ1452" s="279"/>
      <c r="AR1452" s="279"/>
      <c r="AS1452" s="279"/>
      <c r="AT1452" s="279"/>
      <c r="AU1452" s="279"/>
      <c r="AV1452" s="279"/>
      <c r="AW1452" s="279"/>
      <c r="AX1452" s="279"/>
      <c r="AY1452" s="279"/>
      <c r="AZ1452" s="279"/>
      <c r="BA1452" s="279"/>
      <c r="BB1452" s="279"/>
      <c r="BC1452" s="279"/>
      <c r="BD1452" s="279"/>
      <c r="BE1452" s="279"/>
      <c r="BF1452" s="279"/>
      <c r="BG1452" s="279"/>
      <c r="BH1452" s="279"/>
      <c r="BI1452" s="279"/>
      <c r="BJ1452" s="279"/>
      <c r="BK1452" s="279"/>
      <c r="BL1452" s="279"/>
      <c r="BM1452" s="279"/>
      <c r="BN1452" s="279"/>
      <c r="BO1452" s="279"/>
      <c r="BP1452" s="279"/>
      <c r="BQ1452" s="279"/>
      <c r="BR1452" s="279"/>
      <c r="BS1452" s="279"/>
      <c r="BT1452" s="279"/>
      <c r="BU1452" s="279"/>
      <c r="BV1452" s="279"/>
      <c r="BW1452" s="279"/>
      <c r="BX1452" s="279"/>
      <c r="BY1452" s="279"/>
      <c r="BZ1452" s="279"/>
      <c r="CA1452" s="279"/>
      <c r="CB1452" s="279"/>
      <c r="CC1452" s="279"/>
      <c r="CD1452" s="279"/>
      <c r="CE1452" s="279"/>
      <c r="CF1452" s="279"/>
      <c r="CG1452" s="279"/>
      <c r="CH1452" s="279"/>
      <c r="CI1452" s="279"/>
      <c r="CJ1452" s="279"/>
      <c r="CK1452" s="279"/>
      <c r="CL1452" s="279"/>
      <c r="CM1452" s="279"/>
      <c r="CN1452" s="382"/>
    </row>
    <row r="1453" x14ac:dyDescent="0.3">
      <c r="B1453" s="361"/>
      <c r="C1453" s="279"/>
      <c r="D1453" s="280"/>
      <c r="E1453" s="287"/>
      <c r="F1453" s="287"/>
      <c r="G1453" s="287"/>
      <c r="H1453" s="1292">
        <f t="shared" si="73"/>
        <v>32</v>
      </c>
      <c r="I1453" s="1190" t="str">
        <f>'I. Stream &amp; Compound Data'!P293</f>
        <v/>
      </c>
      <c r="J1453" s="1295" t="str">
        <f>IF(I173="","",IF('I. Stream &amp; Compound Data'!CF293&lt;&gt;"",'I. Stream &amp; Compound Data'!CF293,'I. Stream &amp; Compound Data'!CG293))</f>
        <v/>
      </c>
      <c r="K1453" s="1312" t="str">
        <f t="shared" si="75"/>
        <v/>
      </c>
      <c r="L1453" s="301" t="str">
        <f>IF(K1453="","",IF('I. Stream &amp; Compound Data'!E63="H2O",0,(IF(J1453=0,1,J1453))*I1453))</f>
        <v/>
      </c>
      <c r="M1453" s="296"/>
      <c r="N1453" s="280"/>
      <c r="O1453" s="280"/>
      <c r="P1453" s="279"/>
      <c r="Q1453" s="297"/>
      <c r="R1453" s="298"/>
      <c r="S1453" s="298"/>
      <c r="T1453" s="299"/>
      <c r="U1453" s="279"/>
      <c r="V1453" s="279"/>
      <c r="W1453" s="279"/>
      <c r="X1453" s="279"/>
      <c r="Y1453" s="279"/>
      <c r="Z1453" s="279"/>
      <c r="AA1453" s="279"/>
      <c r="AB1453" s="279"/>
      <c r="AC1453" s="279"/>
      <c r="AD1453" s="279"/>
      <c r="AE1453" s="279"/>
      <c r="AF1453" s="279"/>
      <c r="AG1453" s="279"/>
      <c r="AH1453" s="279"/>
      <c r="AI1453" s="279"/>
      <c r="AJ1453" s="279"/>
      <c r="AK1453" s="279"/>
      <c r="AL1453" s="279"/>
      <c r="AM1453" s="279"/>
      <c r="AN1453" s="279"/>
      <c r="AO1453" s="279"/>
      <c r="AP1453" s="279"/>
      <c r="AQ1453" s="279"/>
      <c r="AR1453" s="279"/>
      <c r="AS1453" s="279"/>
      <c r="AT1453" s="279"/>
      <c r="AU1453" s="279"/>
      <c r="AV1453" s="279"/>
      <c r="AW1453" s="279"/>
      <c r="AX1453" s="279"/>
      <c r="AY1453" s="279"/>
      <c r="AZ1453" s="279"/>
      <c r="BA1453" s="279"/>
      <c r="BB1453" s="279"/>
      <c r="BC1453" s="279"/>
      <c r="BD1453" s="279"/>
      <c r="BE1453" s="279"/>
      <c r="BF1453" s="279"/>
      <c r="BG1453" s="279"/>
      <c r="BH1453" s="279"/>
      <c r="BI1453" s="279"/>
      <c r="BJ1453" s="279"/>
      <c r="BK1453" s="279"/>
      <c r="BL1453" s="279"/>
      <c r="BM1453" s="279"/>
      <c r="BN1453" s="279"/>
      <c r="BO1453" s="279"/>
      <c r="BP1453" s="279"/>
      <c r="BQ1453" s="279"/>
      <c r="BR1453" s="279"/>
      <c r="BS1453" s="279"/>
      <c r="BT1453" s="279"/>
      <c r="BU1453" s="279"/>
      <c r="BV1453" s="279"/>
      <c r="BW1453" s="279"/>
      <c r="BX1453" s="279"/>
      <c r="BY1453" s="279"/>
      <c r="BZ1453" s="279"/>
      <c r="CA1453" s="279"/>
      <c r="CB1453" s="279"/>
      <c r="CC1453" s="279"/>
      <c r="CD1453" s="279"/>
      <c r="CE1453" s="279"/>
      <c r="CF1453" s="279"/>
      <c r="CG1453" s="279"/>
      <c r="CH1453" s="279"/>
      <c r="CI1453" s="279"/>
      <c r="CJ1453" s="279"/>
      <c r="CK1453" s="279"/>
      <c r="CL1453" s="279"/>
      <c r="CM1453" s="279"/>
      <c r="CN1453" s="382"/>
    </row>
    <row r="1454" x14ac:dyDescent="0.3">
      <c r="B1454" s="361"/>
      <c r="C1454" s="279"/>
      <c r="D1454" s="280"/>
      <c r="E1454" s="287"/>
      <c r="F1454" s="287"/>
      <c r="G1454" s="287"/>
      <c r="H1454" s="1292">
        <f t="shared" si="73"/>
        <v>33</v>
      </c>
      <c r="I1454" s="1190" t="str">
        <f>'I. Stream &amp; Compound Data'!P294</f>
        <v/>
      </c>
      <c r="J1454" s="1295" t="str">
        <f>IF(I174="","",IF('I. Stream &amp; Compound Data'!CF294&lt;&gt;"",'I. Stream &amp; Compound Data'!CF294,'I. Stream &amp; Compound Data'!CG294))</f>
        <v/>
      </c>
      <c r="K1454" s="1312" t="str">
        <f t="shared" si="75"/>
        <v/>
      </c>
      <c r="L1454" s="301" t="str">
        <f>IF(K1454="","",IF('I. Stream &amp; Compound Data'!E64="H2O",0,(IF(J1454=0,1,J1454))*I1454))</f>
        <v/>
      </c>
      <c r="M1454" s="296"/>
      <c r="N1454" s="280"/>
      <c r="O1454" s="280"/>
      <c r="P1454" s="279"/>
      <c r="Q1454" s="297"/>
      <c r="R1454" s="298"/>
      <c r="S1454" s="298"/>
      <c r="T1454" s="299"/>
      <c r="U1454" s="279"/>
      <c r="V1454" s="279"/>
      <c r="W1454" s="279"/>
      <c r="X1454" s="279"/>
      <c r="Y1454" s="279"/>
      <c r="Z1454" s="279"/>
      <c r="AA1454" s="279"/>
      <c r="AB1454" s="279"/>
      <c r="AC1454" s="279"/>
      <c r="AD1454" s="279"/>
      <c r="AE1454" s="279"/>
      <c r="AF1454" s="279"/>
      <c r="AG1454" s="279"/>
      <c r="AH1454" s="279"/>
      <c r="AI1454" s="279"/>
      <c r="AJ1454" s="279"/>
      <c r="AK1454" s="279"/>
      <c r="AL1454" s="279"/>
      <c r="AM1454" s="279"/>
      <c r="AN1454" s="279"/>
      <c r="AO1454" s="279"/>
      <c r="AP1454" s="279"/>
      <c r="AQ1454" s="279"/>
      <c r="AR1454" s="279"/>
      <c r="AS1454" s="279"/>
      <c r="AT1454" s="279"/>
      <c r="AU1454" s="279"/>
      <c r="AV1454" s="279"/>
      <c r="AW1454" s="279"/>
      <c r="AX1454" s="279"/>
      <c r="AY1454" s="279"/>
      <c r="AZ1454" s="279"/>
      <c r="BA1454" s="279"/>
      <c r="BB1454" s="279"/>
      <c r="BC1454" s="279"/>
      <c r="BD1454" s="279"/>
      <c r="BE1454" s="279"/>
      <c r="BF1454" s="279"/>
      <c r="BG1454" s="279"/>
      <c r="BH1454" s="279"/>
      <c r="BI1454" s="279"/>
      <c r="BJ1454" s="279"/>
      <c r="BK1454" s="279"/>
      <c r="BL1454" s="279"/>
      <c r="BM1454" s="279"/>
      <c r="BN1454" s="279"/>
      <c r="BO1454" s="279"/>
      <c r="BP1454" s="279"/>
      <c r="BQ1454" s="279"/>
      <c r="BR1454" s="279"/>
      <c r="BS1454" s="279"/>
      <c r="BT1454" s="279"/>
      <c r="BU1454" s="279"/>
      <c r="BV1454" s="279"/>
      <c r="BW1454" s="279"/>
      <c r="BX1454" s="279"/>
      <c r="BY1454" s="279"/>
      <c r="BZ1454" s="279"/>
      <c r="CA1454" s="279"/>
      <c r="CB1454" s="279"/>
      <c r="CC1454" s="279"/>
      <c r="CD1454" s="279"/>
      <c r="CE1454" s="279"/>
      <c r="CF1454" s="279"/>
      <c r="CG1454" s="279"/>
      <c r="CH1454" s="279"/>
      <c r="CI1454" s="279"/>
      <c r="CJ1454" s="279"/>
      <c r="CK1454" s="279"/>
      <c r="CL1454" s="279"/>
      <c r="CM1454" s="279"/>
      <c r="CN1454" s="382"/>
    </row>
    <row r="1455" x14ac:dyDescent="0.3">
      <c r="B1455" s="361"/>
      <c r="C1455" s="279"/>
      <c r="D1455" s="280"/>
      <c r="E1455" s="287"/>
      <c r="F1455" s="287"/>
      <c r="G1455" s="287"/>
      <c r="H1455" s="1292">
        <f t="shared" si="73"/>
        <v>34</v>
      </c>
      <c r="I1455" s="1190" t="str">
        <f>'I. Stream &amp; Compound Data'!P295</f>
        <v/>
      </c>
      <c r="J1455" s="1295" t="str">
        <f>IF(I175="","",IF('I. Stream &amp; Compound Data'!CF295&lt;&gt;"",'I. Stream &amp; Compound Data'!CF295,'I. Stream &amp; Compound Data'!CG295))</f>
        <v/>
      </c>
      <c r="K1455" s="1312" t="str">
        <f t="shared" si="75"/>
        <v/>
      </c>
      <c r="L1455" s="301" t="str">
        <f>IF(K1455="","",IF('I. Stream &amp; Compound Data'!E65="H2O",0,(IF(J1455=0,1,J1455))*I1455))</f>
        <v/>
      </c>
      <c r="M1455" s="296"/>
      <c r="N1455" s="280"/>
      <c r="O1455" s="280"/>
      <c r="P1455" s="279"/>
      <c r="Q1455" s="297"/>
      <c r="R1455" s="298"/>
      <c r="S1455" s="298"/>
      <c r="T1455" s="299"/>
      <c r="U1455" s="279"/>
      <c r="V1455" s="279"/>
      <c r="W1455" s="279"/>
      <c r="X1455" s="279"/>
      <c r="Y1455" s="279"/>
      <c r="Z1455" s="279"/>
      <c r="AA1455" s="279"/>
      <c r="AB1455" s="279"/>
      <c r="AC1455" s="279"/>
      <c r="AD1455" s="279"/>
      <c r="AE1455" s="279"/>
      <c r="AF1455" s="279"/>
      <c r="AG1455" s="279"/>
      <c r="AH1455" s="279"/>
      <c r="AI1455" s="279"/>
      <c r="AJ1455" s="279"/>
      <c r="AK1455" s="279"/>
      <c r="AL1455" s="279"/>
      <c r="AM1455" s="279"/>
      <c r="AN1455" s="279"/>
      <c r="AO1455" s="279"/>
      <c r="AP1455" s="279"/>
      <c r="AQ1455" s="279"/>
      <c r="AR1455" s="279"/>
      <c r="AS1455" s="279"/>
      <c r="AT1455" s="279"/>
      <c r="AU1455" s="279"/>
      <c r="AV1455" s="279"/>
      <c r="AW1455" s="279"/>
      <c r="AX1455" s="279"/>
      <c r="AY1455" s="279"/>
      <c r="AZ1455" s="279"/>
      <c r="BA1455" s="279"/>
      <c r="BB1455" s="279"/>
      <c r="BC1455" s="279"/>
      <c r="BD1455" s="279"/>
      <c r="BE1455" s="279"/>
      <c r="BF1455" s="279"/>
      <c r="BG1455" s="279"/>
      <c r="BH1455" s="279"/>
      <c r="BI1455" s="279"/>
      <c r="BJ1455" s="279"/>
      <c r="BK1455" s="279"/>
      <c r="BL1455" s="279"/>
      <c r="BM1455" s="279"/>
      <c r="BN1455" s="279"/>
      <c r="BO1455" s="279"/>
      <c r="BP1455" s="279"/>
      <c r="BQ1455" s="279"/>
      <c r="BR1455" s="279"/>
      <c r="BS1455" s="279"/>
      <c r="BT1455" s="279"/>
      <c r="BU1455" s="279"/>
      <c r="BV1455" s="279"/>
      <c r="BW1455" s="279"/>
      <c r="BX1455" s="279"/>
      <c r="BY1455" s="279"/>
      <c r="BZ1455" s="279"/>
      <c r="CA1455" s="279"/>
      <c r="CB1455" s="279"/>
      <c r="CC1455" s="279"/>
      <c r="CD1455" s="279"/>
      <c r="CE1455" s="279"/>
      <c r="CF1455" s="279"/>
      <c r="CG1455" s="279"/>
      <c r="CH1455" s="279"/>
      <c r="CI1455" s="279"/>
      <c r="CJ1455" s="279"/>
      <c r="CK1455" s="279"/>
      <c r="CL1455" s="279"/>
      <c r="CM1455" s="279"/>
      <c r="CN1455" s="382"/>
    </row>
    <row r="1456" x14ac:dyDescent="0.3">
      <c r="B1456" s="361"/>
      <c r="C1456" s="279"/>
      <c r="D1456" s="280"/>
      <c r="E1456" s="287"/>
      <c r="F1456" s="287"/>
      <c r="G1456" s="287"/>
      <c r="H1456" s="1292">
        <f t="shared" si="73"/>
        <v>35</v>
      </c>
      <c r="I1456" s="1190" t="str">
        <f>'I. Stream &amp; Compound Data'!P296</f>
        <v/>
      </c>
      <c r="J1456" s="1295" t="str">
        <f>IF(I176="","",IF('I. Stream &amp; Compound Data'!CF296&lt;&gt;"",'I. Stream &amp; Compound Data'!CF296,'I. Stream &amp; Compound Data'!CG296))</f>
        <v/>
      </c>
      <c r="K1456" s="1312" t="str">
        <f t="shared" si="75"/>
        <v/>
      </c>
      <c r="L1456" s="301" t="str">
        <f>IF(K1456="","",IF('I. Stream &amp; Compound Data'!E66="H2O",0,(IF(J1456=0,1,J1456))*I1456))</f>
        <v/>
      </c>
      <c r="M1456" s="296"/>
      <c r="N1456" s="280"/>
      <c r="O1456" s="280"/>
      <c r="P1456" s="279"/>
      <c r="Q1456" s="297"/>
      <c r="R1456" s="298"/>
      <c r="S1456" s="298"/>
      <c r="T1456" s="299"/>
      <c r="U1456" s="279"/>
      <c r="V1456" s="279"/>
      <c r="W1456" s="279"/>
      <c r="X1456" s="279"/>
      <c r="Y1456" s="279"/>
      <c r="Z1456" s="279"/>
      <c r="AA1456" s="279"/>
      <c r="AB1456" s="279"/>
      <c r="AC1456" s="279"/>
      <c r="AD1456" s="279"/>
      <c r="AE1456" s="279"/>
      <c r="AF1456" s="279"/>
      <c r="AG1456" s="279"/>
      <c r="AH1456" s="279"/>
      <c r="AI1456" s="279"/>
      <c r="AJ1456" s="279"/>
      <c r="AK1456" s="279"/>
      <c r="AL1456" s="279"/>
      <c r="AM1456" s="279"/>
      <c r="AN1456" s="279"/>
      <c r="AO1456" s="279"/>
      <c r="AP1456" s="279"/>
      <c r="AQ1456" s="279"/>
      <c r="AR1456" s="279"/>
      <c r="AS1456" s="279"/>
      <c r="AT1456" s="279"/>
      <c r="AU1456" s="279"/>
      <c r="AV1456" s="279"/>
      <c r="AW1456" s="279"/>
      <c r="AX1456" s="279"/>
      <c r="AY1456" s="279"/>
      <c r="AZ1456" s="279"/>
      <c r="BA1456" s="279"/>
      <c r="BB1456" s="279"/>
      <c r="BC1456" s="279"/>
      <c r="BD1456" s="279"/>
      <c r="BE1456" s="279"/>
      <c r="BF1456" s="279"/>
      <c r="BG1456" s="279"/>
      <c r="BH1456" s="279"/>
      <c r="BI1456" s="279"/>
      <c r="BJ1456" s="279"/>
      <c r="BK1456" s="279"/>
      <c r="BL1456" s="279"/>
      <c r="BM1456" s="279"/>
      <c r="BN1456" s="279"/>
      <c r="BO1456" s="279"/>
      <c r="BP1456" s="279"/>
      <c r="BQ1456" s="279"/>
      <c r="BR1456" s="279"/>
      <c r="BS1456" s="279"/>
      <c r="BT1456" s="279"/>
      <c r="BU1456" s="279"/>
      <c r="BV1456" s="279"/>
      <c r="BW1456" s="279"/>
      <c r="BX1456" s="279"/>
      <c r="BY1456" s="279"/>
      <c r="BZ1456" s="279"/>
      <c r="CA1456" s="279"/>
      <c r="CB1456" s="279"/>
      <c r="CC1456" s="279"/>
      <c r="CD1456" s="279"/>
      <c r="CE1456" s="279"/>
      <c r="CF1456" s="279"/>
      <c r="CG1456" s="279"/>
      <c r="CH1456" s="279"/>
      <c r="CI1456" s="279"/>
      <c r="CJ1456" s="279"/>
      <c r="CK1456" s="279"/>
      <c r="CL1456" s="279"/>
      <c r="CM1456" s="279"/>
      <c r="CN1456" s="382"/>
    </row>
    <row r="1457" x14ac:dyDescent="0.3">
      <c r="B1457" s="361"/>
      <c r="C1457" s="279"/>
      <c r="D1457" s="280"/>
      <c r="E1457" s="287"/>
      <c r="F1457" s="287"/>
      <c r="G1457" s="287"/>
      <c r="H1457" s="1292">
        <f t="shared" si="73"/>
        <v>36</v>
      </c>
      <c r="I1457" s="1190" t="str">
        <f>'I. Stream &amp; Compound Data'!P297</f>
        <v/>
      </c>
      <c r="J1457" s="1295" t="str">
        <f>IF(I177="","",IF('I. Stream &amp; Compound Data'!CF297&lt;&gt;"",'I. Stream &amp; Compound Data'!CF297,'I. Stream &amp; Compound Data'!CG297))</f>
        <v/>
      </c>
      <c r="K1457" s="1312" t="str">
        <f t="shared" si="75"/>
        <v/>
      </c>
      <c r="L1457" s="301" t="str">
        <f>IF(K1457="","",IF('I. Stream &amp; Compound Data'!E67="H2O",0,(IF(J1457=0,1,J1457))*I1457))</f>
        <v/>
      </c>
      <c r="M1457" s="296"/>
      <c r="N1457" s="280"/>
      <c r="O1457" s="280"/>
      <c r="P1457" s="279"/>
      <c r="Q1457" s="297"/>
      <c r="R1457" s="298"/>
      <c r="S1457" s="298"/>
      <c r="T1457" s="299"/>
      <c r="U1457" s="279"/>
      <c r="V1457" s="279"/>
      <c r="W1457" s="279"/>
      <c r="X1457" s="279"/>
      <c r="Y1457" s="279"/>
      <c r="Z1457" s="279"/>
      <c r="AA1457" s="279"/>
      <c r="AB1457" s="279"/>
      <c r="AC1457" s="279"/>
      <c r="AD1457" s="279"/>
      <c r="AE1457" s="279"/>
      <c r="AF1457" s="279"/>
      <c r="AG1457" s="279"/>
      <c r="AH1457" s="279"/>
      <c r="AI1457" s="279"/>
      <c r="AJ1457" s="279"/>
      <c r="AK1457" s="279"/>
      <c r="AL1457" s="279"/>
      <c r="AM1457" s="279"/>
      <c r="AN1457" s="279"/>
      <c r="AO1457" s="279"/>
      <c r="AP1457" s="279"/>
      <c r="AQ1457" s="279"/>
      <c r="AR1457" s="279"/>
      <c r="AS1457" s="279"/>
      <c r="AT1457" s="279"/>
      <c r="AU1457" s="279"/>
      <c r="AV1457" s="279"/>
      <c r="AW1457" s="279"/>
      <c r="AX1457" s="279"/>
      <c r="AY1457" s="279"/>
      <c r="AZ1457" s="279"/>
      <c r="BA1457" s="279"/>
      <c r="BB1457" s="279"/>
      <c r="BC1457" s="279"/>
      <c r="BD1457" s="279"/>
      <c r="BE1457" s="279"/>
      <c r="BF1457" s="279"/>
      <c r="BG1457" s="279"/>
      <c r="BH1457" s="279"/>
      <c r="BI1457" s="279"/>
      <c r="BJ1457" s="279"/>
      <c r="BK1457" s="279"/>
      <c r="BL1457" s="279"/>
      <c r="BM1457" s="279"/>
      <c r="BN1457" s="279"/>
      <c r="BO1457" s="279"/>
      <c r="BP1457" s="279"/>
      <c r="BQ1457" s="279"/>
      <c r="BR1457" s="279"/>
      <c r="BS1457" s="279"/>
      <c r="BT1457" s="279"/>
      <c r="BU1457" s="279"/>
      <c r="BV1457" s="279"/>
      <c r="BW1457" s="279"/>
      <c r="BX1457" s="279"/>
      <c r="BY1457" s="279"/>
      <c r="BZ1457" s="279"/>
      <c r="CA1457" s="279"/>
      <c r="CB1457" s="279"/>
      <c r="CC1457" s="279"/>
      <c r="CD1457" s="279"/>
      <c r="CE1457" s="279"/>
      <c r="CF1457" s="279"/>
      <c r="CG1457" s="279"/>
      <c r="CH1457" s="279"/>
      <c r="CI1457" s="279"/>
      <c r="CJ1457" s="279"/>
      <c r="CK1457" s="279"/>
      <c r="CL1457" s="279"/>
      <c r="CM1457" s="279"/>
      <c r="CN1457" s="382"/>
    </row>
    <row r="1458" x14ac:dyDescent="0.3">
      <c r="B1458" s="361"/>
      <c r="C1458" s="279"/>
      <c r="D1458" s="280"/>
      <c r="E1458" s="287"/>
      <c r="F1458" s="287"/>
      <c r="G1458" s="287"/>
      <c r="H1458" s="1292">
        <f t="shared" si="73"/>
        <v>37</v>
      </c>
      <c r="I1458" s="1190" t="str">
        <f>'I. Stream &amp; Compound Data'!P298</f>
        <v/>
      </c>
      <c r="J1458" s="1295" t="str">
        <f>IF(I178="","",IF('I. Stream &amp; Compound Data'!CF298&lt;&gt;"",'I. Stream &amp; Compound Data'!CF298,'I. Stream &amp; Compound Data'!CG298))</f>
        <v/>
      </c>
      <c r="K1458" s="1312" t="str">
        <f t="shared" si="75"/>
        <v/>
      </c>
      <c r="L1458" s="301" t="str">
        <f>IF(K1458="","",IF('I. Stream &amp; Compound Data'!E68="H2O",0,(IF(J1458=0,1,J1458))*I1458))</f>
        <v/>
      </c>
      <c r="M1458" s="296"/>
      <c r="N1458" s="280"/>
      <c r="O1458" s="280"/>
      <c r="P1458" s="279"/>
      <c r="Q1458" s="297"/>
      <c r="R1458" s="298"/>
      <c r="S1458" s="298"/>
      <c r="T1458" s="299"/>
      <c r="U1458" s="279"/>
      <c r="V1458" s="279"/>
      <c r="W1458" s="279"/>
      <c r="X1458" s="279"/>
      <c r="Y1458" s="279"/>
      <c r="Z1458" s="279"/>
      <c r="AA1458" s="279"/>
      <c r="AB1458" s="279"/>
      <c r="AC1458" s="279"/>
      <c r="AD1458" s="279"/>
      <c r="AE1458" s="279"/>
      <c r="AF1458" s="279"/>
      <c r="AG1458" s="279"/>
      <c r="AH1458" s="279"/>
      <c r="AI1458" s="279"/>
      <c r="AJ1458" s="279"/>
      <c r="AK1458" s="279"/>
      <c r="AL1458" s="279"/>
      <c r="AM1458" s="279"/>
      <c r="AN1458" s="279"/>
      <c r="AO1458" s="279"/>
      <c r="AP1458" s="279"/>
      <c r="AQ1458" s="279"/>
      <c r="AR1458" s="279"/>
      <c r="AS1458" s="279"/>
      <c r="AT1458" s="279"/>
      <c r="AU1458" s="279"/>
      <c r="AV1458" s="279"/>
      <c r="AW1458" s="279"/>
      <c r="AX1458" s="279"/>
      <c r="AY1458" s="279"/>
      <c r="AZ1458" s="279"/>
      <c r="BA1458" s="279"/>
      <c r="BB1458" s="279"/>
      <c r="BC1458" s="279"/>
      <c r="BD1458" s="279"/>
      <c r="BE1458" s="279"/>
      <c r="BF1458" s="279"/>
      <c r="BG1458" s="279"/>
      <c r="BH1458" s="279"/>
      <c r="BI1458" s="279"/>
      <c r="BJ1458" s="279"/>
      <c r="BK1458" s="279"/>
      <c r="BL1458" s="279"/>
      <c r="BM1458" s="279"/>
      <c r="BN1458" s="279"/>
      <c r="BO1458" s="279"/>
      <c r="BP1458" s="279"/>
      <c r="BQ1458" s="279"/>
      <c r="BR1458" s="279"/>
      <c r="BS1458" s="279"/>
      <c r="BT1458" s="279"/>
      <c r="BU1458" s="279"/>
      <c r="BV1458" s="279"/>
      <c r="BW1458" s="279"/>
      <c r="BX1458" s="279"/>
      <c r="BY1458" s="279"/>
      <c r="BZ1458" s="279"/>
      <c r="CA1458" s="279"/>
      <c r="CB1458" s="279"/>
      <c r="CC1458" s="279"/>
      <c r="CD1458" s="279"/>
      <c r="CE1458" s="279"/>
      <c r="CF1458" s="279"/>
      <c r="CG1458" s="279"/>
      <c r="CH1458" s="279"/>
      <c r="CI1458" s="279"/>
      <c r="CJ1458" s="279"/>
      <c r="CK1458" s="279"/>
      <c r="CL1458" s="279"/>
      <c r="CM1458" s="279"/>
      <c r="CN1458" s="382"/>
    </row>
    <row r="1459" x14ac:dyDescent="0.3">
      <c r="B1459" s="361"/>
      <c r="C1459" s="279"/>
      <c r="D1459" s="280"/>
      <c r="E1459" s="287"/>
      <c r="F1459" s="287"/>
      <c r="G1459" s="287"/>
      <c r="H1459" s="1292">
        <f t="shared" si="73"/>
        <v>38</v>
      </c>
      <c r="I1459" s="1190" t="str">
        <f>'I. Stream &amp; Compound Data'!P299</f>
        <v/>
      </c>
      <c r="J1459" s="1295" t="str">
        <f>IF(I179="","",IF('I. Stream &amp; Compound Data'!CF299&lt;&gt;"",'I. Stream &amp; Compound Data'!CF299,'I. Stream &amp; Compound Data'!CG299))</f>
        <v/>
      </c>
      <c r="K1459" s="1312" t="str">
        <f t="shared" si="75"/>
        <v/>
      </c>
      <c r="L1459" s="301" t="str">
        <f>IF(K1459="","",IF('I. Stream &amp; Compound Data'!E69="H2O",0,(IF(J1459=0,1,J1459))*I1459))</f>
        <v/>
      </c>
      <c r="M1459" s="296"/>
      <c r="N1459" s="280"/>
      <c r="O1459" s="280"/>
      <c r="P1459" s="279"/>
      <c r="Q1459" s="297"/>
      <c r="R1459" s="298"/>
      <c r="S1459" s="298"/>
      <c r="T1459" s="299"/>
      <c r="U1459" s="279"/>
      <c r="V1459" s="279"/>
      <c r="W1459" s="279"/>
      <c r="X1459" s="279"/>
      <c r="Y1459" s="279"/>
      <c r="Z1459" s="279"/>
      <c r="AA1459" s="279"/>
      <c r="AB1459" s="279"/>
      <c r="AC1459" s="279"/>
      <c r="AD1459" s="279"/>
      <c r="AE1459" s="279"/>
      <c r="AF1459" s="279"/>
      <c r="AG1459" s="279"/>
      <c r="AH1459" s="279"/>
      <c r="AI1459" s="279"/>
      <c r="AJ1459" s="279"/>
      <c r="AK1459" s="279"/>
      <c r="AL1459" s="279"/>
      <c r="AM1459" s="279"/>
      <c r="AN1459" s="279"/>
      <c r="AO1459" s="279"/>
      <c r="AP1459" s="279"/>
      <c r="AQ1459" s="279"/>
      <c r="AR1459" s="279"/>
      <c r="AS1459" s="279"/>
      <c r="AT1459" s="279"/>
      <c r="AU1459" s="279"/>
      <c r="AV1459" s="279"/>
      <c r="AW1459" s="279"/>
      <c r="AX1459" s="279"/>
      <c r="AY1459" s="279"/>
      <c r="AZ1459" s="279"/>
      <c r="BA1459" s="279"/>
      <c r="BB1459" s="279"/>
      <c r="BC1459" s="279"/>
      <c r="BD1459" s="279"/>
      <c r="BE1459" s="279"/>
      <c r="BF1459" s="279"/>
      <c r="BG1459" s="279"/>
      <c r="BH1459" s="279"/>
      <c r="BI1459" s="279"/>
      <c r="BJ1459" s="279"/>
      <c r="BK1459" s="279"/>
      <c r="BL1459" s="279"/>
      <c r="BM1459" s="279"/>
      <c r="BN1459" s="279"/>
      <c r="BO1459" s="279"/>
      <c r="BP1459" s="279"/>
      <c r="BQ1459" s="279"/>
      <c r="BR1459" s="279"/>
      <c r="BS1459" s="279"/>
      <c r="BT1459" s="279"/>
      <c r="BU1459" s="279"/>
      <c r="BV1459" s="279"/>
      <c r="BW1459" s="279"/>
      <c r="BX1459" s="279"/>
      <c r="BY1459" s="279"/>
      <c r="BZ1459" s="279"/>
      <c r="CA1459" s="279"/>
      <c r="CB1459" s="279"/>
      <c r="CC1459" s="279"/>
      <c r="CD1459" s="279"/>
      <c r="CE1459" s="279"/>
      <c r="CF1459" s="279"/>
      <c r="CG1459" s="279"/>
      <c r="CH1459" s="279"/>
      <c r="CI1459" s="279"/>
      <c r="CJ1459" s="279"/>
      <c r="CK1459" s="279"/>
      <c r="CL1459" s="279"/>
      <c r="CM1459" s="279"/>
      <c r="CN1459" s="382"/>
    </row>
    <row r="1460" x14ac:dyDescent="0.3">
      <c r="B1460" s="361"/>
      <c r="C1460" s="279"/>
      <c r="D1460" s="280"/>
      <c r="E1460" s="287"/>
      <c r="F1460" s="287"/>
      <c r="G1460" s="287"/>
      <c r="H1460" s="1292">
        <f t="shared" si="73"/>
        <v>39</v>
      </c>
      <c r="I1460" s="1190" t="str">
        <f>'I. Stream &amp; Compound Data'!P300</f>
        <v/>
      </c>
      <c r="J1460" s="1295" t="str">
        <f>IF(I180="","",IF('I. Stream &amp; Compound Data'!CF300&lt;&gt;"",'I. Stream &amp; Compound Data'!CF300,'I. Stream &amp; Compound Data'!CG300))</f>
        <v/>
      </c>
      <c r="K1460" s="1312" t="str">
        <f t="shared" si="75"/>
        <v/>
      </c>
      <c r="L1460" s="301" t="str">
        <f>IF(K1460="","",IF('I. Stream &amp; Compound Data'!E70="H2O",0,(IF(J1460=0,1,J1460))*I1460))</f>
        <v/>
      </c>
      <c r="M1460" s="296"/>
      <c r="N1460" s="280"/>
      <c r="O1460" s="280"/>
      <c r="P1460" s="279"/>
      <c r="Q1460" s="297"/>
      <c r="R1460" s="298"/>
      <c r="S1460" s="298"/>
      <c r="T1460" s="299"/>
      <c r="U1460" s="279"/>
      <c r="V1460" s="279"/>
      <c r="W1460" s="279"/>
      <c r="X1460" s="279"/>
      <c r="Y1460" s="279"/>
      <c r="Z1460" s="279"/>
      <c r="AA1460" s="279"/>
      <c r="AB1460" s="279"/>
      <c r="AC1460" s="279"/>
      <c r="AD1460" s="279"/>
      <c r="AE1460" s="279"/>
      <c r="AF1460" s="279"/>
      <c r="AG1460" s="279"/>
      <c r="AH1460" s="279"/>
      <c r="AI1460" s="279"/>
      <c r="AJ1460" s="279"/>
      <c r="AK1460" s="279"/>
      <c r="AL1460" s="279"/>
      <c r="AM1460" s="279"/>
      <c r="AN1460" s="279"/>
      <c r="AO1460" s="279"/>
      <c r="AP1460" s="279"/>
      <c r="AQ1460" s="279"/>
      <c r="AR1460" s="279"/>
      <c r="AS1460" s="279"/>
      <c r="AT1460" s="279"/>
      <c r="AU1460" s="279"/>
      <c r="AV1460" s="279"/>
      <c r="AW1460" s="279"/>
      <c r="AX1460" s="279"/>
      <c r="AY1460" s="279"/>
      <c r="AZ1460" s="279"/>
      <c r="BA1460" s="279"/>
      <c r="BB1460" s="279"/>
      <c r="BC1460" s="279"/>
      <c r="BD1460" s="279"/>
      <c r="BE1460" s="279"/>
      <c r="BF1460" s="279"/>
      <c r="BG1460" s="279"/>
      <c r="BH1460" s="279"/>
      <c r="BI1460" s="279"/>
      <c r="BJ1460" s="279"/>
      <c r="BK1460" s="279"/>
      <c r="BL1460" s="279"/>
      <c r="BM1460" s="279"/>
      <c r="BN1460" s="279"/>
      <c r="BO1460" s="279"/>
      <c r="BP1460" s="279"/>
      <c r="BQ1460" s="279"/>
      <c r="BR1460" s="279"/>
      <c r="BS1460" s="279"/>
      <c r="BT1460" s="279"/>
      <c r="BU1460" s="279"/>
      <c r="BV1460" s="279"/>
      <c r="BW1460" s="279"/>
      <c r="BX1460" s="279"/>
      <c r="BY1460" s="279"/>
      <c r="BZ1460" s="279"/>
      <c r="CA1460" s="279"/>
      <c r="CB1460" s="279"/>
      <c r="CC1460" s="279"/>
      <c r="CD1460" s="279"/>
      <c r="CE1460" s="279"/>
      <c r="CF1460" s="279"/>
      <c r="CG1460" s="279"/>
      <c r="CH1460" s="279"/>
      <c r="CI1460" s="279"/>
      <c r="CJ1460" s="279"/>
      <c r="CK1460" s="279"/>
      <c r="CL1460" s="279"/>
      <c r="CM1460" s="279"/>
      <c r="CN1460" s="382"/>
    </row>
    <row r="1461" x14ac:dyDescent="0.3">
      <c r="B1461" s="361"/>
      <c r="C1461" s="279"/>
      <c r="D1461" s="280"/>
      <c r="E1461" s="287"/>
      <c r="F1461" s="287"/>
      <c r="G1461" s="287"/>
      <c r="H1461" s="1292">
        <f t="shared" si="73"/>
        <v>40</v>
      </c>
      <c r="I1461" s="1190" t="str">
        <f>'I. Stream &amp; Compound Data'!P301</f>
        <v/>
      </c>
      <c r="J1461" s="1295" t="str">
        <f>IF(I181="","",IF('I. Stream &amp; Compound Data'!CF301&lt;&gt;"",'I. Stream &amp; Compound Data'!CF301,'I. Stream &amp; Compound Data'!CG301))</f>
        <v/>
      </c>
      <c r="K1461" s="1312" t="str">
        <f t="shared" si="75"/>
        <v/>
      </c>
      <c r="L1461" s="301" t="str">
        <f>IF(K1461="","",IF('I. Stream &amp; Compound Data'!E71="H2O",0,(IF(J1461=0,1,J1461))*I1461))</f>
        <v/>
      </c>
      <c r="M1461" s="296"/>
      <c r="N1461" s="280"/>
      <c r="O1461" s="280"/>
      <c r="P1461" s="279"/>
      <c r="Q1461" s="297"/>
      <c r="R1461" s="298"/>
      <c r="S1461" s="298"/>
      <c r="T1461" s="299"/>
      <c r="U1461" s="279"/>
      <c r="V1461" s="279"/>
      <c r="W1461" s="279"/>
      <c r="X1461" s="279"/>
      <c r="Y1461" s="279"/>
      <c r="Z1461" s="279"/>
      <c r="AA1461" s="279"/>
      <c r="AB1461" s="279"/>
      <c r="AC1461" s="279"/>
      <c r="AD1461" s="279"/>
      <c r="AE1461" s="279"/>
      <c r="AF1461" s="279"/>
      <c r="AG1461" s="279"/>
      <c r="AH1461" s="279"/>
      <c r="AI1461" s="279"/>
      <c r="AJ1461" s="279"/>
      <c r="AK1461" s="279"/>
      <c r="AL1461" s="279"/>
      <c r="AM1461" s="279"/>
      <c r="AN1461" s="279"/>
      <c r="AO1461" s="279"/>
      <c r="AP1461" s="279"/>
      <c r="AQ1461" s="279"/>
      <c r="AR1461" s="279"/>
      <c r="AS1461" s="279"/>
      <c r="AT1461" s="279"/>
      <c r="AU1461" s="279"/>
      <c r="AV1461" s="279"/>
      <c r="AW1461" s="279"/>
      <c r="AX1461" s="279"/>
      <c r="AY1461" s="279"/>
      <c r="AZ1461" s="279"/>
      <c r="BA1461" s="279"/>
      <c r="BB1461" s="279"/>
      <c r="BC1461" s="279"/>
      <c r="BD1461" s="279"/>
      <c r="BE1461" s="279"/>
      <c r="BF1461" s="279"/>
      <c r="BG1461" s="279"/>
      <c r="BH1461" s="279"/>
      <c r="BI1461" s="279"/>
      <c r="BJ1461" s="279"/>
      <c r="BK1461" s="279"/>
      <c r="BL1461" s="279"/>
      <c r="BM1461" s="279"/>
      <c r="BN1461" s="279"/>
      <c r="BO1461" s="279"/>
      <c r="BP1461" s="279"/>
      <c r="BQ1461" s="279"/>
      <c r="BR1461" s="279"/>
      <c r="BS1461" s="279"/>
      <c r="BT1461" s="279"/>
      <c r="BU1461" s="279"/>
      <c r="BV1461" s="279"/>
      <c r="BW1461" s="279"/>
      <c r="BX1461" s="279"/>
      <c r="BY1461" s="279"/>
      <c r="BZ1461" s="279"/>
      <c r="CA1461" s="279"/>
      <c r="CB1461" s="279"/>
      <c r="CC1461" s="279"/>
      <c r="CD1461" s="279"/>
      <c r="CE1461" s="279"/>
      <c r="CF1461" s="279"/>
      <c r="CG1461" s="279"/>
      <c r="CH1461" s="279"/>
      <c r="CI1461" s="279"/>
      <c r="CJ1461" s="279"/>
      <c r="CK1461" s="279"/>
      <c r="CL1461" s="279"/>
      <c r="CM1461" s="279"/>
      <c r="CN1461" s="382"/>
    </row>
    <row r="1462" x14ac:dyDescent="0.3">
      <c r="B1462" s="361"/>
      <c r="C1462" s="279"/>
      <c r="D1462" s="280"/>
      <c r="E1462" s="287"/>
      <c r="F1462" s="287"/>
      <c r="G1462" s="287"/>
      <c r="H1462" s="1292">
        <f t="shared" si="73"/>
        <v>41</v>
      </c>
      <c r="I1462" s="1190" t="str">
        <f>'I. Stream &amp; Compound Data'!P302</f>
        <v/>
      </c>
      <c r="J1462" s="1295" t="str">
        <f>IF(I182="","",IF('I. Stream &amp; Compound Data'!CF302&lt;&gt;"",'I. Stream &amp; Compound Data'!CF302,'I. Stream &amp; Compound Data'!CG302))</f>
        <v/>
      </c>
      <c r="K1462" s="1312" t="str">
        <f t="shared" si="75"/>
        <v/>
      </c>
      <c r="L1462" s="301" t="str">
        <f>IF(K1462="","",IF('I. Stream &amp; Compound Data'!E72="H2O",0,(IF(J1462=0,1,J1462))*I1462))</f>
        <v/>
      </c>
      <c r="M1462" s="296"/>
      <c r="N1462" s="280"/>
      <c r="O1462" s="280"/>
      <c r="P1462" s="279"/>
      <c r="Q1462" s="297"/>
      <c r="R1462" s="298"/>
      <c r="S1462" s="298"/>
      <c r="T1462" s="299"/>
      <c r="U1462" s="279"/>
      <c r="V1462" s="279"/>
      <c r="W1462" s="279"/>
      <c r="X1462" s="279"/>
      <c r="Y1462" s="279"/>
      <c r="Z1462" s="279"/>
      <c r="AA1462" s="279"/>
      <c r="AB1462" s="279"/>
      <c r="AC1462" s="279"/>
      <c r="AD1462" s="279"/>
      <c r="AE1462" s="279"/>
      <c r="AF1462" s="279"/>
      <c r="AG1462" s="279"/>
      <c r="AH1462" s="279"/>
      <c r="AI1462" s="279"/>
      <c r="AJ1462" s="279"/>
      <c r="AK1462" s="279"/>
      <c r="AL1462" s="279"/>
      <c r="AM1462" s="279"/>
      <c r="AN1462" s="279"/>
      <c r="AO1462" s="279"/>
      <c r="AP1462" s="279"/>
      <c r="AQ1462" s="279"/>
      <c r="AR1462" s="279"/>
      <c r="AS1462" s="279"/>
      <c r="AT1462" s="279"/>
      <c r="AU1462" s="279"/>
      <c r="AV1462" s="279"/>
      <c r="AW1462" s="279"/>
      <c r="AX1462" s="279"/>
      <c r="AY1462" s="279"/>
      <c r="AZ1462" s="279"/>
      <c r="BA1462" s="279"/>
      <c r="BB1462" s="279"/>
      <c r="BC1462" s="279"/>
      <c r="BD1462" s="279"/>
      <c r="BE1462" s="279"/>
      <c r="BF1462" s="279"/>
      <c r="BG1462" s="279"/>
      <c r="BH1462" s="279"/>
      <c r="BI1462" s="279"/>
      <c r="BJ1462" s="279"/>
      <c r="BK1462" s="279"/>
      <c r="BL1462" s="279"/>
      <c r="BM1462" s="279"/>
      <c r="BN1462" s="279"/>
      <c r="BO1462" s="279"/>
      <c r="BP1462" s="279"/>
      <c r="BQ1462" s="279"/>
      <c r="BR1462" s="279"/>
      <c r="BS1462" s="279"/>
      <c r="BT1462" s="279"/>
      <c r="BU1462" s="279"/>
      <c r="BV1462" s="279"/>
      <c r="BW1462" s="279"/>
      <c r="BX1462" s="279"/>
      <c r="BY1462" s="279"/>
      <c r="BZ1462" s="279"/>
      <c r="CA1462" s="279"/>
      <c r="CB1462" s="279"/>
      <c r="CC1462" s="279"/>
      <c r="CD1462" s="279"/>
      <c r="CE1462" s="279"/>
      <c r="CF1462" s="279"/>
      <c r="CG1462" s="279"/>
      <c r="CH1462" s="279"/>
      <c r="CI1462" s="279"/>
      <c r="CJ1462" s="279"/>
      <c r="CK1462" s="279"/>
      <c r="CL1462" s="279"/>
      <c r="CM1462" s="279"/>
      <c r="CN1462" s="382"/>
    </row>
    <row r="1463" x14ac:dyDescent="0.3">
      <c r="B1463" s="361"/>
      <c r="C1463" s="279"/>
      <c r="D1463" s="280"/>
      <c r="E1463" s="287"/>
      <c r="F1463" s="287"/>
      <c r="G1463" s="287"/>
      <c r="H1463" s="1292">
        <f t="shared" si="73"/>
        <v>42</v>
      </c>
      <c r="I1463" s="1190" t="str">
        <f>'I. Stream &amp; Compound Data'!P303</f>
        <v/>
      </c>
      <c r="J1463" s="1295" t="str">
        <f>IF(I183="","",IF('I. Stream &amp; Compound Data'!CF303&lt;&gt;"",'I. Stream &amp; Compound Data'!CF303,'I. Stream &amp; Compound Data'!CG303))</f>
        <v/>
      </c>
      <c r="K1463" s="1312" t="str">
        <f t="shared" si="75"/>
        <v/>
      </c>
      <c r="L1463" s="301" t="str">
        <f>IF(K1463="","",IF('I. Stream &amp; Compound Data'!E73="H2O",0,(IF(J1463=0,1,J1463))*I1463))</f>
        <v/>
      </c>
      <c r="M1463" s="296"/>
      <c r="N1463" s="280"/>
      <c r="O1463" s="280"/>
      <c r="P1463" s="279"/>
      <c r="Q1463" s="297"/>
      <c r="R1463" s="298"/>
      <c r="S1463" s="298"/>
      <c r="T1463" s="299"/>
      <c r="U1463" s="279"/>
      <c r="V1463" s="279"/>
      <c r="W1463" s="279"/>
      <c r="X1463" s="279"/>
      <c r="Y1463" s="279"/>
      <c r="Z1463" s="279"/>
      <c r="AA1463" s="279"/>
      <c r="AB1463" s="279"/>
      <c r="AC1463" s="279"/>
      <c r="AD1463" s="279"/>
      <c r="AE1463" s="279"/>
      <c r="AF1463" s="279"/>
      <c r="AG1463" s="279"/>
      <c r="AH1463" s="279"/>
      <c r="AI1463" s="279"/>
      <c r="AJ1463" s="279"/>
      <c r="AK1463" s="279"/>
      <c r="AL1463" s="279"/>
      <c r="AM1463" s="279"/>
      <c r="AN1463" s="279"/>
      <c r="AO1463" s="279"/>
      <c r="AP1463" s="279"/>
      <c r="AQ1463" s="279"/>
      <c r="AR1463" s="279"/>
      <c r="AS1463" s="279"/>
      <c r="AT1463" s="279"/>
      <c r="AU1463" s="279"/>
      <c r="AV1463" s="279"/>
      <c r="AW1463" s="279"/>
      <c r="AX1463" s="279"/>
      <c r="AY1463" s="279"/>
      <c r="AZ1463" s="279"/>
      <c r="BA1463" s="279"/>
      <c r="BB1463" s="279"/>
      <c r="BC1463" s="279"/>
      <c r="BD1463" s="279"/>
      <c r="BE1463" s="279"/>
      <c r="BF1463" s="279"/>
      <c r="BG1463" s="279"/>
      <c r="BH1463" s="279"/>
      <c r="BI1463" s="279"/>
      <c r="BJ1463" s="279"/>
      <c r="BK1463" s="279"/>
      <c r="BL1463" s="279"/>
      <c r="BM1463" s="279"/>
      <c r="BN1463" s="279"/>
      <c r="BO1463" s="279"/>
      <c r="BP1463" s="279"/>
      <c r="BQ1463" s="279"/>
      <c r="BR1463" s="279"/>
      <c r="BS1463" s="279"/>
      <c r="BT1463" s="279"/>
      <c r="BU1463" s="279"/>
      <c r="BV1463" s="279"/>
      <c r="BW1463" s="279"/>
      <c r="BX1463" s="279"/>
      <c r="BY1463" s="279"/>
      <c r="BZ1463" s="279"/>
      <c r="CA1463" s="279"/>
      <c r="CB1463" s="279"/>
      <c r="CC1463" s="279"/>
      <c r="CD1463" s="279"/>
      <c r="CE1463" s="279"/>
      <c r="CF1463" s="279"/>
      <c r="CG1463" s="279"/>
      <c r="CH1463" s="279"/>
      <c r="CI1463" s="279"/>
      <c r="CJ1463" s="279"/>
      <c r="CK1463" s="279"/>
      <c r="CL1463" s="279"/>
      <c r="CM1463" s="279"/>
      <c r="CN1463" s="382"/>
    </row>
    <row r="1464" x14ac:dyDescent="0.3">
      <c r="B1464" s="361"/>
      <c r="C1464" s="279"/>
      <c r="D1464" s="280"/>
      <c r="E1464" s="287"/>
      <c r="F1464" s="287"/>
      <c r="G1464" s="287"/>
      <c r="H1464" s="1292">
        <f t="shared" si="73"/>
        <v>43</v>
      </c>
      <c r="I1464" s="1190" t="str">
        <f>'I. Stream &amp; Compound Data'!P304</f>
        <v/>
      </c>
      <c r="J1464" s="1295" t="str">
        <f>IF(I184="","",IF('I. Stream &amp; Compound Data'!CF304&lt;&gt;"",'I. Stream &amp; Compound Data'!CF304,'I. Stream &amp; Compound Data'!CG304))</f>
        <v/>
      </c>
      <c r="K1464" s="1312" t="str">
        <f t="shared" si="75"/>
        <v/>
      </c>
      <c r="L1464" s="301" t="str">
        <f>IF(K1464="","",IF('I. Stream &amp; Compound Data'!E74="H2O",0,(IF(J1464=0,1,J1464))*I1464))</f>
        <v/>
      </c>
      <c r="M1464" s="296"/>
      <c r="N1464" s="280"/>
      <c r="O1464" s="280"/>
      <c r="P1464" s="279"/>
      <c r="Q1464" s="297"/>
      <c r="R1464" s="298"/>
      <c r="S1464" s="298"/>
      <c r="T1464" s="299"/>
      <c r="U1464" s="279"/>
      <c r="V1464" s="279"/>
      <c r="W1464" s="279"/>
      <c r="X1464" s="279"/>
      <c r="Y1464" s="279"/>
      <c r="Z1464" s="279"/>
      <c r="AA1464" s="279"/>
      <c r="AB1464" s="279"/>
      <c r="AC1464" s="279"/>
      <c r="AD1464" s="279"/>
      <c r="AE1464" s="279"/>
      <c r="AF1464" s="279"/>
      <c r="AG1464" s="279"/>
      <c r="AH1464" s="279"/>
      <c r="AI1464" s="279"/>
      <c r="AJ1464" s="279"/>
      <c r="AK1464" s="279"/>
      <c r="AL1464" s="279"/>
      <c r="AM1464" s="279"/>
      <c r="AN1464" s="279"/>
      <c r="AO1464" s="279"/>
      <c r="AP1464" s="279"/>
      <c r="AQ1464" s="279"/>
      <c r="AR1464" s="279"/>
      <c r="AS1464" s="279"/>
      <c r="AT1464" s="279"/>
      <c r="AU1464" s="279"/>
      <c r="AV1464" s="279"/>
      <c r="AW1464" s="279"/>
      <c r="AX1464" s="279"/>
      <c r="AY1464" s="279"/>
      <c r="AZ1464" s="279"/>
      <c r="BA1464" s="279"/>
      <c r="BB1464" s="279"/>
      <c r="BC1464" s="279"/>
      <c r="BD1464" s="279"/>
      <c r="BE1464" s="279"/>
      <c r="BF1464" s="279"/>
      <c r="BG1464" s="279"/>
      <c r="BH1464" s="279"/>
      <c r="BI1464" s="279"/>
      <c r="BJ1464" s="279"/>
      <c r="BK1464" s="279"/>
      <c r="BL1464" s="279"/>
      <c r="BM1464" s="279"/>
      <c r="BN1464" s="279"/>
      <c r="BO1464" s="279"/>
      <c r="BP1464" s="279"/>
      <c r="BQ1464" s="279"/>
      <c r="BR1464" s="279"/>
      <c r="BS1464" s="279"/>
      <c r="BT1464" s="279"/>
      <c r="BU1464" s="279"/>
      <c r="BV1464" s="279"/>
      <c r="BW1464" s="279"/>
      <c r="BX1464" s="279"/>
      <c r="BY1464" s="279"/>
      <c r="BZ1464" s="279"/>
      <c r="CA1464" s="279"/>
      <c r="CB1464" s="279"/>
      <c r="CC1464" s="279"/>
      <c r="CD1464" s="279"/>
      <c r="CE1464" s="279"/>
      <c r="CF1464" s="279"/>
      <c r="CG1464" s="279"/>
      <c r="CH1464" s="279"/>
      <c r="CI1464" s="279"/>
      <c r="CJ1464" s="279"/>
      <c r="CK1464" s="279"/>
      <c r="CL1464" s="279"/>
      <c r="CM1464" s="279"/>
      <c r="CN1464" s="382"/>
    </row>
    <row r="1465" x14ac:dyDescent="0.3">
      <c r="B1465" s="361"/>
      <c r="C1465" s="279"/>
      <c r="D1465" s="280"/>
      <c r="E1465" s="287"/>
      <c r="F1465" s="287"/>
      <c r="G1465" s="287"/>
      <c r="H1465" s="1292">
        <f t="shared" si="73"/>
        <v>44</v>
      </c>
      <c r="I1465" s="1190" t="str">
        <f>'I. Stream &amp; Compound Data'!P305</f>
        <v/>
      </c>
      <c r="J1465" s="1295" t="str">
        <f>IF(I185="","",IF('I. Stream &amp; Compound Data'!CF305&lt;&gt;"",'I. Stream &amp; Compound Data'!CF305,'I. Stream &amp; Compound Data'!CG305))</f>
        <v/>
      </c>
      <c r="K1465" s="1312" t="str">
        <f t="shared" si="75"/>
        <v/>
      </c>
      <c r="L1465" s="301" t="str">
        <f>IF(K1465="","",IF('I. Stream &amp; Compound Data'!E75="H2O",0,(IF(J1465=0,1,J1465))*I1465))</f>
        <v/>
      </c>
      <c r="M1465" s="296"/>
      <c r="N1465" s="280"/>
      <c r="O1465" s="280"/>
      <c r="P1465" s="279"/>
      <c r="Q1465" s="297"/>
      <c r="R1465" s="298"/>
      <c r="S1465" s="298"/>
      <c r="T1465" s="299"/>
      <c r="U1465" s="279"/>
      <c r="V1465" s="279"/>
      <c r="W1465" s="279"/>
      <c r="X1465" s="279"/>
      <c r="Y1465" s="279"/>
      <c r="Z1465" s="279"/>
      <c r="AA1465" s="279"/>
      <c r="AB1465" s="279"/>
      <c r="AC1465" s="279"/>
      <c r="AD1465" s="279"/>
      <c r="AE1465" s="279"/>
      <c r="AF1465" s="279"/>
      <c r="AG1465" s="279"/>
      <c r="AH1465" s="279"/>
      <c r="AI1465" s="279"/>
      <c r="AJ1465" s="279"/>
      <c r="AK1465" s="279"/>
      <c r="AL1465" s="279"/>
      <c r="AM1465" s="279"/>
      <c r="AN1465" s="279"/>
      <c r="AO1465" s="279"/>
      <c r="AP1465" s="279"/>
      <c r="AQ1465" s="279"/>
      <c r="AR1465" s="279"/>
      <c r="AS1465" s="279"/>
      <c r="AT1465" s="279"/>
      <c r="AU1465" s="279"/>
      <c r="AV1465" s="279"/>
      <c r="AW1465" s="279"/>
      <c r="AX1465" s="279"/>
      <c r="AY1465" s="279"/>
      <c r="AZ1465" s="279"/>
      <c r="BA1465" s="279"/>
      <c r="BB1465" s="279"/>
      <c r="BC1465" s="279"/>
      <c r="BD1465" s="279"/>
      <c r="BE1465" s="279"/>
      <c r="BF1465" s="279"/>
      <c r="BG1465" s="279"/>
      <c r="BH1465" s="279"/>
      <c r="BI1465" s="279"/>
      <c r="BJ1465" s="279"/>
      <c r="BK1465" s="279"/>
      <c r="BL1465" s="279"/>
      <c r="BM1465" s="279"/>
      <c r="BN1465" s="279"/>
      <c r="BO1465" s="279"/>
      <c r="BP1465" s="279"/>
      <c r="BQ1465" s="279"/>
      <c r="BR1465" s="279"/>
      <c r="BS1465" s="279"/>
      <c r="BT1465" s="279"/>
      <c r="BU1465" s="279"/>
      <c r="BV1465" s="279"/>
      <c r="BW1465" s="279"/>
      <c r="BX1465" s="279"/>
      <c r="BY1465" s="279"/>
      <c r="BZ1465" s="279"/>
      <c r="CA1465" s="279"/>
      <c r="CB1465" s="279"/>
      <c r="CC1465" s="279"/>
      <c r="CD1465" s="279"/>
      <c r="CE1465" s="279"/>
      <c r="CF1465" s="279"/>
      <c r="CG1465" s="279"/>
      <c r="CH1465" s="279"/>
      <c r="CI1465" s="279"/>
      <c r="CJ1465" s="279"/>
      <c r="CK1465" s="279"/>
      <c r="CL1465" s="279"/>
      <c r="CM1465" s="279"/>
      <c r="CN1465" s="382"/>
    </row>
    <row r="1466" x14ac:dyDescent="0.3">
      <c r="B1466" s="361"/>
      <c r="C1466" s="279"/>
      <c r="D1466" s="280"/>
      <c r="E1466" s="287"/>
      <c r="F1466" s="287"/>
      <c r="G1466" s="287"/>
      <c r="H1466" s="1292">
        <f t="shared" si="73"/>
        <v>45</v>
      </c>
      <c r="I1466" s="1190" t="str">
        <f>'I. Stream &amp; Compound Data'!P306</f>
        <v/>
      </c>
      <c r="J1466" s="1295" t="str">
        <f>IF(I186="","",IF('I. Stream &amp; Compound Data'!CF306&lt;&gt;"",'I. Stream &amp; Compound Data'!CF306,'I. Stream &amp; Compound Data'!CG306))</f>
        <v/>
      </c>
      <c r="K1466" s="1312" t="str">
        <f t="shared" si="75"/>
        <v/>
      </c>
      <c r="L1466" s="301" t="str">
        <f>IF(K1466="","",IF('I. Stream &amp; Compound Data'!E76="H2O",0,(IF(J1466=0,1,J1466))*I1466))</f>
        <v/>
      </c>
      <c r="M1466" s="296"/>
      <c r="N1466" s="280"/>
      <c r="O1466" s="280"/>
      <c r="P1466" s="279"/>
      <c r="Q1466" s="297"/>
      <c r="R1466" s="298"/>
      <c r="S1466" s="298"/>
      <c r="T1466" s="299"/>
      <c r="U1466" s="279"/>
      <c r="V1466" s="279"/>
      <c r="W1466" s="279"/>
      <c r="X1466" s="279"/>
      <c r="Y1466" s="279"/>
      <c r="Z1466" s="279"/>
      <c r="AA1466" s="279"/>
      <c r="AB1466" s="279"/>
      <c r="AC1466" s="279"/>
      <c r="AD1466" s="279"/>
      <c r="AE1466" s="279"/>
      <c r="AF1466" s="279"/>
      <c r="AG1466" s="279"/>
      <c r="AH1466" s="279"/>
      <c r="AI1466" s="279"/>
      <c r="AJ1466" s="279"/>
      <c r="AK1466" s="279"/>
      <c r="AL1466" s="279"/>
      <c r="AM1466" s="279"/>
      <c r="AN1466" s="279"/>
      <c r="AO1466" s="279"/>
      <c r="AP1466" s="279"/>
      <c r="AQ1466" s="279"/>
      <c r="AR1466" s="279"/>
      <c r="AS1466" s="279"/>
      <c r="AT1466" s="279"/>
      <c r="AU1466" s="279"/>
      <c r="AV1466" s="279"/>
      <c r="AW1466" s="279"/>
      <c r="AX1466" s="279"/>
      <c r="AY1466" s="279"/>
      <c r="AZ1466" s="279"/>
      <c r="BA1466" s="279"/>
      <c r="BB1466" s="279"/>
      <c r="BC1466" s="279"/>
      <c r="BD1466" s="279"/>
      <c r="BE1466" s="279"/>
      <c r="BF1466" s="279"/>
      <c r="BG1466" s="279"/>
      <c r="BH1466" s="279"/>
      <c r="BI1466" s="279"/>
      <c r="BJ1466" s="279"/>
      <c r="BK1466" s="279"/>
      <c r="BL1466" s="279"/>
      <c r="BM1466" s="279"/>
      <c r="BN1466" s="279"/>
      <c r="BO1466" s="279"/>
      <c r="BP1466" s="279"/>
      <c r="BQ1466" s="279"/>
      <c r="BR1466" s="279"/>
      <c r="BS1466" s="279"/>
      <c r="BT1466" s="279"/>
      <c r="BU1466" s="279"/>
      <c r="BV1466" s="279"/>
      <c r="BW1466" s="279"/>
      <c r="BX1466" s="279"/>
      <c r="BY1466" s="279"/>
      <c r="BZ1466" s="279"/>
      <c r="CA1466" s="279"/>
      <c r="CB1466" s="279"/>
      <c r="CC1466" s="279"/>
      <c r="CD1466" s="279"/>
      <c r="CE1466" s="279"/>
      <c r="CF1466" s="279"/>
      <c r="CG1466" s="279"/>
      <c r="CH1466" s="279"/>
      <c r="CI1466" s="279"/>
      <c r="CJ1466" s="279"/>
      <c r="CK1466" s="279"/>
      <c r="CL1466" s="279"/>
      <c r="CM1466" s="279"/>
      <c r="CN1466" s="382"/>
    </row>
    <row r="1467" x14ac:dyDescent="0.3">
      <c r="B1467" s="361"/>
      <c r="C1467" s="279"/>
      <c r="D1467" s="280"/>
      <c r="E1467" s="287"/>
      <c r="F1467" s="287"/>
      <c r="G1467" s="287"/>
      <c r="H1467" s="1292">
        <f t="shared" si="73"/>
        <v>46</v>
      </c>
      <c r="I1467" s="1190" t="str">
        <f>'I. Stream &amp; Compound Data'!P307</f>
        <v/>
      </c>
      <c r="J1467" s="1295" t="str">
        <f>IF(I187="","",IF('I. Stream &amp; Compound Data'!CF307&lt;&gt;"",'I. Stream &amp; Compound Data'!CF307,'I. Stream &amp; Compound Data'!CG307))</f>
        <v/>
      </c>
      <c r="K1467" s="1312" t="str">
        <f t="shared" si="75"/>
        <v/>
      </c>
      <c r="L1467" s="301" t="str">
        <f>IF(K1467="","",IF('I. Stream &amp; Compound Data'!E77="H2O",0,(IF(J1467=0,1,J1467))*I1467))</f>
        <v/>
      </c>
      <c r="M1467" s="296"/>
      <c r="N1467" s="280"/>
      <c r="O1467" s="280"/>
      <c r="P1467" s="279"/>
      <c r="Q1467" s="297"/>
      <c r="R1467" s="298"/>
      <c r="S1467" s="298"/>
      <c r="T1467" s="299"/>
      <c r="U1467" s="279"/>
      <c r="V1467" s="279"/>
      <c r="W1467" s="279"/>
      <c r="X1467" s="279"/>
      <c r="Y1467" s="279"/>
      <c r="Z1467" s="279"/>
      <c r="AA1467" s="279"/>
      <c r="AB1467" s="279"/>
      <c r="AC1467" s="279"/>
      <c r="AD1467" s="279"/>
      <c r="AE1467" s="279"/>
      <c r="AF1467" s="279"/>
      <c r="AG1467" s="279"/>
      <c r="AH1467" s="279"/>
      <c r="AI1467" s="279"/>
      <c r="AJ1467" s="279"/>
      <c r="AK1467" s="279"/>
      <c r="AL1467" s="279"/>
      <c r="AM1467" s="279"/>
      <c r="AN1467" s="279"/>
      <c r="AO1467" s="279"/>
      <c r="AP1467" s="279"/>
      <c r="AQ1467" s="279"/>
      <c r="AR1467" s="279"/>
      <c r="AS1467" s="279"/>
      <c r="AT1467" s="279"/>
      <c r="AU1467" s="279"/>
      <c r="AV1467" s="279"/>
      <c r="AW1467" s="279"/>
      <c r="AX1467" s="279"/>
      <c r="AY1467" s="279"/>
      <c r="AZ1467" s="279"/>
      <c r="BA1467" s="279"/>
      <c r="BB1467" s="279"/>
      <c r="BC1467" s="279"/>
      <c r="BD1467" s="279"/>
      <c r="BE1467" s="279"/>
      <c r="BF1467" s="279"/>
      <c r="BG1467" s="279"/>
      <c r="BH1467" s="279"/>
      <c r="BI1467" s="279"/>
      <c r="BJ1467" s="279"/>
      <c r="BK1467" s="279"/>
      <c r="BL1467" s="279"/>
      <c r="BM1467" s="279"/>
      <c r="BN1467" s="279"/>
      <c r="BO1467" s="279"/>
      <c r="BP1467" s="279"/>
      <c r="BQ1467" s="279"/>
      <c r="BR1467" s="279"/>
      <c r="BS1467" s="279"/>
      <c r="BT1467" s="279"/>
      <c r="BU1467" s="279"/>
      <c r="BV1467" s="279"/>
      <c r="BW1467" s="279"/>
      <c r="BX1467" s="279"/>
      <c r="BY1467" s="279"/>
      <c r="BZ1467" s="279"/>
      <c r="CA1467" s="279"/>
      <c r="CB1467" s="279"/>
      <c r="CC1467" s="279"/>
      <c r="CD1467" s="279"/>
      <c r="CE1467" s="279"/>
      <c r="CF1467" s="279"/>
      <c r="CG1467" s="279"/>
      <c r="CH1467" s="279"/>
      <c r="CI1467" s="279"/>
      <c r="CJ1467" s="279"/>
      <c r="CK1467" s="279"/>
      <c r="CL1467" s="279"/>
      <c r="CM1467" s="279"/>
      <c r="CN1467" s="382"/>
    </row>
    <row r="1468" x14ac:dyDescent="0.3">
      <c r="B1468" s="361"/>
      <c r="C1468" s="279"/>
      <c r="D1468" s="280"/>
      <c r="E1468" s="287"/>
      <c r="F1468" s="287"/>
      <c r="G1468" s="287"/>
      <c r="H1468" s="1292">
        <f t="shared" si="73"/>
        <v>47</v>
      </c>
      <c r="I1468" s="1190" t="str">
        <f>'I. Stream &amp; Compound Data'!P308</f>
        <v/>
      </c>
      <c r="J1468" s="1295" t="str">
        <f>IF(I188="","",IF('I. Stream &amp; Compound Data'!CF308&lt;&gt;"",'I. Stream &amp; Compound Data'!CF308,'I. Stream &amp; Compound Data'!CG308))</f>
        <v/>
      </c>
      <c r="K1468" s="1312" t="str">
        <f t="shared" si="75"/>
        <v/>
      </c>
      <c r="L1468" s="301" t="str">
        <f>IF(K1468="","",IF('I. Stream &amp; Compound Data'!E78="H2O",0,(IF(J1468=0,1,J1468))*I1468))</f>
        <v/>
      </c>
      <c r="M1468" s="296"/>
      <c r="N1468" s="280"/>
      <c r="O1468" s="280"/>
      <c r="P1468" s="279"/>
      <c r="Q1468" s="297"/>
      <c r="R1468" s="298"/>
      <c r="S1468" s="298"/>
      <c r="T1468" s="299"/>
      <c r="U1468" s="279"/>
      <c r="V1468" s="279"/>
      <c r="W1468" s="279"/>
      <c r="X1468" s="279"/>
      <c r="Y1468" s="279"/>
      <c r="Z1468" s="279"/>
      <c r="AA1468" s="279"/>
      <c r="AB1468" s="279"/>
      <c r="AC1468" s="279"/>
      <c r="AD1468" s="279"/>
      <c r="AE1468" s="279"/>
      <c r="AF1468" s="279"/>
      <c r="AG1468" s="279"/>
      <c r="AH1468" s="279"/>
      <c r="AI1468" s="279"/>
      <c r="AJ1468" s="279"/>
      <c r="AK1468" s="279"/>
      <c r="AL1468" s="279"/>
      <c r="AM1468" s="279"/>
      <c r="AN1468" s="279"/>
      <c r="AO1468" s="279"/>
      <c r="AP1468" s="279"/>
      <c r="AQ1468" s="279"/>
      <c r="AR1468" s="279"/>
      <c r="AS1468" s="279"/>
      <c r="AT1468" s="279"/>
      <c r="AU1468" s="279"/>
      <c r="AV1468" s="279"/>
      <c r="AW1468" s="279"/>
      <c r="AX1468" s="279"/>
      <c r="AY1468" s="279"/>
      <c r="AZ1468" s="279"/>
      <c r="BA1468" s="279"/>
      <c r="BB1468" s="279"/>
      <c r="BC1468" s="279"/>
      <c r="BD1468" s="279"/>
      <c r="BE1468" s="279"/>
      <c r="BF1468" s="279"/>
      <c r="BG1468" s="279"/>
      <c r="BH1468" s="279"/>
      <c r="BI1468" s="279"/>
      <c r="BJ1468" s="279"/>
      <c r="BK1468" s="279"/>
      <c r="BL1468" s="279"/>
      <c r="BM1468" s="279"/>
      <c r="BN1468" s="279"/>
      <c r="BO1468" s="279"/>
      <c r="BP1468" s="279"/>
      <c r="BQ1468" s="279"/>
      <c r="BR1468" s="279"/>
      <c r="BS1468" s="279"/>
      <c r="BT1468" s="279"/>
      <c r="BU1468" s="279"/>
      <c r="BV1468" s="279"/>
      <c r="BW1468" s="279"/>
      <c r="BX1468" s="279"/>
      <c r="BY1468" s="279"/>
      <c r="BZ1468" s="279"/>
      <c r="CA1468" s="279"/>
      <c r="CB1468" s="279"/>
      <c r="CC1468" s="279"/>
      <c r="CD1468" s="279"/>
      <c r="CE1468" s="279"/>
      <c r="CF1468" s="279"/>
      <c r="CG1468" s="279"/>
      <c r="CH1468" s="279"/>
      <c r="CI1468" s="279"/>
      <c r="CJ1468" s="279"/>
      <c r="CK1468" s="279"/>
      <c r="CL1468" s="279"/>
      <c r="CM1468" s="279"/>
      <c r="CN1468" s="382"/>
    </row>
    <row r="1469" x14ac:dyDescent="0.3">
      <c r="B1469" s="361"/>
      <c r="C1469" s="279"/>
      <c r="D1469" s="280"/>
      <c r="E1469" s="287"/>
      <c r="F1469" s="287"/>
      <c r="G1469" s="287"/>
      <c r="H1469" s="1292">
        <f t="shared" si="73"/>
        <v>48</v>
      </c>
      <c r="I1469" s="1190" t="str">
        <f>'I. Stream &amp; Compound Data'!P309</f>
        <v/>
      </c>
      <c r="J1469" s="1295" t="str">
        <f>IF(I189="","",IF('I. Stream &amp; Compound Data'!CF309&lt;&gt;"",'I. Stream &amp; Compound Data'!CF309,'I. Stream &amp; Compound Data'!CG309))</f>
        <v/>
      </c>
      <c r="K1469" s="1312" t="str">
        <f t="shared" si="75"/>
        <v/>
      </c>
      <c r="L1469" s="301" t="str">
        <f>IF(K1469="","",IF('I. Stream &amp; Compound Data'!E79="H2O",0,(IF(J1469=0,1,J1469))*I1469))</f>
        <v/>
      </c>
      <c r="M1469" s="296"/>
      <c r="N1469" s="280"/>
      <c r="O1469" s="280"/>
      <c r="P1469" s="279"/>
      <c r="Q1469" s="297"/>
      <c r="R1469" s="298"/>
      <c r="S1469" s="298"/>
      <c r="T1469" s="299"/>
      <c r="U1469" s="279"/>
      <c r="V1469" s="279"/>
      <c r="W1469" s="279"/>
      <c r="X1469" s="279"/>
      <c r="Y1469" s="279"/>
      <c r="Z1469" s="279"/>
      <c r="AA1469" s="279"/>
      <c r="AB1469" s="279"/>
      <c r="AC1469" s="279"/>
      <c r="AD1469" s="279"/>
      <c r="AE1469" s="279"/>
      <c r="AF1469" s="279"/>
      <c r="AG1469" s="279"/>
      <c r="AH1469" s="279"/>
      <c r="AI1469" s="279"/>
      <c r="AJ1469" s="279"/>
      <c r="AK1469" s="279"/>
      <c r="AL1469" s="279"/>
      <c r="AM1469" s="279"/>
      <c r="AN1469" s="279"/>
      <c r="AO1469" s="279"/>
      <c r="AP1469" s="279"/>
      <c r="AQ1469" s="279"/>
      <c r="AR1469" s="279"/>
      <c r="AS1469" s="279"/>
      <c r="AT1469" s="279"/>
      <c r="AU1469" s="279"/>
      <c r="AV1469" s="279"/>
      <c r="AW1469" s="279"/>
      <c r="AX1469" s="279"/>
      <c r="AY1469" s="279"/>
      <c r="AZ1469" s="279"/>
      <c r="BA1469" s="279"/>
      <c r="BB1469" s="279"/>
      <c r="BC1469" s="279"/>
      <c r="BD1469" s="279"/>
      <c r="BE1469" s="279"/>
      <c r="BF1469" s="279"/>
      <c r="BG1469" s="279"/>
      <c r="BH1469" s="279"/>
      <c r="BI1469" s="279"/>
      <c r="BJ1469" s="279"/>
      <c r="BK1469" s="279"/>
      <c r="BL1469" s="279"/>
      <c r="BM1469" s="279"/>
      <c r="BN1469" s="279"/>
      <c r="BO1469" s="279"/>
      <c r="BP1469" s="279"/>
      <c r="BQ1469" s="279"/>
      <c r="BR1469" s="279"/>
      <c r="BS1469" s="279"/>
      <c r="BT1469" s="279"/>
      <c r="BU1469" s="279"/>
      <c r="BV1469" s="279"/>
      <c r="BW1469" s="279"/>
      <c r="BX1469" s="279"/>
      <c r="BY1469" s="279"/>
      <c r="BZ1469" s="279"/>
      <c r="CA1469" s="279"/>
      <c r="CB1469" s="279"/>
      <c r="CC1469" s="279"/>
      <c r="CD1469" s="279"/>
      <c r="CE1469" s="279"/>
      <c r="CF1469" s="279"/>
      <c r="CG1469" s="279"/>
      <c r="CH1469" s="279"/>
      <c r="CI1469" s="279"/>
      <c r="CJ1469" s="279"/>
      <c r="CK1469" s="279"/>
      <c r="CL1469" s="279"/>
      <c r="CM1469" s="279"/>
      <c r="CN1469" s="382"/>
    </row>
    <row r="1470" x14ac:dyDescent="0.3">
      <c r="B1470" s="361"/>
      <c r="C1470" s="279"/>
      <c r="D1470" s="280"/>
      <c r="E1470" s="287"/>
      <c r="F1470" s="287"/>
      <c r="G1470" s="287"/>
      <c r="H1470" s="1292">
        <f t="shared" si="73"/>
        <v>49</v>
      </c>
      <c r="I1470" s="1190" t="str">
        <f>'I. Stream &amp; Compound Data'!P310</f>
        <v/>
      </c>
      <c r="J1470" s="1295" t="str">
        <f>IF(I190="","",IF('I. Stream &amp; Compound Data'!CF310&lt;&gt;"",'I. Stream &amp; Compound Data'!CF310,'I. Stream &amp; Compound Data'!CG310))</f>
        <v/>
      </c>
      <c r="K1470" s="1312" t="str">
        <f t="shared" si="75"/>
        <v/>
      </c>
      <c r="L1470" s="301" t="str">
        <f>IF(K1470="","",IF('I. Stream &amp; Compound Data'!E80="H2O",0,(IF(J1470=0,1,J1470))*I1470))</f>
        <v/>
      </c>
      <c r="M1470" s="296"/>
      <c r="N1470" s="280"/>
      <c r="O1470" s="280"/>
      <c r="P1470" s="279"/>
      <c r="Q1470" s="297"/>
      <c r="R1470" s="298"/>
      <c r="S1470" s="298"/>
      <c r="T1470" s="299"/>
      <c r="U1470" s="279"/>
      <c r="V1470" s="279"/>
      <c r="W1470" s="279"/>
      <c r="X1470" s="279"/>
      <c r="Y1470" s="279"/>
      <c r="Z1470" s="279"/>
      <c r="AA1470" s="279"/>
      <c r="AB1470" s="279"/>
      <c r="AC1470" s="279"/>
      <c r="AD1470" s="279"/>
      <c r="AE1470" s="279"/>
      <c r="AF1470" s="279"/>
      <c r="AG1470" s="279"/>
      <c r="AH1470" s="279"/>
      <c r="AI1470" s="279"/>
      <c r="AJ1470" s="279"/>
      <c r="AK1470" s="279"/>
      <c r="AL1470" s="279"/>
      <c r="AM1470" s="279"/>
      <c r="AN1470" s="279"/>
      <c r="AO1470" s="279"/>
      <c r="AP1470" s="279"/>
      <c r="AQ1470" s="279"/>
      <c r="AR1470" s="279"/>
      <c r="AS1470" s="279"/>
      <c r="AT1470" s="279"/>
      <c r="AU1470" s="279"/>
      <c r="AV1470" s="279"/>
      <c r="AW1470" s="279"/>
      <c r="AX1470" s="279"/>
      <c r="AY1470" s="279"/>
      <c r="AZ1470" s="279"/>
      <c r="BA1470" s="279"/>
      <c r="BB1470" s="279"/>
      <c r="BC1470" s="279"/>
      <c r="BD1470" s="279"/>
      <c r="BE1470" s="279"/>
      <c r="BF1470" s="279"/>
      <c r="BG1470" s="279"/>
      <c r="BH1470" s="279"/>
      <c r="BI1470" s="279"/>
      <c r="BJ1470" s="279"/>
      <c r="BK1470" s="279"/>
      <c r="BL1470" s="279"/>
      <c r="BM1470" s="279"/>
      <c r="BN1470" s="279"/>
      <c r="BO1470" s="279"/>
      <c r="BP1470" s="279"/>
      <c r="BQ1470" s="279"/>
      <c r="BR1470" s="279"/>
      <c r="BS1470" s="279"/>
      <c r="BT1470" s="279"/>
      <c r="BU1470" s="279"/>
      <c r="BV1470" s="279"/>
      <c r="BW1470" s="279"/>
      <c r="BX1470" s="279"/>
      <c r="BY1470" s="279"/>
      <c r="BZ1470" s="279"/>
      <c r="CA1470" s="279"/>
      <c r="CB1470" s="279"/>
      <c r="CC1470" s="279"/>
      <c r="CD1470" s="279"/>
      <c r="CE1470" s="279"/>
      <c r="CF1470" s="279"/>
      <c r="CG1470" s="279"/>
      <c r="CH1470" s="279"/>
      <c r="CI1470" s="279"/>
      <c r="CJ1470" s="279"/>
      <c r="CK1470" s="279"/>
      <c r="CL1470" s="279"/>
      <c r="CM1470" s="279"/>
      <c r="CN1470" s="382"/>
    </row>
    <row r="1471" ht="16.2" thickBot="true" x14ac:dyDescent="0.35">
      <c r="B1471" s="361"/>
      <c r="C1471" s="279"/>
      <c r="D1471" s="280"/>
      <c r="E1471" s="287"/>
      <c r="F1471" s="287"/>
      <c r="G1471" s="287"/>
      <c r="H1471" s="1298">
        <f t="shared" si="73"/>
        <v>50</v>
      </c>
      <c r="I1471" s="1259" t="str">
        <f>'I. Stream &amp; Compound Data'!P311</f>
        <v/>
      </c>
      <c r="J1471" s="1301" t="str">
        <f>IF(I191="","",IF('I. Stream &amp; Compound Data'!CF311&lt;&gt;"",'I. Stream &amp; Compound Data'!CF311,'I. Stream &amp; Compound Data'!CG311))</f>
        <v/>
      </c>
      <c r="K1471" s="1313" t="str">
        <f t="shared" si="75"/>
        <v/>
      </c>
      <c r="L1471" s="1314" t="str">
        <f>IF(K1471="","",IF('I. Stream &amp; Compound Data'!E81="H2O",0,(IF(J1471=0,1,J1471))*I1471))</f>
        <v/>
      </c>
      <c r="M1471" s="296"/>
      <c r="N1471" s="280"/>
      <c r="O1471" s="280"/>
      <c r="P1471" s="279"/>
      <c r="Q1471" s="297"/>
      <c r="R1471" s="298"/>
      <c r="S1471" s="298"/>
      <c r="T1471" s="299"/>
      <c r="U1471" s="279"/>
      <c r="V1471" s="279"/>
      <c r="W1471" s="279"/>
      <c r="X1471" s="279"/>
      <c r="Y1471" s="279"/>
      <c r="Z1471" s="279"/>
      <c r="AA1471" s="279"/>
      <c r="AB1471" s="279"/>
      <c r="AC1471" s="279"/>
      <c r="AD1471" s="279"/>
      <c r="AE1471" s="279"/>
      <c r="AF1471" s="279"/>
      <c r="AG1471" s="279"/>
      <c r="AH1471" s="279"/>
      <c r="AI1471" s="279"/>
      <c r="AJ1471" s="279"/>
      <c r="AK1471" s="279"/>
      <c r="AL1471" s="279"/>
      <c r="AM1471" s="279"/>
      <c r="AN1471" s="279"/>
      <c r="AO1471" s="279"/>
      <c r="AP1471" s="279"/>
      <c r="AQ1471" s="279"/>
      <c r="AR1471" s="279"/>
      <c r="AS1471" s="279"/>
      <c r="AT1471" s="279"/>
      <c r="AU1471" s="279"/>
      <c r="AV1471" s="279"/>
      <c r="AW1471" s="279"/>
      <c r="AX1471" s="279"/>
      <c r="AY1471" s="279"/>
      <c r="AZ1471" s="279"/>
      <c r="BA1471" s="279"/>
      <c r="BB1471" s="279"/>
      <c r="BC1471" s="279"/>
      <c r="BD1471" s="279"/>
      <c r="BE1471" s="279"/>
      <c r="BF1471" s="279"/>
      <c r="BG1471" s="279"/>
      <c r="BH1471" s="279"/>
      <c r="BI1471" s="279"/>
      <c r="BJ1471" s="279"/>
      <c r="BK1471" s="279"/>
      <c r="BL1471" s="279"/>
      <c r="BM1471" s="279"/>
      <c r="BN1471" s="279"/>
      <c r="BO1471" s="279"/>
      <c r="BP1471" s="279"/>
      <c r="BQ1471" s="279"/>
      <c r="BR1471" s="279"/>
      <c r="BS1471" s="279"/>
      <c r="BT1471" s="279"/>
      <c r="BU1471" s="279"/>
      <c r="BV1471" s="279"/>
      <c r="BW1471" s="279"/>
      <c r="BX1471" s="279"/>
      <c r="BY1471" s="279"/>
      <c r="BZ1471" s="279"/>
      <c r="CA1471" s="279"/>
      <c r="CB1471" s="279"/>
      <c r="CC1471" s="279"/>
      <c r="CD1471" s="279"/>
      <c r="CE1471" s="279"/>
      <c r="CF1471" s="279"/>
      <c r="CG1471" s="279"/>
      <c r="CH1471" s="279"/>
      <c r="CI1471" s="279"/>
      <c r="CJ1471" s="279"/>
      <c r="CK1471" s="279"/>
      <c r="CL1471" s="279"/>
      <c r="CM1471" s="279"/>
      <c r="CN1471" s="382"/>
    </row>
    <row r="1472" ht="16.2" thickBot="true" x14ac:dyDescent="0.35">
      <c r="B1472" s="361"/>
      <c r="C1472" s="279"/>
      <c r="D1472" s="280"/>
      <c r="E1472" s="287"/>
      <c r="F1472" s="287"/>
      <c r="G1472" s="287"/>
      <c r="H1472" s="280"/>
      <c r="I1472" s="279"/>
      <c r="J1472" s="305" t="s">
        <v>88</v>
      </c>
      <c r="K1472" s="1305">
        <f>SUM(K1422:K1471)</f>
        <v>0</v>
      </c>
      <c r="L1472" s="1305">
        <f>SUM(L1422:L1471)</f>
        <v>2980.7504537999998</v>
      </c>
      <c r="M1472" s="296"/>
      <c r="N1472" s="280"/>
      <c r="O1472" s="280"/>
      <c r="P1472" s="279"/>
      <c r="Q1472" s="297"/>
      <c r="R1472" s="298"/>
      <c r="S1472" s="298"/>
      <c r="T1472" s="299"/>
      <c r="U1472" s="279"/>
      <c r="V1472" s="279"/>
      <c r="W1472" s="279"/>
      <c r="X1472" s="279"/>
      <c r="Y1472" s="279"/>
      <c r="Z1472" s="279"/>
      <c r="AA1472" s="279"/>
      <c r="AB1472" s="279"/>
      <c r="AC1472" s="279"/>
      <c r="AD1472" s="279"/>
      <c r="AE1472" s="279"/>
      <c r="AF1472" s="279"/>
      <c r="AG1472" s="279"/>
      <c r="AH1472" s="279"/>
      <c r="AI1472" s="279"/>
      <c r="AJ1472" s="279"/>
      <c r="AK1472" s="279"/>
      <c r="AL1472" s="279"/>
      <c r="AM1472" s="279"/>
      <c r="AN1472" s="279"/>
      <c r="AO1472" s="279"/>
      <c r="AP1472" s="279"/>
      <c r="AQ1472" s="279"/>
      <c r="AR1472" s="279"/>
      <c r="AS1472" s="279"/>
      <c r="AT1472" s="279"/>
      <c r="AU1472" s="279"/>
      <c r="AV1472" s="279"/>
      <c r="AW1472" s="279"/>
      <c r="AX1472" s="279"/>
      <c r="AY1472" s="279"/>
      <c r="AZ1472" s="279"/>
      <c r="BA1472" s="279"/>
      <c r="BB1472" s="279"/>
      <c r="BC1472" s="279"/>
      <c r="BD1472" s="279"/>
      <c r="BE1472" s="279"/>
      <c r="BF1472" s="279"/>
      <c r="BG1472" s="279"/>
      <c r="BH1472" s="279"/>
      <c r="BI1472" s="279"/>
      <c r="BJ1472" s="279"/>
      <c r="BK1472" s="279"/>
      <c r="BL1472" s="279"/>
      <c r="BM1472" s="279"/>
      <c r="BN1472" s="279"/>
      <c r="BO1472" s="279"/>
      <c r="BP1472" s="279"/>
      <c r="BQ1472" s="279"/>
      <c r="BR1472" s="279"/>
      <c r="BS1472" s="279"/>
      <c r="BT1472" s="279"/>
      <c r="BU1472" s="279"/>
      <c r="BV1472" s="279"/>
      <c r="BW1472" s="279"/>
      <c r="BX1472" s="279"/>
      <c r="BY1472" s="279"/>
      <c r="BZ1472" s="279"/>
      <c r="CA1472" s="279"/>
      <c r="CB1472" s="279"/>
      <c r="CC1472" s="279"/>
      <c r="CD1472" s="279"/>
      <c r="CE1472" s="279"/>
      <c r="CF1472" s="279"/>
      <c r="CG1472" s="279"/>
      <c r="CH1472" s="279"/>
      <c r="CI1472" s="279"/>
      <c r="CJ1472" s="279"/>
      <c r="CK1472" s="279"/>
      <c r="CL1472" s="279"/>
      <c r="CM1472" s="279"/>
      <c r="CN1472" s="382"/>
    </row>
    <row r="1473" x14ac:dyDescent="0.3">
      <c r="B1473" s="361"/>
      <c r="C1473" s="279"/>
      <c r="D1473" s="280"/>
      <c r="E1473" s="287"/>
      <c r="F1473" s="287"/>
      <c r="G1473" s="287"/>
      <c r="H1473" s="280"/>
      <c r="I1473" s="279"/>
      <c r="J1473" s="305"/>
      <c r="K1473" s="287"/>
      <c r="L1473" s="287"/>
      <c r="M1473" s="296"/>
      <c r="N1473" s="280"/>
      <c r="O1473" s="280"/>
      <c r="P1473" s="279"/>
      <c r="Q1473" s="297"/>
      <c r="R1473" s="298"/>
      <c r="S1473" s="298"/>
      <c r="T1473" s="299"/>
      <c r="U1473" s="279"/>
      <c r="V1473" s="279"/>
      <c r="W1473" s="279"/>
      <c r="X1473" s="279"/>
      <c r="Y1473" s="279"/>
      <c r="Z1473" s="279"/>
      <c r="AA1473" s="279"/>
      <c r="AB1473" s="279"/>
      <c r="AC1473" s="279"/>
      <c r="AD1473" s="279"/>
      <c r="AE1473" s="279"/>
      <c r="AF1473" s="279"/>
      <c r="AG1473" s="279"/>
      <c r="AH1473" s="279"/>
      <c r="AI1473" s="279"/>
      <c r="AJ1473" s="279"/>
      <c r="AK1473" s="279"/>
      <c r="AL1473" s="279"/>
      <c r="AM1473" s="279"/>
      <c r="AN1473" s="279"/>
      <c r="AO1473" s="279"/>
      <c r="AP1473" s="279"/>
      <c r="AQ1473" s="279"/>
      <c r="AR1473" s="279"/>
      <c r="AS1473" s="279"/>
      <c r="AT1473" s="279"/>
      <c r="AU1473" s="279"/>
      <c r="AV1473" s="279"/>
      <c r="AW1473" s="279"/>
      <c r="AX1473" s="279"/>
      <c r="AY1473" s="279"/>
      <c r="AZ1473" s="279"/>
      <c r="BA1473" s="279"/>
      <c r="BB1473" s="279"/>
      <c r="BC1473" s="279"/>
      <c r="BD1473" s="279"/>
      <c r="BE1473" s="279"/>
      <c r="BF1473" s="279"/>
      <c r="BG1473" s="279"/>
      <c r="BH1473" s="279"/>
      <c r="BI1473" s="279"/>
      <c r="BJ1473" s="279"/>
      <c r="BK1473" s="279"/>
      <c r="BL1473" s="279"/>
      <c r="BM1473" s="279"/>
      <c r="BN1473" s="279"/>
      <c r="BO1473" s="279"/>
      <c r="BP1473" s="279"/>
      <c r="BQ1473" s="279"/>
      <c r="BR1473" s="279"/>
      <c r="BS1473" s="279"/>
      <c r="BT1473" s="279"/>
      <c r="BU1473" s="279"/>
      <c r="BV1473" s="279"/>
      <c r="BW1473" s="279"/>
      <c r="BX1473" s="279"/>
      <c r="BY1473" s="279"/>
      <c r="BZ1473" s="279"/>
      <c r="CA1473" s="279"/>
      <c r="CB1473" s="279"/>
      <c r="CC1473" s="279"/>
      <c r="CD1473" s="279"/>
      <c r="CE1473" s="279"/>
      <c r="CF1473" s="279"/>
      <c r="CG1473" s="279"/>
      <c r="CH1473" s="279"/>
      <c r="CI1473" s="279"/>
      <c r="CJ1473" s="279"/>
      <c r="CK1473" s="279"/>
      <c r="CL1473" s="279"/>
      <c r="CM1473" s="279"/>
      <c r="CN1473" s="382"/>
    </row>
    <row r="1474" x14ac:dyDescent="0.3">
      <c r="B1474" s="361"/>
      <c r="C1474" s="279"/>
      <c r="D1474" s="280"/>
      <c r="E1474" s="287"/>
      <c r="F1474" s="287"/>
      <c r="G1474" s="287"/>
      <c r="H1474" s="280"/>
      <c r="I1474" s="279"/>
      <c r="J1474" s="305"/>
      <c r="K1474" s="287"/>
      <c r="L1474" s="287"/>
      <c r="M1474" s="296"/>
      <c r="N1474" s="280"/>
      <c r="O1474" s="280"/>
      <c r="P1474" s="279"/>
      <c r="Q1474" s="297"/>
      <c r="R1474" s="298"/>
      <c r="S1474" s="298"/>
      <c r="T1474" s="299"/>
      <c r="U1474" s="279"/>
      <c r="V1474" s="279"/>
      <c r="W1474" s="279"/>
      <c r="X1474" s="279"/>
      <c r="Y1474" s="279"/>
      <c r="Z1474" s="279"/>
      <c r="AA1474" s="279"/>
      <c r="AB1474" s="279"/>
      <c r="AC1474" s="279"/>
      <c r="AD1474" s="279"/>
      <c r="AE1474" s="279"/>
      <c r="AF1474" s="279"/>
      <c r="AG1474" s="279"/>
      <c r="AH1474" s="279"/>
      <c r="AI1474" s="279"/>
      <c r="AJ1474" s="279"/>
      <c r="AK1474" s="279"/>
      <c r="AL1474" s="279"/>
      <c r="AM1474" s="279"/>
      <c r="AN1474" s="279"/>
      <c r="AO1474" s="279"/>
      <c r="AP1474" s="279"/>
      <c r="AQ1474" s="279"/>
      <c r="AR1474" s="279"/>
      <c r="AS1474" s="279"/>
      <c r="AT1474" s="279"/>
      <c r="AU1474" s="279"/>
      <c r="AV1474" s="279"/>
      <c r="AW1474" s="279"/>
      <c r="AX1474" s="279"/>
      <c r="AY1474" s="279"/>
      <c r="AZ1474" s="279"/>
      <c r="BA1474" s="279"/>
      <c r="BB1474" s="279"/>
      <c r="BC1474" s="279"/>
      <c r="BD1474" s="279"/>
      <c r="BE1474" s="279"/>
      <c r="BF1474" s="279"/>
      <c r="BG1474" s="279"/>
      <c r="BH1474" s="279"/>
      <c r="BI1474" s="279"/>
      <c r="BJ1474" s="279"/>
      <c r="BK1474" s="279"/>
      <c r="BL1474" s="279"/>
      <c r="BM1474" s="279"/>
      <c r="BN1474" s="279"/>
      <c r="BO1474" s="279"/>
      <c r="BP1474" s="279"/>
      <c r="BQ1474" s="279"/>
      <c r="BR1474" s="279"/>
      <c r="BS1474" s="279"/>
      <c r="BT1474" s="279"/>
      <c r="BU1474" s="279"/>
      <c r="BV1474" s="279"/>
      <c r="BW1474" s="279"/>
      <c r="BX1474" s="279"/>
      <c r="BY1474" s="279"/>
      <c r="BZ1474" s="279"/>
      <c r="CA1474" s="279"/>
      <c r="CB1474" s="279"/>
      <c r="CC1474" s="279"/>
      <c r="CD1474" s="279"/>
      <c r="CE1474" s="279"/>
      <c r="CF1474" s="279"/>
      <c r="CG1474" s="279"/>
      <c r="CH1474" s="279"/>
      <c r="CI1474" s="279"/>
      <c r="CJ1474" s="279"/>
      <c r="CK1474" s="279"/>
      <c r="CL1474" s="279"/>
      <c r="CM1474" s="279"/>
      <c r="CN1474" s="382"/>
    </row>
    <row r="1475" x14ac:dyDescent="0.3">
      <c r="B1475" s="361"/>
      <c r="C1475" s="279"/>
      <c r="D1475" s="280"/>
      <c r="E1475" s="287"/>
      <c r="F1475" s="287"/>
      <c r="G1475" s="287"/>
      <c r="H1475" s="280"/>
      <c r="I1475" s="279"/>
      <c r="J1475" s="279"/>
      <c r="K1475" s="279"/>
      <c r="L1475" s="280"/>
      <c r="M1475" s="296"/>
      <c r="N1475" s="280"/>
      <c r="O1475" s="280"/>
      <c r="P1475" s="279"/>
      <c r="Q1475" s="297"/>
      <c r="R1475" s="298"/>
      <c r="S1475" s="298"/>
      <c r="T1475" s="299"/>
      <c r="U1475" s="279"/>
      <c r="V1475" s="279"/>
      <c r="W1475" s="279"/>
      <c r="X1475" s="279"/>
      <c r="Y1475" s="279"/>
      <c r="Z1475" s="279"/>
      <c r="AA1475" s="279"/>
      <c r="AB1475" s="279"/>
      <c r="AC1475" s="279"/>
      <c r="AD1475" s="279"/>
      <c r="AE1475" s="279"/>
      <c r="AF1475" s="279"/>
      <c r="AG1475" s="279"/>
      <c r="AH1475" s="279"/>
      <c r="AI1475" s="279"/>
      <c r="AJ1475" s="279"/>
      <c r="AK1475" s="279"/>
      <c r="AL1475" s="279"/>
      <c r="AM1475" s="279"/>
      <c r="AN1475" s="279"/>
      <c r="AO1475" s="279"/>
      <c r="AP1475" s="279"/>
      <c r="AQ1475" s="279"/>
      <c r="AR1475" s="279"/>
      <c r="AS1475" s="279"/>
      <c r="AT1475" s="279"/>
      <c r="AU1475" s="279"/>
      <c r="AV1475" s="279"/>
      <c r="AW1475" s="279"/>
      <c r="AX1475" s="279"/>
      <c r="AY1475" s="279"/>
      <c r="AZ1475" s="279"/>
      <c r="BA1475" s="279"/>
      <c r="BB1475" s="279"/>
      <c r="BC1475" s="279"/>
      <c r="BD1475" s="279"/>
      <c r="BE1475" s="279"/>
      <c r="BF1475" s="279"/>
      <c r="BG1475" s="279"/>
      <c r="BH1475" s="279"/>
      <c r="BI1475" s="279"/>
      <c r="BJ1475" s="279"/>
      <c r="BK1475" s="279"/>
      <c r="BL1475" s="279"/>
      <c r="BM1475" s="279"/>
      <c r="BN1475" s="279"/>
      <c r="BO1475" s="279"/>
      <c r="BP1475" s="279"/>
      <c r="BQ1475" s="279"/>
      <c r="BR1475" s="279"/>
      <c r="BS1475" s="279"/>
      <c r="BT1475" s="279"/>
      <c r="BU1475" s="279"/>
      <c r="BV1475" s="279"/>
      <c r="BW1475" s="279"/>
      <c r="BX1475" s="279"/>
      <c r="BY1475" s="279"/>
      <c r="BZ1475" s="279"/>
      <c r="CA1475" s="279"/>
      <c r="CB1475" s="279"/>
      <c r="CC1475" s="279"/>
      <c r="CD1475" s="279"/>
      <c r="CE1475" s="279"/>
      <c r="CF1475" s="279"/>
      <c r="CG1475" s="279"/>
      <c r="CH1475" s="279"/>
      <c r="CI1475" s="279"/>
      <c r="CJ1475" s="279"/>
      <c r="CK1475" s="279"/>
      <c r="CL1475" s="279"/>
      <c r="CM1475" s="279"/>
      <c r="CN1475" s="382"/>
    </row>
    <row r="1476" x14ac:dyDescent="0.3">
      <c r="B1476" s="361"/>
      <c r="C1476" s="279"/>
      <c r="D1476" s="280"/>
      <c r="E1476" s="287"/>
      <c r="F1476" s="287"/>
      <c r="G1476" s="287"/>
      <c r="H1476" s="280"/>
      <c r="I1476" s="279"/>
      <c r="J1476" s="279"/>
      <c r="K1476" s="279"/>
      <c r="L1476" s="280"/>
      <c r="M1476" s="296"/>
      <c r="N1476" s="280"/>
      <c r="O1476" s="280"/>
      <c r="P1476" s="279"/>
      <c r="Q1476" s="297"/>
      <c r="R1476" s="298"/>
      <c r="S1476" s="298"/>
      <c r="T1476" s="299"/>
      <c r="U1476" s="279"/>
      <c r="V1476" s="279"/>
      <c r="W1476" s="279"/>
      <c r="X1476" s="279"/>
      <c r="Y1476" s="279"/>
      <c r="Z1476" s="279"/>
      <c r="AA1476" s="279"/>
      <c r="AB1476" s="279"/>
      <c r="AC1476" s="279"/>
      <c r="AD1476" s="279"/>
      <c r="AE1476" s="279"/>
      <c r="AF1476" s="279"/>
      <c r="AG1476" s="279"/>
      <c r="AH1476" s="279"/>
      <c r="AI1476" s="279"/>
      <c r="AJ1476" s="279"/>
      <c r="AK1476" s="279"/>
      <c r="AL1476" s="279"/>
      <c r="AM1476" s="279"/>
      <c r="AN1476" s="279"/>
      <c r="AO1476" s="279"/>
      <c r="AP1476" s="279"/>
      <c r="AQ1476" s="279"/>
      <c r="AR1476" s="279"/>
      <c r="AS1476" s="279"/>
      <c r="AT1476" s="279"/>
      <c r="AU1476" s="279"/>
      <c r="AV1476" s="279"/>
      <c r="AW1476" s="279"/>
      <c r="AX1476" s="279"/>
      <c r="AY1476" s="279"/>
      <c r="AZ1476" s="279"/>
      <c r="BA1476" s="279"/>
      <c r="BB1476" s="279"/>
      <c r="BC1476" s="279"/>
      <c r="BD1476" s="279"/>
      <c r="BE1476" s="279"/>
      <c r="BF1476" s="279"/>
      <c r="BG1476" s="279"/>
      <c r="BH1476" s="279"/>
      <c r="BI1476" s="279"/>
      <c r="BJ1476" s="279"/>
      <c r="BK1476" s="279"/>
      <c r="BL1476" s="279"/>
      <c r="BM1476" s="279"/>
      <c r="BN1476" s="279"/>
      <c r="BO1476" s="279"/>
      <c r="BP1476" s="279"/>
      <c r="BQ1476" s="279"/>
      <c r="BR1476" s="279"/>
      <c r="BS1476" s="279"/>
      <c r="BT1476" s="279"/>
      <c r="BU1476" s="279"/>
      <c r="BV1476" s="279"/>
      <c r="BW1476" s="279"/>
      <c r="BX1476" s="279"/>
      <c r="BY1476" s="279"/>
      <c r="BZ1476" s="279"/>
      <c r="CA1476" s="279"/>
      <c r="CB1476" s="279"/>
      <c r="CC1476" s="279"/>
      <c r="CD1476" s="279"/>
      <c r="CE1476" s="279"/>
      <c r="CF1476" s="279"/>
      <c r="CG1476" s="279"/>
      <c r="CH1476" s="279"/>
      <c r="CI1476" s="279"/>
      <c r="CJ1476" s="279"/>
      <c r="CK1476" s="279"/>
      <c r="CL1476" s="279"/>
      <c r="CM1476" s="279"/>
      <c r="CN1476" s="382"/>
    </row>
    <row r="1477" ht="16.2" thickBot="true" x14ac:dyDescent="0.35">
      <c r="B1477" s="361"/>
      <c r="C1477" s="279"/>
      <c r="D1477" s="280"/>
      <c r="E1477" s="287"/>
      <c r="F1477" s="287"/>
      <c r="G1477" s="287"/>
      <c r="H1477" s="280"/>
      <c r="I1477" s="279"/>
      <c r="J1477" s="279"/>
      <c r="K1477" s="279"/>
      <c r="L1477" s="280"/>
      <c r="M1477" s="296"/>
      <c r="N1477" s="280"/>
      <c r="O1477" s="280"/>
      <c r="P1477" s="279"/>
      <c r="Q1477" s="297"/>
      <c r="R1477" s="298"/>
      <c r="S1477" s="298"/>
      <c r="T1477" s="299"/>
      <c r="U1477" s="279"/>
      <c r="V1477" s="279"/>
      <c r="W1477" s="279"/>
      <c r="X1477" s="279"/>
      <c r="Y1477" s="279"/>
      <c r="Z1477" s="279"/>
      <c r="AA1477" s="279"/>
      <c r="AB1477" s="279"/>
      <c r="AC1477" s="279"/>
      <c r="AD1477" s="279"/>
      <c r="AE1477" s="279"/>
      <c r="AF1477" s="279"/>
      <c r="AG1477" s="279"/>
      <c r="AH1477" s="279"/>
      <c r="AI1477" s="279"/>
      <c r="AJ1477" s="279"/>
      <c r="AK1477" s="279"/>
      <c r="AL1477" s="279"/>
      <c r="AM1477" s="279"/>
      <c r="AN1477" s="279"/>
      <c r="AO1477" s="279"/>
      <c r="AP1477" s="279"/>
      <c r="AQ1477" s="279"/>
      <c r="AR1477" s="279"/>
      <c r="AS1477" s="279"/>
      <c r="AT1477" s="279"/>
      <c r="AU1477" s="279"/>
      <c r="AV1477" s="279"/>
      <c r="AW1477" s="279"/>
      <c r="AX1477" s="279"/>
      <c r="AY1477" s="279"/>
      <c r="AZ1477" s="279"/>
      <c r="BA1477" s="279"/>
      <c r="BB1477" s="279"/>
      <c r="BC1477" s="279"/>
      <c r="BD1477" s="279"/>
      <c r="BE1477" s="279"/>
      <c r="BF1477" s="279"/>
      <c r="BG1477" s="279"/>
      <c r="BH1477" s="279"/>
      <c r="BI1477" s="279"/>
      <c r="BJ1477" s="279"/>
      <c r="BK1477" s="279"/>
      <c r="BL1477" s="279"/>
      <c r="BM1477" s="279"/>
      <c r="BN1477" s="279"/>
      <c r="BO1477" s="279"/>
      <c r="BP1477" s="279"/>
      <c r="BQ1477" s="279"/>
      <c r="BR1477" s="279"/>
      <c r="BS1477" s="279"/>
      <c r="BT1477" s="279"/>
      <c r="BU1477" s="279"/>
      <c r="BV1477" s="279"/>
      <c r="BW1477" s="279"/>
      <c r="BX1477" s="279"/>
      <c r="BY1477" s="279"/>
      <c r="BZ1477" s="279"/>
      <c r="CA1477" s="279"/>
      <c r="CB1477" s="279"/>
      <c r="CC1477" s="279"/>
      <c r="CD1477" s="279"/>
      <c r="CE1477" s="279"/>
      <c r="CF1477" s="279"/>
      <c r="CG1477" s="279"/>
      <c r="CH1477" s="279"/>
      <c r="CI1477" s="279"/>
      <c r="CJ1477" s="279"/>
      <c r="CK1477" s="279"/>
      <c r="CL1477" s="279"/>
      <c r="CM1477" s="279"/>
      <c r="CN1477" s="382"/>
    </row>
    <row r="1478" ht="27" customHeight="true" thickBot="true" x14ac:dyDescent="0.35">
      <c r="B1478" s="361"/>
      <c r="C1478" s="279"/>
      <c r="D1478" s="280"/>
      <c r="E1478" s="287"/>
      <c r="F1478" s="287"/>
      <c r="G1478" s="287"/>
      <c r="H1478" s="1950" t="s">
        <v>995</v>
      </c>
      <c r="I1478" s="1951"/>
      <c r="J1478" s="1951"/>
      <c r="K1478" s="1951"/>
      <c r="L1478" s="1952"/>
      <c r="M1478" s="296"/>
      <c r="N1478" s="280"/>
      <c r="O1478" s="280"/>
      <c r="P1478" s="279"/>
      <c r="Q1478" s="297"/>
      <c r="R1478" s="298"/>
      <c r="S1478" s="298"/>
      <c r="T1478" s="299"/>
      <c r="U1478" s="279"/>
      <c r="V1478" s="279"/>
      <c r="W1478" s="279"/>
      <c r="X1478" s="279"/>
      <c r="Y1478" s="279"/>
      <c r="Z1478" s="279"/>
      <c r="AA1478" s="279"/>
      <c r="AB1478" s="279"/>
      <c r="AC1478" s="279"/>
      <c r="AD1478" s="279"/>
      <c r="AE1478" s="279"/>
      <c r="AF1478" s="279"/>
      <c r="AG1478" s="279"/>
      <c r="AH1478" s="279"/>
      <c r="AI1478" s="279"/>
      <c r="AJ1478" s="279"/>
      <c r="AK1478" s="279"/>
      <c r="AL1478" s="279"/>
      <c r="AM1478" s="279"/>
      <c r="AN1478" s="279"/>
      <c r="AO1478" s="279"/>
      <c r="AP1478" s="279"/>
      <c r="AQ1478" s="279"/>
      <c r="AR1478" s="279"/>
      <c r="AS1478" s="279"/>
      <c r="AT1478" s="279"/>
      <c r="AU1478" s="279"/>
      <c r="AV1478" s="279"/>
      <c r="AW1478" s="279"/>
      <c r="AX1478" s="279"/>
      <c r="AY1478" s="279"/>
      <c r="AZ1478" s="279"/>
      <c r="BA1478" s="279"/>
      <c r="BB1478" s="279"/>
      <c r="BC1478" s="279"/>
      <c r="BD1478" s="279"/>
      <c r="BE1478" s="279"/>
      <c r="BF1478" s="279"/>
      <c r="BG1478" s="279"/>
      <c r="BH1478" s="279"/>
      <c r="BI1478" s="279"/>
      <c r="BJ1478" s="279"/>
      <c r="BK1478" s="279"/>
      <c r="BL1478" s="279"/>
      <c r="BM1478" s="279"/>
      <c r="BN1478" s="279"/>
      <c r="BO1478" s="279"/>
      <c r="BP1478" s="279"/>
      <c r="BQ1478" s="279"/>
      <c r="BR1478" s="279"/>
      <c r="BS1478" s="279"/>
      <c r="BT1478" s="279"/>
      <c r="BU1478" s="279"/>
      <c r="BV1478" s="279"/>
      <c r="BW1478" s="279"/>
      <c r="BX1478" s="279"/>
      <c r="BY1478" s="279"/>
      <c r="BZ1478" s="279"/>
      <c r="CA1478" s="279"/>
      <c r="CB1478" s="279"/>
      <c r="CC1478" s="279"/>
      <c r="CD1478" s="279"/>
      <c r="CE1478" s="279"/>
      <c r="CF1478" s="279"/>
      <c r="CG1478" s="279"/>
      <c r="CH1478" s="279"/>
      <c r="CI1478" s="279"/>
      <c r="CJ1478" s="279"/>
      <c r="CK1478" s="279"/>
      <c r="CL1478" s="279"/>
      <c r="CM1478" s="279"/>
      <c r="CN1478" s="382"/>
    </row>
    <row r="1479" ht="31.2" x14ac:dyDescent="0.3">
      <c r="B1479" s="361"/>
      <c r="C1479" s="279"/>
      <c r="D1479" s="280"/>
      <c r="E1479" s="287"/>
      <c r="F1479" s="287"/>
      <c r="G1479" s="287"/>
      <c r="H1479" s="282" t="s">
        <v>1469</v>
      </c>
      <c r="I1479" s="1166" t="s">
        <v>289</v>
      </c>
      <c r="J1479" s="1166" t="s">
        <v>996</v>
      </c>
      <c r="K1479" s="1186" t="s">
        <v>997</v>
      </c>
      <c r="L1479" s="291" t="s">
        <v>998</v>
      </c>
      <c r="M1479" s="296"/>
      <c r="N1479" s="280"/>
      <c r="O1479" s="280"/>
      <c r="P1479" s="279"/>
      <c r="Q1479" s="297"/>
      <c r="R1479" s="298"/>
      <c r="S1479" s="298"/>
      <c r="T1479" s="299"/>
      <c r="U1479" s="279"/>
      <c r="V1479" s="279"/>
      <c r="W1479" s="279"/>
      <c r="X1479" s="279"/>
      <c r="Y1479" s="279"/>
      <c r="Z1479" s="279"/>
      <c r="AA1479" s="279"/>
      <c r="AB1479" s="279"/>
      <c r="AC1479" s="279"/>
      <c r="AD1479" s="279"/>
      <c r="AE1479" s="279"/>
      <c r="AF1479" s="279"/>
      <c r="AG1479" s="279"/>
      <c r="AH1479" s="279"/>
      <c r="AI1479" s="279"/>
      <c r="AJ1479" s="279"/>
      <c r="AK1479" s="279"/>
      <c r="AL1479" s="279"/>
      <c r="AM1479" s="279"/>
      <c r="AN1479" s="279"/>
      <c r="AO1479" s="279"/>
      <c r="AP1479" s="279"/>
      <c r="AQ1479" s="279"/>
      <c r="AR1479" s="279"/>
      <c r="AS1479" s="279"/>
      <c r="AT1479" s="279"/>
      <c r="AU1479" s="279"/>
      <c r="AV1479" s="279"/>
      <c r="AW1479" s="279"/>
      <c r="AX1479" s="279"/>
      <c r="AY1479" s="279"/>
      <c r="AZ1479" s="279"/>
      <c r="BA1479" s="279"/>
      <c r="BB1479" s="279"/>
      <c r="BC1479" s="279"/>
      <c r="BD1479" s="279"/>
      <c r="BE1479" s="279"/>
      <c r="BF1479" s="279"/>
      <c r="BG1479" s="279"/>
      <c r="BH1479" s="279"/>
      <c r="BI1479" s="279"/>
      <c r="BJ1479" s="279"/>
      <c r="BK1479" s="279"/>
      <c r="BL1479" s="279"/>
      <c r="BM1479" s="279"/>
      <c r="BN1479" s="279"/>
      <c r="BO1479" s="279"/>
      <c r="BP1479" s="279"/>
      <c r="BQ1479" s="279"/>
      <c r="BR1479" s="279"/>
      <c r="BS1479" s="279"/>
      <c r="BT1479" s="279"/>
      <c r="BU1479" s="279"/>
      <c r="BV1479" s="279"/>
      <c r="BW1479" s="279"/>
      <c r="BX1479" s="279"/>
      <c r="BY1479" s="279"/>
      <c r="BZ1479" s="279"/>
      <c r="CA1479" s="279"/>
      <c r="CB1479" s="279"/>
      <c r="CC1479" s="279"/>
      <c r="CD1479" s="279"/>
      <c r="CE1479" s="279"/>
      <c r="CF1479" s="279"/>
      <c r="CG1479" s="279"/>
      <c r="CH1479" s="279"/>
      <c r="CI1479" s="279"/>
      <c r="CJ1479" s="279"/>
      <c r="CK1479" s="279"/>
      <c r="CL1479" s="279"/>
      <c r="CM1479" s="279"/>
      <c r="CN1479" s="382"/>
    </row>
    <row r="1480" x14ac:dyDescent="0.3">
      <c r="B1480" s="361"/>
      <c r="C1480" s="279"/>
      <c r="D1480" s="280"/>
      <c r="E1480" s="287"/>
      <c r="F1480" s="287"/>
      <c r="G1480" s="287"/>
      <c r="H1480" s="1292">
        <f t="shared" ref="H1480:H1529" si="76">H142</f>
        <v>1</v>
      </c>
      <c r="I1480" s="1190">
        <f>'I. Stream &amp; Compound Data'!P262</f>
        <v>2980.7504537999998</v>
      </c>
      <c r="J1480" s="1295">
        <f>IF(I142="","",IF('I. Stream &amp; Compound Data'!CQ262&lt;&gt;"",'I. Stream &amp; Compound Data'!CQ262,'I. Stream &amp; Compound Data'!CR262))</f>
        <v>0</v>
      </c>
      <c r="K1480" s="1312">
        <f t="shared" ref="K1480:K1498" si="77">IF(I142="","",I1480*J1480)</f>
        <v>0</v>
      </c>
      <c r="L1480" s="301">
        <f>IF(K1480="","",IF('I. Stream &amp; Compound Data'!E32="H2O",0,(IF(J1480=0,1,J1480))*I1480))</f>
        <v>2980.7504537999998</v>
      </c>
      <c r="M1480" s="296"/>
      <c r="N1480" s="280"/>
      <c r="O1480" s="280"/>
      <c r="P1480" s="279"/>
      <c r="Q1480" s="297"/>
      <c r="R1480" s="298"/>
      <c r="S1480" s="298"/>
      <c r="T1480" s="299"/>
      <c r="U1480" s="279"/>
      <c r="V1480" s="279"/>
      <c r="W1480" s="279"/>
      <c r="X1480" s="279"/>
      <c r="Y1480" s="279"/>
      <c r="Z1480" s="279"/>
      <c r="AA1480" s="279"/>
      <c r="AB1480" s="279"/>
      <c r="AC1480" s="279"/>
      <c r="AD1480" s="279"/>
      <c r="AE1480" s="279"/>
      <c r="AF1480" s="279"/>
      <c r="AG1480" s="279"/>
      <c r="AH1480" s="279"/>
      <c r="AI1480" s="279"/>
      <c r="AJ1480" s="279"/>
      <c r="AK1480" s="279"/>
      <c r="AL1480" s="279"/>
      <c r="AM1480" s="279"/>
      <c r="AN1480" s="279"/>
      <c r="AO1480" s="279"/>
      <c r="AP1480" s="279"/>
      <c r="AQ1480" s="279"/>
      <c r="AR1480" s="279"/>
      <c r="AS1480" s="279"/>
      <c r="AT1480" s="279"/>
      <c r="AU1480" s="279"/>
      <c r="AV1480" s="279"/>
      <c r="AW1480" s="279"/>
      <c r="AX1480" s="279"/>
      <c r="AY1480" s="279"/>
      <c r="AZ1480" s="279"/>
      <c r="BA1480" s="279"/>
      <c r="BB1480" s="279"/>
      <c r="BC1480" s="279"/>
      <c r="BD1480" s="279"/>
      <c r="BE1480" s="279"/>
      <c r="BF1480" s="279"/>
      <c r="BG1480" s="279"/>
      <c r="BH1480" s="279"/>
      <c r="BI1480" s="279"/>
      <c r="BJ1480" s="279"/>
      <c r="BK1480" s="279"/>
      <c r="BL1480" s="279"/>
      <c r="BM1480" s="279"/>
      <c r="BN1480" s="279"/>
      <c r="BO1480" s="279"/>
      <c r="BP1480" s="279"/>
      <c r="BQ1480" s="279"/>
      <c r="BR1480" s="279"/>
      <c r="BS1480" s="279"/>
      <c r="BT1480" s="279"/>
      <c r="BU1480" s="279"/>
      <c r="BV1480" s="279"/>
      <c r="BW1480" s="279"/>
      <c r="BX1480" s="279"/>
      <c r="BY1480" s="279"/>
      <c r="BZ1480" s="279"/>
      <c r="CA1480" s="279"/>
      <c r="CB1480" s="279"/>
      <c r="CC1480" s="279"/>
      <c r="CD1480" s="279"/>
      <c r="CE1480" s="279"/>
      <c r="CF1480" s="279"/>
      <c r="CG1480" s="279"/>
      <c r="CH1480" s="279"/>
      <c r="CI1480" s="279"/>
      <c r="CJ1480" s="279"/>
      <c r="CK1480" s="279"/>
      <c r="CL1480" s="279"/>
      <c r="CM1480" s="279"/>
      <c r="CN1480" s="382"/>
    </row>
    <row r="1481" x14ac:dyDescent="0.3">
      <c r="B1481" s="361"/>
      <c r="C1481" s="279"/>
      <c r="D1481" s="280"/>
      <c r="E1481" s="287"/>
      <c r="F1481" s="287"/>
      <c r="G1481" s="287"/>
      <c r="H1481" s="1292">
        <f t="shared" si="76"/>
        <v>2</v>
      </c>
      <c r="I1481" s="1190">
        <f>'I. Stream &amp; Compound Data'!P263</f>
        <v>0</v>
      </c>
      <c r="J1481" s="1295">
        <f>IF(I143="","",IF('I. Stream &amp; Compound Data'!CQ263&lt;&gt;"",'I. Stream &amp; Compound Data'!CQ263,'I. Stream &amp; Compound Data'!CR263))</f>
        <v>0</v>
      </c>
      <c r="K1481" s="1312">
        <f t="shared" si="77"/>
        <v>0</v>
      </c>
      <c r="L1481" s="301">
        <f>IF(K1481="","",IF('I. Stream &amp; Compound Data'!E33="H2O",0,(IF(J1481=0,1,J1481))*I1481))</f>
        <v>0</v>
      </c>
      <c r="M1481" s="296"/>
      <c r="N1481" s="280"/>
      <c r="O1481" s="280"/>
      <c r="P1481" s="279"/>
      <c r="Q1481" s="297"/>
      <c r="R1481" s="298"/>
      <c r="S1481" s="298"/>
      <c r="T1481" s="299"/>
      <c r="U1481" s="279"/>
      <c r="V1481" s="279"/>
      <c r="W1481" s="279"/>
      <c r="X1481" s="279"/>
      <c r="Y1481" s="279"/>
      <c r="Z1481" s="279"/>
      <c r="AA1481" s="279"/>
      <c r="AB1481" s="279"/>
      <c r="AC1481" s="279"/>
      <c r="AD1481" s="279"/>
      <c r="AE1481" s="279"/>
      <c r="AF1481" s="279"/>
      <c r="AG1481" s="279"/>
      <c r="AH1481" s="279"/>
      <c r="AI1481" s="279"/>
      <c r="AJ1481" s="279"/>
      <c r="AK1481" s="279"/>
      <c r="AL1481" s="279"/>
      <c r="AM1481" s="279"/>
      <c r="AN1481" s="279"/>
      <c r="AO1481" s="279"/>
      <c r="AP1481" s="279"/>
      <c r="AQ1481" s="279"/>
      <c r="AR1481" s="279"/>
      <c r="AS1481" s="279"/>
      <c r="AT1481" s="279"/>
      <c r="AU1481" s="279"/>
      <c r="AV1481" s="279"/>
      <c r="AW1481" s="279"/>
      <c r="AX1481" s="279"/>
      <c r="AY1481" s="279"/>
      <c r="AZ1481" s="279"/>
      <c r="BA1481" s="279"/>
      <c r="BB1481" s="279"/>
      <c r="BC1481" s="279"/>
      <c r="BD1481" s="279"/>
      <c r="BE1481" s="279"/>
      <c r="BF1481" s="279"/>
      <c r="BG1481" s="279"/>
      <c r="BH1481" s="279"/>
      <c r="BI1481" s="279"/>
      <c r="BJ1481" s="279"/>
      <c r="BK1481" s="279"/>
      <c r="BL1481" s="279"/>
      <c r="BM1481" s="279"/>
      <c r="BN1481" s="279"/>
      <c r="BO1481" s="279"/>
      <c r="BP1481" s="279"/>
      <c r="BQ1481" s="279"/>
      <c r="BR1481" s="279"/>
      <c r="BS1481" s="279"/>
      <c r="BT1481" s="279"/>
      <c r="BU1481" s="279"/>
      <c r="BV1481" s="279"/>
      <c r="BW1481" s="279"/>
      <c r="BX1481" s="279"/>
      <c r="BY1481" s="279"/>
      <c r="BZ1481" s="279"/>
      <c r="CA1481" s="279"/>
      <c r="CB1481" s="279"/>
      <c r="CC1481" s="279"/>
      <c r="CD1481" s="279"/>
      <c r="CE1481" s="279"/>
      <c r="CF1481" s="279"/>
      <c r="CG1481" s="279"/>
      <c r="CH1481" s="279"/>
      <c r="CI1481" s="279"/>
      <c r="CJ1481" s="279"/>
      <c r="CK1481" s="279"/>
      <c r="CL1481" s="279"/>
      <c r="CM1481" s="279"/>
      <c r="CN1481" s="382"/>
    </row>
    <row r="1482" x14ac:dyDescent="0.3">
      <c r="B1482" s="361"/>
      <c r="C1482" s="279"/>
      <c r="D1482" s="280"/>
      <c r="E1482" s="287"/>
      <c r="F1482" s="287"/>
      <c r="G1482" s="287"/>
      <c r="H1482" s="1292">
        <f t="shared" si="76"/>
        <v>3</v>
      </c>
      <c r="I1482" s="1190">
        <f>'I. Stream &amp; Compound Data'!P264</f>
        <v>0</v>
      </c>
      <c r="J1482" s="1295">
        <f>IF(I144="","",IF('I. Stream &amp; Compound Data'!CQ264&lt;&gt;"",'I. Stream &amp; Compound Data'!CQ264,'I. Stream &amp; Compound Data'!CR264))</f>
        <v>0</v>
      </c>
      <c r="K1482" s="1312">
        <f t="shared" si="77"/>
        <v>0</v>
      </c>
      <c r="L1482" s="301">
        <f>IF(K1482="","",IF('I. Stream &amp; Compound Data'!E34="H2O",0,(IF(J1482=0,1,J1482))*I1482))</f>
        <v>0</v>
      </c>
      <c r="M1482" s="296"/>
      <c r="N1482" s="280"/>
      <c r="O1482" s="280"/>
      <c r="P1482" s="279"/>
      <c r="Q1482" s="297"/>
      <c r="R1482" s="298"/>
      <c r="S1482" s="298"/>
      <c r="T1482" s="299"/>
      <c r="U1482" s="279"/>
      <c r="V1482" s="279"/>
      <c r="W1482" s="279"/>
      <c r="X1482" s="279"/>
      <c r="Y1482" s="279"/>
      <c r="Z1482" s="279"/>
      <c r="AA1482" s="279"/>
      <c r="AB1482" s="279"/>
      <c r="AC1482" s="279"/>
      <c r="AD1482" s="279"/>
      <c r="AE1482" s="279"/>
      <c r="AF1482" s="279"/>
      <c r="AG1482" s="279"/>
      <c r="AH1482" s="279"/>
      <c r="AI1482" s="279"/>
      <c r="AJ1482" s="279"/>
      <c r="AK1482" s="279"/>
      <c r="AL1482" s="279"/>
      <c r="AM1482" s="279"/>
      <c r="AN1482" s="279"/>
      <c r="AO1482" s="279"/>
      <c r="AP1482" s="279"/>
      <c r="AQ1482" s="279"/>
      <c r="AR1482" s="279"/>
      <c r="AS1482" s="279"/>
      <c r="AT1482" s="279"/>
      <c r="AU1482" s="279"/>
      <c r="AV1482" s="279"/>
      <c r="AW1482" s="279"/>
      <c r="AX1482" s="279"/>
      <c r="AY1482" s="279"/>
      <c r="AZ1482" s="279"/>
      <c r="BA1482" s="279"/>
      <c r="BB1482" s="279"/>
      <c r="BC1482" s="279"/>
      <c r="BD1482" s="279"/>
      <c r="BE1482" s="279"/>
      <c r="BF1482" s="279"/>
      <c r="BG1482" s="279"/>
      <c r="BH1482" s="279"/>
      <c r="BI1482" s="279"/>
      <c r="BJ1482" s="279"/>
      <c r="BK1482" s="279"/>
      <c r="BL1482" s="279"/>
      <c r="BM1482" s="279"/>
      <c r="BN1482" s="279"/>
      <c r="BO1482" s="279"/>
      <c r="BP1482" s="279"/>
      <c r="BQ1482" s="279"/>
      <c r="BR1482" s="279"/>
      <c r="BS1482" s="279"/>
      <c r="BT1482" s="279"/>
      <c r="BU1482" s="279"/>
      <c r="BV1482" s="279"/>
      <c r="BW1482" s="279"/>
      <c r="BX1482" s="279"/>
      <c r="BY1482" s="279"/>
      <c r="BZ1482" s="279"/>
      <c r="CA1482" s="279"/>
      <c r="CB1482" s="279"/>
      <c r="CC1482" s="279"/>
      <c r="CD1482" s="279"/>
      <c r="CE1482" s="279"/>
      <c r="CF1482" s="279"/>
      <c r="CG1482" s="279"/>
      <c r="CH1482" s="279"/>
      <c r="CI1482" s="279"/>
      <c r="CJ1482" s="279"/>
      <c r="CK1482" s="279"/>
      <c r="CL1482" s="279"/>
      <c r="CM1482" s="279"/>
      <c r="CN1482" s="382"/>
    </row>
    <row r="1483" x14ac:dyDescent="0.3">
      <c r="B1483" s="361"/>
      <c r="C1483" s="279"/>
      <c r="D1483" s="280"/>
      <c r="E1483" s="287"/>
      <c r="F1483" s="287"/>
      <c r="G1483" s="287"/>
      <c r="H1483" s="1292">
        <f t="shared" si="76"/>
        <v>4</v>
      </c>
      <c r="I1483" s="1190">
        <f>'I. Stream &amp; Compound Data'!P265</f>
        <v>0</v>
      </c>
      <c r="J1483" s="1295">
        <f>IF(I145="","",IF('I. Stream &amp; Compound Data'!CQ265&lt;&gt;"",'I. Stream &amp; Compound Data'!CQ265,'I. Stream &amp; Compound Data'!CR265))</f>
        <v>0</v>
      </c>
      <c r="K1483" s="1312">
        <f t="shared" si="77"/>
        <v>0</v>
      </c>
      <c r="L1483" s="301">
        <f>IF(K1483="","",IF('I. Stream &amp; Compound Data'!E35="H2O",0,(IF(J1483=0,1,J1483))*I1483))</f>
        <v>0</v>
      </c>
      <c r="M1483" s="296"/>
      <c r="N1483" s="280"/>
      <c r="O1483" s="280"/>
      <c r="P1483" s="279"/>
      <c r="Q1483" s="297"/>
      <c r="R1483" s="298"/>
      <c r="S1483" s="298"/>
      <c r="T1483" s="299"/>
      <c r="U1483" s="279"/>
      <c r="V1483" s="279"/>
      <c r="W1483" s="279"/>
      <c r="X1483" s="279"/>
      <c r="Y1483" s="279"/>
      <c r="Z1483" s="279"/>
      <c r="AA1483" s="279"/>
      <c r="AB1483" s="279"/>
      <c r="AC1483" s="279"/>
      <c r="AD1483" s="279"/>
      <c r="AE1483" s="279"/>
      <c r="AF1483" s="279"/>
      <c r="AG1483" s="279"/>
      <c r="AH1483" s="279"/>
      <c r="AI1483" s="279"/>
      <c r="AJ1483" s="279"/>
      <c r="AK1483" s="279"/>
      <c r="AL1483" s="279"/>
      <c r="AM1483" s="279"/>
      <c r="AN1483" s="279"/>
      <c r="AO1483" s="279"/>
      <c r="AP1483" s="279"/>
      <c r="AQ1483" s="279"/>
      <c r="AR1483" s="279"/>
      <c r="AS1483" s="279"/>
      <c r="AT1483" s="279"/>
      <c r="AU1483" s="279"/>
      <c r="AV1483" s="279"/>
      <c r="AW1483" s="279"/>
      <c r="AX1483" s="279"/>
      <c r="AY1483" s="279"/>
      <c r="AZ1483" s="279"/>
      <c r="BA1483" s="279"/>
      <c r="BB1483" s="279"/>
      <c r="BC1483" s="279"/>
      <c r="BD1483" s="279"/>
      <c r="BE1483" s="279"/>
      <c r="BF1483" s="279"/>
      <c r="BG1483" s="279"/>
      <c r="BH1483" s="279"/>
      <c r="BI1483" s="279"/>
      <c r="BJ1483" s="279"/>
      <c r="BK1483" s="279"/>
      <c r="BL1483" s="279"/>
      <c r="BM1483" s="279"/>
      <c r="BN1483" s="279"/>
      <c r="BO1483" s="279"/>
      <c r="BP1483" s="279"/>
      <c r="BQ1483" s="279"/>
      <c r="BR1483" s="279"/>
      <c r="BS1483" s="279"/>
      <c r="BT1483" s="279"/>
      <c r="BU1483" s="279"/>
      <c r="BV1483" s="279"/>
      <c r="BW1483" s="279"/>
      <c r="BX1483" s="279"/>
      <c r="BY1483" s="279"/>
      <c r="BZ1483" s="279"/>
      <c r="CA1483" s="279"/>
      <c r="CB1483" s="279"/>
      <c r="CC1483" s="279"/>
      <c r="CD1483" s="279"/>
      <c r="CE1483" s="279"/>
      <c r="CF1483" s="279"/>
      <c r="CG1483" s="279"/>
      <c r="CH1483" s="279"/>
      <c r="CI1483" s="279"/>
      <c r="CJ1483" s="279"/>
      <c r="CK1483" s="279"/>
      <c r="CL1483" s="279"/>
      <c r="CM1483" s="279"/>
      <c r="CN1483" s="382"/>
    </row>
    <row r="1484" x14ac:dyDescent="0.3">
      <c r="B1484" s="361"/>
      <c r="C1484" s="279"/>
      <c r="D1484" s="280"/>
      <c r="E1484" s="287"/>
      <c r="F1484" s="287"/>
      <c r="G1484" s="287"/>
      <c r="H1484" s="1292">
        <f t="shared" si="76"/>
        <v>5</v>
      </c>
      <c r="I1484" s="1190" t="str">
        <f>'I. Stream &amp; Compound Data'!P266</f>
        <v/>
      </c>
      <c r="J1484" s="1295" t="str">
        <f>IF(I146="","",IF('I. Stream &amp; Compound Data'!CQ266&lt;&gt;"",'I. Stream &amp; Compound Data'!CQ266,'I. Stream &amp; Compound Data'!CR266))</f>
        <v/>
      </c>
      <c r="K1484" s="1312" t="str">
        <f t="shared" si="77"/>
        <v/>
      </c>
      <c r="L1484" s="301" t="str">
        <f>IF(K1484="","",IF('I. Stream &amp; Compound Data'!E36="H2O",0,(IF(J1484=0,1,J1484))*I1484))</f>
        <v/>
      </c>
      <c r="M1484" s="287"/>
      <c r="N1484" s="296"/>
      <c r="O1484" s="280"/>
      <c r="P1484" s="280"/>
      <c r="Q1484" s="279"/>
      <c r="R1484" s="297"/>
      <c r="S1484" s="298"/>
      <c r="T1484" s="298"/>
      <c r="U1484" s="299"/>
      <c r="V1484" s="279"/>
      <c r="W1484" s="279"/>
      <c r="X1484" s="279"/>
      <c r="Y1484" s="279"/>
      <c r="Z1484" s="279"/>
      <c r="AA1484" s="279"/>
      <c r="AB1484" s="279"/>
      <c r="AC1484" s="279"/>
      <c r="AD1484" s="279"/>
      <c r="AE1484" s="279"/>
      <c r="AF1484" s="279"/>
      <c r="AG1484" s="279"/>
      <c r="AH1484" s="279"/>
      <c r="AI1484" s="279"/>
      <c r="AJ1484" s="279"/>
      <c r="AK1484" s="279"/>
      <c r="AL1484" s="279"/>
      <c r="AM1484" s="279"/>
      <c r="AN1484" s="279"/>
      <c r="AO1484" s="279"/>
      <c r="AP1484" s="279"/>
      <c r="AQ1484" s="279"/>
      <c r="AR1484" s="279"/>
      <c r="AS1484" s="279"/>
      <c r="AT1484" s="279"/>
      <c r="AU1484" s="279"/>
      <c r="AV1484" s="279"/>
      <c r="AW1484" s="279"/>
      <c r="AX1484" s="279"/>
      <c r="AY1484" s="279"/>
      <c r="AZ1484" s="279"/>
      <c r="BA1484" s="279"/>
      <c r="BB1484" s="279"/>
      <c r="BC1484" s="279"/>
      <c r="BD1484" s="279"/>
      <c r="BE1484" s="279"/>
      <c r="BF1484" s="279"/>
      <c r="BG1484" s="279"/>
      <c r="BH1484" s="279"/>
      <c r="BI1484" s="279"/>
      <c r="BJ1484" s="279"/>
      <c r="BK1484" s="279"/>
      <c r="BL1484" s="279"/>
      <c r="BM1484" s="279"/>
      <c r="BN1484" s="279"/>
      <c r="BO1484" s="279"/>
      <c r="BP1484" s="279"/>
      <c r="BQ1484" s="279"/>
      <c r="BR1484" s="279"/>
      <c r="BS1484" s="279"/>
      <c r="BT1484" s="279"/>
      <c r="BU1484" s="279"/>
      <c r="BV1484" s="279"/>
      <c r="BW1484" s="279"/>
      <c r="BX1484" s="279"/>
      <c r="BY1484" s="279"/>
      <c r="BZ1484" s="279"/>
      <c r="CA1484" s="279"/>
      <c r="CB1484" s="279"/>
      <c r="CC1484" s="279"/>
      <c r="CD1484" s="279"/>
      <c r="CE1484" s="279"/>
      <c r="CF1484" s="279"/>
      <c r="CG1484" s="279"/>
      <c r="CH1484" s="279"/>
      <c r="CI1484" s="279"/>
      <c r="CJ1484" s="279"/>
      <c r="CK1484" s="279"/>
      <c r="CL1484" s="279"/>
      <c r="CM1484" s="279"/>
      <c r="CN1484" s="382"/>
    </row>
    <row r="1485" x14ac:dyDescent="0.3">
      <c r="B1485" s="361"/>
      <c r="C1485" s="279"/>
      <c r="D1485" s="280"/>
      <c r="E1485" s="287"/>
      <c r="F1485" s="287"/>
      <c r="G1485" s="287"/>
      <c r="H1485" s="1292">
        <f t="shared" si="76"/>
        <v>6</v>
      </c>
      <c r="I1485" s="1190" t="str">
        <f>'I. Stream &amp; Compound Data'!P267</f>
        <v/>
      </c>
      <c r="J1485" s="1295" t="str">
        <f>IF(I147="","",IF('I. Stream &amp; Compound Data'!CQ267&lt;&gt;"",'I. Stream &amp; Compound Data'!CQ267,'I. Stream &amp; Compound Data'!CR267))</f>
        <v/>
      </c>
      <c r="K1485" s="1312" t="str">
        <f t="shared" si="77"/>
        <v/>
      </c>
      <c r="L1485" s="301" t="str">
        <f>IF(K1485="","",IF('I. Stream &amp; Compound Data'!E37="H2O",0,(IF(J1485=0,1,J1485))*I1485))</f>
        <v/>
      </c>
      <c r="M1485" s="287"/>
      <c r="N1485" s="296"/>
      <c r="O1485" s="280"/>
      <c r="P1485" s="280"/>
      <c r="Q1485" s="279"/>
      <c r="R1485" s="297"/>
      <c r="S1485" s="298"/>
      <c r="T1485" s="298"/>
      <c r="U1485" s="299"/>
      <c r="V1485" s="279"/>
      <c r="W1485" s="279"/>
      <c r="X1485" s="279"/>
      <c r="Y1485" s="279"/>
      <c r="Z1485" s="279"/>
      <c r="AA1485" s="279"/>
      <c r="AB1485" s="279"/>
      <c r="AC1485" s="279"/>
      <c r="AD1485" s="279"/>
      <c r="AE1485" s="279"/>
      <c r="AF1485" s="279"/>
      <c r="AG1485" s="279"/>
      <c r="AH1485" s="279"/>
      <c r="AI1485" s="279"/>
      <c r="AJ1485" s="279"/>
      <c r="AK1485" s="279"/>
      <c r="AL1485" s="279"/>
      <c r="AM1485" s="279"/>
      <c r="AN1485" s="279"/>
      <c r="AO1485" s="279"/>
      <c r="AP1485" s="279"/>
      <c r="AQ1485" s="279"/>
      <c r="AR1485" s="279"/>
      <c r="AS1485" s="279"/>
      <c r="AT1485" s="279"/>
      <c r="AU1485" s="279"/>
      <c r="AV1485" s="279"/>
      <c r="AW1485" s="279"/>
      <c r="AX1485" s="279"/>
      <c r="AY1485" s="279"/>
      <c r="AZ1485" s="279"/>
      <c r="BA1485" s="279"/>
      <c r="BB1485" s="279"/>
      <c r="BC1485" s="279"/>
      <c r="BD1485" s="279"/>
      <c r="BE1485" s="279"/>
      <c r="BF1485" s="279"/>
      <c r="BG1485" s="279"/>
      <c r="BH1485" s="279"/>
      <c r="BI1485" s="279"/>
      <c r="BJ1485" s="279"/>
      <c r="BK1485" s="279"/>
      <c r="BL1485" s="279"/>
      <c r="BM1485" s="279"/>
      <c r="BN1485" s="279"/>
      <c r="BO1485" s="279"/>
      <c r="BP1485" s="279"/>
      <c r="BQ1485" s="279"/>
      <c r="BR1485" s="279"/>
      <c r="BS1485" s="279"/>
      <c r="BT1485" s="279"/>
      <c r="BU1485" s="279"/>
      <c r="BV1485" s="279"/>
      <c r="BW1485" s="279"/>
      <c r="BX1485" s="279"/>
      <c r="BY1485" s="279"/>
      <c r="BZ1485" s="279"/>
      <c r="CA1485" s="279"/>
      <c r="CB1485" s="279"/>
      <c r="CC1485" s="279"/>
      <c r="CD1485" s="279"/>
      <c r="CE1485" s="279"/>
      <c r="CF1485" s="279"/>
      <c r="CG1485" s="279"/>
      <c r="CH1485" s="279"/>
      <c r="CI1485" s="279"/>
      <c r="CJ1485" s="279"/>
      <c r="CK1485" s="279"/>
      <c r="CL1485" s="279"/>
      <c r="CM1485" s="279"/>
      <c r="CN1485" s="382"/>
    </row>
    <row r="1486" x14ac:dyDescent="0.3">
      <c r="B1486" s="361"/>
      <c r="C1486" s="279"/>
      <c r="D1486" s="280"/>
      <c r="E1486" s="287"/>
      <c r="F1486" s="287"/>
      <c r="G1486" s="287"/>
      <c r="H1486" s="1292">
        <f t="shared" si="76"/>
        <v>7</v>
      </c>
      <c r="I1486" s="1190" t="str">
        <f>'I. Stream &amp; Compound Data'!P268</f>
        <v/>
      </c>
      <c r="J1486" s="1295" t="str">
        <f>IF(I148="","",IF('I. Stream &amp; Compound Data'!CQ268&lt;&gt;"",'I. Stream &amp; Compound Data'!CQ268,'I. Stream &amp; Compound Data'!CR268))</f>
        <v/>
      </c>
      <c r="K1486" s="1312" t="str">
        <f t="shared" si="77"/>
        <v/>
      </c>
      <c r="L1486" s="301" t="str">
        <f>IF(K1486="","",IF('I. Stream &amp; Compound Data'!E38="H2O",0,(IF(J1486=0,1,J1486))*I1486))</f>
        <v/>
      </c>
      <c r="M1486" s="296"/>
      <c r="N1486" s="280"/>
      <c r="O1486" s="280"/>
      <c r="P1486" s="279"/>
      <c r="Q1486" s="297"/>
      <c r="R1486" s="298"/>
      <c r="S1486" s="298"/>
      <c r="T1486" s="299"/>
      <c r="U1486" s="279"/>
      <c r="V1486" s="279"/>
      <c r="W1486" s="279"/>
      <c r="X1486" s="279"/>
      <c r="Y1486" s="279"/>
      <c r="Z1486" s="279"/>
      <c r="AA1486" s="279"/>
      <c r="AB1486" s="279"/>
      <c r="AC1486" s="279"/>
      <c r="AD1486" s="279"/>
      <c r="AE1486" s="279"/>
      <c r="AF1486" s="279"/>
      <c r="AG1486" s="279"/>
      <c r="AH1486" s="279"/>
      <c r="AI1486" s="279"/>
      <c r="AJ1486" s="279"/>
      <c r="AK1486" s="279"/>
      <c r="AL1486" s="279"/>
      <c r="AM1486" s="279"/>
      <c r="AN1486" s="279"/>
      <c r="AO1486" s="279"/>
      <c r="AP1486" s="279"/>
      <c r="AQ1486" s="279"/>
      <c r="AR1486" s="279"/>
      <c r="AS1486" s="279"/>
      <c r="AT1486" s="279"/>
      <c r="AU1486" s="279"/>
      <c r="AV1486" s="279"/>
      <c r="AW1486" s="279"/>
      <c r="AX1486" s="279"/>
      <c r="AY1486" s="279"/>
      <c r="AZ1486" s="279"/>
      <c r="BA1486" s="279"/>
      <c r="BB1486" s="279"/>
      <c r="BC1486" s="279"/>
      <c r="BD1486" s="279"/>
      <c r="BE1486" s="279"/>
      <c r="BF1486" s="279"/>
      <c r="BG1486" s="279"/>
      <c r="BH1486" s="279"/>
      <c r="BI1486" s="279"/>
      <c r="BJ1486" s="279"/>
      <c r="BK1486" s="279"/>
      <c r="BL1486" s="279"/>
      <c r="BM1486" s="279"/>
      <c r="BN1486" s="279"/>
      <c r="BO1486" s="279"/>
      <c r="BP1486" s="279"/>
      <c r="BQ1486" s="279"/>
      <c r="BR1486" s="279"/>
      <c r="BS1486" s="279"/>
      <c r="BT1486" s="279"/>
      <c r="BU1486" s="279"/>
      <c r="BV1486" s="279"/>
      <c r="BW1486" s="279"/>
      <c r="BX1486" s="279"/>
      <c r="BY1486" s="279"/>
      <c r="BZ1486" s="279"/>
      <c r="CA1486" s="279"/>
      <c r="CB1486" s="279"/>
      <c r="CC1486" s="279"/>
      <c r="CD1486" s="279"/>
      <c r="CE1486" s="279"/>
      <c r="CF1486" s="279"/>
      <c r="CG1486" s="279"/>
      <c r="CH1486" s="279"/>
      <c r="CI1486" s="279"/>
      <c r="CJ1486" s="279"/>
      <c r="CK1486" s="279"/>
      <c r="CL1486" s="279"/>
      <c r="CM1486" s="279"/>
      <c r="CN1486" s="382"/>
    </row>
    <row r="1487" x14ac:dyDescent="0.3">
      <c r="B1487" s="361"/>
      <c r="C1487" s="279"/>
      <c r="D1487" s="280"/>
      <c r="E1487" s="287"/>
      <c r="F1487" s="287"/>
      <c r="G1487" s="287"/>
      <c r="H1487" s="1292">
        <f t="shared" si="76"/>
        <v>8</v>
      </c>
      <c r="I1487" s="1190" t="str">
        <f>'I. Stream &amp; Compound Data'!P269</f>
        <v/>
      </c>
      <c r="J1487" s="1295" t="str">
        <f>IF(I149="","",IF('I. Stream &amp; Compound Data'!CQ269&lt;&gt;"",'I. Stream &amp; Compound Data'!CQ269,'I. Stream &amp; Compound Data'!CR269))</f>
        <v/>
      </c>
      <c r="K1487" s="1312" t="str">
        <f t="shared" si="77"/>
        <v/>
      </c>
      <c r="L1487" s="301" t="str">
        <f>IF(K1487="","",IF('I. Stream &amp; Compound Data'!E39="H2O",0,(IF(J1487=0,1,J1487))*I1487))</f>
        <v/>
      </c>
      <c r="M1487" s="296"/>
      <c r="N1487" s="280"/>
      <c r="O1487" s="280"/>
      <c r="P1487" s="279"/>
      <c r="Q1487" s="297"/>
      <c r="R1487" s="298"/>
      <c r="S1487" s="298"/>
      <c r="T1487" s="299"/>
      <c r="U1487" s="279"/>
      <c r="V1487" s="279"/>
      <c r="W1487" s="279"/>
      <c r="X1487" s="279"/>
      <c r="Y1487" s="279"/>
      <c r="Z1487" s="279"/>
      <c r="AA1487" s="279"/>
      <c r="AB1487" s="279"/>
      <c r="AC1487" s="279"/>
      <c r="AD1487" s="279"/>
      <c r="AE1487" s="279"/>
      <c r="AF1487" s="279"/>
      <c r="AG1487" s="279"/>
      <c r="AH1487" s="279"/>
      <c r="AI1487" s="279"/>
      <c r="AJ1487" s="279"/>
      <c r="AK1487" s="279"/>
      <c r="AL1487" s="279"/>
      <c r="AM1487" s="279"/>
      <c r="AN1487" s="279"/>
      <c r="AO1487" s="279"/>
      <c r="AP1487" s="279"/>
      <c r="AQ1487" s="279"/>
      <c r="AR1487" s="279"/>
      <c r="AS1487" s="279"/>
      <c r="AT1487" s="279"/>
      <c r="AU1487" s="279"/>
      <c r="AV1487" s="279"/>
      <c r="AW1487" s="279"/>
      <c r="AX1487" s="279"/>
      <c r="AY1487" s="279"/>
      <c r="AZ1487" s="279"/>
      <c r="BA1487" s="279"/>
      <c r="BB1487" s="279"/>
      <c r="BC1487" s="279"/>
      <c r="BD1487" s="279"/>
      <c r="BE1487" s="279"/>
      <c r="BF1487" s="279"/>
      <c r="BG1487" s="279"/>
      <c r="BH1487" s="279"/>
      <c r="BI1487" s="279"/>
      <c r="BJ1487" s="279"/>
      <c r="BK1487" s="279"/>
      <c r="BL1487" s="279"/>
      <c r="BM1487" s="279"/>
      <c r="BN1487" s="279"/>
      <c r="BO1487" s="279"/>
      <c r="BP1487" s="279"/>
      <c r="BQ1487" s="279"/>
      <c r="BR1487" s="279"/>
      <c r="BS1487" s="279"/>
      <c r="BT1487" s="279"/>
      <c r="BU1487" s="279"/>
      <c r="BV1487" s="279"/>
      <c r="BW1487" s="279"/>
      <c r="BX1487" s="279"/>
      <c r="BY1487" s="279"/>
      <c r="BZ1487" s="279"/>
      <c r="CA1487" s="279"/>
      <c r="CB1487" s="279"/>
      <c r="CC1487" s="279"/>
      <c r="CD1487" s="279"/>
      <c r="CE1487" s="279"/>
      <c r="CF1487" s="279"/>
      <c r="CG1487" s="279"/>
      <c r="CH1487" s="279"/>
      <c r="CI1487" s="279"/>
      <c r="CJ1487" s="279"/>
      <c r="CK1487" s="279"/>
      <c r="CL1487" s="279"/>
      <c r="CM1487" s="279"/>
      <c r="CN1487" s="382"/>
    </row>
    <row r="1488" x14ac:dyDescent="0.3">
      <c r="B1488" s="361"/>
      <c r="C1488" s="279"/>
      <c r="D1488" s="280"/>
      <c r="E1488" s="287"/>
      <c r="F1488" s="287"/>
      <c r="G1488" s="287"/>
      <c r="H1488" s="1292">
        <f t="shared" si="76"/>
        <v>9</v>
      </c>
      <c r="I1488" s="1190" t="str">
        <f>'I. Stream &amp; Compound Data'!P270</f>
        <v/>
      </c>
      <c r="J1488" s="1295" t="str">
        <f>IF(I150="","",IF('I. Stream &amp; Compound Data'!CQ270&lt;&gt;"",'I. Stream &amp; Compound Data'!CQ270,'I. Stream &amp; Compound Data'!CR270))</f>
        <v/>
      </c>
      <c r="K1488" s="1312" t="str">
        <f t="shared" si="77"/>
        <v/>
      </c>
      <c r="L1488" s="301" t="str">
        <f>IF(K1488="","",IF('I. Stream &amp; Compound Data'!E40="H2O",0,(IF(J1488=0,1,J1488))*I1488))</f>
        <v/>
      </c>
      <c r="M1488" s="296"/>
      <c r="N1488" s="280"/>
      <c r="O1488" s="280"/>
      <c r="P1488" s="279"/>
      <c r="Q1488" s="297"/>
      <c r="R1488" s="298"/>
      <c r="S1488" s="298"/>
      <c r="T1488" s="299"/>
      <c r="U1488" s="279"/>
      <c r="V1488" s="279"/>
      <c r="W1488" s="279"/>
      <c r="X1488" s="279"/>
      <c r="Y1488" s="279"/>
      <c r="Z1488" s="279"/>
      <c r="AA1488" s="279"/>
      <c r="AB1488" s="279"/>
      <c r="AC1488" s="279"/>
      <c r="AD1488" s="279"/>
      <c r="AE1488" s="279"/>
      <c r="AF1488" s="279"/>
      <c r="AG1488" s="279"/>
      <c r="AH1488" s="279"/>
      <c r="AI1488" s="279"/>
      <c r="AJ1488" s="279"/>
      <c r="AK1488" s="279"/>
      <c r="AL1488" s="279"/>
      <c r="AM1488" s="279"/>
      <c r="AN1488" s="279"/>
      <c r="AO1488" s="279"/>
      <c r="AP1488" s="279"/>
      <c r="AQ1488" s="279"/>
      <c r="AR1488" s="279"/>
      <c r="AS1488" s="279"/>
      <c r="AT1488" s="279"/>
      <c r="AU1488" s="279"/>
      <c r="AV1488" s="279"/>
      <c r="AW1488" s="279"/>
      <c r="AX1488" s="279"/>
      <c r="AY1488" s="279"/>
      <c r="AZ1488" s="279"/>
      <c r="BA1488" s="279"/>
      <c r="BB1488" s="279"/>
      <c r="BC1488" s="279"/>
      <c r="BD1488" s="279"/>
      <c r="BE1488" s="279"/>
      <c r="BF1488" s="279"/>
      <c r="BG1488" s="279"/>
      <c r="BH1488" s="279"/>
      <c r="BI1488" s="279"/>
      <c r="BJ1488" s="279"/>
      <c r="BK1488" s="279"/>
      <c r="BL1488" s="279"/>
      <c r="BM1488" s="279"/>
      <c r="BN1488" s="279"/>
      <c r="BO1488" s="279"/>
      <c r="BP1488" s="279"/>
      <c r="BQ1488" s="279"/>
      <c r="BR1488" s="279"/>
      <c r="BS1488" s="279"/>
      <c r="BT1488" s="279"/>
      <c r="BU1488" s="279"/>
      <c r="BV1488" s="279"/>
      <c r="BW1488" s="279"/>
      <c r="BX1488" s="279"/>
      <c r="BY1488" s="279"/>
      <c r="BZ1488" s="279"/>
      <c r="CA1488" s="279"/>
      <c r="CB1488" s="279"/>
      <c r="CC1488" s="279"/>
      <c r="CD1488" s="279"/>
      <c r="CE1488" s="279"/>
      <c r="CF1488" s="279"/>
      <c r="CG1488" s="279"/>
      <c r="CH1488" s="279"/>
      <c r="CI1488" s="279"/>
      <c r="CJ1488" s="279"/>
      <c r="CK1488" s="279"/>
      <c r="CL1488" s="279"/>
      <c r="CM1488" s="279"/>
      <c r="CN1488" s="382"/>
    </row>
    <row r="1489" x14ac:dyDescent="0.3">
      <c r="B1489" s="361"/>
      <c r="C1489" s="279"/>
      <c r="D1489" s="280"/>
      <c r="E1489" s="287"/>
      <c r="F1489" s="287"/>
      <c r="G1489" s="287"/>
      <c r="H1489" s="1292">
        <f t="shared" si="76"/>
        <v>10</v>
      </c>
      <c r="I1489" s="1190" t="str">
        <f>'I. Stream &amp; Compound Data'!P271</f>
        <v/>
      </c>
      <c r="J1489" s="1295" t="str">
        <f>IF(I151="","",IF('I. Stream &amp; Compound Data'!CQ271&lt;&gt;"",'I. Stream &amp; Compound Data'!CQ271,'I. Stream &amp; Compound Data'!CR271))</f>
        <v/>
      </c>
      <c r="K1489" s="1312" t="str">
        <f t="shared" si="77"/>
        <v/>
      </c>
      <c r="L1489" s="301" t="str">
        <f>IF(K1489="","",IF('I. Stream &amp; Compound Data'!E41="H2O",0,(IF(J1489=0,1,J1489))*I1489))</f>
        <v/>
      </c>
      <c r="M1489" s="296"/>
      <c r="N1489" s="280"/>
      <c r="O1489" s="280"/>
      <c r="P1489" s="279"/>
      <c r="Q1489" s="297"/>
      <c r="R1489" s="298"/>
      <c r="S1489" s="298"/>
      <c r="T1489" s="299"/>
      <c r="U1489" s="279"/>
      <c r="V1489" s="279"/>
      <c r="W1489" s="279"/>
      <c r="X1489" s="279"/>
      <c r="Y1489" s="279"/>
      <c r="Z1489" s="279"/>
      <c r="AA1489" s="279"/>
      <c r="AB1489" s="279"/>
      <c r="AC1489" s="279"/>
      <c r="AD1489" s="279"/>
      <c r="AE1489" s="279"/>
      <c r="AF1489" s="279"/>
      <c r="AG1489" s="279"/>
      <c r="AH1489" s="279"/>
      <c r="AI1489" s="279"/>
      <c r="AJ1489" s="279"/>
      <c r="AK1489" s="279"/>
      <c r="AL1489" s="279"/>
      <c r="AM1489" s="279"/>
      <c r="AN1489" s="279"/>
      <c r="AO1489" s="279"/>
      <c r="AP1489" s="279"/>
      <c r="AQ1489" s="279"/>
      <c r="AR1489" s="279"/>
      <c r="AS1489" s="279"/>
      <c r="AT1489" s="279"/>
      <c r="AU1489" s="279"/>
      <c r="AV1489" s="279"/>
      <c r="AW1489" s="279"/>
      <c r="AX1489" s="279"/>
      <c r="AY1489" s="279"/>
      <c r="AZ1489" s="279"/>
      <c r="BA1489" s="279"/>
      <c r="BB1489" s="279"/>
      <c r="BC1489" s="279"/>
      <c r="BD1489" s="279"/>
      <c r="BE1489" s="279"/>
      <c r="BF1489" s="279"/>
      <c r="BG1489" s="279"/>
      <c r="BH1489" s="279"/>
      <c r="BI1489" s="279"/>
      <c r="BJ1489" s="279"/>
      <c r="BK1489" s="279"/>
      <c r="BL1489" s="279"/>
      <c r="BM1489" s="279"/>
      <c r="BN1489" s="279"/>
      <c r="BO1489" s="279"/>
      <c r="BP1489" s="279"/>
      <c r="BQ1489" s="279"/>
      <c r="BR1489" s="279"/>
      <c r="BS1489" s="279"/>
      <c r="BT1489" s="279"/>
      <c r="BU1489" s="279"/>
      <c r="BV1489" s="279"/>
      <c r="BW1489" s="279"/>
      <c r="BX1489" s="279"/>
      <c r="BY1489" s="279"/>
      <c r="BZ1489" s="279"/>
      <c r="CA1489" s="279"/>
      <c r="CB1489" s="279"/>
      <c r="CC1489" s="279"/>
      <c r="CD1489" s="279"/>
      <c r="CE1489" s="279"/>
      <c r="CF1489" s="279"/>
      <c r="CG1489" s="279"/>
      <c r="CH1489" s="279"/>
      <c r="CI1489" s="279"/>
      <c r="CJ1489" s="279"/>
      <c r="CK1489" s="279"/>
      <c r="CL1489" s="279"/>
      <c r="CM1489" s="279"/>
      <c r="CN1489" s="382"/>
    </row>
    <row r="1490" x14ac:dyDescent="0.3">
      <c r="B1490" s="361"/>
      <c r="C1490" s="279"/>
      <c r="D1490" s="280"/>
      <c r="E1490" s="287"/>
      <c r="F1490" s="287"/>
      <c r="G1490" s="287"/>
      <c r="H1490" s="1292">
        <f t="shared" si="76"/>
        <v>11</v>
      </c>
      <c r="I1490" s="1190" t="str">
        <f>'I. Stream &amp; Compound Data'!P272</f>
        <v/>
      </c>
      <c r="J1490" s="1295" t="str">
        <f>IF(I152="","",IF('I. Stream &amp; Compound Data'!CQ272&lt;&gt;"",'I. Stream &amp; Compound Data'!CQ272,'I. Stream &amp; Compound Data'!CR272))</f>
        <v/>
      </c>
      <c r="K1490" s="1312" t="str">
        <f t="shared" si="77"/>
        <v/>
      </c>
      <c r="L1490" s="301" t="str">
        <f>IF(K1490="","",IF('I. Stream &amp; Compound Data'!E42="H2O",0,(IF(J1490=0,1,J1490))*I1490))</f>
        <v/>
      </c>
      <c r="M1490" s="296"/>
      <c r="N1490" s="280"/>
      <c r="O1490" s="280"/>
      <c r="P1490" s="279"/>
      <c r="Q1490" s="297"/>
      <c r="R1490" s="298"/>
      <c r="S1490" s="298"/>
      <c r="T1490" s="299"/>
      <c r="U1490" s="279"/>
      <c r="V1490" s="279"/>
      <c r="W1490" s="279"/>
      <c r="X1490" s="279"/>
      <c r="Y1490" s="279"/>
      <c r="Z1490" s="279"/>
      <c r="AA1490" s="279"/>
      <c r="AB1490" s="279"/>
      <c r="AC1490" s="279"/>
      <c r="AD1490" s="279"/>
      <c r="AE1490" s="279"/>
      <c r="AF1490" s="279"/>
      <c r="AG1490" s="279"/>
      <c r="AH1490" s="279"/>
      <c r="AI1490" s="279"/>
      <c r="AJ1490" s="279"/>
      <c r="AK1490" s="279"/>
      <c r="AL1490" s="279"/>
      <c r="AM1490" s="279"/>
      <c r="AN1490" s="279"/>
      <c r="AO1490" s="279"/>
      <c r="AP1490" s="279"/>
      <c r="AQ1490" s="279"/>
      <c r="AR1490" s="279"/>
      <c r="AS1490" s="279"/>
      <c r="AT1490" s="279"/>
      <c r="AU1490" s="279"/>
      <c r="AV1490" s="279"/>
      <c r="AW1490" s="279"/>
      <c r="AX1490" s="279"/>
      <c r="AY1490" s="279"/>
      <c r="AZ1490" s="279"/>
      <c r="BA1490" s="279"/>
      <c r="BB1490" s="279"/>
      <c r="BC1490" s="279"/>
      <c r="BD1490" s="279"/>
      <c r="BE1490" s="279"/>
      <c r="BF1490" s="279"/>
      <c r="BG1490" s="279"/>
      <c r="BH1490" s="279"/>
      <c r="BI1490" s="279"/>
      <c r="BJ1490" s="279"/>
      <c r="BK1490" s="279"/>
      <c r="BL1490" s="279"/>
      <c r="BM1490" s="279"/>
      <c r="BN1490" s="279"/>
      <c r="BO1490" s="279"/>
      <c r="BP1490" s="279"/>
      <c r="BQ1490" s="279"/>
      <c r="BR1490" s="279"/>
      <c r="BS1490" s="279"/>
      <c r="BT1490" s="279"/>
      <c r="BU1490" s="279"/>
      <c r="BV1490" s="279"/>
      <c r="BW1490" s="279"/>
      <c r="BX1490" s="279"/>
      <c r="BY1490" s="279"/>
      <c r="BZ1490" s="279"/>
      <c r="CA1490" s="279"/>
      <c r="CB1490" s="279"/>
      <c r="CC1490" s="279"/>
      <c r="CD1490" s="279"/>
      <c r="CE1490" s="279"/>
      <c r="CF1490" s="279"/>
      <c r="CG1490" s="279"/>
      <c r="CH1490" s="279"/>
      <c r="CI1490" s="279"/>
      <c r="CJ1490" s="279"/>
      <c r="CK1490" s="279"/>
      <c r="CL1490" s="279"/>
      <c r="CM1490" s="279"/>
      <c r="CN1490" s="382"/>
    </row>
    <row r="1491" x14ac:dyDescent="0.3">
      <c r="B1491" s="361"/>
      <c r="C1491" s="279"/>
      <c r="D1491" s="280"/>
      <c r="E1491" s="287"/>
      <c r="F1491" s="287"/>
      <c r="G1491" s="287"/>
      <c r="H1491" s="1292">
        <f t="shared" si="76"/>
        <v>12</v>
      </c>
      <c r="I1491" s="1190" t="str">
        <f>'I. Stream &amp; Compound Data'!P273</f>
        <v/>
      </c>
      <c r="J1491" s="1295" t="str">
        <f>IF(I153="","",IF('I. Stream &amp; Compound Data'!CQ273&lt;&gt;"",'I. Stream &amp; Compound Data'!CQ273,'I. Stream &amp; Compound Data'!CR273))</f>
        <v/>
      </c>
      <c r="K1491" s="1312" t="str">
        <f t="shared" si="77"/>
        <v/>
      </c>
      <c r="L1491" s="301" t="str">
        <f>IF(K1491="","",IF('I. Stream &amp; Compound Data'!E43="H2O",0,(IF(J1491=0,1,J1491))*I1491))</f>
        <v/>
      </c>
      <c r="M1491" s="296"/>
      <c r="N1491" s="280"/>
      <c r="O1491" s="280"/>
      <c r="P1491" s="279"/>
      <c r="Q1491" s="297"/>
      <c r="R1491" s="298"/>
      <c r="S1491" s="298"/>
      <c r="T1491" s="299"/>
      <c r="U1491" s="279"/>
      <c r="V1491" s="279"/>
      <c r="W1491" s="279"/>
      <c r="X1491" s="279"/>
      <c r="Y1491" s="279"/>
      <c r="Z1491" s="279"/>
      <c r="AA1491" s="279"/>
      <c r="AB1491" s="279"/>
      <c r="AC1491" s="279"/>
      <c r="AD1491" s="279"/>
      <c r="AE1491" s="279"/>
      <c r="AF1491" s="279"/>
      <c r="AG1491" s="279"/>
      <c r="AH1491" s="279"/>
      <c r="AI1491" s="279"/>
      <c r="AJ1491" s="279"/>
      <c r="AK1491" s="279"/>
      <c r="AL1491" s="279"/>
      <c r="AM1491" s="279"/>
      <c r="AN1491" s="279"/>
      <c r="AO1491" s="279"/>
      <c r="AP1491" s="279"/>
      <c r="AQ1491" s="279"/>
      <c r="AR1491" s="279"/>
      <c r="AS1491" s="279"/>
      <c r="AT1491" s="279"/>
      <c r="AU1491" s="279"/>
      <c r="AV1491" s="279"/>
      <c r="AW1491" s="279"/>
      <c r="AX1491" s="279"/>
      <c r="AY1491" s="279"/>
      <c r="AZ1491" s="279"/>
      <c r="BA1491" s="279"/>
      <c r="BB1491" s="279"/>
      <c r="BC1491" s="279"/>
      <c r="BD1491" s="279"/>
      <c r="BE1491" s="279"/>
      <c r="BF1491" s="279"/>
      <c r="BG1491" s="279"/>
      <c r="BH1491" s="279"/>
      <c r="BI1491" s="279"/>
      <c r="BJ1491" s="279"/>
      <c r="BK1491" s="279"/>
      <c r="BL1491" s="279"/>
      <c r="BM1491" s="279"/>
      <c r="BN1491" s="279"/>
      <c r="BO1491" s="279"/>
      <c r="BP1491" s="279"/>
      <c r="BQ1491" s="279"/>
      <c r="BR1491" s="279"/>
      <c r="BS1491" s="279"/>
      <c r="BT1491" s="279"/>
      <c r="BU1491" s="279"/>
      <c r="BV1491" s="279"/>
      <c r="BW1491" s="279"/>
      <c r="BX1491" s="279"/>
      <c r="BY1491" s="279"/>
      <c r="BZ1491" s="279"/>
      <c r="CA1491" s="279"/>
      <c r="CB1491" s="279"/>
      <c r="CC1491" s="279"/>
      <c r="CD1491" s="279"/>
      <c r="CE1491" s="279"/>
      <c r="CF1491" s="279"/>
      <c r="CG1491" s="279"/>
      <c r="CH1491" s="279"/>
      <c r="CI1491" s="279"/>
      <c r="CJ1491" s="279"/>
      <c r="CK1491" s="279"/>
      <c r="CL1491" s="279"/>
      <c r="CM1491" s="279"/>
      <c r="CN1491" s="382"/>
    </row>
    <row r="1492" x14ac:dyDescent="0.3">
      <c r="B1492" s="361"/>
      <c r="C1492" s="279"/>
      <c r="D1492" s="280"/>
      <c r="E1492" s="287"/>
      <c r="F1492" s="287"/>
      <c r="G1492" s="287"/>
      <c r="H1492" s="1292">
        <f t="shared" si="76"/>
        <v>13</v>
      </c>
      <c r="I1492" s="1190" t="str">
        <f>'I. Stream &amp; Compound Data'!P274</f>
        <v/>
      </c>
      <c r="J1492" s="1295" t="str">
        <f>IF(I154="","",IF('I. Stream &amp; Compound Data'!CQ274&lt;&gt;"",'I. Stream &amp; Compound Data'!CQ274,'I. Stream &amp; Compound Data'!CR274))</f>
        <v/>
      </c>
      <c r="K1492" s="1312" t="str">
        <f t="shared" si="77"/>
        <v/>
      </c>
      <c r="L1492" s="301" t="str">
        <f>IF(K1492="","",IF('I. Stream &amp; Compound Data'!E44="H2O",0,(IF(J1492=0,1,J1492))*I1492))</f>
        <v/>
      </c>
      <c r="M1492" s="296"/>
      <c r="N1492" s="280"/>
      <c r="O1492" s="280"/>
      <c r="P1492" s="279"/>
      <c r="Q1492" s="297"/>
      <c r="R1492" s="298"/>
      <c r="S1492" s="298"/>
      <c r="T1492" s="299"/>
      <c r="U1492" s="279"/>
      <c r="V1492" s="279"/>
      <c r="W1492" s="279"/>
      <c r="X1492" s="279"/>
      <c r="Y1492" s="279"/>
      <c r="Z1492" s="279"/>
      <c r="AA1492" s="279"/>
      <c r="AB1492" s="279"/>
      <c r="AC1492" s="279"/>
      <c r="AD1492" s="279"/>
      <c r="AE1492" s="279"/>
      <c r="AF1492" s="279"/>
      <c r="AG1492" s="279"/>
      <c r="AH1492" s="279"/>
      <c r="AI1492" s="279"/>
      <c r="AJ1492" s="279"/>
      <c r="AK1492" s="279"/>
      <c r="AL1492" s="279"/>
      <c r="AM1492" s="279"/>
      <c r="AN1492" s="279"/>
      <c r="AO1492" s="279"/>
      <c r="AP1492" s="279"/>
      <c r="AQ1492" s="279"/>
      <c r="AR1492" s="279"/>
      <c r="AS1492" s="279"/>
      <c r="AT1492" s="279"/>
      <c r="AU1492" s="279"/>
      <c r="AV1492" s="279"/>
      <c r="AW1492" s="279"/>
      <c r="AX1492" s="279"/>
      <c r="AY1492" s="279"/>
      <c r="AZ1492" s="279"/>
      <c r="BA1492" s="279"/>
      <c r="BB1492" s="279"/>
      <c r="BC1492" s="279"/>
      <c r="BD1492" s="279"/>
      <c r="BE1492" s="279"/>
      <c r="BF1492" s="279"/>
      <c r="BG1492" s="279"/>
      <c r="BH1492" s="279"/>
      <c r="BI1492" s="279"/>
      <c r="BJ1492" s="279"/>
      <c r="BK1492" s="279"/>
      <c r="BL1492" s="279"/>
      <c r="BM1492" s="279"/>
      <c r="BN1492" s="279"/>
      <c r="BO1492" s="279"/>
      <c r="BP1492" s="279"/>
      <c r="BQ1492" s="279"/>
      <c r="BR1492" s="279"/>
      <c r="BS1492" s="279"/>
      <c r="BT1492" s="279"/>
      <c r="BU1492" s="279"/>
      <c r="BV1492" s="279"/>
      <c r="BW1492" s="279"/>
      <c r="BX1492" s="279"/>
      <c r="BY1492" s="279"/>
      <c r="BZ1492" s="279"/>
      <c r="CA1492" s="279"/>
      <c r="CB1492" s="279"/>
      <c r="CC1492" s="279"/>
      <c r="CD1492" s="279"/>
      <c r="CE1492" s="279"/>
      <c r="CF1492" s="279"/>
      <c r="CG1492" s="279"/>
      <c r="CH1492" s="279"/>
      <c r="CI1492" s="279"/>
      <c r="CJ1492" s="279"/>
      <c r="CK1492" s="279"/>
      <c r="CL1492" s="279"/>
      <c r="CM1492" s="279"/>
      <c r="CN1492" s="382"/>
    </row>
    <row r="1493" x14ac:dyDescent="0.3">
      <c r="B1493" s="361"/>
      <c r="C1493" s="279"/>
      <c r="D1493" s="280"/>
      <c r="E1493" s="287"/>
      <c r="F1493" s="287"/>
      <c r="G1493" s="287"/>
      <c r="H1493" s="1292">
        <f t="shared" si="76"/>
        <v>14</v>
      </c>
      <c r="I1493" s="1190" t="str">
        <f>'I. Stream &amp; Compound Data'!P275</f>
        <v/>
      </c>
      <c r="J1493" s="1295" t="str">
        <f>IF(I155="","",IF('I. Stream &amp; Compound Data'!CQ275&lt;&gt;"",'I. Stream &amp; Compound Data'!CQ275,'I. Stream &amp; Compound Data'!CR275))</f>
        <v/>
      </c>
      <c r="K1493" s="1312" t="str">
        <f t="shared" si="77"/>
        <v/>
      </c>
      <c r="L1493" s="301" t="str">
        <f>IF(K1493="","",IF('I. Stream &amp; Compound Data'!E45="H2O",0,(IF(J1493=0,1,J1493))*I1493))</f>
        <v/>
      </c>
      <c r="M1493" s="296"/>
      <c r="N1493" s="280"/>
      <c r="O1493" s="280"/>
      <c r="P1493" s="279"/>
      <c r="Q1493" s="297"/>
      <c r="R1493" s="298"/>
      <c r="S1493" s="298"/>
      <c r="T1493" s="299"/>
      <c r="U1493" s="279"/>
      <c r="V1493" s="279"/>
      <c r="W1493" s="279"/>
      <c r="X1493" s="279"/>
      <c r="Y1493" s="279"/>
      <c r="Z1493" s="279"/>
      <c r="AA1493" s="279"/>
      <c r="AB1493" s="279"/>
      <c r="AC1493" s="279"/>
      <c r="AD1493" s="279"/>
      <c r="AE1493" s="279"/>
      <c r="AF1493" s="279"/>
      <c r="AG1493" s="279"/>
      <c r="AH1493" s="279"/>
      <c r="AI1493" s="279"/>
      <c r="AJ1493" s="279"/>
      <c r="AK1493" s="279"/>
      <c r="AL1493" s="279"/>
      <c r="AM1493" s="279"/>
      <c r="AN1493" s="279"/>
      <c r="AO1493" s="279"/>
      <c r="AP1493" s="279"/>
      <c r="AQ1493" s="279"/>
      <c r="AR1493" s="279"/>
      <c r="AS1493" s="279"/>
      <c r="AT1493" s="279"/>
      <c r="AU1493" s="279"/>
      <c r="AV1493" s="279"/>
      <c r="AW1493" s="279"/>
      <c r="AX1493" s="279"/>
      <c r="AY1493" s="279"/>
      <c r="AZ1493" s="279"/>
      <c r="BA1493" s="279"/>
      <c r="BB1493" s="279"/>
      <c r="BC1493" s="279"/>
      <c r="BD1493" s="279"/>
      <c r="BE1493" s="279"/>
      <c r="BF1493" s="279"/>
      <c r="BG1493" s="279"/>
      <c r="BH1493" s="279"/>
      <c r="BI1493" s="279"/>
      <c r="BJ1493" s="279"/>
      <c r="BK1493" s="279"/>
      <c r="BL1493" s="279"/>
      <c r="BM1493" s="279"/>
      <c r="BN1493" s="279"/>
      <c r="BO1493" s="279"/>
      <c r="BP1493" s="279"/>
      <c r="BQ1493" s="279"/>
      <c r="BR1493" s="279"/>
      <c r="BS1493" s="279"/>
      <c r="BT1493" s="279"/>
      <c r="BU1493" s="279"/>
      <c r="BV1493" s="279"/>
      <c r="BW1493" s="279"/>
      <c r="BX1493" s="279"/>
      <c r="BY1493" s="279"/>
      <c r="BZ1493" s="279"/>
      <c r="CA1493" s="279"/>
      <c r="CB1493" s="279"/>
      <c r="CC1493" s="279"/>
      <c r="CD1493" s="279"/>
      <c r="CE1493" s="279"/>
      <c r="CF1493" s="279"/>
      <c r="CG1493" s="279"/>
      <c r="CH1493" s="279"/>
      <c r="CI1493" s="279"/>
      <c r="CJ1493" s="279"/>
      <c r="CK1493" s="279"/>
      <c r="CL1493" s="279"/>
      <c r="CM1493" s="279"/>
      <c r="CN1493" s="382"/>
    </row>
    <row r="1494" x14ac:dyDescent="0.3">
      <c r="B1494" s="361"/>
      <c r="C1494" s="279"/>
      <c r="D1494" s="280"/>
      <c r="E1494" s="287"/>
      <c r="F1494" s="287"/>
      <c r="G1494" s="287"/>
      <c r="H1494" s="1292">
        <f t="shared" si="76"/>
        <v>15</v>
      </c>
      <c r="I1494" s="1190" t="str">
        <f>'I. Stream &amp; Compound Data'!P276</f>
        <v/>
      </c>
      <c r="J1494" s="1295" t="str">
        <f>IF(I156="","",IF('I. Stream &amp; Compound Data'!CQ276&lt;&gt;"",'I. Stream &amp; Compound Data'!CQ276,'I. Stream &amp; Compound Data'!CR276))</f>
        <v/>
      </c>
      <c r="K1494" s="1312" t="str">
        <f t="shared" si="77"/>
        <v/>
      </c>
      <c r="L1494" s="301" t="str">
        <f>IF(K1494="","",IF('I. Stream &amp; Compound Data'!E46="H2O",0,(IF(J1494=0,1,J1494))*I1494))</f>
        <v/>
      </c>
      <c r="M1494" s="296"/>
      <c r="N1494" s="280"/>
      <c r="O1494" s="280"/>
      <c r="P1494" s="279"/>
      <c r="Q1494" s="297"/>
      <c r="R1494" s="298"/>
      <c r="S1494" s="298"/>
      <c r="T1494" s="299"/>
      <c r="U1494" s="279"/>
      <c r="V1494" s="279"/>
      <c r="W1494" s="279"/>
      <c r="X1494" s="279"/>
      <c r="Y1494" s="279"/>
      <c r="Z1494" s="279"/>
      <c r="AA1494" s="279"/>
      <c r="AB1494" s="279"/>
      <c r="AC1494" s="279"/>
      <c r="AD1494" s="279"/>
      <c r="AE1494" s="279"/>
      <c r="AF1494" s="279"/>
      <c r="AG1494" s="279"/>
      <c r="AH1494" s="279"/>
      <c r="AI1494" s="279"/>
      <c r="AJ1494" s="279"/>
      <c r="AK1494" s="279"/>
      <c r="AL1494" s="279"/>
      <c r="AM1494" s="279"/>
      <c r="AN1494" s="279"/>
      <c r="AO1494" s="279"/>
      <c r="AP1494" s="279"/>
      <c r="AQ1494" s="279"/>
      <c r="AR1494" s="279"/>
      <c r="AS1494" s="279"/>
      <c r="AT1494" s="279"/>
      <c r="AU1494" s="279"/>
      <c r="AV1494" s="279"/>
      <c r="AW1494" s="279"/>
      <c r="AX1494" s="279"/>
      <c r="AY1494" s="279"/>
      <c r="AZ1494" s="279"/>
      <c r="BA1494" s="279"/>
      <c r="BB1494" s="279"/>
      <c r="BC1494" s="279"/>
      <c r="BD1494" s="279"/>
      <c r="BE1494" s="279"/>
      <c r="BF1494" s="279"/>
      <c r="BG1494" s="279"/>
      <c r="BH1494" s="279"/>
      <c r="BI1494" s="279"/>
      <c r="BJ1494" s="279"/>
      <c r="BK1494" s="279"/>
      <c r="BL1494" s="279"/>
      <c r="BM1494" s="279"/>
      <c r="BN1494" s="279"/>
      <c r="BO1494" s="279"/>
      <c r="BP1494" s="279"/>
      <c r="BQ1494" s="279"/>
      <c r="BR1494" s="279"/>
      <c r="BS1494" s="279"/>
      <c r="BT1494" s="279"/>
      <c r="BU1494" s="279"/>
      <c r="BV1494" s="279"/>
      <c r="BW1494" s="279"/>
      <c r="BX1494" s="279"/>
      <c r="BY1494" s="279"/>
      <c r="BZ1494" s="279"/>
      <c r="CA1494" s="279"/>
      <c r="CB1494" s="279"/>
      <c r="CC1494" s="279"/>
      <c r="CD1494" s="279"/>
      <c r="CE1494" s="279"/>
      <c r="CF1494" s="279"/>
      <c r="CG1494" s="279"/>
      <c r="CH1494" s="279"/>
      <c r="CI1494" s="279"/>
      <c r="CJ1494" s="279"/>
      <c r="CK1494" s="279"/>
      <c r="CL1494" s="279"/>
      <c r="CM1494" s="279"/>
      <c r="CN1494" s="382"/>
    </row>
    <row r="1495" x14ac:dyDescent="0.3">
      <c r="B1495" s="361"/>
      <c r="C1495" s="279"/>
      <c r="D1495" s="280"/>
      <c r="E1495" s="287"/>
      <c r="F1495" s="287"/>
      <c r="G1495" s="287"/>
      <c r="H1495" s="1292">
        <f t="shared" si="76"/>
        <v>16</v>
      </c>
      <c r="I1495" s="1190" t="str">
        <f>'I. Stream &amp; Compound Data'!P277</f>
        <v/>
      </c>
      <c r="J1495" s="1295" t="str">
        <f>IF(I157="","",IF('I. Stream &amp; Compound Data'!CQ277&lt;&gt;"",'I. Stream &amp; Compound Data'!CQ277,'I. Stream &amp; Compound Data'!CR277))</f>
        <v/>
      </c>
      <c r="K1495" s="1312" t="str">
        <f t="shared" si="77"/>
        <v/>
      </c>
      <c r="L1495" s="301" t="str">
        <f>IF(K1495="","",IF('I. Stream &amp; Compound Data'!E47="H2O",0,(IF(J1495=0,1,J1495))*I1495))</f>
        <v/>
      </c>
      <c r="M1495" s="296"/>
      <c r="N1495" s="280"/>
      <c r="O1495" s="280"/>
      <c r="P1495" s="279"/>
      <c r="Q1495" s="297"/>
      <c r="R1495" s="298"/>
      <c r="S1495" s="298"/>
      <c r="T1495" s="299"/>
      <c r="U1495" s="279"/>
      <c r="V1495" s="279"/>
      <c r="W1495" s="279"/>
      <c r="X1495" s="279"/>
      <c r="Y1495" s="279"/>
      <c r="Z1495" s="279"/>
      <c r="AA1495" s="279"/>
      <c r="AB1495" s="279"/>
      <c r="AC1495" s="279"/>
      <c r="AD1495" s="279"/>
      <c r="AE1495" s="279"/>
      <c r="AF1495" s="279"/>
      <c r="AG1495" s="279"/>
      <c r="AH1495" s="279"/>
      <c r="AI1495" s="279"/>
      <c r="AJ1495" s="279"/>
      <c r="AK1495" s="279"/>
      <c r="AL1495" s="279"/>
      <c r="AM1495" s="279"/>
      <c r="AN1495" s="279"/>
      <c r="AO1495" s="279"/>
      <c r="AP1495" s="279"/>
      <c r="AQ1495" s="279"/>
      <c r="AR1495" s="279"/>
      <c r="AS1495" s="279"/>
      <c r="AT1495" s="279"/>
      <c r="AU1495" s="279"/>
      <c r="AV1495" s="279"/>
      <c r="AW1495" s="279"/>
      <c r="AX1495" s="279"/>
      <c r="AY1495" s="279"/>
      <c r="AZ1495" s="279"/>
      <c r="BA1495" s="279"/>
      <c r="BB1495" s="279"/>
      <c r="BC1495" s="279"/>
      <c r="BD1495" s="279"/>
      <c r="BE1495" s="279"/>
      <c r="BF1495" s="279"/>
      <c r="BG1495" s="279"/>
      <c r="BH1495" s="279"/>
      <c r="BI1495" s="279"/>
      <c r="BJ1495" s="279"/>
      <c r="BK1495" s="279"/>
      <c r="BL1495" s="279"/>
      <c r="BM1495" s="279"/>
      <c r="BN1495" s="279"/>
      <c r="BO1495" s="279"/>
      <c r="BP1495" s="279"/>
      <c r="BQ1495" s="279"/>
      <c r="BR1495" s="279"/>
      <c r="BS1495" s="279"/>
      <c r="BT1495" s="279"/>
      <c r="BU1495" s="279"/>
      <c r="BV1495" s="279"/>
      <c r="BW1495" s="279"/>
      <c r="BX1495" s="279"/>
      <c r="BY1495" s="279"/>
      <c r="BZ1495" s="279"/>
      <c r="CA1495" s="279"/>
      <c r="CB1495" s="279"/>
      <c r="CC1495" s="279"/>
      <c r="CD1495" s="279"/>
      <c r="CE1495" s="279"/>
      <c r="CF1495" s="279"/>
      <c r="CG1495" s="279"/>
      <c r="CH1495" s="279"/>
      <c r="CI1495" s="279"/>
      <c r="CJ1495" s="279"/>
      <c r="CK1495" s="279"/>
      <c r="CL1495" s="279"/>
      <c r="CM1495" s="279"/>
      <c r="CN1495" s="382"/>
    </row>
    <row r="1496" x14ac:dyDescent="0.3">
      <c r="B1496" s="361"/>
      <c r="C1496" s="279"/>
      <c r="D1496" s="280"/>
      <c r="E1496" s="287"/>
      <c r="F1496" s="287"/>
      <c r="G1496" s="287"/>
      <c r="H1496" s="1292">
        <f t="shared" si="76"/>
        <v>17</v>
      </c>
      <c r="I1496" s="1190" t="str">
        <f>'I. Stream &amp; Compound Data'!P278</f>
        <v/>
      </c>
      <c r="J1496" s="1295" t="str">
        <f>IF(I158="","",IF('I. Stream &amp; Compound Data'!CQ278&lt;&gt;"",'I. Stream &amp; Compound Data'!CQ278,'I. Stream &amp; Compound Data'!CR278))</f>
        <v/>
      </c>
      <c r="K1496" s="1312" t="str">
        <f t="shared" si="77"/>
        <v/>
      </c>
      <c r="L1496" s="301" t="str">
        <f>IF(K1496="","",IF('I. Stream &amp; Compound Data'!E48="H2O",0,(IF(J1496=0,1,J1496))*I1496))</f>
        <v/>
      </c>
      <c r="M1496" s="296"/>
      <c r="N1496" s="280"/>
      <c r="O1496" s="280"/>
      <c r="P1496" s="279"/>
      <c r="Q1496" s="297"/>
      <c r="R1496" s="298"/>
      <c r="S1496" s="298"/>
      <c r="T1496" s="299"/>
      <c r="U1496" s="279"/>
      <c r="V1496" s="279"/>
      <c r="W1496" s="279"/>
      <c r="X1496" s="279"/>
      <c r="Y1496" s="279"/>
      <c r="Z1496" s="279"/>
      <c r="AA1496" s="279"/>
      <c r="AB1496" s="279"/>
      <c r="AC1496" s="279"/>
      <c r="AD1496" s="279"/>
      <c r="AE1496" s="279"/>
      <c r="AF1496" s="279"/>
      <c r="AG1496" s="279"/>
      <c r="AH1496" s="279"/>
      <c r="AI1496" s="279"/>
      <c r="AJ1496" s="279"/>
      <c r="AK1496" s="279"/>
      <c r="AL1496" s="279"/>
      <c r="AM1496" s="279"/>
      <c r="AN1496" s="279"/>
      <c r="AO1496" s="279"/>
      <c r="AP1496" s="279"/>
      <c r="AQ1496" s="279"/>
      <c r="AR1496" s="279"/>
      <c r="AS1496" s="279"/>
      <c r="AT1496" s="279"/>
      <c r="AU1496" s="279"/>
      <c r="AV1496" s="279"/>
      <c r="AW1496" s="279"/>
      <c r="AX1496" s="279"/>
      <c r="AY1496" s="279"/>
      <c r="AZ1496" s="279"/>
      <c r="BA1496" s="279"/>
      <c r="BB1496" s="279"/>
      <c r="BC1496" s="279"/>
      <c r="BD1496" s="279"/>
      <c r="BE1496" s="279"/>
      <c r="BF1496" s="279"/>
      <c r="BG1496" s="279"/>
      <c r="BH1496" s="279"/>
      <c r="BI1496" s="279"/>
      <c r="BJ1496" s="279"/>
      <c r="BK1496" s="279"/>
      <c r="BL1496" s="279"/>
      <c r="BM1496" s="279"/>
      <c r="BN1496" s="279"/>
      <c r="BO1496" s="279"/>
      <c r="BP1496" s="279"/>
      <c r="BQ1496" s="279"/>
      <c r="BR1496" s="279"/>
      <c r="BS1496" s="279"/>
      <c r="BT1496" s="279"/>
      <c r="BU1496" s="279"/>
      <c r="BV1496" s="279"/>
      <c r="BW1496" s="279"/>
      <c r="BX1496" s="279"/>
      <c r="BY1496" s="279"/>
      <c r="BZ1496" s="279"/>
      <c r="CA1496" s="279"/>
      <c r="CB1496" s="279"/>
      <c r="CC1496" s="279"/>
      <c r="CD1496" s="279"/>
      <c r="CE1496" s="279"/>
      <c r="CF1496" s="279"/>
      <c r="CG1496" s="279"/>
      <c r="CH1496" s="279"/>
      <c r="CI1496" s="279"/>
      <c r="CJ1496" s="279"/>
      <c r="CK1496" s="279"/>
      <c r="CL1496" s="279"/>
      <c r="CM1496" s="279"/>
      <c r="CN1496" s="382"/>
    </row>
    <row r="1497" x14ac:dyDescent="0.3">
      <c r="B1497" s="361"/>
      <c r="C1497" s="279"/>
      <c r="D1497" s="280"/>
      <c r="E1497" s="287"/>
      <c r="F1497" s="287"/>
      <c r="G1497" s="287"/>
      <c r="H1497" s="1292">
        <f t="shared" si="76"/>
        <v>18</v>
      </c>
      <c r="I1497" s="1190" t="str">
        <f>'I. Stream &amp; Compound Data'!P279</f>
        <v/>
      </c>
      <c r="J1497" s="1295" t="str">
        <f>IF(I159="","",IF('I. Stream &amp; Compound Data'!CQ279&lt;&gt;"",'I. Stream &amp; Compound Data'!CQ279,'I. Stream &amp; Compound Data'!CR279))</f>
        <v/>
      </c>
      <c r="K1497" s="1312" t="str">
        <f t="shared" si="77"/>
        <v/>
      </c>
      <c r="L1497" s="301" t="str">
        <f>IF(K1497="","",IF('I. Stream &amp; Compound Data'!E49="H2O",0,(IF(J1497=0,1,J1497))*I1497))</f>
        <v/>
      </c>
      <c r="M1497" s="287"/>
      <c r="N1497" s="296"/>
      <c r="O1497" s="280"/>
      <c r="P1497" s="280"/>
      <c r="Q1497" s="279"/>
      <c r="R1497" s="297"/>
      <c r="S1497" s="298"/>
      <c r="T1497" s="298"/>
      <c r="U1497" s="299"/>
      <c r="V1497" s="279"/>
      <c r="W1497" s="279"/>
      <c r="X1497" s="279"/>
      <c r="Y1497" s="279"/>
      <c r="Z1497" s="279"/>
      <c r="AA1497" s="279"/>
      <c r="AB1497" s="279"/>
      <c r="AC1497" s="279"/>
      <c r="AD1497" s="279"/>
      <c r="AE1497" s="279"/>
      <c r="AF1497" s="279"/>
      <c r="AG1497" s="279"/>
      <c r="AH1497" s="279"/>
      <c r="AI1497" s="279"/>
      <c r="AJ1497" s="279"/>
      <c r="AK1497" s="279"/>
      <c r="AL1497" s="279"/>
      <c r="AM1497" s="279"/>
      <c r="AN1497" s="279"/>
      <c r="AO1497" s="279"/>
      <c r="AP1497" s="279"/>
      <c r="AQ1497" s="279"/>
      <c r="AR1497" s="279"/>
      <c r="AS1497" s="279"/>
      <c r="AT1497" s="279"/>
      <c r="AU1497" s="279"/>
      <c r="AV1497" s="279"/>
      <c r="AW1497" s="279"/>
      <c r="AX1497" s="279"/>
      <c r="AY1497" s="279"/>
      <c r="AZ1497" s="279"/>
      <c r="BA1497" s="279"/>
      <c r="BB1497" s="279"/>
      <c r="BC1497" s="279"/>
      <c r="BD1497" s="279"/>
      <c r="BE1497" s="279"/>
      <c r="BF1497" s="279"/>
      <c r="BG1497" s="279"/>
      <c r="BH1497" s="279"/>
      <c r="BI1497" s="279"/>
      <c r="BJ1497" s="279"/>
      <c r="BK1497" s="279"/>
      <c r="BL1497" s="279"/>
      <c r="BM1497" s="279"/>
      <c r="BN1497" s="279"/>
      <c r="BO1497" s="279"/>
      <c r="BP1497" s="279"/>
      <c r="BQ1497" s="279"/>
      <c r="BR1497" s="279"/>
      <c r="BS1497" s="279"/>
      <c r="BT1497" s="279"/>
      <c r="BU1497" s="279"/>
      <c r="BV1497" s="279"/>
      <c r="BW1497" s="279"/>
      <c r="BX1497" s="279"/>
      <c r="BY1497" s="279"/>
      <c r="BZ1497" s="279"/>
      <c r="CA1497" s="279"/>
      <c r="CB1497" s="279"/>
      <c r="CC1497" s="279"/>
      <c r="CD1497" s="279"/>
      <c r="CE1497" s="279"/>
      <c r="CF1497" s="279"/>
      <c r="CG1497" s="279"/>
      <c r="CH1497" s="279"/>
      <c r="CI1497" s="279"/>
      <c r="CJ1497" s="279"/>
      <c r="CK1497" s="279"/>
      <c r="CL1497" s="279"/>
      <c r="CM1497" s="279"/>
      <c r="CN1497" s="382"/>
    </row>
    <row r="1498" x14ac:dyDescent="0.3">
      <c r="B1498" s="361"/>
      <c r="C1498" s="279"/>
      <c r="D1498" s="280"/>
      <c r="E1498" s="287"/>
      <c r="F1498" s="287"/>
      <c r="G1498" s="287"/>
      <c r="H1498" s="1292">
        <f t="shared" si="76"/>
        <v>19</v>
      </c>
      <c r="I1498" s="1190" t="str">
        <f>'I. Stream &amp; Compound Data'!P280</f>
        <v/>
      </c>
      <c r="J1498" s="1295" t="str">
        <f>IF(I160="","",IF('I. Stream &amp; Compound Data'!CQ280&lt;&gt;"",'I. Stream &amp; Compound Data'!CQ280,'I. Stream &amp; Compound Data'!CR280))</f>
        <v/>
      </c>
      <c r="K1498" s="1312" t="str">
        <f t="shared" si="77"/>
        <v/>
      </c>
      <c r="L1498" s="301" t="str">
        <f>IF(K1498="","",IF('I. Stream &amp; Compound Data'!E50="H2O",0,(IF(J1498=0,1,J1498))*I1498))</f>
        <v/>
      </c>
      <c r="M1498" s="287"/>
      <c r="N1498" s="296"/>
      <c r="O1498" s="280"/>
      <c r="P1498" s="280"/>
      <c r="Q1498" s="279"/>
      <c r="R1498" s="297"/>
      <c r="S1498" s="298"/>
      <c r="T1498" s="298"/>
      <c r="U1498" s="299"/>
      <c r="V1498" s="279"/>
      <c r="W1498" s="279"/>
      <c r="X1498" s="279"/>
      <c r="Y1498" s="279"/>
      <c r="Z1498" s="279"/>
      <c r="AA1498" s="279"/>
      <c r="AB1498" s="279"/>
      <c r="AC1498" s="279"/>
      <c r="AD1498" s="279"/>
      <c r="AE1498" s="279"/>
      <c r="AF1498" s="279"/>
      <c r="AG1498" s="279"/>
      <c r="AH1498" s="279"/>
      <c r="AI1498" s="279"/>
      <c r="AJ1498" s="279"/>
      <c r="AK1498" s="279"/>
      <c r="AL1498" s="279"/>
      <c r="AM1498" s="279"/>
      <c r="AN1498" s="279"/>
      <c r="AO1498" s="279"/>
      <c r="AP1498" s="279"/>
      <c r="AQ1498" s="279"/>
      <c r="AR1498" s="279"/>
      <c r="AS1498" s="279"/>
      <c r="AT1498" s="279"/>
      <c r="AU1498" s="279"/>
      <c r="AV1498" s="279"/>
      <c r="AW1498" s="279"/>
      <c r="AX1498" s="279"/>
      <c r="AY1498" s="279"/>
      <c r="AZ1498" s="279"/>
      <c r="BA1498" s="279"/>
      <c r="BB1498" s="279"/>
      <c r="BC1498" s="279"/>
      <c r="BD1498" s="279"/>
      <c r="BE1498" s="279"/>
      <c r="BF1498" s="279"/>
      <c r="BG1498" s="279"/>
      <c r="BH1498" s="279"/>
      <c r="BI1498" s="279"/>
      <c r="BJ1498" s="279"/>
      <c r="BK1498" s="279"/>
      <c r="BL1498" s="279"/>
      <c r="BM1498" s="279"/>
      <c r="BN1498" s="279"/>
      <c r="BO1498" s="279"/>
      <c r="BP1498" s="279"/>
      <c r="BQ1498" s="279"/>
      <c r="BR1498" s="279"/>
      <c r="BS1498" s="279"/>
      <c r="BT1498" s="279"/>
      <c r="BU1498" s="279"/>
      <c r="BV1498" s="279"/>
      <c r="BW1498" s="279"/>
      <c r="BX1498" s="279"/>
      <c r="BY1498" s="279"/>
      <c r="BZ1498" s="279"/>
      <c r="CA1498" s="279"/>
      <c r="CB1498" s="279"/>
      <c r="CC1498" s="279"/>
      <c r="CD1498" s="279"/>
      <c r="CE1498" s="279"/>
      <c r="CF1498" s="279"/>
      <c r="CG1498" s="279"/>
      <c r="CH1498" s="279"/>
      <c r="CI1498" s="279"/>
      <c r="CJ1498" s="279"/>
      <c r="CK1498" s="279"/>
      <c r="CL1498" s="279"/>
      <c r="CM1498" s="279"/>
      <c r="CN1498" s="382"/>
    </row>
    <row r="1499" x14ac:dyDescent="0.3">
      <c r="B1499" s="361"/>
      <c r="C1499" s="279"/>
      <c r="D1499" s="280"/>
      <c r="E1499" s="287"/>
      <c r="F1499" s="287"/>
      <c r="G1499" s="287"/>
      <c r="H1499" s="1292">
        <f t="shared" si="76"/>
        <v>20</v>
      </c>
      <c r="I1499" s="1190" t="str">
        <f>'I. Stream &amp; Compound Data'!P281</f>
        <v/>
      </c>
      <c r="J1499" s="1295" t="str">
        <f>IF(I161="","",IF('I. Stream &amp; Compound Data'!CQ281&lt;&gt;"",'I. Stream &amp; Compound Data'!CQ281,'I. Stream &amp; Compound Data'!CR281))</f>
        <v/>
      </c>
      <c r="K1499" s="1312" t="str">
        <f t="shared" ref="K1499:K1529" si="78">IF(I161="","",I1499*J1499)</f>
        <v/>
      </c>
      <c r="L1499" s="301" t="str">
        <f>IF(K1499="","",IF('I. Stream &amp; Compound Data'!E51="H2O",0,(IF(J1499=0,1,J1499))*I1499))</f>
        <v/>
      </c>
      <c r="M1499" s="287"/>
      <c r="N1499" s="296"/>
      <c r="O1499" s="280"/>
      <c r="P1499" s="280"/>
      <c r="Q1499" s="279"/>
      <c r="R1499" s="297"/>
      <c r="S1499" s="298"/>
      <c r="T1499" s="298"/>
      <c r="U1499" s="299"/>
      <c r="V1499" s="279"/>
      <c r="W1499" s="279"/>
      <c r="X1499" s="279"/>
      <c r="Y1499" s="279"/>
      <c r="Z1499" s="279"/>
      <c r="AA1499" s="279"/>
      <c r="AB1499" s="279"/>
      <c r="AC1499" s="279"/>
      <c r="AD1499" s="279"/>
      <c r="AE1499" s="279"/>
      <c r="AF1499" s="279"/>
      <c r="AG1499" s="279"/>
      <c r="AH1499" s="279"/>
      <c r="AI1499" s="279"/>
      <c r="AJ1499" s="279"/>
      <c r="AK1499" s="279"/>
      <c r="AL1499" s="279"/>
      <c r="AM1499" s="279"/>
      <c r="AN1499" s="279"/>
      <c r="AO1499" s="279"/>
      <c r="AP1499" s="279"/>
      <c r="AQ1499" s="279"/>
      <c r="AR1499" s="279"/>
      <c r="AS1499" s="279"/>
      <c r="AT1499" s="279"/>
      <c r="AU1499" s="279"/>
      <c r="AV1499" s="279"/>
      <c r="AW1499" s="279"/>
      <c r="AX1499" s="279"/>
      <c r="AY1499" s="279"/>
      <c r="AZ1499" s="279"/>
      <c r="BA1499" s="279"/>
      <c r="BB1499" s="279"/>
      <c r="BC1499" s="279"/>
      <c r="BD1499" s="279"/>
      <c r="BE1499" s="279"/>
      <c r="BF1499" s="279"/>
      <c r="BG1499" s="279"/>
      <c r="BH1499" s="279"/>
      <c r="BI1499" s="279"/>
      <c r="BJ1499" s="279"/>
      <c r="BK1499" s="279"/>
      <c r="BL1499" s="279"/>
      <c r="BM1499" s="279"/>
      <c r="BN1499" s="279"/>
      <c r="BO1499" s="279"/>
      <c r="BP1499" s="279"/>
      <c r="BQ1499" s="279"/>
      <c r="BR1499" s="279"/>
      <c r="BS1499" s="279"/>
      <c r="BT1499" s="279"/>
      <c r="BU1499" s="279"/>
      <c r="BV1499" s="279"/>
      <c r="BW1499" s="279"/>
      <c r="BX1499" s="279"/>
      <c r="BY1499" s="279"/>
      <c r="BZ1499" s="279"/>
      <c r="CA1499" s="279"/>
      <c r="CB1499" s="279"/>
      <c r="CC1499" s="279"/>
      <c r="CD1499" s="279"/>
      <c r="CE1499" s="279"/>
      <c r="CF1499" s="279"/>
      <c r="CG1499" s="279"/>
      <c r="CH1499" s="279"/>
      <c r="CI1499" s="279"/>
      <c r="CJ1499" s="279"/>
      <c r="CK1499" s="279"/>
      <c r="CL1499" s="279"/>
      <c r="CM1499" s="279"/>
      <c r="CN1499" s="382"/>
    </row>
    <row r="1500" x14ac:dyDescent="0.3">
      <c r="B1500" s="361"/>
      <c r="C1500" s="279"/>
      <c r="D1500" s="280"/>
      <c r="E1500" s="287"/>
      <c r="F1500" s="287"/>
      <c r="G1500" s="287"/>
      <c r="H1500" s="1292">
        <f t="shared" si="76"/>
        <v>21</v>
      </c>
      <c r="I1500" s="1190" t="str">
        <f>'I. Stream &amp; Compound Data'!P282</f>
        <v/>
      </c>
      <c r="J1500" s="1295" t="str">
        <f>IF(I162="","",IF('I. Stream &amp; Compound Data'!CQ282&lt;&gt;"",'I. Stream &amp; Compound Data'!CQ282,'I. Stream &amp; Compound Data'!CR282))</f>
        <v/>
      </c>
      <c r="K1500" s="1312" t="str">
        <f t="shared" si="78"/>
        <v/>
      </c>
      <c r="L1500" s="301" t="str">
        <f>IF(K1500="","",IF('I. Stream &amp; Compound Data'!E52="H2O",0,(IF(J1500=0,1,J1500))*I1500))</f>
        <v/>
      </c>
      <c r="M1500" s="296"/>
      <c r="N1500" s="280"/>
      <c r="O1500" s="280"/>
      <c r="P1500" s="279"/>
      <c r="Q1500" s="297"/>
      <c r="R1500" s="298"/>
      <c r="S1500" s="298"/>
      <c r="T1500" s="299"/>
      <c r="U1500" s="279"/>
      <c r="V1500" s="279"/>
      <c r="W1500" s="279"/>
      <c r="X1500" s="279"/>
      <c r="Y1500" s="279"/>
      <c r="Z1500" s="279"/>
      <c r="AA1500" s="279"/>
      <c r="AB1500" s="279"/>
      <c r="AC1500" s="279"/>
      <c r="AD1500" s="279"/>
      <c r="AE1500" s="279"/>
      <c r="AF1500" s="279"/>
      <c r="AG1500" s="279"/>
      <c r="AH1500" s="279"/>
      <c r="AI1500" s="279"/>
      <c r="AJ1500" s="279"/>
      <c r="AK1500" s="279"/>
      <c r="AL1500" s="279"/>
      <c r="AM1500" s="279"/>
      <c r="AN1500" s="279"/>
      <c r="AO1500" s="279"/>
      <c r="AP1500" s="279"/>
      <c r="AQ1500" s="279"/>
      <c r="AR1500" s="279"/>
      <c r="AS1500" s="279"/>
      <c r="AT1500" s="279"/>
      <c r="AU1500" s="279"/>
      <c r="AV1500" s="279"/>
      <c r="AW1500" s="279"/>
      <c r="AX1500" s="279"/>
      <c r="AY1500" s="279"/>
      <c r="AZ1500" s="279"/>
      <c r="BA1500" s="279"/>
      <c r="BB1500" s="279"/>
      <c r="BC1500" s="279"/>
      <c r="BD1500" s="279"/>
      <c r="BE1500" s="279"/>
      <c r="BF1500" s="279"/>
      <c r="BG1500" s="279"/>
      <c r="BH1500" s="279"/>
      <c r="BI1500" s="279"/>
      <c r="BJ1500" s="279"/>
      <c r="BK1500" s="279"/>
      <c r="BL1500" s="279"/>
      <c r="BM1500" s="279"/>
      <c r="BN1500" s="279"/>
      <c r="BO1500" s="279"/>
      <c r="BP1500" s="279"/>
      <c r="BQ1500" s="279"/>
      <c r="BR1500" s="279"/>
      <c r="BS1500" s="279"/>
      <c r="BT1500" s="279"/>
      <c r="BU1500" s="279"/>
      <c r="BV1500" s="279"/>
      <c r="BW1500" s="279"/>
      <c r="BX1500" s="279"/>
      <c r="BY1500" s="279"/>
      <c r="BZ1500" s="279"/>
      <c r="CA1500" s="279"/>
      <c r="CB1500" s="279"/>
      <c r="CC1500" s="279"/>
      <c r="CD1500" s="279"/>
      <c r="CE1500" s="279"/>
      <c r="CF1500" s="279"/>
      <c r="CG1500" s="279"/>
      <c r="CH1500" s="279"/>
      <c r="CI1500" s="279"/>
      <c r="CJ1500" s="279"/>
      <c r="CK1500" s="279"/>
      <c r="CL1500" s="279"/>
      <c r="CM1500" s="279"/>
      <c r="CN1500" s="382"/>
    </row>
    <row r="1501" x14ac:dyDescent="0.3">
      <c r="B1501" s="361"/>
      <c r="C1501" s="279"/>
      <c r="D1501" s="280"/>
      <c r="E1501" s="287"/>
      <c r="F1501" s="287"/>
      <c r="G1501" s="287"/>
      <c r="H1501" s="1292">
        <f t="shared" si="76"/>
        <v>22</v>
      </c>
      <c r="I1501" s="1190" t="str">
        <f>'I. Stream &amp; Compound Data'!P283</f>
        <v/>
      </c>
      <c r="J1501" s="1295" t="str">
        <f>IF(I163="","",IF('I. Stream &amp; Compound Data'!CQ283&lt;&gt;"",'I. Stream &amp; Compound Data'!CQ283,'I. Stream &amp; Compound Data'!CR283))</f>
        <v/>
      </c>
      <c r="K1501" s="1312" t="str">
        <f t="shared" si="78"/>
        <v/>
      </c>
      <c r="L1501" s="301" t="str">
        <f>IF(K1501="","",IF('I. Stream &amp; Compound Data'!E53="H2O",0,(IF(J1501=0,1,J1501))*I1501))</f>
        <v/>
      </c>
      <c r="M1501" s="296"/>
      <c r="N1501" s="280"/>
      <c r="O1501" s="280"/>
      <c r="P1501" s="279"/>
      <c r="Q1501" s="297"/>
      <c r="R1501" s="298"/>
      <c r="S1501" s="298"/>
      <c r="T1501" s="299"/>
      <c r="U1501" s="279"/>
      <c r="V1501" s="279"/>
      <c r="W1501" s="279"/>
      <c r="X1501" s="279"/>
      <c r="Y1501" s="279"/>
      <c r="Z1501" s="279"/>
      <c r="AA1501" s="279"/>
      <c r="AB1501" s="279"/>
      <c r="AC1501" s="279"/>
      <c r="AD1501" s="279"/>
      <c r="AE1501" s="279"/>
      <c r="AF1501" s="279"/>
      <c r="AG1501" s="279"/>
      <c r="AH1501" s="279"/>
      <c r="AI1501" s="279"/>
      <c r="AJ1501" s="279"/>
      <c r="AK1501" s="279"/>
      <c r="AL1501" s="279"/>
      <c r="AM1501" s="279"/>
      <c r="AN1501" s="279"/>
      <c r="AO1501" s="279"/>
      <c r="AP1501" s="279"/>
      <c r="AQ1501" s="279"/>
      <c r="AR1501" s="279"/>
      <c r="AS1501" s="279"/>
      <c r="AT1501" s="279"/>
      <c r="AU1501" s="279"/>
      <c r="AV1501" s="279"/>
      <c r="AW1501" s="279"/>
      <c r="AX1501" s="279"/>
      <c r="AY1501" s="279"/>
      <c r="AZ1501" s="279"/>
      <c r="BA1501" s="279"/>
      <c r="BB1501" s="279"/>
      <c r="BC1501" s="279"/>
      <c r="BD1501" s="279"/>
      <c r="BE1501" s="279"/>
      <c r="BF1501" s="279"/>
      <c r="BG1501" s="279"/>
      <c r="BH1501" s="279"/>
      <c r="BI1501" s="279"/>
      <c r="BJ1501" s="279"/>
      <c r="BK1501" s="279"/>
      <c r="BL1501" s="279"/>
      <c r="BM1501" s="279"/>
      <c r="BN1501" s="279"/>
      <c r="BO1501" s="279"/>
      <c r="BP1501" s="279"/>
      <c r="BQ1501" s="279"/>
      <c r="BR1501" s="279"/>
      <c r="BS1501" s="279"/>
      <c r="BT1501" s="279"/>
      <c r="BU1501" s="279"/>
      <c r="BV1501" s="279"/>
      <c r="BW1501" s="279"/>
      <c r="BX1501" s="279"/>
      <c r="BY1501" s="279"/>
      <c r="BZ1501" s="279"/>
      <c r="CA1501" s="279"/>
      <c r="CB1501" s="279"/>
      <c r="CC1501" s="279"/>
      <c r="CD1501" s="279"/>
      <c r="CE1501" s="279"/>
      <c r="CF1501" s="279"/>
      <c r="CG1501" s="279"/>
      <c r="CH1501" s="279"/>
      <c r="CI1501" s="279"/>
      <c r="CJ1501" s="279"/>
      <c r="CK1501" s="279"/>
      <c r="CL1501" s="279"/>
      <c r="CM1501" s="279"/>
      <c r="CN1501" s="382"/>
    </row>
    <row r="1502" x14ac:dyDescent="0.3">
      <c r="B1502" s="361"/>
      <c r="C1502" s="279"/>
      <c r="D1502" s="280"/>
      <c r="E1502" s="287"/>
      <c r="F1502" s="287"/>
      <c r="G1502" s="287"/>
      <c r="H1502" s="1292">
        <f t="shared" si="76"/>
        <v>23</v>
      </c>
      <c r="I1502" s="1190" t="str">
        <f>'I. Stream &amp; Compound Data'!P284</f>
        <v/>
      </c>
      <c r="J1502" s="1295" t="str">
        <f>IF(I164="","",IF('I. Stream &amp; Compound Data'!CQ284&lt;&gt;"",'I. Stream &amp; Compound Data'!CQ284,'I. Stream &amp; Compound Data'!CR284))</f>
        <v/>
      </c>
      <c r="K1502" s="1312" t="str">
        <f t="shared" si="78"/>
        <v/>
      </c>
      <c r="L1502" s="301" t="str">
        <f>IF(K1502="","",IF('I. Stream &amp; Compound Data'!E54="H2O",0,(IF(J1502=0,1,J1502))*I1502))</f>
        <v/>
      </c>
      <c r="M1502" s="296"/>
      <c r="N1502" s="280"/>
      <c r="O1502" s="280"/>
      <c r="P1502" s="279"/>
      <c r="Q1502" s="297"/>
      <c r="R1502" s="298"/>
      <c r="S1502" s="298"/>
      <c r="T1502" s="299"/>
      <c r="U1502" s="279"/>
      <c r="V1502" s="279"/>
      <c r="W1502" s="279"/>
      <c r="X1502" s="279"/>
      <c r="Y1502" s="279"/>
      <c r="Z1502" s="279"/>
      <c r="AA1502" s="279"/>
      <c r="AB1502" s="279"/>
      <c r="AC1502" s="279"/>
      <c r="AD1502" s="279"/>
      <c r="AE1502" s="279"/>
      <c r="AF1502" s="279"/>
      <c r="AG1502" s="279"/>
      <c r="AH1502" s="279"/>
      <c r="AI1502" s="279"/>
      <c r="AJ1502" s="279"/>
      <c r="AK1502" s="279"/>
      <c r="AL1502" s="279"/>
      <c r="AM1502" s="279"/>
      <c r="AN1502" s="279"/>
      <c r="AO1502" s="279"/>
      <c r="AP1502" s="279"/>
      <c r="AQ1502" s="279"/>
      <c r="AR1502" s="279"/>
      <c r="AS1502" s="279"/>
      <c r="AT1502" s="279"/>
      <c r="AU1502" s="279"/>
      <c r="AV1502" s="279"/>
      <c r="AW1502" s="279"/>
      <c r="AX1502" s="279"/>
      <c r="AY1502" s="279"/>
      <c r="AZ1502" s="279"/>
      <c r="BA1502" s="279"/>
      <c r="BB1502" s="279"/>
      <c r="BC1502" s="279"/>
      <c r="BD1502" s="279"/>
      <c r="BE1502" s="279"/>
      <c r="BF1502" s="279"/>
      <c r="BG1502" s="279"/>
      <c r="BH1502" s="279"/>
      <c r="BI1502" s="279"/>
      <c r="BJ1502" s="279"/>
      <c r="BK1502" s="279"/>
      <c r="BL1502" s="279"/>
      <c r="BM1502" s="279"/>
      <c r="BN1502" s="279"/>
      <c r="BO1502" s="279"/>
      <c r="BP1502" s="279"/>
      <c r="BQ1502" s="279"/>
      <c r="BR1502" s="279"/>
      <c r="BS1502" s="279"/>
      <c r="BT1502" s="279"/>
      <c r="BU1502" s="279"/>
      <c r="BV1502" s="279"/>
      <c r="BW1502" s="279"/>
      <c r="BX1502" s="279"/>
      <c r="BY1502" s="279"/>
      <c r="BZ1502" s="279"/>
      <c r="CA1502" s="279"/>
      <c r="CB1502" s="279"/>
      <c r="CC1502" s="279"/>
      <c r="CD1502" s="279"/>
      <c r="CE1502" s="279"/>
      <c r="CF1502" s="279"/>
      <c r="CG1502" s="279"/>
      <c r="CH1502" s="279"/>
      <c r="CI1502" s="279"/>
      <c r="CJ1502" s="279"/>
      <c r="CK1502" s="279"/>
      <c r="CL1502" s="279"/>
      <c r="CM1502" s="279"/>
      <c r="CN1502" s="382"/>
    </row>
    <row r="1503" x14ac:dyDescent="0.3">
      <c r="B1503" s="361"/>
      <c r="C1503" s="279"/>
      <c r="D1503" s="280"/>
      <c r="E1503" s="287"/>
      <c r="F1503" s="287"/>
      <c r="G1503" s="287"/>
      <c r="H1503" s="1292">
        <f t="shared" si="76"/>
        <v>24</v>
      </c>
      <c r="I1503" s="1190" t="str">
        <f>'I. Stream &amp; Compound Data'!P285</f>
        <v/>
      </c>
      <c r="J1503" s="1295" t="str">
        <f>IF(I165="","",IF('I. Stream &amp; Compound Data'!CQ285&lt;&gt;"",'I. Stream &amp; Compound Data'!CQ285,'I. Stream &amp; Compound Data'!CR285))</f>
        <v/>
      </c>
      <c r="K1503" s="1312" t="str">
        <f t="shared" si="78"/>
        <v/>
      </c>
      <c r="L1503" s="301" t="str">
        <f>IF(K1503="","",IF('I. Stream &amp; Compound Data'!E55="H2O",0,(IF(J1503=0,1,J1503))*I1503))</f>
        <v/>
      </c>
      <c r="M1503" s="296"/>
      <c r="N1503" s="280"/>
      <c r="O1503" s="280"/>
      <c r="P1503" s="279"/>
      <c r="Q1503" s="297"/>
      <c r="R1503" s="298"/>
      <c r="S1503" s="298"/>
      <c r="T1503" s="299"/>
      <c r="U1503" s="279"/>
      <c r="V1503" s="279"/>
      <c r="W1503" s="279"/>
      <c r="X1503" s="279"/>
      <c r="Y1503" s="279"/>
      <c r="Z1503" s="279"/>
      <c r="AA1503" s="279"/>
      <c r="AB1503" s="279"/>
      <c r="AC1503" s="279"/>
      <c r="AD1503" s="279"/>
      <c r="AE1503" s="279"/>
      <c r="AF1503" s="279"/>
      <c r="AG1503" s="279"/>
      <c r="AH1503" s="279"/>
      <c r="AI1503" s="279"/>
      <c r="AJ1503" s="279"/>
      <c r="AK1503" s="279"/>
      <c r="AL1503" s="279"/>
      <c r="AM1503" s="279"/>
      <c r="AN1503" s="279"/>
      <c r="AO1503" s="279"/>
      <c r="AP1503" s="279"/>
      <c r="AQ1503" s="279"/>
      <c r="AR1503" s="279"/>
      <c r="AS1503" s="279"/>
      <c r="AT1503" s="279"/>
      <c r="AU1503" s="279"/>
      <c r="AV1503" s="279"/>
      <c r="AW1503" s="279"/>
      <c r="AX1503" s="279"/>
      <c r="AY1503" s="279"/>
      <c r="AZ1503" s="279"/>
      <c r="BA1503" s="279"/>
      <c r="BB1503" s="279"/>
      <c r="BC1503" s="279"/>
      <c r="BD1503" s="279"/>
      <c r="BE1503" s="279"/>
      <c r="BF1503" s="279"/>
      <c r="BG1503" s="279"/>
      <c r="BH1503" s="279"/>
      <c r="BI1503" s="279"/>
      <c r="BJ1503" s="279"/>
      <c r="BK1503" s="279"/>
      <c r="BL1503" s="279"/>
      <c r="BM1503" s="279"/>
      <c r="BN1503" s="279"/>
      <c r="BO1503" s="279"/>
      <c r="BP1503" s="279"/>
      <c r="BQ1503" s="279"/>
      <c r="BR1503" s="279"/>
      <c r="BS1503" s="279"/>
      <c r="BT1503" s="279"/>
      <c r="BU1503" s="279"/>
      <c r="BV1503" s="279"/>
      <c r="BW1503" s="279"/>
      <c r="BX1503" s="279"/>
      <c r="BY1503" s="279"/>
      <c r="BZ1503" s="279"/>
      <c r="CA1503" s="279"/>
      <c r="CB1503" s="279"/>
      <c r="CC1503" s="279"/>
      <c r="CD1503" s="279"/>
      <c r="CE1503" s="279"/>
      <c r="CF1503" s="279"/>
      <c r="CG1503" s="279"/>
      <c r="CH1503" s="279"/>
      <c r="CI1503" s="279"/>
      <c r="CJ1503" s="279"/>
      <c r="CK1503" s="279"/>
      <c r="CL1503" s="279"/>
      <c r="CM1503" s="279"/>
      <c r="CN1503" s="382"/>
    </row>
    <row r="1504" x14ac:dyDescent="0.3">
      <c r="B1504" s="361"/>
      <c r="C1504" s="279"/>
      <c r="D1504" s="280"/>
      <c r="E1504" s="287"/>
      <c r="F1504" s="287"/>
      <c r="G1504" s="287"/>
      <c r="H1504" s="1292">
        <f t="shared" si="76"/>
        <v>25</v>
      </c>
      <c r="I1504" s="1190" t="str">
        <f>'I. Stream &amp; Compound Data'!P286</f>
        <v/>
      </c>
      <c r="J1504" s="1295" t="str">
        <f>IF(I166="","",IF('I. Stream &amp; Compound Data'!CQ286&lt;&gt;"",'I. Stream &amp; Compound Data'!CQ286,'I. Stream &amp; Compound Data'!CR286))</f>
        <v/>
      </c>
      <c r="K1504" s="1312" t="str">
        <f t="shared" si="78"/>
        <v/>
      </c>
      <c r="L1504" s="301" t="str">
        <f>IF(K1504="","",IF('I. Stream &amp; Compound Data'!E56="H2O",0,(IF(J1504=0,1,J1504))*I1504))</f>
        <v/>
      </c>
      <c r="M1504" s="296"/>
      <c r="N1504" s="280"/>
      <c r="O1504" s="280"/>
      <c r="P1504" s="279"/>
      <c r="Q1504" s="297"/>
      <c r="R1504" s="298"/>
      <c r="S1504" s="298"/>
      <c r="T1504" s="299"/>
      <c r="U1504" s="279"/>
      <c r="V1504" s="279"/>
      <c r="W1504" s="279"/>
      <c r="X1504" s="279"/>
      <c r="Y1504" s="279"/>
      <c r="Z1504" s="279"/>
      <c r="AA1504" s="279"/>
      <c r="AB1504" s="279"/>
      <c r="AC1504" s="279"/>
      <c r="AD1504" s="279"/>
      <c r="AE1504" s="279"/>
      <c r="AF1504" s="279"/>
      <c r="AG1504" s="279"/>
      <c r="AH1504" s="279"/>
      <c r="AI1504" s="279"/>
      <c r="AJ1504" s="279"/>
      <c r="AK1504" s="279"/>
      <c r="AL1504" s="279"/>
      <c r="AM1504" s="279"/>
      <c r="AN1504" s="279"/>
      <c r="AO1504" s="279"/>
      <c r="AP1504" s="279"/>
      <c r="AQ1504" s="279"/>
      <c r="AR1504" s="279"/>
      <c r="AS1504" s="279"/>
      <c r="AT1504" s="279"/>
      <c r="AU1504" s="279"/>
      <c r="AV1504" s="279"/>
      <c r="AW1504" s="279"/>
      <c r="AX1504" s="279"/>
      <c r="AY1504" s="279"/>
      <c r="AZ1504" s="279"/>
      <c r="BA1504" s="279"/>
      <c r="BB1504" s="279"/>
      <c r="BC1504" s="279"/>
      <c r="BD1504" s="279"/>
      <c r="BE1504" s="279"/>
      <c r="BF1504" s="279"/>
      <c r="BG1504" s="279"/>
      <c r="BH1504" s="279"/>
      <c r="BI1504" s="279"/>
      <c r="BJ1504" s="279"/>
      <c r="BK1504" s="279"/>
      <c r="BL1504" s="279"/>
      <c r="BM1504" s="279"/>
      <c r="BN1504" s="279"/>
      <c r="BO1504" s="279"/>
      <c r="BP1504" s="279"/>
      <c r="BQ1504" s="279"/>
      <c r="BR1504" s="279"/>
      <c r="BS1504" s="279"/>
      <c r="BT1504" s="279"/>
      <c r="BU1504" s="279"/>
      <c r="BV1504" s="279"/>
      <c r="BW1504" s="279"/>
      <c r="BX1504" s="279"/>
      <c r="BY1504" s="279"/>
      <c r="BZ1504" s="279"/>
      <c r="CA1504" s="279"/>
      <c r="CB1504" s="279"/>
      <c r="CC1504" s="279"/>
      <c r="CD1504" s="279"/>
      <c r="CE1504" s="279"/>
      <c r="CF1504" s="279"/>
      <c r="CG1504" s="279"/>
      <c r="CH1504" s="279"/>
      <c r="CI1504" s="279"/>
      <c r="CJ1504" s="279"/>
      <c r="CK1504" s="279"/>
      <c r="CL1504" s="279"/>
      <c r="CM1504" s="279"/>
      <c r="CN1504" s="382"/>
    </row>
    <row r="1505" x14ac:dyDescent="0.3">
      <c r="B1505" s="361"/>
      <c r="C1505" s="279"/>
      <c r="D1505" s="280"/>
      <c r="E1505" s="287"/>
      <c r="F1505" s="287"/>
      <c r="G1505" s="287"/>
      <c r="H1505" s="1292">
        <f t="shared" si="76"/>
        <v>26</v>
      </c>
      <c r="I1505" s="1190" t="str">
        <f>'I. Stream &amp; Compound Data'!P287</f>
        <v/>
      </c>
      <c r="J1505" s="1295" t="str">
        <f>IF(I167="","",IF('I. Stream &amp; Compound Data'!CQ287&lt;&gt;"",'I. Stream &amp; Compound Data'!CQ287,'I. Stream &amp; Compound Data'!CR287))</f>
        <v/>
      </c>
      <c r="K1505" s="1312" t="str">
        <f t="shared" si="78"/>
        <v/>
      </c>
      <c r="L1505" s="301" t="str">
        <f>IF(K1505="","",IF('I. Stream &amp; Compound Data'!E57="H2O",0,(IF(J1505=0,1,J1505))*I1505))</f>
        <v/>
      </c>
      <c r="M1505" s="296"/>
      <c r="N1505" s="280"/>
      <c r="O1505" s="280"/>
      <c r="P1505" s="279"/>
      <c r="Q1505" s="297"/>
      <c r="R1505" s="298"/>
      <c r="S1505" s="298"/>
      <c r="T1505" s="299"/>
      <c r="U1505" s="279"/>
      <c r="V1505" s="279"/>
      <c r="W1505" s="279"/>
      <c r="X1505" s="279"/>
      <c r="Y1505" s="279"/>
      <c r="Z1505" s="279"/>
      <c r="AA1505" s="279"/>
      <c r="AB1505" s="279"/>
      <c r="AC1505" s="279"/>
      <c r="AD1505" s="279"/>
      <c r="AE1505" s="279"/>
      <c r="AF1505" s="279"/>
      <c r="AG1505" s="279"/>
      <c r="AH1505" s="279"/>
      <c r="AI1505" s="279"/>
      <c r="AJ1505" s="279"/>
      <c r="AK1505" s="279"/>
      <c r="AL1505" s="279"/>
      <c r="AM1505" s="279"/>
      <c r="AN1505" s="279"/>
      <c r="AO1505" s="279"/>
      <c r="AP1505" s="279"/>
      <c r="AQ1505" s="279"/>
      <c r="AR1505" s="279"/>
      <c r="AS1505" s="279"/>
      <c r="AT1505" s="279"/>
      <c r="AU1505" s="279"/>
      <c r="AV1505" s="279"/>
      <c r="AW1505" s="279"/>
      <c r="AX1505" s="279"/>
      <c r="AY1505" s="279"/>
      <c r="AZ1505" s="279"/>
      <c r="BA1505" s="279"/>
      <c r="BB1505" s="279"/>
      <c r="BC1505" s="279"/>
      <c r="BD1505" s="279"/>
      <c r="BE1505" s="279"/>
      <c r="BF1505" s="279"/>
      <c r="BG1505" s="279"/>
      <c r="BH1505" s="279"/>
      <c r="BI1505" s="279"/>
      <c r="BJ1505" s="279"/>
      <c r="BK1505" s="279"/>
      <c r="BL1505" s="279"/>
      <c r="BM1505" s="279"/>
      <c r="BN1505" s="279"/>
      <c r="BO1505" s="279"/>
      <c r="BP1505" s="279"/>
      <c r="BQ1505" s="279"/>
      <c r="BR1505" s="279"/>
      <c r="BS1505" s="279"/>
      <c r="BT1505" s="279"/>
      <c r="BU1505" s="279"/>
      <c r="BV1505" s="279"/>
      <c r="BW1505" s="279"/>
      <c r="BX1505" s="279"/>
      <c r="BY1505" s="279"/>
      <c r="BZ1505" s="279"/>
      <c r="CA1505" s="279"/>
      <c r="CB1505" s="279"/>
      <c r="CC1505" s="279"/>
      <c r="CD1505" s="279"/>
      <c r="CE1505" s="279"/>
      <c r="CF1505" s="279"/>
      <c r="CG1505" s="279"/>
      <c r="CH1505" s="279"/>
      <c r="CI1505" s="279"/>
      <c r="CJ1505" s="279"/>
      <c r="CK1505" s="279"/>
      <c r="CL1505" s="279"/>
      <c r="CM1505" s="279"/>
      <c r="CN1505" s="382"/>
    </row>
    <row r="1506" x14ac:dyDescent="0.3">
      <c r="B1506" s="361"/>
      <c r="C1506" s="279"/>
      <c r="D1506" s="280"/>
      <c r="E1506" s="287"/>
      <c r="F1506" s="287"/>
      <c r="G1506" s="287"/>
      <c r="H1506" s="1292">
        <f t="shared" si="76"/>
        <v>27</v>
      </c>
      <c r="I1506" s="1190" t="str">
        <f>'I. Stream &amp; Compound Data'!P288</f>
        <v/>
      </c>
      <c r="J1506" s="1295" t="str">
        <f>IF(I168="","",IF('I. Stream &amp; Compound Data'!CQ288&lt;&gt;"",'I. Stream &amp; Compound Data'!CQ288,'I. Stream &amp; Compound Data'!CR288))</f>
        <v/>
      </c>
      <c r="K1506" s="1312" t="str">
        <f t="shared" si="78"/>
        <v/>
      </c>
      <c r="L1506" s="301" t="str">
        <f>IF(K1506="","",IF('I. Stream &amp; Compound Data'!E58="H2O",0,(IF(J1506=0,1,J1506))*I1506))</f>
        <v/>
      </c>
      <c r="M1506" s="296"/>
      <c r="N1506" s="280"/>
      <c r="O1506" s="280"/>
      <c r="P1506" s="279"/>
      <c r="Q1506" s="297"/>
      <c r="R1506" s="298"/>
      <c r="S1506" s="298"/>
      <c r="T1506" s="299"/>
      <c r="U1506" s="279"/>
      <c r="V1506" s="279"/>
      <c r="W1506" s="279"/>
      <c r="X1506" s="279"/>
      <c r="Y1506" s="279"/>
      <c r="Z1506" s="279"/>
      <c r="AA1506" s="279"/>
      <c r="AB1506" s="279"/>
      <c r="AC1506" s="279"/>
      <c r="AD1506" s="279"/>
      <c r="AE1506" s="279"/>
      <c r="AF1506" s="279"/>
      <c r="AG1506" s="279"/>
      <c r="AH1506" s="279"/>
      <c r="AI1506" s="279"/>
      <c r="AJ1506" s="279"/>
      <c r="AK1506" s="279"/>
      <c r="AL1506" s="279"/>
      <c r="AM1506" s="279"/>
      <c r="AN1506" s="279"/>
      <c r="AO1506" s="279"/>
      <c r="AP1506" s="279"/>
      <c r="AQ1506" s="279"/>
      <c r="AR1506" s="279"/>
      <c r="AS1506" s="279"/>
      <c r="AT1506" s="279"/>
      <c r="AU1506" s="279"/>
      <c r="AV1506" s="279"/>
      <c r="AW1506" s="279"/>
      <c r="AX1506" s="279"/>
      <c r="AY1506" s="279"/>
      <c r="AZ1506" s="279"/>
      <c r="BA1506" s="279"/>
      <c r="BB1506" s="279"/>
      <c r="BC1506" s="279"/>
      <c r="BD1506" s="279"/>
      <c r="BE1506" s="279"/>
      <c r="BF1506" s="279"/>
      <c r="BG1506" s="279"/>
      <c r="BH1506" s="279"/>
      <c r="BI1506" s="279"/>
      <c r="BJ1506" s="279"/>
      <c r="BK1506" s="279"/>
      <c r="BL1506" s="279"/>
      <c r="BM1506" s="279"/>
      <c r="BN1506" s="279"/>
      <c r="BO1506" s="279"/>
      <c r="BP1506" s="279"/>
      <c r="BQ1506" s="279"/>
      <c r="BR1506" s="279"/>
      <c r="BS1506" s="279"/>
      <c r="BT1506" s="279"/>
      <c r="BU1506" s="279"/>
      <c r="BV1506" s="279"/>
      <c r="BW1506" s="279"/>
      <c r="BX1506" s="279"/>
      <c r="BY1506" s="279"/>
      <c r="BZ1506" s="279"/>
      <c r="CA1506" s="279"/>
      <c r="CB1506" s="279"/>
      <c r="CC1506" s="279"/>
      <c r="CD1506" s="279"/>
      <c r="CE1506" s="279"/>
      <c r="CF1506" s="279"/>
      <c r="CG1506" s="279"/>
      <c r="CH1506" s="279"/>
      <c r="CI1506" s="279"/>
      <c r="CJ1506" s="279"/>
      <c r="CK1506" s="279"/>
      <c r="CL1506" s="279"/>
      <c r="CM1506" s="279"/>
      <c r="CN1506" s="382"/>
    </row>
    <row r="1507" x14ac:dyDescent="0.3">
      <c r="B1507" s="361"/>
      <c r="C1507" s="279"/>
      <c r="D1507" s="280"/>
      <c r="E1507" s="287"/>
      <c r="F1507" s="287"/>
      <c r="G1507" s="287"/>
      <c r="H1507" s="1292">
        <f t="shared" si="76"/>
        <v>28</v>
      </c>
      <c r="I1507" s="1190" t="str">
        <f>'I. Stream &amp; Compound Data'!P289</f>
        <v/>
      </c>
      <c r="J1507" s="1295" t="str">
        <f>IF(I169="","",IF('I. Stream &amp; Compound Data'!CQ289&lt;&gt;"",'I. Stream &amp; Compound Data'!CQ289,'I. Stream &amp; Compound Data'!CR289))</f>
        <v/>
      </c>
      <c r="K1507" s="1312" t="str">
        <f t="shared" si="78"/>
        <v/>
      </c>
      <c r="L1507" s="301" t="str">
        <f>IF(K1507="","",IF('I. Stream &amp; Compound Data'!E59="H2O",0,(IF(J1507=0,1,J1507))*I1507))</f>
        <v/>
      </c>
      <c r="M1507" s="296"/>
      <c r="N1507" s="280"/>
      <c r="O1507" s="280"/>
      <c r="P1507" s="279"/>
      <c r="Q1507" s="297"/>
      <c r="R1507" s="298"/>
      <c r="S1507" s="298"/>
      <c r="T1507" s="299"/>
      <c r="U1507" s="279"/>
      <c r="V1507" s="279"/>
      <c r="W1507" s="279"/>
      <c r="X1507" s="279"/>
      <c r="Y1507" s="279"/>
      <c r="Z1507" s="279"/>
      <c r="AA1507" s="279"/>
      <c r="AB1507" s="279"/>
      <c r="AC1507" s="279"/>
      <c r="AD1507" s="279"/>
      <c r="AE1507" s="279"/>
      <c r="AF1507" s="279"/>
      <c r="AG1507" s="279"/>
      <c r="AH1507" s="279"/>
      <c r="AI1507" s="279"/>
      <c r="AJ1507" s="279"/>
      <c r="AK1507" s="279"/>
      <c r="AL1507" s="279"/>
      <c r="AM1507" s="279"/>
      <c r="AN1507" s="279"/>
      <c r="AO1507" s="279"/>
      <c r="AP1507" s="279"/>
      <c r="AQ1507" s="279"/>
      <c r="AR1507" s="279"/>
      <c r="AS1507" s="279"/>
      <c r="AT1507" s="279"/>
      <c r="AU1507" s="279"/>
      <c r="AV1507" s="279"/>
      <c r="AW1507" s="279"/>
      <c r="AX1507" s="279"/>
      <c r="AY1507" s="279"/>
      <c r="AZ1507" s="279"/>
      <c r="BA1507" s="279"/>
      <c r="BB1507" s="279"/>
      <c r="BC1507" s="279"/>
      <c r="BD1507" s="279"/>
      <c r="BE1507" s="279"/>
      <c r="BF1507" s="279"/>
      <c r="BG1507" s="279"/>
      <c r="BH1507" s="279"/>
      <c r="BI1507" s="279"/>
      <c r="BJ1507" s="279"/>
      <c r="BK1507" s="279"/>
      <c r="BL1507" s="279"/>
      <c r="BM1507" s="279"/>
      <c r="BN1507" s="279"/>
      <c r="BO1507" s="279"/>
      <c r="BP1507" s="279"/>
      <c r="BQ1507" s="279"/>
      <c r="BR1507" s="279"/>
      <c r="BS1507" s="279"/>
      <c r="BT1507" s="279"/>
      <c r="BU1507" s="279"/>
      <c r="BV1507" s="279"/>
      <c r="BW1507" s="279"/>
      <c r="BX1507" s="279"/>
      <c r="BY1507" s="279"/>
      <c r="BZ1507" s="279"/>
      <c r="CA1507" s="279"/>
      <c r="CB1507" s="279"/>
      <c r="CC1507" s="279"/>
      <c r="CD1507" s="279"/>
      <c r="CE1507" s="279"/>
      <c r="CF1507" s="279"/>
      <c r="CG1507" s="279"/>
      <c r="CH1507" s="279"/>
      <c r="CI1507" s="279"/>
      <c r="CJ1507" s="279"/>
      <c r="CK1507" s="279"/>
      <c r="CL1507" s="279"/>
      <c r="CM1507" s="279"/>
      <c r="CN1507" s="382"/>
    </row>
    <row r="1508" x14ac:dyDescent="0.3">
      <c r="B1508" s="361"/>
      <c r="C1508" s="279"/>
      <c r="D1508" s="280"/>
      <c r="E1508" s="287"/>
      <c r="F1508" s="287"/>
      <c r="G1508" s="287"/>
      <c r="H1508" s="1292">
        <f t="shared" si="76"/>
        <v>29</v>
      </c>
      <c r="I1508" s="1190" t="str">
        <f>'I. Stream &amp; Compound Data'!P290</f>
        <v/>
      </c>
      <c r="J1508" s="1295" t="str">
        <f>IF(I170="","",IF('I. Stream &amp; Compound Data'!CQ290&lt;&gt;"",'I. Stream &amp; Compound Data'!CQ290,'I. Stream &amp; Compound Data'!CR290))</f>
        <v/>
      </c>
      <c r="K1508" s="1312" t="str">
        <f t="shared" si="78"/>
        <v/>
      </c>
      <c r="L1508" s="301" t="str">
        <f>IF(K1508="","",IF('I. Stream &amp; Compound Data'!E60="H2O",0,(IF(J1508=0,1,J1508))*I1508))</f>
        <v/>
      </c>
      <c r="M1508" s="296"/>
      <c r="N1508" s="280"/>
      <c r="O1508" s="280"/>
      <c r="P1508" s="279"/>
      <c r="Q1508" s="297"/>
      <c r="R1508" s="298"/>
      <c r="S1508" s="298"/>
      <c r="T1508" s="299"/>
      <c r="U1508" s="279"/>
      <c r="V1508" s="279"/>
      <c r="W1508" s="279"/>
      <c r="X1508" s="279"/>
      <c r="Y1508" s="279"/>
      <c r="Z1508" s="279"/>
      <c r="AA1508" s="279"/>
      <c r="AB1508" s="279"/>
      <c r="AC1508" s="279"/>
      <c r="AD1508" s="279"/>
      <c r="AE1508" s="279"/>
      <c r="AF1508" s="279"/>
      <c r="AG1508" s="279"/>
      <c r="AH1508" s="279"/>
      <c r="AI1508" s="279"/>
      <c r="AJ1508" s="279"/>
      <c r="AK1508" s="279"/>
      <c r="AL1508" s="279"/>
      <c r="AM1508" s="279"/>
      <c r="AN1508" s="279"/>
      <c r="AO1508" s="279"/>
      <c r="AP1508" s="279"/>
      <c r="AQ1508" s="279"/>
      <c r="AR1508" s="279"/>
      <c r="AS1508" s="279"/>
      <c r="AT1508" s="279"/>
      <c r="AU1508" s="279"/>
      <c r="AV1508" s="279"/>
      <c r="AW1508" s="279"/>
      <c r="AX1508" s="279"/>
      <c r="AY1508" s="279"/>
      <c r="AZ1508" s="279"/>
      <c r="BA1508" s="279"/>
      <c r="BB1508" s="279"/>
      <c r="BC1508" s="279"/>
      <c r="BD1508" s="279"/>
      <c r="BE1508" s="279"/>
      <c r="BF1508" s="279"/>
      <c r="BG1508" s="279"/>
      <c r="BH1508" s="279"/>
      <c r="BI1508" s="279"/>
      <c r="BJ1508" s="279"/>
      <c r="BK1508" s="279"/>
      <c r="BL1508" s="279"/>
      <c r="BM1508" s="279"/>
      <c r="BN1508" s="279"/>
      <c r="BO1508" s="279"/>
      <c r="BP1508" s="279"/>
      <c r="BQ1508" s="279"/>
      <c r="BR1508" s="279"/>
      <c r="BS1508" s="279"/>
      <c r="BT1508" s="279"/>
      <c r="BU1508" s="279"/>
      <c r="BV1508" s="279"/>
      <c r="BW1508" s="279"/>
      <c r="BX1508" s="279"/>
      <c r="BY1508" s="279"/>
      <c r="BZ1508" s="279"/>
      <c r="CA1508" s="279"/>
      <c r="CB1508" s="279"/>
      <c r="CC1508" s="279"/>
      <c r="CD1508" s="279"/>
      <c r="CE1508" s="279"/>
      <c r="CF1508" s="279"/>
      <c r="CG1508" s="279"/>
      <c r="CH1508" s="279"/>
      <c r="CI1508" s="279"/>
      <c r="CJ1508" s="279"/>
      <c r="CK1508" s="279"/>
      <c r="CL1508" s="279"/>
      <c r="CM1508" s="279"/>
      <c r="CN1508" s="382"/>
    </row>
    <row r="1509" x14ac:dyDescent="0.3">
      <c r="B1509" s="361"/>
      <c r="C1509" s="279"/>
      <c r="D1509" s="280"/>
      <c r="E1509" s="287"/>
      <c r="F1509" s="287"/>
      <c r="G1509" s="287"/>
      <c r="H1509" s="1292">
        <f t="shared" si="76"/>
        <v>30</v>
      </c>
      <c r="I1509" s="1190" t="str">
        <f>'I. Stream &amp; Compound Data'!P291</f>
        <v/>
      </c>
      <c r="J1509" s="1295" t="str">
        <f>IF(I171="","",IF('I. Stream &amp; Compound Data'!CQ291&lt;&gt;"",'I. Stream &amp; Compound Data'!CQ291,'I. Stream &amp; Compound Data'!CR291))</f>
        <v/>
      </c>
      <c r="K1509" s="1312" t="str">
        <f t="shared" si="78"/>
        <v/>
      </c>
      <c r="L1509" s="301" t="str">
        <f>IF(K1509="","",IF('I. Stream &amp; Compound Data'!E61="H2O",0,(IF(J1509=0,1,J1509))*I1509))</f>
        <v/>
      </c>
      <c r="M1509" s="296"/>
      <c r="N1509" s="280"/>
      <c r="O1509" s="280"/>
      <c r="P1509" s="279"/>
      <c r="Q1509" s="297"/>
      <c r="R1509" s="298"/>
      <c r="S1509" s="298"/>
      <c r="T1509" s="299"/>
      <c r="U1509" s="279"/>
      <c r="V1509" s="279"/>
      <c r="W1509" s="279"/>
      <c r="X1509" s="279"/>
      <c r="Y1509" s="279"/>
      <c r="Z1509" s="279"/>
      <c r="AA1509" s="279"/>
      <c r="AB1509" s="279"/>
      <c r="AC1509" s="279"/>
      <c r="AD1509" s="279"/>
      <c r="AE1509" s="279"/>
      <c r="AF1509" s="279"/>
      <c r="AG1509" s="279"/>
      <c r="AH1509" s="279"/>
      <c r="AI1509" s="279"/>
      <c r="AJ1509" s="279"/>
      <c r="AK1509" s="279"/>
      <c r="AL1509" s="279"/>
      <c r="AM1509" s="279"/>
      <c r="AN1509" s="279"/>
      <c r="AO1509" s="279"/>
      <c r="AP1509" s="279"/>
      <c r="AQ1509" s="279"/>
      <c r="AR1509" s="279"/>
      <c r="AS1509" s="279"/>
      <c r="AT1509" s="279"/>
      <c r="AU1509" s="279"/>
      <c r="AV1509" s="279"/>
      <c r="AW1509" s="279"/>
      <c r="AX1509" s="279"/>
      <c r="AY1509" s="279"/>
      <c r="AZ1509" s="279"/>
      <c r="BA1509" s="279"/>
      <c r="BB1509" s="279"/>
      <c r="BC1509" s="279"/>
      <c r="BD1509" s="279"/>
      <c r="BE1509" s="279"/>
      <c r="BF1509" s="279"/>
      <c r="BG1509" s="279"/>
      <c r="BH1509" s="279"/>
      <c r="BI1509" s="279"/>
      <c r="BJ1509" s="279"/>
      <c r="BK1509" s="279"/>
      <c r="BL1509" s="279"/>
      <c r="BM1509" s="279"/>
      <c r="BN1509" s="279"/>
      <c r="BO1509" s="279"/>
      <c r="BP1509" s="279"/>
      <c r="BQ1509" s="279"/>
      <c r="BR1509" s="279"/>
      <c r="BS1509" s="279"/>
      <c r="BT1509" s="279"/>
      <c r="BU1509" s="279"/>
      <c r="BV1509" s="279"/>
      <c r="BW1509" s="279"/>
      <c r="BX1509" s="279"/>
      <c r="BY1509" s="279"/>
      <c r="BZ1509" s="279"/>
      <c r="CA1509" s="279"/>
      <c r="CB1509" s="279"/>
      <c r="CC1509" s="279"/>
      <c r="CD1509" s="279"/>
      <c r="CE1509" s="279"/>
      <c r="CF1509" s="279"/>
      <c r="CG1509" s="279"/>
      <c r="CH1509" s="279"/>
      <c r="CI1509" s="279"/>
      <c r="CJ1509" s="279"/>
      <c r="CK1509" s="279"/>
      <c r="CL1509" s="279"/>
      <c r="CM1509" s="279"/>
      <c r="CN1509" s="382"/>
    </row>
    <row r="1510" x14ac:dyDescent="0.3">
      <c r="B1510" s="361"/>
      <c r="C1510" s="279"/>
      <c r="D1510" s="280"/>
      <c r="E1510" s="287"/>
      <c r="F1510" s="287"/>
      <c r="G1510" s="287"/>
      <c r="H1510" s="1292">
        <f t="shared" si="76"/>
        <v>31</v>
      </c>
      <c r="I1510" s="1190" t="str">
        <f>'I. Stream &amp; Compound Data'!P292</f>
        <v/>
      </c>
      <c r="J1510" s="1295" t="str">
        <f>IF(I172="","",IF('I. Stream &amp; Compound Data'!CQ292&lt;&gt;"",'I. Stream &amp; Compound Data'!CQ292,'I. Stream &amp; Compound Data'!CR292))</f>
        <v/>
      </c>
      <c r="K1510" s="1312" t="str">
        <f t="shared" si="78"/>
        <v/>
      </c>
      <c r="L1510" s="301" t="str">
        <f>IF(K1510="","",IF('I. Stream &amp; Compound Data'!E62="H2O",0,(IF(J1510=0,1,J1510))*I1510))</f>
        <v/>
      </c>
      <c r="M1510" s="296"/>
      <c r="N1510" s="280"/>
      <c r="O1510" s="280"/>
      <c r="P1510" s="279"/>
      <c r="Q1510" s="297"/>
      <c r="R1510" s="298"/>
      <c r="S1510" s="298"/>
      <c r="T1510" s="299"/>
      <c r="U1510" s="279"/>
      <c r="V1510" s="279"/>
      <c r="W1510" s="279"/>
      <c r="X1510" s="279"/>
      <c r="Y1510" s="279"/>
      <c r="Z1510" s="279"/>
      <c r="AA1510" s="279"/>
      <c r="AB1510" s="279"/>
      <c r="AC1510" s="279"/>
      <c r="AD1510" s="279"/>
      <c r="AE1510" s="279"/>
      <c r="AF1510" s="279"/>
      <c r="AG1510" s="279"/>
      <c r="AH1510" s="279"/>
      <c r="AI1510" s="279"/>
      <c r="AJ1510" s="279"/>
      <c r="AK1510" s="279"/>
      <c r="AL1510" s="279"/>
      <c r="AM1510" s="279"/>
      <c r="AN1510" s="279"/>
      <c r="AO1510" s="279"/>
      <c r="AP1510" s="279"/>
      <c r="AQ1510" s="279"/>
      <c r="AR1510" s="279"/>
      <c r="AS1510" s="279"/>
      <c r="AT1510" s="279"/>
      <c r="AU1510" s="279"/>
      <c r="AV1510" s="279"/>
      <c r="AW1510" s="279"/>
      <c r="AX1510" s="279"/>
      <c r="AY1510" s="279"/>
      <c r="AZ1510" s="279"/>
      <c r="BA1510" s="279"/>
      <c r="BB1510" s="279"/>
      <c r="BC1510" s="279"/>
      <c r="BD1510" s="279"/>
      <c r="BE1510" s="279"/>
      <c r="BF1510" s="279"/>
      <c r="BG1510" s="279"/>
      <c r="BH1510" s="279"/>
      <c r="BI1510" s="279"/>
      <c r="BJ1510" s="279"/>
      <c r="BK1510" s="279"/>
      <c r="BL1510" s="279"/>
      <c r="BM1510" s="279"/>
      <c r="BN1510" s="279"/>
      <c r="BO1510" s="279"/>
      <c r="BP1510" s="279"/>
      <c r="BQ1510" s="279"/>
      <c r="BR1510" s="279"/>
      <c r="BS1510" s="279"/>
      <c r="BT1510" s="279"/>
      <c r="BU1510" s="279"/>
      <c r="BV1510" s="279"/>
      <c r="BW1510" s="279"/>
      <c r="BX1510" s="279"/>
      <c r="BY1510" s="279"/>
      <c r="BZ1510" s="279"/>
      <c r="CA1510" s="279"/>
      <c r="CB1510" s="279"/>
      <c r="CC1510" s="279"/>
      <c r="CD1510" s="279"/>
      <c r="CE1510" s="279"/>
      <c r="CF1510" s="279"/>
      <c r="CG1510" s="279"/>
      <c r="CH1510" s="279"/>
      <c r="CI1510" s="279"/>
      <c r="CJ1510" s="279"/>
      <c r="CK1510" s="279"/>
      <c r="CL1510" s="279"/>
      <c r="CM1510" s="279"/>
      <c r="CN1510" s="382"/>
    </row>
    <row r="1511" x14ac:dyDescent="0.3">
      <c r="B1511" s="361"/>
      <c r="C1511" s="279"/>
      <c r="D1511" s="280"/>
      <c r="E1511" s="287"/>
      <c r="F1511" s="287"/>
      <c r="G1511" s="287"/>
      <c r="H1511" s="1292">
        <f t="shared" si="76"/>
        <v>32</v>
      </c>
      <c r="I1511" s="1190" t="str">
        <f>'I. Stream &amp; Compound Data'!P293</f>
        <v/>
      </c>
      <c r="J1511" s="1295" t="str">
        <f>IF(I173="","",IF('I. Stream &amp; Compound Data'!CQ293&lt;&gt;"",'I. Stream &amp; Compound Data'!CQ293,'I. Stream &amp; Compound Data'!CR293))</f>
        <v/>
      </c>
      <c r="K1511" s="1312" t="str">
        <f t="shared" si="78"/>
        <v/>
      </c>
      <c r="L1511" s="301" t="str">
        <f>IF(K1511="","",IF('I. Stream &amp; Compound Data'!E63="H2O",0,(IF(J1511=0,1,J1511))*I1511))</f>
        <v/>
      </c>
      <c r="M1511" s="296"/>
      <c r="N1511" s="280"/>
      <c r="O1511" s="280"/>
      <c r="P1511" s="279"/>
      <c r="Q1511" s="297"/>
      <c r="R1511" s="298"/>
      <c r="S1511" s="298"/>
      <c r="T1511" s="299"/>
      <c r="U1511" s="279"/>
      <c r="V1511" s="279"/>
      <c r="W1511" s="279"/>
      <c r="X1511" s="279"/>
      <c r="Y1511" s="279"/>
      <c r="Z1511" s="279"/>
      <c r="AA1511" s="279"/>
      <c r="AB1511" s="279"/>
      <c r="AC1511" s="279"/>
      <c r="AD1511" s="279"/>
      <c r="AE1511" s="279"/>
      <c r="AF1511" s="279"/>
      <c r="AG1511" s="279"/>
      <c r="AH1511" s="279"/>
      <c r="AI1511" s="279"/>
      <c r="AJ1511" s="279"/>
      <c r="AK1511" s="279"/>
      <c r="AL1511" s="279"/>
      <c r="AM1511" s="279"/>
      <c r="AN1511" s="279"/>
      <c r="AO1511" s="279"/>
      <c r="AP1511" s="279"/>
      <c r="AQ1511" s="279"/>
      <c r="AR1511" s="279"/>
      <c r="AS1511" s="279"/>
      <c r="AT1511" s="279"/>
      <c r="AU1511" s="279"/>
      <c r="AV1511" s="279"/>
      <c r="AW1511" s="279"/>
      <c r="AX1511" s="279"/>
      <c r="AY1511" s="279"/>
      <c r="AZ1511" s="279"/>
      <c r="BA1511" s="279"/>
      <c r="BB1511" s="279"/>
      <c r="BC1511" s="279"/>
      <c r="BD1511" s="279"/>
      <c r="BE1511" s="279"/>
      <c r="BF1511" s="279"/>
      <c r="BG1511" s="279"/>
      <c r="BH1511" s="279"/>
      <c r="BI1511" s="279"/>
      <c r="BJ1511" s="279"/>
      <c r="BK1511" s="279"/>
      <c r="BL1511" s="279"/>
      <c r="BM1511" s="279"/>
      <c r="BN1511" s="279"/>
      <c r="BO1511" s="279"/>
      <c r="BP1511" s="279"/>
      <c r="BQ1511" s="279"/>
      <c r="BR1511" s="279"/>
      <c r="BS1511" s="279"/>
      <c r="BT1511" s="279"/>
      <c r="BU1511" s="279"/>
      <c r="BV1511" s="279"/>
      <c r="BW1511" s="279"/>
      <c r="BX1511" s="279"/>
      <c r="BY1511" s="279"/>
      <c r="BZ1511" s="279"/>
      <c r="CA1511" s="279"/>
      <c r="CB1511" s="279"/>
      <c r="CC1511" s="279"/>
      <c r="CD1511" s="279"/>
      <c r="CE1511" s="279"/>
      <c r="CF1511" s="279"/>
      <c r="CG1511" s="279"/>
      <c r="CH1511" s="279"/>
      <c r="CI1511" s="279"/>
      <c r="CJ1511" s="279"/>
      <c r="CK1511" s="279"/>
      <c r="CL1511" s="279"/>
      <c r="CM1511" s="279"/>
      <c r="CN1511" s="382"/>
    </row>
    <row r="1512" x14ac:dyDescent="0.3">
      <c r="B1512" s="361"/>
      <c r="C1512" s="279"/>
      <c r="D1512" s="280"/>
      <c r="E1512" s="287"/>
      <c r="F1512" s="287"/>
      <c r="G1512" s="287"/>
      <c r="H1512" s="1292">
        <f t="shared" si="76"/>
        <v>33</v>
      </c>
      <c r="I1512" s="1190" t="str">
        <f>'I. Stream &amp; Compound Data'!P294</f>
        <v/>
      </c>
      <c r="J1512" s="1295" t="str">
        <f>IF(I174="","",IF('I. Stream &amp; Compound Data'!CQ294&lt;&gt;"",'I. Stream &amp; Compound Data'!CQ294,'I. Stream &amp; Compound Data'!CR294))</f>
        <v/>
      </c>
      <c r="K1512" s="1312" t="str">
        <f t="shared" si="78"/>
        <v/>
      </c>
      <c r="L1512" s="301" t="str">
        <f>IF(K1512="","",IF('I. Stream &amp; Compound Data'!E64="H2O",0,(IF(J1512=0,1,J1512))*I1512))</f>
        <v/>
      </c>
      <c r="M1512" s="296"/>
      <c r="N1512" s="280"/>
      <c r="O1512" s="280"/>
      <c r="P1512" s="279"/>
      <c r="Q1512" s="297"/>
      <c r="R1512" s="298"/>
      <c r="S1512" s="298"/>
      <c r="T1512" s="299"/>
      <c r="U1512" s="279"/>
      <c r="V1512" s="279"/>
      <c r="W1512" s="279"/>
      <c r="X1512" s="279"/>
      <c r="Y1512" s="279"/>
      <c r="Z1512" s="279"/>
      <c r="AA1512" s="279"/>
      <c r="AB1512" s="279"/>
      <c r="AC1512" s="279"/>
      <c r="AD1512" s="279"/>
      <c r="AE1512" s="279"/>
      <c r="AF1512" s="279"/>
      <c r="AG1512" s="279"/>
      <c r="AH1512" s="279"/>
      <c r="AI1512" s="279"/>
      <c r="AJ1512" s="279"/>
      <c r="AK1512" s="279"/>
      <c r="AL1512" s="279"/>
      <c r="AM1512" s="279"/>
      <c r="AN1512" s="279"/>
      <c r="AO1512" s="279"/>
      <c r="AP1512" s="279"/>
      <c r="AQ1512" s="279"/>
      <c r="AR1512" s="279"/>
      <c r="AS1512" s="279"/>
      <c r="AT1512" s="279"/>
      <c r="AU1512" s="279"/>
      <c r="AV1512" s="279"/>
      <c r="AW1512" s="279"/>
      <c r="AX1512" s="279"/>
      <c r="AY1512" s="279"/>
      <c r="AZ1512" s="279"/>
      <c r="BA1512" s="279"/>
      <c r="BB1512" s="279"/>
      <c r="BC1512" s="279"/>
      <c r="BD1512" s="279"/>
      <c r="BE1512" s="279"/>
      <c r="BF1512" s="279"/>
      <c r="BG1512" s="279"/>
      <c r="BH1512" s="279"/>
      <c r="BI1512" s="279"/>
      <c r="BJ1512" s="279"/>
      <c r="BK1512" s="279"/>
      <c r="BL1512" s="279"/>
      <c r="BM1512" s="279"/>
      <c r="BN1512" s="279"/>
      <c r="BO1512" s="279"/>
      <c r="BP1512" s="279"/>
      <c r="BQ1512" s="279"/>
      <c r="BR1512" s="279"/>
      <c r="BS1512" s="279"/>
      <c r="BT1512" s="279"/>
      <c r="BU1512" s="279"/>
      <c r="BV1512" s="279"/>
      <c r="BW1512" s="279"/>
      <c r="BX1512" s="279"/>
      <c r="BY1512" s="279"/>
      <c r="BZ1512" s="279"/>
      <c r="CA1512" s="279"/>
      <c r="CB1512" s="279"/>
      <c r="CC1512" s="279"/>
      <c r="CD1512" s="279"/>
      <c r="CE1512" s="279"/>
      <c r="CF1512" s="279"/>
      <c r="CG1512" s="279"/>
      <c r="CH1512" s="279"/>
      <c r="CI1512" s="279"/>
      <c r="CJ1512" s="279"/>
      <c r="CK1512" s="279"/>
      <c r="CL1512" s="279"/>
      <c r="CM1512" s="279"/>
      <c r="CN1512" s="382"/>
    </row>
    <row r="1513" x14ac:dyDescent="0.3">
      <c r="B1513" s="361"/>
      <c r="C1513" s="279"/>
      <c r="D1513" s="280"/>
      <c r="E1513" s="287"/>
      <c r="F1513" s="287"/>
      <c r="G1513" s="287"/>
      <c r="H1513" s="1292">
        <f t="shared" si="76"/>
        <v>34</v>
      </c>
      <c r="I1513" s="1190" t="str">
        <f>'I. Stream &amp; Compound Data'!P295</f>
        <v/>
      </c>
      <c r="J1513" s="1295" t="str">
        <f>IF(I175="","",IF('I. Stream &amp; Compound Data'!CQ295&lt;&gt;"",'I. Stream &amp; Compound Data'!CQ295,'I. Stream &amp; Compound Data'!CR295))</f>
        <v/>
      </c>
      <c r="K1513" s="1312" t="str">
        <f t="shared" si="78"/>
        <v/>
      </c>
      <c r="L1513" s="301" t="str">
        <f>IF(K1513="","",IF('I. Stream &amp; Compound Data'!E65="H2O",0,(IF(J1513=0,1,J1513))*I1513))</f>
        <v/>
      </c>
      <c r="M1513" s="296"/>
      <c r="N1513" s="280"/>
      <c r="O1513" s="280"/>
      <c r="P1513" s="279"/>
      <c r="Q1513" s="297"/>
      <c r="R1513" s="298"/>
      <c r="S1513" s="298"/>
      <c r="T1513" s="299"/>
      <c r="U1513" s="279"/>
      <c r="V1513" s="279"/>
      <c r="W1513" s="279"/>
      <c r="X1513" s="279"/>
      <c r="Y1513" s="279"/>
      <c r="Z1513" s="279"/>
      <c r="AA1513" s="279"/>
      <c r="AB1513" s="279"/>
      <c r="AC1513" s="279"/>
      <c r="AD1513" s="279"/>
      <c r="AE1513" s="279"/>
      <c r="AF1513" s="279"/>
      <c r="AG1513" s="279"/>
      <c r="AH1513" s="279"/>
      <c r="AI1513" s="279"/>
      <c r="AJ1513" s="279"/>
      <c r="AK1513" s="279"/>
      <c r="AL1513" s="279"/>
      <c r="AM1513" s="279"/>
      <c r="AN1513" s="279"/>
      <c r="AO1513" s="279"/>
      <c r="AP1513" s="279"/>
      <c r="AQ1513" s="279"/>
      <c r="AR1513" s="279"/>
      <c r="AS1513" s="279"/>
      <c r="AT1513" s="279"/>
      <c r="AU1513" s="279"/>
      <c r="AV1513" s="279"/>
      <c r="AW1513" s="279"/>
      <c r="AX1513" s="279"/>
      <c r="AY1513" s="279"/>
      <c r="AZ1513" s="279"/>
      <c r="BA1513" s="279"/>
      <c r="BB1513" s="279"/>
      <c r="BC1513" s="279"/>
      <c r="BD1513" s="279"/>
      <c r="BE1513" s="279"/>
      <c r="BF1513" s="279"/>
      <c r="BG1513" s="279"/>
      <c r="BH1513" s="279"/>
      <c r="BI1513" s="279"/>
      <c r="BJ1513" s="279"/>
      <c r="BK1513" s="279"/>
      <c r="BL1513" s="279"/>
      <c r="BM1513" s="279"/>
      <c r="BN1513" s="279"/>
      <c r="BO1513" s="279"/>
      <c r="BP1513" s="279"/>
      <c r="BQ1513" s="279"/>
      <c r="BR1513" s="279"/>
      <c r="BS1513" s="279"/>
      <c r="BT1513" s="279"/>
      <c r="BU1513" s="279"/>
      <c r="BV1513" s="279"/>
      <c r="BW1513" s="279"/>
      <c r="BX1513" s="279"/>
      <c r="BY1513" s="279"/>
      <c r="BZ1513" s="279"/>
      <c r="CA1513" s="279"/>
      <c r="CB1513" s="279"/>
      <c r="CC1513" s="279"/>
      <c r="CD1513" s="279"/>
      <c r="CE1513" s="279"/>
      <c r="CF1513" s="279"/>
      <c r="CG1513" s="279"/>
      <c r="CH1513" s="279"/>
      <c r="CI1513" s="279"/>
      <c r="CJ1513" s="279"/>
      <c r="CK1513" s="279"/>
      <c r="CL1513" s="279"/>
      <c r="CM1513" s="279"/>
      <c r="CN1513" s="382"/>
    </row>
    <row r="1514" x14ac:dyDescent="0.3">
      <c r="B1514" s="361"/>
      <c r="C1514" s="279"/>
      <c r="D1514" s="280"/>
      <c r="E1514" s="287"/>
      <c r="F1514" s="287"/>
      <c r="G1514" s="287"/>
      <c r="H1514" s="1292">
        <f t="shared" si="76"/>
        <v>35</v>
      </c>
      <c r="I1514" s="1190" t="str">
        <f>'I. Stream &amp; Compound Data'!P296</f>
        <v/>
      </c>
      <c r="J1514" s="1295" t="str">
        <f>IF(I176="","",IF('I. Stream &amp; Compound Data'!CQ296&lt;&gt;"",'I. Stream &amp; Compound Data'!CQ296,'I. Stream &amp; Compound Data'!CR296))</f>
        <v/>
      </c>
      <c r="K1514" s="1312" t="str">
        <f t="shared" si="78"/>
        <v/>
      </c>
      <c r="L1514" s="301" t="str">
        <f>IF(K1514="","",IF('I. Stream &amp; Compound Data'!E66="H2O",0,(IF(J1514=0,1,J1514))*I1514))</f>
        <v/>
      </c>
      <c r="M1514" s="296"/>
      <c r="N1514" s="280"/>
      <c r="O1514" s="280"/>
      <c r="P1514" s="279"/>
      <c r="Q1514" s="297"/>
      <c r="R1514" s="298"/>
      <c r="S1514" s="298"/>
      <c r="T1514" s="299"/>
      <c r="U1514" s="279"/>
      <c r="V1514" s="279"/>
      <c r="W1514" s="279"/>
      <c r="X1514" s="279"/>
      <c r="Y1514" s="279"/>
      <c r="Z1514" s="279"/>
      <c r="AA1514" s="279"/>
      <c r="AB1514" s="279"/>
      <c r="AC1514" s="279"/>
      <c r="AD1514" s="279"/>
      <c r="AE1514" s="279"/>
      <c r="AF1514" s="279"/>
      <c r="AG1514" s="279"/>
      <c r="AH1514" s="279"/>
      <c r="AI1514" s="279"/>
      <c r="AJ1514" s="279"/>
      <c r="AK1514" s="279"/>
      <c r="AL1514" s="279"/>
      <c r="AM1514" s="279"/>
      <c r="AN1514" s="279"/>
      <c r="AO1514" s="279"/>
      <c r="AP1514" s="279"/>
      <c r="AQ1514" s="279"/>
      <c r="AR1514" s="279"/>
      <c r="AS1514" s="279"/>
      <c r="AT1514" s="279"/>
      <c r="AU1514" s="279"/>
      <c r="AV1514" s="279"/>
      <c r="AW1514" s="279"/>
      <c r="AX1514" s="279"/>
      <c r="AY1514" s="279"/>
      <c r="AZ1514" s="279"/>
      <c r="BA1514" s="279"/>
      <c r="BB1514" s="279"/>
      <c r="BC1514" s="279"/>
      <c r="BD1514" s="279"/>
      <c r="BE1514" s="279"/>
      <c r="BF1514" s="279"/>
      <c r="BG1514" s="279"/>
      <c r="BH1514" s="279"/>
      <c r="BI1514" s="279"/>
      <c r="BJ1514" s="279"/>
      <c r="BK1514" s="279"/>
      <c r="BL1514" s="279"/>
      <c r="BM1514" s="279"/>
      <c r="BN1514" s="279"/>
      <c r="BO1514" s="279"/>
      <c r="BP1514" s="279"/>
      <c r="BQ1514" s="279"/>
      <c r="BR1514" s="279"/>
      <c r="BS1514" s="279"/>
      <c r="BT1514" s="279"/>
      <c r="BU1514" s="279"/>
      <c r="BV1514" s="279"/>
      <c r="BW1514" s="279"/>
      <c r="BX1514" s="279"/>
      <c r="BY1514" s="279"/>
      <c r="BZ1514" s="279"/>
      <c r="CA1514" s="279"/>
      <c r="CB1514" s="279"/>
      <c r="CC1514" s="279"/>
      <c r="CD1514" s="279"/>
      <c r="CE1514" s="279"/>
      <c r="CF1514" s="279"/>
      <c r="CG1514" s="279"/>
      <c r="CH1514" s="279"/>
      <c r="CI1514" s="279"/>
      <c r="CJ1514" s="279"/>
      <c r="CK1514" s="279"/>
      <c r="CL1514" s="279"/>
      <c r="CM1514" s="279"/>
      <c r="CN1514" s="382"/>
    </row>
    <row r="1515" x14ac:dyDescent="0.3">
      <c r="B1515" s="361"/>
      <c r="C1515" s="279"/>
      <c r="D1515" s="280"/>
      <c r="E1515" s="287"/>
      <c r="F1515" s="287"/>
      <c r="G1515" s="287"/>
      <c r="H1515" s="1292">
        <f t="shared" si="76"/>
        <v>36</v>
      </c>
      <c r="I1515" s="1190" t="str">
        <f>'I. Stream &amp; Compound Data'!P297</f>
        <v/>
      </c>
      <c r="J1515" s="1295" t="str">
        <f>IF(I177="","",IF('I. Stream &amp; Compound Data'!CQ297&lt;&gt;"",'I. Stream &amp; Compound Data'!CQ297,'I. Stream &amp; Compound Data'!CR297))</f>
        <v/>
      </c>
      <c r="K1515" s="1312" t="str">
        <f t="shared" si="78"/>
        <v/>
      </c>
      <c r="L1515" s="301" t="str">
        <f>IF(K1515="","",IF('I. Stream &amp; Compound Data'!E67="H2O",0,(IF(J1515=0,1,J1515))*I1515))</f>
        <v/>
      </c>
      <c r="M1515" s="296"/>
      <c r="N1515" s="280"/>
      <c r="O1515" s="280"/>
      <c r="P1515" s="279"/>
      <c r="Q1515" s="297"/>
      <c r="R1515" s="298"/>
      <c r="S1515" s="298"/>
      <c r="T1515" s="299"/>
      <c r="U1515" s="279"/>
      <c r="V1515" s="279"/>
      <c r="W1515" s="279"/>
      <c r="X1515" s="279"/>
      <c r="Y1515" s="279"/>
      <c r="Z1515" s="279"/>
      <c r="AA1515" s="279"/>
      <c r="AB1515" s="279"/>
      <c r="AC1515" s="279"/>
      <c r="AD1515" s="279"/>
      <c r="AE1515" s="279"/>
      <c r="AF1515" s="279"/>
      <c r="AG1515" s="279"/>
      <c r="AH1515" s="279"/>
      <c r="AI1515" s="279"/>
      <c r="AJ1515" s="279"/>
      <c r="AK1515" s="279"/>
      <c r="AL1515" s="279"/>
      <c r="AM1515" s="279"/>
      <c r="AN1515" s="279"/>
      <c r="AO1515" s="279"/>
      <c r="AP1515" s="279"/>
      <c r="AQ1515" s="279"/>
      <c r="AR1515" s="279"/>
      <c r="AS1515" s="279"/>
      <c r="AT1515" s="279"/>
      <c r="AU1515" s="279"/>
      <c r="AV1515" s="279"/>
      <c r="AW1515" s="279"/>
      <c r="AX1515" s="279"/>
      <c r="AY1515" s="279"/>
      <c r="AZ1515" s="279"/>
      <c r="BA1515" s="279"/>
      <c r="BB1515" s="279"/>
      <c r="BC1515" s="279"/>
      <c r="BD1515" s="279"/>
      <c r="BE1515" s="279"/>
      <c r="BF1515" s="279"/>
      <c r="BG1515" s="279"/>
      <c r="BH1515" s="279"/>
      <c r="BI1515" s="279"/>
      <c r="BJ1515" s="279"/>
      <c r="BK1515" s="279"/>
      <c r="BL1515" s="279"/>
      <c r="BM1515" s="279"/>
      <c r="BN1515" s="279"/>
      <c r="BO1515" s="279"/>
      <c r="BP1515" s="279"/>
      <c r="BQ1515" s="279"/>
      <c r="BR1515" s="279"/>
      <c r="BS1515" s="279"/>
      <c r="BT1515" s="279"/>
      <c r="BU1515" s="279"/>
      <c r="BV1515" s="279"/>
      <c r="BW1515" s="279"/>
      <c r="BX1515" s="279"/>
      <c r="BY1515" s="279"/>
      <c r="BZ1515" s="279"/>
      <c r="CA1515" s="279"/>
      <c r="CB1515" s="279"/>
      <c r="CC1515" s="279"/>
      <c r="CD1515" s="279"/>
      <c r="CE1515" s="279"/>
      <c r="CF1515" s="279"/>
      <c r="CG1515" s="279"/>
      <c r="CH1515" s="279"/>
      <c r="CI1515" s="279"/>
      <c r="CJ1515" s="279"/>
      <c r="CK1515" s="279"/>
      <c r="CL1515" s="279"/>
      <c r="CM1515" s="279"/>
      <c r="CN1515" s="382"/>
    </row>
    <row r="1516" x14ac:dyDescent="0.3">
      <c r="B1516" s="361"/>
      <c r="C1516" s="279"/>
      <c r="D1516" s="280"/>
      <c r="E1516" s="287"/>
      <c r="F1516" s="287"/>
      <c r="G1516" s="287"/>
      <c r="H1516" s="1292">
        <f t="shared" si="76"/>
        <v>37</v>
      </c>
      <c r="I1516" s="1190" t="str">
        <f>'I. Stream &amp; Compound Data'!P298</f>
        <v/>
      </c>
      <c r="J1516" s="1295" t="str">
        <f>IF(I178="","",IF('I. Stream &amp; Compound Data'!CQ298&lt;&gt;"",'I. Stream &amp; Compound Data'!CQ298,'I. Stream &amp; Compound Data'!CR298))</f>
        <v/>
      </c>
      <c r="K1516" s="1312" t="str">
        <f t="shared" si="78"/>
        <v/>
      </c>
      <c r="L1516" s="301" t="str">
        <f>IF(K1516="","",IF('I. Stream &amp; Compound Data'!E68="H2O",0,(IF(J1516=0,1,J1516))*I1516))</f>
        <v/>
      </c>
      <c r="M1516" s="296"/>
      <c r="N1516" s="280"/>
      <c r="O1516" s="280"/>
      <c r="P1516" s="279"/>
      <c r="Q1516" s="297"/>
      <c r="R1516" s="298"/>
      <c r="S1516" s="298"/>
      <c r="T1516" s="299"/>
      <c r="U1516" s="279"/>
      <c r="V1516" s="279"/>
      <c r="W1516" s="279"/>
      <c r="X1516" s="279"/>
      <c r="Y1516" s="279"/>
      <c r="Z1516" s="279"/>
      <c r="AA1516" s="279"/>
      <c r="AB1516" s="279"/>
      <c r="AC1516" s="279"/>
      <c r="AD1516" s="279"/>
      <c r="AE1516" s="279"/>
      <c r="AF1516" s="279"/>
      <c r="AG1516" s="279"/>
      <c r="AH1516" s="279"/>
      <c r="AI1516" s="279"/>
      <c r="AJ1516" s="279"/>
      <c r="AK1516" s="279"/>
      <c r="AL1516" s="279"/>
      <c r="AM1516" s="279"/>
      <c r="AN1516" s="279"/>
      <c r="AO1516" s="279"/>
      <c r="AP1516" s="279"/>
      <c r="AQ1516" s="279"/>
      <c r="AR1516" s="279"/>
      <c r="AS1516" s="279"/>
      <c r="AT1516" s="279"/>
      <c r="AU1516" s="279"/>
      <c r="AV1516" s="279"/>
      <c r="AW1516" s="279"/>
      <c r="AX1516" s="279"/>
      <c r="AY1516" s="279"/>
      <c r="AZ1516" s="279"/>
      <c r="BA1516" s="279"/>
      <c r="BB1516" s="279"/>
      <c r="BC1516" s="279"/>
      <c r="BD1516" s="279"/>
      <c r="BE1516" s="279"/>
      <c r="BF1516" s="279"/>
      <c r="BG1516" s="279"/>
      <c r="BH1516" s="279"/>
      <c r="BI1516" s="279"/>
      <c r="BJ1516" s="279"/>
      <c r="BK1516" s="279"/>
      <c r="BL1516" s="279"/>
      <c r="BM1516" s="279"/>
      <c r="BN1516" s="279"/>
      <c r="BO1516" s="279"/>
      <c r="BP1516" s="279"/>
      <c r="BQ1516" s="279"/>
      <c r="BR1516" s="279"/>
      <c r="BS1516" s="279"/>
      <c r="BT1516" s="279"/>
      <c r="BU1516" s="279"/>
      <c r="BV1516" s="279"/>
      <c r="BW1516" s="279"/>
      <c r="BX1516" s="279"/>
      <c r="BY1516" s="279"/>
      <c r="BZ1516" s="279"/>
      <c r="CA1516" s="279"/>
      <c r="CB1516" s="279"/>
      <c r="CC1516" s="279"/>
      <c r="CD1516" s="279"/>
      <c r="CE1516" s="279"/>
      <c r="CF1516" s="279"/>
      <c r="CG1516" s="279"/>
      <c r="CH1516" s="279"/>
      <c r="CI1516" s="279"/>
      <c r="CJ1516" s="279"/>
      <c r="CK1516" s="279"/>
      <c r="CL1516" s="279"/>
      <c r="CM1516" s="279"/>
      <c r="CN1516" s="382"/>
    </row>
    <row r="1517" x14ac:dyDescent="0.3">
      <c r="B1517" s="361"/>
      <c r="C1517" s="279"/>
      <c r="D1517" s="280"/>
      <c r="E1517" s="287"/>
      <c r="F1517" s="287"/>
      <c r="G1517" s="287"/>
      <c r="H1517" s="1292">
        <f t="shared" si="76"/>
        <v>38</v>
      </c>
      <c r="I1517" s="1190" t="str">
        <f>'I. Stream &amp; Compound Data'!P299</f>
        <v/>
      </c>
      <c r="J1517" s="1295" t="str">
        <f>IF(I179="","",IF('I. Stream &amp; Compound Data'!CQ299&lt;&gt;"",'I. Stream &amp; Compound Data'!CQ299,'I. Stream &amp; Compound Data'!CR299))</f>
        <v/>
      </c>
      <c r="K1517" s="1312" t="str">
        <f t="shared" si="78"/>
        <v/>
      </c>
      <c r="L1517" s="301" t="str">
        <f>IF(K1517="","",IF('I. Stream &amp; Compound Data'!E69="H2O",0,(IF(J1517=0,1,J1517))*I1517))</f>
        <v/>
      </c>
      <c r="M1517" s="296"/>
      <c r="N1517" s="280"/>
      <c r="O1517" s="280"/>
      <c r="P1517" s="279"/>
      <c r="Q1517" s="297"/>
      <c r="R1517" s="298"/>
      <c r="S1517" s="298"/>
      <c r="T1517" s="299"/>
      <c r="U1517" s="279"/>
      <c r="V1517" s="279"/>
      <c r="W1517" s="279"/>
      <c r="X1517" s="279"/>
      <c r="Y1517" s="279"/>
      <c r="Z1517" s="279"/>
      <c r="AA1517" s="279"/>
      <c r="AB1517" s="279"/>
      <c r="AC1517" s="279"/>
      <c r="AD1517" s="279"/>
      <c r="AE1517" s="279"/>
      <c r="AF1517" s="279"/>
      <c r="AG1517" s="279"/>
      <c r="AH1517" s="279"/>
      <c r="AI1517" s="279"/>
      <c r="AJ1517" s="279"/>
      <c r="AK1517" s="279"/>
      <c r="AL1517" s="279"/>
      <c r="AM1517" s="279"/>
      <c r="AN1517" s="279"/>
      <c r="AO1517" s="279"/>
      <c r="AP1517" s="279"/>
      <c r="AQ1517" s="279"/>
      <c r="AR1517" s="279"/>
      <c r="AS1517" s="279"/>
      <c r="AT1517" s="279"/>
      <c r="AU1517" s="279"/>
      <c r="AV1517" s="279"/>
      <c r="AW1517" s="279"/>
      <c r="AX1517" s="279"/>
      <c r="AY1517" s="279"/>
      <c r="AZ1517" s="279"/>
      <c r="BA1517" s="279"/>
      <c r="BB1517" s="279"/>
      <c r="BC1517" s="279"/>
      <c r="BD1517" s="279"/>
      <c r="BE1517" s="279"/>
      <c r="BF1517" s="279"/>
      <c r="BG1517" s="279"/>
      <c r="BH1517" s="279"/>
      <c r="BI1517" s="279"/>
      <c r="BJ1517" s="279"/>
      <c r="BK1517" s="279"/>
      <c r="BL1517" s="279"/>
      <c r="BM1517" s="279"/>
      <c r="BN1517" s="279"/>
      <c r="BO1517" s="279"/>
      <c r="BP1517" s="279"/>
      <c r="BQ1517" s="279"/>
      <c r="BR1517" s="279"/>
      <c r="BS1517" s="279"/>
      <c r="BT1517" s="279"/>
      <c r="BU1517" s="279"/>
      <c r="BV1517" s="279"/>
      <c r="BW1517" s="279"/>
      <c r="BX1517" s="279"/>
      <c r="BY1517" s="279"/>
      <c r="BZ1517" s="279"/>
      <c r="CA1517" s="279"/>
      <c r="CB1517" s="279"/>
      <c r="CC1517" s="279"/>
      <c r="CD1517" s="279"/>
      <c r="CE1517" s="279"/>
      <c r="CF1517" s="279"/>
      <c r="CG1517" s="279"/>
      <c r="CH1517" s="279"/>
      <c r="CI1517" s="279"/>
      <c r="CJ1517" s="279"/>
      <c r="CK1517" s="279"/>
      <c r="CL1517" s="279"/>
      <c r="CM1517" s="279"/>
      <c r="CN1517" s="382"/>
    </row>
    <row r="1518" x14ac:dyDescent="0.3">
      <c r="B1518" s="361"/>
      <c r="C1518" s="279"/>
      <c r="D1518" s="280"/>
      <c r="E1518" s="287"/>
      <c r="F1518" s="287"/>
      <c r="G1518" s="287"/>
      <c r="H1518" s="1292">
        <f t="shared" si="76"/>
        <v>39</v>
      </c>
      <c r="I1518" s="1190" t="str">
        <f>'I. Stream &amp; Compound Data'!P300</f>
        <v/>
      </c>
      <c r="J1518" s="1295" t="str">
        <f>IF(I180="","",IF('I. Stream &amp; Compound Data'!CQ300&lt;&gt;"",'I. Stream &amp; Compound Data'!CQ300,'I. Stream &amp; Compound Data'!CR300))</f>
        <v/>
      </c>
      <c r="K1518" s="1312" t="str">
        <f t="shared" si="78"/>
        <v/>
      </c>
      <c r="L1518" s="301" t="str">
        <f>IF(K1518="","",IF('I. Stream &amp; Compound Data'!E70="H2O",0,(IF(J1518=0,1,J1518))*I1518))</f>
        <v/>
      </c>
      <c r="M1518" s="296"/>
      <c r="N1518" s="280"/>
      <c r="O1518" s="280"/>
      <c r="P1518" s="279"/>
      <c r="Q1518" s="297"/>
      <c r="R1518" s="298"/>
      <c r="S1518" s="298"/>
      <c r="T1518" s="299"/>
      <c r="U1518" s="279"/>
      <c r="V1518" s="279"/>
      <c r="W1518" s="279"/>
      <c r="X1518" s="279"/>
      <c r="Y1518" s="279"/>
      <c r="Z1518" s="279"/>
      <c r="AA1518" s="279"/>
      <c r="AB1518" s="279"/>
      <c r="AC1518" s="279"/>
      <c r="AD1518" s="279"/>
      <c r="AE1518" s="279"/>
      <c r="AF1518" s="279"/>
      <c r="AG1518" s="279"/>
      <c r="AH1518" s="279"/>
      <c r="AI1518" s="279"/>
      <c r="AJ1518" s="279"/>
      <c r="AK1518" s="279"/>
      <c r="AL1518" s="279"/>
      <c r="AM1518" s="279"/>
      <c r="AN1518" s="279"/>
      <c r="AO1518" s="279"/>
      <c r="AP1518" s="279"/>
      <c r="AQ1518" s="279"/>
      <c r="AR1518" s="279"/>
      <c r="AS1518" s="279"/>
      <c r="AT1518" s="279"/>
      <c r="AU1518" s="279"/>
      <c r="AV1518" s="279"/>
      <c r="AW1518" s="279"/>
      <c r="AX1518" s="279"/>
      <c r="AY1518" s="279"/>
      <c r="AZ1518" s="279"/>
      <c r="BA1518" s="279"/>
      <c r="BB1518" s="279"/>
      <c r="BC1518" s="279"/>
      <c r="BD1518" s="279"/>
      <c r="BE1518" s="279"/>
      <c r="BF1518" s="279"/>
      <c r="BG1518" s="279"/>
      <c r="BH1518" s="279"/>
      <c r="BI1518" s="279"/>
      <c r="BJ1518" s="279"/>
      <c r="BK1518" s="279"/>
      <c r="BL1518" s="279"/>
      <c r="BM1518" s="279"/>
      <c r="BN1518" s="279"/>
      <c r="BO1518" s="279"/>
      <c r="BP1518" s="279"/>
      <c r="BQ1518" s="279"/>
      <c r="BR1518" s="279"/>
      <c r="BS1518" s="279"/>
      <c r="BT1518" s="279"/>
      <c r="BU1518" s="279"/>
      <c r="BV1518" s="279"/>
      <c r="BW1518" s="279"/>
      <c r="BX1518" s="279"/>
      <c r="BY1518" s="279"/>
      <c r="BZ1518" s="279"/>
      <c r="CA1518" s="279"/>
      <c r="CB1518" s="279"/>
      <c r="CC1518" s="279"/>
      <c r="CD1518" s="279"/>
      <c r="CE1518" s="279"/>
      <c r="CF1518" s="279"/>
      <c r="CG1518" s="279"/>
      <c r="CH1518" s="279"/>
      <c r="CI1518" s="279"/>
      <c r="CJ1518" s="279"/>
      <c r="CK1518" s="279"/>
      <c r="CL1518" s="279"/>
      <c r="CM1518" s="279"/>
      <c r="CN1518" s="382"/>
    </row>
    <row r="1519" x14ac:dyDescent="0.3">
      <c r="B1519" s="361"/>
      <c r="C1519" s="279"/>
      <c r="D1519" s="280"/>
      <c r="E1519" s="287"/>
      <c r="F1519" s="287"/>
      <c r="G1519" s="287"/>
      <c r="H1519" s="1292">
        <f t="shared" si="76"/>
        <v>40</v>
      </c>
      <c r="I1519" s="1190" t="str">
        <f>'I. Stream &amp; Compound Data'!P301</f>
        <v/>
      </c>
      <c r="J1519" s="1295" t="str">
        <f>IF(I181="","",IF('I. Stream &amp; Compound Data'!CQ301&lt;&gt;"",'I. Stream &amp; Compound Data'!CQ301,'I. Stream &amp; Compound Data'!CR301))</f>
        <v/>
      </c>
      <c r="K1519" s="1312" t="str">
        <f t="shared" si="78"/>
        <v/>
      </c>
      <c r="L1519" s="301" t="str">
        <f>IF(K1519="","",IF('I. Stream &amp; Compound Data'!E71="H2O",0,(IF(J1519=0,1,J1519))*I1519))</f>
        <v/>
      </c>
      <c r="M1519" s="296"/>
      <c r="N1519" s="280"/>
      <c r="O1519" s="280"/>
      <c r="P1519" s="279"/>
      <c r="Q1519" s="297"/>
      <c r="R1519" s="298"/>
      <c r="S1519" s="298"/>
      <c r="T1519" s="299"/>
      <c r="U1519" s="279"/>
      <c r="V1519" s="279"/>
      <c r="W1519" s="279"/>
      <c r="X1519" s="279"/>
      <c r="Y1519" s="279"/>
      <c r="Z1519" s="279"/>
      <c r="AA1519" s="279"/>
      <c r="AB1519" s="279"/>
      <c r="AC1519" s="279"/>
      <c r="AD1519" s="279"/>
      <c r="AE1519" s="279"/>
      <c r="AF1519" s="279"/>
      <c r="AG1519" s="279"/>
      <c r="AH1519" s="279"/>
      <c r="AI1519" s="279"/>
      <c r="AJ1519" s="279"/>
      <c r="AK1519" s="279"/>
      <c r="AL1519" s="279"/>
      <c r="AM1519" s="279"/>
      <c r="AN1519" s="279"/>
      <c r="AO1519" s="279"/>
      <c r="AP1519" s="279"/>
      <c r="AQ1519" s="279"/>
      <c r="AR1519" s="279"/>
      <c r="AS1519" s="279"/>
      <c r="AT1519" s="279"/>
      <c r="AU1519" s="279"/>
      <c r="AV1519" s="279"/>
      <c r="AW1519" s="279"/>
      <c r="AX1519" s="279"/>
      <c r="AY1519" s="279"/>
      <c r="AZ1519" s="279"/>
      <c r="BA1519" s="279"/>
      <c r="BB1519" s="279"/>
      <c r="BC1519" s="279"/>
      <c r="BD1519" s="279"/>
      <c r="BE1519" s="279"/>
      <c r="BF1519" s="279"/>
      <c r="BG1519" s="279"/>
      <c r="BH1519" s="279"/>
      <c r="BI1519" s="279"/>
      <c r="BJ1519" s="279"/>
      <c r="BK1519" s="279"/>
      <c r="BL1519" s="279"/>
      <c r="BM1519" s="279"/>
      <c r="BN1519" s="279"/>
      <c r="BO1519" s="279"/>
      <c r="BP1519" s="279"/>
      <c r="BQ1519" s="279"/>
      <c r="BR1519" s="279"/>
      <c r="BS1519" s="279"/>
      <c r="BT1519" s="279"/>
      <c r="BU1519" s="279"/>
      <c r="BV1519" s="279"/>
      <c r="BW1519" s="279"/>
      <c r="BX1519" s="279"/>
      <c r="BY1519" s="279"/>
      <c r="BZ1519" s="279"/>
      <c r="CA1519" s="279"/>
      <c r="CB1519" s="279"/>
      <c r="CC1519" s="279"/>
      <c r="CD1519" s="279"/>
      <c r="CE1519" s="279"/>
      <c r="CF1519" s="279"/>
      <c r="CG1519" s="279"/>
      <c r="CH1519" s="279"/>
      <c r="CI1519" s="279"/>
      <c r="CJ1519" s="279"/>
      <c r="CK1519" s="279"/>
      <c r="CL1519" s="279"/>
      <c r="CM1519" s="279"/>
      <c r="CN1519" s="382"/>
    </row>
    <row r="1520" x14ac:dyDescent="0.3">
      <c r="B1520" s="361"/>
      <c r="C1520" s="279"/>
      <c r="D1520" s="280"/>
      <c r="E1520" s="287"/>
      <c r="F1520" s="287"/>
      <c r="G1520" s="287"/>
      <c r="H1520" s="1292">
        <f t="shared" si="76"/>
        <v>41</v>
      </c>
      <c r="I1520" s="1190" t="str">
        <f>'I. Stream &amp; Compound Data'!P302</f>
        <v/>
      </c>
      <c r="J1520" s="1295" t="str">
        <f>IF(I182="","",IF('I. Stream &amp; Compound Data'!CQ302&lt;&gt;"",'I. Stream &amp; Compound Data'!CQ302,'I. Stream &amp; Compound Data'!CR302))</f>
        <v/>
      </c>
      <c r="K1520" s="1312" t="str">
        <f t="shared" si="78"/>
        <v/>
      </c>
      <c r="L1520" s="301" t="str">
        <f>IF(K1520="","",IF('I. Stream &amp; Compound Data'!E72="H2O",0,(IF(J1520=0,1,J1520))*I1520))</f>
        <v/>
      </c>
      <c r="M1520" s="296"/>
      <c r="N1520" s="280"/>
      <c r="O1520" s="280"/>
      <c r="P1520" s="279"/>
      <c r="Q1520" s="297"/>
      <c r="R1520" s="298"/>
      <c r="S1520" s="298"/>
      <c r="T1520" s="299"/>
      <c r="U1520" s="279"/>
      <c r="V1520" s="279"/>
      <c r="W1520" s="279"/>
      <c r="X1520" s="279"/>
      <c r="Y1520" s="279"/>
      <c r="Z1520" s="279"/>
      <c r="AA1520" s="279"/>
      <c r="AB1520" s="279"/>
      <c r="AC1520" s="279"/>
      <c r="AD1520" s="279"/>
      <c r="AE1520" s="279"/>
      <c r="AF1520" s="279"/>
      <c r="AG1520" s="279"/>
      <c r="AH1520" s="279"/>
      <c r="AI1520" s="279"/>
      <c r="AJ1520" s="279"/>
      <c r="AK1520" s="279"/>
      <c r="AL1520" s="279"/>
      <c r="AM1520" s="279"/>
      <c r="AN1520" s="279"/>
      <c r="AO1520" s="279"/>
      <c r="AP1520" s="279"/>
      <c r="AQ1520" s="279"/>
      <c r="AR1520" s="279"/>
      <c r="AS1520" s="279"/>
      <c r="AT1520" s="279"/>
      <c r="AU1520" s="279"/>
      <c r="AV1520" s="279"/>
      <c r="AW1520" s="279"/>
      <c r="AX1520" s="279"/>
      <c r="AY1520" s="279"/>
      <c r="AZ1520" s="279"/>
      <c r="BA1520" s="279"/>
      <c r="BB1520" s="279"/>
      <c r="BC1520" s="279"/>
      <c r="BD1520" s="279"/>
      <c r="BE1520" s="279"/>
      <c r="BF1520" s="279"/>
      <c r="BG1520" s="279"/>
      <c r="BH1520" s="279"/>
      <c r="BI1520" s="279"/>
      <c r="BJ1520" s="279"/>
      <c r="BK1520" s="279"/>
      <c r="BL1520" s="279"/>
      <c r="BM1520" s="279"/>
      <c r="BN1520" s="279"/>
      <c r="BO1520" s="279"/>
      <c r="BP1520" s="279"/>
      <c r="BQ1520" s="279"/>
      <c r="BR1520" s="279"/>
      <c r="BS1520" s="279"/>
      <c r="BT1520" s="279"/>
      <c r="BU1520" s="279"/>
      <c r="BV1520" s="279"/>
      <c r="BW1520" s="279"/>
      <c r="BX1520" s="279"/>
      <c r="BY1520" s="279"/>
      <c r="BZ1520" s="279"/>
      <c r="CA1520" s="279"/>
      <c r="CB1520" s="279"/>
      <c r="CC1520" s="279"/>
      <c r="CD1520" s="279"/>
      <c r="CE1520" s="279"/>
      <c r="CF1520" s="279"/>
      <c r="CG1520" s="279"/>
      <c r="CH1520" s="279"/>
      <c r="CI1520" s="279"/>
      <c r="CJ1520" s="279"/>
      <c r="CK1520" s="279"/>
      <c r="CL1520" s="279"/>
      <c r="CM1520" s="279"/>
      <c r="CN1520" s="382"/>
    </row>
    <row r="1521" x14ac:dyDescent="0.3">
      <c r="B1521" s="361"/>
      <c r="C1521" s="279"/>
      <c r="D1521" s="280"/>
      <c r="E1521" s="287"/>
      <c r="F1521" s="287"/>
      <c r="G1521" s="287"/>
      <c r="H1521" s="1292">
        <f t="shared" si="76"/>
        <v>42</v>
      </c>
      <c r="I1521" s="1190" t="str">
        <f>'I. Stream &amp; Compound Data'!P303</f>
        <v/>
      </c>
      <c r="J1521" s="1295" t="str">
        <f>IF(I183="","",IF('I. Stream &amp; Compound Data'!CQ303&lt;&gt;"",'I. Stream &amp; Compound Data'!CQ303,'I. Stream &amp; Compound Data'!CR303))</f>
        <v/>
      </c>
      <c r="K1521" s="1312" t="str">
        <f t="shared" si="78"/>
        <v/>
      </c>
      <c r="L1521" s="301" t="str">
        <f>IF(K1521="","",IF('I. Stream &amp; Compound Data'!E73="H2O",0,(IF(J1521=0,1,J1521))*I1521))</f>
        <v/>
      </c>
      <c r="M1521" s="296"/>
      <c r="N1521" s="280"/>
      <c r="O1521" s="280"/>
      <c r="P1521" s="279"/>
      <c r="Q1521" s="297"/>
      <c r="R1521" s="298"/>
      <c r="S1521" s="298"/>
      <c r="T1521" s="299"/>
      <c r="U1521" s="279"/>
      <c r="V1521" s="279"/>
      <c r="W1521" s="279"/>
      <c r="X1521" s="279"/>
      <c r="Y1521" s="279"/>
      <c r="Z1521" s="279"/>
      <c r="AA1521" s="279"/>
      <c r="AB1521" s="279"/>
      <c r="AC1521" s="279"/>
      <c r="AD1521" s="279"/>
      <c r="AE1521" s="279"/>
      <c r="AF1521" s="279"/>
      <c r="AG1521" s="279"/>
      <c r="AH1521" s="279"/>
      <c r="AI1521" s="279"/>
      <c r="AJ1521" s="279"/>
      <c r="AK1521" s="279"/>
      <c r="AL1521" s="279"/>
      <c r="AM1521" s="279"/>
      <c r="AN1521" s="279"/>
      <c r="AO1521" s="279"/>
      <c r="AP1521" s="279"/>
      <c r="AQ1521" s="279"/>
      <c r="AR1521" s="279"/>
      <c r="AS1521" s="279"/>
      <c r="AT1521" s="279"/>
      <c r="AU1521" s="279"/>
      <c r="AV1521" s="279"/>
      <c r="AW1521" s="279"/>
      <c r="AX1521" s="279"/>
      <c r="AY1521" s="279"/>
      <c r="AZ1521" s="279"/>
      <c r="BA1521" s="279"/>
      <c r="BB1521" s="279"/>
      <c r="BC1521" s="279"/>
      <c r="BD1521" s="279"/>
      <c r="BE1521" s="279"/>
      <c r="BF1521" s="279"/>
      <c r="BG1521" s="279"/>
      <c r="BH1521" s="279"/>
      <c r="BI1521" s="279"/>
      <c r="BJ1521" s="279"/>
      <c r="BK1521" s="279"/>
      <c r="BL1521" s="279"/>
      <c r="BM1521" s="279"/>
      <c r="BN1521" s="279"/>
      <c r="BO1521" s="279"/>
      <c r="BP1521" s="279"/>
      <c r="BQ1521" s="279"/>
      <c r="BR1521" s="279"/>
      <c r="BS1521" s="279"/>
      <c r="BT1521" s="279"/>
      <c r="BU1521" s="279"/>
      <c r="BV1521" s="279"/>
      <c r="BW1521" s="279"/>
      <c r="BX1521" s="279"/>
      <c r="BY1521" s="279"/>
      <c r="BZ1521" s="279"/>
      <c r="CA1521" s="279"/>
      <c r="CB1521" s="279"/>
      <c r="CC1521" s="279"/>
      <c r="CD1521" s="279"/>
      <c r="CE1521" s="279"/>
      <c r="CF1521" s="279"/>
      <c r="CG1521" s="279"/>
      <c r="CH1521" s="279"/>
      <c r="CI1521" s="279"/>
      <c r="CJ1521" s="279"/>
      <c r="CK1521" s="279"/>
      <c r="CL1521" s="279"/>
      <c r="CM1521" s="279"/>
      <c r="CN1521" s="382"/>
    </row>
    <row r="1522" x14ac:dyDescent="0.3">
      <c r="B1522" s="361"/>
      <c r="C1522" s="279"/>
      <c r="D1522" s="280"/>
      <c r="E1522" s="287"/>
      <c r="F1522" s="287"/>
      <c r="G1522" s="287"/>
      <c r="H1522" s="1292">
        <f t="shared" si="76"/>
        <v>43</v>
      </c>
      <c r="I1522" s="1190" t="str">
        <f>'I. Stream &amp; Compound Data'!P304</f>
        <v/>
      </c>
      <c r="J1522" s="1295" t="str">
        <f>IF(I184="","",IF('I. Stream &amp; Compound Data'!CQ304&lt;&gt;"",'I. Stream &amp; Compound Data'!CQ304,'I. Stream &amp; Compound Data'!CR304))</f>
        <v/>
      </c>
      <c r="K1522" s="1312" t="str">
        <f t="shared" si="78"/>
        <v/>
      </c>
      <c r="L1522" s="301" t="str">
        <f>IF(K1522="","",IF('I. Stream &amp; Compound Data'!E74="H2O",0,(IF(J1522=0,1,J1522))*I1522))</f>
        <v/>
      </c>
      <c r="M1522" s="296"/>
      <c r="N1522" s="280"/>
      <c r="O1522" s="280"/>
      <c r="P1522" s="279"/>
      <c r="Q1522" s="297"/>
      <c r="R1522" s="298"/>
      <c r="S1522" s="298"/>
      <c r="T1522" s="299"/>
      <c r="U1522" s="279"/>
      <c r="V1522" s="279"/>
      <c r="W1522" s="279"/>
      <c r="X1522" s="279"/>
      <c r="Y1522" s="279"/>
      <c r="Z1522" s="279"/>
      <c r="AA1522" s="279"/>
      <c r="AB1522" s="279"/>
      <c r="AC1522" s="279"/>
      <c r="AD1522" s="279"/>
      <c r="AE1522" s="279"/>
      <c r="AF1522" s="279"/>
      <c r="AG1522" s="279"/>
      <c r="AH1522" s="279"/>
      <c r="AI1522" s="279"/>
      <c r="AJ1522" s="279"/>
      <c r="AK1522" s="279"/>
      <c r="AL1522" s="279"/>
      <c r="AM1522" s="279"/>
      <c r="AN1522" s="279"/>
      <c r="AO1522" s="279"/>
      <c r="AP1522" s="279"/>
      <c r="AQ1522" s="279"/>
      <c r="AR1522" s="279"/>
      <c r="AS1522" s="279"/>
      <c r="AT1522" s="279"/>
      <c r="AU1522" s="279"/>
      <c r="AV1522" s="279"/>
      <c r="AW1522" s="279"/>
      <c r="AX1522" s="279"/>
      <c r="AY1522" s="279"/>
      <c r="AZ1522" s="279"/>
      <c r="BA1522" s="279"/>
      <c r="BB1522" s="279"/>
      <c r="BC1522" s="279"/>
      <c r="BD1522" s="279"/>
      <c r="BE1522" s="279"/>
      <c r="BF1522" s="279"/>
      <c r="BG1522" s="279"/>
      <c r="BH1522" s="279"/>
      <c r="BI1522" s="279"/>
      <c r="BJ1522" s="279"/>
      <c r="BK1522" s="279"/>
      <c r="BL1522" s="279"/>
      <c r="BM1522" s="279"/>
      <c r="BN1522" s="279"/>
      <c r="BO1522" s="279"/>
      <c r="BP1522" s="279"/>
      <c r="BQ1522" s="279"/>
      <c r="BR1522" s="279"/>
      <c r="BS1522" s="279"/>
      <c r="BT1522" s="279"/>
      <c r="BU1522" s="279"/>
      <c r="BV1522" s="279"/>
      <c r="BW1522" s="279"/>
      <c r="BX1522" s="279"/>
      <c r="BY1522" s="279"/>
      <c r="BZ1522" s="279"/>
      <c r="CA1522" s="279"/>
      <c r="CB1522" s="279"/>
      <c r="CC1522" s="279"/>
      <c r="CD1522" s="279"/>
      <c r="CE1522" s="279"/>
      <c r="CF1522" s="279"/>
      <c r="CG1522" s="279"/>
      <c r="CH1522" s="279"/>
      <c r="CI1522" s="279"/>
      <c r="CJ1522" s="279"/>
      <c r="CK1522" s="279"/>
      <c r="CL1522" s="279"/>
      <c r="CM1522" s="279"/>
      <c r="CN1522" s="382"/>
    </row>
    <row r="1523" x14ac:dyDescent="0.3">
      <c r="B1523" s="361"/>
      <c r="C1523" s="279"/>
      <c r="D1523" s="280"/>
      <c r="E1523" s="287"/>
      <c r="F1523" s="287"/>
      <c r="G1523" s="287"/>
      <c r="H1523" s="1292">
        <f t="shared" si="76"/>
        <v>44</v>
      </c>
      <c r="I1523" s="1190" t="str">
        <f>'I. Stream &amp; Compound Data'!P305</f>
        <v/>
      </c>
      <c r="J1523" s="1295" t="str">
        <f>IF(I185="","",IF('I. Stream &amp; Compound Data'!CQ305&lt;&gt;"",'I. Stream &amp; Compound Data'!CQ305,'I. Stream &amp; Compound Data'!CR305))</f>
        <v/>
      </c>
      <c r="K1523" s="1312" t="str">
        <f t="shared" si="78"/>
        <v/>
      </c>
      <c r="L1523" s="301" t="str">
        <f>IF(K1523="","",IF('I. Stream &amp; Compound Data'!E75="H2O",0,(IF(J1523=0,1,J1523))*I1523))</f>
        <v/>
      </c>
      <c r="M1523" s="296"/>
      <c r="N1523" s="280"/>
      <c r="O1523" s="280"/>
      <c r="P1523" s="279"/>
      <c r="Q1523" s="297"/>
      <c r="R1523" s="298"/>
      <c r="S1523" s="298"/>
      <c r="T1523" s="299"/>
      <c r="U1523" s="279"/>
      <c r="V1523" s="279"/>
      <c r="W1523" s="279"/>
      <c r="X1523" s="279"/>
      <c r="Y1523" s="279"/>
      <c r="Z1523" s="279"/>
      <c r="AA1523" s="279"/>
      <c r="AB1523" s="279"/>
      <c r="AC1523" s="279"/>
      <c r="AD1523" s="279"/>
      <c r="AE1523" s="279"/>
      <c r="AF1523" s="279"/>
      <c r="AG1523" s="279"/>
      <c r="AH1523" s="279"/>
      <c r="AI1523" s="279"/>
      <c r="AJ1523" s="279"/>
      <c r="AK1523" s="279"/>
      <c r="AL1523" s="279"/>
      <c r="AM1523" s="279"/>
      <c r="AN1523" s="279"/>
      <c r="AO1523" s="279"/>
      <c r="AP1523" s="279"/>
      <c r="AQ1523" s="279"/>
      <c r="AR1523" s="279"/>
      <c r="AS1523" s="279"/>
      <c r="AT1523" s="279"/>
      <c r="AU1523" s="279"/>
      <c r="AV1523" s="279"/>
      <c r="AW1523" s="279"/>
      <c r="AX1523" s="279"/>
      <c r="AY1523" s="279"/>
      <c r="AZ1523" s="279"/>
      <c r="BA1523" s="279"/>
      <c r="BB1523" s="279"/>
      <c r="BC1523" s="279"/>
      <c r="BD1523" s="279"/>
      <c r="BE1523" s="279"/>
      <c r="BF1523" s="279"/>
      <c r="BG1523" s="279"/>
      <c r="BH1523" s="279"/>
      <c r="BI1523" s="279"/>
      <c r="BJ1523" s="279"/>
      <c r="BK1523" s="279"/>
      <c r="BL1523" s="279"/>
      <c r="BM1523" s="279"/>
      <c r="BN1523" s="279"/>
      <c r="BO1523" s="279"/>
      <c r="BP1523" s="279"/>
      <c r="BQ1523" s="279"/>
      <c r="BR1523" s="279"/>
      <c r="BS1523" s="279"/>
      <c r="BT1523" s="279"/>
      <c r="BU1523" s="279"/>
      <c r="BV1523" s="279"/>
      <c r="BW1523" s="279"/>
      <c r="BX1523" s="279"/>
      <c r="BY1523" s="279"/>
      <c r="BZ1523" s="279"/>
      <c r="CA1523" s="279"/>
      <c r="CB1523" s="279"/>
      <c r="CC1523" s="279"/>
      <c r="CD1523" s="279"/>
      <c r="CE1523" s="279"/>
      <c r="CF1523" s="279"/>
      <c r="CG1523" s="279"/>
      <c r="CH1523" s="279"/>
      <c r="CI1523" s="279"/>
      <c r="CJ1523" s="279"/>
      <c r="CK1523" s="279"/>
      <c r="CL1523" s="279"/>
      <c r="CM1523" s="279"/>
      <c r="CN1523" s="382"/>
    </row>
    <row r="1524" x14ac:dyDescent="0.3">
      <c r="B1524" s="361"/>
      <c r="C1524" s="279"/>
      <c r="D1524" s="280"/>
      <c r="E1524" s="287"/>
      <c r="F1524" s="287"/>
      <c r="G1524" s="287"/>
      <c r="H1524" s="1292">
        <f t="shared" si="76"/>
        <v>45</v>
      </c>
      <c r="I1524" s="1190" t="str">
        <f>'I. Stream &amp; Compound Data'!P306</f>
        <v/>
      </c>
      <c r="J1524" s="1295" t="str">
        <f>IF(I186="","",IF('I. Stream &amp; Compound Data'!CQ306&lt;&gt;"",'I. Stream &amp; Compound Data'!CQ306,'I. Stream &amp; Compound Data'!CR306))</f>
        <v/>
      </c>
      <c r="K1524" s="1312" t="str">
        <f t="shared" si="78"/>
        <v/>
      </c>
      <c r="L1524" s="301" t="str">
        <f>IF(K1524="","",IF('I. Stream &amp; Compound Data'!E76="H2O",0,(IF(J1524=0,1,J1524))*I1524))</f>
        <v/>
      </c>
      <c r="M1524" s="296"/>
      <c r="N1524" s="280"/>
      <c r="O1524" s="280"/>
      <c r="P1524" s="279"/>
      <c r="Q1524" s="297"/>
      <c r="R1524" s="298"/>
      <c r="S1524" s="298"/>
      <c r="T1524" s="299"/>
      <c r="U1524" s="279"/>
      <c r="V1524" s="279"/>
      <c r="W1524" s="279"/>
      <c r="X1524" s="279"/>
      <c r="Y1524" s="279"/>
      <c r="Z1524" s="279"/>
      <c r="AA1524" s="279"/>
      <c r="AB1524" s="279"/>
      <c r="AC1524" s="279"/>
      <c r="AD1524" s="279"/>
      <c r="AE1524" s="279"/>
      <c r="AF1524" s="279"/>
      <c r="AG1524" s="279"/>
      <c r="AH1524" s="279"/>
      <c r="AI1524" s="279"/>
      <c r="AJ1524" s="279"/>
      <c r="AK1524" s="279"/>
      <c r="AL1524" s="279"/>
      <c r="AM1524" s="279"/>
      <c r="AN1524" s="279"/>
      <c r="AO1524" s="279"/>
      <c r="AP1524" s="279"/>
      <c r="AQ1524" s="279"/>
      <c r="AR1524" s="279"/>
      <c r="AS1524" s="279"/>
      <c r="AT1524" s="279"/>
      <c r="AU1524" s="279"/>
      <c r="AV1524" s="279"/>
      <c r="AW1524" s="279"/>
      <c r="AX1524" s="279"/>
      <c r="AY1524" s="279"/>
      <c r="AZ1524" s="279"/>
      <c r="BA1524" s="279"/>
      <c r="BB1524" s="279"/>
      <c r="BC1524" s="279"/>
      <c r="BD1524" s="279"/>
      <c r="BE1524" s="279"/>
      <c r="BF1524" s="279"/>
      <c r="BG1524" s="279"/>
      <c r="BH1524" s="279"/>
      <c r="BI1524" s="279"/>
      <c r="BJ1524" s="279"/>
      <c r="BK1524" s="279"/>
      <c r="BL1524" s="279"/>
      <c r="BM1524" s="279"/>
      <c r="BN1524" s="279"/>
      <c r="BO1524" s="279"/>
      <c r="BP1524" s="279"/>
      <c r="BQ1524" s="279"/>
      <c r="BR1524" s="279"/>
      <c r="BS1524" s="279"/>
      <c r="BT1524" s="279"/>
      <c r="BU1524" s="279"/>
      <c r="BV1524" s="279"/>
      <c r="BW1524" s="279"/>
      <c r="BX1524" s="279"/>
      <c r="BY1524" s="279"/>
      <c r="BZ1524" s="279"/>
      <c r="CA1524" s="279"/>
      <c r="CB1524" s="279"/>
      <c r="CC1524" s="279"/>
      <c r="CD1524" s="279"/>
      <c r="CE1524" s="279"/>
      <c r="CF1524" s="279"/>
      <c r="CG1524" s="279"/>
      <c r="CH1524" s="279"/>
      <c r="CI1524" s="279"/>
      <c r="CJ1524" s="279"/>
      <c r="CK1524" s="279"/>
      <c r="CL1524" s="279"/>
      <c r="CM1524" s="279"/>
      <c r="CN1524" s="382"/>
    </row>
    <row r="1525" x14ac:dyDescent="0.3">
      <c r="B1525" s="361"/>
      <c r="C1525" s="279"/>
      <c r="D1525" s="280"/>
      <c r="E1525" s="287"/>
      <c r="F1525" s="287"/>
      <c r="G1525" s="287"/>
      <c r="H1525" s="1292">
        <f t="shared" si="76"/>
        <v>46</v>
      </c>
      <c r="I1525" s="1190" t="str">
        <f>'I. Stream &amp; Compound Data'!P307</f>
        <v/>
      </c>
      <c r="J1525" s="1295" t="str">
        <f>IF(I187="","",IF('I. Stream &amp; Compound Data'!CQ307&lt;&gt;"",'I. Stream &amp; Compound Data'!CQ307,'I. Stream &amp; Compound Data'!CR307))</f>
        <v/>
      </c>
      <c r="K1525" s="1312" t="str">
        <f t="shared" si="78"/>
        <v/>
      </c>
      <c r="L1525" s="301" t="str">
        <f>IF(K1525="","",IF('I. Stream &amp; Compound Data'!E77="H2O",0,(IF(J1525=0,1,J1525))*I1525))</f>
        <v/>
      </c>
      <c r="M1525" s="296"/>
      <c r="N1525" s="280"/>
      <c r="O1525" s="280"/>
      <c r="P1525" s="279"/>
      <c r="Q1525" s="297"/>
      <c r="R1525" s="298"/>
      <c r="S1525" s="298"/>
      <c r="T1525" s="299"/>
      <c r="U1525" s="279"/>
      <c r="V1525" s="279"/>
      <c r="W1525" s="279"/>
      <c r="X1525" s="279"/>
      <c r="Y1525" s="279"/>
      <c r="Z1525" s="279"/>
      <c r="AA1525" s="279"/>
      <c r="AB1525" s="279"/>
      <c r="AC1525" s="279"/>
      <c r="AD1525" s="279"/>
      <c r="AE1525" s="279"/>
      <c r="AF1525" s="279"/>
      <c r="AG1525" s="279"/>
      <c r="AH1525" s="279"/>
      <c r="AI1525" s="279"/>
      <c r="AJ1525" s="279"/>
      <c r="AK1525" s="279"/>
      <c r="AL1525" s="279"/>
      <c r="AM1525" s="279"/>
      <c r="AN1525" s="279"/>
      <c r="AO1525" s="279"/>
      <c r="AP1525" s="279"/>
      <c r="AQ1525" s="279"/>
      <c r="AR1525" s="279"/>
      <c r="AS1525" s="279"/>
      <c r="AT1525" s="279"/>
      <c r="AU1525" s="279"/>
      <c r="AV1525" s="279"/>
      <c r="AW1525" s="279"/>
      <c r="AX1525" s="279"/>
      <c r="AY1525" s="279"/>
      <c r="AZ1525" s="279"/>
      <c r="BA1525" s="279"/>
      <c r="BB1525" s="279"/>
      <c r="BC1525" s="279"/>
      <c r="BD1525" s="279"/>
      <c r="BE1525" s="279"/>
      <c r="BF1525" s="279"/>
      <c r="BG1525" s="279"/>
      <c r="BH1525" s="279"/>
      <c r="BI1525" s="279"/>
      <c r="BJ1525" s="279"/>
      <c r="BK1525" s="279"/>
      <c r="BL1525" s="279"/>
      <c r="BM1525" s="279"/>
      <c r="BN1525" s="279"/>
      <c r="BO1525" s="279"/>
      <c r="BP1525" s="279"/>
      <c r="BQ1525" s="279"/>
      <c r="BR1525" s="279"/>
      <c r="BS1525" s="279"/>
      <c r="BT1525" s="279"/>
      <c r="BU1525" s="279"/>
      <c r="BV1525" s="279"/>
      <c r="BW1525" s="279"/>
      <c r="BX1525" s="279"/>
      <c r="BY1525" s="279"/>
      <c r="BZ1525" s="279"/>
      <c r="CA1525" s="279"/>
      <c r="CB1525" s="279"/>
      <c r="CC1525" s="279"/>
      <c r="CD1525" s="279"/>
      <c r="CE1525" s="279"/>
      <c r="CF1525" s="279"/>
      <c r="CG1525" s="279"/>
      <c r="CH1525" s="279"/>
      <c r="CI1525" s="279"/>
      <c r="CJ1525" s="279"/>
      <c r="CK1525" s="279"/>
      <c r="CL1525" s="279"/>
      <c r="CM1525" s="279"/>
      <c r="CN1525" s="382"/>
    </row>
    <row r="1526" x14ac:dyDescent="0.3">
      <c r="B1526" s="361"/>
      <c r="C1526" s="279"/>
      <c r="D1526" s="280"/>
      <c r="E1526" s="287"/>
      <c r="F1526" s="287"/>
      <c r="G1526" s="287"/>
      <c r="H1526" s="1292">
        <f t="shared" si="76"/>
        <v>47</v>
      </c>
      <c r="I1526" s="1190" t="str">
        <f>'I. Stream &amp; Compound Data'!P308</f>
        <v/>
      </c>
      <c r="J1526" s="1295" t="str">
        <f>IF(I188="","",IF('I. Stream &amp; Compound Data'!CQ308&lt;&gt;"",'I. Stream &amp; Compound Data'!CQ308,'I. Stream &amp; Compound Data'!CR308))</f>
        <v/>
      </c>
      <c r="K1526" s="1312" t="str">
        <f t="shared" si="78"/>
        <v/>
      </c>
      <c r="L1526" s="301" t="str">
        <f>IF(K1526="","",IF('I. Stream &amp; Compound Data'!E78="H2O",0,(IF(J1526=0,1,J1526))*I1526))</f>
        <v/>
      </c>
      <c r="M1526" s="296"/>
      <c r="N1526" s="280"/>
      <c r="O1526" s="280"/>
      <c r="P1526" s="279"/>
      <c r="Q1526" s="297"/>
      <c r="R1526" s="298"/>
      <c r="S1526" s="298"/>
      <c r="T1526" s="299"/>
      <c r="U1526" s="279"/>
      <c r="V1526" s="279"/>
      <c r="W1526" s="279"/>
      <c r="X1526" s="279"/>
      <c r="Y1526" s="279"/>
      <c r="Z1526" s="279"/>
      <c r="AA1526" s="279"/>
      <c r="AB1526" s="279"/>
      <c r="AC1526" s="279"/>
      <c r="AD1526" s="279"/>
      <c r="AE1526" s="279"/>
      <c r="AF1526" s="279"/>
      <c r="AG1526" s="279"/>
      <c r="AH1526" s="279"/>
      <c r="AI1526" s="279"/>
      <c r="AJ1526" s="279"/>
      <c r="AK1526" s="279"/>
      <c r="AL1526" s="279"/>
      <c r="AM1526" s="279"/>
      <c r="AN1526" s="279"/>
      <c r="AO1526" s="279"/>
      <c r="AP1526" s="279"/>
      <c r="AQ1526" s="279"/>
      <c r="AR1526" s="279"/>
      <c r="AS1526" s="279"/>
      <c r="AT1526" s="279"/>
      <c r="AU1526" s="279"/>
      <c r="AV1526" s="279"/>
      <c r="AW1526" s="279"/>
      <c r="AX1526" s="279"/>
      <c r="AY1526" s="279"/>
      <c r="AZ1526" s="279"/>
      <c r="BA1526" s="279"/>
      <c r="BB1526" s="279"/>
      <c r="BC1526" s="279"/>
      <c r="BD1526" s="279"/>
      <c r="BE1526" s="279"/>
      <c r="BF1526" s="279"/>
      <c r="BG1526" s="279"/>
      <c r="BH1526" s="279"/>
      <c r="BI1526" s="279"/>
      <c r="BJ1526" s="279"/>
      <c r="BK1526" s="279"/>
      <c r="BL1526" s="279"/>
      <c r="BM1526" s="279"/>
      <c r="BN1526" s="279"/>
      <c r="BO1526" s="279"/>
      <c r="BP1526" s="279"/>
      <c r="BQ1526" s="279"/>
      <c r="BR1526" s="279"/>
      <c r="BS1526" s="279"/>
      <c r="BT1526" s="279"/>
      <c r="BU1526" s="279"/>
      <c r="BV1526" s="279"/>
      <c r="BW1526" s="279"/>
      <c r="BX1526" s="279"/>
      <c r="BY1526" s="279"/>
      <c r="BZ1526" s="279"/>
      <c r="CA1526" s="279"/>
      <c r="CB1526" s="279"/>
      <c r="CC1526" s="279"/>
      <c r="CD1526" s="279"/>
      <c r="CE1526" s="279"/>
      <c r="CF1526" s="279"/>
      <c r="CG1526" s="279"/>
      <c r="CH1526" s="279"/>
      <c r="CI1526" s="279"/>
      <c r="CJ1526" s="279"/>
      <c r="CK1526" s="279"/>
      <c r="CL1526" s="279"/>
      <c r="CM1526" s="279"/>
      <c r="CN1526" s="382"/>
    </row>
    <row r="1527" x14ac:dyDescent="0.3">
      <c r="B1527" s="361"/>
      <c r="C1527" s="279"/>
      <c r="D1527" s="280"/>
      <c r="E1527" s="287"/>
      <c r="F1527" s="287"/>
      <c r="G1527" s="287"/>
      <c r="H1527" s="1292">
        <f t="shared" si="76"/>
        <v>48</v>
      </c>
      <c r="I1527" s="1190" t="str">
        <f>'I. Stream &amp; Compound Data'!P309</f>
        <v/>
      </c>
      <c r="J1527" s="1295" t="str">
        <f>IF(I189="","",IF('I. Stream &amp; Compound Data'!CQ309&lt;&gt;"",'I. Stream &amp; Compound Data'!CQ309,'I. Stream &amp; Compound Data'!CR309))</f>
        <v/>
      </c>
      <c r="K1527" s="1312" t="str">
        <f t="shared" si="78"/>
        <v/>
      </c>
      <c r="L1527" s="301" t="str">
        <f>IF(K1527="","",IF('I. Stream &amp; Compound Data'!E79="H2O",0,(IF(J1527=0,1,J1527))*I1527))</f>
        <v/>
      </c>
      <c r="M1527" s="296"/>
      <c r="N1527" s="280"/>
      <c r="O1527" s="280"/>
      <c r="P1527" s="279"/>
      <c r="Q1527" s="297"/>
      <c r="R1527" s="298"/>
      <c r="S1527" s="298"/>
      <c r="T1527" s="299"/>
      <c r="U1527" s="279"/>
      <c r="V1527" s="279"/>
      <c r="W1527" s="279"/>
      <c r="X1527" s="279"/>
      <c r="Y1527" s="279"/>
      <c r="Z1527" s="279"/>
      <c r="AA1527" s="279"/>
      <c r="AB1527" s="279"/>
      <c r="AC1527" s="279"/>
      <c r="AD1527" s="279"/>
      <c r="AE1527" s="279"/>
      <c r="AF1527" s="279"/>
      <c r="AG1527" s="279"/>
      <c r="AH1527" s="279"/>
      <c r="AI1527" s="279"/>
      <c r="AJ1527" s="279"/>
      <c r="AK1527" s="279"/>
      <c r="AL1527" s="279"/>
      <c r="AM1527" s="279"/>
      <c r="AN1527" s="279"/>
      <c r="AO1527" s="279"/>
      <c r="AP1527" s="279"/>
      <c r="AQ1527" s="279"/>
      <c r="AR1527" s="279"/>
      <c r="AS1527" s="279"/>
      <c r="AT1527" s="279"/>
      <c r="AU1527" s="279"/>
      <c r="AV1527" s="279"/>
      <c r="AW1527" s="279"/>
      <c r="AX1527" s="279"/>
      <c r="AY1527" s="279"/>
      <c r="AZ1527" s="279"/>
      <c r="BA1527" s="279"/>
      <c r="BB1527" s="279"/>
      <c r="BC1527" s="279"/>
      <c r="BD1527" s="279"/>
      <c r="BE1527" s="279"/>
      <c r="BF1527" s="279"/>
      <c r="BG1527" s="279"/>
      <c r="BH1527" s="279"/>
      <c r="BI1527" s="279"/>
      <c r="BJ1527" s="279"/>
      <c r="BK1527" s="279"/>
      <c r="BL1527" s="279"/>
      <c r="BM1527" s="279"/>
      <c r="BN1527" s="279"/>
      <c r="BO1527" s="279"/>
      <c r="BP1527" s="279"/>
      <c r="BQ1527" s="279"/>
      <c r="BR1527" s="279"/>
      <c r="BS1527" s="279"/>
      <c r="BT1527" s="279"/>
      <c r="BU1527" s="279"/>
      <c r="BV1527" s="279"/>
      <c r="BW1527" s="279"/>
      <c r="BX1527" s="279"/>
      <c r="BY1527" s="279"/>
      <c r="BZ1527" s="279"/>
      <c r="CA1527" s="279"/>
      <c r="CB1527" s="279"/>
      <c r="CC1527" s="279"/>
      <c r="CD1527" s="279"/>
      <c r="CE1527" s="279"/>
      <c r="CF1527" s="279"/>
      <c r="CG1527" s="279"/>
      <c r="CH1527" s="279"/>
      <c r="CI1527" s="279"/>
      <c r="CJ1527" s="279"/>
      <c r="CK1527" s="279"/>
      <c r="CL1527" s="279"/>
      <c r="CM1527" s="279"/>
      <c r="CN1527" s="382"/>
    </row>
    <row r="1528" x14ac:dyDescent="0.3">
      <c r="B1528" s="361"/>
      <c r="C1528" s="279"/>
      <c r="D1528" s="280"/>
      <c r="E1528" s="287"/>
      <c r="F1528" s="287"/>
      <c r="G1528" s="287"/>
      <c r="H1528" s="1292">
        <f t="shared" si="76"/>
        <v>49</v>
      </c>
      <c r="I1528" s="1190" t="str">
        <f>'I. Stream &amp; Compound Data'!P310</f>
        <v/>
      </c>
      <c r="J1528" s="1295" t="str">
        <f>IF(I190="","",IF('I. Stream &amp; Compound Data'!CQ310&lt;&gt;"",'I. Stream &amp; Compound Data'!CQ310,'I. Stream &amp; Compound Data'!CR310))</f>
        <v/>
      </c>
      <c r="K1528" s="1312" t="str">
        <f t="shared" si="78"/>
        <v/>
      </c>
      <c r="L1528" s="301" t="str">
        <f>IF(K1528="","",IF('I. Stream &amp; Compound Data'!E80="H2O",0,(IF(J1528=0,1,J1528))*I1528))</f>
        <v/>
      </c>
      <c r="M1528" s="296"/>
      <c r="N1528" s="280"/>
      <c r="O1528" s="280"/>
      <c r="P1528" s="279"/>
      <c r="Q1528" s="297"/>
      <c r="R1528" s="298"/>
      <c r="S1528" s="298"/>
      <c r="T1528" s="299"/>
      <c r="U1528" s="279"/>
      <c r="V1528" s="279"/>
      <c r="W1528" s="279"/>
      <c r="X1528" s="279"/>
      <c r="Y1528" s="279"/>
      <c r="Z1528" s="279"/>
      <c r="AA1528" s="279"/>
      <c r="AB1528" s="279"/>
      <c r="AC1528" s="279"/>
      <c r="AD1528" s="279"/>
      <c r="AE1528" s="279"/>
      <c r="AF1528" s="279"/>
      <c r="AG1528" s="279"/>
      <c r="AH1528" s="279"/>
      <c r="AI1528" s="279"/>
      <c r="AJ1528" s="279"/>
      <c r="AK1528" s="279"/>
      <c r="AL1528" s="279"/>
      <c r="AM1528" s="279"/>
      <c r="AN1528" s="279"/>
      <c r="AO1528" s="279"/>
      <c r="AP1528" s="279"/>
      <c r="AQ1528" s="279"/>
      <c r="AR1528" s="279"/>
      <c r="AS1528" s="279"/>
      <c r="AT1528" s="279"/>
      <c r="AU1528" s="279"/>
      <c r="AV1528" s="279"/>
      <c r="AW1528" s="279"/>
      <c r="AX1528" s="279"/>
      <c r="AY1528" s="279"/>
      <c r="AZ1528" s="279"/>
      <c r="BA1528" s="279"/>
      <c r="BB1528" s="279"/>
      <c r="BC1528" s="279"/>
      <c r="BD1528" s="279"/>
      <c r="BE1528" s="279"/>
      <c r="BF1528" s="279"/>
      <c r="BG1528" s="279"/>
      <c r="BH1528" s="279"/>
      <c r="BI1528" s="279"/>
      <c r="BJ1528" s="279"/>
      <c r="BK1528" s="279"/>
      <c r="BL1528" s="279"/>
      <c r="BM1528" s="279"/>
      <c r="BN1528" s="279"/>
      <c r="BO1528" s="279"/>
      <c r="BP1528" s="279"/>
      <c r="BQ1528" s="279"/>
      <c r="BR1528" s="279"/>
      <c r="BS1528" s="279"/>
      <c r="BT1528" s="279"/>
      <c r="BU1528" s="279"/>
      <c r="BV1528" s="279"/>
      <c r="BW1528" s="279"/>
      <c r="BX1528" s="279"/>
      <c r="BY1528" s="279"/>
      <c r="BZ1528" s="279"/>
      <c r="CA1528" s="279"/>
      <c r="CB1528" s="279"/>
      <c r="CC1528" s="279"/>
      <c r="CD1528" s="279"/>
      <c r="CE1528" s="279"/>
      <c r="CF1528" s="279"/>
      <c r="CG1528" s="279"/>
      <c r="CH1528" s="279"/>
      <c r="CI1528" s="279"/>
      <c r="CJ1528" s="279"/>
      <c r="CK1528" s="279"/>
      <c r="CL1528" s="279"/>
      <c r="CM1528" s="279"/>
      <c r="CN1528" s="382"/>
    </row>
    <row r="1529" ht="16.2" thickBot="true" x14ac:dyDescent="0.35">
      <c r="B1529" s="361"/>
      <c r="C1529" s="279"/>
      <c r="D1529" s="280"/>
      <c r="E1529" s="287"/>
      <c r="F1529" s="287"/>
      <c r="G1529" s="287"/>
      <c r="H1529" s="1298">
        <f t="shared" si="76"/>
        <v>50</v>
      </c>
      <c r="I1529" s="1259" t="str">
        <f>'I. Stream &amp; Compound Data'!P311</f>
        <v/>
      </c>
      <c r="J1529" s="1301" t="str">
        <f>IF(I191="","",IF('I. Stream &amp; Compound Data'!CQ311&lt;&gt;"",'I. Stream &amp; Compound Data'!CQ311,'I. Stream &amp; Compound Data'!CR311))</f>
        <v/>
      </c>
      <c r="K1529" s="1313" t="str">
        <f t="shared" si="78"/>
        <v/>
      </c>
      <c r="L1529" s="1314" t="str">
        <f>IF(K1529="","",IF('I. Stream &amp; Compound Data'!E81="H2O",0,(IF(J1529=0,1,J1529))*I1529))</f>
        <v/>
      </c>
      <c r="M1529" s="296"/>
      <c r="N1529" s="280"/>
      <c r="O1529" s="280"/>
      <c r="P1529" s="279"/>
      <c r="Q1529" s="297"/>
      <c r="R1529" s="298"/>
      <c r="S1529" s="298"/>
      <c r="T1529" s="299"/>
      <c r="U1529" s="279"/>
      <c r="V1529" s="279"/>
      <c r="W1529" s="279"/>
      <c r="X1529" s="279"/>
      <c r="Y1529" s="279"/>
      <c r="Z1529" s="279"/>
      <c r="AA1529" s="279"/>
      <c r="AB1529" s="279"/>
      <c r="AC1529" s="279"/>
      <c r="AD1529" s="279"/>
      <c r="AE1529" s="279"/>
      <c r="AF1529" s="279"/>
      <c r="AG1529" s="279"/>
      <c r="AH1529" s="279"/>
      <c r="AI1529" s="279"/>
      <c r="AJ1529" s="279"/>
      <c r="AK1529" s="279"/>
      <c r="AL1529" s="279"/>
      <c r="AM1529" s="279"/>
      <c r="AN1529" s="279"/>
      <c r="AO1529" s="279"/>
      <c r="AP1529" s="279"/>
      <c r="AQ1529" s="279"/>
      <c r="AR1529" s="279"/>
      <c r="AS1529" s="279"/>
      <c r="AT1529" s="279"/>
      <c r="AU1529" s="279"/>
      <c r="AV1529" s="279"/>
      <c r="AW1529" s="279"/>
      <c r="AX1529" s="279"/>
      <c r="AY1529" s="279"/>
      <c r="AZ1529" s="279"/>
      <c r="BA1529" s="279"/>
      <c r="BB1529" s="279"/>
      <c r="BC1529" s="279"/>
      <c r="BD1529" s="279"/>
      <c r="BE1529" s="279"/>
      <c r="BF1529" s="279"/>
      <c r="BG1529" s="279"/>
      <c r="BH1529" s="279"/>
      <c r="BI1529" s="279"/>
      <c r="BJ1529" s="279"/>
      <c r="BK1529" s="279"/>
      <c r="BL1529" s="279"/>
      <c r="BM1529" s="279"/>
      <c r="BN1529" s="279"/>
      <c r="BO1529" s="279"/>
      <c r="BP1529" s="279"/>
      <c r="BQ1529" s="279"/>
      <c r="BR1529" s="279"/>
      <c r="BS1529" s="279"/>
      <c r="BT1529" s="279"/>
      <c r="BU1529" s="279"/>
      <c r="BV1529" s="279"/>
      <c r="BW1529" s="279"/>
      <c r="BX1529" s="279"/>
      <c r="BY1529" s="279"/>
      <c r="BZ1529" s="279"/>
      <c r="CA1529" s="279"/>
      <c r="CB1529" s="279"/>
      <c r="CC1529" s="279"/>
      <c r="CD1529" s="279"/>
      <c r="CE1529" s="279"/>
      <c r="CF1529" s="279"/>
      <c r="CG1529" s="279"/>
      <c r="CH1529" s="279"/>
      <c r="CI1529" s="279"/>
      <c r="CJ1529" s="279"/>
      <c r="CK1529" s="279"/>
      <c r="CL1529" s="279"/>
      <c r="CM1529" s="279"/>
      <c r="CN1529" s="382"/>
    </row>
    <row r="1530" ht="16.2" thickBot="true" x14ac:dyDescent="0.35">
      <c r="B1530" s="361"/>
      <c r="C1530" s="279"/>
      <c r="D1530" s="280"/>
      <c r="E1530" s="287"/>
      <c r="F1530" s="287"/>
      <c r="G1530" s="287"/>
      <c r="H1530" s="280"/>
      <c r="I1530" s="304"/>
      <c r="J1530" s="305" t="s">
        <v>88</v>
      </c>
      <c r="K1530" s="1305">
        <f>SUM(K1480:K1529)</f>
        <v>0</v>
      </c>
      <c r="L1530" s="1305">
        <f>SUM(L1480:L1529)</f>
        <v>2980.7504537999998</v>
      </c>
      <c r="M1530" s="296"/>
      <c r="N1530" s="280"/>
      <c r="O1530" s="280"/>
      <c r="P1530" s="279"/>
      <c r="Q1530" s="297"/>
      <c r="R1530" s="298"/>
      <c r="S1530" s="298"/>
      <c r="T1530" s="299"/>
      <c r="U1530" s="279"/>
      <c r="V1530" s="279"/>
      <c r="W1530" s="279"/>
      <c r="X1530" s="279"/>
      <c r="Y1530" s="279"/>
      <c r="Z1530" s="279"/>
      <c r="AA1530" s="279"/>
      <c r="AB1530" s="279"/>
      <c r="AC1530" s="279"/>
      <c r="AD1530" s="279"/>
      <c r="AE1530" s="279"/>
      <c r="AF1530" s="279"/>
      <c r="AG1530" s="279"/>
      <c r="AH1530" s="279"/>
      <c r="AI1530" s="279"/>
      <c r="AJ1530" s="279"/>
      <c r="AK1530" s="279"/>
      <c r="AL1530" s="279"/>
      <c r="AM1530" s="279"/>
      <c r="AN1530" s="279"/>
      <c r="AO1530" s="279"/>
      <c r="AP1530" s="279"/>
      <c r="AQ1530" s="279"/>
      <c r="AR1530" s="279"/>
      <c r="AS1530" s="279"/>
      <c r="AT1530" s="279"/>
      <c r="AU1530" s="279"/>
      <c r="AV1530" s="279"/>
      <c r="AW1530" s="279"/>
      <c r="AX1530" s="279"/>
      <c r="AY1530" s="279"/>
      <c r="AZ1530" s="279"/>
      <c r="BA1530" s="279"/>
      <c r="BB1530" s="279"/>
      <c r="BC1530" s="279"/>
      <c r="BD1530" s="279"/>
      <c r="BE1530" s="279"/>
      <c r="BF1530" s="279"/>
      <c r="BG1530" s="279"/>
      <c r="BH1530" s="279"/>
      <c r="BI1530" s="279"/>
      <c r="BJ1530" s="279"/>
      <c r="BK1530" s="279"/>
      <c r="BL1530" s="279"/>
      <c r="BM1530" s="279"/>
      <c r="BN1530" s="279"/>
      <c r="BO1530" s="279"/>
      <c r="BP1530" s="279"/>
      <c r="BQ1530" s="279"/>
      <c r="BR1530" s="279"/>
      <c r="BS1530" s="279"/>
      <c r="BT1530" s="279"/>
      <c r="BU1530" s="279"/>
      <c r="BV1530" s="279"/>
      <c r="BW1530" s="279"/>
      <c r="BX1530" s="279"/>
      <c r="BY1530" s="279"/>
      <c r="BZ1530" s="279"/>
      <c r="CA1530" s="279"/>
      <c r="CB1530" s="279"/>
      <c r="CC1530" s="279"/>
      <c r="CD1530" s="279"/>
      <c r="CE1530" s="279"/>
      <c r="CF1530" s="279"/>
      <c r="CG1530" s="279"/>
      <c r="CH1530" s="279"/>
      <c r="CI1530" s="279"/>
      <c r="CJ1530" s="279"/>
      <c r="CK1530" s="279"/>
      <c r="CL1530" s="279"/>
      <c r="CM1530" s="279"/>
      <c r="CN1530" s="382"/>
    </row>
    <row r="1531" x14ac:dyDescent="0.3">
      <c r="B1531" s="361"/>
      <c r="C1531" s="279"/>
      <c r="D1531" s="280"/>
      <c r="E1531" s="287"/>
      <c r="F1531" s="287"/>
      <c r="G1531" s="287"/>
      <c r="H1531" s="280"/>
      <c r="I1531" s="304"/>
      <c r="J1531" s="305"/>
      <c r="K1531" s="287"/>
      <c r="L1531" s="287"/>
      <c r="M1531" s="296"/>
      <c r="N1531" s="280"/>
      <c r="O1531" s="280"/>
      <c r="P1531" s="279"/>
      <c r="Q1531" s="297"/>
      <c r="R1531" s="298"/>
      <c r="S1531" s="298"/>
      <c r="T1531" s="299"/>
      <c r="U1531" s="279"/>
      <c r="V1531" s="279"/>
      <c r="W1531" s="279"/>
      <c r="X1531" s="279"/>
      <c r="Y1531" s="279"/>
      <c r="Z1531" s="279"/>
      <c r="AA1531" s="279"/>
      <c r="AB1531" s="279"/>
      <c r="AC1531" s="279"/>
      <c r="AD1531" s="279"/>
      <c r="AE1531" s="279"/>
      <c r="AF1531" s="279"/>
      <c r="AG1531" s="279"/>
      <c r="AH1531" s="279"/>
      <c r="AI1531" s="279"/>
      <c r="AJ1531" s="279"/>
      <c r="AK1531" s="279"/>
      <c r="AL1531" s="279"/>
      <c r="AM1531" s="279"/>
      <c r="AN1531" s="279"/>
      <c r="AO1531" s="279"/>
      <c r="AP1531" s="279"/>
      <c r="AQ1531" s="279"/>
      <c r="AR1531" s="279"/>
      <c r="AS1531" s="279"/>
      <c r="AT1531" s="279"/>
      <c r="AU1531" s="279"/>
      <c r="AV1531" s="279"/>
      <c r="AW1531" s="279"/>
      <c r="AX1531" s="279"/>
      <c r="AY1531" s="279"/>
      <c r="AZ1531" s="279"/>
      <c r="BA1531" s="279"/>
      <c r="BB1531" s="279"/>
      <c r="BC1531" s="279"/>
      <c r="BD1531" s="279"/>
      <c r="BE1531" s="279"/>
      <c r="BF1531" s="279"/>
      <c r="BG1531" s="279"/>
      <c r="BH1531" s="279"/>
      <c r="BI1531" s="279"/>
      <c r="BJ1531" s="279"/>
      <c r="BK1531" s="279"/>
      <c r="BL1531" s="279"/>
      <c r="BM1531" s="279"/>
      <c r="BN1531" s="279"/>
      <c r="BO1531" s="279"/>
      <c r="BP1531" s="279"/>
      <c r="BQ1531" s="279"/>
      <c r="BR1531" s="279"/>
      <c r="BS1531" s="279"/>
      <c r="BT1531" s="279"/>
      <c r="BU1531" s="279"/>
      <c r="BV1531" s="279"/>
      <c r="BW1531" s="279"/>
      <c r="BX1531" s="279"/>
      <c r="BY1531" s="279"/>
      <c r="BZ1531" s="279"/>
      <c r="CA1531" s="279"/>
      <c r="CB1531" s="279"/>
      <c r="CC1531" s="279"/>
      <c r="CD1531" s="279"/>
      <c r="CE1531" s="279"/>
      <c r="CF1531" s="279"/>
      <c r="CG1531" s="279"/>
      <c r="CH1531" s="279"/>
      <c r="CI1531" s="279"/>
      <c r="CJ1531" s="279"/>
      <c r="CK1531" s="279"/>
      <c r="CL1531" s="279"/>
      <c r="CM1531" s="279"/>
      <c r="CN1531" s="382"/>
    </row>
    <row r="1532" x14ac:dyDescent="0.3">
      <c r="B1532" s="361"/>
      <c r="C1532" s="279"/>
      <c r="D1532" s="280"/>
      <c r="E1532" s="287"/>
      <c r="F1532" s="287"/>
      <c r="G1532" s="287"/>
      <c r="H1532" s="280"/>
      <c r="I1532" s="304"/>
      <c r="J1532" s="305"/>
      <c r="K1532" s="287"/>
      <c r="L1532" s="287"/>
      <c r="M1532" s="296"/>
      <c r="N1532" s="280"/>
      <c r="O1532" s="280"/>
      <c r="P1532" s="279"/>
      <c r="Q1532" s="297"/>
      <c r="R1532" s="298"/>
      <c r="S1532" s="298"/>
      <c r="T1532" s="299"/>
      <c r="U1532" s="279"/>
      <c r="V1532" s="279"/>
      <c r="W1532" s="279"/>
      <c r="X1532" s="279"/>
      <c r="Y1532" s="279"/>
      <c r="Z1532" s="279"/>
      <c r="AA1532" s="279"/>
      <c r="AB1532" s="279"/>
      <c r="AC1532" s="279"/>
      <c r="AD1532" s="279"/>
      <c r="AE1532" s="279"/>
      <c r="AF1532" s="279"/>
      <c r="AG1532" s="279"/>
      <c r="AH1532" s="279"/>
      <c r="AI1532" s="279"/>
      <c r="AJ1532" s="279"/>
      <c r="AK1532" s="279"/>
      <c r="AL1532" s="279"/>
      <c r="AM1532" s="279"/>
      <c r="AN1532" s="279"/>
      <c r="AO1532" s="279"/>
      <c r="AP1532" s="279"/>
      <c r="AQ1532" s="279"/>
      <c r="AR1532" s="279"/>
      <c r="AS1532" s="279"/>
      <c r="AT1532" s="279"/>
      <c r="AU1532" s="279"/>
      <c r="AV1532" s="279"/>
      <c r="AW1532" s="279"/>
      <c r="AX1532" s="279"/>
      <c r="AY1532" s="279"/>
      <c r="AZ1532" s="279"/>
      <c r="BA1532" s="279"/>
      <c r="BB1532" s="279"/>
      <c r="BC1532" s="279"/>
      <c r="BD1532" s="279"/>
      <c r="BE1532" s="279"/>
      <c r="BF1532" s="279"/>
      <c r="BG1532" s="279"/>
      <c r="BH1532" s="279"/>
      <c r="BI1532" s="279"/>
      <c r="BJ1532" s="279"/>
      <c r="BK1532" s="279"/>
      <c r="BL1532" s="279"/>
      <c r="BM1532" s="279"/>
      <c r="BN1532" s="279"/>
      <c r="BO1532" s="279"/>
      <c r="BP1532" s="279"/>
      <c r="BQ1532" s="279"/>
      <c r="BR1532" s="279"/>
      <c r="BS1532" s="279"/>
      <c r="BT1532" s="279"/>
      <c r="BU1532" s="279"/>
      <c r="BV1532" s="279"/>
      <c r="BW1532" s="279"/>
      <c r="BX1532" s="279"/>
      <c r="BY1532" s="279"/>
      <c r="BZ1532" s="279"/>
      <c r="CA1532" s="279"/>
      <c r="CB1532" s="279"/>
      <c r="CC1532" s="279"/>
      <c r="CD1532" s="279"/>
      <c r="CE1532" s="279"/>
      <c r="CF1532" s="279"/>
      <c r="CG1532" s="279"/>
      <c r="CH1532" s="279"/>
      <c r="CI1532" s="279"/>
      <c r="CJ1532" s="279"/>
      <c r="CK1532" s="279"/>
      <c r="CL1532" s="279"/>
      <c r="CM1532" s="279"/>
      <c r="CN1532" s="382"/>
    </row>
    <row r="1533" x14ac:dyDescent="0.3">
      <c r="B1533" s="361"/>
      <c r="C1533" s="279"/>
      <c r="D1533" s="280"/>
      <c r="E1533" s="287"/>
      <c r="F1533" s="287"/>
      <c r="G1533" s="287"/>
      <c r="H1533" s="280"/>
      <c r="I1533" s="304"/>
      <c r="J1533" s="279"/>
      <c r="K1533" s="280"/>
      <c r="L1533" s="362"/>
      <c r="M1533" s="296"/>
      <c r="N1533" s="280"/>
      <c r="O1533" s="280"/>
      <c r="P1533" s="279"/>
      <c r="Q1533" s="297"/>
      <c r="R1533" s="298"/>
      <c r="S1533" s="298"/>
      <c r="T1533" s="299"/>
      <c r="U1533" s="279"/>
      <c r="V1533" s="279"/>
      <c r="W1533" s="279"/>
      <c r="X1533" s="279"/>
      <c r="Y1533" s="279"/>
      <c r="Z1533" s="279"/>
      <c r="AA1533" s="279"/>
      <c r="AB1533" s="279"/>
      <c r="AC1533" s="279"/>
      <c r="AD1533" s="279"/>
      <c r="AE1533" s="279"/>
      <c r="AF1533" s="279"/>
      <c r="AG1533" s="279"/>
      <c r="AH1533" s="279"/>
      <c r="AI1533" s="279"/>
      <c r="AJ1533" s="279"/>
      <c r="AK1533" s="279"/>
      <c r="AL1533" s="279"/>
      <c r="AM1533" s="279"/>
      <c r="AN1533" s="279"/>
      <c r="AO1533" s="279"/>
      <c r="AP1533" s="279"/>
      <c r="AQ1533" s="279"/>
      <c r="AR1533" s="279"/>
      <c r="AS1533" s="279"/>
      <c r="AT1533" s="279"/>
      <c r="AU1533" s="279"/>
      <c r="AV1533" s="279"/>
      <c r="AW1533" s="279"/>
      <c r="AX1533" s="279"/>
      <c r="AY1533" s="279"/>
      <c r="AZ1533" s="279"/>
      <c r="BA1533" s="279"/>
      <c r="BB1533" s="279"/>
      <c r="BC1533" s="279"/>
      <c r="BD1533" s="279"/>
      <c r="BE1533" s="279"/>
      <c r="BF1533" s="279"/>
      <c r="BG1533" s="279"/>
      <c r="BH1533" s="279"/>
      <c r="BI1533" s="279"/>
      <c r="BJ1533" s="279"/>
      <c r="BK1533" s="279"/>
      <c r="BL1533" s="279"/>
      <c r="BM1533" s="279"/>
      <c r="BN1533" s="279"/>
      <c r="BO1533" s="279"/>
      <c r="BP1533" s="279"/>
      <c r="BQ1533" s="279"/>
      <c r="BR1533" s="279"/>
      <c r="BS1533" s="279"/>
      <c r="BT1533" s="279"/>
      <c r="BU1533" s="279"/>
      <c r="BV1533" s="279"/>
      <c r="BW1533" s="279"/>
      <c r="BX1533" s="279"/>
      <c r="BY1533" s="279"/>
      <c r="BZ1533" s="279"/>
      <c r="CA1533" s="279"/>
      <c r="CB1533" s="279"/>
      <c r="CC1533" s="279"/>
      <c r="CD1533" s="279"/>
      <c r="CE1533" s="279"/>
      <c r="CF1533" s="279"/>
      <c r="CG1533" s="279"/>
      <c r="CH1533" s="279"/>
      <c r="CI1533" s="279"/>
      <c r="CJ1533" s="279"/>
      <c r="CK1533" s="279"/>
      <c r="CL1533" s="279"/>
      <c r="CM1533" s="279"/>
      <c r="CN1533" s="382"/>
    </row>
    <row r="1534" x14ac:dyDescent="0.3">
      <c r="B1534" s="361"/>
      <c r="C1534" s="279"/>
      <c r="D1534" s="280"/>
      <c r="E1534" s="287"/>
      <c r="F1534" s="287"/>
      <c r="G1534" s="327"/>
      <c r="H1534" s="327"/>
      <c r="I1534" s="327"/>
      <c r="J1534" s="327"/>
      <c r="K1534" s="327"/>
      <c r="L1534" s="287"/>
      <c r="M1534" s="327"/>
      <c r="N1534" s="327"/>
      <c r="O1534" s="280"/>
      <c r="P1534" s="280"/>
      <c r="Q1534" s="279"/>
      <c r="R1534" s="297"/>
      <c r="S1534" s="298"/>
      <c r="T1534" s="298"/>
      <c r="U1534" s="299"/>
      <c r="V1534" s="279"/>
      <c r="W1534" s="279"/>
      <c r="X1534" s="279"/>
      <c r="Y1534" s="279"/>
      <c r="Z1534" s="279"/>
      <c r="AA1534" s="279"/>
      <c r="AB1534" s="279"/>
      <c r="AC1534" s="279"/>
      <c r="AD1534" s="279"/>
      <c r="AE1534" s="279"/>
      <c r="AF1534" s="279"/>
      <c r="AG1534" s="279"/>
      <c r="AH1534" s="279"/>
      <c r="AI1534" s="279"/>
      <c r="AJ1534" s="279"/>
      <c r="AK1534" s="279"/>
      <c r="AL1534" s="279"/>
      <c r="AM1534" s="279"/>
      <c r="AN1534" s="279"/>
      <c r="AO1534" s="279"/>
      <c r="AP1534" s="279"/>
      <c r="AQ1534" s="279"/>
      <c r="AR1534" s="279"/>
      <c r="AS1534" s="279"/>
      <c r="AT1534" s="279"/>
      <c r="AU1534" s="279"/>
      <c r="AV1534" s="279"/>
      <c r="AW1534" s="279"/>
      <c r="AX1534" s="279"/>
      <c r="AY1534" s="279"/>
      <c r="AZ1534" s="279"/>
      <c r="BA1534" s="279"/>
      <c r="BB1534" s="279"/>
      <c r="BC1534" s="279"/>
      <c r="BD1534" s="279"/>
      <c r="BE1534" s="279"/>
      <c r="BF1534" s="279"/>
      <c r="BG1534" s="279"/>
      <c r="BH1534" s="279"/>
      <c r="BI1534" s="279"/>
      <c r="BJ1534" s="279"/>
      <c r="BK1534" s="279"/>
      <c r="BL1534" s="279"/>
      <c r="BM1534" s="279"/>
      <c r="BN1534" s="279"/>
      <c r="BO1534" s="279"/>
      <c r="BP1534" s="279"/>
      <c r="BQ1534" s="279"/>
      <c r="BR1534" s="279"/>
      <c r="BS1534" s="279"/>
      <c r="BT1534" s="279"/>
      <c r="BU1534" s="279"/>
      <c r="BV1534" s="279"/>
      <c r="BW1534" s="279"/>
      <c r="BX1534" s="279"/>
      <c r="BY1534" s="279"/>
      <c r="BZ1534" s="279"/>
      <c r="CA1534" s="279"/>
      <c r="CB1534" s="279"/>
      <c r="CC1534" s="279"/>
      <c r="CD1534" s="279"/>
      <c r="CE1534" s="279"/>
      <c r="CF1534" s="279"/>
      <c r="CG1534" s="279"/>
      <c r="CH1534" s="279"/>
      <c r="CI1534" s="279"/>
      <c r="CJ1534" s="279"/>
      <c r="CK1534" s="279"/>
      <c r="CL1534" s="279"/>
      <c r="CM1534" s="279"/>
      <c r="CN1534" s="382"/>
    </row>
    <row r="1535" x14ac:dyDescent="0.3">
      <c r="B1535" s="361"/>
      <c r="C1535" s="279"/>
      <c r="D1535" s="280"/>
      <c r="E1535" s="287"/>
      <c r="F1535" s="287"/>
      <c r="G1535" s="327"/>
      <c r="H1535" s="327"/>
      <c r="I1535" s="327"/>
      <c r="J1535" s="327"/>
      <c r="K1535" s="327"/>
      <c r="L1535" s="287"/>
      <c r="M1535" s="327"/>
      <c r="N1535" s="327"/>
      <c r="O1535" s="327"/>
      <c r="P1535" s="280"/>
      <c r="Q1535" s="279"/>
      <c r="R1535" s="297"/>
      <c r="S1535" s="298"/>
      <c r="T1535" s="298"/>
      <c r="U1535" s="299"/>
      <c r="V1535" s="279"/>
      <c r="W1535" s="279"/>
      <c r="X1535" s="279"/>
      <c r="Y1535" s="279"/>
      <c r="Z1535" s="279"/>
      <c r="AA1535" s="279"/>
      <c r="AB1535" s="279"/>
      <c r="AC1535" s="279"/>
      <c r="AD1535" s="279"/>
      <c r="AE1535" s="279"/>
      <c r="AF1535" s="279"/>
      <c r="AG1535" s="279"/>
      <c r="AH1535" s="279"/>
      <c r="AI1535" s="279"/>
      <c r="AJ1535" s="279"/>
      <c r="AK1535" s="279"/>
      <c r="AL1535" s="279"/>
      <c r="AM1535" s="279"/>
      <c r="AN1535" s="279"/>
      <c r="AO1535" s="279"/>
      <c r="AP1535" s="279"/>
      <c r="AQ1535" s="279"/>
      <c r="AR1535" s="279"/>
      <c r="AS1535" s="279"/>
      <c r="AT1535" s="279"/>
      <c r="AU1535" s="279"/>
      <c r="AV1535" s="279"/>
      <c r="AW1535" s="279"/>
      <c r="AX1535" s="279"/>
      <c r="AY1535" s="279"/>
      <c r="AZ1535" s="279"/>
      <c r="BA1535" s="279"/>
      <c r="BB1535" s="279"/>
      <c r="BC1535" s="279"/>
      <c r="BD1535" s="279"/>
      <c r="BE1535" s="279"/>
      <c r="BF1535" s="279"/>
      <c r="BG1535" s="279"/>
      <c r="BH1535" s="279"/>
      <c r="BI1535" s="279"/>
      <c r="BJ1535" s="279"/>
      <c r="BK1535" s="279"/>
      <c r="BL1535" s="279"/>
      <c r="BM1535" s="279"/>
      <c r="BN1535" s="279"/>
      <c r="BO1535" s="279"/>
      <c r="BP1535" s="279"/>
      <c r="BQ1535" s="279"/>
      <c r="BR1535" s="279"/>
      <c r="BS1535" s="279"/>
      <c r="BT1535" s="279"/>
      <c r="BU1535" s="279"/>
      <c r="BV1535" s="279"/>
      <c r="BW1535" s="279"/>
      <c r="BX1535" s="279"/>
      <c r="BY1535" s="279"/>
      <c r="BZ1535" s="279"/>
      <c r="CA1535" s="279"/>
      <c r="CB1535" s="279"/>
      <c r="CC1535" s="279"/>
      <c r="CD1535" s="279"/>
      <c r="CE1535" s="279"/>
      <c r="CF1535" s="279"/>
      <c r="CG1535" s="279"/>
      <c r="CH1535" s="279"/>
      <c r="CI1535" s="279"/>
      <c r="CJ1535" s="279"/>
      <c r="CK1535" s="279"/>
      <c r="CL1535" s="279"/>
      <c r="CM1535" s="279"/>
      <c r="CN1535" s="382"/>
    </row>
    <row r="1536" ht="21" x14ac:dyDescent="0.3">
      <c r="B1536" s="361"/>
      <c r="C1536" s="279"/>
      <c r="D1536" s="280"/>
      <c r="E1536" s="287"/>
      <c r="F1536" s="287"/>
      <c r="G1536" s="327"/>
      <c r="H1536" s="280"/>
      <c r="I1536" s="1947" t="s">
        <v>1460</v>
      </c>
      <c r="J1536" s="1947"/>
      <c r="K1536" s="279"/>
      <c r="L1536" s="280"/>
      <c r="M1536" s="362"/>
      <c r="N1536" s="327"/>
      <c r="O1536" s="327"/>
      <c r="P1536" s="280"/>
      <c r="Q1536" s="279"/>
      <c r="R1536" s="297"/>
      <c r="S1536" s="298"/>
      <c r="T1536" s="298"/>
      <c r="U1536" s="299"/>
      <c r="V1536" s="279"/>
      <c r="W1536" s="279"/>
      <c r="X1536" s="279"/>
      <c r="Y1536" s="279"/>
      <c r="Z1536" s="279"/>
      <c r="AA1536" s="279"/>
      <c r="AB1536" s="279"/>
      <c r="AC1536" s="279"/>
      <c r="AD1536" s="279"/>
      <c r="AE1536" s="279"/>
      <c r="AF1536" s="279"/>
      <c r="AG1536" s="279"/>
      <c r="AH1536" s="279"/>
      <c r="AI1536" s="279"/>
      <c r="AJ1536" s="279"/>
      <c r="AK1536" s="279"/>
      <c r="AL1536" s="279"/>
      <c r="AM1536" s="279"/>
      <c r="AN1536" s="279"/>
      <c r="AO1536" s="279"/>
      <c r="AP1536" s="279"/>
      <c r="AQ1536" s="279"/>
      <c r="AR1536" s="279"/>
      <c r="AS1536" s="279"/>
      <c r="AT1536" s="279"/>
      <c r="AU1536" s="279"/>
      <c r="AV1536" s="279"/>
      <c r="AW1536" s="279"/>
      <c r="AX1536" s="279"/>
      <c r="AY1536" s="279"/>
      <c r="AZ1536" s="279"/>
      <c r="BA1536" s="279"/>
      <c r="BB1536" s="279"/>
      <c r="BC1536" s="279"/>
      <c r="BD1536" s="279"/>
      <c r="BE1536" s="279"/>
      <c r="BF1536" s="279"/>
      <c r="BG1536" s="279"/>
      <c r="BH1536" s="279"/>
      <c r="BI1536" s="279"/>
      <c r="BJ1536" s="279"/>
      <c r="BK1536" s="279"/>
      <c r="BL1536" s="279"/>
      <c r="BM1536" s="279"/>
      <c r="BN1536" s="279"/>
      <c r="BO1536" s="279"/>
      <c r="BP1536" s="279"/>
      <c r="BQ1536" s="279"/>
      <c r="BR1536" s="279"/>
      <c r="BS1536" s="279"/>
      <c r="BT1536" s="279"/>
      <c r="BU1536" s="279"/>
      <c r="BV1536" s="279"/>
      <c r="BW1536" s="279"/>
      <c r="BX1536" s="279"/>
      <c r="BY1536" s="279"/>
      <c r="BZ1536" s="279"/>
      <c r="CA1536" s="279"/>
      <c r="CB1536" s="279"/>
      <c r="CC1536" s="279"/>
      <c r="CD1536" s="279"/>
      <c r="CE1536" s="279"/>
      <c r="CF1536" s="279"/>
      <c r="CG1536" s="279"/>
      <c r="CH1536" s="279"/>
      <c r="CI1536" s="279"/>
      <c r="CJ1536" s="279"/>
      <c r="CK1536" s="279"/>
      <c r="CL1536" s="279"/>
      <c r="CM1536" s="279"/>
      <c r="CN1536" s="382"/>
    </row>
    <row r="1537" ht="16.2" thickBot="true" x14ac:dyDescent="0.35">
      <c r="B1537" s="361"/>
      <c r="C1537" s="279"/>
      <c r="D1537" s="280"/>
      <c r="E1537" s="287"/>
      <c r="F1537" s="287"/>
      <c r="G1537" s="327"/>
      <c r="H1537" s="280"/>
      <c r="I1537" s="280"/>
      <c r="J1537" s="304"/>
      <c r="K1537" s="279"/>
      <c r="L1537" s="362"/>
      <c r="M1537" s="287"/>
      <c r="N1537" s="327"/>
      <c r="O1537" s="327"/>
      <c r="P1537" s="280"/>
      <c r="Q1537" s="279"/>
      <c r="R1537" s="297"/>
      <c r="S1537" s="298"/>
      <c r="T1537" s="298"/>
      <c r="U1537" s="299"/>
      <c r="V1537" s="279"/>
      <c r="W1537" s="279"/>
      <c r="X1537" s="279"/>
      <c r="Y1537" s="279"/>
      <c r="Z1537" s="279"/>
      <c r="AA1537" s="279"/>
      <c r="AB1537" s="279"/>
      <c r="AC1537" s="279"/>
      <c r="AD1537" s="279"/>
      <c r="AE1537" s="279"/>
      <c r="AF1537" s="279"/>
      <c r="AG1537" s="279"/>
      <c r="AH1537" s="279"/>
      <c r="AI1537" s="279"/>
      <c r="AJ1537" s="279"/>
      <c r="AK1537" s="279"/>
      <c r="AL1537" s="279"/>
      <c r="AM1537" s="279"/>
      <c r="AN1537" s="279"/>
      <c r="AO1537" s="279"/>
      <c r="AP1537" s="279"/>
      <c r="AQ1537" s="279"/>
      <c r="AR1537" s="279"/>
      <c r="AS1537" s="279"/>
      <c r="AT1537" s="279"/>
      <c r="AU1537" s="279"/>
      <c r="AV1537" s="279"/>
      <c r="AW1537" s="279"/>
      <c r="AX1537" s="279"/>
      <c r="AY1537" s="279"/>
      <c r="AZ1537" s="279"/>
      <c r="BA1537" s="279"/>
      <c r="BB1537" s="279"/>
      <c r="BC1537" s="279"/>
      <c r="BD1537" s="279"/>
      <c r="BE1537" s="279"/>
      <c r="BF1537" s="279"/>
      <c r="BG1537" s="279"/>
      <c r="BH1537" s="279"/>
      <c r="BI1537" s="279"/>
      <c r="BJ1537" s="279"/>
      <c r="BK1537" s="279"/>
      <c r="BL1537" s="279"/>
      <c r="BM1537" s="279"/>
      <c r="BN1537" s="279"/>
      <c r="BO1537" s="279"/>
      <c r="BP1537" s="279"/>
      <c r="BQ1537" s="279"/>
      <c r="BR1537" s="279"/>
      <c r="BS1537" s="279"/>
      <c r="BT1537" s="279"/>
      <c r="BU1537" s="279"/>
      <c r="BV1537" s="279"/>
      <c r="BW1537" s="279"/>
      <c r="BX1537" s="279"/>
      <c r="BY1537" s="279"/>
      <c r="BZ1537" s="279"/>
      <c r="CA1537" s="279"/>
      <c r="CB1537" s="279"/>
      <c r="CC1537" s="279"/>
      <c r="CD1537" s="279"/>
      <c r="CE1537" s="279"/>
      <c r="CF1537" s="279"/>
      <c r="CG1537" s="279"/>
      <c r="CH1537" s="279"/>
      <c r="CI1537" s="279"/>
      <c r="CJ1537" s="279"/>
      <c r="CK1537" s="279"/>
      <c r="CL1537" s="279"/>
      <c r="CM1537" s="279"/>
      <c r="CN1537" s="382"/>
    </row>
    <row r="1538" x14ac:dyDescent="0.3">
      <c r="B1538" s="361"/>
      <c r="C1538" s="279"/>
      <c r="D1538" s="280"/>
      <c r="E1538" s="287"/>
      <c r="F1538" s="287"/>
      <c r="G1538" s="327"/>
      <c r="H1538" s="282" t="s">
        <v>1469</v>
      </c>
      <c r="I1538" s="1186" t="s">
        <v>252</v>
      </c>
      <c r="J1538" s="1166" t="s">
        <v>1004</v>
      </c>
      <c r="K1538" s="1166" t="s">
        <v>187</v>
      </c>
      <c r="L1538" s="267" t="s">
        <v>1166</v>
      </c>
      <c r="M1538" s="276" t="s">
        <v>1590</v>
      </c>
      <c r="N1538" s="327"/>
      <c r="O1538" s="327"/>
      <c r="P1538" s="280"/>
      <c r="Q1538" s="279"/>
      <c r="R1538" s="297"/>
      <c r="S1538" s="298"/>
      <c r="T1538" s="298"/>
      <c r="U1538" s="299"/>
      <c r="V1538" s="279"/>
      <c r="W1538" s="279"/>
      <c r="X1538" s="279"/>
      <c r="Y1538" s="279"/>
      <c r="Z1538" s="279"/>
      <c r="AA1538" s="279"/>
      <c r="AB1538" s="279"/>
      <c r="AC1538" s="279"/>
      <c r="AD1538" s="279"/>
      <c r="AE1538" s="279"/>
      <c r="AF1538" s="279"/>
      <c r="AG1538" s="279"/>
      <c r="AH1538" s="279"/>
      <c r="AI1538" s="279"/>
      <c r="AJ1538" s="279"/>
      <c r="AK1538" s="279"/>
      <c r="AL1538" s="279"/>
      <c r="AM1538" s="279"/>
      <c r="AN1538" s="279"/>
      <c r="AO1538" s="279"/>
      <c r="AP1538" s="279"/>
      <c r="AQ1538" s="279"/>
      <c r="AR1538" s="279"/>
      <c r="AS1538" s="279"/>
      <c r="AT1538" s="279"/>
      <c r="AU1538" s="279"/>
      <c r="AV1538" s="279"/>
      <c r="AW1538" s="279"/>
      <c r="AX1538" s="279"/>
      <c r="AY1538" s="279"/>
      <c r="AZ1538" s="279"/>
      <c r="BA1538" s="279"/>
      <c r="BB1538" s="279"/>
      <c r="BC1538" s="279"/>
      <c r="BD1538" s="279"/>
      <c r="BE1538" s="279"/>
      <c r="BF1538" s="279"/>
      <c r="BG1538" s="279"/>
      <c r="BH1538" s="279"/>
      <c r="BI1538" s="279"/>
      <c r="BJ1538" s="279"/>
      <c r="BK1538" s="279"/>
      <c r="BL1538" s="279"/>
      <c r="BM1538" s="279"/>
      <c r="BN1538" s="279"/>
      <c r="BO1538" s="279"/>
      <c r="BP1538" s="279"/>
      <c r="BQ1538" s="279"/>
      <c r="BR1538" s="279"/>
      <c r="BS1538" s="279"/>
      <c r="BT1538" s="279"/>
      <c r="BU1538" s="279"/>
      <c r="BV1538" s="279"/>
      <c r="BW1538" s="279"/>
      <c r="BX1538" s="279"/>
      <c r="BY1538" s="279"/>
      <c r="BZ1538" s="279"/>
      <c r="CA1538" s="279"/>
      <c r="CB1538" s="279"/>
      <c r="CC1538" s="279"/>
      <c r="CD1538" s="279"/>
      <c r="CE1538" s="279"/>
      <c r="CF1538" s="279"/>
      <c r="CG1538" s="279"/>
      <c r="CH1538" s="279"/>
      <c r="CI1538" s="279"/>
      <c r="CJ1538" s="279"/>
      <c r="CK1538" s="279"/>
      <c r="CL1538" s="279"/>
      <c r="CM1538" s="279"/>
      <c r="CN1538" s="382"/>
    </row>
    <row r="1539" x14ac:dyDescent="0.3">
      <c r="B1539" s="361"/>
      <c r="C1539" s="279"/>
      <c r="D1539" s="280"/>
      <c r="E1539" s="287"/>
      <c r="F1539" s="287"/>
      <c r="G1539" s="327"/>
      <c r="H1539" s="1292">
        <f t="shared" ref="H1539:H1570" si="79">H142</f>
        <v>1</v>
      </c>
      <c r="I1539" s="1323" t="str">
        <f>IF('I. Stream &amp; Compound Data'!G262&lt;&gt;"",'I. Stream &amp; Compound Data'!G262,"")</f>
        <v>Carbon Dioxide</v>
      </c>
      <c r="J1539" s="1242">
        <f>IF('I. Stream &amp; Compound Data'!P262&lt;&gt;"",'I. Stream &amp; Compound Data'!P262,"")</f>
        <v>2980.7504537999998</v>
      </c>
      <c r="K1539" s="1242">
        <f>IF('I. Stream &amp; Compound Data'!AM262&lt;&gt;"",'I. Stream &amp; Compound Data'!AM262,"")</f>
        <v>1</v>
      </c>
      <c r="L1539" s="1242">
        <f>IF(I1539="","",IF('I. Stream &amp; Compound Data'!E32="H2O",0,IF(K1539=0,1,500)))</f>
        <v>500</v>
      </c>
      <c r="M1539" s="1268">
        <f>IF(I1539="","",'V. Environmental'!L1539*'V. Environmental'!J1539)</f>
        <v>1490375.2268999999</v>
      </c>
      <c r="N1539" s="327"/>
      <c r="O1539" s="327"/>
      <c r="P1539" s="280"/>
      <c r="Q1539" s="279"/>
      <c r="R1539" s="297"/>
      <c r="S1539" s="298"/>
      <c r="T1539" s="298"/>
      <c r="U1539" s="299"/>
      <c r="V1539" s="279"/>
      <c r="W1539" s="279"/>
      <c r="X1539" s="279"/>
      <c r="Y1539" s="279"/>
      <c r="Z1539" s="279"/>
      <c r="AA1539" s="279"/>
      <c r="AB1539" s="279"/>
      <c r="AC1539" s="279"/>
      <c r="AD1539" s="279"/>
      <c r="AE1539" s="279"/>
      <c r="AF1539" s="279"/>
      <c r="AG1539" s="279"/>
      <c r="AH1539" s="279"/>
      <c r="AI1539" s="279"/>
      <c r="AJ1539" s="279"/>
      <c r="AK1539" s="279"/>
      <c r="AL1539" s="279"/>
      <c r="AM1539" s="279"/>
      <c r="AN1539" s="279"/>
      <c r="AO1539" s="279"/>
      <c r="AP1539" s="279"/>
      <c r="AQ1539" s="279"/>
      <c r="AR1539" s="279"/>
      <c r="AS1539" s="279"/>
      <c r="AT1539" s="279"/>
      <c r="AU1539" s="279"/>
      <c r="AV1539" s="279"/>
      <c r="AW1539" s="279"/>
      <c r="AX1539" s="279"/>
      <c r="AY1539" s="279"/>
      <c r="AZ1539" s="279"/>
      <c r="BA1539" s="279"/>
      <c r="BB1539" s="279"/>
      <c r="BC1539" s="279"/>
      <c r="BD1539" s="279"/>
      <c r="BE1539" s="279"/>
      <c r="BF1539" s="279"/>
      <c r="BG1539" s="279"/>
      <c r="BH1539" s="279"/>
      <c r="BI1539" s="279"/>
      <c r="BJ1539" s="279"/>
      <c r="BK1539" s="279"/>
      <c r="BL1539" s="279"/>
      <c r="BM1539" s="279"/>
      <c r="BN1539" s="279"/>
      <c r="BO1539" s="279"/>
      <c r="BP1539" s="279"/>
      <c r="BQ1539" s="279"/>
      <c r="BR1539" s="279"/>
      <c r="BS1539" s="279"/>
      <c r="BT1539" s="279"/>
      <c r="BU1539" s="279"/>
      <c r="BV1539" s="279"/>
      <c r="BW1539" s="279"/>
      <c r="BX1539" s="279"/>
      <c r="BY1539" s="279"/>
      <c r="BZ1539" s="279"/>
      <c r="CA1539" s="279"/>
      <c r="CB1539" s="279"/>
      <c r="CC1539" s="279"/>
      <c r="CD1539" s="279"/>
      <c r="CE1539" s="279"/>
      <c r="CF1539" s="279"/>
      <c r="CG1539" s="279"/>
      <c r="CH1539" s="279"/>
      <c r="CI1539" s="279"/>
      <c r="CJ1539" s="279"/>
      <c r="CK1539" s="279"/>
      <c r="CL1539" s="279"/>
      <c r="CM1539" s="279"/>
      <c r="CN1539" s="382"/>
    </row>
    <row r="1540" x14ac:dyDescent="0.3">
      <c r="B1540" s="361"/>
      <c r="C1540" s="279"/>
      <c r="D1540" s="280"/>
      <c r="E1540" s="287"/>
      <c r="F1540" s="287"/>
      <c r="G1540" s="327"/>
      <c r="H1540" s="1292">
        <f t="shared" si="79"/>
        <v>2</v>
      </c>
      <c r="I1540" s="1323" t="str">
        <f>IF('I. Stream &amp; Compound Data'!G263&lt;&gt;"",'I. Stream &amp; Compound Data'!G263,"")</f>
        <v>Water</v>
      </c>
      <c r="J1540" s="1242">
        <f>IF('I. Stream &amp; Compound Data'!P263&lt;&gt;"",'I. Stream &amp; Compound Data'!P263,"")</f>
        <v>0</v>
      </c>
      <c r="K1540" s="1242">
        <f>IF('I. Stream &amp; Compound Data'!AM263&lt;&gt;"",'I. Stream &amp; Compound Data'!AM263,"")</f>
        <v>0</v>
      </c>
      <c r="L1540" s="1242">
        <f>IF(I1540="","",IF('I. Stream &amp; Compound Data'!E33="H2O",0,IF(K1540=0,1,500)))</f>
        <v>0</v>
      </c>
      <c r="M1540" s="1268">
        <f>IF(I1540="","",'V. Environmental'!L1540*'V. Environmental'!J1540)</f>
        <v>0</v>
      </c>
      <c r="N1540" s="327"/>
      <c r="O1540" s="327"/>
      <c r="P1540" s="280"/>
      <c r="Q1540" s="279"/>
      <c r="R1540" s="297"/>
      <c r="S1540" s="298"/>
      <c r="T1540" s="298"/>
      <c r="U1540" s="299"/>
      <c r="V1540" s="279"/>
      <c r="W1540" s="279"/>
      <c r="X1540" s="279"/>
      <c r="Y1540" s="279"/>
      <c r="Z1540" s="279"/>
      <c r="AA1540" s="279"/>
      <c r="AB1540" s="279"/>
      <c r="AC1540" s="279"/>
      <c r="AD1540" s="279"/>
      <c r="AE1540" s="279"/>
      <c r="AF1540" s="279"/>
      <c r="AG1540" s="279"/>
      <c r="AH1540" s="279"/>
      <c r="AI1540" s="279"/>
      <c r="AJ1540" s="279"/>
      <c r="AK1540" s="279"/>
      <c r="AL1540" s="279"/>
      <c r="AM1540" s="279"/>
      <c r="AN1540" s="279"/>
      <c r="AO1540" s="279"/>
      <c r="AP1540" s="279"/>
      <c r="AQ1540" s="279"/>
      <c r="AR1540" s="279"/>
      <c r="AS1540" s="279"/>
      <c r="AT1540" s="279"/>
      <c r="AU1540" s="279"/>
      <c r="AV1540" s="279"/>
      <c r="AW1540" s="279"/>
      <c r="AX1540" s="279"/>
      <c r="AY1540" s="279"/>
      <c r="AZ1540" s="279"/>
      <c r="BA1540" s="279"/>
      <c r="BB1540" s="279"/>
      <c r="BC1540" s="279"/>
      <c r="BD1540" s="279"/>
      <c r="BE1540" s="279"/>
      <c r="BF1540" s="279"/>
      <c r="BG1540" s="279"/>
      <c r="BH1540" s="279"/>
      <c r="BI1540" s="279"/>
      <c r="BJ1540" s="279"/>
      <c r="BK1540" s="279"/>
      <c r="BL1540" s="279"/>
      <c r="BM1540" s="279"/>
      <c r="BN1540" s="279"/>
      <c r="BO1540" s="279"/>
      <c r="BP1540" s="279"/>
      <c r="BQ1540" s="279"/>
      <c r="BR1540" s="279"/>
      <c r="BS1540" s="279"/>
      <c r="BT1540" s="279"/>
      <c r="BU1540" s="279"/>
      <c r="BV1540" s="279"/>
      <c r="BW1540" s="279"/>
      <c r="BX1540" s="279"/>
      <c r="BY1540" s="279"/>
      <c r="BZ1540" s="279"/>
      <c r="CA1540" s="279"/>
      <c r="CB1540" s="279"/>
      <c r="CC1540" s="279"/>
      <c r="CD1540" s="279"/>
      <c r="CE1540" s="279"/>
      <c r="CF1540" s="279"/>
      <c r="CG1540" s="279"/>
      <c r="CH1540" s="279"/>
      <c r="CI1540" s="279"/>
      <c r="CJ1540" s="279"/>
      <c r="CK1540" s="279"/>
      <c r="CL1540" s="279"/>
      <c r="CM1540" s="279"/>
      <c r="CN1540" s="382"/>
    </row>
    <row r="1541" x14ac:dyDescent="0.3">
      <c r="B1541" s="361"/>
      <c r="C1541" s="279"/>
      <c r="D1541" s="280"/>
      <c r="E1541" s="287"/>
      <c r="F1541" s="287"/>
      <c r="G1541" s="327"/>
      <c r="H1541" s="1292">
        <f t="shared" si="79"/>
        <v>3</v>
      </c>
      <c r="I1541" s="1323" t="str">
        <f>IF('I. Stream &amp; Compound Data'!G264&lt;&gt;"",'I. Stream &amp; Compound Data'!G264,"")</f>
        <v>Calcium Oxide</v>
      </c>
      <c r="J1541" s="1242">
        <f>IF('I. Stream &amp; Compound Data'!P264&lt;&gt;"",'I. Stream &amp; Compound Data'!P264,"")</f>
        <v>0</v>
      </c>
      <c r="K1541" s="1242">
        <f>IF('I. Stream &amp; Compound Data'!AM264&lt;&gt;"",'I. Stream &amp; Compound Data'!AM264,"")</f>
        <v>1</v>
      </c>
      <c r="L1541" s="1242">
        <f>IF(I1541="","",IF('I. Stream &amp; Compound Data'!E34="H2O",0,IF(K1541=0,1,500)))</f>
        <v>500</v>
      </c>
      <c r="M1541" s="1268">
        <f>IF(I1541="","",'V. Environmental'!L1541*'V. Environmental'!J1541)</f>
        <v>0</v>
      </c>
      <c r="N1541" s="327"/>
      <c r="O1541" s="327"/>
      <c r="P1541" s="292"/>
      <c r="Q1541" s="279"/>
      <c r="R1541" s="297"/>
      <c r="S1541" s="298"/>
      <c r="T1541" s="298"/>
      <c r="U1541" s="299"/>
      <c r="V1541" s="279"/>
      <c r="W1541" s="279"/>
      <c r="X1541" s="279"/>
      <c r="Y1541" s="279"/>
      <c r="Z1541" s="279"/>
      <c r="AA1541" s="279"/>
      <c r="AB1541" s="279"/>
      <c r="AC1541" s="279"/>
      <c r="AD1541" s="279"/>
      <c r="AE1541" s="279"/>
      <c r="AF1541" s="279"/>
      <c r="AG1541" s="279"/>
      <c r="AH1541" s="279"/>
      <c r="AI1541" s="279"/>
      <c r="AJ1541" s="279"/>
      <c r="AK1541" s="279"/>
      <c r="AL1541" s="279"/>
      <c r="AM1541" s="279"/>
      <c r="AN1541" s="279"/>
      <c r="AO1541" s="279"/>
      <c r="AP1541" s="279"/>
      <c r="AQ1541" s="279"/>
      <c r="AR1541" s="279"/>
      <c r="AS1541" s="279"/>
      <c r="AT1541" s="279"/>
      <c r="AU1541" s="279"/>
      <c r="AV1541" s="279"/>
      <c r="AW1541" s="279"/>
      <c r="AX1541" s="279"/>
      <c r="AY1541" s="279"/>
      <c r="AZ1541" s="279"/>
      <c r="BA1541" s="279"/>
      <c r="BB1541" s="279"/>
      <c r="BC1541" s="279"/>
      <c r="BD1541" s="279"/>
      <c r="BE1541" s="279"/>
      <c r="BF1541" s="279"/>
      <c r="BG1541" s="279"/>
      <c r="BH1541" s="279"/>
      <c r="BI1541" s="279"/>
      <c r="BJ1541" s="279"/>
      <c r="BK1541" s="279"/>
      <c r="BL1541" s="279"/>
      <c r="BM1541" s="279"/>
      <c r="BN1541" s="279"/>
      <c r="BO1541" s="279"/>
      <c r="BP1541" s="279"/>
      <c r="BQ1541" s="279"/>
      <c r="BR1541" s="279"/>
      <c r="BS1541" s="279"/>
      <c r="BT1541" s="279"/>
      <c r="BU1541" s="279"/>
      <c r="BV1541" s="279"/>
      <c r="BW1541" s="279"/>
      <c r="BX1541" s="279"/>
      <c r="BY1541" s="279"/>
      <c r="BZ1541" s="279"/>
      <c r="CA1541" s="279"/>
      <c r="CB1541" s="279"/>
      <c r="CC1541" s="279"/>
      <c r="CD1541" s="279"/>
      <c r="CE1541" s="279"/>
      <c r="CF1541" s="279"/>
      <c r="CG1541" s="279"/>
      <c r="CH1541" s="279"/>
      <c r="CI1541" s="279"/>
      <c r="CJ1541" s="279"/>
      <c r="CK1541" s="279"/>
      <c r="CL1541" s="279"/>
      <c r="CM1541" s="279"/>
      <c r="CN1541" s="382"/>
    </row>
    <row r="1542" x14ac:dyDescent="0.3">
      <c r="B1542" s="361"/>
      <c r="C1542" s="279"/>
      <c r="D1542" s="280"/>
      <c r="E1542" s="287"/>
      <c r="F1542" s="287"/>
      <c r="G1542" s="327"/>
      <c r="H1542" s="1292">
        <f t="shared" si="79"/>
        <v>4</v>
      </c>
      <c r="I1542" s="1323" t="str">
        <f>IF('I. Stream &amp; Compound Data'!G265&lt;&gt;"",'I. Stream &amp; Compound Data'!G265,"")</f>
        <v>Calcium Carbonate</v>
      </c>
      <c r="J1542" s="1242">
        <f>IF('I. Stream &amp; Compound Data'!P265&lt;&gt;"",'I. Stream &amp; Compound Data'!P265,"")</f>
        <v>0</v>
      </c>
      <c r="K1542" s="1242">
        <f>IF('I. Stream &amp; Compound Data'!AM265&lt;&gt;"",'I. Stream &amp; Compound Data'!AM265,"")</f>
        <v>0</v>
      </c>
      <c r="L1542" s="1242">
        <f>IF(I1542="","",IF('I. Stream &amp; Compound Data'!E35="H2O",0,IF(K1542=0,1,500)))</f>
        <v>1</v>
      </c>
      <c r="M1542" s="1268">
        <f>IF(I1542="","",'V. Environmental'!L1542*'V. Environmental'!J1542)</f>
        <v>0</v>
      </c>
      <c r="N1542" s="327"/>
      <c r="O1542" s="327"/>
      <c r="P1542" s="292"/>
      <c r="Q1542" s="279"/>
      <c r="R1542" s="297"/>
      <c r="S1542" s="298"/>
      <c r="T1542" s="298"/>
      <c r="U1542" s="299"/>
      <c r="V1542" s="279"/>
      <c r="W1542" s="279"/>
      <c r="X1542" s="279"/>
      <c r="Y1542" s="279"/>
      <c r="Z1542" s="279"/>
      <c r="AA1542" s="279"/>
      <c r="AB1542" s="279"/>
      <c r="AC1542" s="279"/>
      <c r="AD1542" s="279"/>
      <c r="AE1542" s="279"/>
      <c r="AF1542" s="279"/>
      <c r="AG1542" s="279"/>
      <c r="AH1542" s="279"/>
      <c r="AI1542" s="279"/>
      <c r="AJ1542" s="279"/>
      <c r="AK1542" s="279"/>
      <c r="AL1542" s="279"/>
      <c r="AM1542" s="279"/>
      <c r="AN1542" s="279"/>
      <c r="AO1542" s="279"/>
      <c r="AP1542" s="279"/>
      <c r="AQ1542" s="279"/>
      <c r="AR1542" s="279"/>
      <c r="AS1542" s="279"/>
      <c r="AT1542" s="279"/>
      <c r="AU1542" s="279"/>
      <c r="AV1542" s="279"/>
      <c r="AW1542" s="279"/>
      <c r="AX1542" s="279"/>
      <c r="AY1542" s="279"/>
      <c r="AZ1542" s="279"/>
      <c r="BA1542" s="279"/>
      <c r="BB1542" s="279"/>
      <c r="BC1542" s="279"/>
      <c r="BD1542" s="279"/>
      <c r="BE1542" s="279"/>
      <c r="BF1542" s="279"/>
      <c r="BG1542" s="279"/>
      <c r="BH1542" s="279"/>
      <c r="BI1542" s="279"/>
      <c r="BJ1542" s="279"/>
      <c r="BK1542" s="279"/>
      <c r="BL1542" s="279"/>
      <c r="BM1542" s="279"/>
      <c r="BN1542" s="279"/>
      <c r="BO1542" s="279"/>
      <c r="BP1542" s="279"/>
      <c r="BQ1542" s="279"/>
      <c r="BR1542" s="279"/>
      <c r="BS1542" s="279"/>
      <c r="BT1542" s="279"/>
      <c r="BU1542" s="279"/>
      <c r="BV1542" s="279"/>
      <c r="BW1542" s="279"/>
      <c r="BX1542" s="279"/>
      <c r="BY1542" s="279"/>
      <c r="BZ1542" s="279"/>
      <c r="CA1542" s="279"/>
      <c r="CB1542" s="279"/>
      <c r="CC1542" s="279"/>
      <c r="CD1542" s="279"/>
      <c r="CE1542" s="279"/>
      <c r="CF1542" s="279"/>
      <c r="CG1542" s="279"/>
      <c r="CH1542" s="279"/>
      <c r="CI1542" s="279"/>
      <c r="CJ1542" s="279"/>
      <c r="CK1542" s="279"/>
      <c r="CL1542" s="279"/>
      <c r="CM1542" s="279"/>
      <c r="CN1542" s="382"/>
    </row>
    <row r="1543" x14ac:dyDescent="0.3">
      <c r="B1543" s="361"/>
      <c r="C1543" s="279"/>
      <c r="D1543" s="280"/>
      <c r="E1543" s="287"/>
      <c r="F1543" s="287"/>
      <c r="G1543" s="327"/>
      <c r="H1543" s="1292">
        <f t="shared" si="79"/>
        <v>5</v>
      </c>
      <c r="I1543" s="1323" t="str">
        <f>IF('I. Stream &amp; Compound Data'!G266&lt;&gt;"",'I. Stream &amp; Compound Data'!G266,"")</f>
        <v/>
      </c>
      <c r="J1543" s="1242" t="str">
        <f>IF('I. Stream &amp; Compound Data'!P266&lt;&gt;"",'I. Stream &amp; Compound Data'!P266,"")</f>
        <v/>
      </c>
      <c r="K1543" s="1242" t="str">
        <f>IF('I. Stream &amp; Compound Data'!AM266&lt;&gt;"",'I. Stream &amp; Compound Data'!AM266,"")</f>
        <v/>
      </c>
      <c r="L1543" s="1242" t="str">
        <f>IF(I1543="","",IF('I. Stream &amp; Compound Data'!E36="H2O",0,IF(K1543=0,1,500)))</f>
        <v/>
      </c>
      <c r="M1543" s="1268" t="str">
        <f>IF(I1543="","",'V. Environmental'!L1543*'V. Environmental'!J1543)</f>
        <v/>
      </c>
      <c r="N1543" s="327"/>
      <c r="O1543" s="327"/>
      <c r="P1543" s="292"/>
      <c r="Q1543" s="279"/>
      <c r="R1543" s="297"/>
      <c r="S1543" s="298"/>
      <c r="T1543" s="298"/>
      <c r="U1543" s="299"/>
      <c r="V1543" s="279"/>
      <c r="W1543" s="279"/>
      <c r="X1543" s="279"/>
      <c r="Y1543" s="279"/>
      <c r="Z1543" s="279"/>
      <c r="AA1543" s="279"/>
      <c r="AB1543" s="279"/>
      <c r="AC1543" s="279"/>
      <c r="AD1543" s="279"/>
      <c r="AE1543" s="279"/>
      <c r="AF1543" s="279"/>
      <c r="AG1543" s="279"/>
      <c r="AH1543" s="279"/>
      <c r="AI1543" s="279"/>
      <c r="AJ1543" s="279"/>
      <c r="AK1543" s="279"/>
      <c r="AL1543" s="279"/>
      <c r="AM1543" s="279"/>
      <c r="AN1543" s="279"/>
      <c r="AO1543" s="279"/>
      <c r="AP1543" s="279"/>
      <c r="AQ1543" s="279"/>
      <c r="AR1543" s="279"/>
      <c r="AS1543" s="279"/>
      <c r="AT1543" s="279"/>
      <c r="AU1543" s="279"/>
      <c r="AV1543" s="279"/>
      <c r="AW1543" s="279"/>
      <c r="AX1543" s="279"/>
      <c r="AY1543" s="279"/>
      <c r="AZ1543" s="279"/>
      <c r="BA1543" s="279"/>
      <c r="BB1543" s="279"/>
      <c r="BC1543" s="279"/>
      <c r="BD1543" s="279"/>
      <c r="BE1543" s="279"/>
      <c r="BF1543" s="279"/>
      <c r="BG1543" s="279"/>
      <c r="BH1543" s="279"/>
      <c r="BI1543" s="279"/>
      <c r="BJ1543" s="279"/>
      <c r="BK1543" s="279"/>
      <c r="BL1543" s="279"/>
      <c r="BM1543" s="279"/>
      <c r="BN1543" s="279"/>
      <c r="BO1543" s="279"/>
      <c r="BP1543" s="279"/>
      <c r="BQ1543" s="279"/>
      <c r="BR1543" s="279"/>
      <c r="BS1543" s="279"/>
      <c r="BT1543" s="279"/>
      <c r="BU1543" s="279"/>
      <c r="BV1543" s="279"/>
      <c r="BW1543" s="279"/>
      <c r="BX1543" s="279"/>
      <c r="BY1543" s="279"/>
      <c r="BZ1543" s="279"/>
      <c r="CA1543" s="279"/>
      <c r="CB1543" s="279"/>
      <c r="CC1543" s="279"/>
      <c r="CD1543" s="279"/>
      <c r="CE1543" s="279"/>
      <c r="CF1543" s="279"/>
      <c r="CG1543" s="279"/>
      <c r="CH1543" s="279"/>
      <c r="CI1543" s="279"/>
      <c r="CJ1543" s="279"/>
      <c r="CK1543" s="279"/>
      <c r="CL1543" s="279"/>
      <c r="CM1543" s="279"/>
      <c r="CN1543" s="382"/>
    </row>
    <row r="1544" x14ac:dyDescent="0.3">
      <c r="B1544" s="361"/>
      <c r="C1544" s="279"/>
      <c r="D1544" s="280"/>
      <c r="E1544" s="287"/>
      <c r="F1544" s="287"/>
      <c r="G1544" s="327"/>
      <c r="H1544" s="1292">
        <f t="shared" si="79"/>
        <v>6</v>
      </c>
      <c r="I1544" s="1323" t="str">
        <f>IF('I. Stream &amp; Compound Data'!G267&lt;&gt;"",'I. Stream &amp; Compound Data'!G267,"")</f>
        <v/>
      </c>
      <c r="J1544" s="1242" t="str">
        <f>IF('I. Stream &amp; Compound Data'!P267&lt;&gt;"",'I. Stream &amp; Compound Data'!P267,"")</f>
        <v/>
      </c>
      <c r="K1544" s="1242" t="str">
        <f>IF('I. Stream &amp; Compound Data'!AM267&lt;&gt;"",'I. Stream &amp; Compound Data'!AM267,"")</f>
        <v/>
      </c>
      <c r="L1544" s="1242" t="str">
        <f>IF(I1544="","",IF('I. Stream &amp; Compound Data'!E37="H2O",0,IF(K1544=0,1,500)))</f>
        <v/>
      </c>
      <c r="M1544" s="1268" t="str">
        <f>IF(I1544="","",'V. Environmental'!L1544*'V. Environmental'!J1544)</f>
        <v/>
      </c>
      <c r="N1544" s="327"/>
      <c r="O1544" s="327"/>
      <c r="P1544" s="292"/>
      <c r="Q1544" s="279"/>
      <c r="R1544" s="297"/>
      <c r="S1544" s="298"/>
      <c r="T1544" s="298"/>
      <c r="U1544" s="299"/>
      <c r="V1544" s="279"/>
      <c r="W1544" s="279"/>
      <c r="X1544" s="279"/>
      <c r="Y1544" s="279"/>
      <c r="Z1544" s="279"/>
      <c r="AA1544" s="279"/>
      <c r="AB1544" s="279"/>
      <c r="AC1544" s="279"/>
      <c r="AD1544" s="279"/>
      <c r="AE1544" s="279"/>
      <c r="AF1544" s="279"/>
      <c r="AG1544" s="279"/>
      <c r="AH1544" s="279"/>
      <c r="AI1544" s="279"/>
      <c r="AJ1544" s="279"/>
      <c r="AK1544" s="279"/>
      <c r="AL1544" s="279"/>
      <c r="AM1544" s="279"/>
      <c r="AN1544" s="279"/>
      <c r="AO1544" s="279"/>
      <c r="AP1544" s="279"/>
      <c r="AQ1544" s="279"/>
      <c r="AR1544" s="279"/>
      <c r="AS1544" s="279"/>
      <c r="AT1544" s="279"/>
      <c r="AU1544" s="279"/>
      <c r="AV1544" s="279"/>
      <c r="AW1544" s="279"/>
      <c r="AX1544" s="279"/>
      <c r="AY1544" s="279"/>
      <c r="AZ1544" s="279"/>
      <c r="BA1544" s="279"/>
      <c r="BB1544" s="279"/>
      <c r="BC1544" s="279"/>
      <c r="BD1544" s="279"/>
      <c r="BE1544" s="279"/>
      <c r="BF1544" s="279"/>
      <c r="BG1544" s="279"/>
      <c r="BH1544" s="279"/>
      <c r="BI1544" s="279"/>
      <c r="BJ1544" s="279"/>
      <c r="BK1544" s="279"/>
      <c r="BL1544" s="279"/>
      <c r="BM1544" s="279"/>
      <c r="BN1544" s="279"/>
      <c r="BO1544" s="279"/>
      <c r="BP1544" s="279"/>
      <c r="BQ1544" s="279"/>
      <c r="BR1544" s="279"/>
      <c r="BS1544" s="279"/>
      <c r="BT1544" s="279"/>
      <c r="BU1544" s="279"/>
      <c r="BV1544" s="279"/>
      <c r="BW1544" s="279"/>
      <c r="BX1544" s="279"/>
      <c r="BY1544" s="279"/>
      <c r="BZ1544" s="279"/>
      <c r="CA1544" s="279"/>
      <c r="CB1544" s="279"/>
      <c r="CC1544" s="279"/>
      <c r="CD1544" s="279"/>
      <c r="CE1544" s="279"/>
      <c r="CF1544" s="279"/>
      <c r="CG1544" s="279"/>
      <c r="CH1544" s="279"/>
      <c r="CI1544" s="279"/>
      <c r="CJ1544" s="279"/>
      <c r="CK1544" s="279"/>
      <c r="CL1544" s="279"/>
      <c r="CM1544" s="279"/>
      <c r="CN1544" s="382"/>
    </row>
    <row r="1545" x14ac:dyDescent="0.3">
      <c r="B1545" s="361"/>
      <c r="C1545" s="279"/>
      <c r="D1545" s="280"/>
      <c r="E1545" s="287"/>
      <c r="F1545" s="287"/>
      <c r="G1545" s="287"/>
      <c r="H1545" s="1292">
        <f t="shared" si="79"/>
        <v>7</v>
      </c>
      <c r="I1545" s="1323" t="str">
        <f>IF('I. Stream &amp; Compound Data'!G268&lt;&gt;"",'I. Stream &amp; Compound Data'!G268,"")</f>
        <v/>
      </c>
      <c r="J1545" s="1242" t="str">
        <f>IF('I. Stream &amp; Compound Data'!P268&lt;&gt;"",'I. Stream &amp; Compound Data'!P268,"")</f>
        <v/>
      </c>
      <c r="K1545" s="1242" t="str">
        <f>IF('I. Stream &amp; Compound Data'!AM268&lt;&gt;"",'I. Stream &amp; Compound Data'!AM268,"")</f>
        <v/>
      </c>
      <c r="L1545" s="1242" t="str">
        <f>IF(I1545="","",IF('I. Stream &amp; Compound Data'!E38="H2O",0,IF(K1545=0,1,500)))</f>
        <v/>
      </c>
      <c r="M1545" s="1268" t="str">
        <f>IF(I1545="","",'V. Environmental'!L1545*'V. Environmental'!J1545)</f>
        <v/>
      </c>
      <c r="N1545" s="296"/>
      <c r="O1545" s="292"/>
      <c r="P1545" s="292"/>
      <c r="Q1545" s="279"/>
      <c r="R1545" s="297"/>
      <c r="S1545" s="298"/>
      <c r="T1545" s="298"/>
      <c r="U1545" s="299"/>
      <c r="V1545" s="279"/>
      <c r="W1545" s="279"/>
      <c r="X1545" s="279"/>
      <c r="Y1545" s="279"/>
      <c r="Z1545" s="279"/>
      <c r="AA1545" s="279"/>
      <c r="AB1545" s="279"/>
      <c r="AC1545" s="279"/>
      <c r="AD1545" s="279"/>
      <c r="AE1545" s="279"/>
      <c r="AF1545" s="279"/>
      <c r="AG1545" s="279"/>
      <c r="AH1545" s="279"/>
      <c r="AI1545" s="279"/>
      <c r="AJ1545" s="279"/>
      <c r="AK1545" s="279"/>
      <c r="AL1545" s="279"/>
      <c r="AM1545" s="279"/>
      <c r="AN1545" s="279"/>
      <c r="AO1545" s="279"/>
      <c r="AP1545" s="279"/>
      <c r="AQ1545" s="279"/>
      <c r="AR1545" s="279"/>
      <c r="AS1545" s="279"/>
      <c r="AT1545" s="279"/>
      <c r="AU1545" s="279"/>
      <c r="AV1545" s="279"/>
      <c r="AW1545" s="279"/>
      <c r="AX1545" s="279"/>
      <c r="AY1545" s="279"/>
      <c r="AZ1545" s="279"/>
      <c r="BA1545" s="279"/>
      <c r="BB1545" s="279"/>
      <c r="BC1545" s="279"/>
      <c r="BD1545" s="279"/>
      <c r="BE1545" s="279"/>
      <c r="BF1545" s="279"/>
      <c r="BG1545" s="279"/>
      <c r="BH1545" s="279"/>
      <c r="BI1545" s="279"/>
      <c r="BJ1545" s="279"/>
      <c r="BK1545" s="279"/>
      <c r="BL1545" s="279"/>
      <c r="BM1545" s="279"/>
      <c r="BN1545" s="279"/>
      <c r="BO1545" s="279"/>
      <c r="BP1545" s="279"/>
      <c r="BQ1545" s="279"/>
      <c r="BR1545" s="279"/>
      <c r="BS1545" s="279"/>
      <c r="BT1545" s="279"/>
      <c r="BU1545" s="279"/>
      <c r="BV1545" s="279"/>
      <c r="BW1545" s="279"/>
      <c r="BX1545" s="279"/>
      <c r="BY1545" s="279"/>
      <c r="BZ1545" s="279"/>
      <c r="CA1545" s="279"/>
      <c r="CB1545" s="279"/>
      <c r="CC1545" s="279"/>
      <c r="CD1545" s="279"/>
      <c r="CE1545" s="279"/>
      <c r="CF1545" s="279"/>
      <c r="CG1545" s="279"/>
      <c r="CH1545" s="279"/>
      <c r="CI1545" s="279"/>
      <c r="CJ1545" s="279"/>
      <c r="CK1545" s="279"/>
      <c r="CL1545" s="279"/>
      <c r="CM1545" s="279"/>
      <c r="CN1545" s="382"/>
    </row>
    <row r="1546" x14ac:dyDescent="0.3">
      <c r="B1546" s="361"/>
      <c r="C1546" s="279"/>
      <c r="D1546" s="280"/>
      <c r="E1546" s="287"/>
      <c r="F1546" s="287"/>
      <c r="G1546" s="287"/>
      <c r="H1546" s="1292">
        <f t="shared" si="79"/>
        <v>8</v>
      </c>
      <c r="I1546" s="1323" t="str">
        <f>IF('I. Stream &amp; Compound Data'!G269&lt;&gt;"",'I. Stream &amp; Compound Data'!G269,"")</f>
        <v/>
      </c>
      <c r="J1546" s="1242" t="str">
        <f>IF('I. Stream &amp; Compound Data'!P269&lt;&gt;"",'I. Stream &amp; Compound Data'!P269,"")</f>
        <v/>
      </c>
      <c r="K1546" s="1242" t="str">
        <f>IF('I. Stream &amp; Compound Data'!AM269&lt;&gt;"",'I. Stream &amp; Compound Data'!AM269,"")</f>
        <v/>
      </c>
      <c r="L1546" s="1242" t="str">
        <f>IF(I1546="","",IF('I. Stream &amp; Compound Data'!E39="H2O",0,IF(K1546=0,1,500)))</f>
        <v/>
      </c>
      <c r="M1546" s="1268" t="str">
        <f>IF(I1546="","",'V. Environmental'!L1546*'V. Environmental'!J1546)</f>
        <v/>
      </c>
      <c r="N1546" s="296"/>
      <c r="O1546" s="292"/>
      <c r="P1546" s="292"/>
      <c r="Q1546" s="279"/>
      <c r="R1546" s="297"/>
      <c r="S1546" s="298"/>
      <c r="T1546" s="298"/>
      <c r="U1546" s="299"/>
      <c r="V1546" s="279"/>
      <c r="W1546" s="279"/>
      <c r="X1546" s="279"/>
      <c r="Y1546" s="279"/>
      <c r="Z1546" s="279"/>
      <c r="AA1546" s="279"/>
      <c r="AB1546" s="279"/>
      <c r="AC1546" s="279"/>
      <c r="AD1546" s="279"/>
      <c r="AE1546" s="279"/>
      <c r="AF1546" s="279"/>
      <c r="AG1546" s="279"/>
      <c r="AH1546" s="279"/>
      <c r="AI1546" s="279"/>
      <c r="AJ1546" s="279"/>
      <c r="AK1546" s="279"/>
      <c r="AL1546" s="279"/>
      <c r="AM1546" s="279"/>
      <c r="AN1546" s="279"/>
      <c r="AO1546" s="279"/>
      <c r="AP1546" s="279"/>
      <c r="AQ1546" s="279"/>
      <c r="AR1546" s="279"/>
      <c r="AS1546" s="279"/>
      <c r="AT1546" s="279"/>
      <c r="AU1546" s="279"/>
      <c r="AV1546" s="279"/>
      <c r="AW1546" s="279"/>
      <c r="AX1546" s="279"/>
      <c r="AY1546" s="279"/>
      <c r="AZ1546" s="279"/>
      <c r="BA1546" s="279"/>
      <c r="BB1546" s="279"/>
      <c r="BC1546" s="279"/>
      <c r="BD1546" s="279"/>
      <c r="BE1546" s="279"/>
      <c r="BF1546" s="279"/>
      <c r="BG1546" s="279"/>
      <c r="BH1546" s="279"/>
      <c r="BI1546" s="279"/>
      <c r="BJ1546" s="279"/>
      <c r="BK1546" s="279"/>
      <c r="BL1546" s="279"/>
      <c r="BM1546" s="279"/>
      <c r="BN1546" s="279"/>
      <c r="BO1546" s="279"/>
      <c r="BP1546" s="279"/>
      <c r="BQ1546" s="279"/>
      <c r="BR1546" s="279"/>
      <c r="BS1546" s="279"/>
      <c r="BT1546" s="279"/>
      <c r="BU1546" s="279"/>
      <c r="BV1546" s="279"/>
      <c r="BW1546" s="279"/>
      <c r="BX1546" s="279"/>
      <c r="BY1546" s="279"/>
      <c r="BZ1546" s="279"/>
      <c r="CA1546" s="279"/>
      <c r="CB1546" s="279"/>
      <c r="CC1546" s="279"/>
      <c r="CD1546" s="279"/>
      <c r="CE1546" s="279"/>
      <c r="CF1546" s="279"/>
      <c r="CG1546" s="279"/>
      <c r="CH1546" s="279"/>
      <c r="CI1546" s="279"/>
      <c r="CJ1546" s="279"/>
      <c r="CK1546" s="279"/>
      <c r="CL1546" s="279"/>
      <c r="CM1546" s="279"/>
      <c r="CN1546" s="382"/>
    </row>
    <row r="1547" x14ac:dyDescent="0.25">
      <c r="B1547" s="361"/>
      <c r="C1547" s="279"/>
      <c r="D1547" s="280"/>
      <c r="E1547" s="287"/>
      <c r="F1547" s="287"/>
      <c r="G1547" s="287"/>
      <c r="H1547" s="1292">
        <f t="shared" si="79"/>
        <v>9</v>
      </c>
      <c r="I1547" s="1323" t="str">
        <f>IF('I. Stream &amp; Compound Data'!G270&lt;&gt;"",'I. Stream &amp; Compound Data'!G270,"")</f>
        <v/>
      </c>
      <c r="J1547" s="1242" t="str">
        <f>IF('I. Stream &amp; Compound Data'!P270&lt;&gt;"",'I. Stream &amp; Compound Data'!P270,"")</f>
        <v/>
      </c>
      <c r="K1547" s="1242" t="str">
        <f>IF('I. Stream &amp; Compound Data'!AM270&lt;&gt;"",'I. Stream &amp; Compound Data'!AM270,"")</f>
        <v/>
      </c>
      <c r="L1547" s="1242" t="str">
        <f>IF(I1547="","",IF('I. Stream &amp; Compound Data'!E40="H2O",0,IF(K1547=0,1,500)))</f>
        <v/>
      </c>
      <c r="M1547" s="1268" t="str">
        <f>IF(I1547="","",'V. Environmental'!L1547*'V. Environmental'!J1547)</f>
        <v/>
      </c>
      <c r="N1547" s="296"/>
      <c r="O1547" s="328"/>
      <c r="P1547" s="329"/>
      <c r="Q1547" s="307"/>
      <c r="R1547" s="307"/>
      <c r="S1547" s="298"/>
      <c r="T1547" s="298"/>
      <c r="U1547" s="299"/>
      <c r="V1547" s="279"/>
      <c r="W1547" s="279"/>
      <c r="X1547" s="279"/>
      <c r="Y1547" s="279"/>
      <c r="Z1547" s="279"/>
      <c r="AA1547" s="279"/>
      <c r="AB1547" s="279"/>
      <c r="AC1547" s="279"/>
      <c r="AD1547" s="279"/>
      <c r="AE1547" s="279"/>
      <c r="AF1547" s="279"/>
      <c r="AG1547" s="279"/>
      <c r="AH1547" s="279"/>
      <c r="AI1547" s="279"/>
      <c r="AJ1547" s="279"/>
      <c r="AK1547" s="279"/>
      <c r="AL1547" s="279"/>
      <c r="AM1547" s="279"/>
      <c r="AN1547" s="279"/>
      <c r="AO1547" s="279"/>
      <c r="AP1547" s="279"/>
      <c r="AQ1547" s="279"/>
      <c r="AR1547" s="279"/>
      <c r="AS1547" s="279"/>
      <c r="AT1547" s="279"/>
      <c r="AU1547" s="279"/>
      <c r="AV1547" s="279"/>
      <c r="AW1547" s="279"/>
      <c r="AX1547" s="279"/>
      <c r="AY1547" s="279"/>
      <c r="AZ1547" s="279"/>
      <c r="BA1547" s="279"/>
      <c r="BB1547" s="279"/>
      <c r="BC1547" s="279"/>
      <c r="BD1547" s="279"/>
      <c r="BE1547" s="279"/>
      <c r="BF1547" s="279"/>
      <c r="BG1547" s="279"/>
      <c r="BH1547" s="279"/>
      <c r="BI1547" s="279"/>
      <c r="BJ1547" s="279"/>
      <c r="BK1547" s="279"/>
      <c r="BL1547" s="279"/>
      <c r="BM1547" s="279"/>
      <c r="BN1547" s="279"/>
      <c r="BO1547" s="279"/>
      <c r="BP1547" s="279"/>
      <c r="BQ1547" s="279"/>
      <c r="BR1547" s="279"/>
      <c r="BS1547" s="279"/>
      <c r="BT1547" s="279"/>
      <c r="BU1547" s="279"/>
      <c r="BV1547" s="279"/>
      <c r="BW1547" s="279"/>
      <c r="BX1547" s="279"/>
      <c r="BY1547" s="279"/>
      <c r="BZ1547" s="279"/>
      <c r="CA1547" s="279"/>
      <c r="CB1547" s="279"/>
      <c r="CC1547" s="279"/>
      <c r="CD1547" s="279"/>
      <c r="CE1547" s="279"/>
      <c r="CF1547" s="279"/>
      <c r="CG1547" s="279"/>
      <c r="CH1547" s="279"/>
      <c r="CI1547" s="279"/>
      <c r="CJ1547" s="279"/>
      <c r="CK1547" s="279"/>
      <c r="CL1547" s="279"/>
      <c r="CM1547" s="279"/>
      <c r="CN1547" s="382"/>
    </row>
    <row r="1548" x14ac:dyDescent="0.25">
      <c r="B1548" s="361"/>
      <c r="C1548" s="279"/>
      <c r="D1548" s="280"/>
      <c r="E1548" s="287"/>
      <c r="F1548" s="287"/>
      <c r="G1548" s="287"/>
      <c r="H1548" s="1292">
        <f t="shared" si="79"/>
        <v>10</v>
      </c>
      <c r="I1548" s="1323" t="str">
        <f>IF('I. Stream &amp; Compound Data'!G271&lt;&gt;"",'I. Stream &amp; Compound Data'!G271,"")</f>
        <v/>
      </c>
      <c r="J1548" s="1242" t="str">
        <f>IF('I. Stream &amp; Compound Data'!P271&lt;&gt;"",'I. Stream &amp; Compound Data'!P271,"")</f>
        <v/>
      </c>
      <c r="K1548" s="1242" t="str">
        <f>IF('I. Stream &amp; Compound Data'!AM271&lt;&gt;"",'I. Stream &amp; Compound Data'!AM271,"")</f>
        <v/>
      </c>
      <c r="L1548" s="1242" t="str">
        <f>IF(I1548="","",IF('I. Stream &amp; Compound Data'!E41="H2O",0,IF(K1548=0,1,500)))</f>
        <v/>
      </c>
      <c r="M1548" s="1268" t="str">
        <f>IF(I1548="","",'V. Environmental'!L1548*'V. Environmental'!J1548)</f>
        <v/>
      </c>
      <c r="N1548" s="296"/>
      <c r="O1548" s="287"/>
      <c r="P1548" s="296"/>
      <c r="Q1548" s="330"/>
      <c r="R1548" s="287"/>
      <c r="S1548" s="298"/>
      <c r="T1548" s="298"/>
      <c r="U1548" s="299"/>
      <c r="V1548" s="279"/>
      <c r="W1548" s="279"/>
      <c r="X1548" s="279"/>
      <c r="Y1548" s="279"/>
      <c r="Z1548" s="279"/>
      <c r="AA1548" s="279"/>
      <c r="AB1548" s="279"/>
      <c r="AC1548" s="279"/>
      <c r="AD1548" s="279"/>
      <c r="AE1548" s="279"/>
      <c r="AF1548" s="279"/>
      <c r="AG1548" s="279"/>
      <c r="AH1548" s="279"/>
      <c r="AI1548" s="279"/>
      <c r="AJ1548" s="279"/>
      <c r="AK1548" s="279"/>
      <c r="AL1548" s="279"/>
      <c r="AM1548" s="279"/>
      <c r="AN1548" s="279"/>
      <c r="AO1548" s="279"/>
      <c r="AP1548" s="279"/>
      <c r="AQ1548" s="279"/>
      <c r="AR1548" s="279"/>
      <c r="AS1548" s="279"/>
      <c r="AT1548" s="279"/>
      <c r="AU1548" s="279"/>
      <c r="AV1548" s="279"/>
      <c r="AW1548" s="279"/>
      <c r="AX1548" s="279"/>
      <c r="AY1548" s="279"/>
      <c r="AZ1548" s="279"/>
      <c r="BA1548" s="279"/>
      <c r="BB1548" s="279"/>
      <c r="BC1548" s="279"/>
      <c r="BD1548" s="279"/>
      <c r="BE1548" s="279"/>
      <c r="BF1548" s="279"/>
      <c r="BG1548" s="279"/>
      <c r="BH1548" s="279"/>
      <c r="BI1548" s="279"/>
      <c r="BJ1548" s="279"/>
      <c r="BK1548" s="279"/>
      <c r="BL1548" s="279"/>
      <c r="BM1548" s="279"/>
      <c r="BN1548" s="279"/>
      <c r="BO1548" s="279"/>
      <c r="BP1548" s="279"/>
      <c r="BQ1548" s="279"/>
      <c r="BR1548" s="279"/>
      <c r="BS1548" s="279"/>
      <c r="BT1548" s="279"/>
      <c r="BU1548" s="279"/>
      <c r="BV1548" s="279"/>
      <c r="BW1548" s="279"/>
      <c r="BX1548" s="279"/>
      <c r="BY1548" s="279"/>
      <c r="BZ1548" s="279"/>
      <c r="CA1548" s="279"/>
      <c r="CB1548" s="279"/>
      <c r="CC1548" s="279"/>
      <c r="CD1548" s="279"/>
      <c r="CE1548" s="279"/>
      <c r="CF1548" s="279"/>
      <c r="CG1548" s="279"/>
      <c r="CH1548" s="279"/>
      <c r="CI1548" s="279"/>
      <c r="CJ1548" s="279"/>
      <c r="CK1548" s="279"/>
      <c r="CL1548" s="279"/>
      <c r="CM1548" s="279"/>
      <c r="CN1548" s="382"/>
    </row>
    <row r="1549" x14ac:dyDescent="0.25">
      <c r="B1549" s="361"/>
      <c r="C1549" s="279"/>
      <c r="D1549" s="280"/>
      <c r="E1549" s="287"/>
      <c r="F1549" s="287"/>
      <c r="G1549" s="287"/>
      <c r="H1549" s="1292">
        <f t="shared" si="79"/>
        <v>11</v>
      </c>
      <c r="I1549" s="1323" t="str">
        <f>IF('I. Stream &amp; Compound Data'!G272&lt;&gt;"",'I. Stream &amp; Compound Data'!G272,"")</f>
        <v/>
      </c>
      <c r="J1549" s="1242" t="str">
        <f>IF('I. Stream &amp; Compound Data'!P272&lt;&gt;"",'I. Stream &amp; Compound Data'!P272,"")</f>
        <v/>
      </c>
      <c r="K1549" s="1242" t="str">
        <f>IF('I. Stream &amp; Compound Data'!AM272&lt;&gt;"",'I. Stream &amp; Compound Data'!AM272,"")</f>
        <v/>
      </c>
      <c r="L1549" s="1242" t="str">
        <f>IF(I1549="","",IF('I. Stream &amp; Compound Data'!E42="H2O",0,IF(K1549=0,1,500)))</f>
        <v/>
      </c>
      <c r="M1549" s="1268" t="str">
        <f>IF(I1549="","",'V. Environmental'!L1549*'V. Environmental'!J1549)</f>
        <v/>
      </c>
      <c r="N1549" s="296"/>
      <c r="O1549" s="287"/>
      <c r="P1549" s="296"/>
      <c r="Q1549" s="330"/>
      <c r="R1549" s="287"/>
      <c r="S1549" s="298"/>
      <c r="T1549" s="298"/>
      <c r="U1549" s="299"/>
      <c r="V1549" s="279"/>
      <c r="W1549" s="279"/>
      <c r="X1549" s="279"/>
      <c r="Y1549" s="279"/>
      <c r="Z1549" s="279"/>
      <c r="AA1549" s="279"/>
      <c r="AB1549" s="279"/>
      <c r="AC1549" s="279"/>
      <c r="AD1549" s="279"/>
      <c r="AE1549" s="279"/>
      <c r="AF1549" s="279"/>
      <c r="AG1549" s="279"/>
      <c r="AH1549" s="279"/>
      <c r="AI1549" s="279"/>
      <c r="AJ1549" s="279"/>
      <c r="AK1549" s="279"/>
      <c r="AL1549" s="279"/>
      <c r="AM1549" s="279"/>
      <c r="AN1549" s="279"/>
      <c r="AO1549" s="279"/>
      <c r="AP1549" s="279"/>
      <c r="AQ1549" s="279"/>
      <c r="AR1549" s="279"/>
      <c r="AS1549" s="279"/>
      <c r="AT1549" s="279"/>
      <c r="AU1549" s="279"/>
      <c r="AV1549" s="279"/>
      <c r="AW1549" s="279"/>
      <c r="AX1549" s="279"/>
      <c r="AY1549" s="279"/>
      <c r="AZ1549" s="279"/>
      <c r="BA1549" s="279"/>
      <c r="BB1549" s="279"/>
      <c r="BC1549" s="279"/>
      <c r="BD1549" s="279"/>
      <c r="BE1549" s="279"/>
      <c r="BF1549" s="279"/>
      <c r="BG1549" s="279"/>
      <c r="BH1549" s="279"/>
      <c r="BI1549" s="279"/>
      <c r="BJ1549" s="279"/>
      <c r="BK1549" s="279"/>
      <c r="BL1549" s="279"/>
      <c r="BM1549" s="279"/>
      <c r="BN1549" s="279"/>
      <c r="BO1549" s="279"/>
      <c r="BP1549" s="279"/>
      <c r="BQ1549" s="279"/>
      <c r="BR1549" s="279"/>
      <c r="BS1549" s="279"/>
      <c r="BT1549" s="279"/>
      <c r="BU1549" s="279"/>
      <c r="BV1549" s="279"/>
      <c r="BW1549" s="279"/>
      <c r="BX1549" s="279"/>
      <c r="BY1549" s="279"/>
      <c r="BZ1549" s="279"/>
      <c r="CA1549" s="279"/>
      <c r="CB1549" s="279"/>
      <c r="CC1549" s="279"/>
      <c r="CD1549" s="279"/>
      <c r="CE1549" s="279"/>
      <c r="CF1549" s="279"/>
      <c r="CG1549" s="279"/>
      <c r="CH1549" s="279"/>
      <c r="CI1549" s="279"/>
      <c r="CJ1549" s="279"/>
      <c r="CK1549" s="279"/>
      <c r="CL1549" s="279"/>
      <c r="CM1549" s="279"/>
      <c r="CN1549" s="382"/>
    </row>
    <row r="1550" x14ac:dyDescent="0.25">
      <c r="B1550" s="361"/>
      <c r="C1550" s="279"/>
      <c r="D1550" s="280"/>
      <c r="E1550" s="287"/>
      <c r="F1550" s="287"/>
      <c r="G1550" s="287"/>
      <c r="H1550" s="1292">
        <f t="shared" si="79"/>
        <v>12</v>
      </c>
      <c r="I1550" s="1323" t="str">
        <f>IF('I. Stream &amp; Compound Data'!G273&lt;&gt;"",'I. Stream &amp; Compound Data'!G273,"")</f>
        <v/>
      </c>
      <c r="J1550" s="1242" t="str">
        <f>IF('I. Stream &amp; Compound Data'!P273&lt;&gt;"",'I. Stream &amp; Compound Data'!P273,"")</f>
        <v/>
      </c>
      <c r="K1550" s="1242" t="str">
        <f>IF('I. Stream &amp; Compound Data'!AM273&lt;&gt;"",'I. Stream &amp; Compound Data'!AM273,"")</f>
        <v/>
      </c>
      <c r="L1550" s="1242" t="str">
        <f>IF(I1550="","",IF('I. Stream &amp; Compound Data'!E43="H2O",0,IF(K1550=0,1,500)))</f>
        <v/>
      </c>
      <c r="M1550" s="1268" t="str">
        <f>IF(I1550="","",'V. Environmental'!L1550*'V. Environmental'!J1550)</f>
        <v/>
      </c>
      <c r="N1550" s="296"/>
      <c r="O1550" s="287"/>
      <c r="P1550" s="296"/>
      <c r="Q1550" s="330"/>
      <c r="R1550" s="287"/>
      <c r="S1550" s="298"/>
      <c r="T1550" s="298"/>
      <c r="U1550" s="299"/>
      <c r="V1550" s="279"/>
      <c r="W1550" s="279"/>
      <c r="X1550" s="279"/>
      <c r="Y1550" s="279"/>
      <c r="Z1550" s="279"/>
      <c r="AA1550" s="279"/>
      <c r="AB1550" s="279"/>
      <c r="AC1550" s="279"/>
      <c r="AD1550" s="279"/>
      <c r="AE1550" s="279"/>
      <c r="AF1550" s="279"/>
      <c r="AG1550" s="279"/>
      <c r="AH1550" s="279"/>
      <c r="AI1550" s="279"/>
      <c r="AJ1550" s="279"/>
      <c r="AK1550" s="279"/>
      <c r="AL1550" s="279"/>
      <c r="AM1550" s="279"/>
      <c r="AN1550" s="279"/>
      <c r="AO1550" s="279"/>
      <c r="AP1550" s="279"/>
      <c r="AQ1550" s="279"/>
      <c r="AR1550" s="279"/>
      <c r="AS1550" s="279"/>
      <c r="AT1550" s="279"/>
      <c r="AU1550" s="279"/>
      <c r="AV1550" s="279"/>
      <c r="AW1550" s="279"/>
      <c r="AX1550" s="279"/>
      <c r="AY1550" s="279"/>
      <c r="AZ1550" s="279"/>
      <c r="BA1550" s="279"/>
      <c r="BB1550" s="279"/>
      <c r="BC1550" s="279"/>
      <c r="BD1550" s="279"/>
      <c r="BE1550" s="279"/>
      <c r="BF1550" s="279"/>
      <c r="BG1550" s="279"/>
      <c r="BH1550" s="279"/>
      <c r="BI1550" s="279"/>
      <c r="BJ1550" s="279"/>
      <c r="BK1550" s="279"/>
      <c r="BL1550" s="279"/>
      <c r="BM1550" s="279"/>
      <c r="BN1550" s="279"/>
      <c r="BO1550" s="279"/>
      <c r="BP1550" s="279"/>
      <c r="BQ1550" s="279"/>
      <c r="BR1550" s="279"/>
      <c r="BS1550" s="279"/>
      <c r="BT1550" s="279"/>
      <c r="BU1550" s="279"/>
      <c r="BV1550" s="279"/>
      <c r="BW1550" s="279"/>
      <c r="BX1550" s="279"/>
      <c r="BY1550" s="279"/>
      <c r="BZ1550" s="279"/>
      <c r="CA1550" s="279"/>
      <c r="CB1550" s="279"/>
      <c r="CC1550" s="279"/>
      <c r="CD1550" s="279"/>
      <c r="CE1550" s="279"/>
      <c r="CF1550" s="279"/>
      <c r="CG1550" s="279"/>
      <c r="CH1550" s="279"/>
      <c r="CI1550" s="279"/>
      <c r="CJ1550" s="279"/>
      <c r="CK1550" s="279"/>
      <c r="CL1550" s="279"/>
      <c r="CM1550" s="279"/>
      <c r="CN1550" s="382"/>
    </row>
    <row r="1551" x14ac:dyDescent="0.25">
      <c r="B1551" s="361"/>
      <c r="C1551" s="279"/>
      <c r="D1551" s="280"/>
      <c r="E1551" s="287"/>
      <c r="F1551" s="287"/>
      <c r="G1551" s="287"/>
      <c r="H1551" s="1292">
        <f t="shared" si="79"/>
        <v>13</v>
      </c>
      <c r="I1551" s="1323" t="str">
        <f>IF('I. Stream &amp; Compound Data'!G274&lt;&gt;"",'I. Stream &amp; Compound Data'!G274,"")</f>
        <v/>
      </c>
      <c r="J1551" s="1242" t="str">
        <f>IF('I. Stream &amp; Compound Data'!P274&lt;&gt;"",'I. Stream &amp; Compound Data'!P274,"")</f>
        <v/>
      </c>
      <c r="K1551" s="1242" t="str">
        <f>IF('I. Stream &amp; Compound Data'!AM274&lt;&gt;"",'I. Stream &amp; Compound Data'!AM274,"")</f>
        <v/>
      </c>
      <c r="L1551" s="1242" t="str">
        <f>IF(I1551="","",IF('I. Stream &amp; Compound Data'!E44="H2O",0,IF(K1551=0,1,500)))</f>
        <v/>
      </c>
      <c r="M1551" s="1268" t="str">
        <f>IF(I1551="","",'V. Environmental'!L1551*'V. Environmental'!J1551)</f>
        <v/>
      </c>
      <c r="N1551" s="296"/>
      <c r="O1551" s="287"/>
      <c r="P1551" s="296"/>
      <c r="Q1551" s="330"/>
      <c r="R1551" s="287"/>
      <c r="S1551" s="298"/>
      <c r="T1551" s="298"/>
      <c r="U1551" s="299"/>
      <c r="V1551" s="279"/>
      <c r="W1551" s="279"/>
      <c r="X1551" s="279"/>
      <c r="Y1551" s="279"/>
      <c r="Z1551" s="279"/>
      <c r="AA1551" s="279"/>
      <c r="AB1551" s="279"/>
      <c r="AC1551" s="279"/>
      <c r="AD1551" s="279"/>
      <c r="AE1551" s="279"/>
      <c r="AF1551" s="279"/>
      <c r="AG1551" s="279"/>
      <c r="AH1551" s="279"/>
      <c r="AI1551" s="279"/>
      <c r="AJ1551" s="279"/>
      <c r="AK1551" s="279"/>
      <c r="AL1551" s="279"/>
      <c r="AM1551" s="279"/>
      <c r="AN1551" s="279"/>
      <c r="AO1551" s="279"/>
      <c r="AP1551" s="279"/>
      <c r="AQ1551" s="279"/>
      <c r="AR1551" s="279"/>
      <c r="AS1551" s="279"/>
      <c r="AT1551" s="279"/>
      <c r="AU1551" s="279"/>
      <c r="AV1551" s="279"/>
      <c r="AW1551" s="279"/>
      <c r="AX1551" s="279"/>
      <c r="AY1551" s="279"/>
      <c r="AZ1551" s="279"/>
      <c r="BA1551" s="279"/>
      <c r="BB1551" s="279"/>
      <c r="BC1551" s="279"/>
      <c r="BD1551" s="279"/>
      <c r="BE1551" s="279"/>
      <c r="BF1551" s="279"/>
      <c r="BG1551" s="279"/>
      <c r="BH1551" s="279"/>
      <c r="BI1551" s="279"/>
      <c r="BJ1551" s="279"/>
      <c r="BK1551" s="279"/>
      <c r="BL1551" s="279"/>
      <c r="BM1551" s="279"/>
      <c r="BN1551" s="279"/>
      <c r="BO1551" s="279"/>
      <c r="BP1551" s="279"/>
      <c r="BQ1551" s="279"/>
      <c r="BR1551" s="279"/>
      <c r="BS1551" s="279"/>
      <c r="BT1551" s="279"/>
      <c r="BU1551" s="279"/>
      <c r="BV1551" s="279"/>
      <c r="BW1551" s="279"/>
      <c r="BX1551" s="279"/>
      <c r="BY1551" s="279"/>
      <c r="BZ1551" s="279"/>
      <c r="CA1551" s="279"/>
      <c r="CB1551" s="279"/>
      <c r="CC1551" s="279"/>
      <c r="CD1551" s="279"/>
      <c r="CE1551" s="279"/>
      <c r="CF1551" s="279"/>
      <c r="CG1551" s="279"/>
      <c r="CH1551" s="279"/>
      <c r="CI1551" s="279"/>
      <c r="CJ1551" s="279"/>
      <c r="CK1551" s="279"/>
      <c r="CL1551" s="279"/>
      <c r="CM1551" s="279"/>
      <c r="CN1551" s="382"/>
    </row>
    <row r="1552" x14ac:dyDescent="0.25">
      <c r="B1552" s="361"/>
      <c r="C1552" s="279"/>
      <c r="D1552" s="280"/>
      <c r="E1552" s="287"/>
      <c r="F1552" s="287"/>
      <c r="G1552" s="287"/>
      <c r="H1552" s="1292">
        <f t="shared" si="79"/>
        <v>14</v>
      </c>
      <c r="I1552" s="1323" t="str">
        <f>IF('I. Stream &amp; Compound Data'!G275&lt;&gt;"",'I. Stream &amp; Compound Data'!G275,"")</f>
        <v/>
      </c>
      <c r="J1552" s="1242" t="str">
        <f>IF('I. Stream &amp; Compound Data'!P275&lt;&gt;"",'I. Stream &amp; Compound Data'!P275,"")</f>
        <v/>
      </c>
      <c r="K1552" s="1242" t="str">
        <f>IF('I. Stream &amp; Compound Data'!AM275&lt;&gt;"",'I. Stream &amp; Compound Data'!AM275,"")</f>
        <v/>
      </c>
      <c r="L1552" s="1242" t="str">
        <f>IF(I1552="","",IF('I. Stream &amp; Compound Data'!E45="H2O",0,IF(K1552=0,1,500)))</f>
        <v/>
      </c>
      <c r="M1552" s="1268" t="str">
        <f>IF(I1552="","",'V. Environmental'!L1552*'V. Environmental'!J1552)</f>
        <v/>
      </c>
      <c r="N1552" s="296"/>
      <c r="O1552" s="287"/>
      <c r="P1552" s="296"/>
      <c r="Q1552" s="330"/>
      <c r="R1552" s="287"/>
      <c r="S1552" s="298"/>
      <c r="T1552" s="298"/>
      <c r="U1552" s="299"/>
      <c r="V1552" s="279"/>
      <c r="W1552" s="279"/>
      <c r="X1552" s="279"/>
      <c r="Y1552" s="279"/>
      <c r="Z1552" s="279"/>
      <c r="AA1552" s="279"/>
      <c r="AB1552" s="279"/>
      <c r="AC1552" s="279"/>
      <c r="AD1552" s="279"/>
      <c r="AE1552" s="279"/>
      <c r="AF1552" s="279"/>
      <c r="AG1552" s="279"/>
      <c r="AH1552" s="279"/>
      <c r="AI1552" s="279"/>
      <c r="AJ1552" s="279"/>
      <c r="AK1552" s="279"/>
      <c r="AL1552" s="279"/>
      <c r="AM1552" s="279"/>
      <c r="AN1552" s="279"/>
      <c r="AO1552" s="279"/>
      <c r="AP1552" s="279"/>
      <c r="AQ1552" s="279"/>
      <c r="AR1552" s="279"/>
      <c r="AS1552" s="279"/>
      <c r="AT1552" s="279"/>
      <c r="AU1552" s="279"/>
      <c r="AV1552" s="279"/>
      <c r="AW1552" s="279"/>
      <c r="AX1552" s="279"/>
      <c r="AY1552" s="279"/>
      <c r="AZ1552" s="279"/>
      <c r="BA1552" s="279"/>
      <c r="BB1552" s="279"/>
      <c r="BC1552" s="279"/>
      <c r="BD1552" s="279"/>
      <c r="BE1552" s="279"/>
      <c r="BF1552" s="279"/>
      <c r="BG1552" s="279"/>
      <c r="BH1552" s="279"/>
      <c r="BI1552" s="279"/>
      <c r="BJ1552" s="279"/>
      <c r="BK1552" s="279"/>
      <c r="BL1552" s="279"/>
      <c r="BM1552" s="279"/>
      <c r="BN1552" s="279"/>
      <c r="BO1552" s="279"/>
      <c r="BP1552" s="279"/>
      <c r="BQ1552" s="279"/>
      <c r="BR1552" s="279"/>
      <c r="BS1552" s="279"/>
      <c r="BT1552" s="279"/>
      <c r="BU1552" s="279"/>
      <c r="BV1552" s="279"/>
      <c r="BW1552" s="279"/>
      <c r="BX1552" s="279"/>
      <c r="BY1552" s="279"/>
      <c r="BZ1552" s="279"/>
      <c r="CA1552" s="279"/>
      <c r="CB1552" s="279"/>
      <c r="CC1552" s="279"/>
      <c r="CD1552" s="279"/>
      <c r="CE1552" s="279"/>
      <c r="CF1552" s="279"/>
      <c r="CG1552" s="279"/>
      <c r="CH1552" s="279"/>
      <c r="CI1552" s="279"/>
      <c r="CJ1552" s="279"/>
      <c r="CK1552" s="279"/>
      <c r="CL1552" s="279"/>
      <c r="CM1552" s="279"/>
      <c r="CN1552" s="382"/>
    </row>
    <row r="1553" x14ac:dyDescent="0.25">
      <c r="B1553" s="361"/>
      <c r="C1553" s="279"/>
      <c r="D1553" s="280"/>
      <c r="E1553" s="287"/>
      <c r="F1553" s="287"/>
      <c r="G1553" s="287"/>
      <c r="H1553" s="1292">
        <f t="shared" si="79"/>
        <v>15</v>
      </c>
      <c r="I1553" s="1323" t="str">
        <f>IF('I. Stream &amp; Compound Data'!G276&lt;&gt;"",'I. Stream &amp; Compound Data'!G276,"")</f>
        <v/>
      </c>
      <c r="J1553" s="1242" t="str">
        <f>IF('I. Stream &amp; Compound Data'!P276&lt;&gt;"",'I. Stream &amp; Compound Data'!P276,"")</f>
        <v/>
      </c>
      <c r="K1553" s="1242" t="str">
        <f>IF('I. Stream &amp; Compound Data'!AM276&lt;&gt;"",'I. Stream &amp; Compound Data'!AM276,"")</f>
        <v/>
      </c>
      <c r="L1553" s="1242" t="str">
        <f>IF(I1553="","",IF('I. Stream &amp; Compound Data'!E46="H2O",0,IF(K1553=0,1,500)))</f>
        <v/>
      </c>
      <c r="M1553" s="1268" t="str">
        <f>IF(I1553="","",'V. Environmental'!L1553*'V. Environmental'!J1553)</f>
        <v/>
      </c>
      <c r="N1553" s="296"/>
      <c r="O1553" s="287"/>
      <c r="P1553" s="296"/>
      <c r="Q1553" s="330"/>
      <c r="R1553" s="287"/>
      <c r="S1553" s="298"/>
      <c r="T1553" s="298"/>
      <c r="U1553" s="299"/>
      <c r="V1553" s="279"/>
      <c r="W1553" s="279"/>
      <c r="X1553" s="279"/>
      <c r="Y1553" s="279"/>
      <c r="Z1553" s="279"/>
      <c r="AA1553" s="279"/>
      <c r="AB1553" s="279"/>
      <c r="AC1553" s="279"/>
      <c r="AD1553" s="279"/>
      <c r="AE1553" s="279"/>
      <c r="AF1553" s="279"/>
      <c r="AG1553" s="279"/>
      <c r="AH1553" s="279"/>
      <c r="AI1553" s="279"/>
      <c r="AJ1553" s="279"/>
      <c r="AK1553" s="279"/>
      <c r="AL1553" s="279"/>
      <c r="AM1553" s="279"/>
      <c r="AN1553" s="279"/>
      <c r="AO1553" s="279"/>
      <c r="AP1553" s="279"/>
      <c r="AQ1553" s="279"/>
      <c r="AR1553" s="279"/>
      <c r="AS1553" s="279"/>
      <c r="AT1553" s="279"/>
      <c r="AU1553" s="279"/>
      <c r="AV1553" s="279"/>
      <c r="AW1553" s="279"/>
      <c r="AX1553" s="279"/>
      <c r="AY1553" s="279"/>
      <c r="AZ1553" s="279"/>
      <c r="BA1553" s="279"/>
      <c r="BB1553" s="279"/>
      <c r="BC1553" s="279"/>
      <c r="BD1553" s="279"/>
      <c r="BE1553" s="279"/>
      <c r="BF1553" s="279"/>
      <c r="BG1553" s="279"/>
      <c r="BH1553" s="279"/>
      <c r="BI1553" s="279"/>
      <c r="BJ1553" s="279"/>
      <c r="BK1553" s="279"/>
      <c r="BL1553" s="279"/>
      <c r="BM1553" s="279"/>
      <c r="BN1553" s="279"/>
      <c r="BO1553" s="279"/>
      <c r="BP1553" s="279"/>
      <c r="BQ1553" s="279"/>
      <c r="BR1553" s="279"/>
      <c r="BS1553" s="279"/>
      <c r="BT1553" s="279"/>
      <c r="BU1553" s="279"/>
      <c r="BV1553" s="279"/>
      <c r="BW1553" s="279"/>
      <c r="BX1553" s="279"/>
      <c r="BY1553" s="279"/>
      <c r="BZ1553" s="279"/>
      <c r="CA1553" s="279"/>
      <c r="CB1553" s="279"/>
      <c r="CC1553" s="279"/>
      <c r="CD1553" s="279"/>
      <c r="CE1553" s="279"/>
      <c r="CF1553" s="279"/>
      <c r="CG1553" s="279"/>
      <c r="CH1553" s="279"/>
      <c r="CI1553" s="279"/>
      <c r="CJ1553" s="279"/>
      <c r="CK1553" s="279"/>
      <c r="CL1553" s="279"/>
      <c r="CM1553" s="279"/>
      <c r="CN1553" s="382"/>
    </row>
    <row r="1554" x14ac:dyDescent="0.25">
      <c r="B1554" s="361"/>
      <c r="C1554" s="279"/>
      <c r="D1554" s="280"/>
      <c r="E1554" s="287"/>
      <c r="F1554" s="287"/>
      <c r="G1554" s="287"/>
      <c r="H1554" s="1292">
        <f t="shared" si="79"/>
        <v>16</v>
      </c>
      <c r="I1554" s="1323" t="str">
        <f>IF('I. Stream &amp; Compound Data'!G277&lt;&gt;"",'I. Stream &amp; Compound Data'!G277,"")</f>
        <v/>
      </c>
      <c r="J1554" s="1242" t="str">
        <f>IF('I. Stream &amp; Compound Data'!P277&lt;&gt;"",'I. Stream &amp; Compound Data'!P277,"")</f>
        <v/>
      </c>
      <c r="K1554" s="1242" t="str">
        <f>IF('I. Stream &amp; Compound Data'!AM277&lt;&gt;"",'I. Stream &amp; Compound Data'!AM277,"")</f>
        <v/>
      </c>
      <c r="L1554" s="1242" t="str">
        <f>IF(I1554="","",IF('I. Stream &amp; Compound Data'!E47="H2O",0,IF(K1554=0,1,500)))</f>
        <v/>
      </c>
      <c r="M1554" s="1268" t="str">
        <f>IF(I1554="","",'V. Environmental'!L1554*'V. Environmental'!J1554)</f>
        <v/>
      </c>
      <c r="N1554" s="296"/>
      <c r="O1554" s="287"/>
      <c r="P1554" s="296"/>
      <c r="Q1554" s="330"/>
      <c r="R1554" s="287"/>
      <c r="S1554" s="298"/>
      <c r="T1554" s="298"/>
      <c r="U1554" s="299"/>
      <c r="V1554" s="279"/>
      <c r="W1554" s="279"/>
      <c r="X1554" s="279"/>
      <c r="Y1554" s="279"/>
      <c r="Z1554" s="279"/>
      <c r="AA1554" s="279"/>
      <c r="AB1554" s="279"/>
      <c r="AC1554" s="279"/>
      <c r="AD1554" s="279"/>
      <c r="AE1554" s="279"/>
      <c r="AF1554" s="279"/>
      <c r="AG1554" s="279"/>
      <c r="AH1554" s="279"/>
      <c r="AI1554" s="279"/>
      <c r="AJ1554" s="279"/>
      <c r="AK1554" s="279"/>
      <c r="AL1554" s="279"/>
      <c r="AM1554" s="279"/>
      <c r="AN1554" s="279"/>
      <c r="AO1554" s="279"/>
      <c r="AP1554" s="279"/>
      <c r="AQ1554" s="279"/>
      <c r="AR1554" s="279"/>
      <c r="AS1554" s="279"/>
      <c r="AT1554" s="279"/>
      <c r="AU1554" s="279"/>
      <c r="AV1554" s="279"/>
      <c r="AW1554" s="279"/>
      <c r="AX1554" s="279"/>
      <c r="AY1554" s="279"/>
      <c r="AZ1554" s="279"/>
      <c r="BA1554" s="279"/>
      <c r="BB1554" s="279"/>
      <c r="BC1554" s="279"/>
      <c r="BD1554" s="279"/>
      <c r="BE1554" s="279"/>
      <c r="BF1554" s="279"/>
      <c r="BG1554" s="279"/>
      <c r="BH1554" s="279"/>
      <c r="BI1554" s="279"/>
      <c r="BJ1554" s="279"/>
      <c r="BK1554" s="279"/>
      <c r="BL1554" s="279"/>
      <c r="BM1554" s="279"/>
      <c r="BN1554" s="279"/>
      <c r="BO1554" s="279"/>
      <c r="BP1554" s="279"/>
      <c r="BQ1554" s="279"/>
      <c r="BR1554" s="279"/>
      <c r="BS1554" s="279"/>
      <c r="BT1554" s="279"/>
      <c r="BU1554" s="279"/>
      <c r="BV1554" s="279"/>
      <c r="BW1554" s="279"/>
      <c r="BX1554" s="279"/>
      <c r="BY1554" s="279"/>
      <c r="BZ1554" s="279"/>
      <c r="CA1554" s="279"/>
      <c r="CB1554" s="279"/>
      <c r="CC1554" s="279"/>
      <c r="CD1554" s="279"/>
      <c r="CE1554" s="279"/>
      <c r="CF1554" s="279"/>
      <c r="CG1554" s="279"/>
      <c r="CH1554" s="279"/>
      <c r="CI1554" s="279"/>
      <c r="CJ1554" s="279"/>
      <c r="CK1554" s="279"/>
      <c r="CL1554" s="279"/>
      <c r="CM1554" s="279"/>
      <c r="CN1554" s="382"/>
    </row>
    <row r="1555" x14ac:dyDescent="0.25">
      <c r="B1555" s="361"/>
      <c r="C1555" s="279"/>
      <c r="D1555" s="280"/>
      <c r="E1555" s="287"/>
      <c r="F1555" s="287"/>
      <c r="G1555" s="287"/>
      <c r="H1555" s="1292">
        <f t="shared" si="79"/>
        <v>17</v>
      </c>
      <c r="I1555" s="1323" t="str">
        <f>IF('I. Stream &amp; Compound Data'!G278&lt;&gt;"",'I. Stream &amp; Compound Data'!G278,"")</f>
        <v/>
      </c>
      <c r="J1555" s="1242" t="str">
        <f>IF('I. Stream &amp; Compound Data'!P278&lt;&gt;"",'I. Stream &amp; Compound Data'!P278,"")</f>
        <v/>
      </c>
      <c r="K1555" s="1242" t="str">
        <f>IF('I. Stream &amp; Compound Data'!AM278&lt;&gt;"",'I. Stream &amp; Compound Data'!AM278,"")</f>
        <v/>
      </c>
      <c r="L1555" s="1242" t="str">
        <f>IF(I1555="","",IF('I. Stream &amp; Compound Data'!E48="H2O",0,IF(K1555=0,1,500)))</f>
        <v/>
      </c>
      <c r="M1555" s="1268" t="str">
        <f>IF(I1555="","",'V. Environmental'!L1555*'V. Environmental'!J1555)</f>
        <v/>
      </c>
      <c r="N1555" s="296"/>
      <c r="O1555" s="287"/>
      <c r="P1555" s="296"/>
      <c r="Q1555" s="330"/>
      <c r="R1555" s="287"/>
      <c r="S1555" s="298"/>
      <c r="T1555" s="298"/>
      <c r="U1555" s="299"/>
      <c r="V1555" s="279"/>
      <c r="W1555" s="279"/>
      <c r="X1555" s="279"/>
      <c r="Y1555" s="279"/>
      <c r="Z1555" s="279"/>
      <c r="AA1555" s="279"/>
      <c r="AB1555" s="279"/>
      <c r="AC1555" s="279"/>
      <c r="AD1555" s="279"/>
      <c r="AE1555" s="279"/>
      <c r="AF1555" s="279"/>
      <c r="AG1555" s="279"/>
      <c r="AH1555" s="279"/>
      <c r="AI1555" s="279"/>
      <c r="AJ1555" s="279"/>
      <c r="AK1555" s="279"/>
      <c r="AL1555" s="279"/>
      <c r="AM1555" s="279"/>
      <c r="AN1555" s="279"/>
      <c r="AO1555" s="279"/>
      <c r="AP1555" s="279"/>
      <c r="AQ1555" s="279"/>
      <c r="AR1555" s="279"/>
      <c r="AS1555" s="279"/>
      <c r="AT1555" s="279"/>
      <c r="AU1555" s="279"/>
      <c r="AV1555" s="279"/>
      <c r="AW1555" s="279"/>
      <c r="AX1555" s="279"/>
      <c r="AY1555" s="279"/>
      <c r="AZ1555" s="279"/>
      <c r="BA1555" s="279"/>
      <c r="BB1555" s="279"/>
      <c r="BC1555" s="279"/>
      <c r="BD1555" s="279"/>
      <c r="BE1555" s="279"/>
      <c r="BF1555" s="279"/>
      <c r="BG1555" s="279"/>
      <c r="BH1555" s="279"/>
      <c r="BI1555" s="279"/>
      <c r="BJ1555" s="279"/>
      <c r="BK1555" s="279"/>
      <c r="BL1555" s="279"/>
      <c r="BM1555" s="279"/>
      <c r="BN1555" s="279"/>
      <c r="BO1555" s="279"/>
      <c r="BP1555" s="279"/>
      <c r="BQ1555" s="279"/>
      <c r="BR1555" s="279"/>
      <c r="BS1555" s="279"/>
      <c r="BT1555" s="279"/>
      <c r="BU1555" s="279"/>
      <c r="BV1555" s="279"/>
      <c r="BW1555" s="279"/>
      <c r="BX1555" s="279"/>
      <c r="BY1555" s="279"/>
      <c r="BZ1555" s="279"/>
      <c r="CA1555" s="279"/>
      <c r="CB1555" s="279"/>
      <c r="CC1555" s="279"/>
      <c r="CD1555" s="279"/>
      <c r="CE1555" s="279"/>
      <c r="CF1555" s="279"/>
      <c r="CG1555" s="279"/>
      <c r="CH1555" s="279"/>
      <c r="CI1555" s="279"/>
      <c r="CJ1555" s="279"/>
      <c r="CK1555" s="279"/>
      <c r="CL1555" s="279"/>
      <c r="CM1555" s="279"/>
      <c r="CN1555" s="382"/>
    </row>
    <row r="1556" x14ac:dyDescent="0.25">
      <c r="B1556" s="361"/>
      <c r="C1556" s="279"/>
      <c r="D1556" s="280"/>
      <c r="E1556" s="287"/>
      <c r="F1556" s="287"/>
      <c r="G1556" s="287"/>
      <c r="H1556" s="1292">
        <f t="shared" si="79"/>
        <v>18</v>
      </c>
      <c r="I1556" s="1323" t="str">
        <f>IF('I. Stream &amp; Compound Data'!G279&lt;&gt;"",'I. Stream &amp; Compound Data'!G279,"")</f>
        <v/>
      </c>
      <c r="J1556" s="1242" t="str">
        <f>IF('I. Stream &amp; Compound Data'!P279&lt;&gt;"",'I. Stream &amp; Compound Data'!P279,"")</f>
        <v/>
      </c>
      <c r="K1556" s="1242" t="str">
        <f>IF('I. Stream &amp; Compound Data'!AM279&lt;&gt;"",'I. Stream &amp; Compound Data'!AM279,"")</f>
        <v/>
      </c>
      <c r="L1556" s="1242" t="str">
        <f>IF(I1556="","",IF('I. Stream &amp; Compound Data'!E49="H2O",0,IF(K1556=0,1,500)))</f>
        <v/>
      </c>
      <c r="M1556" s="1268" t="str">
        <f>IF(I1556="","",'V. Environmental'!L1556*'V. Environmental'!J1556)</f>
        <v/>
      </c>
      <c r="N1556" s="296"/>
      <c r="O1556" s="287"/>
      <c r="P1556" s="296"/>
      <c r="Q1556" s="287"/>
      <c r="R1556" s="296"/>
      <c r="S1556" s="298"/>
      <c r="T1556" s="298"/>
      <c r="U1556" s="299"/>
      <c r="V1556" s="279"/>
      <c r="W1556" s="279"/>
      <c r="X1556" s="279"/>
      <c r="Y1556" s="279"/>
      <c r="Z1556" s="279"/>
      <c r="AA1556" s="279"/>
      <c r="AB1556" s="279"/>
      <c r="AC1556" s="279"/>
      <c r="AD1556" s="279"/>
      <c r="AE1556" s="279"/>
      <c r="AF1556" s="279"/>
      <c r="AG1556" s="279"/>
      <c r="AH1556" s="279"/>
      <c r="AI1556" s="279"/>
      <c r="AJ1556" s="279"/>
      <c r="AK1556" s="279"/>
      <c r="AL1556" s="279"/>
      <c r="AM1556" s="279"/>
      <c r="AN1556" s="279"/>
      <c r="AO1556" s="279"/>
      <c r="AP1556" s="279"/>
      <c r="AQ1556" s="279"/>
      <c r="AR1556" s="279"/>
      <c r="AS1556" s="279"/>
      <c r="AT1556" s="279"/>
      <c r="AU1556" s="279"/>
      <c r="AV1556" s="279"/>
      <c r="AW1556" s="279"/>
      <c r="AX1556" s="279"/>
      <c r="AY1556" s="279"/>
      <c r="AZ1556" s="279"/>
      <c r="BA1556" s="279"/>
      <c r="BB1556" s="279"/>
      <c r="BC1556" s="279"/>
      <c r="BD1556" s="279"/>
      <c r="BE1556" s="279"/>
      <c r="BF1556" s="279"/>
      <c r="BG1556" s="279"/>
      <c r="BH1556" s="279"/>
      <c r="BI1556" s="279"/>
      <c r="BJ1556" s="279"/>
      <c r="BK1556" s="279"/>
      <c r="BL1556" s="279"/>
      <c r="BM1556" s="279"/>
      <c r="BN1556" s="279"/>
      <c r="BO1556" s="279"/>
      <c r="BP1556" s="279"/>
      <c r="BQ1556" s="279"/>
      <c r="BR1556" s="279"/>
      <c r="BS1556" s="279"/>
      <c r="BT1556" s="279"/>
      <c r="BU1556" s="279"/>
      <c r="BV1556" s="279"/>
      <c r="BW1556" s="279"/>
      <c r="BX1556" s="279"/>
      <c r="BY1556" s="279"/>
      <c r="BZ1556" s="279"/>
      <c r="CA1556" s="279"/>
      <c r="CB1556" s="279"/>
      <c r="CC1556" s="279"/>
      <c r="CD1556" s="279"/>
      <c r="CE1556" s="279"/>
      <c r="CF1556" s="279"/>
      <c r="CG1556" s="279"/>
      <c r="CH1556" s="279"/>
      <c r="CI1556" s="279"/>
      <c r="CJ1556" s="279"/>
      <c r="CK1556" s="279"/>
      <c r="CL1556" s="279"/>
      <c r="CM1556" s="279"/>
      <c r="CN1556" s="382"/>
    </row>
    <row r="1557" x14ac:dyDescent="0.25">
      <c r="B1557" s="361"/>
      <c r="C1557" s="279"/>
      <c r="D1557" s="280"/>
      <c r="E1557" s="287"/>
      <c r="F1557" s="287"/>
      <c r="G1557" s="287"/>
      <c r="H1557" s="1292">
        <f t="shared" si="79"/>
        <v>19</v>
      </c>
      <c r="I1557" s="1323" t="str">
        <f>IF('I. Stream &amp; Compound Data'!G280&lt;&gt;"",'I. Stream &amp; Compound Data'!G280,"")</f>
        <v/>
      </c>
      <c r="J1557" s="1242" t="str">
        <f>IF('I. Stream &amp; Compound Data'!P280&lt;&gt;"",'I. Stream &amp; Compound Data'!P280,"")</f>
        <v/>
      </c>
      <c r="K1557" s="1242" t="str">
        <f>IF('I. Stream &amp; Compound Data'!AM280&lt;&gt;"",'I. Stream &amp; Compound Data'!AM280,"")</f>
        <v/>
      </c>
      <c r="L1557" s="1242" t="str">
        <f>IF(I1557="","",IF('I. Stream &amp; Compound Data'!E50="H2O",0,IF(K1557=0,1,500)))</f>
        <v/>
      </c>
      <c r="M1557" s="1268" t="str">
        <f>IF(I1557="","",'V. Environmental'!L1557*'V. Environmental'!J1557)</f>
        <v/>
      </c>
      <c r="N1557" s="296"/>
      <c r="O1557" s="287"/>
      <c r="P1557" s="296"/>
      <c r="Q1557" s="287"/>
      <c r="R1557" s="296"/>
      <c r="S1557" s="298"/>
      <c r="T1557" s="298"/>
      <c r="U1557" s="299"/>
      <c r="V1557" s="279"/>
      <c r="W1557" s="279"/>
      <c r="X1557" s="279"/>
      <c r="Y1557" s="279"/>
      <c r="Z1557" s="279"/>
      <c r="AA1557" s="279"/>
      <c r="AB1557" s="279"/>
      <c r="AC1557" s="279"/>
      <c r="AD1557" s="279"/>
      <c r="AE1557" s="279"/>
      <c r="AF1557" s="279"/>
      <c r="AG1557" s="279"/>
      <c r="AH1557" s="279"/>
      <c r="AI1557" s="279"/>
      <c r="AJ1557" s="279"/>
      <c r="AK1557" s="279"/>
      <c r="AL1557" s="279"/>
      <c r="AM1557" s="279"/>
      <c r="AN1557" s="279"/>
      <c r="AO1557" s="279"/>
      <c r="AP1557" s="279"/>
      <c r="AQ1557" s="279"/>
      <c r="AR1557" s="279"/>
      <c r="AS1557" s="279"/>
      <c r="AT1557" s="279"/>
      <c r="AU1557" s="279"/>
      <c r="AV1557" s="279"/>
      <c r="AW1557" s="279"/>
      <c r="AX1557" s="279"/>
      <c r="AY1557" s="279"/>
      <c r="AZ1557" s="279"/>
      <c r="BA1557" s="279"/>
      <c r="BB1557" s="279"/>
      <c r="BC1557" s="279"/>
      <c r="BD1557" s="279"/>
      <c r="BE1557" s="279"/>
      <c r="BF1557" s="279"/>
      <c r="BG1557" s="279"/>
      <c r="BH1557" s="279"/>
      <c r="BI1557" s="279"/>
      <c r="BJ1557" s="279"/>
      <c r="BK1557" s="279"/>
      <c r="BL1557" s="279"/>
      <c r="BM1557" s="279"/>
      <c r="BN1557" s="279"/>
      <c r="BO1557" s="279"/>
      <c r="BP1557" s="279"/>
      <c r="BQ1557" s="279"/>
      <c r="BR1557" s="279"/>
      <c r="BS1557" s="279"/>
      <c r="BT1557" s="279"/>
      <c r="BU1557" s="279"/>
      <c r="BV1557" s="279"/>
      <c r="BW1557" s="279"/>
      <c r="BX1557" s="279"/>
      <c r="BY1557" s="279"/>
      <c r="BZ1557" s="279"/>
      <c r="CA1557" s="279"/>
      <c r="CB1557" s="279"/>
      <c r="CC1557" s="279"/>
      <c r="CD1557" s="279"/>
      <c r="CE1557" s="279"/>
      <c r="CF1557" s="279"/>
      <c r="CG1557" s="279"/>
      <c r="CH1557" s="279"/>
      <c r="CI1557" s="279"/>
      <c r="CJ1557" s="279"/>
      <c r="CK1557" s="279"/>
      <c r="CL1557" s="279"/>
      <c r="CM1557" s="279"/>
      <c r="CN1557" s="382"/>
    </row>
    <row r="1558" x14ac:dyDescent="0.25">
      <c r="B1558" s="361"/>
      <c r="C1558" s="279"/>
      <c r="D1558" s="280"/>
      <c r="E1558" s="287"/>
      <c r="F1558" s="287"/>
      <c r="G1558" s="287"/>
      <c r="H1558" s="1292">
        <f t="shared" si="79"/>
        <v>20</v>
      </c>
      <c r="I1558" s="1323" t="str">
        <f>IF('I. Stream &amp; Compound Data'!G281&lt;&gt;"",'I. Stream &amp; Compound Data'!G281,"")</f>
        <v/>
      </c>
      <c r="J1558" s="1242" t="str">
        <f>IF('I. Stream &amp; Compound Data'!P281&lt;&gt;"",'I. Stream &amp; Compound Data'!P281,"")</f>
        <v/>
      </c>
      <c r="K1558" s="1242" t="str">
        <f>IF('I. Stream &amp; Compound Data'!AM281&lt;&gt;"",'I. Stream &amp; Compound Data'!AM281,"")</f>
        <v/>
      </c>
      <c r="L1558" s="1242" t="str">
        <f>IF(I1558="","",IF('I. Stream &amp; Compound Data'!E51="H2O",0,IF(K1558=0,1,500)))</f>
        <v/>
      </c>
      <c r="M1558" s="1268" t="str">
        <f>IF(I1558="","",'V. Environmental'!L1558*'V. Environmental'!J1558)</f>
        <v/>
      </c>
      <c r="N1558" s="296"/>
      <c r="O1558" s="287"/>
      <c r="P1558" s="296"/>
      <c r="Q1558" s="287"/>
      <c r="R1558" s="296"/>
      <c r="S1558" s="298"/>
      <c r="T1558" s="298"/>
      <c r="U1558" s="299"/>
      <c r="V1558" s="279"/>
      <c r="W1558" s="279"/>
      <c r="X1558" s="279"/>
      <c r="Y1558" s="279"/>
      <c r="Z1558" s="279"/>
      <c r="AA1558" s="279"/>
      <c r="AB1558" s="279"/>
      <c r="AC1558" s="279"/>
      <c r="AD1558" s="279"/>
      <c r="AE1558" s="279"/>
      <c r="AF1558" s="279"/>
      <c r="AG1558" s="279"/>
      <c r="AH1558" s="279"/>
      <c r="AI1558" s="279"/>
      <c r="AJ1558" s="279"/>
      <c r="AK1558" s="279"/>
      <c r="AL1558" s="279"/>
      <c r="AM1558" s="279"/>
      <c r="AN1558" s="279"/>
      <c r="AO1558" s="279"/>
      <c r="AP1558" s="279"/>
      <c r="AQ1558" s="279"/>
      <c r="AR1558" s="279"/>
      <c r="AS1558" s="279"/>
      <c r="AT1558" s="279"/>
      <c r="AU1558" s="279"/>
      <c r="AV1558" s="279"/>
      <c r="AW1558" s="279"/>
      <c r="AX1558" s="279"/>
      <c r="AY1558" s="279"/>
      <c r="AZ1558" s="279"/>
      <c r="BA1558" s="279"/>
      <c r="BB1558" s="279"/>
      <c r="BC1558" s="279"/>
      <c r="BD1558" s="279"/>
      <c r="BE1558" s="279"/>
      <c r="BF1558" s="279"/>
      <c r="BG1558" s="279"/>
      <c r="BH1558" s="279"/>
      <c r="BI1558" s="279"/>
      <c r="BJ1558" s="279"/>
      <c r="BK1558" s="279"/>
      <c r="BL1558" s="279"/>
      <c r="BM1558" s="279"/>
      <c r="BN1558" s="279"/>
      <c r="BO1558" s="279"/>
      <c r="BP1558" s="279"/>
      <c r="BQ1558" s="279"/>
      <c r="BR1558" s="279"/>
      <c r="BS1558" s="279"/>
      <c r="BT1558" s="279"/>
      <c r="BU1558" s="279"/>
      <c r="BV1558" s="279"/>
      <c r="BW1558" s="279"/>
      <c r="BX1558" s="279"/>
      <c r="BY1558" s="279"/>
      <c r="BZ1558" s="279"/>
      <c r="CA1558" s="279"/>
      <c r="CB1558" s="279"/>
      <c r="CC1558" s="279"/>
      <c r="CD1558" s="279"/>
      <c r="CE1558" s="279"/>
      <c r="CF1558" s="279"/>
      <c r="CG1558" s="279"/>
      <c r="CH1558" s="279"/>
      <c r="CI1558" s="279"/>
      <c r="CJ1558" s="279"/>
      <c r="CK1558" s="279"/>
      <c r="CL1558" s="279"/>
      <c r="CM1558" s="279"/>
      <c r="CN1558" s="382"/>
    </row>
    <row r="1559" x14ac:dyDescent="0.25">
      <c r="B1559" s="361"/>
      <c r="C1559" s="279"/>
      <c r="D1559" s="280"/>
      <c r="E1559" s="287"/>
      <c r="F1559" s="287"/>
      <c r="G1559" s="287"/>
      <c r="H1559" s="1292">
        <f t="shared" si="79"/>
        <v>21</v>
      </c>
      <c r="I1559" s="1323" t="str">
        <f>IF('I. Stream &amp; Compound Data'!G282&lt;&gt;"",'I. Stream &amp; Compound Data'!G282,"")</f>
        <v/>
      </c>
      <c r="J1559" s="1242" t="str">
        <f>IF('I. Stream &amp; Compound Data'!P282&lt;&gt;"",'I. Stream &amp; Compound Data'!P282,"")</f>
        <v/>
      </c>
      <c r="K1559" s="1242" t="str">
        <f>IF('I. Stream &amp; Compound Data'!AM282&lt;&gt;"",'I. Stream &amp; Compound Data'!AM282,"")</f>
        <v/>
      </c>
      <c r="L1559" s="1242" t="str">
        <f>IF(I1559="","",IF('I. Stream &amp; Compound Data'!E52="H2O",0,IF(K1559=0,1,500)))</f>
        <v/>
      </c>
      <c r="M1559" s="1268" t="str">
        <f>IF(I1559="","",'V. Environmental'!L1559*'V. Environmental'!J1559)</f>
        <v/>
      </c>
      <c r="N1559" s="296"/>
      <c r="O1559" s="287"/>
      <c r="P1559" s="296"/>
      <c r="Q1559" s="287"/>
      <c r="R1559" s="296"/>
      <c r="S1559" s="298"/>
      <c r="T1559" s="298"/>
      <c r="U1559" s="299"/>
      <c r="V1559" s="279"/>
      <c r="W1559" s="279"/>
      <c r="X1559" s="279"/>
      <c r="Y1559" s="279"/>
      <c r="Z1559" s="279"/>
      <c r="AA1559" s="279"/>
      <c r="AB1559" s="279"/>
      <c r="AC1559" s="279"/>
      <c r="AD1559" s="279"/>
      <c r="AE1559" s="279"/>
      <c r="AF1559" s="279"/>
      <c r="AG1559" s="279"/>
      <c r="AH1559" s="279"/>
      <c r="AI1559" s="279"/>
      <c r="AJ1559" s="279"/>
      <c r="AK1559" s="279"/>
      <c r="AL1559" s="279"/>
      <c r="AM1559" s="279"/>
      <c r="AN1559" s="279"/>
      <c r="AO1559" s="279"/>
      <c r="AP1559" s="279"/>
      <c r="AQ1559" s="279"/>
      <c r="AR1559" s="279"/>
      <c r="AS1559" s="279"/>
      <c r="AT1559" s="279"/>
      <c r="AU1559" s="279"/>
      <c r="AV1559" s="279"/>
      <c r="AW1559" s="279"/>
      <c r="AX1559" s="279"/>
      <c r="AY1559" s="279"/>
      <c r="AZ1559" s="279"/>
      <c r="BA1559" s="279"/>
      <c r="BB1559" s="279"/>
      <c r="BC1559" s="279"/>
      <c r="BD1559" s="279"/>
      <c r="BE1559" s="279"/>
      <c r="BF1559" s="279"/>
      <c r="BG1559" s="279"/>
      <c r="BH1559" s="279"/>
      <c r="BI1559" s="279"/>
      <c r="BJ1559" s="279"/>
      <c r="BK1559" s="279"/>
      <c r="BL1559" s="279"/>
      <c r="BM1559" s="279"/>
      <c r="BN1559" s="279"/>
      <c r="BO1559" s="279"/>
      <c r="BP1559" s="279"/>
      <c r="BQ1559" s="279"/>
      <c r="BR1559" s="279"/>
      <c r="BS1559" s="279"/>
      <c r="BT1559" s="279"/>
      <c r="BU1559" s="279"/>
      <c r="BV1559" s="279"/>
      <c r="BW1559" s="279"/>
      <c r="BX1559" s="279"/>
      <c r="BY1559" s="279"/>
      <c r="BZ1559" s="279"/>
      <c r="CA1559" s="279"/>
      <c r="CB1559" s="279"/>
      <c r="CC1559" s="279"/>
      <c r="CD1559" s="279"/>
      <c r="CE1559" s="279"/>
      <c r="CF1559" s="279"/>
      <c r="CG1559" s="279"/>
      <c r="CH1559" s="279"/>
      <c r="CI1559" s="279"/>
      <c r="CJ1559" s="279"/>
      <c r="CK1559" s="279"/>
      <c r="CL1559" s="279"/>
      <c r="CM1559" s="279"/>
      <c r="CN1559" s="382"/>
    </row>
    <row r="1560" x14ac:dyDescent="0.25">
      <c r="B1560" s="361"/>
      <c r="C1560" s="279"/>
      <c r="D1560" s="280"/>
      <c r="E1560" s="287"/>
      <c r="F1560" s="287"/>
      <c r="G1560" s="287"/>
      <c r="H1560" s="1292">
        <f t="shared" si="79"/>
        <v>22</v>
      </c>
      <c r="I1560" s="1323" t="str">
        <f>IF('I. Stream &amp; Compound Data'!G283&lt;&gt;"",'I. Stream &amp; Compound Data'!G283,"")</f>
        <v/>
      </c>
      <c r="J1560" s="1242" t="str">
        <f>IF('I. Stream &amp; Compound Data'!P283&lt;&gt;"",'I. Stream &amp; Compound Data'!P283,"")</f>
        <v/>
      </c>
      <c r="K1560" s="1242" t="str">
        <f>IF('I. Stream &amp; Compound Data'!AM283&lt;&gt;"",'I. Stream &amp; Compound Data'!AM283,"")</f>
        <v/>
      </c>
      <c r="L1560" s="1242" t="str">
        <f>IF(I1560="","",IF('I. Stream &amp; Compound Data'!E53="H2O",0,IF(K1560=0,1,500)))</f>
        <v/>
      </c>
      <c r="M1560" s="1268" t="str">
        <f>IF(I1560="","",'V. Environmental'!L1560*'V. Environmental'!J1560)</f>
        <v/>
      </c>
      <c r="N1560" s="296"/>
      <c r="O1560" s="287"/>
      <c r="P1560" s="296"/>
      <c r="Q1560" s="287"/>
      <c r="R1560" s="296"/>
      <c r="S1560" s="298"/>
      <c r="T1560" s="298"/>
      <c r="U1560" s="299"/>
      <c r="V1560" s="279"/>
      <c r="W1560" s="279"/>
      <c r="X1560" s="279"/>
      <c r="Y1560" s="279"/>
      <c r="Z1560" s="279"/>
      <c r="AA1560" s="279"/>
      <c r="AB1560" s="279"/>
      <c r="AC1560" s="279"/>
      <c r="AD1560" s="279"/>
      <c r="AE1560" s="279"/>
      <c r="AF1560" s="279"/>
      <c r="AG1560" s="279"/>
      <c r="AH1560" s="279"/>
      <c r="AI1560" s="279"/>
      <c r="AJ1560" s="279"/>
      <c r="AK1560" s="279"/>
      <c r="AL1560" s="279"/>
      <c r="AM1560" s="279"/>
      <c r="AN1560" s="279"/>
      <c r="AO1560" s="279"/>
      <c r="AP1560" s="279"/>
      <c r="AQ1560" s="279"/>
      <c r="AR1560" s="279"/>
      <c r="AS1560" s="279"/>
      <c r="AT1560" s="279"/>
      <c r="AU1560" s="279"/>
      <c r="AV1560" s="279"/>
      <c r="AW1560" s="279"/>
      <c r="AX1560" s="279"/>
      <c r="AY1560" s="279"/>
      <c r="AZ1560" s="279"/>
      <c r="BA1560" s="279"/>
      <c r="BB1560" s="279"/>
      <c r="BC1560" s="279"/>
      <c r="BD1560" s="279"/>
      <c r="BE1560" s="279"/>
      <c r="BF1560" s="279"/>
      <c r="BG1560" s="279"/>
      <c r="BH1560" s="279"/>
      <c r="BI1560" s="279"/>
      <c r="BJ1560" s="279"/>
      <c r="BK1560" s="279"/>
      <c r="BL1560" s="279"/>
      <c r="BM1560" s="279"/>
      <c r="BN1560" s="279"/>
      <c r="BO1560" s="279"/>
      <c r="BP1560" s="279"/>
      <c r="BQ1560" s="279"/>
      <c r="BR1560" s="279"/>
      <c r="BS1560" s="279"/>
      <c r="BT1560" s="279"/>
      <c r="BU1560" s="279"/>
      <c r="BV1560" s="279"/>
      <c r="BW1560" s="279"/>
      <c r="BX1560" s="279"/>
      <c r="BY1560" s="279"/>
      <c r="BZ1560" s="279"/>
      <c r="CA1560" s="279"/>
      <c r="CB1560" s="279"/>
      <c r="CC1560" s="279"/>
      <c r="CD1560" s="279"/>
      <c r="CE1560" s="279"/>
      <c r="CF1560" s="279"/>
      <c r="CG1560" s="279"/>
      <c r="CH1560" s="279"/>
      <c r="CI1560" s="279"/>
      <c r="CJ1560" s="279"/>
      <c r="CK1560" s="279"/>
      <c r="CL1560" s="279"/>
      <c r="CM1560" s="279"/>
      <c r="CN1560" s="382"/>
    </row>
    <row r="1561" x14ac:dyDescent="0.25">
      <c r="B1561" s="361"/>
      <c r="C1561" s="279"/>
      <c r="D1561" s="280"/>
      <c r="E1561" s="287"/>
      <c r="F1561" s="287"/>
      <c r="G1561" s="287"/>
      <c r="H1561" s="1292">
        <f t="shared" si="79"/>
        <v>23</v>
      </c>
      <c r="I1561" s="1323" t="str">
        <f>IF('I. Stream &amp; Compound Data'!G284&lt;&gt;"",'I. Stream &amp; Compound Data'!G284,"")</f>
        <v/>
      </c>
      <c r="J1561" s="1242" t="str">
        <f>IF('I. Stream &amp; Compound Data'!P284&lt;&gt;"",'I. Stream &amp; Compound Data'!P284,"")</f>
        <v/>
      </c>
      <c r="K1561" s="1242" t="str">
        <f>IF('I. Stream &amp; Compound Data'!AM284&lt;&gt;"",'I. Stream &amp; Compound Data'!AM284,"")</f>
        <v/>
      </c>
      <c r="L1561" s="1242" t="str">
        <f>IF(I1561="","",IF('I. Stream &amp; Compound Data'!E54="H2O",0,IF(K1561=0,1,500)))</f>
        <v/>
      </c>
      <c r="M1561" s="1268" t="str">
        <f>IF(I1561="","",'V. Environmental'!L1561*'V. Environmental'!J1561)</f>
        <v/>
      </c>
      <c r="N1561" s="296"/>
      <c r="O1561" s="287"/>
      <c r="P1561" s="296"/>
      <c r="Q1561" s="287"/>
      <c r="R1561" s="296"/>
      <c r="S1561" s="298"/>
      <c r="T1561" s="298"/>
      <c r="U1561" s="299"/>
      <c r="V1561" s="279"/>
      <c r="W1561" s="279"/>
      <c r="X1561" s="279"/>
      <c r="Y1561" s="279"/>
      <c r="Z1561" s="279"/>
      <c r="AA1561" s="279"/>
      <c r="AB1561" s="279"/>
      <c r="AC1561" s="279"/>
      <c r="AD1561" s="279"/>
      <c r="AE1561" s="279"/>
      <c r="AF1561" s="279"/>
      <c r="AG1561" s="279"/>
      <c r="AH1561" s="279"/>
      <c r="AI1561" s="279"/>
      <c r="AJ1561" s="279"/>
      <c r="AK1561" s="279"/>
      <c r="AL1561" s="279"/>
      <c r="AM1561" s="279"/>
      <c r="AN1561" s="279"/>
      <c r="AO1561" s="279"/>
      <c r="AP1561" s="279"/>
      <c r="AQ1561" s="279"/>
      <c r="AR1561" s="279"/>
      <c r="AS1561" s="279"/>
      <c r="AT1561" s="279"/>
      <c r="AU1561" s="279"/>
      <c r="AV1561" s="279"/>
      <c r="AW1561" s="279"/>
      <c r="AX1561" s="279"/>
      <c r="AY1561" s="279"/>
      <c r="AZ1561" s="279"/>
      <c r="BA1561" s="279"/>
      <c r="BB1561" s="279"/>
      <c r="BC1561" s="279"/>
      <c r="BD1561" s="279"/>
      <c r="BE1561" s="279"/>
      <c r="BF1561" s="279"/>
      <c r="BG1561" s="279"/>
      <c r="BH1561" s="279"/>
      <c r="BI1561" s="279"/>
      <c r="BJ1561" s="279"/>
      <c r="BK1561" s="279"/>
      <c r="BL1561" s="279"/>
      <c r="BM1561" s="279"/>
      <c r="BN1561" s="279"/>
      <c r="BO1561" s="279"/>
      <c r="BP1561" s="279"/>
      <c r="BQ1561" s="279"/>
      <c r="BR1561" s="279"/>
      <c r="BS1561" s="279"/>
      <c r="BT1561" s="279"/>
      <c r="BU1561" s="279"/>
      <c r="BV1561" s="279"/>
      <c r="BW1561" s="279"/>
      <c r="BX1561" s="279"/>
      <c r="BY1561" s="279"/>
      <c r="BZ1561" s="279"/>
      <c r="CA1561" s="279"/>
      <c r="CB1561" s="279"/>
      <c r="CC1561" s="279"/>
      <c r="CD1561" s="279"/>
      <c r="CE1561" s="279"/>
      <c r="CF1561" s="279"/>
      <c r="CG1561" s="279"/>
      <c r="CH1561" s="279"/>
      <c r="CI1561" s="279"/>
      <c r="CJ1561" s="279"/>
      <c r="CK1561" s="279"/>
      <c r="CL1561" s="279"/>
      <c r="CM1561" s="279"/>
      <c r="CN1561" s="382"/>
    </row>
    <row r="1562" x14ac:dyDescent="0.25">
      <c r="B1562" s="361"/>
      <c r="C1562" s="279"/>
      <c r="D1562" s="280"/>
      <c r="E1562" s="287"/>
      <c r="F1562" s="287"/>
      <c r="G1562" s="287"/>
      <c r="H1562" s="1292">
        <f t="shared" si="79"/>
        <v>24</v>
      </c>
      <c r="I1562" s="1323" t="str">
        <f>IF('I. Stream &amp; Compound Data'!G285&lt;&gt;"",'I. Stream &amp; Compound Data'!G285,"")</f>
        <v/>
      </c>
      <c r="J1562" s="1242" t="str">
        <f>IF('I. Stream &amp; Compound Data'!P285&lt;&gt;"",'I. Stream &amp; Compound Data'!P285,"")</f>
        <v/>
      </c>
      <c r="K1562" s="1242" t="str">
        <f>IF('I. Stream &amp; Compound Data'!AM285&lt;&gt;"",'I. Stream &amp; Compound Data'!AM285,"")</f>
        <v/>
      </c>
      <c r="L1562" s="1242" t="str">
        <f>IF(I1562="","",IF('I. Stream &amp; Compound Data'!E55="H2O",0,IF(K1562=0,1,500)))</f>
        <v/>
      </c>
      <c r="M1562" s="1268" t="str">
        <f>IF(I1562="","",'V. Environmental'!L1562*'V. Environmental'!J1562)</f>
        <v/>
      </c>
      <c r="N1562" s="296"/>
      <c r="O1562" s="287"/>
      <c r="P1562" s="296"/>
      <c r="Q1562" s="287"/>
      <c r="R1562" s="296"/>
      <c r="S1562" s="298"/>
      <c r="T1562" s="298"/>
      <c r="U1562" s="299"/>
      <c r="V1562" s="279"/>
      <c r="W1562" s="279"/>
      <c r="X1562" s="279"/>
      <c r="Y1562" s="279"/>
      <c r="Z1562" s="279"/>
      <c r="AA1562" s="279"/>
      <c r="AB1562" s="279"/>
      <c r="AC1562" s="279"/>
      <c r="AD1562" s="279"/>
      <c r="AE1562" s="279"/>
      <c r="AF1562" s="279"/>
      <c r="AG1562" s="279"/>
      <c r="AH1562" s="279"/>
      <c r="AI1562" s="279"/>
      <c r="AJ1562" s="279"/>
      <c r="AK1562" s="279"/>
      <c r="AL1562" s="279"/>
      <c r="AM1562" s="279"/>
      <c r="AN1562" s="279"/>
      <c r="AO1562" s="279"/>
      <c r="AP1562" s="279"/>
      <c r="AQ1562" s="279"/>
      <c r="AR1562" s="279"/>
      <c r="AS1562" s="279"/>
      <c r="AT1562" s="279"/>
      <c r="AU1562" s="279"/>
      <c r="AV1562" s="279"/>
      <c r="AW1562" s="279"/>
      <c r="AX1562" s="279"/>
      <c r="AY1562" s="279"/>
      <c r="AZ1562" s="279"/>
      <c r="BA1562" s="279"/>
      <c r="BB1562" s="279"/>
      <c r="BC1562" s="279"/>
      <c r="BD1562" s="279"/>
      <c r="BE1562" s="279"/>
      <c r="BF1562" s="279"/>
      <c r="BG1562" s="279"/>
      <c r="BH1562" s="279"/>
      <c r="BI1562" s="279"/>
      <c r="BJ1562" s="279"/>
      <c r="BK1562" s="279"/>
      <c r="BL1562" s="279"/>
      <c r="BM1562" s="279"/>
      <c r="BN1562" s="279"/>
      <c r="BO1562" s="279"/>
      <c r="BP1562" s="279"/>
      <c r="BQ1562" s="279"/>
      <c r="BR1562" s="279"/>
      <c r="BS1562" s="279"/>
      <c r="BT1562" s="279"/>
      <c r="BU1562" s="279"/>
      <c r="BV1562" s="279"/>
      <c r="BW1562" s="279"/>
      <c r="BX1562" s="279"/>
      <c r="BY1562" s="279"/>
      <c r="BZ1562" s="279"/>
      <c r="CA1562" s="279"/>
      <c r="CB1562" s="279"/>
      <c r="CC1562" s="279"/>
      <c r="CD1562" s="279"/>
      <c r="CE1562" s="279"/>
      <c r="CF1562" s="279"/>
      <c r="CG1562" s="279"/>
      <c r="CH1562" s="279"/>
      <c r="CI1562" s="279"/>
      <c r="CJ1562" s="279"/>
      <c r="CK1562" s="279"/>
      <c r="CL1562" s="279"/>
      <c r="CM1562" s="279"/>
      <c r="CN1562" s="382"/>
    </row>
    <row r="1563" x14ac:dyDescent="0.25">
      <c r="B1563" s="361"/>
      <c r="C1563" s="279"/>
      <c r="D1563" s="280"/>
      <c r="E1563" s="287"/>
      <c r="F1563" s="287"/>
      <c r="G1563" s="287"/>
      <c r="H1563" s="1292">
        <f t="shared" si="79"/>
        <v>25</v>
      </c>
      <c r="I1563" s="1323" t="str">
        <f>IF('I. Stream &amp; Compound Data'!G286&lt;&gt;"",'I. Stream &amp; Compound Data'!G286,"")</f>
        <v/>
      </c>
      <c r="J1563" s="1242" t="str">
        <f>IF('I. Stream &amp; Compound Data'!P286&lt;&gt;"",'I. Stream &amp; Compound Data'!P286,"")</f>
        <v/>
      </c>
      <c r="K1563" s="1242" t="str">
        <f>IF('I. Stream &amp; Compound Data'!AM286&lt;&gt;"",'I. Stream &amp; Compound Data'!AM286,"")</f>
        <v/>
      </c>
      <c r="L1563" s="1242" t="str">
        <f>IF(I1563="","",IF('I. Stream &amp; Compound Data'!E56="H2O",0,IF(K1563=0,1,500)))</f>
        <v/>
      </c>
      <c r="M1563" s="1268" t="str">
        <f>IF(I1563="","",'V. Environmental'!L1563*'V. Environmental'!J1563)</f>
        <v/>
      </c>
      <c r="N1563" s="296"/>
      <c r="O1563" s="287"/>
      <c r="P1563" s="296"/>
      <c r="Q1563" s="287"/>
      <c r="R1563" s="296"/>
      <c r="S1563" s="298"/>
      <c r="T1563" s="298"/>
      <c r="U1563" s="299"/>
      <c r="V1563" s="279"/>
      <c r="W1563" s="279"/>
      <c r="X1563" s="279"/>
      <c r="Y1563" s="279"/>
      <c r="Z1563" s="279"/>
      <c r="AA1563" s="279"/>
      <c r="AB1563" s="279"/>
      <c r="AC1563" s="279"/>
      <c r="AD1563" s="279"/>
      <c r="AE1563" s="279"/>
      <c r="AF1563" s="279"/>
      <c r="AG1563" s="279"/>
      <c r="AH1563" s="279"/>
      <c r="AI1563" s="279"/>
      <c r="AJ1563" s="279"/>
      <c r="AK1563" s="279"/>
      <c r="AL1563" s="279"/>
      <c r="AM1563" s="279"/>
      <c r="AN1563" s="279"/>
      <c r="AO1563" s="279"/>
      <c r="AP1563" s="279"/>
      <c r="AQ1563" s="279"/>
      <c r="AR1563" s="279"/>
      <c r="AS1563" s="279"/>
      <c r="AT1563" s="279"/>
      <c r="AU1563" s="279"/>
      <c r="AV1563" s="279"/>
      <c r="AW1563" s="279"/>
      <c r="AX1563" s="279"/>
      <c r="AY1563" s="279"/>
      <c r="AZ1563" s="279"/>
      <c r="BA1563" s="279"/>
      <c r="BB1563" s="279"/>
      <c r="BC1563" s="279"/>
      <c r="BD1563" s="279"/>
      <c r="BE1563" s="279"/>
      <c r="BF1563" s="279"/>
      <c r="BG1563" s="279"/>
      <c r="BH1563" s="279"/>
      <c r="BI1563" s="279"/>
      <c r="BJ1563" s="279"/>
      <c r="BK1563" s="279"/>
      <c r="BL1563" s="279"/>
      <c r="BM1563" s="279"/>
      <c r="BN1563" s="279"/>
      <c r="BO1563" s="279"/>
      <c r="BP1563" s="279"/>
      <c r="BQ1563" s="279"/>
      <c r="BR1563" s="279"/>
      <c r="BS1563" s="279"/>
      <c r="BT1563" s="279"/>
      <c r="BU1563" s="279"/>
      <c r="BV1563" s="279"/>
      <c r="BW1563" s="279"/>
      <c r="BX1563" s="279"/>
      <c r="BY1563" s="279"/>
      <c r="BZ1563" s="279"/>
      <c r="CA1563" s="279"/>
      <c r="CB1563" s="279"/>
      <c r="CC1563" s="279"/>
      <c r="CD1563" s="279"/>
      <c r="CE1563" s="279"/>
      <c r="CF1563" s="279"/>
      <c r="CG1563" s="279"/>
      <c r="CH1563" s="279"/>
      <c r="CI1563" s="279"/>
      <c r="CJ1563" s="279"/>
      <c r="CK1563" s="279"/>
      <c r="CL1563" s="279"/>
      <c r="CM1563" s="279"/>
      <c r="CN1563" s="382"/>
    </row>
    <row r="1564" x14ac:dyDescent="0.25">
      <c r="B1564" s="361"/>
      <c r="C1564" s="279"/>
      <c r="D1564" s="280"/>
      <c r="E1564" s="287"/>
      <c r="F1564" s="287"/>
      <c r="G1564" s="287"/>
      <c r="H1564" s="1292">
        <f t="shared" si="79"/>
        <v>26</v>
      </c>
      <c r="I1564" s="1323" t="str">
        <f>IF('I. Stream &amp; Compound Data'!G287&lt;&gt;"",'I. Stream &amp; Compound Data'!G287,"")</f>
        <v/>
      </c>
      <c r="J1564" s="1242" t="str">
        <f>IF('I. Stream &amp; Compound Data'!P287&lt;&gt;"",'I. Stream &amp; Compound Data'!P287,"")</f>
        <v/>
      </c>
      <c r="K1564" s="1242" t="str">
        <f>IF('I. Stream &amp; Compound Data'!AM287&lt;&gt;"",'I. Stream &amp; Compound Data'!AM287,"")</f>
        <v/>
      </c>
      <c r="L1564" s="1242" t="str">
        <f>IF(I1564="","",IF('I. Stream &amp; Compound Data'!E57="H2O",0,IF(K1564=0,1,500)))</f>
        <v/>
      </c>
      <c r="M1564" s="1268" t="str">
        <f>IF(I1564="","",'V. Environmental'!L1564*'V. Environmental'!J1564)</f>
        <v/>
      </c>
      <c r="N1564" s="296"/>
      <c r="O1564" s="287"/>
      <c r="P1564" s="296"/>
      <c r="Q1564" s="287"/>
      <c r="R1564" s="296"/>
      <c r="S1564" s="298"/>
      <c r="T1564" s="298"/>
      <c r="U1564" s="299"/>
      <c r="V1564" s="279"/>
      <c r="W1564" s="279"/>
      <c r="X1564" s="279"/>
      <c r="Y1564" s="279"/>
      <c r="Z1564" s="279"/>
      <c r="AA1564" s="279"/>
      <c r="AB1564" s="279"/>
      <c r="AC1564" s="279"/>
      <c r="AD1564" s="279"/>
      <c r="AE1564" s="279"/>
      <c r="AF1564" s="279"/>
      <c r="AG1564" s="279"/>
      <c r="AH1564" s="279"/>
      <c r="AI1564" s="279"/>
      <c r="AJ1564" s="279"/>
      <c r="AK1564" s="279"/>
      <c r="AL1564" s="279"/>
      <c r="AM1564" s="279"/>
      <c r="AN1564" s="279"/>
      <c r="AO1564" s="279"/>
      <c r="AP1564" s="279"/>
      <c r="AQ1564" s="279"/>
      <c r="AR1564" s="279"/>
      <c r="AS1564" s="279"/>
      <c r="AT1564" s="279"/>
      <c r="AU1564" s="279"/>
      <c r="AV1564" s="279"/>
      <c r="AW1564" s="279"/>
      <c r="AX1564" s="279"/>
      <c r="AY1564" s="279"/>
      <c r="AZ1564" s="279"/>
      <c r="BA1564" s="279"/>
      <c r="BB1564" s="279"/>
      <c r="BC1564" s="279"/>
      <c r="BD1564" s="279"/>
      <c r="BE1564" s="279"/>
      <c r="BF1564" s="279"/>
      <c r="BG1564" s="279"/>
      <c r="BH1564" s="279"/>
      <c r="BI1564" s="279"/>
      <c r="BJ1564" s="279"/>
      <c r="BK1564" s="279"/>
      <c r="BL1564" s="279"/>
      <c r="BM1564" s="279"/>
      <c r="BN1564" s="279"/>
      <c r="BO1564" s="279"/>
      <c r="BP1564" s="279"/>
      <c r="BQ1564" s="279"/>
      <c r="BR1564" s="279"/>
      <c r="BS1564" s="279"/>
      <c r="BT1564" s="279"/>
      <c r="BU1564" s="279"/>
      <c r="BV1564" s="279"/>
      <c r="BW1564" s="279"/>
      <c r="BX1564" s="279"/>
      <c r="BY1564" s="279"/>
      <c r="BZ1564" s="279"/>
      <c r="CA1564" s="279"/>
      <c r="CB1564" s="279"/>
      <c r="CC1564" s="279"/>
      <c r="CD1564" s="279"/>
      <c r="CE1564" s="279"/>
      <c r="CF1564" s="279"/>
      <c r="CG1564" s="279"/>
      <c r="CH1564" s="279"/>
      <c r="CI1564" s="279"/>
      <c r="CJ1564" s="279"/>
      <c r="CK1564" s="279"/>
      <c r="CL1564" s="279"/>
      <c r="CM1564" s="279"/>
      <c r="CN1564" s="382"/>
    </row>
    <row r="1565" x14ac:dyDescent="0.25">
      <c r="B1565" s="361"/>
      <c r="C1565" s="279"/>
      <c r="D1565" s="280"/>
      <c r="E1565" s="287"/>
      <c r="F1565" s="287"/>
      <c r="G1565" s="287"/>
      <c r="H1565" s="1292">
        <f t="shared" si="79"/>
        <v>27</v>
      </c>
      <c r="I1565" s="1323" t="str">
        <f>IF('I. Stream &amp; Compound Data'!G288&lt;&gt;"",'I. Stream &amp; Compound Data'!G288,"")</f>
        <v/>
      </c>
      <c r="J1565" s="1242" t="str">
        <f>IF('I. Stream &amp; Compound Data'!P288&lt;&gt;"",'I. Stream &amp; Compound Data'!P288,"")</f>
        <v/>
      </c>
      <c r="K1565" s="1242" t="str">
        <f>IF('I. Stream &amp; Compound Data'!AM288&lt;&gt;"",'I. Stream &amp; Compound Data'!AM288,"")</f>
        <v/>
      </c>
      <c r="L1565" s="1242" t="str">
        <f>IF(I1565="","",IF('I. Stream &amp; Compound Data'!E58="H2O",0,IF(K1565=0,1,500)))</f>
        <v/>
      </c>
      <c r="M1565" s="1268" t="str">
        <f>IF(I1565="","",'V. Environmental'!L1565*'V. Environmental'!J1565)</f>
        <v/>
      </c>
      <c r="N1565" s="296"/>
      <c r="O1565" s="287"/>
      <c r="P1565" s="296"/>
      <c r="Q1565" s="287"/>
      <c r="R1565" s="296"/>
      <c r="S1565" s="298"/>
      <c r="T1565" s="298"/>
      <c r="U1565" s="299"/>
      <c r="V1565" s="279"/>
      <c r="W1565" s="279"/>
      <c r="X1565" s="279"/>
      <c r="Y1565" s="279"/>
      <c r="Z1565" s="279"/>
      <c r="AA1565" s="279"/>
      <c r="AB1565" s="279"/>
      <c r="AC1565" s="279"/>
      <c r="AD1565" s="279"/>
      <c r="AE1565" s="279"/>
      <c r="AF1565" s="279"/>
      <c r="AG1565" s="279"/>
      <c r="AH1565" s="279"/>
      <c r="AI1565" s="279"/>
      <c r="AJ1565" s="279"/>
      <c r="AK1565" s="279"/>
      <c r="AL1565" s="279"/>
      <c r="AM1565" s="279"/>
      <c r="AN1565" s="279"/>
      <c r="AO1565" s="279"/>
      <c r="AP1565" s="279"/>
      <c r="AQ1565" s="279"/>
      <c r="AR1565" s="279"/>
      <c r="AS1565" s="279"/>
      <c r="AT1565" s="279"/>
      <c r="AU1565" s="279"/>
      <c r="AV1565" s="279"/>
      <c r="AW1565" s="279"/>
      <c r="AX1565" s="279"/>
      <c r="AY1565" s="279"/>
      <c r="AZ1565" s="279"/>
      <c r="BA1565" s="279"/>
      <c r="BB1565" s="279"/>
      <c r="BC1565" s="279"/>
      <c r="BD1565" s="279"/>
      <c r="BE1565" s="279"/>
      <c r="BF1565" s="279"/>
      <c r="BG1565" s="279"/>
      <c r="BH1565" s="279"/>
      <c r="BI1565" s="279"/>
      <c r="BJ1565" s="279"/>
      <c r="BK1565" s="279"/>
      <c r="BL1565" s="279"/>
      <c r="BM1565" s="279"/>
      <c r="BN1565" s="279"/>
      <c r="BO1565" s="279"/>
      <c r="BP1565" s="279"/>
      <c r="BQ1565" s="279"/>
      <c r="BR1565" s="279"/>
      <c r="BS1565" s="279"/>
      <c r="BT1565" s="279"/>
      <c r="BU1565" s="279"/>
      <c r="BV1565" s="279"/>
      <c r="BW1565" s="279"/>
      <c r="BX1565" s="279"/>
      <c r="BY1565" s="279"/>
      <c r="BZ1565" s="279"/>
      <c r="CA1565" s="279"/>
      <c r="CB1565" s="279"/>
      <c r="CC1565" s="279"/>
      <c r="CD1565" s="279"/>
      <c r="CE1565" s="279"/>
      <c r="CF1565" s="279"/>
      <c r="CG1565" s="279"/>
      <c r="CH1565" s="279"/>
      <c r="CI1565" s="279"/>
      <c r="CJ1565" s="279"/>
      <c r="CK1565" s="279"/>
      <c r="CL1565" s="279"/>
      <c r="CM1565" s="279"/>
      <c r="CN1565" s="382"/>
    </row>
    <row r="1566" x14ac:dyDescent="0.25">
      <c r="B1566" s="361"/>
      <c r="C1566" s="279"/>
      <c r="D1566" s="280"/>
      <c r="E1566" s="287"/>
      <c r="F1566" s="287"/>
      <c r="G1566" s="287"/>
      <c r="H1566" s="1292">
        <f t="shared" si="79"/>
        <v>28</v>
      </c>
      <c r="I1566" s="1323" t="str">
        <f>IF('I. Stream &amp; Compound Data'!G289&lt;&gt;"",'I. Stream &amp; Compound Data'!G289,"")</f>
        <v/>
      </c>
      <c r="J1566" s="1242" t="str">
        <f>IF('I. Stream &amp; Compound Data'!P289&lt;&gt;"",'I. Stream &amp; Compound Data'!P289,"")</f>
        <v/>
      </c>
      <c r="K1566" s="1242" t="str">
        <f>IF('I. Stream &amp; Compound Data'!AM289&lt;&gt;"",'I. Stream &amp; Compound Data'!AM289,"")</f>
        <v/>
      </c>
      <c r="L1566" s="1242" t="str">
        <f>IF(I1566="","",IF('I. Stream &amp; Compound Data'!E59="H2O",0,IF(K1566=0,1,500)))</f>
        <v/>
      </c>
      <c r="M1566" s="1268" t="str">
        <f>IF(I1566="","",'V. Environmental'!L1566*'V. Environmental'!J1566)</f>
        <v/>
      </c>
      <c r="N1566" s="296"/>
      <c r="O1566" s="287"/>
      <c r="P1566" s="296"/>
      <c r="Q1566" s="287"/>
      <c r="R1566" s="296"/>
      <c r="S1566" s="298"/>
      <c r="T1566" s="298"/>
      <c r="U1566" s="299"/>
      <c r="V1566" s="279"/>
      <c r="W1566" s="279"/>
      <c r="X1566" s="279"/>
      <c r="Y1566" s="279"/>
      <c r="Z1566" s="279"/>
      <c r="AA1566" s="279"/>
      <c r="AB1566" s="279"/>
      <c r="AC1566" s="279"/>
      <c r="AD1566" s="279"/>
      <c r="AE1566" s="279"/>
      <c r="AF1566" s="279"/>
      <c r="AG1566" s="279"/>
      <c r="AH1566" s="279"/>
      <c r="AI1566" s="279"/>
      <c r="AJ1566" s="279"/>
      <c r="AK1566" s="279"/>
      <c r="AL1566" s="279"/>
      <c r="AM1566" s="279"/>
      <c r="AN1566" s="279"/>
      <c r="AO1566" s="279"/>
      <c r="AP1566" s="279"/>
      <c r="AQ1566" s="279"/>
      <c r="AR1566" s="279"/>
      <c r="AS1566" s="279"/>
      <c r="AT1566" s="279"/>
      <c r="AU1566" s="279"/>
      <c r="AV1566" s="279"/>
      <c r="AW1566" s="279"/>
      <c r="AX1566" s="279"/>
      <c r="AY1566" s="279"/>
      <c r="AZ1566" s="279"/>
      <c r="BA1566" s="279"/>
      <c r="BB1566" s="279"/>
      <c r="BC1566" s="279"/>
      <c r="BD1566" s="279"/>
      <c r="BE1566" s="279"/>
      <c r="BF1566" s="279"/>
      <c r="BG1566" s="279"/>
      <c r="BH1566" s="279"/>
      <c r="BI1566" s="279"/>
      <c r="BJ1566" s="279"/>
      <c r="BK1566" s="279"/>
      <c r="BL1566" s="279"/>
      <c r="BM1566" s="279"/>
      <c r="BN1566" s="279"/>
      <c r="BO1566" s="279"/>
      <c r="BP1566" s="279"/>
      <c r="BQ1566" s="279"/>
      <c r="BR1566" s="279"/>
      <c r="BS1566" s="279"/>
      <c r="BT1566" s="279"/>
      <c r="BU1566" s="279"/>
      <c r="BV1566" s="279"/>
      <c r="BW1566" s="279"/>
      <c r="BX1566" s="279"/>
      <c r="BY1566" s="279"/>
      <c r="BZ1566" s="279"/>
      <c r="CA1566" s="279"/>
      <c r="CB1566" s="279"/>
      <c r="CC1566" s="279"/>
      <c r="CD1566" s="279"/>
      <c r="CE1566" s="279"/>
      <c r="CF1566" s="279"/>
      <c r="CG1566" s="279"/>
      <c r="CH1566" s="279"/>
      <c r="CI1566" s="279"/>
      <c r="CJ1566" s="279"/>
      <c r="CK1566" s="279"/>
      <c r="CL1566" s="279"/>
      <c r="CM1566" s="279"/>
      <c r="CN1566" s="382"/>
    </row>
    <row r="1567" x14ac:dyDescent="0.25">
      <c r="B1567" s="361"/>
      <c r="C1567" s="279"/>
      <c r="D1567" s="280"/>
      <c r="E1567" s="287"/>
      <c r="F1567" s="287"/>
      <c r="G1567" s="287"/>
      <c r="H1567" s="1292">
        <f t="shared" si="79"/>
        <v>29</v>
      </c>
      <c r="I1567" s="1323" t="str">
        <f>IF('I. Stream &amp; Compound Data'!G290&lt;&gt;"",'I. Stream &amp; Compound Data'!G290,"")</f>
        <v/>
      </c>
      <c r="J1567" s="1242" t="str">
        <f>IF('I. Stream &amp; Compound Data'!P290&lt;&gt;"",'I. Stream &amp; Compound Data'!P290,"")</f>
        <v/>
      </c>
      <c r="K1567" s="1242" t="str">
        <f>IF('I. Stream &amp; Compound Data'!AM290&lt;&gt;"",'I. Stream &amp; Compound Data'!AM290,"")</f>
        <v/>
      </c>
      <c r="L1567" s="1242" t="str">
        <f>IF(I1567="","",IF('I. Stream &amp; Compound Data'!E60="H2O",0,IF(K1567=0,1,500)))</f>
        <v/>
      </c>
      <c r="M1567" s="1268" t="str">
        <f>IF(I1567="","",'V. Environmental'!L1567*'V. Environmental'!J1567)</f>
        <v/>
      </c>
      <c r="N1567" s="296"/>
      <c r="O1567" s="287"/>
      <c r="P1567" s="296"/>
      <c r="Q1567" s="287"/>
      <c r="R1567" s="296"/>
      <c r="S1567" s="298"/>
      <c r="T1567" s="298"/>
      <c r="U1567" s="299"/>
      <c r="V1567" s="279"/>
      <c r="W1567" s="279"/>
      <c r="X1567" s="279"/>
      <c r="Y1567" s="279"/>
      <c r="Z1567" s="279"/>
      <c r="AA1567" s="279"/>
      <c r="AB1567" s="279"/>
      <c r="AC1567" s="279"/>
      <c r="AD1567" s="279"/>
      <c r="AE1567" s="279"/>
      <c r="AF1567" s="279"/>
      <c r="AG1567" s="279"/>
      <c r="AH1567" s="279"/>
      <c r="AI1567" s="279"/>
      <c r="AJ1567" s="279"/>
      <c r="AK1567" s="279"/>
      <c r="AL1567" s="279"/>
      <c r="AM1567" s="279"/>
      <c r="AN1567" s="279"/>
      <c r="AO1567" s="279"/>
      <c r="AP1567" s="279"/>
      <c r="AQ1567" s="279"/>
      <c r="AR1567" s="279"/>
      <c r="AS1567" s="279"/>
      <c r="AT1567" s="279"/>
      <c r="AU1567" s="279"/>
      <c r="AV1567" s="279"/>
      <c r="AW1567" s="279"/>
      <c r="AX1567" s="279"/>
      <c r="AY1567" s="279"/>
      <c r="AZ1567" s="279"/>
      <c r="BA1567" s="279"/>
      <c r="BB1567" s="279"/>
      <c r="BC1567" s="279"/>
      <c r="BD1567" s="279"/>
      <c r="BE1567" s="279"/>
      <c r="BF1567" s="279"/>
      <c r="BG1567" s="279"/>
      <c r="BH1567" s="279"/>
      <c r="BI1567" s="279"/>
      <c r="BJ1567" s="279"/>
      <c r="BK1567" s="279"/>
      <c r="BL1567" s="279"/>
      <c r="BM1567" s="279"/>
      <c r="BN1567" s="279"/>
      <c r="BO1567" s="279"/>
      <c r="BP1567" s="279"/>
      <c r="BQ1567" s="279"/>
      <c r="BR1567" s="279"/>
      <c r="BS1567" s="279"/>
      <c r="BT1567" s="279"/>
      <c r="BU1567" s="279"/>
      <c r="BV1567" s="279"/>
      <c r="BW1567" s="279"/>
      <c r="BX1567" s="279"/>
      <c r="BY1567" s="279"/>
      <c r="BZ1567" s="279"/>
      <c r="CA1567" s="279"/>
      <c r="CB1567" s="279"/>
      <c r="CC1567" s="279"/>
      <c r="CD1567" s="279"/>
      <c r="CE1567" s="279"/>
      <c r="CF1567" s="279"/>
      <c r="CG1567" s="279"/>
      <c r="CH1567" s="279"/>
      <c r="CI1567" s="279"/>
      <c r="CJ1567" s="279"/>
      <c r="CK1567" s="279"/>
      <c r="CL1567" s="279"/>
      <c r="CM1567" s="279"/>
      <c r="CN1567" s="382"/>
    </row>
    <row r="1568" x14ac:dyDescent="0.25">
      <c r="B1568" s="361"/>
      <c r="C1568" s="279"/>
      <c r="D1568" s="280"/>
      <c r="E1568" s="287"/>
      <c r="F1568" s="287"/>
      <c r="G1568" s="287"/>
      <c r="H1568" s="1292">
        <f t="shared" si="79"/>
        <v>30</v>
      </c>
      <c r="I1568" s="1323" t="str">
        <f>IF('I. Stream &amp; Compound Data'!G291&lt;&gt;"",'I. Stream &amp; Compound Data'!G291,"")</f>
        <v/>
      </c>
      <c r="J1568" s="1242" t="str">
        <f>IF('I. Stream &amp; Compound Data'!P291&lt;&gt;"",'I. Stream &amp; Compound Data'!P291,"")</f>
        <v/>
      </c>
      <c r="K1568" s="1242" t="str">
        <f>IF('I. Stream &amp; Compound Data'!AM291&lt;&gt;"",'I. Stream &amp; Compound Data'!AM291,"")</f>
        <v/>
      </c>
      <c r="L1568" s="1242" t="str">
        <f>IF(I1568="","",IF('I. Stream &amp; Compound Data'!E61="H2O",0,IF(K1568=0,1,500)))</f>
        <v/>
      </c>
      <c r="M1568" s="1268" t="str">
        <f>IF(I1568="","",'V. Environmental'!L1568*'V. Environmental'!J1568)</f>
        <v/>
      </c>
      <c r="N1568" s="296"/>
      <c r="O1568" s="287"/>
      <c r="P1568" s="296"/>
      <c r="Q1568" s="287"/>
      <c r="R1568" s="296"/>
      <c r="S1568" s="298"/>
      <c r="T1568" s="298"/>
      <c r="U1568" s="299"/>
      <c r="V1568" s="279"/>
      <c r="W1568" s="279"/>
      <c r="X1568" s="279"/>
      <c r="Y1568" s="279"/>
      <c r="Z1568" s="279"/>
      <c r="AA1568" s="279"/>
      <c r="AB1568" s="279"/>
      <c r="AC1568" s="279"/>
      <c r="AD1568" s="279"/>
      <c r="AE1568" s="279"/>
      <c r="AF1568" s="279"/>
      <c r="AG1568" s="279"/>
      <c r="AH1568" s="279"/>
      <c r="AI1568" s="279"/>
      <c r="AJ1568" s="279"/>
      <c r="AK1568" s="279"/>
      <c r="AL1568" s="279"/>
      <c r="AM1568" s="279"/>
      <c r="AN1568" s="279"/>
      <c r="AO1568" s="279"/>
      <c r="AP1568" s="279"/>
      <c r="AQ1568" s="279"/>
      <c r="AR1568" s="279"/>
      <c r="AS1568" s="279"/>
      <c r="AT1568" s="279"/>
      <c r="AU1568" s="279"/>
      <c r="AV1568" s="279"/>
      <c r="AW1568" s="279"/>
      <c r="AX1568" s="279"/>
      <c r="AY1568" s="279"/>
      <c r="AZ1568" s="279"/>
      <c r="BA1568" s="279"/>
      <c r="BB1568" s="279"/>
      <c r="BC1568" s="279"/>
      <c r="BD1568" s="279"/>
      <c r="BE1568" s="279"/>
      <c r="BF1568" s="279"/>
      <c r="BG1568" s="279"/>
      <c r="BH1568" s="279"/>
      <c r="BI1568" s="279"/>
      <c r="BJ1568" s="279"/>
      <c r="BK1568" s="279"/>
      <c r="BL1568" s="279"/>
      <c r="BM1568" s="279"/>
      <c r="BN1568" s="279"/>
      <c r="BO1568" s="279"/>
      <c r="BP1568" s="279"/>
      <c r="BQ1568" s="279"/>
      <c r="BR1568" s="279"/>
      <c r="BS1568" s="279"/>
      <c r="BT1568" s="279"/>
      <c r="BU1568" s="279"/>
      <c r="BV1568" s="279"/>
      <c r="BW1568" s="279"/>
      <c r="BX1568" s="279"/>
      <c r="BY1568" s="279"/>
      <c r="BZ1568" s="279"/>
      <c r="CA1568" s="279"/>
      <c r="CB1568" s="279"/>
      <c r="CC1568" s="279"/>
      <c r="CD1568" s="279"/>
      <c r="CE1568" s="279"/>
      <c r="CF1568" s="279"/>
      <c r="CG1568" s="279"/>
      <c r="CH1568" s="279"/>
      <c r="CI1568" s="279"/>
      <c r="CJ1568" s="279"/>
      <c r="CK1568" s="279"/>
      <c r="CL1568" s="279"/>
      <c r="CM1568" s="279"/>
      <c r="CN1568" s="382"/>
    </row>
    <row r="1569" x14ac:dyDescent="0.25">
      <c r="B1569" s="361"/>
      <c r="C1569" s="279"/>
      <c r="D1569" s="280"/>
      <c r="E1569" s="287"/>
      <c r="F1569" s="287"/>
      <c r="G1569" s="287"/>
      <c r="H1569" s="1292">
        <f t="shared" si="79"/>
        <v>31</v>
      </c>
      <c r="I1569" s="1323" t="str">
        <f>IF('I. Stream &amp; Compound Data'!G292&lt;&gt;"",'I. Stream &amp; Compound Data'!G292,"")</f>
        <v/>
      </c>
      <c r="J1569" s="1242" t="str">
        <f>IF('I. Stream &amp; Compound Data'!P292&lt;&gt;"",'I. Stream &amp; Compound Data'!P292,"")</f>
        <v/>
      </c>
      <c r="K1569" s="1242" t="str">
        <f>IF('I. Stream &amp; Compound Data'!AM292&lt;&gt;"",'I. Stream &amp; Compound Data'!AM292,"")</f>
        <v/>
      </c>
      <c r="L1569" s="1242" t="str">
        <f>IF(I1569="","",IF('I. Stream &amp; Compound Data'!E62="H2O",0,IF(K1569=0,1,500)))</f>
        <v/>
      </c>
      <c r="M1569" s="1268" t="str">
        <f>IF(I1569="","",'V. Environmental'!L1569*'V. Environmental'!J1569)</f>
        <v/>
      </c>
      <c r="N1569" s="296"/>
      <c r="O1569" s="287"/>
      <c r="P1569" s="296"/>
      <c r="Q1569" s="287"/>
      <c r="R1569" s="296"/>
      <c r="S1569" s="298"/>
      <c r="T1569" s="298"/>
      <c r="U1569" s="299"/>
      <c r="V1569" s="279"/>
      <c r="W1569" s="279"/>
      <c r="X1569" s="279"/>
      <c r="Y1569" s="279"/>
      <c r="Z1569" s="279"/>
      <c r="AA1569" s="279"/>
      <c r="AB1569" s="279"/>
      <c r="AC1569" s="279"/>
      <c r="AD1569" s="279"/>
      <c r="AE1569" s="279"/>
      <c r="AF1569" s="279"/>
      <c r="AG1569" s="279"/>
      <c r="AH1569" s="279"/>
      <c r="AI1569" s="279"/>
      <c r="AJ1569" s="279"/>
      <c r="AK1569" s="279"/>
      <c r="AL1569" s="279"/>
      <c r="AM1569" s="279"/>
      <c r="AN1569" s="279"/>
      <c r="AO1569" s="279"/>
      <c r="AP1569" s="279"/>
      <c r="AQ1569" s="279"/>
      <c r="AR1569" s="279"/>
      <c r="AS1569" s="279"/>
      <c r="AT1569" s="279"/>
      <c r="AU1569" s="279"/>
      <c r="AV1569" s="279"/>
      <c r="AW1569" s="279"/>
      <c r="AX1569" s="279"/>
      <c r="AY1569" s="279"/>
      <c r="AZ1569" s="279"/>
      <c r="BA1569" s="279"/>
      <c r="BB1569" s="279"/>
      <c r="BC1569" s="279"/>
      <c r="BD1569" s="279"/>
      <c r="BE1569" s="279"/>
      <c r="BF1569" s="279"/>
      <c r="BG1569" s="279"/>
      <c r="BH1569" s="279"/>
      <c r="BI1569" s="279"/>
      <c r="BJ1569" s="279"/>
      <c r="BK1569" s="279"/>
      <c r="BL1569" s="279"/>
      <c r="BM1569" s="279"/>
      <c r="BN1569" s="279"/>
      <c r="BO1569" s="279"/>
      <c r="BP1569" s="279"/>
      <c r="BQ1569" s="279"/>
      <c r="BR1569" s="279"/>
      <c r="BS1569" s="279"/>
      <c r="BT1569" s="279"/>
      <c r="BU1569" s="279"/>
      <c r="BV1569" s="279"/>
      <c r="BW1569" s="279"/>
      <c r="BX1569" s="279"/>
      <c r="BY1569" s="279"/>
      <c r="BZ1569" s="279"/>
      <c r="CA1569" s="279"/>
      <c r="CB1569" s="279"/>
      <c r="CC1569" s="279"/>
      <c r="CD1569" s="279"/>
      <c r="CE1569" s="279"/>
      <c r="CF1569" s="279"/>
      <c r="CG1569" s="279"/>
      <c r="CH1569" s="279"/>
      <c r="CI1569" s="279"/>
      <c r="CJ1569" s="279"/>
      <c r="CK1569" s="279"/>
      <c r="CL1569" s="279"/>
      <c r="CM1569" s="279"/>
      <c r="CN1569" s="382"/>
    </row>
    <row r="1570" x14ac:dyDescent="0.25">
      <c r="B1570" s="361"/>
      <c r="C1570" s="279"/>
      <c r="D1570" s="280"/>
      <c r="E1570" s="287"/>
      <c r="F1570" s="287"/>
      <c r="G1570" s="287"/>
      <c r="H1570" s="1292">
        <f t="shared" si="79"/>
        <v>32</v>
      </c>
      <c r="I1570" s="1323" t="str">
        <f>IF('I. Stream &amp; Compound Data'!G293&lt;&gt;"",'I. Stream &amp; Compound Data'!G293,"")</f>
        <v/>
      </c>
      <c r="J1570" s="1242" t="str">
        <f>IF('I. Stream &amp; Compound Data'!P293&lt;&gt;"",'I. Stream &amp; Compound Data'!P293,"")</f>
        <v/>
      </c>
      <c r="K1570" s="1242" t="str">
        <f>IF('I. Stream &amp; Compound Data'!AM293&lt;&gt;"",'I. Stream &amp; Compound Data'!AM293,"")</f>
        <v/>
      </c>
      <c r="L1570" s="1242" t="str">
        <f>IF(I1570="","",IF('I. Stream &amp; Compound Data'!E63="H2O",0,IF(K1570=0,1,500)))</f>
        <v/>
      </c>
      <c r="M1570" s="1268" t="str">
        <f>IF(I1570="","",'V. Environmental'!L1570*'V. Environmental'!J1570)</f>
        <v/>
      </c>
      <c r="N1570" s="296"/>
      <c r="O1570" s="287"/>
      <c r="P1570" s="296"/>
      <c r="Q1570" s="287"/>
      <c r="R1570" s="296"/>
      <c r="S1570" s="298"/>
      <c r="T1570" s="298"/>
      <c r="U1570" s="299"/>
      <c r="V1570" s="279"/>
      <c r="W1570" s="279"/>
      <c r="X1570" s="279"/>
      <c r="Y1570" s="279"/>
      <c r="Z1570" s="279"/>
      <c r="AA1570" s="279"/>
      <c r="AB1570" s="279"/>
      <c r="AC1570" s="279"/>
      <c r="AD1570" s="279"/>
      <c r="AE1570" s="279"/>
      <c r="AF1570" s="279"/>
      <c r="AG1570" s="279"/>
      <c r="AH1570" s="279"/>
      <c r="AI1570" s="279"/>
      <c r="AJ1570" s="279"/>
      <c r="AK1570" s="279"/>
      <c r="AL1570" s="279"/>
      <c r="AM1570" s="279"/>
      <c r="AN1570" s="279"/>
      <c r="AO1570" s="279"/>
      <c r="AP1570" s="279"/>
      <c r="AQ1570" s="279"/>
      <c r="AR1570" s="279"/>
      <c r="AS1570" s="279"/>
      <c r="AT1570" s="279"/>
      <c r="AU1570" s="279"/>
      <c r="AV1570" s="279"/>
      <c r="AW1570" s="279"/>
      <c r="AX1570" s="279"/>
      <c r="AY1570" s="279"/>
      <c r="AZ1570" s="279"/>
      <c r="BA1570" s="279"/>
      <c r="BB1570" s="279"/>
      <c r="BC1570" s="279"/>
      <c r="BD1570" s="279"/>
      <c r="BE1570" s="279"/>
      <c r="BF1570" s="279"/>
      <c r="BG1570" s="279"/>
      <c r="BH1570" s="279"/>
      <c r="BI1570" s="279"/>
      <c r="BJ1570" s="279"/>
      <c r="BK1570" s="279"/>
      <c r="BL1570" s="279"/>
      <c r="BM1570" s="279"/>
      <c r="BN1570" s="279"/>
      <c r="BO1570" s="279"/>
      <c r="BP1570" s="279"/>
      <c r="BQ1570" s="279"/>
      <c r="BR1570" s="279"/>
      <c r="BS1570" s="279"/>
      <c r="BT1570" s="279"/>
      <c r="BU1570" s="279"/>
      <c r="BV1570" s="279"/>
      <c r="BW1570" s="279"/>
      <c r="BX1570" s="279"/>
      <c r="BY1570" s="279"/>
      <c r="BZ1570" s="279"/>
      <c r="CA1570" s="279"/>
      <c r="CB1570" s="279"/>
      <c r="CC1570" s="279"/>
      <c r="CD1570" s="279"/>
      <c r="CE1570" s="279"/>
      <c r="CF1570" s="279"/>
      <c r="CG1570" s="279"/>
      <c r="CH1570" s="279"/>
      <c r="CI1570" s="279"/>
      <c r="CJ1570" s="279"/>
      <c r="CK1570" s="279"/>
      <c r="CL1570" s="279"/>
      <c r="CM1570" s="279"/>
      <c r="CN1570" s="382"/>
    </row>
    <row r="1571" x14ac:dyDescent="0.25">
      <c r="B1571" s="361"/>
      <c r="C1571" s="279"/>
      <c r="D1571" s="280"/>
      <c r="E1571" s="287"/>
      <c r="F1571" s="287"/>
      <c r="G1571" s="287"/>
      <c r="H1571" s="1292">
        <f t="shared" ref="H1571:H1588" si="80">H174</f>
        <v>33</v>
      </c>
      <c r="I1571" s="1323" t="str">
        <f>IF('I. Stream &amp; Compound Data'!G294&lt;&gt;"",'I. Stream &amp; Compound Data'!G294,"")</f>
        <v/>
      </c>
      <c r="J1571" s="1242" t="str">
        <f>IF('I. Stream &amp; Compound Data'!P294&lt;&gt;"",'I. Stream &amp; Compound Data'!P294,"")</f>
        <v/>
      </c>
      <c r="K1571" s="1242" t="str">
        <f>IF('I. Stream &amp; Compound Data'!AM294&lt;&gt;"",'I. Stream &amp; Compound Data'!AM294,"")</f>
        <v/>
      </c>
      <c r="L1571" s="1242" t="str">
        <f>IF(I1571="","",IF('I. Stream &amp; Compound Data'!E64="H2O",0,IF(K1571=0,1,500)))</f>
        <v/>
      </c>
      <c r="M1571" s="1268" t="str">
        <f>IF(I1571="","",'V. Environmental'!L1571*'V. Environmental'!J1571)</f>
        <v/>
      </c>
      <c r="N1571" s="296"/>
      <c r="O1571" s="287"/>
      <c r="P1571" s="296"/>
      <c r="Q1571" s="287"/>
      <c r="R1571" s="296"/>
      <c r="S1571" s="298"/>
      <c r="T1571" s="298"/>
      <c r="U1571" s="299"/>
      <c r="V1571" s="279"/>
      <c r="W1571" s="279"/>
      <c r="X1571" s="279"/>
      <c r="Y1571" s="279"/>
      <c r="Z1571" s="279"/>
      <c r="AA1571" s="279"/>
      <c r="AB1571" s="279"/>
      <c r="AC1571" s="279"/>
      <c r="AD1571" s="279"/>
      <c r="AE1571" s="279"/>
      <c r="AF1571" s="279"/>
      <c r="AG1571" s="279"/>
      <c r="AH1571" s="279"/>
      <c r="AI1571" s="279"/>
      <c r="AJ1571" s="279"/>
      <c r="AK1571" s="279"/>
      <c r="AL1571" s="279"/>
      <c r="AM1571" s="279"/>
      <c r="AN1571" s="279"/>
      <c r="AO1571" s="279"/>
      <c r="AP1571" s="279"/>
      <c r="AQ1571" s="279"/>
      <c r="AR1571" s="279"/>
      <c r="AS1571" s="279"/>
      <c r="AT1571" s="279"/>
      <c r="AU1571" s="279"/>
      <c r="AV1571" s="279"/>
      <c r="AW1571" s="279"/>
      <c r="AX1571" s="279"/>
      <c r="AY1571" s="279"/>
      <c r="AZ1571" s="279"/>
      <c r="BA1571" s="279"/>
      <c r="BB1571" s="279"/>
      <c r="BC1571" s="279"/>
      <c r="BD1571" s="279"/>
      <c r="BE1571" s="279"/>
      <c r="BF1571" s="279"/>
      <c r="BG1571" s="279"/>
      <c r="BH1571" s="279"/>
      <c r="BI1571" s="279"/>
      <c r="BJ1571" s="279"/>
      <c r="BK1571" s="279"/>
      <c r="BL1571" s="279"/>
      <c r="BM1571" s="279"/>
      <c r="BN1571" s="279"/>
      <c r="BO1571" s="279"/>
      <c r="BP1571" s="279"/>
      <c r="BQ1571" s="279"/>
      <c r="BR1571" s="279"/>
      <c r="BS1571" s="279"/>
      <c r="BT1571" s="279"/>
      <c r="BU1571" s="279"/>
      <c r="BV1571" s="279"/>
      <c r="BW1571" s="279"/>
      <c r="BX1571" s="279"/>
      <c r="BY1571" s="279"/>
      <c r="BZ1571" s="279"/>
      <c r="CA1571" s="279"/>
      <c r="CB1571" s="279"/>
      <c r="CC1571" s="279"/>
      <c r="CD1571" s="279"/>
      <c r="CE1571" s="279"/>
      <c r="CF1571" s="279"/>
      <c r="CG1571" s="279"/>
      <c r="CH1571" s="279"/>
      <c r="CI1571" s="279"/>
      <c r="CJ1571" s="279"/>
      <c r="CK1571" s="279"/>
      <c r="CL1571" s="279"/>
      <c r="CM1571" s="279"/>
      <c r="CN1571" s="382"/>
    </row>
    <row r="1572" x14ac:dyDescent="0.25">
      <c r="B1572" s="361"/>
      <c r="C1572" s="279"/>
      <c r="D1572" s="280"/>
      <c r="E1572" s="287"/>
      <c r="F1572" s="287"/>
      <c r="G1572" s="287"/>
      <c r="H1572" s="1292">
        <f t="shared" si="80"/>
        <v>34</v>
      </c>
      <c r="I1572" s="1323" t="str">
        <f>IF('I. Stream &amp; Compound Data'!G295&lt;&gt;"",'I. Stream &amp; Compound Data'!G295,"")</f>
        <v/>
      </c>
      <c r="J1572" s="1242" t="str">
        <f>IF('I. Stream &amp; Compound Data'!P295&lt;&gt;"",'I. Stream &amp; Compound Data'!P295,"")</f>
        <v/>
      </c>
      <c r="K1572" s="1242" t="str">
        <f>IF('I. Stream &amp; Compound Data'!AM295&lt;&gt;"",'I. Stream &amp; Compound Data'!AM295,"")</f>
        <v/>
      </c>
      <c r="L1572" s="1242" t="str">
        <f>IF(I1572="","",IF('I. Stream &amp; Compound Data'!E65="H2O",0,IF(K1572=0,1,500)))</f>
        <v/>
      </c>
      <c r="M1572" s="1268" t="str">
        <f>IF(I1572="","",'V. Environmental'!L1572*'V. Environmental'!J1572)</f>
        <v/>
      </c>
      <c r="N1572" s="296"/>
      <c r="O1572" s="287"/>
      <c r="P1572" s="296"/>
      <c r="Q1572" s="287"/>
      <c r="R1572" s="296"/>
      <c r="S1572" s="298"/>
      <c r="T1572" s="298"/>
      <c r="U1572" s="299"/>
      <c r="V1572" s="279"/>
      <c r="W1572" s="279"/>
      <c r="X1572" s="279"/>
      <c r="Y1572" s="279"/>
      <c r="Z1572" s="279"/>
      <c r="AA1572" s="279"/>
      <c r="AB1572" s="279"/>
      <c r="AC1572" s="279"/>
      <c r="AD1572" s="279"/>
      <c r="AE1572" s="279"/>
      <c r="AF1572" s="279"/>
      <c r="AG1572" s="279"/>
      <c r="AH1572" s="279"/>
      <c r="AI1572" s="279"/>
      <c r="AJ1572" s="279"/>
      <c r="AK1572" s="279"/>
      <c r="AL1572" s="279"/>
      <c r="AM1572" s="279"/>
      <c r="AN1572" s="279"/>
      <c r="AO1572" s="279"/>
      <c r="AP1572" s="279"/>
      <c r="AQ1572" s="279"/>
      <c r="AR1572" s="279"/>
      <c r="AS1572" s="279"/>
      <c r="AT1572" s="279"/>
      <c r="AU1572" s="279"/>
      <c r="AV1572" s="279"/>
      <c r="AW1572" s="279"/>
      <c r="AX1572" s="279"/>
      <c r="AY1572" s="279"/>
      <c r="AZ1572" s="279"/>
      <c r="BA1572" s="279"/>
      <c r="BB1572" s="279"/>
      <c r="BC1572" s="279"/>
      <c r="BD1572" s="279"/>
      <c r="BE1572" s="279"/>
      <c r="BF1572" s="279"/>
      <c r="BG1572" s="279"/>
      <c r="BH1572" s="279"/>
      <c r="BI1572" s="279"/>
      <c r="BJ1572" s="279"/>
      <c r="BK1572" s="279"/>
      <c r="BL1572" s="279"/>
      <c r="BM1572" s="279"/>
      <c r="BN1572" s="279"/>
      <c r="BO1572" s="279"/>
      <c r="BP1572" s="279"/>
      <c r="BQ1572" s="279"/>
      <c r="BR1572" s="279"/>
      <c r="BS1572" s="279"/>
      <c r="BT1572" s="279"/>
      <c r="BU1572" s="279"/>
      <c r="BV1572" s="279"/>
      <c r="BW1572" s="279"/>
      <c r="BX1572" s="279"/>
      <c r="BY1572" s="279"/>
      <c r="BZ1572" s="279"/>
      <c r="CA1572" s="279"/>
      <c r="CB1572" s="279"/>
      <c r="CC1572" s="279"/>
      <c r="CD1572" s="279"/>
      <c r="CE1572" s="279"/>
      <c r="CF1572" s="279"/>
      <c r="CG1572" s="279"/>
      <c r="CH1572" s="279"/>
      <c r="CI1572" s="279"/>
      <c r="CJ1572" s="279"/>
      <c r="CK1572" s="279"/>
      <c r="CL1572" s="279"/>
      <c r="CM1572" s="279"/>
      <c r="CN1572" s="382"/>
    </row>
    <row r="1573" x14ac:dyDescent="0.25">
      <c r="B1573" s="361"/>
      <c r="C1573" s="279"/>
      <c r="D1573" s="280"/>
      <c r="E1573" s="287"/>
      <c r="F1573" s="287"/>
      <c r="G1573" s="287"/>
      <c r="H1573" s="1292">
        <f t="shared" si="80"/>
        <v>35</v>
      </c>
      <c r="I1573" s="1323" t="str">
        <f>IF('I. Stream &amp; Compound Data'!G296&lt;&gt;"",'I. Stream &amp; Compound Data'!G296,"")</f>
        <v/>
      </c>
      <c r="J1573" s="1242" t="str">
        <f>IF('I. Stream &amp; Compound Data'!P296&lt;&gt;"",'I. Stream &amp; Compound Data'!P296,"")</f>
        <v/>
      </c>
      <c r="K1573" s="1242" t="str">
        <f>IF('I. Stream &amp; Compound Data'!AM296&lt;&gt;"",'I. Stream &amp; Compound Data'!AM296,"")</f>
        <v/>
      </c>
      <c r="L1573" s="1242" t="str">
        <f>IF(I1573="","",IF('I. Stream &amp; Compound Data'!E66="H2O",0,IF(K1573=0,1,500)))</f>
        <v/>
      </c>
      <c r="M1573" s="1268" t="str">
        <f>IF(I1573="","",'V. Environmental'!L1573*'V. Environmental'!J1573)</f>
        <v/>
      </c>
      <c r="N1573" s="296"/>
      <c r="O1573" s="287"/>
      <c r="P1573" s="296"/>
      <c r="Q1573" s="287"/>
      <c r="R1573" s="296"/>
      <c r="S1573" s="298"/>
      <c r="T1573" s="298"/>
      <c r="U1573" s="299"/>
      <c r="V1573" s="279"/>
      <c r="W1573" s="279"/>
      <c r="X1573" s="279"/>
      <c r="Y1573" s="279"/>
      <c r="Z1573" s="279"/>
      <c r="AA1573" s="279"/>
      <c r="AB1573" s="279"/>
      <c r="AC1573" s="279"/>
      <c r="AD1573" s="279"/>
      <c r="AE1573" s="279"/>
      <c r="AF1573" s="279"/>
      <c r="AG1573" s="279"/>
      <c r="AH1573" s="279"/>
      <c r="AI1573" s="279"/>
      <c r="AJ1573" s="279"/>
      <c r="AK1573" s="279"/>
      <c r="AL1573" s="279"/>
      <c r="AM1573" s="279"/>
      <c r="AN1573" s="279"/>
      <c r="AO1573" s="279"/>
      <c r="AP1573" s="279"/>
      <c r="AQ1573" s="279"/>
      <c r="AR1573" s="279"/>
      <c r="AS1573" s="279"/>
      <c r="AT1573" s="279"/>
      <c r="AU1573" s="279"/>
      <c r="AV1573" s="279"/>
      <c r="AW1573" s="279"/>
      <c r="AX1573" s="279"/>
      <c r="AY1573" s="279"/>
      <c r="AZ1573" s="279"/>
      <c r="BA1573" s="279"/>
      <c r="BB1573" s="279"/>
      <c r="BC1573" s="279"/>
      <c r="BD1573" s="279"/>
      <c r="BE1573" s="279"/>
      <c r="BF1573" s="279"/>
      <c r="BG1573" s="279"/>
      <c r="BH1573" s="279"/>
      <c r="BI1573" s="279"/>
      <c r="BJ1573" s="279"/>
      <c r="BK1573" s="279"/>
      <c r="BL1573" s="279"/>
      <c r="BM1573" s="279"/>
      <c r="BN1573" s="279"/>
      <c r="BO1573" s="279"/>
      <c r="BP1573" s="279"/>
      <c r="BQ1573" s="279"/>
      <c r="BR1573" s="279"/>
      <c r="BS1573" s="279"/>
      <c r="BT1573" s="279"/>
      <c r="BU1573" s="279"/>
      <c r="BV1573" s="279"/>
      <c r="BW1573" s="279"/>
      <c r="BX1573" s="279"/>
      <c r="BY1573" s="279"/>
      <c r="BZ1573" s="279"/>
      <c r="CA1573" s="279"/>
      <c r="CB1573" s="279"/>
      <c r="CC1573" s="279"/>
      <c r="CD1573" s="279"/>
      <c r="CE1573" s="279"/>
      <c r="CF1573" s="279"/>
      <c r="CG1573" s="279"/>
      <c r="CH1573" s="279"/>
      <c r="CI1573" s="279"/>
      <c r="CJ1573" s="279"/>
      <c r="CK1573" s="279"/>
      <c r="CL1573" s="279"/>
      <c r="CM1573" s="279"/>
      <c r="CN1573" s="382"/>
    </row>
    <row r="1574" x14ac:dyDescent="0.25">
      <c r="B1574" s="361"/>
      <c r="C1574" s="279"/>
      <c r="D1574" s="280"/>
      <c r="E1574" s="287"/>
      <c r="F1574" s="287"/>
      <c r="G1574" s="287"/>
      <c r="H1574" s="1292">
        <f t="shared" si="80"/>
        <v>36</v>
      </c>
      <c r="I1574" s="1323" t="str">
        <f>IF('I. Stream &amp; Compound Data'!G297&lt;&gt;"",'I. Stream &amp; Compound Data'!G297,"")</f>
        <v/>
      </c>
      <c r="J1574" s="1242" t="str">
        <f>IF('I. Stream &amp; Compound Data'!P297&lt;&gt;"",'I. Stream &amp; Compound Data'!P297,"")</f>
        <v/>
      </c>
      <c r="K1574" s="1242" t="str">
        <f>IF('I. Stream &amp; Compound Data'!AM297&lt;&gt;"",'I. Stream &amp; Compound Data'!AM297,"")</f>
        <v/>
      </c>
      <c r="L1574" s="1242" t="str">
        <f>IF(I1574="","",IF('I. Stream &amp; Compound Data'!E67="H2O",0,IF(K1574=0,1,500)))</f>
        <v/>
      </c>
      <c r="M1574" s="1268" t="str">
        <f>IF(I1574="","",'V. Environmental'!L1574*'V. Environmental'!J1574)</f>
        <v/>
      </c>
      <c r="N1574" s="296"/>
      <c r="O1574" s="287"/>
      <c r="P1574" s="296"/>
      <c r="Q1574" s="287"/>
      <c r="R1574" s="296"/>
      <c r="S1574" s="298"/>
      <c r="T1574" s="298"/>
      <c r="U1574" s="299"/>
      <c r="V1574" s="279"/>
      <c r="W1574" s="279"/>
      <c r="X1574" s="279"/>
      <c r="Y1574" s="279"/>
      <c r="Z1574" s="279"/>
      <c r="AA1574" s="279"/>
      <c r="AB1574" s="279"/>
      <c r="AC1574" s="279"/>
      <c r="AD1574" s="279"/>
      <c r="AE1574" s="279"/>
      <c r="AF1574" s="279"/>
      <c r="AG1574" s="279"/>
      <c r="AH1574" s="279"/>
      <c r="AI1574" s="279"/>
      <c r="AJ1574" s="279"/>
      <c r="AK1574" s="279"/>
      <c r="AL1574" s="279"/>
      <c r="AM1574" s="279"/>
      <c r="AN1574" s="279"/>
      <c r="AO1574" s="279"/>
      <c r="AP1574" s="279"/>
      <c r="AQ1574" s="279"/>
      <c r="AR1574" s="279"/>
      <c r="AS1574" s="279"/>
      <c r="AT1574" s="279"/>
      <c r="AU1574" s="279"/>
      <c r="AV1574" s="279"/>
      <c r="AW1574" s="279"/>
      <c r="AX1574" s="279"/>
      <c r="AY1574" s="279"/>
      <c r="AZ1574" s="279"/>
      <c r="BA1574" s="279"/>
      <c r="BB1574" s="279"/>
      <c r="BC1574" s="279"/>
      <c r="BD1574" s="279"/>
      <c r="BE1574" s="279"/>
      <c r="BF1574" s="279"/>
      <c r="BG1574" s="279"/>
      <c r="BH1574" s="279"/>
      <c r="BI1574" s="279"/>
      <c r="BJ1574" s="279"/>
      <c r="BK1574" s="279"/>
      <c r="BL1574" s="279"/>
      <c r="BM1574" s="279"/>
      <c r="BN1574" s="279"/>
      <c r="BO1574" s="279"/>
      <c r="BP1574" s="279"/>
      <c r="BQ1574" s="279"/>
      <c r="BR1574" s="279"/>
      <c r="BS1574" s="279"/>
      <c r="BT1574" s="279"/>
      <c r="BU1574" s="279"/>
      <c r="BV1574" s="279"/>
      <c r="BW1574" s="279"/>
      <c r="BX1574" s="279"/>
      <c r="BY1574" s="279"/>
      <c r="BZ1574" s="279"/>
      <c r="CA1574" s="279"/>
      <c r="CB1574" s="279"/>
      <c r="CC1574" s="279"/>
      <c r="CD1574" s="279"/>
      <c r="CE1574" s="279"/>
      <c r="CF1574" s="279"/>
      <c r="CG1574" s="279"/>
      <c r="CH1574" s="279"/>
      <c r="CI1574" s="279"/>
      <c r="CJ1574" s="279"/>
      <c r="CK1574" s="279"/>
      <c r="CL1574" s="279"/>
      <c r="CM1574" s="279"/>
      <c r="CN1574" s="382"/>
    </row>
    <row r="1575" x14ac:dyDescent="0.25">
      <c r="B1575" s="361"/>
      <c r="C1575" s="279"/>
      <c r="D1575" s="280"/>
      <c r="E1575" s="287"/>
      <c r="F1575" s="287"/>
      <c r="G1575" s="287"/>
      <c r="H1575" s="1292">
        <f t="shared" si="80"/>
        <v>37</v>
      </c>
      <c r="I1575" s="1323" t="str">
        <f>IF('I. Stream &amp; Compound Data'!G298&lt;&gt;"",'I. Stream &amp; Compound Data'!G298,"")</f>
        <v/>
      </c>
      <c r="J1575" s="1242" t="str">
        <f>IF('I. Stream &amp; Compound Data'!P298&lt;&gt;"",'I. Stream &amp; Compound Data'!P298,"")</f>
        <v/>
      </c>
      <c r="K1575" s="1242" t="str">
        <f>IF('I. Stream &amp; Compound Data'!AM298&lt;&gt;"",'I. Stream &amp; Compound Data'!AM298,"")</f>
        <v/>
      </c>
      <c r="L1575" s="1242" t="str">
        <f>IF(I1575="","",IF('I. Stream &amp; Compound Data'!E68="H2O",0,IF(K1575=0,1,500)))</f>
        <v/>
      </c>
      <c r="M1575" s="1268" t="str">
        <f>IF(I1575="","",'V. Environmental'!L1575*'V. Environmental'!J1575)</f>
        <v/>
      </c>
      <c r="N1575" s="296"/>
      <c r="O1575" s="287"/>
      <c r="P1575" s="296"/>
      <c r="Q1575" s="287"/>
      <c r="R1575" s="296"/>
      <c r="S1575" s="298"/>
      <c r="T1575" s="298"/>
      <c r="U1575" s="299"/>
      <c r="V1575" s="279"/>
      <c r="W1575" s="279"/>
      <c r="X1575" s="279"/>
      <c r="Y1575" s="279"/>
      <c r="Z1575" s="279"/>
      <c r="AA1575" s="279"/>
      <c r="AB1575" s="279"/>
      <c r="AC1575" s="279"/>
      <c r="AD1575" s="279"/>
      <c r="AE1575" s="279"/>
      <c r="AF1575" s="279"/>
      <c r="AG1575" s="279"/>
      <c r="AH1575" s="279"/>
      <c r="AI1575" s="279"/>
      <c r="AJ1575" s="279"/>
      <c r="AK1575" s="279"/>
      <c r="AL1575" s="279"/>
      <c r="AM1575" s="279"/>
      <c r="AN1575" s="279"/>
      <c r="AO1575" s="279"/>
      <c r="AP1575" s="279"/>
      <c r="AQ1575" s="279"/>
      <c r="AR1575" s="279"/>
      <c r="AS1575" s="279"/>
      <c r="AT1575" s="279"/>
      <c r="AU1575" s="279"/>
      <c r="AV1575" s="279"/>
      <c r="AW1575" s="279"/>
      <c r="AX1575" s="279"/>
      <c r="AY1575" s="279"/>
      <c r="AZ1575" s="279"/>
      <c r="BA1575" s="279"/>
      <c r="BB1575" s="279"/>
      <c r="BC1575" s="279"/>
      <c r="BD1575" s="279"/>
      <c r="BE1575" s="279"/>
      <c r="BF1575" s="279"/>
      <c r="BG1575" s="279"/>
      <c r="BH1575" s="279"/>
      <c r="BI1575" s="279"/>
      <c r="BJ1575" s="279"/>
      <c r="BK1575" s="279"/>
      <c r="BL1575" s="279"/>
      <c r="BM1575" s="279"/>
      <c r="BN1575" s="279"/>
      <c r="BO1575" s="279"/>
      <c r="BP1575" s="279"/>
      <c r="BQ1575" s="279"/>
      <c r="BR1575" s="279"/>
      <c r="BS1575" s="279"/>
      <c r="BT1575" s="279"/>
      <c r="BU1575" s="279"/>
      <c r="BV1575" s="279"/>
      <c r="BW1575" s="279"/>
      <c r="BX1575" s="279"/>
      <c r="BY1575" s="279"/>
      <c r="BZ1575" s="279"/>
      <c r="CA1575" s="279"/>
      <c r="CB1575" s="279"/>
      <c r="CC1575" s="279"/>
      <c r="CD1575" s="279"/>
      <c r="CE1575" s="279"/>
      <c r="CF1575" s="279"/>
      <c r="CG1575" s="279"/>
      <c r="CH1575" s="279"/>
      <c r="CI1575" s="279"/>
      <c r="CJ1575" s="279"/>
      <c r="CK1575" s="279"/>
      <c r="CL1575" s="279"/>
      <c r="CM1575" s="279"/>
      <c r="CN1575" s="382"/>
    </row>
    <row r="1576" x14ac:dyDescent="0.25">
      <c r="B1576" s="361"/>
      <c r="C1576" s="279"/>
      <c r="D1576" s="280"/>
      <c r="E1576" s="287"/>
      <c r="F1576" s="287"/>
      <c r="G1576" s="287"/>
      <c r="H1576" s="1292">
        <f t="shared" si="80"/>
        <v>38</v>
      </c>
      <c r="I1576" s="1323" t="str">
        <f>IF('I. Stream &amp; Compound Data'!G299&lt;&gt;"",'I. Stream &amp; Compound Data'!G299,"")</f>
        <v/>
      </c>
      <c r="J1576" s="1242" t="str">
        <f>IF('I. Stream &amp; Compound Data'!P299&lt;&gt;"",'I. Stream &amp; Compound Data'!P299,"")</f>
        <v/>
      </c>
      <c r="K1576" s="1242" t="str">
        <f>IF('I. Stream &amp; Compound Data'!AM299&lt;&gt;"",'I. Stream &amp; Compound Data'!AM299,"")</f>
        <v/>
      </c>
      <c r="L1576" s="1242" t="str">
        <f>IF(I1576="","",IF('I. Stream &amp; Compound Data'!E69="H2O",0,IF(K1576=0,1,500)))</f>
        <v/>
      </c>
      <c r="M1576" s="1268" t="str">
        <f>IF(I1576="","",'V. Environmental'!L1576*'V. Environmental'!J1576)</f>
        <v/>
      </c>
      <c r="N1576" s="296"/>
      <c r="O1576" s="287"/>
      <c r="P1576" s="296"/>
      <c r="Q1576" s="287"/>
      <c r="R1576" s="296"/>
      <c r="S1576" s="298"/>
      <c r="T1576" s="298"/>
      <c r="U1576" s="299"/>
      <c r="V1576" s="279"/>
      <c r="W1576" s="279"/>
      <c r="X1576" s="279"/>
      <c r="Y1576" s="279"/>
      <c r="Z1576" s="279"/>
      <c r="AA1576" s="279"/>
      <c r="AB1576" s="279"/>
      <c r="AC1576" s="279"/>
      <c r="AD1576" s="279"/>
      <c r="AE1576" s="279"/>
      <c r="AF1576" s="279"/>
      <c r="AG1576" s="279"/>
      <c r="AH1576" s="279"/>
      <c r="AI1576" s="279"/>
      <c r="AJ1576" s="279"/>
      <c r="AK1576" s="279"/>
      <c r="AL1576" s="279"/>
      <c r="AM1576" s="279"/>
      <c r="AN1576" s="279"/>
      <c r="AO1576" s="279"/>
      <c r="AP1576" s="279"/>
      <c r="AQ1576" s="279"/>
      <c r="AR1576" s="279"/>
      <c r="AS1576" s="279"/>
      <c r="AT1576" s="279"/>
      <c r="AU1576" s="279"/>
      <c r="AV1576" s="279"/>
      <c r="AW1576" s="279"/>
      <c r="AX1576" s="279"/>
      <c r="AY1576" s="279"/>
      <c r="AZ1576" s="279"/>
      <c r="BA1576" s="279"/>
      <c r="BB1576" s="279"/>
      <c r="BC1576" s="279"/>
      <c r="BD1576" s="279"/>
      <c r="BE1576" s="279"/>
      <c r="BF1576" s="279"/>
      <c r="BG1576" s="279"/>
      <c r="BH1576" s="279"/>
      <c r="BI1576" s="279"/>
      <c r="BJ1576" s="279"/>
      <c r="BK1576" s="279"/>
      <c r="BL1576" s="279"/>
      <c r="BM1576" s="279"/>
      <c r="BN1576" s="279"/>
      <c r="BO1576" s="279"/>
      <c r="BP1576" s="279"/>
      <c r="BQ1576" s="279"/>
      <c r="BR1576" s="279"/>
      <c r="BS1576" s="279"/>
      <c r="BT1576" s="279"/>
      <c r="BU1576" s="279"/>
      <c r="BV1576" s="279"/>
      <c r="BW1576" s="279"/>
      <c r="BX1576" s="279"/>
      <c r="BY1576" s="279"/>
      <c r="BZ1576" s="279"/>
      <c r="CA1576" s="279"/>
      <c r="CB1576" s="279"/>
      <c r="CC1576" s="279"/>
      <c r="CD1576" s="279"/>
      <c r="CE1576" s="279"/>
      <c r="CF1576" s="279"/>
      <c r="CG1576" s="279"/>
      <c r="CH1576" s="279"/>
      <c r="CI1576" s="279"/>
      <c r="CJ1576" s="279"/>
      <c r="CK1576" s="279"/>
      <c r="CL1576" s="279"/>
      <c r="CM1576" s="279"/>
      <c r="CN1576" s="382"/>
    </row>
    <row r="1577" x14ac:dyDescent="0.25">
      <c r="B1577" s="361"/>
      <c r="C1577" s="279"/>
      <c r="D1577" s="280"/>
      <c r="E1577" s="287"/>
      <c r="F1577" s="287"/>
      <c r="G1577" s="287"/>
      <c r="H1577" s="1292">
        <f t="shared" si="80"/>
        <v>39</v>
      </c>
      <c r="I1577" s="1323" t="str">
        <f>IF('I. Stream &amp; Compound Data'!G300&lt;&gt;"",'I. Stream &amp; Compound Data'!G300,"")</f>
        <v/>
      </c>
      <c r="J1577" s="1242" t="str">
        <f>IF('I. Stream &amp; Compound Data'!P300&lt;&gt;"",'I. Stream &amp; Compound Data'!P300,"")</f>
        <v/>
      </c>
      <c r="K1577" s="1242" t="str">
        <f>IF('I. Stream &amp; Compound Data'!AM300&lt;&gt;"",'I. Stream &amp; Compound Data'!AM300,"")</f>
        <v/>
      </c>
      <c r="L1577" s="1242" t="str">
        <f>IF(I1577="","",IF('I. Stream &amp; Compound Data'!E70="H2O",0,IF(K1577=0,1,500)))</f>
        <v/>
      </c>
      <c r="M1577" s="1268" t="str">
        <f>IF(I1577="","",'V. Environmental'!L1577*'V. Environmental'!J1577)</f>
        <v/>
      </c>
      <c r="N1577" s="296"/>
      <c r="O1577" s="287"/>
      <c r="P1577" s="296"/>
      <c r="Q1577" s="287"/>
      <c r="R1577" s="296"/>
      <c r="S1577" s="298"/>
      <c r="T1577" s="298"/>
      <c r="U1577" s="299"/>
      <c r="V1577" s="279"/>
      <c r="W1577" s="279"/>
      <c r="X1577" s="279"/>
      <c r="Y1577" s="279"/>
      <c r="Z1577" s="279"/>
      <c r="AA1577" s="279"/>
      <c r="AB1577" s="279"/>
      <c r="AC1577" s="279"/>
      <c r="AD1577" s="279"/>
      <c r="AE1577" s="279"/>
      <c r="AF1577" s="279"/>
      <c r="AG1577" s="279"/>
      <c r="AH1577" s="279"/>
      <c r="AI1577" s="279"/>
      <c r="AJ1577" s="279"/>
      <c r="AK1577" s="279"/>
      <c r="AL1577" s="279"/>
      <c r="AM1577" s="279"/>
      <c r="AN1577" s="279"/>
      <c r="AO1577" s="279"/>
      <c r="AP1577" s="279"/>
      <c r="AQ1577" s="279"/>
      <c r="AR1577" s="279"/>
      <c r="AS1577" s="279"/>
      <c r="AT1577" s="279"/>
      <c r="AU1577" s="279"/>
      <c r="AV1577" s="279"/>
      <c r="AW1577" s="279"/>
      <c r="AX1577" s="279"/>
      <c r="AY1577" s="279"/>
      <c r="AZ1577" s="279"/>
      <c r="BA1577" s="279"/>
      <c r="BB1577" s="279"/>
      <c r="BC1577" s="279"/>
      <c r="BD1577" s="279"/>
      <c r="BE1577" s="279"/>
      <c r="BF1577" s="279"/>
      <c r="BG1577" s="279"/>
      <c r="BH1577" s="279"/>
      <c r="BI1577" s="279"/>
      <c r="BJ1577" s="279"/>
      <c r="BK1577" s="279"/>
      <c r="BL1577" s="279"/>
      <c r="BM1577" s="279"/>
      <c r="BN1577" s="279"/>
      <c r="BO1577" s="279"/>
      <c r="BP1577" s="279"/>
      <c r="BQ1577" s="279"/>
      <c r="BR1577" s="279"/>
      <c r="BS1577" s="279"/>
      <c r="BT1577" s="279"/>
      <c r="BU1577" s="279"/>
      <c r="BV1577" s="279"/>
      <c r="BW1577" s="279"/>
      <c r="BX1577" s="279"/>
      <c r="BY1577" s="279"/>
      <c r="BZ1577" s="279"/>
      <c r="CA1577" s="279"/>
      <c r="CB1577" s="279"/>
      <c r="CC1577" s="279"/>
      <c r="CD1577" s="279"/>
      <c r="CE1577" s="279"/>
      <c r="CF1577" s="279"/>
      <c r="CG1577" s="279"/>
      <c r="CH1577" s="279"/>
      <c r="CI1577" s="279"/>
      <c r="CJ1577" s="279"/>
      <c r="CK1577" s="279"/>
      <c r="CL1577" s="279"/>
      <c r="CM1577" s="279"/>
      <c r="CN1577" s="382"/>
    </row>
    <row r="1578" x14ac:dyDescent="0.25">
      <c r="B1578" s="361"/>
      <c r="C1578" s="279"/>
      <c r="D1578" s="280"/>
      <c r="E1578" s="287"/>
      <c r="F1578" s="287"/>
      <c r="G1578" s="287"/>
      <c r="H1578" s="1292">
        <f t="shared" si="80"/>
        <v>40</v>
      </c>
      <c r="I1578" s="1323" t="str">
        <f>IF('I. Stream &amp; Compound Data'!G301&lt;&gt;"",'I. Stream &amp; Compound Data'!G301,"")</f>
        <v/>
      </c>
      <c r="J1578" s="1242" t="str">
        <f>IF('I. Stream &amp; Compound Data'!P301&lt;&gt;"",'I. Stream &amp; Compound Data'!P301,"")</f>
        <v/>
      </c>
      <c r="K1578" s="1242" t="str">
        <f>IF('I. Stream &amp; Compound Data'!AM301&lt;&gt;"",'I. Stream &amp; Compound Data'!AM301,"")</f>
        <v/>
      </c>
      <c r="L1578" s="1242" t="str">
        <f>IF(I1578="","",IF('I. Stream &amp; Compound Data'!E71="H2O",0,IF(K1578=0,1,500)))</f>
        <v/>
      </c>
      <c r="M1578" s="1268" t="str">
        <f>IF(I1578="","",'V. Environmental'!L1578*'V. Environmental'!J1578)</f>
        <v/>
      </c>
      <c r="N1578" s="296"/>
      <c r="O1578" s="287"/>
      <c r="P1578" s="296"/>
      <c r="Q1578" s="287"/>
      <c r="R1578" s="296"/>
      <c r="S1578" s="298"/>
      <c r="T1578" s="298"/>
      <c r="U1578" s="299"/>
      <c r="V1578" s="279"/>
      <c r="W1578" s="279"/>
      <c r="X1578" s="279"/>
      <c r="Y1578" s="279"/>
      <c r="Z1578" s="279"/>
      <c r="AA1578" s="279"/>
      <c r="AB1578" s="279"/>
      <c r="AC1578" s="279"/>
      <c r="AD1578" s="279"/>
      <c r="AE1578" s="279"/>
      <c r="AF1578" s="279"/>
      <c r="AG1578" s="279"/>
      <c r="AH1578" s="279"/>
      <c r="AI1578" s="279"/>
      <c r="AJ1578" s="279"/>
      <c r="AK1578" s="279"/>
      <c r="AL1578" s="279"/>
      <c r="AM1578" s="279"/>
      <c r="AN1578" s="279"/>
      <c r="AO1578" s="279"/>
      <c r="AP1578" s="279"/>
      <c r="AQ1578" s="279"/>
      <c r="AR1578" s="279"/>
      <c r="AS1578" s="279"/>
      <c r="AT1578" s="279"/>
      <c r="AU1578" s="279"/>
      <c r="AV1578" s="279"/>
      <c r="AW1578" s="279"/>
      <c r="AX1578" s="279"/>
      <c r="AY1578" s="279"/>
      <c r="AZ1578" s="279"/>
      <c r="BA1578" s="279"/>
      <c r="BB1578" s="279"/>
      <c r="BC1578" s="279"/>
      <c r="BD1578" s="279"/>
      <c r="BE1578" s="279"/>
      <c r="BF1578" s="279"/>
      <c r="BG1578" s="279"/>
      <c r="BH1578" s="279"/>
      <c r="BI1578" s="279"/>
      <c r="BJ1578" s="279"/>
      <c r="BK1578" s="279"/>
      <c r="BL1578" s="279"/>
      <c r="BM1578" s="279"/>
      <c r="BN1578" s="279"/>
      <c r="BO1578" s="279"/>
      <c r="BP1578" s="279"/>
      <c r="BQ1578" s="279"/>
      <c r="BR1578" s="279"/>
      <c r="BS1578" s="279"/>
      <c r="BT1578" s="279"/>
      <c r="BU1578" s="279"/>
      <c r="BV1578" s="279"/>
      <c r="BW1578" s="279"/>
      <c r="BX1578" s="279"/>
      <c r="BY1578" s="279"/>
      <c r="BZ1578" s="279"/>
      <c r="CA1578" s="279"/>
      <c r="CB1578" s="279"/>
      <c r="CC1578" s="279"/>
      <c r="CD1578" s="279"/>
      <c r="CE1578" s="279"/>
      <c r="CF1578" s="279"/>
      <c r="CG1578" s="279"/>
      <c r="CH1578" s="279"/>
      <c r="CI1578" s="279"/>
      <c r="CJ1578" s="279"/>
      <c r="CK1578" s="279"/>
      <c r="CL1578" s="279"/>
      <c r="CM1578" s="279"/>
      <c r="CN1578" s="382"/>
    </row>
    <row r="1579" x14ac:dyDescent="0.25">
      <c r="B1579" s="361"/>
      <c r="C1579" s="279"/>
      <c r="D1579" s="280"/>
      <c r="E1579" s="287"/>
      <c r="F1579" s="287"/>
      <c r="G1579" s="287"/>
      <c r="H1579" s="1292">
        <f t="shared" si="80"/>
        <v>41</v>
      </c>
      <c r="I1579" s="1323" t="str">
        <f>IF('I. Stream &amp; Compound Data'!G302&lt;&gt;"",'I. Stream &amp; Compound Data'!G302,"")</f>
        <v/>
      </c>
      <c r="J1579" s="1242" t="str">
        <f>IF('I. Stream &amp; Compound Data'!P302&lt;&gt;"",'I. Stream &amp; Compound Data'!P302,"")</f>
        <v/>
      </c>
      <c r="K1579" s="1242" t="str">
        <f>IF('I. Stream &amp; Compound Data'!AM302&lt;&gt;"",'I. Stream &amp; Compound Data'!AM302,"")</f>
        <v/>
      </c>
      <c r="L1579" s="1242" t="str">
        <f>IF(I1579="","",IF('I. Stream &amp; Compound Data'!E72="H2O",0,IF(K1579=0,1,500)))</f>
        <v/>
      </c>
      <c r="M1579" s="1268" t="str">
        <f>IF(I1579="","",'V. Environmental'!L1579*'V. Environmental'!J1579)</f>
        <v/>
      </c>
      <c r="N1579" s="296"/>
      <c r="O1579" s="287"/>
      <c r="P1579" s="296"/>
      <c r="Q1579" s="287"/>
      <c r="R1579" s="296"/>
      <c r="S1579" s="298"/>
      <c r="T1579" s="298"/>
      <c r="U1579" s="299"/>
      <c r="V1579" s="279"/>
      <c r="W1579" s="279"/>
      <c r="X1579" s="279"/>
      <c r="Y1579" s="279"/>
      <c r="Z1579" s="279"/>
      <c r="AA1579" s="279"/>
      <c r="AB1579" s="279"/>
      <c r="AC1579" s="279"/>
      <c r="AD1579" s="279"/>
      <c r="AE1579" s="279"/>
      <c r="AF1579" s="279"/>
      <c r="AG1579" s="279"/>
      <c r="AH1579" s="279"/>
      <c r="AI1579" s="279"/>
      <c r="AJ1579" s="279"/>
      <c r="AK1579" s="279"/>
      <c r="AL1579" s="279"/>
      <c r="AM1579" s="279"/>
      <c r="AN1579" s="279"/>
      <c r="AO1579" s="279"/>
      <c r="AP1579" s="279"/>
      <c r="AQ1579" s="279"/>
      <c r="AR1579" s="279"/>
      <c r="AS1579" s="279"/>
      <c r="AT1579" s="279"/>
      <c r="AU1579" s="279"/>
      <c r="AV1579" s="279"/>
      <c r="AW1579" s="279"/>
      <c r="AX1579" s="279"/>
      <c r="AY1579" s="279"/>
      <c r="AZ1579" s="279"/>
      <c r="BA1579" s="279"/>
      <c r="BB1579" s="279"/>
      <c r="BC1579" s="279"/>
      <c r="BD1579" s="279"/>
      <c r="BE1579" s="279"/>
      <c r="BF1579" s="279"/>
      <c r="BG1579" s="279"/>
      <c r="BH1579" s="279"/>
      <c r="BI1579" s="279"/>
      <c r="BJ1579" s="279"/>
      <c r="BK1579" s="279"/>
      <c r="BL1579" s="279"/>
      <c r="BM1579" s="279"/>
      <c r="BN1579" s="279"/>
      <c r="BO1579" s="279"/>
      <c r="BP1579" s="279"/>
      <c r="BQ1579" s="279"/>
      <c r="BR1579" s="279"/>
      <c r="BS1579" s="279"/>
      <c r="BT1579" s="279"/>
      <c r="BU1579" s="279"/>
      <c r="BV1579" s="279"/>
      <c r="BW1579" s="279"/>
      <c r="BX1579" s="279"/>
      <c r="BY1579" s="279"/>
      <c r="BZ1579" s="279"/>
      <c r="CA1579" s="279"/>
      <c r="CB1579" s="279"/>
      <c r="CC1579" s="279"/>
      <c r="CD1579" s="279"/>
      <c r="CE1579" s="279"/>
      <c r="CF1579" s="279"/>
      <c r="CG1579" s="279"/>
      <c r="CH1579" s="279"/>
      <c r="CI1579" s="279"/>
      <c r="CJ1579" s="279"/>
      <c r="CK1579" s="279"/>
      <c r="CL1579" s="279"/>
      <c r="CM1579" s="279"/>
      <c r="CN1579" s="382"/>
    </row>
    <row r="1580" x14ac:dyDescent="0.25">
      <c r="B1580" s="361"/>
      <c r="C1580" s="279"/>
      <c r="D1580" s="280"/>
      <c r="E1580" s="287"/>
      <c r="F1580" s="287"/>
      <c r="G1580" s="287"/>
      <c r="H1580" s="1292">
        <f t="shared" si="80"/>
        <v>42</v>
      </c>
      <c r="I1580" s="1323" t="str">
        <f>IF('I. Stream &amp; Compound Data'!G303&lt;&gt;"",'I. Stream &amp; Compound Data'!G303,"")</f>
        <v/>
      </c>
      <c r="J1580" s="1242" t="str">
        <f>IF('I. Stream &amp; Compound Data'!P303&lt;&gt;"",'I. Stream &amp; Compound Data'!P303,"")</f>
        <v/>
      </c>
      <c r="K1580" s="1242" t="str">
        <f>IF('I. Stream &amp; Compound Data'!AM303&lt;&gt;"",'I. Stream &amp; Compound Data'!AM303,"")</f>
        <v/>
      </c>
      <c r="L1580" s="1242" t="str">
        <f>IF(I1580="","",IF('I. Stream &amp; Compound Data'!E73="H2O",0,IF(K1580=0,1,500)))</f>
        <v/>
      </c>
      <c r="M1580" s="1268" t="str">
        <f>IF(I1580="","",'V. Environmental'!L1580*'V. Environmental'!J1580)</f>
        <v/>
      </c>
      <c r="N1580" s="296"/>
      <c r="O1580" s="287"/>
      <c r="P1580" s="296"/>
      <c r="Q1580" s="287"/>
      <c r="R1580" s="296"/>
      <c r="S1580" s="298"/>
      <c r="T1580" s="298"/>
      <c r="U1580" s="299"/>
      <c r="V1580" s="279"/>
      <c r="W1580" s="279"/>
      <c r="X1580" s="279"/>
      <c r="Y1580" s="279"/>
      <c r="Z1580" s="279"/>
      <c r="AA1580" s="279"/>
      <c r="AB1580" s="279"/>
      <c r="AC1580" s="279"/>
      <c r="AD1580" s="279"/>
      <c r="AE1580" s="279"/>
      <c r="AF1580" s="279"/>
      <c r="AG1580" s="279"/>
      <c r="AH1580" s="279"/>
      <c r="AI1580" s="279"/>
      <c r="AJ1580" s="279"/>
      <c r="AK1580" s="279"/>
      <c r="AL1580" s="279"/>
      <c r="AM1580" s="279"/>
      <c r="AN1580" s="279"/>
      <c r="AO1580" s="279"/>
      <c r="AP1580" s="279"/>
      <c r="AQ1580" s="279"/>
      <c r="AR1580" s="279"/>
      <c r="AS1580" s="279"/>
      <c r="AT1580" s="279"/>
      <c r="AU1580" s="279"/>
      <c r="AV1580" s="279"/>
      <c r="AW1580" s="279"/>
      <c r="AX1580" s="279"/>
      <c r="AY1580" s="279"/>
      <c r="AZ1580" s="279"/>
      <c r="BA1580" s="279"/>
      <c r="BB1580" s="279"/>
      <c r="BC1580" s="279"/>
      <c r="BD1580" s="279"/>
      <c r="BE1580" s="279"/>
      <c r="BF1580" s="279"/>
      <c r="BG1580" s="279"/>
      <c r="BH1580" s="279"/>
      <c r="BI1580" s="279"/>
      <c r="BJ1580" s="279"/>
      <c r="BK1580" s="279"/>
      <c r="BL1580" s="279"/>
      <c r="BM1580" s="279"/>
      <c r="BN1580" s="279"/>
      <c r="BO1580" s="279"/>
      <c r="BP1580" s="279"/>
      <c r="BQ1580" s="279"/>
      <c r="BR1580" s="279"/>
      <c r="BS1580" s="279"/>
      <c r="BT1580" s="279"/>
      <c r="BU1580" s="279"/>
      <c r="BV1580" s="279"/>
      <c r="BW1580" s="279"/>
      <c r="BX1580" s="279"/>
      <c r="BY1580" s="279"/>
      <c r="BZ1580" s="279"/>
      <c r="CA1580" s="279"/>
      <c r="CB1580" s="279"/>
      <c r="CC1580" s="279"/>
      <c r="CD1580" s="279"/>
      <c r="CE1580" s="279"/>
      <c r="CF1580" s="279"/>
      <c r="CG1580" s="279"/>
      <c r="CH1580" s="279"/>
      <c r="CI1580" s="279"/>
      <c r="CJ1580" s="279"/>
      <c r="CK1580" s="279"/>
      <c r="CL1580" s="279"/>
      <c r="CM1580" s="279"/>
      <c r="CN1580" s="382"/>
    </row>
    <row r="1581" x14ac:dyDescent="0.25">
      <c r="B1581" s="361"/>
      <c r="C1581" s="279"/>
      <c r="D1581" s="280"/>
      <c r="E1581" s="287"/>
      <c r="F1581" s="287"/>
      <c r="G1581" s="287"/>
      <c r="H1581" s="1292">
        <f t="shared" si="80"/>
        <v>43</v>
      </c>
      <c r="I1581" s="1323" t="str">
        <f>IF('I. Stream &amp; Compound Data'!G304&lt;&gt;"",'I. Stream &amp; Compound Data'!G304,"")</f>
        <v/>
      </c>
      <c r="J1581" s="1242" t="str">
        <f>IF('I. Stream &amp; Compound Data'!P304&lt;&gt;"",'I. Stream &amp; Compound Data'!P304,"")</f>
        <v/>
      </c>
      <c r="K1581" s="1242" t="str">
        <f>IF('I. Stream &amp; Compound Data'!AM304&lt;&gt;"",'I. Stream &amp; Compound Data'!AM304,"")</f>
        <v/>
      </c>
      <c r="L1581" s="1242" t="str">
        <f>IF(I1581="","",IF('I. Stream &amp; Compound Data'!E74="H2O",0,IF(K1581=0,1,500)))</f>
        <v/>
      </c>
      <c r="M1581" s="1268" t="str">
        <f>IF(I1581="","",'V. Environmental'!L1581*'V. Environmental'!J1581)</f>
        <v/>
      </c>
      <c r="N1581" s="296"/>
      <c r="O1581" s="287"/>
      <c r="P1581" s="296"/>
      <c r="Q1581" s="287"/>
      <c r="R1581" s="296"/>
      <c r="S1581" s="298"/>
      <c r="T1581" s="298"/>
      <c r="U1581" s="299"/>
      <c r="V1581" s="279"/>
      <c r="W1581" s="279"/>
      <c r="X1581" s="279"/>
      <c r="Y1581" s="279"/>
      <c r="Z1581" s="279"/>
      <c r="AA1581" s="279"/>
      <c r="AB1581" s="279"/>
      <c r="AC1581" s="279"/>
      <c r="AD1581" s="279"/>
      <c r="AE1581" s="279"/>
      <c r="AF1581" s="279"/>
      <c r="AG1581" s="279"/>
      <c r="AH1581" s="279"/>
      <c r="AI1581" s="279"/>
      <c r="AJ1581" s="279"/>
      <c r="AK1581" s="279"/>
      <c r="AL1581" s="279"/>
      <c r="AM1581" s="279"/>
      <c r="AN1581" s="279"/>
      <c r="AO1581" s="279"/>
      <c r="AP1581" s="279"/>
      <c r="AQ1581" s="279"/>
      <c r="AR1581" s="279"/>
      <c r="AS1581" s="279"/>
      <c r="AT1581" s="279"/>
      <c r="AU1581" s="279"/>
      <c r="AV1581" s="279"/>
      <c r="AW1581" s="279"/>
      <c r="AX1581" s="279"/>
      <c r="AY1581" s="279"/>
      <c r="AZ1581" s="279"/>
      <c r="BA1581" s="279"/>
      <c r="BB1581" s="279"/>
      <c r="BC1581" s="279"/>
      <c r="BD1581" s="279"/>
      <c r="BE1581" s="279"/>
      <c r="BF1581" s="279"/>
      <c r="BG1581" s="279"/>
      <c r="BH1581" s="279"/>
      <c r="BI1581" s="279"/>
      <c r="BJ1581" s="279"/>
      <c r="BK1581" s="279"/>
      <c r="BL1581" s="279"/>
      <c r="BM1581" s="279"/>
      <c r="BN1581" s="279"/>
      <c r="BO1581" s="279"/>
      <c r="BP1581" s="279"/>
      <c r="BQ1581" s="279"/>
      <c r="BR1581" s="279"/>
      <c r="BS1581" s="279"/>
      <c r="BT1581" s="279"/>
      <c r="BU1581" s="279"/>
      <c r="BV1581" s="279"/>
      <c r="BW1581" s="279"/>
      <c r="BX1581" s="279"/>
      <c r="BY1581" s="279"/>
      <c r="BZ1581" s="279"/>
      <c r="CA1581" s="279"/>
      <c r="CB1581" s="279"/>
      <c r="CC1581" s="279"/>
      <c r="CD1581" s="279"/>
      <c r="CE1581" s="279"/>
      <c r="CF1581" s="279"/>
      <c r="CG1581" s="279"/>
      <c r="CH1581" s="279"/>
      <c r="CI1581" s="279"/>
      <c r="CJ1581" s="279"/>
      <c r="CK1581" s="279"/>
      <c r="CL1581" s="279"/>
      <c r="CM1581" s="279"/>
      <c r="CN1581" s="382"/>
    </row>
    <row r="1582" x14ac:dyDescent="0.25">
      <c r="B1582" s="361"/>
      <c r="C1582" s="279"/>
      <c r="D1582" s="280"/>
      <c r="E1582" s="287"/>
      <c r="F1582" s="287"/>
      <c r="G1582" s="287"/>
      <c r="H1582" s="1292">
        <f t="shared" si="80"/>
        <v>44</v>
      </c>
      <c r="I1582" s="1323" t="str">
        <f>IF('I. Stream &amp; Compound Data'!G305&lt;&gt;"",'I. Stream &amp; Compound Data'!G305,"")</f>
        <v/>
      </c>
      <c r="J1582" s="1242" t="str">
        <f>IF('I. Stream &amp; Compound Data'!P305&lt;&gt;"",'I. Stream &amp; Compound Data'!P305,"")</f>
        <v/>
      </c>
      <c r="K1582" s="1242" t="str">
        <f>IF('I. Stream &amp; Compound Data'!AM305&lt;&gt;"",'I. Stream &amp; Compound Data'!AM305,"")</f>
        <v/>
      </c>
      <c r="L1582" s="1242" t="str">
        <f>IF(I1582="","",IF('I. Stream &amp; Compound Data'!E75="H2O",0,IF(K1582=0,1,500)))</f>
        <v/>
      </c>
      <c r="M1582" s="1268" t="str">
        <f>IF(I1582="","",'V. Environmental'!L1582*'V. Environmental'!J1582)</f>
        <v/>
      </c>
      <c r="N1582" s="296"/>
      <c r="O1582" s="287"/>
      <c r="P1582" s="296"/>
      <c r="Q1582" s="287"/>
      <c r="R1582" s="296"/>
      <c r="S1582" s="298"/>
      <c r="T1582" s="298"/>
      <c r="U1582" s="299"/>
      <c r="V1582" s="279"/>
      <c r="W1582" s="279"/>
      <c r="X1582" s="279"/>
      <c r="Y1582" s="279"/>
      <c r="Z1582" s="279"/>
      <c r="AA1582" s="279"/>
      <c r="AB1582" s="279"/>
      <c r="AC1582" s="279"/>
      <c r="AD1582" s="279"/>
      <c r="AE1582" s="279"/>
      <c r="AF1582" s="279"/>
      <c r="AG1582" s="279"/>
      <c r="AH1582" s="279"/>
      <c r="AI1582" s="279"/>
      <c r="AJ1582" s="279"/>
      <c r="AK1582" s="279"/>
      <c r="AL1582" s="279"/>
      <c r="AM1582" s="279"/>
      <c r="AN1582" s="279"/>
      <c r="AO1582" s="279"/>
      <c r="AP1582" s="279"/>
      <c r="AQ1582" s="279"/>
      <c r="AR1582" s="279"/>
      <c r="AS1582" s="279"/>
      <c r="AT1582" s="279"/>
      <c r="AU1582" s="279"/>
      <c r="AV1582" s="279"/>
      <c r="AW1582" s="279"/>
      <c r="AX1582" s="279"/>
      <c r="AY1582" s="279"/>
      <c r="AZ1582" s="279"/>
      <c r="BA1582" s="279"/>
      <c r="BB1582" s="279"/>
      <c r="BC1582" s="279"/>
      <c r="BD1582" s="279"/>
      <c r="BE1582" s="279"/>
      <c r="BF1582" s="279"/>
      <c r="BG1582" s="279"/>
      <c r="BH1582" s="279"/>
      <c r="BI1582" s="279"/>
      <c r="BJ1582" s="279"/>
      <c r="BK1582" s="279"/>
      <c r="BL1582" s="279"/>
      <c r="BM1582" s="279"/>
      <c r="BN1582" s="279"/>
      <c r="BO1582" s="279"/>
      <c r="BP1582" s="279"/>
      <c r="BQ1582" s="279"/>
      <c r="BR1582" s="279"/>
      <c r="BS1582" s="279"/>
      <c r="BT1582" s="279"/>
      <c r="BU1582" s="279"/>
      <c r="BV1582" s="279"/>
      <c r="BW1582" s="279"/>
      <c r="BX1582" s="279"/>
      <c r="BY1582" s="279"/>
      <c r="BZ1582" s="279"/>
      <c r="CA1582" s="279"/>
      <c r="CB1582" s="279"/>
      <c r="CC1582" s="279"/>
      <c r="CD1582" s="279"/>
      <c r="CE1582" s="279"/>
      <c r="CF1582" s="279"/>
      <c r="CG1582" s="279"/>
      <c r="CH1582" s="279"/>
      <c r="CI1582" s="279"/>
      <c r="CJ1582" s="279"/>
      <c r="CK1582" s="279"/>
      <c r="CL1582" s="279"/>
      <c r="CM1582" s="279"/>
      <c r="CN1582" s="382"/>
    </row>
    <row r="1583" x14ac:dyDescent="0.25">
      <c r="B1583" s="361"/>
      <c r="C1583" s="279"/>
      <c r="D1583" s="280"/>
      <c r="E1583" s="287"/>
      <c r="F1583" s="287"/>
      <c r="G1583" s="287"/>
      <c r="H1583" s="1292">
        <f t="shared" si="80"/>
        <v>45</v>
      </c>
      <c r="I1583" s="1323" t="str">
        <f>IF('I. Stream &amp; Compound Data'!G306&lt;&gt;"",'I. Stream &amp; Compound Data'!G306,"")</f>
        <v/>
      </c>
      <c r="J1583" s="1242" t="str">
        <f>IF('I. Stream &amp; Compound Data'!P306&lt;&gt;"",'I. Stream &amp; Compound Data'!P306,"")</f>
        <v/>
      </c>
      <c r="K1583" s="1242" t="str">
        <f>IF('I. Stream &amp; Compound Data'!AM306&lt;&gt;"",'I. Stream &amp; Compound Data'!AM306,"")</f>
        <v/>
      </c>
      <c r="L1583" s="1242" t="str">
        <f>IF(I1583="","",IF('I. Stream &amp; Compound Data'!E76="H2O",0,IF(K1583=0,1,500)))</f>
        <v/>
      </c>
      <c r="M1583" s="1268" t="str">
        <f>IF(I1583="","",'V. Environmental'!L1583*'V. Environmental'!J1583)</f>
        <v/>
      </c>
      <c r="N1583" s="296"/>
      <c r="O1583" s="287"/>
      <c r="P1583" s="296"/>
      <c r="Q1583" s="287"/>
      <c r="R1583" s="296"/>
      <c r="S1583" s="298"/>
      <c r="T1583" s="298"/>
      <c r="U1583" s="299"/>
      <c r="V1583" s="279"/>
      <c r="W1583" s="279"/>
      <c r="X1583" s="279"/>
      <c r="Y1583" s="279"/>
      <c r="Z1583" s="279"/>
      <c r="AA1583" s="279"/>
      <c r="AB1583" s="279"/>
      <c r="AC1583" s="279"/>
      <c r="AD1583" s="279"/>
      <c r="AE1583" s="279"/>
      <c r="AF1583" s="279"/>
      <c r="AG1583" s="279"/>
      <c r="AH1583" s="279"/>
      <c r="AI1583" s="279"/>
      <c r="AJ1583" s="279"/>
      <c r="AK1583" s="279"/>
      <c r="AL1583" s="279"/>
      <c r="AM1583" s="279"/>
      <c r="AN1583" s="279"/>
      <c r="AO1583" s="279"/>
      <c r="AP1583" s="279"/>
      <c r="AQ1583" s="279"/>
      <c r="AR1583" s="279"/>
      <c r="AS1583" s="279"/>
      <c r="AT1583" s="279"/>
      <c r="AU1583" s="279"/>
      <c r="AV1583" s="279"/>
      <c r="AW1583" s="279"/>
      <c r="AX1583" s="279"/>
      <c r="AY1583" s="279"/>
      <c r="AZ1583" s="279"/>
      <c r="BA1583" s="279"/>
      <c r="BB1583" s="279"/>
      <c r="BC1583" s="279"/>
      <c r="BD1583" s="279"/>
      <c r="BE1583" s="279"/>
      <c r="BF1583" s="279"/>
      <c r="BG1583" s="279"/>
      <c r="BH1583" s="279"/>
      <c r="BI1583" s="279"/>
      <c r="BJ1583" s="279"/>
      <c r="BK1583" s="279"/>
      <c r="BL1583" s="279"/>
      <c r="BM1583" s="279"/>
      <c r="BN1583" s="279"/>
      <c r="BO1583" s="279"/>
      <c r="BP1583" s="279"/>
      <c r="BQ1583" s="279"/>
      <c r="BR1583" s="279"/>
      <c r="BS1583" s="279"/>
      <c r="BT1583" s="279"/>
      <c r="BU1583" s="279"/>
      <c r="BV1583" s="279"/>
      <c r="BW1583" s="279"/>
      <c r="BX1583" s="279"/>
      <c r="BY1583" s="279"/>
      <c r="BZ1583" s="279"/>
      <c r="CA1583" s="279"/>
      <c r="CB1583" s="279"/>
      <c r="CC1583" s="279"/>
      <c r="CD1583" s="279"/>
      <c r="CE1583" s="279"/>
      <c r="CF1583" s="279"/>
      <c r="CG1583" s="279"/>
      <c r="CH1583" s="279"/>
      <c r="CI1583" s="279"/>
      <c r="CJ1583" s="279"/>
      <c r="CK1583" s="279"/>
      <c r="CL1583" s="279"/>
      <c r="CM1583" s="279"/>
      <c r="CN1583" s="382"/>
    </row>
    <row r="1584" x14ac:dyDescent="0.25">
      <c r="B1584" s="361"/>
      <c r="C1584" s="279"/>
      <c r="D1584" s="280"/>
      <c r="E1584" s="287"/>
      <c r="F1584" s="287"/>
      <c r="G1584" s="287"/>
      <c r="H1584" s="1292">
        <f t="shared" si="80"/>
        <v>46</v>
      </c>
      <c r="I1584" s="1323" t="str">
        <f>IF('I. Stream &amp; Compound Data'!G307&lt;&gt;"",'I. Stream &amp; Compound Data'!G307,"")</f>
        <v/>
      </c>
      <c r="J1584" s="1242" t="str">
        <f>IF('I. Stream &amp; Compound Data'!P307&lt;&gt;"",'I. Stream &amp; Compound Data'!P307,"")</f>
        <v/>
      </c>
      <c r="K1584" s="1242" t="str">
        <f>IF('I. Stream &amp; Compound Data'!AM307&lt;&gt;"",'I. Stream &amp; Compound Data'!AM307,"")</f>
        <v/>
      </c>
      <c r="L1584" s="1242" t="str">
        <f>IF(I1584="","",IF('I. Stream &amp; Compound Data'!E77="H2O",0,IF(K1584=0,1,500)))</f>
        <v/>
      </c>
      <c r="M1584" s="1268" t="str">
        <f>IF(I1584="","",'V. Environmental'!L1584*'V. Environmental'!J1584)</f>
        <v/>
      </c>
      <c r="N1584" s="296"/>
      <c r="O1584" s="287"/>
      <c r="P1584" s="296"/>
      <c r="Q1584" s="287"/>
      <c r="R1584" s="296"/>
      <c r="S1584" s="298"/>
      <c r="T1584" s="298"/>
      <c r="U1584" s="299"/>
      <c r="V1584" s="279"/>
      <c r="W1584" s="279"/>
      <c r="X1584" s="279"/>
      <c r="Y1584" s="279"/>
      <c r="Z1584" s="279"/>
      <c r="AA1584" s="279"/>
      <c r="AB1584" s="279"/>
      <c r="AC1584" s="279"/>
      <c r="AD1584" s="279"/>
      <c r="AE1584" s="279"/>
      <c r="AF1584" s="279"/>
      <c r="AG1584" s="279"/>
      <c r="AH1584" s="279"/>
      <c r="AI1584" s="279"/>
      <c r="AJ1584" s="279"/>
      <c r="AK1584" s="279"/>
      <c r="AL1584" s="279"/>
      <c r="AM1584" s="279"/>
      <c r="AN1584" s="279"/>
      <c r="AO1584" s="279"/>
      <c r="AP1584" s="279"/>
      <c r="AQ1584" s="279"/>
      <c r="AR1584" s="279"/>
      <c r="AS1584" s="279"/>
      <c r="AT1584" s="279"/>
      <c r="AU1584" s="279"/>
      <c r="AV1584" s="279"/>
      <c r="AW1584" s="279"/>
      <c r="AX1584" s="279"/>
      <c r="AY1584" s="279"/>
      <c r="AZ1584" s="279"/>
      <c r="BA1584" s="279"/>
      <c r="BB1584" s="279"/>
      <c r="BC1584" s="279"/>
      <c r="BD1584" s="279"/>
      <c r="BE1584" s="279"/>
      <c r="BF1584" s="279"/>
      <c r="BG1584" s="279"/>
      <c r="BH1584" s="279"/>
      <c r="BI1584" s="279"/>
      <c r="BJ1584" s="279"/>
      <c r="BK1584" s="279"/>
      <c r="BL1584" s="279"/>
      <c r="BM1584" s="279"/>
      <c r="BN1584" s="279"/>
      <c r="BO1584" s="279"/>
      <c r="BP1584" s="279"/>
      <c r="BQ1584" s="279"/>
      <c r="BR1584" s="279"/>
      <c r="BS1584" s="279"/>
      <c r="BT1584" s="279"/>
      <c r="BU1584" s="279"/>
      <c r="BV1584" s="279"/>
      <c r="BW1584" s="279"/>
      <c r="BX1584" s="279"/>
      <c r="BY1584" s="279"/>
      <c r="BZ1584" s="279"/>
      <c r="CA1584" s="279"/>
      <c r="CB1584" s="279"/>
      <c r="CC1584" s="279"/>
      <c r="CD1584" s="279"/>
      <c r="CE1584" s="279"/>
      <c r="CF1584" s="279"/>
      <c r="CG1584" s="279"/>
      <c r="CH1584" s="279"/>
      <c r="CI1584" s="279"/>
      <c r="CJ1584" s="279"/>
      <c r="CK1584" s="279"/>
      <c r="CL1584" s="279"/>
      <c r="CM1584" s="279"/>
      <c r="CN1584" s="382"/>
    </row>
    <row r="1585" x14ac:dyDescent="0.25">
      <c r="B1585" s="361"/>
      <c r="C1585" s="279"/>
      <c r="D1585" s="280"/>
      <c r="E1585" s="287"/>
      <c r="F1585" s="287"/>
      <c r="G1585" s="287"/>
      <c r="H1585" s="1292">
        <f t="shared" si="80"/>
        <v>47</v>
      </c>
      <c r="I1585" s="1323" t="str">
        <f>IF('I. Stream &amp; Compound Data'!G308&lt;&gt;"",'I. Stream &amp; Compound Data'!G308,"")</f>
        <v/>
      </c>
      <c r="J1585" s="1242" t="str">
        <f>IF('I. Stream &amp; Compound Data'!P308&lt;&gt;"",'I. Stream &amp; Compound Data'!P308,"")</f>
        <v/>
      </c>
      <c r="K1585" s="1242" t="str">
        <f>IF('I. Stream &amp; Compound Data'!AM308&lt;&gt;"",'I. Stream &amp; Compound Data'!AM308,"")</f>
        <v/>
      </c>
      <c r="L1585" s="1242" t="str">
        <f>IF(I1585="","",IF('I. Stream &amp; Compound Data'!E78="H2O",0,IF(K1585=0,1,500)))</f>
        <v/>
      </c>
      <c r="M1585" s="1268" t="str">
        <f>IF(I1585="","",'V. Environmental'!L1585*'V. Environmental'!J1585)</f>
        <v/>
      </c>
      <c r="N1585" s="296"/>
      <c r="O1585" s="287"/>
      <c r="P1585" s="296"/>
      <c r="Q1585" s="287"/>
      <c r="R1585" s="296"/>
      <c r="S1585" s="298"/>
      <c r="T1585" s="298"/>
      <c r="U1585" s="299"/>
      <c r="V1585" s="279"/>
      <c r="W1585" s="279"/>
      <c r="X1585" s="279"/>
      <c r="Y1585" s="279"/>
      <c r="Z1585" s="279"/>
      <c r="AA1585" s="279"/>
      <c r="AB1585" s="279"/>
      <c r="AC1585" s="279"/>
      <c r="AD1585" s="279"/>
      <c r="AE1585" s="279"/>
      <c r="AF1585" s="279"/>
      <c r="AG1585" s="279"/>
      <c r="AH1585" s="279"/>
      <c r="AI1585" s="279"/>
      <c r="AJ1585" s="279"/>
      <c r="AK1585" s="279"/>
      <c r="AL1585" s="279"/>
      <c r="AM1585" s="279"/>
      <c r="AN1585" s="279"/>
      <c r="AO1585" s="279"/>
      <c r="AP1585" s="279"/>
      <c r="AQ1585" s="279"/>
      <c r="AR1585" s="279"/>
      <c r="AS1585" s="279"/>
      <c r="AT1585" s="279"/>
      <c r="AU1585" s="279"/>
      <c r="AV1585" s="279"/>
      <c r="AW1585" s="279"/>
      <c r="AX1585" s="279"/>
      <c r="AY1585" s="279"/>
      <c r="AZ1585" s="279"/>
      <c r="BA1585" s="279"/>
      <c r="BB1585" s="279"/>
      <c r="BC1585" s="279"/>
      <c r="BD1585" s="279"/>
      <c r="BE1585" s="279"/>
      <c r="BF1585" s="279"/>
      <c r="BG1585" s="279"/>
      <c r="BH1585" s="279"/>
      <c r="BI1585" s="279"/>
      <c r="BJ1585" s="279"/>
      <c r="BK1585" s="279"/>
      <c r="BL1585" s="279"/>
      <c r="BM1585" s="279"/>
      <c r="BN1585" s="279"/>
      <c r="BO1585" s="279"/>
      <c r="BP1585" s="279"/>
      <c r="BQ1585" s="279"/>
      <c r="BR1585" s="279"/>
      <c r="BS1585" s="279"/>
      <c r="BT1585" s="279"/>
      <c r="BU1585" s="279"/>
      <c r="BV1585" s="279"/>
      <c r="BW1585" s="279"/>
      <c r="BX1585" s="279"/>
      <c r="BY1585" s="279"/>
      <c r="BZ1585" s="279"/>
      <c r="CA1585" s="279"/>
      <c r="CB1585" s="279"/>
      <c r="CC1585" s="279"/>
      <c r="CD1585" s="279"/>
      <c r="CE1585" s="279"/>
      <c r="CF1585" s="279"/>
      <c r="CG1585" s="279"/>
      <c r="CH1585" s="279"/>
      <c r="CI1585" s="279"/>
      <c r="CJ1585" s="279"/>
      <c r="CK1585" s="279"/>
      <c r="CL1585" s="279"/>
      <c r="CM1585" s="279"/>
      <c r="CN1585" s="382"/>
    </row>
    <row r="1586" x14ac:dyDescent="0.25">
      <c r="B1586" s="361"/>
      <c r="C1586" s="279"/>
      <c r="D1586" s="280"/>
      <c r="E1586" s="287"/>
      <c r="F1586" s="287"/>
      <c r="G1586" s="287"/>
      <c r="H1586" s="1292">
        <f t="shared" si="80"/>
        <v>48</v>
      </c>
      <c r="I1586" s="1323" t="str">
        <f>IF('I. Stream &amp; Compound Data'!G309&lt;&gt;"",'I. Stream &amp; Compound Data'!G309,"")</f>
        <v/>
      </c>
      <c r="J1586" s="1242" t="str">
        <f>IF('I. Stream &amp; Compound Data'!P309&lt;&gt;"",'I. Stream &amp; Compound Data'!P309,"")</f>
        <v/>
      </c>
      <c r="K1586" s="1242" t="str">
        <f>IF('I. Stream &amp; Compound Data'!AM309&lt;&gt;"",'I. Stream &amp; Compound Data'!AM309,"")</f>
        <v/>
      </c>
      <c r="L1586" s="1242" t="str">
        <f>IF(I1586="","",IF('I. Stream &amp; Compound Data'!E79="H2O",0,IF(K1586=0,1,500)))</f>
        <v/>
      </c>
      <c r="M1586" s="1268" t="str">
        <f>IF(I1586="","",'V. Environmental'!L1586*'V. Environmental'!J1586)</f>
        <v/>
      </c>
      <c r="N1586" s="296"/>
      <c r="O1586" s="287"/>
      <c r="P1586" s="296"/>
      <c r="Q1586" s="287"/>
      <c r="R1586" s="296"/>
      <c r="S1586" s="298"/>
      <c r="T1586" s="298"/>
      <c r="U1586" s="299"/>
      <c r="V1586" s="279"/>
      <c r="W1586" s="279"/>
      <c r="X1586" s="279"/>
      <c r="Y1586" s="279"/>
      <c r="Z1586" s="279"/>
      <c r="AA1586" s="279"/>
      <c r="AB1586" s="279"/>
      <c r="AC1586" s="279"/>
      <c r="AD1586" s="279"/>
      <c r="AE1586" s="279"/>
      <c r="AF1586" s="279"/>
      <c r="AG1586" s="279"/>
      <c r="AH1586" s="279"/>
      <c r="AI1586" s="279"/>
      <c r="AJ1586" s="279"/>
      <c r="AK1586" s="279"/>
      <c r="AL1586" s="279"/>
      <c r="AM1586" s="279"/>
      <c r="AN1586" s="279"/>
      <c r="AO1586" s="279"/>
      <c r="AP1586" s="279"/>
      <c r="AQ1586" s="279"/>
      <c r="AR1586" s="279"/>
      <c r="AS1586" s="279"/>
      <c r="AT1586" s="279"/>
      <c r="AU1586" s="279"/>
      <c r="AV1586" s="279"/>
      <c r="AW1586" s="279"/>
      <c r="AX1586" s="279"/>
      <c r="AY1586" s="279"/>
      <c r="AZ1586" s="279"/>
      <c r="BA1586" s="279"/>
      <c r="BB1586" s="279"/>
      <c r="BC1586" s="279"/>
      <c r="BD1586" s="279"/>
      <c r="BE1586" s="279"/>
      <c r="BF1586" s="279"/>
      <c r="BG1586" s="279"/>
      <c r="BH1586" s="279"/>
      <c r="BI1586" s="279"/>
      <c r="BJ1586" s="279"/>
      <c r="BK1586" s="279"/>
      <c r="BL1586" s="279"/>
      <c r="BM1586" s="279"/>
      <c r="BN1586" s="279"/>
      <c r="BO1586" s="279"/>
      <c r="BP1586" s="279"/>
      <c r="BQ1586" s="279"/>
      <c r="BR1586" s="279"/>
      <c r="BS1586" s="279"/>
      <c r="BT1586" s="279"/>
      <c r="BU1586" s="279"/>
      <c r="BV1586" s="279"/>
      <c r="BW1586" s="279"/>
      <c r="BX1586" s="279"/>
      <c r="BY1586" s="279"/>
      <c r="BZ1586" s="279"/>
      <c r="CA1586" s="279"/>
      <c r="CB1586" s="279"/>
      <c r="CC1586" s="279"/>
      <c r="CD1586" s="279"/>
      <c r="CE1586" s="279"/>
      <c r="CF1586" s="279"/>
      <c r="CG1586" s="279"/>
      <c r="CH1586" s="279"/>
      <c r="CI1586" s="279"/>
      <c r="CJ1586" s="279"/>
      <c r="CK1586" s="279"/>
      <c r="CL1586" s="279"/>
      <c r="CM1586" s="279"/>
      <c r="CN1586" s="382"/>
    </row>
    <row r="1587" x14ac:dyDescent="0.25">
      <c r="B1587" s="361"/>
      <c r="C1587" s="279"/>
      <c r="D1587" s="280"/>
      <c r="E1587" s="287"/>
      <c r="F1587" s="287"/>
      <c r="G1587" s="287"/>
      <c r="H1587" s="1292">
        <f t="shared" si="80"/>
        <v>49</v>
      </c>
      <c r="I1587" s="1323" t="str">
        <f>IF('I. Stream &amp; Compound Data'!G310&lt;&gt;"",'I. Stream &amp; Compound Data'!G310,"")</f>
        <v/>
      </c>
      <c r="J1587" s="1242" t="str">
        <f>IF('I. Stream &amp; Compound Data'!P310&lt;&gt;"",'I. Stream &amp; Compound Data'!P310,"")</f>
        <v/>
      </c>
      <c r="K1587" s="1242" t="str">
        <f>IF('I. Stream &amp; Compound Data'!AM310&lt;&gt;"",'I. Stream &amp; Compound Data'!AM310,"")</f>
        <v/>
      </c>
      <c r="L1587" s="1242" t="str">
        <f>IF(I1587="","",IF('I. Stream &amp; Compound Data'!E80="H2O",0,IF(K1587=0,1,500)))</f>
        <v/>
      </c>
      <c r="M1587" s="1268" t="str">
        <f>IF(I1587="","",'V. Environmental'!L1587*'V. Environmental'!J1587)</f>
        <v/>
      </c>
      <c r="N1587" s="296"/>
      <c r="O1587" s="287"/>
      <c r="P1587" s="296"/>
      <c r="Q1587" s="287"/>
      <c r="R1587" s="296"/>
      <c r="S1587" s="298"/>
      <c r="T1587" s="298"/>
      <c r="U1587" s="299"/>
      <c r="V1587" s="279"/>
      <c r="W1587" s="279"/>
      <c r="X1587" s="279"/>
      <c r="Y1587" s="279"/>
      <c r="Z1587" s="279"/>
      <c r="AA1587" s="279"/>
      <c r="AB1587" s="279"/>
      <c r="AC1587" s="279"/>
      <c r="AD1587" s="279"/>
      <c r="AE1587" s="279"/>
      <c r="AF1587" s="279"/>
      <c r="AG1587" s="279"/>
      <c r="AH1587" s="279"/>
      <c r="AI1587" s="279"/>
      <c r="AJ1587" s="279"/>
      <c r="AK1587" s="279"/>
      <c r="AL1587" s="279"/>
      <c r="AM1587" s="279"/>
      <c r="AN1587" s="279"/>
      <c r="AO1587" s="279"/>
      <c r="AP1587" s="279"/>
      <c r="AQ1587" s="279"/>
      <c r="AR1587" s="279"/>
      <c r="AS1587" s="279"/>
      <c r="AT1587" s="279"/>
      <c r="AU1587" s="279"/>
      <c r="AV1587" s="279"/>
      <c r="AW1587" s="279"/>
      <c r="AX1587" s="279"/>
      <c r="AY1587" s="279"/>
      <c r="AZ1587" s="279"/>
      <c r="BA1587" s="279"/>
      <c r="BB1587" s="279"/>
      <c r="BC1587" s="279"/>
      <c r="BD1587" s="279"/>
      <c r="BE1587" s="279"/>
      <c r="BF1587" s="279"/>
      <c r="BG1587" s="279"/>
      <c r="BH1587" s="279"/>
      <c r="BI1587" s="279"/>
      <c r="BJ1587" s="279"/>
      <c r="BK1587" s="279"/>
      <c r="BL1587" s="279"/>
      <c r="BM1587" s="279"/>
      <c r="BN1587" s="279"/>
      <c r="BO1587" s="279"/>
      <c r="BP1587" s="279"/>
      <c r="BQ1587" s="279"/>
      <c r="BR1587" s="279"/>
      <c r="BS1587" s="279"/>
      <c r="BT1587" s="279"/>
      <c r="BU1587" s="279"/>
      <c r="BV1587" s="279"/>
      <c r="BW1587" s="279"/>
      <c r="BX1587" s="279"/>
      <c r="BY1587" s="279"/>
      <c r="BZ1587" s="279"/>
      <c r="CA1587" s="279"/>
      <c r="CB1587" s="279"/>
      <c r="CC1587" s="279"/>
      <c r="CD1587" s="279"/>
      <c r="CE1587" s="279"/>
      <c r="CF1587" s="279"/>
      <c r="CG1587" s="279"/>
      <c r="CH1587" s="279"/>
      <c r="CI1587" s="279"/>
      <c r="CJ1587" s="279"/>
      <c r="CK1587" s="279"/>
      <c r="CL1587" s="279"/>
      <c r="CM1587" s="279"/>
      <c r="CN1587" s="382"/>
    </row>
    <row r="1588" ht="16.2" thickBot="true" x14ac:dyDescent="0.3">
      <c r="B1588" s="361"/>
      <c r="C1588" s="279"/>
      <c r="D1588" s="280"/>
      <c r="E1588" s="287"/>
      <c r="F1588" s="287"/>
      <c r="G1588" s="287"/>
      <c r="H1588" s="1298">
        <f t="shared" si="80"/>
        <v>50</v>
      </c>
      <c r="I1588" s="1324" t="str">
        <f>IF('I. Stream &amp; Compound Data'!G311&lt;&gt;"",'I. Stream &amp; Compound Data'!G311,"")</f>
        <v/>
      </c>
      <c r="J1588" s="1210" t="str">
        <f>IF('I. Stream &amp; Compound Data'!P311&lt;&gt;"",'I. Stream &amp; Compound Data'!P311,"")</f>
        <v/>
      </c>
      <c r="K1588" s="1210" t="str">
        <f>IF('I. Stream &amp; Compound Data'!AM311&lt;&gt;"",'I. Stream &amp; Compound Data'!AM311,"")</f>
        <v/>
      </c>
      <c r="L1588" s="1210" t="str">
        <f>IF(I1588="","",IF('I. Stream &amp; Compound Data'!E81="H2O",0,IF(K1588=0,1,500)))</f>
        <v/>
      </c>
      <c r="M1588" s="1270" t="str">
        <f>IF(I1588="","",'V. Environmental'!L1588*'V. Environmental'!J1588)</f>
        <v/>
      </c>
      <c r="N1588" s="296"/>
      <c r="O1588" s="287"/>
      <c r="P1588" s="296"/>
      <c r="Q1588" s="287"/>
      <c r="R1588" s="296"/>
      <c r="S1588" s="298"/>
      <c r="T1588" s="298"/>
      <c r="U1588" s="299"/>
      <c r="V1588" s="279"/>
      <c r="W1588" s="279"/>
      <c r="X1588" s="279"/>
      <c r="Y1588" s="279"/>
      <c r="Z1588" s="279"/>
      <c r="AA1588" s="279"/>
      <c r="AB1588" s="279"/>
      <c r="AC1588" s="279"/>
      <c r="AD1588" s="279"/>
      <c r="AE1588" s="279"/>
      <c r="AF1588" s="279"/>
      <c r="AG1588" s="279"/>
      <c r="AH1588" s="279"/>
      <c r="AI1588" s="279"/>
      <c r="AJ1588" s="279"/>
      <c r="AK1588" s="279"/>
      <c r="AL1588" s="279"/>
      <c r="AM1588" s="279"/>
      <c r="AN1588" s="279"/>
      <c r="AO1588" s="279"/>
      <c r="AP1588" s="279"/>
      <c r="AQ1588" s="279"/>
      <c r="AR1588" s="279"/>
      <c r="AS1588" s="279"/>
      <c r="AT1588" s="279"/>
      <c r="AU1588" s="279"/>
      <c r="AV1588" s="279"/>
      <c r="AW1588" s="279"/>
      <c r="AX1588" s="279"/>
      <c r="AY1588" s="279"/>
      <c r="AZ1588" s="279"/>
      <c r="BA1588" s="279"/>
      <c r="BB1588" s="279"/>
      <c r="BC1588" s="279"/>
      <c r="BD1588" s="279"/>
      <c r="BE1588" s="279"/>
      <c r="BF1588" s="279"/>
      <c r="BG1588" s="279"/>
      <c r="BH1588" s="279"/>
      <c r="BI1588" s="279"/>
      <c r="BJ1588" s="279"/>
      <c r="BK1588" s="279"/>
      <c r="BL1588" s="279"/>
      <c r="BM1588" s="279"/>
      <c r="BN1588" s="279"/>
      <c r="BO1588" s="279"/>
      <c r="BP1588" s="279"/>
      <c r="BQ1588" s="279"/>
      <c r="BR1588" s="279"/>
      <c r="BS1588" s="279"/>
      <c r="BT1588" s="279"/>
      <c r="BU1588" s="279"/>
      <c r="BV1588" s="279"/>
      <c r="BW1588" s="279"/>
      <c r="BX1588" s="279"/>
      <c r="BY1588" s="279"/>
      <c r="BZ1588" s="279"/>
      <c r="CA1588" s="279"/>
      <c r="CB1588" s="279"/>
      <c r="CC1588" s="279"/>
      <c r="CD1588" s="279"/>
      <c r="CE1588" s="279"/>
      <c r="CF1588" s="279"/>
      <c r="CG1588" s="279"/>
      <c r="CH1588" s="279"/>
      <c r="CI1588" s="279"/>
      <c r="CJ1588" s="279"/>
      <c r="CK1588" s="279"/>
      <c r="CL1588" s="279"/>
      <c r="CM1588" s="279"/>
      <c r="CN1588" s="382"/>
    </row>
    <row r="1589" ht="16.2" thickBot="true" x14ac:dyDescent="0.3">
      <c r="B1589" s="361"/>
      <c r="C1589" s="279"/>
      <c r="D1589" s="280"/>
      <c r="E1589" s="287"/>
      <c r="F1589" s="287"/>
      <c r="G1589" s="287"/>
      <c r="H1589" s="280"/>
      <c r="I1589" s="304"/>
      <c r="J1589" s="279"/>
      <c r="K1589" s="280"/>
      <c r="L1589" s="362" t="s">
        <v>88</v>
      </c>
      <c r="M1589" s="1325">
        <f>SUM(M1539:M1588)</f>
        <v>1490375.2268999999</v>
      </c>
      <c r="N1589" s="296"/>
      <c r="O1589" s="287"/>
      <c r="P1589" s="296"/>
      <c r="Q1589" s="287"/>
      <c r="R1589" s="296"/>
      <c r="S1589" s="298"/>
      <c r="T1589" s="298"/>
      <c r="U1589" s="299"/>
      <c r="V1589" s="279"/>
      <c r="W1589" s="279"/>
      <c r="X1589" s="279"/>
      <c r="Y1589" s="279"/>
      <c r="Z1589" s="279"/>
      <c r="AA1589" s="279"/>
      <c r="AB1589" s="279"/>
      <c r="AC1589" s="279"/>
      <c r="AD1589" s="279"/>
      <c r="AE1589" s="279"/>
      <c r="AF1589" s="279"/>
      <c r="AG1589" s="279"/>
      <c r="AH1589" s="279"/>
      <c r="AI1589" s="279"/>
      <c r="AJ1589" s="279"/>
      <c r="AK1589" s="279"/>
      <c r="AL1589" s="279"/>
      <c r="AM1589" s="279"/>
      <c r="AN1589" s="279"/>
      <c r="AO1589" s="279"/>
      <c r="AP1589" s="279"/>
      <c r="AQ1589" s="279"/>
      <c r="AR1589" s="279"/>
      <c r="AS1589" s="279"/>
      <c r="AT1589" s="279"/>
      <c r="AU1589" s="279"/>
      <c r="AV1589" s="279"/>
      <c r="AW1589" s="279"/>
      <c r="AX1589" s="279"/>
      <c r="AY1589" s="279"/>
      <c r="AZ1589" s="279"/>
      <c r="BA1589" s="279"/>
      <c r="BB1589" s="279"/>
      <c r="BC1589" s="279"/>
      <c r="BD1589" s="279"/>
      <c r="BE1589" s="279"/>
      <c r="BF1589" s="279"/>
      <c r="BG1589" s="279"/>
      <c r="BH1589" s="279"/>
      <c r="BI1589" s="279"/>
      <c r="BJ1589" s="279"/>
      <c r="BK1589" s="279"/>
      <c r="BL1589" s="279"/>
      <c r="BM1589" s="279"/>
      <c r="BN1589" s="279"/>
      <c r="BO1589" s="279"/>
      <c r="BP1589" s="279"/>
      <c r="BQ1589" s="279"/>
      <c r="BR1589" s="279"/>
      <c r="BS1589" s="279"/>
      <c r="BT1589" s="279"/>
      <c r="BU1589" s="279"/>
      <c r="BV1589" s="279"/>
      <c r="BW1589" s="279"/>
      <c r="BX1589" s="279"/>
      <c r="BY1589" s="279"/>
      <c r="BZ1589" s="279"/>
      <c r="CA1589" s="279"/>
      <c r="CB1589" s="279"/>
      <c r="CC1589" s="279"/>
      <c r="CD1589" s="279"/>
      <c r="CE1589" s="279"/>
      <c r="CF1589" s="279"/>
      <c r="CG1589" s="279"/>
      <c r="CH1589" s="279"/>
      <c r="CI1589" s="279"/>
      <c r="CJ1589" s="279"/>
      <c r="CK1589" s="279"/>
      <c r="CL1589" s="279"/>
      <c r="CM1589" s="279"/>
      <c r="CN1589" s="382"/>
    </row>
    <row r="1590" x14ac:dyDescent="0.25">
      <c r="B1590" s="361"/>
      <c r="C1590" s="279"/>
      <c r="D1590" s="280"/>
      <c r="E1590" s="287"/>
      <c r="F1590" s="287"/>
      <c r="G1590" s="287"/>
      <c r="H1590" s="280"/>
      <c r="I1590" s="304"/>
      <c r="J1590" s="279"/>
      <c r="K1590" s="280"/>
      <c r="L1590" s="362"/>
      <c r="M1590" s="287"/>
      <c r="N1590" s="296"/>
      <c r="O1590" s="287"/>
      <c r="P1590" s="296"/>
      <c r="Q1590" s="287"/>
      <c r="R1590" s="296"/>
      <c r="S1590" s="298"/>
      <c r="T1590" s="298"/>
      <c r="U1590" s="299"/>
      <c r="V1590" s="279"/>
      <c r="W1590" s="279"/>
      <c r="X1590" s="279"/>
      <c r="Y1590" s="279"/>
      <c r="Z1590" s="279"/>
      <c r="AA1590" s="279"/>
      <c r="AB1590" s="279"/>
      <c r="AC1590" s="279"/>
      <c r="AD1590" s="279"/>
      <c r="AE1590" s="279"/>
      <c r="AF1590" s="279"/>
      <c r="AG1590" s="279"/>
      <c r="AH1590" s="279"/>
      <c r="AI1590" s="279"/>
      <c r="AJ1590" s="279"/>
      <c r="AK1590" s="279"/>
      <c r="AL1590" s="279"/>
      <c r="AM1590" s="279"/>
      <c r="AN1590" s="279"/>
      <c r="AO1590" s="279"/>
      <c r="AP1590" s="279"/>
      <c r="AQ1590" s="279"/>
      <c r="AR1590" s="279"/>
      <c r="AS1590" s="279"/>
      <c r="AT1590" s="279"/>
      <c r="AU1590" s="279"/>
      <c r="AV1590" s="279"/>
      <c r="AW1590" s="279"/>
      <c r="AX1590" s="279"/>
      <c r="AY1590" s="279"/>
      <c r="AZ1590" s="279"/>
      <c r="BA1590" s="279"/>
      <c r="BB1590" s="279"/>
      <c r="BC1590" s="279"/>
      <c r="BD1590" s="279"/>
      <c r="BE1590" s="279"/>
      <c r="BF1590" s="279"/>
      <c r="BG1590" s="279"/>
      <c r="BH1590" s="279"/>
      <c r="BI1590" s="279"/>
      <c r="BJ1590" s="279"/>
      <c r="BK1590" s="279"/>
      <c r="BL1590" s="279"/>
      <c r="BM1590" s="279"/>
      <c r="BN1590" s="279"/>
      <c r="BO1590" s="279"/>
      <c r="BP1590" s="279"/>
      <c r="BQ1590" s="279"/>
      <c r="BR1590" s="279"/>
      <c r="BS1590" s="279"/>
      <c r="BT1590" s="279"/>
      <c r="BU1590" s="279"/>
      <c r="BV1590" s="279"/>
      <c r="BW1590" s="279"/>
      <c r="BX1590" s="279"/>
      <c r="BY1590" s="279"/>
      <c r="BZ1590" s="279"/>
      <c r="CA1590" s="279"/>
      <c r="CB1590" s="279"/>
      <c r="CC1590" s="279"/>
      <c r="CD1590" s="279"/>
      <c r="CE1590" s="279"/>
      <c r="CF1590" s="279"/>
      <c r="CG1590" s="279"/>
      <c r="CH1590" s="279"/>
      <c r="CI1590" s="279"/>
      <c r="CJ1590" s="279"/>
      <c r="CK1590" s="279"/>
      <c r="CL1590" s="279"/>
      <c r="CM1590" s="279"/>
      <c r="CN1590" s="382"/>
    </row>
    <row r="1591" x14ac:dyDescent="0.25">
      <c r="B1591" s="361"/>
      <c r="C1591" s="279"/>
      <c r="D1591" s="280"/>
      <c r="E1591" s="287"/>
      <c r="F1591" s="287"/>
      <c r="G1591" s="287"/>
      <c r="H1591" s="280"/>
      <c r="I1591" s="304"/>
      <c r="J1591" s="193"/>
      <c r="K1591" s="280"/>
      <c r="L1591" s="362"/>
      <c r="M1591" s="287"/>
      <c r="N1591" s="296"/>
      <c r="O1591" s="287"/>
      <c r="P1591" s="296"/>
      <c r="Q1591" s="287"/>
      <c r="R1591" s="296"/>
      <c r="S1591" s="298"/>
      <c r="T1591" s="298"/>
      <c r="U1591" s="299"/>
      <c r="V1591" s="279"/>
      <c r="W1591" s="279"/>
      <c r="X1591" s="279"/>
      <c r="Y1591" s="279"/>
      <c r="Z1591" s="279"/>
      <c r="AA1591" s="279"/>
      <c r="AB1591" s="279"/>
      <c r="AC1591" s="279"/>
      <c r="AD1591" s="279"/>
      <c r="AE1591" s="279"/>
      <c r="AF1591" s="279"/>
      <c r="AG1591" s="279"/>
      <c r="AH1591" s="279"/>
      <c r="AI1591" s="279"/>
      <c r="AJ1591" s="279"/>
      <c r="AK1591" s="279"/>
      <c r="AL1591" s="279"/>
      <c r="AM1591" s="279"/>
      <c r="AN1591" s="279"/>
      <c r="AO1591" s="279"/>
      <c r="AP1591" s="279"/>
      <c r="AQ1591" s="279"/>
      <c r="AR1591" s="279"/>
      <c r="AS1591" s="279"/>
      <c r="AT1591" s="279"/>
      <c r="AU1591" s="279"/>
      <c r="AV1591" s="279"/>
      <c r="AW1591" s="279"/>
      <c r="AX1591" s="279"/>
      <c r="AY1591" s="279"/>
      <c r="AZ1591" s="279"/>
      <c r="BA1591" s="279"/>
      <c r="BB1591" s="279"/>
      <c r="BC1591" s="279"/>
      <c r="BD1591" s="279"/>
      <c r="BE1591" s="279"/>
      <c r="BF1591" s="279"/>
      <c r="BG1591" s="279"/>
      <c r="BH1591" s="279"/>
      <c r="BI1591" s="279"/>
      <c r="BJ1591" s="279"/>
      <c r="BK1591" s="279"/>
      <c r="BL1591" s="279"/>
      <c r="BM1591" s="279"/>
      <c r="BN1591" s="279"/>
      <c r="BO1591" s="279"/>
      <c r="BP1591" s="279"/>
      <c r="BQ1591" s="279"/>
      <c r="BR1591" s="279"/>
      <c r="BS1591" s="279"/>
      <c r="BT1591" s="279"/>
      <c r="BU1591" s="279"/>
      <c r="BV1591" s="279"/>
      <c r="BW1591" s="279"/>
      <c r="BX1591" s="279"/>
      <c r="BY1591" s="279"/>
      <c r="BZ1591" s="279"/>
      <c r="CA1591" s="279"/>
      <c r="CB1591" s="279"/>
      <c r="CC1591" s="279"/>
      <c r="CD1591" s="279"/>
      <c r="CE1591" s="279"/>
      <c r="CF1591" s="279"/>
      <c r="CG1591" s="279"/>
      <c r="CH1591" s="279"/>
      <c r="CI1591" s="279"/>
      <c r="CJ1591" s="279"/>
      <c r="CK1591" s="279"/>
      <c r="CL1591" s="279"/>
      <c r="CM1591" s="279"/>
      <c r="CN1591" s="382"/>
    </row>
    <row r="1592" x14ac:dyDescent="0.25">
      <c r="B1592" s="361"/>
      <c r="C1592" s="279"/>
      <c r="D1592" s="280"/>
      <c r="E1592" s="287"/>
      <c r="F1592" s="287"/>
      <c r="G1592" s="287"/>
      <c r="H1592" s="280"/>
      <c r="I1592" s="304"/>
      <c r="J1592" s="193"/>
      <c r="K1592" s="280"/>
      <c r="L1592" s="362"/>
      <c r="M1592" s="287"/>
      <c r="N1592" s="296"/>
      <c r="O1592" s="287"/>
      <c r="P1592" s="296"/>
      <c r="Q1592" s="287"/>
      <c r="R1592" s="296"/>
      <c r="S1592" s="298"/>
      <c r="T1592" s="298"/>
      <c r="U1592" s="299"/>
      <c r="V1592" s="279"/>
      <c r="W1592" s="279"/>
      <c r="X1592" s="279"/>
      <c r="Y1592" s="279"/>
      <c r="Z1592" s="279"/>
      <c r="AA1592" s="279"/>
      <c r="AB1592" s="279"/>
      <c r="AC1592" s="279"/>
      <c r="AD1592" s="279"/>
      <c r="AE1592" s="279"/>
      <c r="AF1592" s="279"/>
      <c r="AG1592" s="279"/>
      <c r="AH1592" s="279"/>
      <c r="AI1592" s="279"/>
      <c r="AJ1592" s="279"/>
      <c r="AK1592" s="279"/>
      <c r="AL1592" s="279"/>
      <c r="AM1592" s="279"/>
      <c r="AN1592" s="279"/>
      <c r="AO1592" s="279"/>
      <c r="AP1592" s="279"/>
      <c r="AQ1592" s="279"/>
      <c r="AR1592" s="279"/>
      <c r="AS1592" s="279"/>
      <c r="AT1592" s="279"/>
      <c r="AU1592" s="279"/>
      <c r="AV1592" s="279"/>
      <c r="AW1592" s="279"/>
      <c r="AX1592" s="279"/>
      <c r="AY1592" s="279"/>
      <c r="AZ1592" s="279"/>
      <c r="BA1592" s="279"/>
      <c r="BB1592" s="279"/>
      <c r="BC1592" s="279"/>
      <c r="BD1592" s="279"/>
      <c r="BE1592" s="279"/>
      <c r="BF1592" s="279"/>
      <c r="BG1592" s="279"/>
      <c r="BH1592" s="279"/>
      <c r="BI1592" s="279"/>
      <c r="BJ1592" s="279"/>
      <c r="BK1592" s="279"/>
      <c r="BL1592" s="279"/>
      <c r="BM1592" s="279"/>
      <c r="BN1592" s="279"/>
      <c r="BO1592" s="279"/>
      <c r="BP1592" s="279"/>
      <c r="BQ1592" s="279"/>
      <c r="BR1592" s="279"/>
      <c r="BS1592" s="279"/>
      <c r="BT1592" s="279"/>
      <c r="BU1592" s="279"/>
      <c r="BV1592" s="279"/>
      <c r="BW1592" s="279"/>
      <c r="BX1592" s="279"/>
      <c r="BY1592" s="279"/>
      <c r="BZ1592" s="279"/>
      <c r="CA1592" s="279"/>
      <c r="CB1592" s="279"/>
      <c r="CC1592" s="279"/>
      <c r="CD1592" s="279"/>
      <c r="CE1592" s="279"/>
      <c r="CF1592" s="279"/>
      <c r="CG1592" s="279"/>
      <c r="CH1592" s="279"/>
      <c r="CI1592" s="279"/>
      <c r="CJ1592" s="279"/>
      <c r="CK1592" s="279"/>
      <c r="CL1592" s="279"/>
      <c r="CM1592" s="279"/>
      <c r="CN1592" s="382"/>
    </row>
    <row r="1593" x14ac:dyDescent="0.25">
      <c r="B1593" s="361"/>
      <c r="C1593" s="279"/>
      <c r="D1593" s="280"/>
      <c r="E1593" s="287"/>
      <c r="F1593" s="287"/>
      <c r="G1593" s="287"/>
      <c r="H1593" s="280"/>
      <c r="I1593" s="304"/>
      <c r="J1593" s="193"/>
      <c r="K1593" s="280"/>
      <c r="L1593" s="362"/>
      <c r="M1593" s="287"/>
      <c r="N1593" s="296"/>
      <c r="O1593" s="287"/>
      <c r="P1593" s="296"/>
      <c r="Q1593" s="287"/>
      <c r="R1593" s="296"/>
      <c r="S1593" s="298"/>
      <c r="T1593" s="298"/>
      <c r="U1593" s="299"/>
      <c r="V1593" s="279"/>
      <c r="W1593" s="279"/>
      <c r="X1593" s="279"/>
      <c r="Y1593" s="279"/>
      <c r="Z1593" s="279"/>
      <c r="AA1593" s="279"/>
      <c r="AB1593" s="279"/>
      <c r="AC1593" s="279"/>
      <c r="AD1593" s="279"/>
      <c r="AE1593" s="279"/>
      <c r="AF1593" s="279"/>
      <c r="AG1593" s="279"/>
      <c r="AH1593" s="279"/>
      <c r="AI1593" s="279"/>
      <c r="AJ1593" s="279"/>
      <c r="AK1593" s="279"/>
      <c r="AL1593" s="279"/>
      <c r="AM1593" s="279"/>
      <c r="AN1593" s="279"/>
      <c r="AO1593" s="279"/>
      <c r="AP1593" s="279"/>
      <c r="AQ1593" s="279"/>
      <c r="AR1593" s="279"/>
      <c r="AS1593" s="279"/>
      <c r="AT1593" s="279"/>
      <c r="AU1593" s="279"/>
      <c r="AV1593" s="279"/>
      <c r="AW1593" s="279"/>
      <c r="AX1593" s="279"/>
      <c r="AY1593" s="279"/>
      <c r="AZ1593" s="279"/>
      <c r="BA1593" s="279"/>
      <c r="BB1593" s="279"/>
      <c r="BC1593" s="279"/>
      <c r="BD1593" s="279"/>
      <c r="BE1593" s="279"/>
      <c r="BF1593" s="279"/>
      <c r="BG1593" s="279"/>
      <c r="BH1593" s="279"/>
      <c r="BI1593" s="279"/>
      <c r="BJ1593" s="279"/>
      <c r="BK1593" s="279"/>
      <c r="BL1593" s="279"/>
      <c r="BM1593" s="279"/>
      <c r="BN1593" s="279"/>
      <c r="BO1593" s="279"/>
      <c r="BP1593" s="279"/>
      <c r="BQ1593" s="279"/>
      <c r="BR1593" s="279"/>
      <c r="BS1593" s="279"/>
      <c r="BT1593" s="279"/>
      <c r="BU1593" s="279"/>
      <c r="BV1593" s="279"/>
      <c r="BW1593" s="279"/>
      <c r="BX1593" s="279"/>
      <c r="BY1593" s="279"/>
      <c r="BZ1593" s="279"/>
      <c r="CA1593" s="279"/>
      <c r="CB1593" s="279"/>
      <c r="CC1593" s="279"/>
      <c r="CD1593" s="279"/>
      <c r="CE1593" s="279"/>
      <c r="CF1593" s="279"/>
      <c r="CG1593" s="279"/>
      <c r="CH1593" s="279"/>
      <c r="CI1593" s="279"/>
      <c r="CJ1593" s="279"/>
      <c r="CK1593" s="279"/>
      <c r="CL1593" s="279"/>
      <c r="CM1593" s="279"/>
      <c r="CN1593" s="382"/>
    </row>
    <row r="1594" x14ac:dyDescent="0.25">
      <c r="B1594" s="361"/>
      <c r="C1594" s="279"/>
      <c r="D1594" s="280"/>
      <c r="E1594" s="287"/>
      <c r="F1594" s="287"/>
      <c r="G1594" s="287"/>
      <c r="H1594" s="280"/>
      <c r="I1594" s="304"/>
      <c r="J1594" s="193"/>
      <c r="K1594" s="280"/>
      <c r="L1594" s="362"/>
      <c r="M1594" s="287"/>
      <c r="N1594" s="296"/>
      <c r="O1594" s="287"/>
      <c r="P1594" s="296"/>
      <c r="Q1594" s="287"/>
      <c r="R1594" s="296"/>
      <c r="S1594" s="298"/>
      <c r="T1594" s="298"/>
      <c r="U1594" s="299"/>
      <c r="V1594" s="279"/>
      <c r="W1594" s="279"/>
      <c r="X1594" s="279"/>
      <c r="Y1594" s="279"/>
      <c r="Z1594" s="279"/>
      <c r="AA1594" s="279"/>
      <c r="AB1594" s="279"/>
      <c r="AC1594" s="279"/>
      <c r="AD1594" s="279"/>
      <c r="AE1594" s="279"/>
      <c r="AF1594" s="279"/>
      <c r="AG1594" s="279"/>
      <c r="AH1594" s="279"/>
      <c r="AI1594" s="279"/>
      <c r="AJ1594" s="279"/>
      <c r="AK1594" s="279"/>
      <c r="AL1594" s="279"/>
      <c r="AM1594" s="279"/>
      <c r="AN1594" s="279"/>
      <c r="AO1594" s="279"/>
      <c r="AP1594" s="279"/>
      <c r="AQ1594" s="279"/>
      <c r="AR1594" s="279"/>
      <c r="AS1594" s="279"/>
      <c r="AT1594" s="279"/>
      <c r="AU1594" s="279"/>
      <c r="AV1594" s="279"/>
      <c r="AW1594" s="279"/>
      <c r="AX1594" s="279"/>
      <c r="AY1594" s="279"/>
      <c r="AZ1594" s="279"/>
      <c r="BA1594" s="279"/>
      <c r="BB1594" s="279"/>
      <c r="BC1594" s="279"/>
      <c r="BD1594" s="279"/>
      <c r="BE1594" s="279"/>
      <c r="BF1594" s="279"/>
      <c r="BG1594" s="279"/>
      <c r="BH1594" s="279"/>
      <c r="BI1594" s="279"/>
      <c r="BJ1594" s="279"/>
      <c r="BK1594" s="279"/>
      <c r="BL1594" s="279"/>
      <c r="BM1594" s="279"/>
      <c r="BN1594" s="279"/>
      <c r="BO1594" s="279"/>
      <c r="BP1594" s="279"/>
      <c r="BQ1594" s="279"/>
      <c r="BR1594" s="279"/>
      <c r="BS1594" s="279"/>
      <c r="BT1594" s="279"/>
      <c r="BU1594" s="279"/>
      <c r="BV1594" s="279"/>
      <c r="BW1594" s="279"/>
      <c r="BX1594" s="279"/>
      <c r="BY1594" s="279"/>
      <c r="BZ1594" s="279"/>
      <c r="CA1594" s="279"/>
      <c r="CB1594" s="279"/>
      <c r="CC1594" s="279"/>
      <c r="CD1594" s="279"/>
      <c r="CE1594" s="279"/>
      <c r="CF1594" s="279"/>
      <c r="CG1594" s="279"/>
      <c r="CH1594" s="279"/>
      <c r="CI1594" s="279"/>
      <c r="CJ1594" s="279"/>
      <c r="CK1594" s="279"/>
      <c r="CL1594" s="279"/>
      <c r="CM1594" s="279"/>
      <c r="CN1594" s="382"/>
    </row>
    <row r="1595" x14ac:dyDescent="0.25">
      <c r="B1595" s="361"/>
      <c r="C1595" s="279"/>
      <c r="D1595" s="280"/>
      <c r="E1595" s="287"/>
      <c r="F1595" s="287"/>
      <c r="G1595" s="287"/>
      <c r="H1595" s="280"/>
      <c r="I1595" s="304"/>
      <c r="J1595" s="193"/>
      <c r="K1595" s="280"/>
      <c r="L1595" s="362"/>
      <c r="M1595" s="287"/>
      <c r="N1595" s="296"/>
      <c r="O1595" s="287"/>
      <c r="P1595" s="296"/>
      <c r="Q1595" s="287"/>
      <c r="R1595" s="296"/>
      <c r="S1595" s="298"/>
      <c r="T1595" s="298"/>
      <c r="U1595" s="299"/>
      <c r="V1595" s="279"/>
      <c r="W1595" s="279"/>
      <c r="X1595" s="279"/>
      <c r="Y1595" s="279"/>
      <c r="Z1595" s="279"/>
      <c r="AA1595" s="279"/>
      <c r="AB1595" s="279"/>
      <c r="AC1595" s="279"/>
      <c r="AD1595" s="279"/>
      <c r="AE1595" s="279"/>
      <c r="AF1595" s="279"/>
      <c r="AG1595" s="279"/>
      <c r="AH1595" s="279"/>
      <c r="AI1595" s="279"/>
      <c r="AJ1595" s="279"/>
      <c r="AK1595" s="279"/>
      <c r="AL1595" s="279"/>
      <c r="AM1595" s="279"/>
      <c r="AN1595" s="279"/>
      <c r="AO1595" s="279"/>
      <c r="AP1595" s="279"/>
      <c r="AQ1595" s="279"/>
      <c r="AR1595" s="279"/>
      <c r="AS1595" s="279"/>
      <c r="AT1595" s="279"/>
      <c r="AU1595" s="279"/>
      <c r="AV1595" s="279"/>
      <c r="AW1595" s="279"/>
      <c r="AX1595" s="279"/>
      <c r="AY1595" s="279"/>
      <c r="AZ1595" s="279"/>
      <c r="BA1595" s="279"/>
      <c r="BB1595" s="279"/>
      <c r="BC1595" s="279"/>
      <c r="BD1595" s="279"/>
      <c r="BE1595" s="279"/>
      <c r="BF1595" s="279"/>
      <c r="BG1595" s="279"/>
      <c r="BH1595" s="279"/>
      <c r="BI1595" s="279"/>
      <c r="BJ1595" s="279"/>
      <c r="BK1595" s="279"/>
      <c r="BL1595" s="279"/>
      <c r="BM1595" s="279"/>
      <c r="BN1595" s="279"/>
      <c r="BO1595" s="279"/>
      <c r="BP1595" s="279"/>
      <c r="BQ1595" s="279"/>
      <c r="BR1595" s="279"/>
      <c r="BS1595" s="279"/>
      <c r="BT1595" s="279"/>
      <c r="BU1595" s="279"/>
      <c r="BV1595" s="279"/>
      <c r="BW1595" s="279"/>
      <c r="BX1595" s="279"/>
      <c r="BY1595" s="279"/>
      <c r="BZ1595" s="279"/>
      <c r="CA1595" s="279"/>
      <c r="CB1595" s="279"/>
      <c r="CC1595" s="279"/>
      <c r="CD1595" s="279"/>
      <c r="CE1595" s="279"/>
      <c r="CF1595" s="279"/>
      <c r="CG1595" s="279"/>
      <c r="CH1595" s="279"/>
      <c r="CI1595" s="279"/>
      <c r="CJ1595" s="279"/>
      <c r="CK1595" s="279"/>
      <c r="CL1595" s="279"/>
      <c r="CM1595" s="279"/>
      <c r="CN1595" s="382"/>
    </row>
    <row r="1596" ht="21" x14ac:dyDescent="0.25">
      <c r="B1596" s="361"/>
      <c r="C1596" s="279"/>
      <c r="D1596" s="280"/>
      <c r="E1596" s="287"/>
      <c r="F1596" s="287"/>
      <c r="G1596" s="287"/>
      <c r="H1596" s="280"/>
      <c r="I1596" s="1947" t="s">
        <v>2221</v>
      </c>
      <c r="J1596" s="1947"/>
      <c r="K1596" s="280"/>
      <c r="L1596" s="362"/>
      <c r="M1596" s="287"/>
      <c r="N1596" s="296"/>
      <c r="O1596" s="287"/>
      <c r="P1596" s="296"/>
      <c r="Q1596" s="287"/>
      <c r="R1596" s="296"/>
      <c r="S1596" s="298"/>
      <c r="T1596" s="298"/>
      <c r="U1596" s="299"/>
      <c r="V1596" s="279"/>
      <c r="W1596" s="279"/>
      <c r="X1596" s="279"/>
      <c r="Y1596" s="279"/>
      <c r="Z1596" s="279"/>
      <c r="AA1596" s="279"/>
      <c r="AB1596" s="279"/>
      <c r="AC1596" s="279"/>
      <c r="AD1596" s="279"/>
      <c r="AE1596" s="279"/>
      <c r="AF1596" s="279"/>
      <c r="AG1596" s="279"/>
      <c r="AH1596" s="279"/>
      <c r="AI1596" s="279"/>
      <c r="AJ1596" s="279"/>
      <c r="AK1596" s="279"/>
      <c r="AL1596" s="279"/>
      <c r="AM1596" s="279"/>
      <c r="AN1596" s="279"/>
      <c r="AO1596" s="279"/>
      <c r="AP1596" s="279"/>
      <c r="AQ1596" s="279"/>
      <c r="AR1596" s="279"/>
      <c r="AS1596" s="279"/>
      <c r="AT1596" s="279"/>
      <c r="AU1596" s="279"/>
      <c r="AV1596" s="279"/>
      <c r="AW1596" s="279"/>
      <c r="AX1596" s="279"/>
      <c r="AY1596" s="279"/>
      <c r="AZ1596" s="279"/>
      <c r="BA1596" s="279"/>
      <c r="BB1596" s="279"/>
      <c r="BC1596" s="279"/>
      <c r="BD1596" s="279"/>
      <c r="BE1596" s="279"/>
      <c r="BF1596" s="279"/>
      <c r="BG1596" s="279"/>
      <c r="BH1596" s="279"/>
      <c r="BI1596" s="279"/>
      <c r="BJ1596" s="279"/>
      <c r="BK1596" s="279"/>
      <c r="BL1596" s="279"/>
      <c r="BM1596" s="279"/>
      <c r="BN1596" s="279"/>
      <c r="BO1596" s="279"/>
      <c r="BP1596" s="279"/>
      <c r="BQ1596" s="279"/>
      <c r="BR1596" s="279"/>
      <c r="BS1596" s="279"/>
      <c r="BT1596" s="279"/>
      <c r="BU1596" s="279"/>
      <c r="BV1596" s="279"/>
      <c r="BW1596" s="279"/>
      <c r="BX1596" s="279"/>
      <c r="BY1596" s="279"/>
      <c r="BZ1596" s="279"/>
      <c r="CA1596" s="279"/>
      <c r="CB1596" s="279"/>
      <c r="CC1596" s="279"/>
      <c r="CD1596" s="279"/>
      <c r="CE1596" s="279"/>
      <c r="CF1596" s="279"/>
      <c r="CG1596" s="279"/>
      <c r="CH1596" s="279"/>
      <c r="CI1596" s="279"/>
      <c r="CJ1596" s="279"/>
      <c r="CK1596" s="279"/>
      <c r="CL1596" s="279"/>
      <c r="CM1596" s="279"/>
      <c r="CN1596" s="382"/>
    </row>
    <row r="1597" ht="21.6" thickBot="true" x14ac:dyDescent="0.3">
      <c r="B1597" s="361"/>
      <c r="C1597" s="279"/>
      <c r="D1597" s="280"/>
      <c r="E1597" s="287"/>
      <c r="F1597" s="287"/>
      <c r="G1597" s="287"/>
      <c r="H1597" s="280"/>
      <c r="I1597" s="1189"/>
      <c r="J1597" s="1189"/>
      <c r="K1597" s="280"/>
      <c r="L1597" s="362"/>
      <c r="M1597" s="287"/>
      <c r="N1597" s="296"/>
      <c r="O1597" s="287"/>
      <c r="P1597" s="296"/>
      <c r="Q1597" s="287"/>
      <c r="R1597" s="296"/>
      <c r="S1597" s="298"/>
      <c r="T1597" s="298"/>
      <c r="U1597" s="299"/>
      <c r="V1597" s="279"/>
      <c r="W1597" s="279"/>
      <c r="X1597" s="279"/>
      <c r="Y1597" s="279"/>
      <c r="Z1597" s="279"/>
      <c r="AA1597" s="279"/>
      <c r="AB1597" s="279"/>
      <c r="AC1597" s="279"/>
      <c r="AD1597" s="279"/>
      <c r="AE1597" s="279"/>
      <c r="AF1597" s="279"/>
      <c r="AG1597" s="279"/>
      <c r="AH1597" s="279"/>
      <c r="AI1597" s="279"/>
      <c r="AJ1597" s="279"/>
      <c r="AK1597" s="279"/>
      <c r="AL1597" s="279"/>
      <c r="AM1597" s="279"/>
      <c r="AN1597" s="279"/>
      <c r="AO1597" s="279"/>
      <c r="AP1597" s="279"/>
      <c r="AQ1597" s="279"/>
      <c r="AR1597" s="279"/>
      <c r="AS1597" s="279"/>
      <c r="AT1597" s="279"/>
      <c r="AU1597" s="279"/>
      <c r="AV1597" s="279"/>
      <c r="AW1597" s="279"/>
      <c r="AX1597" s="279"/>
      <c r="AY1597" s="279"/>
      <c r="AZ1597" s="279"/>
      <c r="BA1597" s="279"/>
      <c r="BB1597" s="279"/>
      <c r="BC1597" s="279"/>
      <c r="BD1597" s="279"/>
      <c r="BE1597" s="279"/>
      <c r="BF1597" s="279"/>
      <c r="BG1597" s="279"/>
      <c r="BH1597" s="279"/>
      <c r="BI1597" s="279"/>
      <c r="BJ1597" s="279"/>
      <c r="BK1597" s="279"/>
      <c r="BL1597" s="279"/>
      <c r="BM1597" s="279"/>
      <c r="BN1597" s="279"/>
      <c r="BO1597" s="279"/>
      <c r="BP1597" s="279"/>
      <c r="BQ1597" s="279"/>
      <c r="BR1597" s="279"/>
      <c r="BS1597" s="279"/>
      <c r="BT1597" s="279"/>
      <c r="BU1597" s="279"/>
      <c r="BV1597" s="279"/>
      <c r="BW1597" s="279"/>
      <c r="BX1597" s="279"/>
      <c r="BY1597" s="279"/>
      <c r="BZ1597" s="279"/>
      <c r="CA1597" s="279"/>
      <c r="CB1597" s="279"/>
      <c r="CC1597" s="279"/>
      <c r="CD1597" s="279"/>
      <c r="CE1597" s="279"/>
      <c r="CF1597" s="279"/>
      <c r="CG1597" s="279"/>
      <c r="CH1597" s="279"/>
      <c r="CI1597" s="279"/>
      <c r="CJ1597" s="279"/>
      <c r="CK1597" s="279"/>
      <c r="CL1597" s="279"/>
      <c r="CM1597" s="279"/>
      <c r="CN1597" s="382"/>
    </row>
    <row r="1598" x14ac:dyDescent="0.25">
      <c r="B1598" s="361"/>
      <c r="C1598" s="279"/>
      <c r="D1598" s="280"/>
      <c r="E1598" s="287"/>
      <c r="F1598" s="287"/>
      <c r="G1598" s="287"/>
      <c r="H1598" s="280"/>
      <c r="I1598" s="331"/>
      <c r="J1598" s="267">
        <v>1</v>
      </c>
      <c r="K1598" s="283">
        <f>J1598+1</f>
        <v>2</v>
      </c>
      <c r="L1598" s="283">
        <f t="shared" ref="L1598:AL1598" si="81">K1598+1</f>
        <v>3</v>
      </c>
      <c r="M1598" s="283">
        <f t="shared" si="81"/>
        <v>4</v>
      </c>
      <c r="N1598" s="283">
        <f t="shared" si="81"/>
        <v>5</v>
      </c>
      <c r="O1598" s="283">
        <f t="shared" si="81"/>
        <v>6</v>
      </c>
      <c r="P1598" s="283">
        <f t="shared" si="81"/>
        <v>7</v>
      </c>
      <c r="Q1598" s="283">
        <f t="shared" si="81"/>
        <v>8</v>
      </c>
      <c r="R1598" s="283">
        <f t="shared" si="81"/>
        <v>9</v>
      </c>
      <c r="S1598" s="283">
        <f t="shared" si="81"/>
        <v>10</v>
      </c>
      <c r="T1598" s="283">
        <f t="shared" si="81"/>
        <v>11</v>
      </c>
      <c r="U1598" s="283">
        <f t="shared" si="81"/>
        <v>12</v>
      </c>
      <c r="V1598" s="283">
        <f t="shared" si="81"/>
        <v>13</v>
      </c>
      <c r="W1598" s="283">
        <f t="shared" si="81"/>
        <v>14</v>
      </c>
      <c r="X1598" s="283">
        <f t="shared" si="81"/>
        <v>15</v>
      </c>
      <c r="Y1598" s="283">
        <f t="shared" si="81"/>
        <v>16</v>
      </c>
      <c r="Z1598" s="283">
        <f t="shared" si="81"/>
        <v>17</v>
      </c>
      <c r="AA1598" s="283">
        <f t="shared" si="81"/>
        <v>18</v>
      </c>
      <c r="AB1598" s="283">
        <f t="shared" si="81"/>
        <v>19</v>
      </c>
      <c r="AC1598" s="283">
        <f t="shared" si="81"/>
        <v>20</v>
      </c>
      <c r="AD1598" s="283">
        <f t="shared" si="81"/>
        <v>21</v>
      </c>
      <c r="AE1598" s="283">
        <f t="shared" si="81"/>
        <v>22</v>
      </c>
      <c r="AF1598" s="283">
        <f>AE1598+1</f>
        <v>23</v>
      </c>
      <c r="AG1598" s="283">
        <f t="shared" si="81"/>
        <v>24</v>
      </c>
      <c r="AH1598" s="283">
        <f t="shared" si="81"/>
        <v>25</v>
      </c>
      <c r="AI1598" s="283">
        <f t="shared" si="81"/>
        <v>26</v>
      </c>
      <c r="AJ1598" s="283">
        <f>AI1598+1</f>
        <v>27</v>
      </c>
      <c r="AK1598" s="283">
        <f t="shared" si="81"/>
        <v>28</v>
      </c>
      <c r="AL1598" s="283">
        <f t="shared" si="81"/>
        <v>29</v>
      </c>
      <c r="AM1598" s="283">
        <f t="shared" ref="AM1598:AW1598" si="82">AL1598+1</f>
        <v>30</v>
      </c>
      <c r="AN1598" s="283">
        <f t="shared" si="82"/>
        <v>31</v>
      </c>
      <c r="AO1598" s="283">
        <f t="shared" si="82"/>
        <v>32</v>
      </c>
      <c r="AP1598" s="283">
        <f t="shared" si="82"/>
        <v>33</v>
      </c>
      <c r="AQ1598" s="283">
        <f t="shared" si="82"/>
        <v>34</v>
      </c>
      <c r="AR1598" s="283">
        <f t="shared" si="82"/>
        <v>35</v>
      </c>
      <c r="AS1598" s="283">
        <f t="shared" si="82"/>
        <v>36</v>
      </c>
      <c r="AT1598" s="283">
        <f t="shared" si="82"/>
        <v>37</v>
      </c>
      <c r="AU1598" s="283">
        <f t="shared" si="82"/>
        <v>38</v>
      </c>
      <c r="AV1598" s="283">
        <f t="shared" si="82"/>
        <v>39</v>
      </c>
      <c r="AW1598" s="300">
        <f t="shared" si="82"/>
        <v>40</v>
      </c>
      <c r="AX1598" s="279"/>
      <c r="AY1598" s="279"/>
      <c r="AZ1598" s="279"/>
      <c r="BA1598" s="279"/>
      <c r="BB1598" s="279"/>
      <c r="BC1598" s="279"/>
      <c r="BD1598" s="279"/>
      <c r="BE1598" s="279"/>
      <c r="BF1598" s="279"/>
      <c r="BG1598" s="279"/>
      <c r="BH1598" s="279"/>
      <c r="BI1598" s="279"/>
      <c r="BJ1598" s="279"/>
      <c r="BK1598" s="279"/>
      <c r="BL1598" s="279"/>
      <c r="BM1598" s="279"/>
      <c r="BN1598" s="279"/>
      <c r="BO1598" s="279"/>
      <c r="BP1598" s="279"/>
      <c r="BQ1598" s="279"/>
      <c r="BR1598" s="279"/>
      <c r="BS1598" s="279"/>
      <c r="BT1598" s="279"/>
      <c r="BU1598" s="279"/>
      <c r="BV1598" s="279"/>
      <c r="BW1598" s="279"/>
      <c r="BX1598" s="279"/>
      <c r="BY1598" s="279"/>
      <c r="BZ1598" s="279"/>
      <c r="CA1598" s="279"/>
      <c r="CB1598" s="279"/>
      <c r="CC1598" s="279"/>
      <c r="CD1598" s="279"/>
      <c r="CE1598" s="279"/>
      <c r="CF1598" s="279"/>
      <c r="CG1598" s="279"/>
      <c r="CH1598" s="279"/>
      <c r="CI1598" s="279"/>
      <c r="CJ1598" s="279"/>
      <c r="CK1598" s="279"/>
      <c r="CL1598" s="279"/>
      <c r="CM1598" s="279"/>
      <c r="CN1598" s="382"/>
    </row>
    <row r="1599" x14ac:dyDescent="0.25">
      <c r="B1599" s="361"/>
      <c r="C1599" s="279"/>
      <c r="D1599" s="280"/>
      <c r="E1599" s="287"/>
      <c r="F1599" s="287"/>
      <c r="G1599" s="287"/>
      <c r="H1599" s="280"/>
      <c r="I1599" s="332" t="s">
        <v>2312</v>
      </c>
      <c r="J1599" s="1326" t="str">
        <f t="array" ref="J1599:AW1599">TRANSPOSE(OUT_stream_Num)</f>
        <v>S1-2</v>
      </c>
      <c r="K1599" s="1326" t="str">
        <v>CO2</v>
      </c>
      <c r="L1599" s="1326" t="str">
        <v/>
      </c>
      <c r="M1599" s="1326" t="str">
        <v/>
      </c>
      <c r="N1599" s="1326" t="str">
        <v/>
      </c>
      <c r="O1599" s="1326">
        <v>303</v>
      </c>
      <c r="P1599" s="1326" t="str">
        <v/>
      </c>
      <c r="Q1599" s="1326" t="str">
        <v/>
      </c>
      <c r="R1599" s="1326" t="str">
        <v/>
      </c>
      <c r="S1599" s="1326" t="str">
        <v/>
      </c>
      <c r="T1599" s="1244" t="str">
        <v/>
      </c>
      <c r="U1599" s="1327" t="str">
        <v/>
      </c>
      <c r="V1599" s="1328" t="str">
        <v/>
      </c>
      <c r="W1599" s="1328" t="str">
        <v/>
      </c>
      <c r="X1599" s="1328" t="str">
        <v/>
      </c>
      <c r="Y1599" s="1328" t="str">
        <v/>
      </c>
      <c r="Z1599" s="1328" t="str">
        <v/>
      </c>
      <c r="AA1599" s="1328" t="str">
        <v/>
      </c>
      <c r="AB1599" s="1328" t="str">
        <v/>
      </c>
      <c r="AC1599" s="1328" t="str">
        <v/>
      </c>
      <c r="AD1599" s="1328" t="str">
        <v/>
      </c>
      <c r="AE1599" s="1328" t="str">
        <v/>
      </c>
      <c r="AF1599" s="1328" t="str">
        <v/>
      </c>
      <c r="AG1599" s="1328" t="str">
        <v/>
      </c>
      <c r="AH1599" s="1328" t="str">
        <v/>
      </c>
      <c r="AI1599" s="1328" t="str">
        <v/>
      </c>
      <c r="AJ1599" s="1328" t="str">
        <v/>
      </c>
      <c r="AK1599" s="1328" t="str">
        <v/>
      </c>
      <c r="AL1599" s="1328" t="str">
        <v/>
      </c>
      <c r="AM1599" s="1328" t="str">
        <v/>
      </c>
      <c r="AN1599" s="1328" t="str">
        <v/>
      </c>
      <c r="AO1599" s="1328" t="str">
        <v/>
      </c>
      <c r="AP1599" s="1328" t="str">
        <v/>
      </c>
      <c r="AQ1599" s="1328" t="str">
        <v/>
      </c>
      <c r="AR1599" s="1328" t="str">
        <v/>
      </c>
      <c r="AS1599" s="1328" t="str">
        <v/>
      </c>
      <c r="AT1599" s="1328" t="str">
        <v/>
      </c>
      <c r="AU1599" s="1328" t="str">
        <v/>
      </c>
      <c r="AV1599" s="1328" t="str">
        <v/>
      </c>
      <c r="AW1599" s="1283" t="str">
        <v/>
      </c>
      <c r="AX1599" s="279"/>
      <c r="AY1599" s="279"/>
      <c r="AZ1599" s="279"/>
      <c r="BA1599" s="279"/>
      <c r="BB1599" s="279"/>
      <c r="BC1599" s="279"/>
      <c r="BD1599" s="279"/>
      <c r="BE1599" s="279"/>
      <c r="BF1599" s="279"/>
      <c r="BG1599" s="279"/>
      <c r="BH1599" s="279"/>
      <c r="BI1599" s="279"/>
      <c r="BJ1599" s="279"/>
      <c r="BK1599" s="279"/>
      <c r="BL1599" s="279"/>
      <c r="BM1599" s="279"/>
      <c r="BN1599" s="279"/>
      <c r="BO1599" s="279"/>
      <c r="BP1599" s="279"/>
      <c r="BQ1599" s="279"/>
      <c r="BR1599" s="279"/>
      <c r="BS1599" s="279"/>
      <c r="BT1599" s="279"/>
      <c r="BU1599" s="279"/>
      <c r="BV1599" s="279"/>
      <c r="BW1599" s="279"/>
      <c r="BX1599" s="279"/>
      <c r="BY1599" s="279"/>
      <c r="BZ1599" s="279"/>
      <c r="CA1599" s="279"/>
      <c r="CB1599" s="279"/>
      <c r="CC1599" s="279"/>
      <c r="CD1599" s="279"/>
      <c r="CE1599" s="279"/>
      <c r="CF1599" s="279"/>
      <c r="CG1599" s="279"/>
      <c r="CH1599" s="279"/>
      <c r="CI1599" s="279"/>
      <c r="CJ1599" s="279"/>
      <c r="CK1599" s="279"/>
      <c r="CL1599" s="279"/>
      <c r="CM1599" s="279"/>
      <c r="CN1599" s="382"/>
    </row>
    <row r="1600" x14ac:dyDescent="0.25">
      <c r="B1600" s="361"/>
      <c r="C1600" s="279"/>
      <c r="D1600" s="280"/>
      <c r="E1600" s="287"/>
      <c r="F1600" s="287"/>
      <c r="G1600" s="287"/>
      <c r="H1600" s="280"/>
      <c r="I1600" s="332" t="s">
        <v>1827</v>
      </c>
      <c r="J1600" s="1197">
        <f t="array" ref="J1600:AW1600">TRANSPOSE(OUT_Vapor_fraction)</f>
        <v>0</v>
      </c>
      <c r="K1600" s="1329">
        <v>0</v>
      </c>
      <c r="L1600" s="1197" t="str">
        <v/>
      </c>
      <c r="M1600" s="1197" t="str">
        <v/>
      </c>
      <c r="N1600" s="1330" t="str">
        <v/>
      </c>
      <c r="O1600" s="1330">
        <v>0</v>
      </c>
      <c r="P1600" s="1330" t="str">
        <v/>
      </c>
      <c r="Q1600" s="1330" t="str">
        <v/>
      </c>
      <c r="R1600" s="1330" t="str">
        <v/>
      </c>
      <c r="S1600" s="1330" t="str">
        <v/>
      </c>
      <c r="T1600" s="1244" t="str">
        <v/>
      </c>
      <c r="U1600" s="1327" t="str">
        <v/>
      </c>
      <c r="V1600" s="1328" t="str">
        <v/>
      </c>
      <c r="W1600" s="1328" t="str">
        <v/>
      </c>
      <c r="X1600" s="1328" t="str">
        <v/>
      </c>
      <c r="Y1600" s="1328" t="str">
        <v/>
      </c>
      <c r="Z1600" s="1328" t="str">
        <v/>
      </c>
      <c r="AA1600" s="1328" t="str">
        <v/>
      </c>
      <c r="AB1600" s="1328" t="str">
        <v/>
      </c>
      <c r="AC1600" s="1328" t="str">
        <v/>
      </c>
      <c r="AD1600" s="1328" t="str">
        <v/>
      </c>
      <c r="AE1600" s="1328" t="str">
        <v/>
      </c>
      <c r="AF1600" s="1328" t="str">
        <v/>
      </c>
      <c r="AG1600" s="1328" t="str">
        <v/>
      </c>
      <c r="AH1600" s="1328" t="str">
        <v/>
      </c>
      <c r="AI1600" s="1328" t="str">
        <v/>
      </c>
      <c r="AJ1600" s="1328" t="str">
        <v/>
      </c>
      <c r="AK1600" s="1328" t="str">
        <v/>
      </c>
      <c r="AL1600" s="1328" t="str">
        <v/>
      </c>
      <c r="AM1600" s="1328" t="str">
        <v/>
      </c>
      <c r="AN1600" s="1328" t="str">
        <v/>
      </c>
      <c r="AO1600" s="1328" t="str">
        <v/>
      </c>
      <c r="AP1600" s="1328" t="str">
        <v/>
      </c>
      <c r="AQ1600" s="1328" t="str">
        <v/>
      </c>
      <c r="AR1600" s="1328" t="str">
        <v/>
      </c>
      <c r="AS1600" s="1328" t="str">
        <v/>
      </c>
      <c r="AT1600" s="1328" t="str">
        <v/>
      </c>
      <c r="AU1600" s="1328" t="str">
        <v/>
      </c>
      <c r="AV1600" s="1328" t="str">
        <v/>
      </c>
      <c r="AW1600" s="1283" t="str">
        <v/>
      </c>
      <c r="AX1600" s="279"/>
      <c r="AY1600" s="279"/>
      <c r="AZ1600" s="279"/>
      <c r="BA1600" s="279"/>
      <c r="BB1600" s="279"/>
      <c r="BC1600" s="279"/>
      <c r="BD1600" s="279"/>
      <c r="BE1600" s="279"/>
      <c r="BF1600" s="279"/>
      <c r="BG1600" s="279"/>
      <c r="BH1600" s="279"/>
      <c r="BI1600" s="279"/>
      <c r="BJ1600" s="279"/>
      <c r="BK1600" s="279"/>
      <c r="BL1600" s="279"/>
      <c r="BM1600" s="279"/>
      <c r="BN1600" s="279"/>
      <c r="BO1600" s="279"/>
      <c r="BP1600" s="279"/>
      <c r="BQ1600" s="279"/>
      <c r="BR1600" s="279"/>
      <c r="BS1600" s="279"/>
      <c r="BT1600" s="279"/>
      <c r="BU1600" s="279"/>
      <c r="BV1600" s="279"/>
      <c r="BW1600" s="279"/>
      <c r="BX1600" s="279"/>
      <c r="BY1600" s="279"/>
      <c r="BZ1600" s="279"/>
      <c r="CA1600" s="279"/>
      <c r="CB1600" s="279"/>
      <c r="CC1600" s="279"/>
      <c r="CD1600" s="279"/>
      <c r="CE1600" s="279"/>
      <c r="CF1600" s="279"/>
      <c r="CG1600" s="279"/>
      <c r="CH1600" s="279"/>
      <c r="CI1600" s="279"/>
      <c r="CJ1600" s="279"/>
      <c r="CK1600" s="279"/>
      <c r="CL1600" s="279"/>
      <c r="CM1600" s="279"/>
      <c r="CN1600" s="382"/>
    </row>
    <row r="1601" x14ac:dyDescent="0.25">
      <c r="B1601" s="361"/>
      <c r="C1601" s="279"/>
      <c r="D1601" s="280"/>
      <c r="E1601" s="287"/>
      <c r="F1601" s="287"/>
      <c r="G1601" s="287"/>
      <c r="H1601" s="280"/>
      <c r="I1601" s="332" t="s">
        <v>1828</v>
      </c>
      <c r="J1601" s="1197">
        <f t="array" ref="J1601:AW1601">TRANSPOSE(OUT_Temperature__°C)</f>
        <v>25</v>
      </c>
      <c r="K1601" s="1329">
        <v>25</v>
      </c>
      <c r="L1601" s="1197" t="str">
        <v/>
      </c>
      <c r="M1601" s="1197" t="str">
        <v/>
      </c>
      <c r="N1601" s="1330" t="str">
        <v/>
      </c>
      <c r="O1601" s="1330">
        <v>0</v>
      </c>
      <c r="P1601" s="1330" t="str">
        <v/>
      </c>
      <c r="Q1601" s="1330" t="str">
        <v/>
      </c>
      <c r="R1601" s="1330" t="str">
        <v/>
      </c>
      <c r="S1601" s="1330" t="str">
        <v/>
      </c>
      <c r="T1601" s="1244" t="str">
        <v/>
      </c>
      <c r="U1601" s="1327" t="str">
        <v/>
      </c>
      <c r="V1601" s="1328" t="str">
        <v/>
      </c>
      <c r="W1601" s="1328" t="str">
        <v/>
      </c>
      <c r="X1601" s="1328" t="str">
        <v/>
      </c>
      <c r="Y1601" s="1328" t="str">
        <v/>
      </c>
      <c r="Z1601" s="1328" t="str">
        <v/>
      </c>
      <c r="AA1601" s="1328" t="str">
        <v/>
      </c>
      <c r="AB1601" s="1328" t="str">
        <v/>
      </c>
      <c r="AC1601" s="1328" t="str">
        <v/>
      </c>
      <c r="AD1601" s="1328" t="str">
        <v/>
      </c>
      <c r="AE1601" s="1328" t="str">
        <v/>
      </c>
      <c r="AF1601" s="1328" t="str">
        <v/>
      </c>
      <c r="AG1601" s="1328" t="str">
        <v/>
      </c>
      <c r="AH1601" s="1328" t="str">
        <v/>
      </c>
      <c r="AI1601" s="1328" t="str">
        <v/>
      </c>
      <c r="AJ1601" s="1328" t="str">
        <v/>
      </c>
      <c r="AK1601" s="1328" t="str">
        <v/>
      </c>
      <c r="AL1601" s="1328" t="str">
        <v/>
      </c>
      <c r="AM1601" s="1328" t="str">
        <v/>
      </c>
      <c r="AN1601" s="1328" t="str">
        <v/>
      </c>
      <c r="AO1601" s="1328" t="str">
        <v/>
      </c>
      <c r="AP1601" s="1328" t="str">
        <v/>
      </c>
      <c r="AQ1601" s="1328" t="str">
        <v/>
      </c>
      <c r="AR1601" s="1328" t="str">
        <v/>
      </c>
      <c r="AS1601" s="1328" t="str">
        <v/>
      </c>
      <c r="AT1601" s="1328" t="str">
        <v/>
      </c>
      <c r="AU1601" s="1328" t="str">
        <v/>
      </c>
      <c r="AV1601" s="1328" t="str">
        <v/>
      </c>
      <c r="AW1601" s="1283" t="str">
        <v/>
      </c>
      <c r="AX1601" s="279"/>
      <c r="AY1601" s="279"/>
      <c r="AZ1601" s="279"/>
      <c r="BA1601" s="279"/>
      <c r="BB1601" s="279"/>
      <c r="BC1601" s="279"/>
      <c r="BD1601" s="279"/>
      <c r="BE1601" s="279"/>
      <c r="BF1601" s="279"/>
      <c r="BG1601" s="279"/>
      <c r="BH1601" s="279"/>
      <c r="BI1601" s="279"/>
      <c r="BJ1601" s="279"/>
      <c r="BK1601" s="279"/>
      <c r="BL1601" s="279"/>
      <c r="BM1601" s="279"/>
      <c r="BN1601" s="279"/>
      <c r="BO1601" s="279"/>
      <c r="BP1601" s="279"/>
      <c r="BQ1601" s="279"/>
      <c r="BR1601" s="279"/>
      <c r="BS1601" s="279"/>
      <c r="BT1601" s="279"/>
      <c r="BU1601" s="279"/>
      <c r="BV1601" s="279"/>
      <c r="BW1601" s="279"/>
      <c r="BX1601" s="279"/>
      <c r="BY1601" s="279"/>
      <c r="BZ1601" s="279"/>
      <c r="CA1601" s="279"/>
      <c r="CB1601" s="279"/>
      <c r="CC1601" s="279"/>
      <c r="CD1601" s="279"/>
      <c r="CE1601" s="279"/>
      <c r="CF1601" s="279"/>
      <c r="CG1601" s="279"/>
      <c r="CH1601" s="279"/>
      <c r="CI1601" s="279"/>
      <c r="CJ1601" s="279"/>
      <c r="CK1601" s="279"/>
      <c r="CL1601" s="279"/>
      <c r="CM1601" s="279"/>
      <c r="CN1601" s="382"/>
    </row>
    <row r="1602" ht="16.2" thickBot="true" x14ac:dyDescent="0.3">
      <c r="B1602" s="361"/>
      <c r="C1602" s="279"/>
      <c r="D1602" s="280"/>
      <c r="E1602" s="287"/>
      <c r="F1602" s="287"/>
      <c r="G1602" s="287"/>
      <c r="H1602" s="280"/>
      <c r="I1602" s="333" t="s">
        <v>1829</v>
      </c>
      <c r="J1602" s="1223">
        <f t="array" ref="J1602:AW1602">TRANSPOSE(OUT_Pressure__kPa)</f>
        <v>1</v>
      </c>
      <c r="K1602" s="1224">
        <v>1</v>
      </c>
      <c r="L1602" s="1223" t="str">
        <v/>
      </c>
      <c r="M1602" s="1223" t="str">
        <v/>
      </c>
      <c r="N1602" s="1231" t="str">
        <v/>
      </c>
      <c r="O1602" s="1231">
        <v>0</v>
      </c>
      <c r="P1602" s="1231" t="str">
        <v/>
      </c>
      <c r="Q1602" s="1231" t="str">
        <v/>
      </c>
      <c r="R1602" s="1231" t="str">
        <v/>
      </c>
      <c r="S1602" s="1231" t="str">
        <v/>
      </c>
      <c r="T1602" s="1250" t="str">
        <v/>
      </c>
      <c r="U1602" s="1331" t="str">
        <v/>
      </c>
      <c r="V1602" s="1332" t="str">
        <v/>
      </c>
      <c r="W1602" s="1332" t="str">
        <v/>
      </c>
      <c r="X1602" s="1332" t="str">
        <v/>
      </c>
      <c r="Y1602" s="1332" t="str">
        <v/>
      </c>
      <c r="Z1602" s="1332" t="str">
        <v/>
      </c>
      <c r="AA1602" s="1332" t="str">
        <v/>
      </c>
      <c r="AB1602" s="1332" t="str">
        <v/>
      </c>
      <c r="AC1602" s="1332" t="str">
        <v/>
      </c>
      <c r="AD1602" s="1332" t="str">
        <v/>
      </c>
      <c r="AE1602" s="1332" t="str">
        <v/>
      </c>
      <c r="AF1602" s="1332" t="str">
        <v/>
      </c>
      <c r="AG1602" s="1332" t="str">
        <v/>
      </c>
      <c r="AH1602" s="1332" t="str">
        <v/>
      </c>
      <c r="AI1602" s="1332" t="str">
        <v/>
      </c>
      <c r="AJ1602" s="1332" t="str">
        <v/>
      </c>
      <c r="AK1602" s="1332" t="str">
        <v/>
      </c>
      <c r="AL1602" s="1332" t="str">
        <v/>
      </c>
      <c r="AM1602" s="1332" t="str">
        <v/>
      </c>
      <c r="AN1602" s="1332" t="str">
        <v/>
      </c>
      <c r="AO1602" s="1332" t="str">
        <v/>
      </c>
      <c r="AP1602" s="1332" t="str">
        <v/>
      </c>
      <c r="AQ1602" s="1332" t="str">
        <v/>
      </c>
      <c r="AR1602" s="1332" t="str">
        <v/>
      </c>
      <c r="AS1602" s="1332" t="str">
        <v/>
      </c>
      <c r="AT1602" s="1332" t="str">
        <v/>
      </c>
      <c r="AU1602" s="1332" t="str">
        <v/>
      </c>
      <c r="AV1602" s="1332" t="str">
        <v/>
      </c>
      <c r="AW1602" s="1284" t="str">
        <v/>
      </c>
      <c r="AX1602" s="279"/>
      <c r="AY1602" s="279"/>
      <c r="AZ1602" s="279"/>
      <c r="BA1602" s="279"/>
      <c r="BB1602" s="279"/>
      <c r="BC1602" s="279"/>
      <c r="BD1602" s="279"/>
      <c r="BE1602" s="279"/>
      <c r="BF1602" s="279"/>
      <c r="BG1602" s="279"/>
      <c r="BH1602" s="279"/>
      <c r="BI1602" s="279"/>
      <c r="BJ1602" s="279"/>
      <c r="BK1602" s="279"/>
      <c r="BL1602" s="279"/>
      <c r="BM1602" s="279"/>
      <c r="BN1602" s="279"/>
      <c r="BO1602" s="279"/>
      <c r="BP1602" s="279"/>
      <c r="BQ1602" s="279"/>
      <c r="BR1602" s="279"/>
      <c r="BS1602" s="279"/>
      <c r="BT1602" s="279"/>
      <c r="BU1602" s="279"/>
      <c r="BV1602" s="279"/>
      <c r="BW1602" s="279"/>
      <c r="BX1602" s="279"/>
      <c r="BY1602" s="279"/>
      <c r="BZ1602" s="279"/>
      <c r="CA1602" s="279"/>
      <c r="CB1602" s="279"/>
      <c r="CC1602" s="279"/>
      <c r="CD1602" s="279"/>
      <c r="CE1602" s="279"/>
      <c r="CF1602" s="279"/>
      <c r="CG1602" s="279"/>
      <c r="CH1602" s="279"/>
      <c r="CI1602" s="279"/>
      <c r="CJ1602" s="279"/>
      <c r="CK1602" s="279"/>
      <c r="CL1602" s="279"/>
      <c r="CM1602" s="279"/>
      <c r="CN1602" s="382"/>
    </row>
    <row r="1603" x14ac:dyDescent="0.25">
      <c r="B1603" s="361"/>
      <c r="C1603" s="279"/>
      <c r="D1603" s="280"/>
      <c r="E1603" s="287"/>
      <c r="F1603" s="287"/>
      <c r="G1603" s="287"/>
      <c r="H1603" s="280"/>
      <c r="I1603" s="334"/>
      <c r="J1603" s="335"/>
      <c r="K1603" s="336"/>
      <c r="L1603" s="336"/>
      <c r="M1603" s="336"/>
      <c r="N1603" s="336"/>
      <c r="O1603" s="336"/>
      <c r="P1603" s="336"/>
      <c r="Q1603" s="336"/>
      <c r="R1603" s="336"/>
      <c r="S1603" s="336"/>
      <c r="T1603" s="298"/>
      <c r="U1603" s="299"/>
      <c r="V1603" s="279"/>
      <c r="W1603" s="279"/>
      <c r="X1603" s="279"/>
      <c r="Y1603" s="279"/>
      <c r="Z1603" s="279"/>
      <c r="AA1603" s="279"/>
      <c r="AB1603" s="279"/>
      <c r="AC1603" s="279"/>
      <c r="AD1603" s="279"/>
      <c r="AE1603" s="279"/>
      <c r="AF1603" s="279"/>
      <c r="AG1603" s="279"/>
      <c r="AH1603" s="279"/>
      <c r="AI1603" s="279"/>
      <c r="AJ1603" s="279"/>
      <c r="AK1603" s="279"/>
      <c r="AL1603" s="279"/>
      <c r="AM1603" s="279"/>
      <c r="AN1603" s="279"/>
      <c r="AO1603" s="279"/>
      <c r="AP1603" s="279"/>
      <c r="AQ1603" s="279"/>
      <c r="AR1603" s="279"/>
      <c r="AS1603" s="279"/>
      <c r="AT1603" s="279"/>
      <c r="AU1603" s="279"/>
      <c r="AV1603" s="279"/>
      <c r="AW1603" s="279"/>
      <c r="AX1603" s="279"/>
      <c r="AY1603" s="279"/>
      <c r="AZ1603" s="279"/>
      <c r="BA1603" s="279"/>
      <c r="BB1603" s="279"/>
      <c r="BC1603" s="279"/>
      <c r="BD1603" s="279"/>
      <c r="BE1603" s="279"/>
      <c r="BF1603" s="279"/>
      <c r="BG1603" s="279"/>
      <c r="BH1603" s="279"/>
      <c r="BI1603" s="279"/>
      <c r="BJ1603" s="279"/>
      <c r="BK1603" s="279"/>
      <c r="BL1603" s="279"/>
      <c r="BM1603" s="279"/>
      <c r="BN1603" s="279"/>
      <c r="BO1603" s="279"/>
      <c r="BP1603" s="279"/>
      <c r="BQ1603" s="279"/>
      <c r="BR1603" s="279"/>
      <c r="BS1603" s="279"/>
      <c r="BT1603" s="279"/>
      <c r="BU1603" s="279"/>
      <c r="BV1603" s="279"/>
      <c r="BW1603" s="279"/>
      <c r="BX1603" s="279"/>
      <c r="BY1603" s="279"/>
      <c r="BZ1603" s="279"/>
      <c r="CA1603" s="279"/>
      <c r="CB1603" s="279"/>
      <c r="CC1603" s="279"/>
      <c r="CD1603" s="279"/>
      <c r="CE1603" s="279"/>
      <c r="CF1603" s="279"/>
      <c r="CG1603" s="279"/>
      <c r="CH1603" s="279"/>
      <c r="CI1603" s="279"/>
      <c r="CJ1603" s="279"/>
      <c r="CK1603" s="279"/>
      <c r="CL1603" s="279"/>
      <c r="CM1603" s="279"/>
      <c r="CN1603" s="382"/>
    </row>
    <row r="1604" ht="16.2" thickBot="true" x14ac:dyDescent="0.3">
      <c r="B1604" s="361"/>
      <c r="C1604" s="279"/>
      <c r="D1604" s="280"/>
      <c r="E1604" s="287"/>
      <c r="F1604" s="287"/>
      <c r="G1604" s="287"/>
      <c r="H1604" s="280"/>
      <c r="I1604" s="334"/>
      <c r="J1604" s="335"/>
      <c r="K1604" s="336"/>
      <c r="L1604" s="336"/>
      <c r="M1604" s="336"/>
      <c r="N1604" s="336"/>
      <c r="O1604" s="336"/>
      <c r="P1604" s="336"/>
      <c r="Q1604" s="336"/>
      <c r="R1604" s="336"/>
      <c r="S1604" s="336"/>
      <c r="T1604" s="298"/>
      <c r="U1604" s="299"/>
      <c r="V1604" s="279"/>
      <c r="W1604" s="279"/>
      <c r="X1604" s="279"/>
      <c r="Y1604" s="279"/>
      <c r="Z1604" s="279"/>
      <c r="AA1604" s="279"/>
      <c r="AB1604" s="279"/>
      <c r="AC1604" s="279"/>
      <c r="AD1604" s="279"/>
      <c r="AE1604" s="279"/>
      <c r="AF1604" s="279"/>
      <c r="AG1604" s="279"/>
      <c r="AH1604" s="279"/>
      <c r="AI1604" s="279"/>
      <c r="AJ1604" s="279"/>
      <c r="AK1604" s="279"/>
      <c r="AL1604" s="279"/>
      <c r="AM1604" s="279"/>
      <c r="AN1604" s="279"/>
      <c r="AO1604" s="279"/>
      <c r="AP1604" s="279"/>
      <c r="AQ1604" s="279"/>
      <c r="AR1604" s="279"/>
      <c r="AS1604" s="279"/>
      <c r="AT1604" s="279"/>
      <c r="AU1604" s="279"/>
      <c r="AV1604" s="279"/>
      <c r="AW1604" s="279"/>
      <c r="AX1604" s="279"/>
      <c r="AY1604" s="279"/>
      <c r="AZ1604" s="279"/>
      <c r="BA1604" s="279"/>
      <c r="BB1604" s="279"/>
      <c r="BC1604" s="279"/>
      <c r="BD1604" s="279"/>
      <c r="BE1604" s="279"/>
      <c r="BF1604" s="279"/>
      <c r="BG1604" s="279"/>
      <c r="BH1604" s="279"/>
      <c r="BI1604" s="279"/>
      <c r="BJ1604" s="279"/>
      <c r="BK1604" s="279"/>
      <c r="BL1604" s="279"/>
      <c r="BM1604" s="279"/>
      <c r="BN1604" s="279"/>
      <c r="BO1604" s="279"/>
      <c r="BP1604" s="279"/>
      <c r="BQ1604" s="279"/>
      <c r="BR1604" s="279"/>
      <c r="BS1604" s="279"/>
      <c r="BT1604" s="279"/>
      <c r="BU1604" s="279"/>
      <c r="BV1604" s="279"/>
      <c r="BW1604" s="279"/>
      <c r="BX1604" s="279"/>
      <c r="BY1604" s="279"/>
      <c r="BZ1604" s="279"/>
      <c r="CA1604" s="279"/>
      <c r="CB1604" s="279"/>
      <c r="CC1604" s="279"/>
      <c r="CD1604" s="279"/>
      <c r="CE1604" s="279"/>
      <c r="CF1604" s="279"/>
      <c r="CG1604" s="279"/>
      <c r="CH1604" s="279"/>
      <c r="CI1604" s="279"/>
      <c r="CJ1604" s="279"/>
      <c r="CK1604" s="279"/>
      <c r="CL1604" s="279"/>
      <c r="CM1604" s="279"/>
      <c r="CN1604" s="382"/>
    </row>
    <row r="1605" ht="16.8" thickTop="true" thickBot="true" x14ac:dyDescent="0.3">
      <c r="B1605" s="361"/>
      <c r="C1605" s="279"/>
      <c r="D1605" s="280"/>
      <c r="E1605" s="287"/>
      <c r="F1605" s="287"/>
      <c r="G1605" s="287"/>
      <c r="H1605" s="280"/>
      <c r="I1605" s="1943" t="s">
        <v>207</v>
      </c>
      <c r="J1605" s="1944"/>
      <c r="K1605" s="336"/>
      <c r="L1605" s="336"/>
      <c r="M1605" s="336"/>
      <c r="N1605" s="336"/>
      <c r="O1605" s="336"/>
      <c r="P1605" s="336"/>
      <c r="Q1605" s="336"/>
      <c r="R1605" s="336"/>
      <c r="S1605" s="336"/>
      <c r="T1605" s="298"/>
      <c r="U1605" s="299"/>
      <c r="V1605" s="279"/>
      <c r="W1605" s="279"/>
      <c r="X1605" s="279"/>
      <c r="Y1605" s="279"/>
      <c r="Z1605" s="279"/>
      <c r="AA1605" s="279"/>
      <c r="AB1605" s="279"/>
      <c r="AC1605" s="279"/>
      <c r="AD1605" s="279"/>
      <c r="AE1605" s="279"/>
      <c r="AF1605" s="279"/>
      <c r="AG1605" s="279"/>
      <c r="AH1605" s="279"/>
      <c r="AI1605" s="279"/>
      <c r="AJ1605" s="279"/>
      <c r="AK1605" s="279"/>
      <c r="AL1605" s="279"/>
      <c r="AM1605" s="279"/>
      <c r="AN1605" s="279"/>
      <c r="AO1605" s="279"/>
      <c r="AP1605" s="279"/>
      <c r="AQ1605" s="279"/>
      <c r="AR1605" s="279"/>
      <c r="AS1605" s="279"/>
      <c r="AT1605" s="279"/>
      <c r="AU1605" s="279"/>
      <c r="AV1605" s="279"/>
      <c r="AW1605" s="279"/>
      <c r="AX1605" s="279"/>
      <c r="AY1605" s="279"/>
      <c r="AZ1605" s="279"/>
      <c r="BA1605" s="279"/>
      <c r="BB1605" s="279"/>
      <c r="BC1605" s="279"/>
      <c r="BD1605" s="279"/>
      <c r="BE1605" s="279"/>
      <c r="BF1605" s="279"/>
      <c r="BG1605" s="279"/>
      <c r="BH1605" s="279"/>
      <c r="BI1605" s="279"/>
      <c r="BJ1605" s="279"/>
      <c r="BK1605" s="279"/>
      <c r="BL1605" s="279"/>
      <c r="BM1605" s="279"/>
      <c r="BN1605" s="279"/>
      <c r="BO1605" s="279"/>
      <c r="BP1605" s="279"/>
      <c r="BQ1605" s="279"/>
      <c r="BR1605" s="279"/>
      <c r="BS1605" s="279"/>
      <c r="BT1605" s="279"/>
      <c r="BU1605" s="279"/>
      <c r="BV1605" s="279"/>
      <c r="BW1605" s="279"/>
      <c r="BX1605" s="279"/>
      <c r="BY1605" s="279"/>
      <c r="BZ1605" s="279"/>
      <c r="CA1605" s="279"/>
      <c r="CB1605" s="279"/>
      <c r="CC1605" s="279"/>
      <c r="CD1605" s="279"/>
      <c r="CE1605" s="279"/>
      <c r="CF1605" s="279"/>
      <c r="CG1605" s="279"/>
      <c r="CH1605" s="279"/>
      <c r="CI1605" s="279"/>
      <c r="CJ1605" s="279"/>
      <c r="CK1605" s="279"/>
      <c r="CL1605" s="279"/>
      <c r="CM1605" s="279"/>
      <c r="CN1605" s="382"/>
    </row>
    <row r="1606" ht="16.8" thickTop="true" thickBot="true" x14ac:dyDescent="0.3">
      <c r="B1606" s="361"/>
      <c r="C1606" s="279"/>
      <c r="D1606" s="280"/>
      <c r="E1606" s="287"/>
      <c r="F1606" s="287"/>
      <c r="G1606" s="287"/>
      <c r="H1606" s="280"/>
      <c r="I1606" s="337"/>
      <c r="J1606" s="336"/>
      <c r="K1606" s="336"/>
      <c r="L1606" s="336"/>
      <c r="M1606" s="336"/>
      <c r="N1606" s="336"/>
      <c r="O1606" s="336"/>
      <c r="P1606" s="336"/>
      <c r="Q1606" s="336"/>
      <c r="R1606" s="336"/>
      <c r="S1606" s="336"/>
      <c r="T1606" s="298"/>
      <c r="U1606" s="299"/>
      <c r="V1606" s="279"/>
      <c r="W1606" s="279"/>
      <c r="X1606" s="279"/>
      <c r="Y1606" s="279"/>
      <c r="Z1606" s="279"/>
      <c r="AA1606" s="279"/>
      <c r="AB1606" s="279"/>
      <c r="AC1606" s="279"/>
      <c r="AD1606" s="279"/>
      <c r="AE1606" s="279"/>
      <c r="AF1606" s="279"/>
      <c r="AG1606" s="279"/>
      <c r="AH1606" s="279"/>
      <c r="AI1606" s="279"/>
      <c r="AJ1606" s="279"/>
      <c r="AK1606" s="279"/>
      <c r="AL1606" s="279"/>
      <c r="AM1606" s="279"/>
      <c r="AN1606" s="279"/>
      <c r="AO1606" s="279"/>
      <c r="AP1606" s="279"/>
      <c r="AQ1606" s="279"/>
      <c r="AR1606" s="279"/>
      <c r="AS1606" s="279"/>
      <c r="AT1606" s="279"/>
      <c r="AU1606" s="279"/>
      <c r="AV1606" s="279"/>
      <c r="AW1606" s="279"/>
      <c r="AX1606" s="279"/>
      <c r="AY1606" s="279"/>
      <c r="AZ1606" s="279"/>
      <c r="BA1606" s="279"/>
      <c r="BB1606" s="279"/>
      <c r="BC1606" s="279"/>
      <c r="BD1606" s="279"/>
      <c r="BE1606" s="279"/>
      <c r="BF1606" s="279"/>
      <c r="BG1606" s="279"/>
      <c r="BH1606" s="279"/>
      <c r="BI1606" s="279"/>
      <c r="BJ1606" s="279"/>
      <c r="BK1606" s="279"/>
      <c r="BL1606" s="279"/>
      <c r="BM1606" s="279"/>
      <c r="BN1606" s="279"/>
      <c r="BO1606" s="279"/>
      <c r="BP1606" s="279"/>
      <c r="BQ1606" s="279"/>
      <c r="BR1606" s="279"/>
      <c r="BS1606" s="279"/>
      <c r="BT1606" s="279"/>
      <c r="BU1606" s="279"/>
      <c r="BV1606" s="279"/>
      <c r="BW1606" s="279"/>
      <c r="BX1606" s="279"/>
      <c r="BY1606" s="279"/>
      <c r="BZ1606" s="279"/>
      <c r="CA1606" s="279"/>
      <c r="CB1606" s="279"/>
      <c r="CC1606" s="279"/>
      <c r="CD1606" s="279"/>
      <c r="CE1606" s="279"/>
      <c r="CF1606" s="279"/>
      <c r="CG1606" s="279"/>
      <c r="CH1606" s="279"/>
      <c r="CI1606" s="279"/>
      <c r="CJ1606" s="279"/>
      <c r="CK1606" s="279"/>
      <c r="CL1606" s="279"/>
      <c r="CM1606" s="279"/>
      <c r="CN1606" s="382"/>
    </row>
    <row r="1607" ht="16.8" thickTop="true" thickBot="true" x14ac:dyDescent="0.3">
      <c r="B1607" s="361"/>
      <c r="C1607" s="279"/>
      <c r="D1607" s="280"/>
      <c r="E1607" s="287"/>
      <c r="F1607" s="287"/>
      <c r="G1607" s="287"/>
      <c r="H1607" s="280"/>
      <c r="I1607" s="338" t="e">
        <f>IF(J1661&gt;'V. Environmental'!J1634,"Level 2 Risk Analysis is triggered","Level 2 Risk Analysis is not triggered")</f>
        <v>#N/A</v>
      </c>
      <c r="J1607" s="338" t="s">
        <v>208</v>
      </c>
      <c r="K1607" s="339"/>
      <c r="L1607" s="340"/>
      <c r="M1607" s="336"/>
      <c r="N1607" s="340"/>
      <c r="O1607" s="340"/>
      <c r="P1607" s="340"/>
      <c r="Q1607" s="340"/>
      <c r="R1607" s="340"/>
      <c r="S1607" s="336"/>
      <c r="T1607" s="298"/>
      <c r="U1607" s="299"/>
      <c r="V1607" s="279"/>
      <c r="W1607" s="279"/>
      <c r="X1607" s="279"/>
      <c r="Y1607" s="279"/>
      <c r="Z1607" s="279"/>
      <c r="AA1607" s="279"/>
      <c r="AB1607" s="279"/>
      <c r="AC1607" s="279"/>
      <c r="AD1607" s="279"/>
      <c r="AE1607" s="279"/>
      <c r="AF1607" s="279"/>
      <c r="AG1607" s="279"/>
      <c r="AH1607" s="279"/>
      <c r="AI1607" s="279"/>
      <c r="AJ1607" s="279"/>
      <c r="AK1607" s="279"/>
      <c r="AL1607" s="279"/>
      <c r="AM1607" s="279"/>
      <c r="AN1607" s="279"/>
      <c r="AO1607" s="279"/>
      <c r="AP1607" s="279"/>
      <c r="AQ1607" s="279"/>
      <c r="AR1607" s="279"/>
      <c r="AS1607" s="279"/>
      <c r="AT1607" s="279"/>
      <c r="AU1607" s="279"/>
      <c r="AV1607" s="279"/>
      <c r="AW1607" s="279"/>
      <c r="AX1607" s="279"/>
      <c r="AY1607" s="279"/>
      <c r="AZ1607" s="279"/>
      <c r="BA1607" s="279"/>
      <c r="BB1607" s="279"/>
      <c r="BC1607" s="279"/>
      <c r="BD1607" s="279"/>
      <c r="BE1607" s="279"/>
      <c r="BF1607" s="279"/>
      <c r="BG1607" s="279"/>
      <c r="BH1607" s="279"/>
      <c r="BI1607" s="279"/>
      <c r="BJ1607" s="279"/>
      <c r="BK1607" s="279"/>
      <c r="BL1607" s="279"/>
      <c r="BM1607" s="279"/>
      <c r="BN1607" s="279"/>
      <c r="BO1607" s="279"/>
      <c r="BP1607" s="279"/>
      <c r="BQ1607" s="279"/>
      <c r="BR1607" s="279"/>
      <c r="BS1607" s="279"/>
      <c r="BT1607" s="279"/>
      <c r="BU1607" s="279"/>
      <c r="BV1607" s="279"/>
      <c r="BW1607" s="279"/>
      <c r="BX1607" s="279"/>
      <c r="BY1607" s="279"/>
      <c r="BZ1607" s="279"/>
      <c r="CA1607" s="279"/>
      <c r="CB1607" s="279"/>
      <c r="CC1607" s="279"/>
      <c r="CD1607" s="279"/>
      <c r="CE1607" s="279"/>
      <c r="CF1607" s="279"/>
      <c r="CG1607" s="279"/>
      <c r="CH1607" s="279"/>
      <c r="CI1607" s="279"/>
      <c r="CJ1607" s="279"/>
      <c r="CK1607" s="279"/>
      <c r="CL1607" s="279"/>
      <c r="CM1607" s="279"/>
      <c r="CN1607" s="382"/>
    </row>
    <row r="1608" ht="16.8" thickTop="true" thickBot="true" x14ac:dyDescent="0.3">
      <c r="B1608" s="361"/>
      <c r="C1608" s="279"/>
      <c r="D1608" s="280"/>
      <c r="E1608" s="287"/>
      <c r="F1608" s="287"/>
      <c r="G1608" s="287"/>
      <c r="H1608" s="280"/>
      <c r="I1608" s="338" t="e">
        <f>IF(J1641&gt;'V. Environmental'!J1634,"Level 2 Risk Analysis is triggered","Level 2 Risk Analysis is not triggered")</f>
        <v>#N/A</v>
      </c>
      <c r="J1608" s="338" t="s">
        <v>209</v>
      </c>
      <c r="K1608" s="339"/>
      <c r="L1608" s="340"/>
      <c r="M1608" s="336"/>
      <c r="N1608" s="340"/>
      <c r="O1608" s="340"/>
      <c r="P1608" s="340"/>
      <c r="Q1608" s="340"/>
      <c r="R1608" s="340"/>
      <c r="S1608" s="336"/>
      <c r="T1608" s="298"/>
      <c r="U1608" s="299"/>
      <c r="V1608" s="279"/>
      <c r="W1608" s="279"/>
      <c r="X1608" s="279"/>
      <c r="Y1608" s="279"/>
      <c r="Z1608" s="279"/>
      <c r="AA1608" s="279"/>
      <c r="AB1608" s="279"/>
      <c r="AC1608" s="279"/>
      <c r="AD1608" s="279"/>
      <c r="AE1608" s="279"/>
      <c r="AF1608" s="279"/>
      <c r="AG1608" s="279"/>
      <c r="AH1608" s="279"/>
      <c r="AI1608" s="279"/>
      <c r="AJ1608" s="279"/>
      <c r="AK1608" s="279"/>
      <c r="AL1608" s="279"/>
      <c r="AM1608" s="279"/>
      <c r="AN1608" s="279"/>
      <c r="AO1608" s="279"/>
      <c r="AP1608" s="279"/>
      <c r="AQ1608" s="279"/>
      <c r="AR1608" s="279"/>
      <c r="AS1608" s="279"/>
      <c r="AT1608" s="279"/>
      <c r="AU1608" s="279"/>
      <c r="AV1608" s="279"/>
      <c r="AW1608" s="279"/>
      <c r="AX1608" s="279"/>
      <c r="AY1608" s="279"/>
      <c r="AZ1608" s="279"/>
      <c r="BA1608" s="279"/>
      <c r="BB1608" s="279"/>
      <c r="BC1608" s="279"/>
      <c r="BD1608" s="279"/>
      <c r="BE1608" s="279"/>
      <c r="BF1608" s="279"/>
      <c r="BG1608" s="279"/>
      <c r="BH1608" s="279"/>
      <c r="BI1608" s="279"/>
      <c r="BJ1608" s="279"/>
      <c r="BK1608" s="279"/>
      <c r="BL1608" s="279"/>
      <c r="BM1608" s="279"/>
      <c r="BN1608" s="279"/>
      <c r="BO1608" s="279"/>
      <c r="BP1608" s="279"/>
      <c r="BQ1608" s="279"/>
      <c r="BR1608" s="279"/>
      <c r="BS1608" s="279"/>
      <c r="BT1608" s="279"/>
      <c r="BU1608" s="279"/>
      <c r="BV1608" s="279"/>
      <c r="BW1608" s="279"/>
      <c r="BX1608" s="279"/>
      <c r="BY1608" s="279"/>
      <c r="BZ1608" s="279"/>
      <c r="CA1608" s="279"/>
      <c r="CB1608" s="279"/>
      <c r="CC1608" s="279"/>
      <c r="CD1608" s="279"/>
      <c r="CE1608" s="279"/>
      <c r="CF1608" s="279"/>
      <c r="CG1608" s="279"/>
      <c r="CH1608" s="279"/>
      <c r="CI1608" s="279"/>
      <c r="CJ1608" s="279"/>
      <c r="CK1608" s="279"/>
      <c r="CL1608" s="279"/>
      <c r="CM1608" s="279"/>
      <c r="CN1608" s="382"/>
    </row>
    <row r="1609" ht="16.2" thickTop="true" x14ac:dyDescent="0.25">
      <c r="B1609" s="361"/>
      <c r="C1609" s="279"/>
      <c r="D1609" s="280"/>
      <c r="E1609" s="287"/>
      <c r="F1609" s="287"/>
      <c r="G1609" s="287"/>
      <c r="H1609" s="280"/>
      <c r="I1609" s="336"/>
      <c r="J1609" s="336"/>
      <c r="K1609" s="336"/>
      <c r="L1609" s="336"/>
      <c r="M1609" s="336"/>
      <c r="N1609" s="336"/>
      <c r="O1609" s="336"/>
      <c r="P1609" s="336"/>
      <c r="Q1609" s="336"/>
      <c r="R1609" s="336"/>
      <c r="S1609" s="336"/>
      <c r="T1609" s="298"/>
      <c r="U1609" s="299"/>
      <c r="V1609" s="279"/>
      <c r="W1609" s="279"/>
      <c r="X1609" s="279"/>
      <c r="Y1609" s="279"/>
      <c r="Z1609" s="279"/>
      <c r="AA1609" s="279"/>
      <c r="AB1609" s="279"/>
      <c r="AC1609" s="279"/>
      <c r="AD1609" s="279"/>
      <c r="AE1609" s="279"/>
      <c r="AF1609" s="279"/>
      <c r="AG1609" s="279"/>
      <c r="AH1609" s="279"/>
      <c r="AI1609" s="279"/>
      <c r="AJ1609" s="279"/>
      <c r="AK1609" s="279"/>
      <c r="AL1609" s="279"/>
      <c r="AM1609" s="279"/>
      <c r="AN1609" s="279"/>
      <c r="AO1609" s="279"/>
      <c r="AP1609" s="279"/>
      <c r="AQ1609" s="279"/>
      <c r="AR1609" s="279"/>
      <c r="AS1609" s="279"/>
      <c r="AT1609" s="279"/>
      <c r="AU1609" s="279"/>
      <c r="AV1609" s="279"/>
      <c r="AW1609" s="279"/>
      <c r="AX1609" s="279"/>
      <c r="AY1609" s="279"/>
      <c r="AZ1609" s="279"/>
      <c r="BA1609" s="279"/>
      <c r="BB1609" s="279"/>
      <c r="BC1609" s="279"/>
      <c r="BD1609" s="279"/>
      <c r="BE1609" s="279"/>
      <c r="BF1609" s="279"/>
      <c r="BG1609" s="279"/>
      <c r="BH1609" s="279"/>
      <c r="BI1609" s="279"/>
      <c r="BJ1609" s="279"/>
      <c r="BK1609" s="279"/>
      <c r="BL1609" s="279"/>
      <c r="BM1609" s="279"/>
      <c r="BN1609" s="279"/>
      <c r="BO1609" s="279"/>
      <c r="BP1609" s="279"/>
      <c r="BQ1609" s="279"/>
      <c r="BR1609" s="279"/>
      <c r="BS1609" s="279"/>
      <c r="BT1609" s="279"/>
      <c r="BU1609" s="279"/>
      <c r="BV1609" s="279"/>
      <c r="BW1609" s="279"/>
      <c r="BX1609" s="279"/>
      <c r="BY1609" s="279"/>
      <c r="BZ1609" s="279"/>
      <c r="CA1609" s="279"/>
      <c r="CB1609" s="279"/>
      <c r="CC1609" s="279"/>
      <c r="CD1609" s="279"/>
      <c r="CE1609" s="279"/>
      <c r="CF1609" s="279"/>
      <c r="CG1609" s="279"/>
      <c r="CH1609" s="279"/>
      <c r="CI1609" s="279"/>
      <c r="CJ1609" s="279"/>
      <c r="CK1609" s="279"/>
      <c r="CL1609" s="279"/>
      <c r="CM1609" s="279"/>
      <c r="CN1609" s="382"/>
    </row>
    <row r="1610" x14ac:dyDescent="0.25">
      <c r="B1610" s="361"/>
      <c r="C1610" s="279"/>
      <c r="D1610" s="280"/>
      <c r="E1610" s="287"/>
      <c r="F1610" s="287"/>
      <c r="G1610" s="287"/>
      <c r="H1610" s="280"/>
      <c r="I1610" s="1941" t="s">
        <v>207</v>
      </c>
      <c r="J1610" s="1942"/>
      <c r="K1610" s="336"/>
      <c r="L1610" s="336"/>
      <c r="M1610" s="336"/>
      <c r="N1610" s="336"/>
      <c r="O1610" s="336"/>
      <c r="P1610" s="336"/>
      <c r="Q1610" s="336"/>
      <c r="R1610" s="336"/>
      <c r="S1610" s="336"/>
      <c r="T1610" s="298"/>
      <c r="U1610" s="299"/>
      <c r="V1610" s="279"/>
      <c r="W1610" s="279"/>
      <c r="X1610" s="279"/>
      <c r="Y1610" s="279"/>
      <c r="Z1610" s="279"/>
      <c r="AA1610" s="279"/>
      <c r="AB1610" s="279"/>
      <c r="AC1610" s="279"/>
      <c r="AD1610" s="279"/>
      <c r="AE1610" s="279"/>
      <c r="AF1610" s="279"/>
      <c r="AG1610" s="279"/>
      <c r="AH1610" s="279"/>
      <c r="AI1610" s="279"/>
      <c r="AJ1610" s="279"/>
      <c r="AK1610" s="279"/>
      <c r="AL1610" s="279"/>
      <c r="AM1610" s="279"/>
      <c r="AN1610" s="279"/>
      <c r="AO1610" s="279"/>
      <c r="AP1610" s="279"/>
      <c r="AQ1610" s="279"/>
      <c r="AR1610" s="279"/>
      <c r="AS1610" s="279"/>
      <c r="AT1610" s="279"/>
      <c r="AU1610" s="279"/>
      <c r="AV1610" s="279"/>
      <c r="AW1610" s="279"/>
      <c r="AX1610" s="279"/>
      <c r="AY1610" s="279"/>
      <c r="AZ1610" s="279"/>
      <c r="BA1610" s="279"/>
      <c r="BB1610" s="279"/>
      <c r="BC1610" s="279"/>
      <c r="BD1610" s="279"/>
      <c r="BE1610" s="279"/>
      <c r="BF1610" s="279"/>
      <c r="BG1610" s="279"/>
      <c r="BH1610" s="279"/>
      <c r="BI1610" s="279"/>
      <c r="BJ1610" s="279"/>
      <c r="BK1610" s="279"/>
      <c r="BL1610" s="279"/>
      <c r="BM1610" s="279"/>
      <c r="BN1610" s="279"/>
      <c r="BO1610" s="279"/>
      <c r="BP1610" s="279"/>
      <c r="BQ1610" s="279"/>
      <c r="BR1610" s="279"/>
      <c r="BS1610" s="279"/>
      <c r="BT1610" s="279"/>
      <c r="BU1610" s="279"/>
      <c r="BV1610" s="279"/>
      <c r="BW1610" s="279"/>
      <c r="BX1610" s="279"/>
      <c r="BY1610" s="279"/>
      <c r="BZ1610" s="279"/>
      <c r="CA1610" s="279"/>
      <c r="CB1610" s="279"/>
      <c r="CC1610" s="279"/>
      <c r="CD1610" s="279"/>
      <c r="CE1610" s="279"/>
      <c r="CF1610" s="279"/>
      <c r="CG1610" s="279"/>
      <c r="CH1610" s="279"/>
      <c r="CI1610" s="279"/>
      <c r="CJ1610" s="279"/>
      <c r="CK1610" s="279"/>
      <c r="CL1610" s="279"/>
      <c r="CM1610" s="279"/>
      <c r="CN1610" s="382"/>
    </row>
    <row r="1611" ht="16.2" thickBot="true" x14ac:dyDescent="0.3">
      <c r="B1611" s="361"/>
      <c r="C1611" s="279"/>
      <c r="D1611" s="280"/>
      <c r="E1611" s="287"/>
      <c r="F1611" s="287"/>
      <c r="G1611" s="287"/>
      <c r="H1611" s="280"/>
      <c r="I1611" s="336"/>
      <c r="J1611" s="336"/>
      <c r="K1611" s="336"/>
      <c r="L1611" s="336"/>
      <c r="M1611" s="336"/>
      <c r="N1611" s="336"/>
      <c r="O1611" s="336"/>
      <c r="P1611" s="336"/>
      <c r="Q1611" s="336"/>
      <c r="R1611" s="336"/>
      <c r="S1611" s="336"/>
      <c r="T1611" s="298"/>
      <c r="U1611" s="299"/>
      <c r="V1611" s="279"/>
      <c r="W1611" s="279"/>
      <c r="X1611" s="279"/>
      <c r="Y1611" s="279"/>
      <c r="Z1611" s="279"/>
      <c r="AA1611" s="279"/>
      <c r="AB1611" s="279"/>
      <c r="AC1611" s="279"/>
      <c r="AD1611" s="279"/>
      <c r="AE1611" s="279"/>
      <c r="AF1611" s="279"/>
      <c r="AG1611" s="279"/>
      <c r="AH1611" s="279"/>
      <c r="AI1611" s="279"/>
      <c r="AJ1611" s="279"/>
      <c r="AK1611" s="279"/>
      <c r="AL1611" s="279"/>
      <c r="AM1611" s="279"/>
      <c r="AN1611" s="279"/>
      <c r="AO1611" s="279"/>
      <c r="AP1611" s="279"/>
      <c r="AQ1611" s="279"/>
      <c r="AR1611" s="279"/>
      <c r="AS1611" s="279"/>
      <c r="AT1611" s="279"/>
      <c r="AU1611" s="279"/>
      <c r="AV1611" s="279"/>
      <c r="AW1611" s="279"/>
      <c r="AX1611" s="279"/>
      <c r="AY1611" s="279"/>
      <c r="AZ1611" s="279"/>
      <c r="BA1611" s="279"/>
      <c r="BB1611" s="279"/>
      <c r="BC1611" s="279"/>
      <c r="BD1611" s="279"/>
      <c r="BE1611" s="279"/>
      <c r="BF1611" s="279"/>
      <c r="BG1611" s="279"/>
      <c r="BH1611" s="279"/>
      <c r="BI1611" s="279"/>
      <c r="BJ1611" s="279"/>
      <c r="BK1611" s="279"/>
      <c r="BL1611" s="279"/>
      <c r="BM1611" s="279"/>
      <c r="BN1611" s="279"/>
      <c r="BO1611" s="279"/>
      <c r="BP1611" s="279"/>
      <c r="BQ1611" s="279"/>
      <c r="BR1611" s="279"/>
      <c r="BS1611" s="279"/>
      <c r="BT1611" s="279"/>
      <c r="BU1611" s="279"/>
      <c r="BV1611" s="279"/>
      <c r="BW1611" s="279"/>
      <c r="BX1611" s="279"/>
      <c r="BY1611" s="279"/>
      <c r="BZ1611" s="279"/>
      <c r="CA1611" s="279"/>
      <c r="CB1611" s="279"/>
      <c r="CC1611" s="279"/>
      <c r="CD1611" s="279"/>
      <c r="CE1611" s="279"/>
      <c r="CF1611" s="279"/>
      <c r="CG1611" s="279"/>
      <c r="CH1611" s="279"/>
      <c r="CI1611" s="279"/>
      <c r="CJ1611" s="279"/>
      <c r="CK1611" s="279"/>
      <c r="CL1611" s="279"/>
      <c r="CM1611" s="279"/>
      <c r="CN1611" s="382"/>
    </row>
    <row r="1612" x14ac:dyDescent="0.25">
      <c r="B1612" s="361"/>
      <c r="C1612" s="279"/>
      <c r="D1612" s="280"/>
      <c r="E1612" s="287"/>
      <c r="F1612" s="287"/>
      <c r="G1612" s="287"/>
      <c r="H1612" s="280"/>
      <c r="I1612" s="341" t="s">
        <v>1822</v>
      </c>
      <c r="J1612" s="342">
        <f>'II. Equipment &amp; Cost Data'!F175</f>
        <v>1</v>
      </c>
      <c r="K1612" s="336"/>
      <c r="L1612" s="336"/>
      <c r="M1612" s="336"/>
      <c r="N1612" s="336"/>
      <c r="O1612" s="336"/>
      <c r="P1612" s="336"/>
      <c r="Q1612" s="336"/>
      <c r="R1612" s="336"/>
      <c r="S1612" s="336"/>
      <c r="T1612" s="298"/>
      <c r="U1612" s="299"/>
      <c r="V1612" s="279"/>
      <c r="W1612" s="279"/>
      <c r="X1612" s="279"/>
      <c r="Y1612" s="279"/>
      <c r="Z1612" s="279"/>
      <c r="AA1612" s="279"/>
      <c r="AB1612" s="279"/>
      <c r="AC1612" s="279"/>
      <c r="AD1612" s="279"/>
      <c r="AE1612" s="279"/>
      <c r="AF1612" s="279"/>
      <c r="AG1612" s="279"/>
      <c r="AH1612" s="279"/>
      <c r="AI1612" s="279"/>
      <c r="AJ1612" s="279"/>
      <c r="AK1612" s="279"/>
      <c r="AL1612" s="279"/>
      <c r="AM1612" s="279"/>
      <c r="AN1612" s="279"/>
      <c r="AO1612" s="279"/>
      <c r="AP1612" s="279"/>
      <c r="AQ1612" s="279"/>
      <c r="AR1612" s="279"/>
      <c r="AS1612" s="279"/>
      <c r="AT1612" s="279"/>
      <c r="AU1612" s="279"/>
      <c r="AV1612" s="279"/>
      <c r="AW1612" s="279"/>
      <c r="AX1612" s="279"/>
      <c r="AY1612" s="279"/>
      <c r="AZ1612" s="279"/>
      <c r="BA1612" s="279"/>
      <c r="BB1612" s="279"/>
      <c r="BC1612" s="279"/>
      <c r="BD1612" s="279"/>
      <c r="BE1612" s="279"/>
      <c r="BF1612" s="279"/>
      <c r="BG1612" s="279"/>
      <c r="BH1612" s="279"/>
      <c r="BI1612" s="279"/>
      <c r="BJ1612" s="279"/>
      <c r="BK1612" s="279"/>
      <c r="BL1612" s="279"/>
      <c r="BM1612" s="279"/>
      <c r="BN1612" s="279"/>
      <c r="BO1612" s="279"/>
      <c r="BP1612" s="279"/>
      <c r="BQ1612" s="279"/>
      <c r="BR1612" s="279"/>
      <c r="BS1612" s="279"/>
      <c r="BT1612" s="279"/>
      <c r="BU1612" s="279"/>
      <c r="BV1612" s="279"/>
      <c r="BW1612" s="279"/>
      <c r="BX1612" s="279"/>
      <c r="BY1612" s="279"/>
      <c r="BZ1612" s="279"/>
      <c r="CA1612" s="279"/>
      <c r="CB1612" s="279"/>
      <c r="CC1612" s="279"/>
      <c r="CD1612" s="279"/>
      <c r="CE1612" s="279"/>
      <c r="CF1612" s="279"/>
      <c r="CG1612" s="279"/>
      <c r="CH1612" s="279"/>
      <c r="CI1612" s="279"/>
      <c r="CJ1612" s="279"/>
      <c r="CK1612" s="279"/>
      <c r="CL1612" s="279"/>
      <c r="CM1612" s="279"/>
      <c r="CN1612" s="382"/>
    </row>
    <row r="1613" x14ac:dyDescent="0.25">
      <c r="B1613" s="361"/>
      <c r="C1613" s="279"/>
      <c r="D1613" s="280"/>
      <c r="E1613" s="287"/>
      <c r="F1613" s="287"/>
      <c r="G1613" s="287"/>
      <c r="H1613" s="280"/>
      <c r="I1613" s="1170" t="s">
        <v>1470</v>
      </c>
      <c r="J1613" s="1333" t="str">
        <f>INDEX(Compound_name,'V. Environmental'!J1612)</f>
        <v>Carbon Dioxide</v>
      </c>
      <c r="K1613" s="336"/>
      <c r="L1613" s="336"/>
      <c r="M1613" s="336"/>
      <c r="N1613" s="336"/>
      <c r="O1613" s="336"/>
      <c r="P1613" s="336"/>
      <c r="Q1613" s="336"/>
      <c r="R1613" s="336"/>
      <c r="S1613" s="336"/>
      <c r="T1613" s="298"/>
      <c r="U1613" s="299"/>
      <c r="V1613" s="279"/>
      <c r="W1613" s="279"/>
      <c r="X1613" s="279"/>
      <c r="Y1613" s="279"/>
      <c r="Z1613" s="279"/>
      <c r="AA1613" s="279"/>
      <c r="AB1613" s="279"/>
      <c r="AC1613" s="279"/>
      <c r="AD1613" s="279"/>
      <c r="AE1613" s="279"/>
      <c r="AF1613" s="279"/>
      <c r="AG1613" s="279"/>
      <c r="AH1613" s="279"/>
      <c r="AI1613" s="279"/>
      <c r="AJ1613" s="279"/>
      <c r="AK1613" s="279"/>
      <c r="AL1613" s="279"/>
      <c r="AM1613" s="279"/>
      <c r="AN1613" s="279"/>
      <c r="AO1613" s="279"/>
      <c r="AP1613" s="279"/>
      <c r="AQ1613" s="279"/>
      <c r="AR1613" s="279"/>
      <c r="AS1613" s="279"/>
      <c r="AT1613" s="279"/>
      <c r="AU1613" s="279"/>
      <c r="AV1613" s="279"/>
      <c r="AW1613" s="279"/>
      <c r="AX1613" s="279"/>
      <c r="AY1613" s="279"/>
      <c r="AZ1613" s="279"/>
      <c r="BA1613" s="279"/>
      <c r="BB1613" s="279"/>
      <c r="BC1613" s="279"/>
      <c r="BD1613" s="279"/>
      <c r="BE1613" s="279"/>
      <c r="BF1613" s="279"/>
      <c r="BG1613" s="279"/>
      <c r="BH1613" s="279"/>
      <c r="BI1613" s="279"/>
      <c r="BJ1613" s="279"/>
      <c r="BK1613" s="279"/>
      <c r="BL1613" s="279"/>
      <c r="BM1613" s="279"/>
      <c r="BN1613" s="279"/>
      <c r="BO1613" s="279"/>
      <c r="BP1613" s="279"/>
      <c r="BQ1613" s="279"/>
      <c r="BR1613" s="279"/>
      <c r="BS1613" s="279"/>
      <c r="BT1613" s="279"/>
      <c r="BU1613" s="279"/>
      <c r="BV1613" s="279"/>
      <c r="BW1613" s="279"/>
      <c r="BX1613" s="279"/>
      <c r="BY1613" s="279"/>
      <c r="BZ1613" s="279"/>
      <c r="CA1613" s="279"/>
      <c r="CB1613" s="279"/>
      <c r="CC1613" s="279"/>
      <c r="CD1613" s="279"/>
      <c r="CE1613" s="279"/>
      <c r="CF1613" s="279"/>
      <c r="CG1613" s="279"/>
      <c r="CH1613" s="279"/>
      <c r="CI1613" s="279"/>
      <c r="CJ1613" s="279"/>
      <c r="CK1613" s="279"/>
      <c r="CL1613" s="279"/>
      <c r="CM1613" s="279"/>
      <c r="CN1613" s="382"/>
    </row>
    <row r="1614" x14ac:dyDescent="0.25">
      <c r="B1614" s="361"/>
      <c r="C1614" s="279"/>
      <c r="D1614" s="280"/>
      <c r="E1614" s="287"/>
      <c r="F1614" s="287"/>
      <c r="G1614" s="287"/>
      <c r="H1614" s="280"/>
      <c r="I1614" s="1170" t="s">
        <v>1819</v>
      </c>
      <c r="J1614" s="343">
        <f>INDEX(ERPG2_mg_m3,'V. Environmental'!J1612)</f>
        <v>0</v>
      </c>
      <c r="K1614" s="336"/>
      <c r="L1614" s="336"/>
      <c r="M1614" s="336"/>
      <c r="N1614" s="336"/>
      <c r="O1614" s="336"/>
      <c r="P1614" s="336"/>
      <c r="Q1614" s="336"/>
      <c r="R1614" s="336"/>
      <c r="S1614" s="336"/>
      <c r="T1614" s="298"/>
      <c r="U1614" s="299"/>
      <c r="V1614" s="279"/>
      <c r="W1614" s="279"/>
      <c r="X1614" s="279"/>
      <c r="Y1614" s="279"/>
      <c r="Z1614" s="279"/>
      <c r="AA1614" s="279"/>
      <c r="AB1614" s="279"/>
      <c r="AC1614" s="279"/>
      <c r="AD1614" s="279"/>
      <c r="AE1614" s="279"/>
      <c r="AF1614" s="279"/>
      <c r="AG1614" s="279"/>
      <c r="AH1614" s="279"/>
      <c r="AI1614" s="279"/>
      <c r="AJ1614" s="279"/>
      <c r="AK1614" s="279"/>
      <c r="AL1614" s="279"/>
      <c r="AM1614" s="279"/>
      <c r="AN1614" s="279"/>
      <c r="AO1614" s="279"/>
      <c r="AP1614" s="279"/>
      <c r="AQ1614" s="279"/>
      <c r="AR1614" s="279"/>
      <c r="AS1614" s="279"/>
      <c r="AT1614" s="279"/>
      <c r="AU1614" s="279"/>
      <c r="AV1614" s="279"/>
      <c r="AW1614" s="279"/>
      <c r="AX1614" s="279"/>
      <c r="AY1614" s="279"/>
      <c r="AZ1614" s="279"/>
      <c r="BA1614" s="279"/>
      <c r="BB1614" s="279"/>
      <c r="BC1614" s="279"/>
      <c r="BD1614" s="279"/>
      <c r="BE1614" s="279"/>
      <c r="BF1614" s="279"/>
      <c r="BG1614" s="279"/>
      <c r="BH1614" s="279"/>
      <c r="BI1614" s="279"/>
      <c r="BJ1614" s="279"/>
      <c r="BK1614" s="279"/>
      <c r="BL1614" s="279"/>
      <c r="BM1614" s="279"/>
      <c r="BN1614" s="279"/>
      <c r="BO1614" s="279"/>
      <c r="BP1614" s="279"/>
      <c r="BQ1614" s="279"/>
      <c r="BR1614" s="279"/>
      <c r="BS1614" s="279"/>
      <c r="BT1614" s="279"/>
      <c r="BU1614" s="279"/>
      <c r="BV1614" s="279"/>
      <c r="BW1614" s="279"/>
      <c r="BX1614" s="279"/>
      <c r="BY1614" s="279"/>
      <c r="BZ1614" s="279"/>
      <c r="CA1614" s="279"/>
      <c r="CB1614" s="279"/>
      <c r="CC1614" s="279"/>
      <c r="CD1614" s="279"/>
      <c r="CE1614" s="279"/>
      <c r="CF1614" s="279"/>
      <c r="CG1614" s="279"/>
      <c r="CH1614" s="279"/>
      <c r="CI1614" s="279"/>
      <c r="CJ1614" s="279"/>
      <c r="CK1614" s="279"/>
      <c r="CL1614" s="279"/>
      <c r="CM1614" s="279"/>
      <c r="CN1614" s="382"/>
    </row>
    <row r="1615" x14ac:dyDescent="0.25">
      <c r="B1615" s="361"/>
      <c r="C1615" s="279"/>
      <c r="D1615" s="280"/>
      <c r="E1615" s="287"/>
      <c r="F1615" s="287"/>
      <c r="G1615" s="287"/>
      <c r="H1615" s="280"/>
      <c r="I1615" s="1170" t="s">
        <v>1820</v>
      </c>
      <c r="J1615" s="343">
        <f>INDEX(ERPG3_mg_m3,'V. Environmental'!J1612)</f>
        <v>0</v>
      </c>
      <c r="K1615" s="336"/>
      <c r="L1615" s="336"/>
      <c r="M1615" s="336"/>
      <c r="N1615" s="336"/>
      <c r="O1615" s="336"/>
      <c r="P1615" s="336"/>
      <c r="Q1615" s="336"/>
      <c r="R1615" s="336"/>
      <c r="S1615" s="336"/>
      <c r="T1615" s="298"/>
      <c r="U1615" s="299"/>
      <c r="V1615" s="279"/>
      <c r="W1615" s="279"/>
      <c r="X1615" s="279"/>
      <c r="Y1615" s="279"/>
      <c r="Z1615" s="279"/>
      <c r="AA1615" s="279"/>
      <c r="AB1615" s="279"/>
      <c r="AC1615" s="279"/>
      <c r="AD1615" s="279"/>
      <c r="AE1615" s="279"/>
      <c r="AF1615" s="279"/>
      <c r="AG1615" s="279"/>
      <c r="AH1615" s="279"/>
      <c r="AI1615" s="279"/>
      <c r="AJ1615" s="279"/>
      <c r="AK1615" s="279"/>
      <c r="AL1615" s="279"/>
      <c r="AM1615" s="279"/>
      <c r="AN1615" s="279"/>
      <c r="AO1615" s="279"/>
      <c r="AP1615" s="279"/>
      <c r="AQ1615" s="279"/>
      <c r="AR1615" s="279"/>
      <c r="AS1615" s="279"/>
      <c r="AT1615" s="279"/>
      <c r="AU1615" s="279"/>
      <c r="AV1615" s="279"/>
      <c r="AW1615" s="279"/>
      <c r="AX1615" s="279"/>
      <c r="AY1615" s="279"/>
      <c r="AZ1615" s="279"/>
      <c r="BA1615" s="279"/>
      <c r="BB1615" s="279"/>
      <c r="BC1615" s="279"/>
      <c r="BD1615" s="279"/>
      <c r="BE1615" s="279"/>
      <c r="BF1615" s="279"/>
      <c r="BG1615" s="279"/>
      <c r="BH1615" s="279"/>
      <c r="BI1615" s="279"/>
      <c r="BJ1615" s="279"/>
      <c r="BK1615" s="279"/>
      <c r="BL1615" s="279"/>
      <c r="BM1615" s="279"/>
      <c r="BN1615" s="279"/>
      <c r="BO1615" s="279"/>
      <c r="BP1615" s="279"/>
      <c r="BQ1615" s="279"/>
      <c r="BR1615" s="279"/>
      <c r="BS1615" s="279"/>
      <c r="BT1615" s="279"/>
      <c r="BU1615" s="279"/>
      <c r="BV1615" s="279"/>
      <c r="BW1615" s="279"/>
      <c r="BX1615" s="279"/>
      <c r="BY1615" s="279"/>
      <c r="BZ1615" s="279"/>
      <c r="CA1615" s="279"/>
      <c r="CB1615" s="279"/>
      <c r="CC1615" s="279"/>
      <c r="CD1615" s="279"/>
      <c r="CE1615" s="279"/>
      <c r="CF1615" s="279"/>
      <c r="CG1615" s="279"/>
      <c r="CH1615" s="279"/>
      <c r="CI1615" s="279"/>
      <c r="CJ1615" s="279"/>
      <c r="CK1615" s="279"/>
      <c r="CL1615" s="279"/>
      <c r="CM1615" s="279"/>
      <c r="CN1615" s="382"/>
    </row>
    <row r="1616" x14ac:dyDescent="0.25">
      <c r="B1616" s="361"/>
      <c r="C1616" s="279"/>
      <c r="D1616" s="280"/>
      <c r="E1616" s="287"/>
      <c r="F1616" s="287"/>
      <c r="G1616" s="287"/>
      <c r="H1616" s="280"/>
      <c r="I1616" s="1170" t="s">
        <v>1809</v>
      </c>
      <c r="J1616" s="343">
        <f>'II. Equipment &amp; Cost Data'!E176</f>
        <v>10000</v>
      </c>
      <c r="K1616" s="336"/>
      <c r="L1616" s="336"/>
      <c r="M1616" s="336"/>
      <c r="N1616" s="336"/>
      <c r="O1616" s="336"/>
      <c r="P1616" s="336"/>
      <c r="Q1616" s="336"/>
      <c r="R1616" s="336"/>
      <c r="S1616" s="336"/>
      <c r="T1616" s="298"/>
      <c r="U1616" s="299"/>
      <c r="V1616" s="279"/>
      <c r="W1616" s="279"/>
      <c r="X1616" s="279"/>
      <c r="Y1616" s="279"/>
      <c r="Z1616" s="279"/>
      <c r="AA1616" s="279"/>
      <c r="AB1616" s="279"/>
      <c r="AC1616" s="279"/>
      <c r="AD1616" s="279"/>
      <c r="AE1616" s="279"/>
      <c r="AF1616" s="279"/>
      <c r="AG1616" s="279"/>
      <c r="AH1616" s="279"/>
      <c r="AI1616" s="279"/>
      <c r="AJ1616" s="279"/>
      <c r="AK1616" s="279"/>
      <c r="AL1616" s="279"/>
      <c r="AM1616" s="279"/>
      <c r="AN1616" s="279"/>
      <c r="AO1616" s="279"/>
      <c r="AP1616" s="279"/>
      <c r="AQ1616" s="279"/>
      <c r="AR1616" s="279"/>
      <c r="AS1616" s="279"/>
      <c r="AT1616" s="279"/>
      <c r="AU1616" s="279"/>
      <c r="AV1616" s="279"/>
      <c r="AW1616" s="279"/>
      <c r="AX1616" s="279"/>
      <c r="AY1616" s="279"/>
      <c r="AZ1616" s="279"/>
      <c r="BA1616" s="279"/>
      <c r="BB1616" s="279"/>
      <c r="BC1616" s="279"/>
      <c r="BD1616" s="279"/>
      <c r="BE1616" s="279"/>
      <c r="BF1616" s="279"/>
      <c r="BG1616" s="279"/>
      <c r="BH1616" s="279"/>
      <c r="BI1616" s="279"/>
      <c r="BJ1616" s="279"/>
      <c r="BK1616" s="279"/>
      <c r="BL1616" s="279"/>
      <c r="BM1616" s="279"/>
      <c r="BN1616" s="279"/>
      <c r="BO1616" s="279"/>
      <c r="BP1616" s="279"/>
      <c r="BQ1616" s="279"/>
      <c r="BR1616" s="279"/>
      <c r="BS1616" s="279"/>
      <c r="BT1616" s="279"/>
      <c r="BU1616" s="279"/>
      <c r="BV1616" s="279"/>
      <c r="BW1616" s="279"/>
      <c r="BX1616" s="279"/>
      <c r="BY1616" s="279"/>
      <c r="BZ1616" s="279"/>
      <c r="CA1616" s="279"/>
      <c r="CB1616" s="279"/>
      <c r="CC1616" s="279"/>
      <c r="CD1616" s="279"/>
      <c r="CE1616" s="279"/>
      <c r="CF1616" s="279"/>
      <c r="CG1616" s="279"/>
      <c r="CH1616" s="279"/>
      <c r="CI1616" s="279"/>
      <c r="CJ1616" s="279"/>
      <c r="CK1616" s="279"/>
      <c r="CL1616" s="279"/>
      <c r="CM1616" s="279"/>
      <c r="CN1616" s="382"/>
    </row>
    <row r="1617" x14ac:dyDescent="0.25">
      <c r="B1617" s="361"/>
      <c r="C1617" s="279"/>
      <c r="D1617" s="280"/>
      <c r="E1617" s="287"/>
      <c r="F1617" s="287"/>
      <c r="G1617" s="287"/>
      <c r="H1617" s="280"/>
      <c r="I1617" s="1170" t="s">
        <v>1810</v>
      </c>
      <c r="J1617" s="343" t="e">
        <f>INDEX(OUT_Vapor_fraction,MATCH('V. Environmental'!J1618,J1599:AW1599,0))*'V. Environmental'!J1616</f>
        <v>#N/A</v>
      </c>
      <c r="K1617" s="336"/>
      <c r="L1617" s="336"/>
      <c r="M1617" s="336"/>
      <c r="N1617" s="336"/>
      <c r="O1617" s="336"/>
      <c r="P1617" s="336"/>
      <c r="Q1617" s="336"/>
      <c r="R1617" s="336"/>
      <c r="S1617" s="336"/>
      <c r="T1617" s="298"/>
      <c r="U1617" s="299"/>
      <c r="V1617" s="279"/>
      <c r="W1617" s="279"/>
      <c r="X1617" s="279"/>
      <c r="Y1617" s="279"/>
      <c r="Z1617" s="279"/>
      <c r="AA1617" s="279"/>
      <c r="AB1617" s="279"/>
      <c r="AC1617" s="279"/>
      <c r="AD1617" s="279"/>
      <c r="AE1617" s="279"/>
      <c r="AF1617" s="279"/>
      <c r="AG1617" s="279"/>
      <c r="AH1617" s="279"/>
      <c r="AI1617" s="279"/>
      <c r="AJ1617" s="279"/>
      <c r="AK1617" s="279"/>
      <c r="AL1617" s="279"/>
      <c r="AM1617" s="279"/>
      <c r="AN1617" s="279"/>
      <c r="AO1617" s="279"/>
      <c r="AP1617" s="279"/>
      <c r="AQ1617" s="279"/>
      <c r="AR1617" s="279"/>
      <c r="AS1617" s="279"/>
      <c r="AT1617" s="279"/>
      <c r="AU1617" s="279"/>
      <c r="AV1617" s="279"/>
      <c r="AW1617" s="279"/>
      <c r="AX1617" s="279"/>
      <c r="AY1617" s="279"/>
      <c r="AZ1617" s="279"/>
      <c r="BA1617" s="279"/>
      <c r="BB1617" s="279"/>
      <c r="BC1617" s="279"/>
      <c r="BD1617" s="279"/>
      <c r="BE1617" s="279"/>
      <c r="BF1617" s="279"/>
      <c r="BG1617" s="279"/>
      <c r="BH1617" s="279"/>
      <c r="BI1617" s="279"/>
      <c r="BJ1617" s="279"/>
      <c r="BK1617" s="279"/>
      <c r="BL1617" s="279"/>
      <c r="BM1617" s="279"/>
      <c r="BN1617" s="279"/>
      <c r="BO1617" s="279"/>
      <c r="BP1617" s="279"/>
      <c r="BQ1617" s="279"/>
      <c r="BR1617" s="279"/>
      <c r="BS1617" s="279"/>
      <c r="BT1617" s="279"/>
      <c r="BU1617" s="279"/>
      <c r="BV1617" s="279"/>
      <c r="BW1617" s="279"/>
      <c r="BX1617" s="279"/>
      <c r="BY1617" s="279"/>
      <c r="BZ1617" s="279"/>
      <c r="CA1617" s="279"/>
      <c r="CB1617" s="279"/>
      <c r="CC1617" s="279"/>
      <c r="CD1617" s="279"/>
      <c r="CE1617" s="279"/>
      <c r="CF1617" s="279"/>
      <c r="CG1617" s="279"/>
      <c r="CH1617" s="279"/>
      <c r="CI1617" s="279"/>
      <c r="CJ1617" s="279"/>
      <c r="CK1617" s="279"/>
      <c r="CL1617" s="279"/>
      <c r="CM1617" s="279"/>
      <c r="CN1617" s="382"/>
    </row>
    <row r="1618" x14ac:dyDescent="0.25">
      <c r="B1618" s="361"/>
      <c r="C1618" s="279"/>
      <c r="D1618" s="280"/>
      <c r="E1618" s="287"/>
      <c r="F1618" s="287"/>
      <c r="G1618" s="287"/>
      <c r="H1618" s="280"/>
      <c r="I1618" s="1170" t="s">
        <v>1826</v>
      </c>
      <c r="J1618" s="343" t="str">
        <f>'II. Equipment &amp; Cost Data'!E177</f>
        <v>G10</v>
      </c>
      <c r="K1618" s="336"/>
      <c r="L1618" s="336"/>
      <c r="M1618" s="336"/>
      <c r="N1618" s="336"/>
      <c r="O1618" s="336"/>
      <c r="P1618" s="336"/>
      <c r="Q1618" s="336"/>
      <c r="R1618" s="336"/>
      <c r="S1618" s="336"/>
      <c r="T1618" s="298"/>
      <c r="U1618" s="299"/>
      <c r="V1618" s="279"/>
      <c r="W1618" s="279"/>
      <c r="X1618" s="279"/>
      <c r="Y1618" s="279"/>
      <c r="Z1618" s="279"/>
      <c r="AA1618" s="279"/>
      <c r="AB1618" s="279"/>
      <c r="AC1618" s="279"/>
      <c r="AD1618" s="279"/>
      <c r="AE1618" s="279"/>
      <c r="AF1618" s="279"/>
      <c r="AG1618" s="279"/>
      <c r="AH1618" s="279"/>
      <c r="AI1618" s="279"/>
      <c r="AJ1618" s="279"/>
      <c r="AK1618" s="279"/>
      <c r="AL1618" s="279"/>
      <c r="AM1618" s="279"/>
      <c r="AN1618" s="279"/>
      <c r="AO1618" s="279"/>
      <c r="AP1618" s="279"/>
      <c r="AQ1618" s="279"/>
      <c r="AR1618" s="279"/>
      <c r="AS1618" s="279"/>
      <c r="AT1618" s="279"/>
      <c r="AU1618" s="279"/>
      <c r="AV1618" s="279"/>
      <c r="AW1618" s="279"/>
      <c r="AX1618" s="279"/>
      <c r="AY1618" s="279"/>
      <c r="AZ1618" s="279"/>
      <c r="BA1618" s="279"/>
      <c r="BB1618" s="279"/>
      <c r="BC1618" s="279"/>
      <c r="BD1618" s="279"/>
      <c r="BE1618" s="279"/>
      <c r="BF1618" s="279"/>
      <c r="BG1618" s="279"/>
      <c r="BH1618" s="279"/>
      <c r="BI1618" s="279"/>
      <c r="BJ1618" s="279"/>
      <c r="BK1618" s="279"/>
      <c r="BL1618" s="279"/>
      <c r="BM1618" s="279"/>
      <c r="BN1618" s="279"/>
      <c r="BO1618" s="279"/>
      <c r="BP1618" s="279"/>
      <c r="BQ1618" s="279"/>
      <c r="BR1618" s="279"/>
      <c r="BS1618" s="279"/>
      <c r="BT1618" s="279"/>
      <c r="BU1618" s="279"/>
      <c r="BV1618" s="279"/>
      <c r="BW1618" s="279"/>
      <c r="BX1618" s="279"/>
      <c r="BY1618" s="279"/>
      <c r="BZ1618" s="279"/>
      <c r="CA1618" s="279"/>
      <c r="CB1618" s="279"/>
      <c r="CC1618" s="279"/>
      <c r="CD1618" s="279"/>
      <c r="CE1618" s="279"/>
      <c r="CF1618" s="279"/>
      <c r="CG1618" s="279"/>
      <c r="CH1618" s="279"/>
      <c r="CI1618" s="279"/>
      <c r="CJ1618" s="279"/>
      <c r="CK1618" s="279"/>
      <c r="CL1618" s="279"/>
      <c r="CM1618" s="279"/>
      <c r="CN1618" s="382"/>
    </row>
    <row r="1619" x14ac:dyDescent="0.25">
      <c r="B1619" s="361"/>
      <c r="C1619" s="279"/>
      <c r="D1619" s="280"/>
      <c r="E1619" s="287"/>
      <c r="F1619" s="287"/>
      <c r="G1619" s="287"/>
      <c r="H1619" s="280"/>
      <c r="I1619" s="1170" t="s">
        <v>1811</v>
      </c>
      <c r="J1619" s="343" t="e">
        <f>INDEX(OUT_Temperature__°C,MATCH('V. Environmental'!J1618,J1599:AW1599,0))</f>
        <v>#N/A</v>
      </c>
      <c r="K1619" s="336"/>
      <c r="L1619" s="336"/>
      <c r="M1619" s="336"/>
      <c r="N1619" s="336"/>
      <c r="O1619" s="336"/>
      <c r="P1619" s="336"/>
      <c r="Q1619" s="336"/>
      <c r="R1619" s="336"/>
      <c r="S1619" s="336"/>
      <c r="T1619" s="298"/>
      <c r="U1619" s="299"/>
      <c r="V1619" s="279"/>
      <c r="W1619" s="279"/>
      <c r="X1619" s="279"/>
      <c r="Y1619" s="279"/>
      <c r="Z1619" s="279"/>
      <c r="AA1619" s="279"/>
      <c r="AB1619" s="279"/>
      <c r="AC1619" s="279"/>
      <c r="AD1619" s="279"/>
      <c r="AE1619" s="279"/>
      <c r="AF1619" s="279"/>
      <c r="AG1619" s="279"/>
      <c r="AH1619" s="279"/>
      <c r="AI1619" s="279"/>
      <c r="AJ1619" s="279"/>
      <c r="AK1619" s="279"/>
      <c r="AL1619" s="279"/>
      <c r="AM1619" s="279"/>
      <c r="AN1619" s="279"/>
      <c r="AO1619" s="279"/>
      <c r="AP1619" s="279"/>
      <c r="AQ1619" s="279"/>
      <c r="AR1619" s="279"/>
      <c r="AS1619" s="279"/>
      <c r="AT1619" s="279"/>
      <c r="AU1619" s="279"/>
      <c r="AV1619" s="279"/>
      <c r="AW1619" s="279"/>
      <c r="AX1619" s="279"/>
      <c r="AY1619" s="279"/>
      <c r="AZ1619" s="279"/>
      <c r="BA1619" s="279"/>
      <c r="BB1619" s="279"/>
      <c r="BC1619" s="279"/>
      <c r="BD1619" s="279"/>
      <c r="BE1619" s="279"/>
      <c r="BF1619" s="279"/>
      <c r="BG1619" s="279"/>
      <c r="BH1619" s="279"/>
      <c r="BI1619" s="279"/>
      <c r="BJ1619" s="279"/>
      <c r="BK1619" s="279"/>
      <c r="BL1619" s="279"/>
      <c r="BM1619" s="279"/>
      <c r="BN1619" s="279"/>
      <c r="BO1619" s="279"/>
      <c r="BP1619" s="279"/>
      <c r="BQ1619" s="279"/>
      <c r="BR1619" s="279"/>
      <c r="BS1619" s="279"/>
      <c r="BT1619" s="279"/>
      <c r="BU1619" s="279"/>
      <c r="BV1619" s="279"/>
      <c r="BW1619" s="279"/>
      <c r="BX1619" s="279"/>
      <c r="BY1619" s="279"/>
      <c r="BZ1619" s="279"/>
      <c r="CA1619" s="279"/>
      <c r="CB1619" s="279"/>
      <c r="CC1619" s="279"/>
      <c r="CD1619" s="279"/>
      <c r="CE1619" s="279"/>
      <c r="CF1619" s="279"/>
      <c r="CG1619" s="279"/>
      <c r="CH1619" s="279"/>
      <c r="CI1619" s="279"/>
      <c r="CJ1619" s="279"/>
      <c r="CK1619" s="279"/>
      <c r="CL1619" s="279"/>
      <c r="CM1619" s="279"/>
      <c r="CN1619" s="382"/>
    </row>
    <row r="1620" x14ac:dyDescent="0.25">
      <c r="B1620" s="361"/>
      <c r="C1620" s="279"/>
      <c r="D1620" s="280"/>
      <c r="E1620" s="287"/>
      <c r="F1620" s="287"/>
      <c r="G1620" s="287"/>
      <c r="H1620" s="280"/>
      <c r="I1620" s="1170" t="s">
        <v>1804</v>
      </c>
      <c r="J1620" s="343">
        <f>INDEX(MW__kg_kmol,'V. Environmental'!J1612)</f>
        <v>44.009500000000003</v>
      </c>
      <c r="K1620" s="336"/>
      <c r="L1620" s="336"/>
      <c r="M1620" s="336"/>
      <c r="N1620" s="336"/>
      <c r="O1620" s="336"/>
      <c r="P1620" s="336"/>
      <c r="Q1620" s="336"/>
      <c r="R1620" s="336"/>
      <c r="S1620" s="336"/>
      <c r="T1620" s="298"/>
      <c r="U1620" s="299"/>
      <c r="V1620" s="279"/>
      <c r="W1620" s="279"/>
      <c r="X1620" s="279"/>
      <c r="Y1620" s="279"/>
      <c r="Z1620" s="279"/>
      <c r="AA1620" s="279"/>
      <c r="AB1620" s="279"/>
      <c r="AC1620" s="279"/>
      <c r="AD1620" s="279"/>
      <c r="AE1620" s="279"/>
      <c r="AF1620" s="279"/>
      <c r="AG1620" s="279"/>
      <c r="AH1620" s="279"/>
      <c r="AI1620" s="279"/>
      <c r="AJ1620" s="279"/>
      <c r="AK1620" s="279"/>
      <c r="AL1620" s="279"/>
      <c r="AM1620" s="279"/>
      <c r="AN1620" s="279"/>
      <c r="AO1620" s="279"/>
      <c r="AP1620" s="279"/>
      <c r="AQ1620" s="279"/>
      <c r="AR1620" s="279"/>
      <c r="AS1620" s="279"/>
      <c r="AT1620" s="279"/>
      <c r="AU1620" s="279"/>
      <c r="AV1620" s="279"/>
      <c r="AW1620" s="279"/>
      <c r="AX1620" s="279"/>
      <c r="AY1620" s="279"/>
      <c r="AZ1620" s="279"/>
      <c r="BA1620" s="279"/>
      <c r="BB1620" s="279"/>
      <c r="BC1620" s="279"/>
      <c r="BD1620" s="279"/>
      <c r="BE1620" s="279"/>
      <c r="BF1620" s="279"/>
      <c r="BG1620" s="279"/>
      <c r="BH1620" s="279"/>
      <c r="BI1620" s="279"/>
      <c r="BJ1620" s="279"/>
      <c r="BK1620" s="279"/>
      <c r="BL1620" s="279"/>
      <c r="BM1620" s="279"/>
      <c r="BN1620" s="279"/>
      <c r="BO1620" s="279"/>
      <c r="BP1620" s="279"/>
      <c r="BQ1620" s="279"/>
      <c r="BR1620" s="279"/>
      <c r="BS1620" s="279"/>
      <c r="BT1620" s="279"/>
      <c r="BU1620" s="279"/>
      <c r="BV1620" s="279"/>
      <c r="BW1620" s="279"/>
      <c r="BX1620" s="279"/>
      <c r="BY1620" s="279"/>
      <c r="BZ1620" s="279"/>
      <c r="CA1620" s="279"/>
      <c r="CB1620" s="279"/>
      <c r="CC1620" s="279"/>
      <c r="CD1620" s="279"/>
      <c r="CE1620" s="279"/>
      <c r="CF1620" s="279"/>
      <c r="CG1620" s="279"/>
      <c r="CH1620" s="279"/>
      <c r="CI1620" s="279"/>
      <c r="CJ1620" s="279"/>
      <c r="CK1620" s="279"/>
      <c r="CL1620" s="279"/>
      <c r="CM1620" s="279"/>
      <c r="CN1620" s="382"/>
    </row>
    <row r="1621" x14ac:dyDescent="0.25">
      <c r="B1621" s="361"/>
      <c r="C1621" s="279"/>
      <c r="D1621" s="280"/>
      <c r="E1621" s="287"/>
      <c r="F1621" s="287"/>
      <c r="G1621" s="287"/>
      <c r="H1621" s="280"/>
      <c r="I1621" s="1170" t="s">
        <v>1805</v>
      </c>
      <c r="J1621" s="343">
        <f>INDEX(Tb__°C,'V. Environmental'!J1612)</f>
        <v>-78.48</v>
      </c>
      <c r="K1621" s="336"/>
      <c r="L1621" s="336"/>
      <c r="M1621" s="336"/>
      <c r="N1621" s="336"/>
      <c r="O1621" s="336"/>
      <c r="P1621" s="336"/>
      <c r="Q1621" s="336"/>
      <c r="R1621" s="336"/>
      <c r="S1621" s="336"/>
      <c r="T1621" s="298"/>
      <c r="U1621" s="299"/>
      <c r="V1621" s="279"/>
      <c r="W1621" s="279"/>
      <c r="X1621" s="279"/>
      <c r="Y1621" s="279"/>
      <c r="Z1621" s="279"/>
      <c r="AA1621" s="279"/>
      <c r="AB1621" s="279"/>
      <c r="AC1621" s="279"/>
      <c r="AD1621" s="279"/>
      <c r="AE1621" s="279"/>
      <c r="AF1621" s="279"/>
      <c r="AG1621" s="279"/>
      <c r="AH1621" s="279"/>
      <c r="AI1621" s="279"/>
      <c r="AJ1621" s="279"/>
      <c r="AK1621" s="279"/>
      <c r="AL1621" s="279"/>
      <c r="AM1621" s="279"/>
      <c r="AN1621" s="279"/>
      <c r="AO1621" s="279"/>
      <c r="AP1621" s="279"/>
      <c r="AQ1621" s="279"/>
      <c r="AR1621" s="279"/>
      <c r="AS1621" s="279"/>
      <c r="AT1621" s="279"/>
      <c r="AU1621" s="279"/>
      <c r="AV1621" s="279"/>
      <c r="AW1621" s="279"/>
      <c r="AX1621" s="279"/>
      <c r="AY1621" s="279"/>
      <c r="AZ1621" s="279"/>
      <c r="BA1621" s="279"/>
      <c r="BB1621" s="279"/>
      <c r="BC1621" s="279"/>
      <c r="BD1621" s="279"/>
      <c r="BE1621" s="279"/>
      <c r="BF1621" s="279"/>
      <c r="BG1621" s="279"/>
      <c r="BH1621" s="279"/>
      <c r="BI1621" s="279"/>
      <c r="BJ1621" s="279"/>
      <c r="BK1621" s="279"/>
      <c r="BL1621" s="279"/>
      <c r="BM1621" s="279"/>
      <c r="BN1621" s="279"/>
      <c r="BO1621" s="279"/>
      <c r="BP1621" s="279"/>
      <c r="BQ1621" s="279"/>
      <c r="BR1621" s="279"/>
      <c r="BS1621" s="279"/>
      <c r="BT1621" s="279"/>
      <c r="BU1621" s="279"/>
      <c r="BV1621" s="279"/>
      <c r="BW1621" s="279"/>
      <c r="BX1621" s="279"/>
      <c r="BY1621" s="279"/>
      <c r="BZ1621" s="279"/>
      <c r="CA1621" s="279"/>
      <c r="CB1621" s="279"/>
      <c r="CC1621" s="279"/>
      <c r="CD1621" s="279"/>
      <c r="CE1621" s="279"/>
      <c r="CF1621" s="279"/>
      <c r="CG1621" s="279"/>
      <c r="CH1621" s="279"/>
      <c r="CI1621" s="279"/>
      <c r="CJ1621" s="279"/>
      <c r="CK1621" s="279"/>
      <c r="CL1621" s="279"/>
      <c r="CM1621" s="279"/>
      <c r="CN1621" s="382"/>
    </row>
    <row r="1622" x14ac:dyDescent="0.25">
      <c r="B1622" s="361"/>
      <c r="C1622" s="279"/>
      <c r="D1622" s="280"/>
      <c r="E1622" s="287"/>
      <c r="F1622" s="287"/>
      <c r="G1622" s="287"/>
      <c r="H1622" s="280"/>
      <c r="I1622" s="1170" t="s">
        <v>2222</v>
      </c>
      <c r="J1622" s="343">
        <f>'II. Equipment &amp; Cost Data'!E178</f>
        <v>300</v>
      </c>
      <c r="K1622" s="336"/>
      <c r="L1622" s="336"/>
      <c r="M1622" s="336"/>
      <c r="N1622" s="336"/>
      <c r="O1622" s="336"/>
      <c r="P1622" s="336"/>
      <c r="Q1622" s="336"/>
      <c r="R1622" s="336"/>
      <c r="S1622" s="336"/>
      <c r="T1622" s="298"/>
      <c r="U1622" s="299"/>
      <c r="V1622" s="279"/>
      <c r="W1622" s="279"/>
      <c r="X1622" s="279"/>
      <c r="Y1622" s="279"/>
      <c r="Z1622" s="279"/>
      <c r="AA1622" s="279"/>
      <c r="AB1622" s="279"/>
      <c r="AC1622" s="279"/>
      <c r="AD1622" s="279"/>
      <c r="AE1622" s="279"/>
      <c r="AF1622" s="279"/>
      <c r="AG1622" s="279"/>
      <c r="AH1622" s="279"/>
      <c r="AI1622" s="279"/>
      <c r="AJ1622" s="279"/>
      <c r="AK1622" s="279"/>
      <c r="AL1622" s="279"/>
      <c r="AM1622" s="279"/>
      <c r="AN1622" s="279"/>
      <c r="AO1622" s="279"/>
      <c r="AP1622" s="279"/>
      <c r="AQ1622" s="279"/>
      <c r="AR1622" s="279"/>
      <c r="AS1622" s="279"/>
      <c r="AT1622" s="279"/>
      <c r="AU1622" s="279"/>
      <c r="AV1622" s="279"/>
      <c r="AW1622" s="279"/>
      <c r="AX1622" s="279"/>
      <c r="AY1622" s="279"/>
      <c r="AZ1622" s="279"/>
      <c r="BA1622" s="279"/>
      <c r="BB1622" s="279"/>
      <c r="BC1622" s="279"/>
      <c r="BD1622" s="279"/>
      <c r="BE1622" s="279"/>
      <c r="BF1622" s="279"/>
      <c r="BG1622" s="279"/>
      <c r="BH1622" s="279"/>
      <c r="BI1622" s="279"/>
      <c r="BJ1622" s="279"/>
      <c r="BK1622" s="279"/>
      <c r="BL1622" s="279"/>
      <c r="BM1622" s="279"/>
      <c r="BN1622" s="279"/>
      <c r="BO1622" s="279"/>
      <c r="BP1622" s="279"/>
      <c r="BQ1622" s="279"/>
      <c r="BR1622" s="279"/>
      <c r="BS1622" s="279"/>
      <c r="BT1622" s="279"/>
      <c r="BU1622" s="279"/>
      <c r="BV1622" s="279"/>
      <c r="BW1622" s="279"/>
      <c r="BX1622" s="279"/>
      <c r="BY1622" s="279"/>
      <c r="BZ1622" s="279"/>
      <c r="CA1622" s="279"/>
      <c r="CB1622" s="279"/>
      <c r="CC1622" s="279"/>
      <c r="CD1622" s="279"/>
      <c r="CE1622" s="279"/>
      <c r="CF1622" s="279"/>
      <c r="CG1622" s="279"/>
      <c r="CH1622" s="279"/>
      <c r="CI1622" s="279"/>
      <c r="CJ1622" s="279"/>
      <c r="CK1622" s="279"/>
      <c r="CL1622" s="279"/>
      <c r="CM1622" s="279"/>
      <c r="CN1622" s="382"/>
    </row>
    <row r="1623" x14ac:dyDescent="0.25">
      <c r="B1623" s="361"/>
      <c r="C1623" s="279"/>
      <c r="D1623" s="280"/>
      <c r="E1623" s="287"/>
      <c r="F1623" s="287"/>
      <c r="G1623" s="287"/>
      <c r="H1623" s="280"/>
      <c r="I1623" s="1170" t="s">
        <v>1814</v>
      </c>
      <c r="J1623" s="343">
        <f>INDEX(_r°__kg_m_3,'V. Environmental'!J1612)</f>
        <v>1.7989999999999999</v>
      </c>
      <c r="K1623" s="336"/>
      <c r="L1623" s="336"/>
      <c r="M1623" s="336"/>
      <c r="N1623" s="336"/>
      <c r="O1623" s="336"/>
      <c r="P1623" s="336"/>
      <c r="Q1623" s="336"/>
      <c r="R1623" s="336"/>
      <c r="S1623" s="336"/>
      <c r="T1623" s="298"/>
      <c r="U1623" s="299"/>
      <c r="V1623" s="279"/>
      <c r="W1623" s="279"/>
      <c r="X1623" s="279"/>
      <c r="Y1623" s="279"/>
      <c r="Z1623" s="279"/>
      <c r="AA1623" s="279"/>
      <c r="AB1623" s="279"/>
      <c r="AC1623" s="279"/>
      <c r="AD1623" s="279"/>
      <c r="AE1623" s="279"/>
      <c r="AF1623" s="279"/>
      <c r="AG1623" s="279"/>
      <c r="AH1623" s="279"/>
      <c r="AI1623" s="279"/>
      <c r="AJ1623" s="279"/>
      <c r="AK1623" s="279"/>
      <c r="AL1623" s="279"/>
      <c r="AM1623" s="279"/>
      <c r="AN1623" s="279"/>
      <c r="AO1623" s="279"/>
      <c r="AP1623" s="279"/>
      <c r="AQ1623" s="279"/>
      <c r="AR1623" s="279"/>
      <c r="AS1623" s="279"/>
      <c r="AT1623" s="279"/>
      <c r="AU1623" s="279"/>
      <c r="AV1623" s="279"/>
      <c r="AW1623" s="279"/>
      <c r="AX1623" s="279"/>
      <c r="AY1623" s="279"/>
      <c r="AZ1623" s="279"/>
      <c r="BA1623" s="279"/>
      <c r="BB1623" s="279"/>
      <c r="BC1623" s="279"/>
      <c r="BD1623" s="279"/>
      <c r="BE1623" s="279"/>
      <c r="BF1623" s="279"/>
      <c r="BG1623" s="279"/>
      <c r="BH1623" s="279"/>
      <c r="BI1623" s="279"/>
      <c r="BJ1623" s="279"/>
      <c r="BK1623" s="279"/>
      <c r="BL1623" s="279"/>
      <c r="BM1623" s="279"/>
      <c r="BN1623" s="279"/>
      <c r="BO1623" s="279"/>
      <c r="BP1623" s="279"/>
      <c r="BQ1623" s="279"/>
      <c r="BR1623" s="279"/>
      <c r="BS1623" s="279"/>
      <c r="BT1623" s="279"/>
      <c r="BU1623" s="279"/>
      <c r="BV1623" s="279"/>
      <c r="BW1623" s="279"/>
      <c r="BX1623" s="279"/>
      <c r="BY1623" s="279"/>
      <c r="BZ1623" s="279"/>
      <c r="CA1623" s="279"/>
      <c r="CB1623" s="279"/>
      <c r="CC1623" s="279"/>
      <c r="CD1623" s="279"/>
      <c r="CE1623" s="279"/>
      <c r="CF1623" s="279"/>
      <c r="CG1623" s="279"/>
      <c r="CH1623" s="279"/>
      <c r="CI1623" s="279"/>
      <c r="CJ1623" s="279"/>
      <c r="CK1623" s="279"/>
      <c r="CL1623" s="279"/>
      <c r="CM1623" s="279"/>
      <c r="CN1623" s="382"/>
    </row>
    <row r="1624" ht="18" x14ac:dyDescent="0.25">
      <c r="B1624" s="361"/>
      <c r="C1624" s="279"/>
      <c r="D1624" s="280"/>
      <c r="E1624" s="287"/>
      <c r="F1624" s="287"/>
      <c r="G1624" s="287"/>
      <c r="H1624" s="280"/>
      <c r="I1624" s="1170" t="s">
        <v>1812</v>
      </c>
      <c r="J1624" s="343">
        <f>INDEX(Cp__kJ_kg_K,'V. Environmental'!J1612)*1000</f>
        <v>843.69106319161995</v>
      </c>
      <c r="K1624" s="336"/>
      <c r="L1624" s="336"/>
      <c r="M1624" s="336"/>
      <c r="N1624" s="336"/>
      <c r="O1624" s="336"/>
      <c r="P1624" s="336"/>
      <c r="Q1624" s="336"/>
      <c r="R1624" s="336"/>
      <c r="S1624" s="336"/>
      <c r="T1624" s="298"/>
      <c r="U1624" s="299"/>
      <c r="V1624" s="279"/>
      <c r="W1624" s="279"/>
      <c r="X1624" s="279"/>
      <c r="Y1624" s="279"/>
      <c r="Z1624" s="279"/>
      <c r="AA1624" s="279"/>
      <c r="AB1624" s="279"/>
      <c r="AC1624" s="279"/>
      <c r="AD1624" s="279"/>
      <c r="AE1624" s="279"/>
      <c r="AF1624" s="279"/>
      <c r="AG1624" s="279"/>
      <c r="AH1624" s="279"/>
      <c r="AI1624" s="279"/>
      <c r="AJ1624" s="279"/>
      <c r="AK1624" s="279"/>
      <c r="AL1624" s="279"/>
      <c r="AM1624" s="279"/>
      <c r="AN1624" s="279"/>
      <c r="AO1624" s="279"/>
      <c r="AP1624" s="279"/>
      <c r="AQ1624" s="279"/>
      <c r="AR1624" s="279"/>
      <c r="AS1624" s="279"/>
      <c r="AT1624" s="279"/>
      <c r="AU1624" s="279"/>
      <c r="AV1624" s="279"/>
      <c r="AW1624" s="279"/>
      <c r="AX1624" s="279"/>
      <c r="AY1624" s="279"/>
      <c r="AZ1624" s="279"/>
      <c r="BA1624" s="279"/>
      <c r="BB1624" s="279"/>
      <c r="BC1624" s="279"/>
      <c r="BD1624" s="279"/>
      <c r="BE1624" s="279"/>
      <c r="BF1624" s="279"/>
      <c r="BG1624" s="279"/>
      <c r="BH1624" s="279"/>
      <c r="BI1624" s="279"/>
      <c r="BJ1624" s="279"/>
      <c r="BK1624" s="279"/>
      <c r="BL1624" s="279"/>
      <c r="BM1624" s="279"/>
      <c r="BN1624" s="279"/>
      <c r="BO1624" s="279"/>
      <c r="BP1624" s="279"/>
      <c r="BQ1624" s="279"/>
      <c r="BR1624" s="279"/>
      <c r="BS1624" s="279"/>
      <c r="BT1624" s="279"/>
      <c r="BU1624" s="279"/>
      <c r="BV1624" s="279"/>
      <c r="BW1624" s="279"/>
      <c r="BX1624" s="279"/>
      <c r="BY1624" s="279"/>
      <c r="BZ1624" s="279"/>
      <c r="CA1624" s="279"/>
      <c r="CB1624" s="279"/>
      <c r="CC1624" s="279"/>
      <c r="CD1624" s="279"/>
      <c r="CE1624" s="279"/>
      <c r="CF1624" s="279"/>
      <c r="CG1624" s="279"/>
      <c r="CH1624" s="279"/>
      <c r="CI1624" s="279"/>
      <c r="CJ1624" s="279"/>
      <c r="CK1624" s="279"/>
      <c r="CL1624" s="279"/>
      <c r="CM1624" s="279"/>
      <c r="CN1624" s="382"/>
    </row>
    <row r="1625" ht="18" x14ac:dyDescent="0.25">
      <c r="B1625" s="361"/>
      <c r="C1625" s="279"/>
      <c r="D1625" s="280"/>
      <c r="E1625" s="287"/>
      <c r="F1625" s="287"/>
      <c r="G1625" s="287"/>
      <c r="H1625" s="280"/>
      <c r="I1625" s="1170" t="s">
        <v>1815</v>
      </c>
      <c r="J1625" s="343">
        <f>INDEX(DHv__kJ_kg,'V. Environmental'!J1612)*1000</f>
        <v>379463.52492075565</v>
      </c>
      <c r="K1625" s="336"/>
      <c r="L1625" s="336"/>
      <c r="M1625" s="336"/>
      <c r="N1625" s="336"/>
      <c r="O1625" s="336"/>
      <c r="P1625" s="336"/>
      <c r="Q1625" s="336"/>
      <c r="R1625" s="336"/>
      <c r="S1625" s="336"/>
      <c r="T1625" s="298"/>
      <c r="U1625" s="299"/>
      <c r="V1625" s="279"/>
      <c r="W1625" s="279"/>
      <c r="X1625" s="279"/>
      <c r="Y1625" s="279"/>
      <c r="Z1625" s="279"/>
      <c r="AA1625" s="279"/>
      <c r="AB1625" s="279"/>
      <c r="AC1625" s="279"/>
      <c r="AD1625" s="279"/>
      <c r="AE1625" s="279"/>
      <c r="AF1625" s="279"/>
      <c r="AG1625" s="279"/>
      <c r="AH1625" s="279"/>
      <c r="AI1625" s="279"/>
      <c r="AJ1625" s="279"/>
      <c r="AK1625" s="279"/>
      <c r="AL1625" s="279"/>
      <c r="AM1625" s="279"/>
      <c r="AN1625" s="279"/>
      <c r="AO1625" s="279"/>
      <c r="AP1625" s="279"/>
      <c r="AQ1625" s="279"/>
      <c r="AR1625" s="279"/>
      <c r="AS1625" s="279"/>
      <c r="AT1625" s="279"/>
      <c r="AU1625" s="279"/>
      <c r="AV1625" s="279"/>
      <c r="AW1625" s="279"/>
      <c r="AX1625" s="279"/>
      <c r="AY1625" s="279"/>
      <c r="AZ1625" s="279"/>
      <c r="BA1625" s="279"/>
      <c r="BB1625" s="279"/>
      <c r="BC1625" s="279"/>
      <c r="BD1625" s="279"/>
      <c r="BE1625" s="279"/>
      <c r="BF1625" s="279"/>
      <c r="BG1625" s="279"/>
      <c r="BH1625" s="279"/>
      <c r="BI1625" s="279"/>
      <c r="BJ1625" s="279"/>
      <c r="BK1625" s="279"/>
      <c r="BL1625" s="279"/>
      <c r="BM1625" s="279"/>
      <c r="BN1625" s="279"/>
      <c r="BO1625" s="279"/>
      <c r="BP1625" s="279"/>
      <c r="BQ1625" s="279"/>
      <c r="BR1625" s="279"/>
      <c r="BS1625" s="279"/>
      <c r="BT1625" s="279"/>
      <c r="BU1625" s="279"/>
      <c r="BV1625" s="279"/>
      <c r="BW1625" s="279"/>
      <c r="BX1625" s="279"/>
      <c r="BY1625" s="279"/>
      <c r="BZ1625" s="279"/>
      <c r="CA1625" s="279"/>
      <c r="CB1625" s="279"/>
      <c r="CC1625" s="279"/>
      <c r="CD1625" s="279"/>
      <c r="CE1625" s="279"/>
      <c r="CF1625" s="279"/>
      <c r="CG1625" s="279"/>
      <c r="CH1625" s="279"/>
      <c r="CI1625" s="279"/>
      <c r="CJ1625" s="279"/>
      <c r="CK1625" s="279"/>
      <c r="CL1625" s="279"/>
      <c r="CM1625" s="279"/>
      <c r="CN1625" s="382"/>
    </row>
    <row r="1626" x14ac:dyDescent="0.25">
      <c r="B1626" s="361"/>
      <c r="C1626" s="279"/>
      <c r="D1626" s="280"/>
      <c r="E1626" s="287"/>
      <c r="F1626" s="287"/>
      <c r="G1626" s="287"/>
      <c r="H1626" s="280"/>
      <c r="I1626" s="1170" t="s">
        <v>210</v>
      </c>
      <c r="J1626" s="343">
        <f>J1624/J1625</f>
        <v>2.2233785536246472E-3</v>
      </c>
      <c r="K1626" s="336"/>
      <c r="L1626" s="336"/>
      <c r="M1626" s="336"/>
      <c r="N1626" s="336"/>
      <c r="O1626" s="336"/>
      <c r="P1626" s="336"/>
      <c r="Q1626" s="336"/>
      <c r="R1626" s="336"/>
      <c r="S1626" s="336"/>
      <c r="T1626" s="298"/>
      <c r="U1626" s="299"/>
      <c r="V1626" s="279"/>
      <c r="W1626" s="279"/>
      <c r="X1626" s="279"/>
      <c r="Y1626" s="279"/>
      <c r="Z1626" s="279"/>
      <c r="AA1626" s="279"/>
      <c r="AB1626" s="279"/>
      <c r="AC1626" s="279"/>
      <c r="AD1626" s="279"/>
      <c r="AE1626" s="279"/>
      <c r="AF1626" s="279"/>
      <c r="AG1626" s="279"/>
      <c r="AH1626" s="279"/>
      <c r="AI1626" s="279"/>
      <c r="AJ1626" s="279"/>
      <c r="AK1626" s="279"/>
      <c r="AL1626" s="279"/>
      <c r="AM1626" s="279"/>
      <c r="AN1626" s="279"/>
      <c r="AO1626" s="279"/>
      <c r="AP1626" s="279"/>
      <c r="AQ1626" s="279"/>
      <c r="AR1626" s="279"/>
      <c r="AS1626" s="279"/>
      <c r="AT1626" s="279"/>
      <c r="AU1626" s="279"/>
      <c r="AV1626" s="279"/>
      <c r="AW1626" s="279"/>
      <c r="AX1626" s="279"/>
      <c r="AY1626" s="279"/>
      <c r="AZ1626" s="279"/>
      <c r="BA1626" s="279"/>
      <c r="BB1626" s="279"/>
      <c r="BC1626" s="279"/>
      <c r="BD1626" s="279"/>
      <c r="BE1626" s="279"/>
      <c r="BF1626" s="279"/>
      <c r="BG1626" s="279"/>
      <c r="BH1626" s="279"/>
      <c r="BI1626" s="279"/>
      <c r="BJ1626" s="279"/>
      <c r="BK1626" s="279"/>
      <c r="BL1626" s="279"/>
      <c r="BM1626" s="279"/>
      <c r="BN1626" s="279"/>
      <c r="BO1626" s="279"/>
      <c r="BP1626" s="279"/>
      <c r="BQ1626" s="279"/>
      <c r="BR1626" s="279"/>
      <c r="BS1626" s="279"/>
      <c r="BT1626" s="279"/>
      <c r="BU1626" s="279"/>
      <c r="BV1626" s="279"/>
      <c r="BW1626" s="279"/>
      <c r="BX1626" s="279"/>
      <c r="BY1626" s="279"/>
      <c r="BZ1626" s="279"/>
      <c r="CA1626" s="279"/>
      <c r="CB1626" s="279"/>
      <c r="CC1626" s="279"/>
      <c r="CD1626" s="279"/>
      <c r="CE1626" s="279"/>
      <c r="CF1626" s="279"/>
      <c r="CG1626" s="279"/>
      <c r="CH1626" s="279"/>
      <c r="CI1626" s="279"/>
      <c r="CJ1626" s="279"/>
      <c r="CK1626" s="279"/>
      <c r="CL1626" s="279"/>
      <c r="CM1626" s="279"/>
      <c r="CN1626" s="382"/>
    </row>
    <row r="1627" ht="18" x14ac:dyDescent="0.25">
      <c r="B1627" s="361"/>
      <c r="C1627" s="279"/>
      <c r="D1627" s="280"/>
      <c r="E1627" s="287"/>
      <c r="F1627" s="287"/>
      <c r="G1627" s="287"/>
      <c r="H1627" s="280"/>
      <c r="I1627" s="1170" t="s">
        <v>1816</v>
      </c>
      <c r="J1627" s="343" t="e">
        <f>INDEX(OUT_Pressure__kPa,MATCH('V. Environmental'!J1618,J1599:AW1599,0))</f>
        <v>#N/A</v>
      </c>
      <c r="K1627" s="336"/>
      <c r="L1627" s="336"/>
      <c r="M1627" s="336"/>
      <c r="N1627" s="336"/>
      <c r="O1627" s="336"/>
      <c r="P1627" s="336"/>
      <c r="Q1627" s="336"/>
      <c r="R1627" s="336"/>
      <c r="S1627" s="336"/>
      <c r="T1627" s="298"/>
      <c r="U1627" s="299"/>
      <c r="V1627" s="279"/>
      <c r="W1627" s="279"/>
      <c r="X1627" s="279"/>
      <c r="Y1627" s="279"/>
      <c r="Z1627" s="279"/>
      <c r="AA1627" s="279"/>
      <c r="AB1627" s="279"/>
      <c r="AC1627" s="279"/>
      <c r="AD1627" s="279"/>
      <c r="AE1627" s="279"/>
      <c r="AF1627" s="279"/>
      <c r="AG1627" s="279"/>
      <c r="AH1627" s="279"/>
      <c r="AI1627" s="279"/>
      <c r="AJ1627" s="279"/>
      <c r="AK1627" s="279"/>
      <c r="AL1627" s="279"/>
      <c r="AM1627" s="279"/>
      <c r="AN1627" s="279"/>
      <c r="AO1627" s="279"/>
      <c r="AP1627" s="279"/>
      <c r="AQ1627" s="279"/>
      <c r="AR1627" s="279"/>
      <c r="AS1627" s="279"/>
      <c r="AT1627" s="279"/>
      <c r="AU1627" s="279"/>
      <c r="AV1627" s="279"/>
      <c r="AW1627" s="279"/>
      <c r="AX1627" s="279"/>
      <c r="AY1627" s="279"/>
      <c r="AZ1627" s="279"/>
      <c r="BA1627" s="279"/>
      <c r="BB1627" s="279"/>
      <c r="BC1627" s="279"/>
      <c r="BD1627" s="279"/>
      <c r="BE1627" s="279"/>
      <c r="BF1627" s="279"/>
      <c r="BG1627" s="279"/>
      <c r="BH1627" s="279"/>
      <c r="BI1627" s="279"/>
      <c r="BJ1627" s="279"/>
      <c r="BK1627" s="279"/>
      <c r="BL1627" s="279"/>
      <c r="BM1627" s="279"/>
      <c r="BN1627" s="279"/>
      <c r="BO1627" s="279"/>
      <c r="BP1627" s="279"/>
      <c r="BQ1627" s="279"/>
      <c r="BR1627" s="279"/>
      <c r="BS1627" s="279"/>
      <c r="BT1627" s="279"/>
      <c r="BU1627" s="279"/>
      <c r="BV1627" s="279"/>
      <c r="BW1627" s="279"/>
      <c r="BX1627" s="279"/>
      <c r="BY1627" s="279"/>
      <c r="BZ1627" s="279"/>
      <c r="CA1627" s="279"/>
      <c r="CB1627" s="279"/>
      <c r="CC1627" s="279"/>
      <c r="CD1627" s="279"/>
      <c r="CE1627" s="279"/>
      <c r="CF1627" s="279"/>
      <c r="CG1627" s="279"/>
      <c r="CH1627" s="279"/>
      <c r="CI1627" s="279"/>
      <c r="CJ1627" s="279"/>
      <c r="CK1627" s="279"/>
      <c r="CL1627" s="279"/>
      <c r="CM1627" s="279"/>
      <c r="CN1627" s="382"/>
    </row>
    <row r="1628" ht="18" x14ac:dyDescent="0.25">
      <c r="B1628" s="361"/>
      <c r="C1628" s="279"/>
      <c r="D1628" s="280"/>
      <c r="E1628" s="287"/>
      <c r="F1628" s="287"/>
      <c r="G1628" s="287"/>
      <c r="H1628" s="280"/>
      <c r="I1628" s="1170" t="s">
        <v>1817</v>
      </c>
      <c r="J1628" s="343" t="e">
        <f>IF(J1627-'I. Stream &amp; Compound Data'!F21&gt;0,J1627-'I. Stream &amp; Compound Data'!F21,0)</f>
        <v>#N/A</v>
      </c>
      <c r="K1628" s="336"/>
      <c r="L1628" s="336"/>
      <c r="M1628" s="336"/>
      <c r="N1628" s="336"/>
      <c r="O1628" s="336"/>
      <c r="P1628" s="336"/>
      <c r="Q1628" s="336"/>
      <c r="R1628" s="336"/>
      <c r="S1628" s="336"/>
      <c r="T1628" s="298"/>
      <c r="U1628" s="299"/>
      <c r="V1628" s="279"/>
      <c r="W1628" s="279"/>
      <c r="X1628" s="279"/>
      <c r="Y1628" s="279"/>
      <c r="Z1628" s="279"/>
      <c r="AA1628" s="279"/>
      <c r="AB1628" s="279"/>
      <c r="AC1628" s="279"/>
      <c r="AD1628" s="279"/>
      <c r="AE1628" s="279"/>
      <c r="AF1628" s="279"/>
      <c r="AG1628" s="279"/>
      <c r="AH1628" s="279"/>
      <c r="AI1628" s="279"/>
      <c r="AJ1628" s="279"/>
      <c r="AK1628" s="279"/>
      <c r="AL1628" s="279"/>
      <c r="AM1628" s="279"/>
      <c r="AN1628" s="279"/>
      <c r="AO1628" s="279"/>
      <c r="AP1628" s="279"/>
      <c r="AQ1628" s="279"/>
      <c r="AR1628" s="279"/>
      <c r="AS1628" s="279"/>
      <c r="AT1628" s="279"/>
      <c r="AU1628" s="279"/>
      <c r="AV1628" s="279"/>
      <c r="AW1628" s="279"/>
      <c r="AX1628" s="279"/>
      <c r="AY1628" s="279"/>
      <c r="AZ1628" s="279"/>
      <c r="BA1628" s="279"/>
      <c r="BB1628" s="279"/>
      <c r="BC1628" s="279"/>
      <c r="BD1628" s="279"/>
      <c r="BE1628" s="279"/>
      <c r="BF1628" s="279"/>
      <c r="BG1628" s="279"/>
      <c r="BH1628" s="279"/>
      <c r="BI1628" s="279"/>
      <c r="BJ1628" s="279"/>
      <c r="BK1628" s="279"/>
      <c r="BL1628" s="279"/>
      <c r="BM1628" s="279"/>
      <c r="BN1628" s="279"/>
      <c r="BO1628" s="279"/>
      <c r="BP1628" s="279"/>
      <c r="BQ1628" s="279"/>
      <c r="BR1628" s="279"/>
      <c r="BS1628" s="279"/>
      <c r="BT1628" s="279"/>
      <c r="BU1628" s="279"/>
      <c r="BV1628" s="279"/>
      <c r="BW1628" s="279"/>
      <c r="BX1628" s="279"/>
      <c r="BY1628" s="279"/>
      <c r="BZ1628" s="279"/>
      <c r="CA1628" s="279"/>
      <c r="CB1628" s="279"/>
      <c r="CC1628" s="279"/>
      <c r="CD1628" s="279"/>
      <c r="CE1628" s="279"/>
      <c r="CF1628" s="279"/>
      <c r="CG1628" s="279"/>
      <c r="CH1628" s="279"/>
      <c r="CI1628" s="279"/>
      <c r="CJ1628" s="279"/>
      <c r="CK1628" s="279"/>
      <c r="CL1628" s="279"/>
      <c r="CM1628" s="279"/>
      <c r="CN1628" s="382"/>
    </row>
    <row r="1629" x14ac:dyDescent="0.25">
      <c r="B1629" s="361"/>
      <c r="C1629" s="279"/>
      <c r="D1629" s="280"/>
      <c r="E1629" s="287"/>
      <c r="F1629" s="287"/>
      <c r="G1629" s="287"/>
      <c r="H1629" s="280"/>
      <c r="I1629" s="1170" t="s">
        <v>1818</v>
      </c>
      <c r="J1629" s="343" t="e">
        <f>J1619</f>
        <v>#N/A</v>
      </c>
      <c r="K1629" s="336"/>
      <c r="L1629" s="336"/>
      <c r="M1629" s="336"/>
      <c r="N1629" s="336"/>
      <c r="O1629" s="336"/>
      <c r="P1629" s="336"/>
      <c r="Q1629" s="336"/>
      <c r="R1629" s="336"/>
      <c r="S1629" s="336"/>
      <c r="T1629" s="298"/>
      <c r="U1629" s="299"/>
      <c r="V1629" s="279"/>
      <c r="W1629" s="279"/>
      <c r="X1629" s="279"/>
      <c r="Y1629" s="279"/>
      <c r="Z1629" s="279"/>
      <c r="AA1629" s="279"/>
      <c r="AB1629" s="279"/>
      <c r="AC1629" s="279"/>
      <c r="AD1629" s="279"/>
      <c r="AE1629" s="279"/>
      <c r="AF1629" s="279"/>
      <c r="AG1629" s="279"/>
      <c r="AH1629" s="279"/>
      <c r="AI1629" s="279"/>
      <c r="AJ1629" s="279"/>
      <c r="AK1629" s="279"/>
      <c r="AL1629" s="279"/>
      <c r="AM1629" s="279"/>
      <c r="AN1629" s="279"/>
      <c r="AO1629" s="279"/>
      <c r="AP1629" s="279"/>
      <c r="AQ1629" s="279"/>
      <c r="AR1629" s="279"/>
      <c r="AS1629" s="279"/>
      <c r="AT1629" s="279"/>
      <c r="AU1629" s="279"/>
      <c r="AV1629" s="279"/>
      <c r="AW1629" s="279"/>
      <c r="AX1629" s="279"/>
      <c r="AY1629" s="279"/>
      <c r="AZ1629" s="279"/>
      <c r="BA1629" s="279"/>
      <c r="BB1629" s="279"/>
      <c r="BC1629" s="279"/>
      <c r="BD1629" s="279"/>
      <c r="BE1629" s="279"/>
      <c r="BF1629" s="279"/>
      <c r="BG1629" s="279"/>
      <c r="BH1629" s="279"/>
      <c r="BI1629" s="279"/>
      <c r="BJ1629" s="279"/>
      <c r="BK1629" s="279"/>
      <c r="BL1629" s="279"/>
      <c r="BM1629" s="279"/>
      <c r="BN1629" s="279"/>
      <c r="BO1629" s="279"/>
      <c r="BP1629" s="279"/>
      <c r="BQ1629" s="279"/>
      <c r="BR1629" s="279"/>
      <c r="BS1629" s="279"/>
      <c r="BT1629" s="279"/>
      <c r="BU1629" s="279"/>
      <c r="BV1629" s="279"/>
      <c r="BW1629" s="279"/>
      <c r="BX1629" s="279"/>
      <c r="BY1629" s="279"/>
      <c r="BZ1629" s="279"/>
      <c r="CA1629" s="279"/>
      <c r="CB1629" s="279"/>
      <c r="CC1629" s="279"/>
      <c r="CD1629" s="279"/>
      <c r="CE1629" s="279"/>
      <c r="CF1629" s="279"/>
      <c r="CG1629" s="279"/>
      <c r="CH1629" s="279"/>
      <c r="CI1629" s="279"/>
      <c r="CJ1629" s="279"/>
      <c r="CK1629" s="279"/>
      <c r="CL1629" s="279"/>
      <c r="CM1629" s="279"/>
      <c r="CN1629" s="382"/>
    </row>
    <row r="1630" x14ac:dyDescent="0.25">
      <c r="B1630" s="361"/>
      <c r="C1630" s="279"/>
      <c r="D1630" s="280"/>
      <c r="E1630" s="287"/>
      <c r="F1630" s="287"/>
      <c r="G1630" s="287"/>
      <c r="H1630" s="280"/>
      <c r="I1630" s="1170" t="s">
        <v>1813</v>
      </c>
      <c r="J1630" s="343">
        <f>'II. Equipment &amp; Cost Data'!E179</f>
        <v>50.8</v>
      </c>
      <c r="K1630" s="336"/>
      <c r="L1630" s="336"/>
      <c r="M1630" s="336"/>
      <c r="N1630" s="336"/>
      <c r="O1630" s="336"/>
      <c r="P1630" s="336"/>
      <c r="Q1630" s="336"/>
      <c r="R1630" s="336"/>
      <c r="S1630" s="336"/>
      <c r="T1630" s="298"/>
      <c r="U1630" s="299"/>
      <c r="V1630" s="279"/>
      <c r="W1630" s="279"/>
      <c r="X1630" s="279"/>
      <c r="Y1630" s="279"/>
      <c r="Z1630" s="279"/>
      <c r="AA1630" s="279"/>
      <c r="AB1630" s="279"/>
      <c r="AC1630" s="279"/>
      <c r="AD1630" s="279"/>
      <c r="AE1630" s="279"/>
      <c r="AF1630" s="279"/>
      <c r="AG1630" s="279"/>
      <c r="AH1630" s="279"/>
      <c r="AI1630" s="279"/>
      <c r="AJ1630" s="279"/>
      <c r="AK1630" s="279"/>
      <c r="AL1630" s="279"/>
      <c r="AM1630" s="279"/>
      <c r="AN1630" s="279"/>
      <c r="AO1630" s="279"/>
      <c r="AP1630" s="279"/>
      <c r="AQ1630" s="279"/>
      <c r="AR1630" s="279"/>
      <c r="AS1630" s="279"/>
      <c r="AT1630" s="279"/>
      <c r="AU1630" s="279"/>
      <c r="AV1630" s="279"/>
      <c r="AW1630" s="279"/>
      <c r="AX1630" s="279"/>
      <c r="AY1630" s="279"/>
      <c r="AZ1630" s="279"/>
      <c r="BA1630" s="279"/>
      <c r="BB1630" s="279"/>
      <c r="BC1630" s="279"/>
      <c r="BD1630" s="279"/>
      <c r="BE1630" s="279"/>
      <c r="BF1630" s="279"/>
      <c r="BG1630" s="279"/>
      <c r="BH1630" s="279"/>
      <c r="BI1630" s="279"/>
      <c r="BJ1630" s="279"/>
      <c r="BK1630" s="279"/>
      <c r="BL1630" s="279"/>
      <c r="BM1630" s="279"/>
      <c r="BN1630" s="279"/>
      <c r="BO1630" s="279"/>
      <c r="BP1630" s="279"/>
      <c r="BQ1630" s="279"/>
      <c r="BR1630" s="279"/>
      <c r="BS1630" s="279"/>
      <c r="BT1630" s="279"/>
      <c r="BU1630" s="279"/>
      <c r="BV1630" s="279"/>
      <c r="BW1630" s="279"/>
      <c r="BX1630" s="279"/>
      <c r="BY1630" s="279"/>
      <c r="BZ1630" s="279"/>
      <c r="CA1630" s="279"/>
      <c r="CB1630" s="279"/>
      <c r="CC1630" s="279"/>
      <c r="CD1630" s="279"/>
      <c r="CE1630" s="279"/>
      <c r="CF1630" s="279"/>
      <c r="CG1630" s="279"/>
      <c r="CH1630" s="279"/>
      <c r="CI1630" s="279"/>
      <c r="CJ1630" s="279"/>
      <c r="CK1630" s="279"/>
      <c r="CL1630" s="279"/>
      <c r="CM1630" s="279"/>
      <c r="CN1630" s="382"/>
    </row>
    <row r="1631" x14ac:dyDescent="0.25">
      <c r="B1631" s="361"/>
      <c r="C1631" s="279"/>
      <c r="D1631" s="280"/>
      <c r="E1631" s="287"/>
      <c r="F1631" s="287"/>
      <c r="G1631" s="287"/>
      <c r="H1631" s="280"/>
      <c r="I1631" s="1170" t="s">
        <v>1806</v>
      </c>
      <c r="J1631" s="343">
        <f>IF('V. Environmental'!J1630&lt;50.8,'V. Environmental'!J1630,IF('V. Environmental'!J1630&gt;101.8,'V. Environmental'!J1630*(0.2)^0.5,50.8))</f>
        <v>50.8</v>
      </c>
      <c r="K1631" s="336"/>
      <c r="L1631" s="336"/>
      <c r="M1631" s="336"/>
      <c r="N1631" s="336"/>
      <c r="O1631" s="336"/>
      <c r="P1631" s="336"/>
      <c r="Q1631" s="336"/>
      <c r="R1631" s="336"/>
      <c r="S1631" s="336"/>
      <c r="T1631" s="298"/>
      <c r="U1631" s="299"/>
      <c r="V1631" s="279"/>
      <c r="W1631" s="279"/>
      <c r="X1631" s="279"/>
      <c r="Y1631" s="279"/>
      <c r="Z1631" s="279"/>
      <c r="AA1631" s="279"/>
      <c r="AB1631" s="279"/>
      <c r="AC1631" s="279"/>
      <c r="AD1631" s="279"/>
      <c r="AE1631" s="279"/>
      <c r="AF1631" s="279"/>
      <c r="AG1631" s="279"/>
      <c r="AH1631" s="279"/>
      <c r="AI1631" s="279"/>
      <c r="AJ1631" s="279"/>
      <c r="AK1631" s="279"/>
      <c r="AL1631" s="279"/>
      <c r="AM1631" s="279"/>
      <c r="AN1631" s="279"/>
      <c r="AO1631" s="279"/>
      <c r="AP1631" s="279"/>
      <c r="AQ1631" s="279"/>
      <c r="AR1631" s="279"/>
      <c r="AS1631" s="279"/>
      <c r="AT1631" s="279"/>
      <c r="AU1631" s="279"/>
      <c r="AV1631" s="279"/>
      <c r="AW1631" s="279"/>
      <c r="AX1631" s="279"/>
      <c r="AY1631" s="279"/>
      <c r="AZ1631" s="279"/>
      <c r="BA1631" s="279"/>
      <c r="BB1631" s="279"/>
      <c r="BC1631" s="279"/>
      <c r="BD1631" s="279"/>
      <c r="BE1631" s="279"/>
      <c r="BF1631" s="279"/>
      <c r="BG1631" s="279"/>
      <c r="BH1631" s="279"/>
      <c r="BI1631" s="279"/>
      <c r="BJ1631" s="279"/>
      <c r="BK1631" s="279"/>
      <c r="BL1631" s="279"/>
      <c r="BM1631" s="279"/>
      <c r="BN1631" s="279"/>
      <c r="BO1631" s="279"/>
      <c r="BP1631" s="279"/>
      <c r="BQ1631" s="279"/>
      <c r="BR1631" s="279"/>
      <c r="BS1631" s="279"/>
      <c r="BT1631" s="279"/>
      <c r="BU1631" s="279"/>
      <c r="BV1631" s="279"/>
      <c r="BW1631" s="279"/>
      <c r="BX1631" s="279"/>
      <c r="BY1631" s="279"/>
      <c r="BZ1631" s="279"/>
      <c r="CA1631" s="279"/>
      <c r="CB1631" s="279"/>
      <c r="CC1631" s="279"/>
      <c r="CD1631" s="279"/>
      <c r="CE1631" s="279"/>
      <c r="CF1631" s="279"/>
      <c r="CG1631" s="279"/>
      <c r="CH1631" s="279"/>
      <c r="CI1631" s="279"/>
      <c r="CJ1631" s="279"/>
      <c r="CK1631" s="279"/>
      <c r="CL1631" s="279"/>
      <c r="CM1631" s="279"/>
      <c r="CN1631" s="382"/>
    </row>
    <row r="1632" x14ac:dyDescent="0.25">
      <c r="B1632" s="361"/>
      <c r="C1632" s="279"/>
      <c r="D1632" s="280"/>
      <c r="E1632" s="287"/>
      <c r="F1632" s="287"/>
      <c r="G1632" s="287"/>
      <c r="H1632" s="280"/>
      <c r="I1632" s="1170" t="s">
        <v>1821</v>
      </c>
      <c r="J1632" s="343">
        <v>1</v>
      </c>
      <c r="K1632" s="336"/>
      <c r="L1632" s="336"/>
      <c r="M1632" s="336"/>
      <c r="N1632" s="336"/>
      <c r="O1632" s="336"/>
      <c r="P1632" s="336"/>
      <c r="Q1632" s="336"/>
      <c r="R1632" s="336"/>
      <c r="S1632" s="336"/>
      <c r="T1632" s="298"/>
      <c r="U1632" s="299"/>
      <c r="V1632" s="279"/>
      <c r="W1632" s="279"/>
      <c r="X1632" s="279"/>
      <c r="Y1632" s="279"/>
      <c r="Z1632" s="279"/>
      <c r="AA1632" s="279"/>
      <c r="AB1632" s="279"/>
      <c r="AC1632" s="279"/>
      <c r="AD1632" s="279"/>
      <c r="AE1632" s="279"/>
      <c r="AF1632" s="279"/>
      <c r="AG1632" s="279"/>
      <c r="AH1632" s="279"/>
      <c r="AI1632" s="279"/>
      <c r="AJ1632" s="279"/>
      <c r="AK1632" s="279"/>
      <c r="AL1632" s="279"/>
      <c r="AM1632" s="279"/>
      <c r="AN1632" s="279"/>
      <c r="AO1632" s="279"/>
      <c r="AP1632" s="279"/>
      <c r="AQ1632" s="279"/>
      <c r="AR1632" s="279"/>
      <c r="AS1632" s="279"/>
      <c r="AT1632" s="279"/>
      <c r="AU1632" s="279"/>
      <c r="AV1632" s="279"/>
      <c r="AW1632" s="279"/>
      <c r="AX1632" s="279"/>
      <c r="AY1632" s="279"/>
      <c r="AZ1632" s="279"/>
      <c r="BA1632" s="279"/>
      <c r="BB1632" s="279"/>
      <c r="BC1632" s="279"/>
      <c r="BD1632" s="279"/>
      <c r="BE1632" s="279"/>
      <c r="BF1632" s="279"/>
      <c r="BG1632" s="279"/>
      <c r="BH1632" s="279"/>
      <c r="BI1632" s="279"/>
      <c r="BJ1632" s="279"/>
      <c r="BK1632" s="279"/>
      <c r="BL1632" s="279"/>
      <c r="BM1632" s="279"/>
      <c r="BN1632" s="279"/>
      <c r="BO1632" s="279"/>
      <c r="BP1632" s="279"/>
      <c r="BQ1632" s="279"/>
      <c r="BR1632" s="279"/>
      <c r="BS1632" s="279"/>
      <c r="BT1632" s="279"/>
      <c r="BU1632" s="279"/>
      <c r="BV1632" s="279"/>
      <c r="BW1632" s="279"/>
      <c r="BX1632" s="279"/>
      <c r="BY1632" s="279"/>
      <c r="BZ1632" s="279"/>
      <c r="CA1632" s="279"/>
      <c r="CB1632" s="279"/>
      <c r="CC1632" s="279"/>
      <c r="CD1632" s="279"/>
      <c r="CE1632" s="279"/>
      <c r="CF1632" s="279"/>
      <c r="CG1632" s="279"/>
      <c r="CH1632" s="279"/>
      <c r="CI1632" s="279"/>
      <c r="CJ1632" s="279"/>
      <c r="CK1632" s="279"/>
      <c r="CL1632" s="279"/>
      <c r="CM1632" s="279"/>
      <c r="CN1632" s="382"/>
    </row>
    <row r="1633" x14ac:dyDescent="0.25">
      <c r="B1633" s="361"/>
      <c r="C1633" s="279"/>
      <c r="D1633" s="280"/>
      <c r="E1633" s="287"/>
      <c r="F1633" s="287"/>
      <c r="G1633" s="287"/>
      <c r="H1633" s="280"/>
      <c r="I1633" s="1170" t="s">
        <v>1807</v>
      </c>
      <c r="J1633" s="1265" t="str">
        <f>IF('II. Equipment &amp; Cost Data'!E180="","",'II. Equipment &amp; Cost Data'!E180)</f>
        <v/>
      </c>
      <c r="K1633" s="336"/>
      <c r="L1633" s="336"/>
      <c r="M1633" s="336"/>
      <c r="N1633" s="336"/>
      <c r="O1633" s="336"/>
      <c r="P1633" s="336"/>
      <c r="Q1633" s="336"/>
      <c r="R1633" s="336"/>
      <c r="S1633" s="336"/>
      <c r="T1633" s="298"/>
      <c r="U1633" s="299"/>
      <c r="V1633" s="279"/>
      <c r="W1633" s="279"/>
      <c r="X1633" s="279"/>
      <c r="Y1633" s="279"/>
      <c r="Z1633" s="279"/>
      <c r="AA1633" s="279"/>
      <c r="AB1633" s="279"/>
      <c r="AC1633" s="279"/>
      <c r="AD1633" s="279"/>
      <c r="AE1633" s="279"/>
      <c r="AF1633" s="279"/>
      <c r="AG1633" s="279"/>
      <c r="AH1633" s="279"/>
      <c r="AI1633" s="279"/>
      <c r="AJ1633" s="279"/>
      <c r="AK1633" s="279"/>
      <c r="AL1633" s="279"/>
      <c r="AM1633" s="279"/>
      <c r="AN1633" s="279"/>
      <c r="AO1633" s="279"/>
      <c r="AP1633" s="279"/>
      <c r="AQ1633" s="279"/>
      <c r="AR1633" s="279"/>
      <c r="AS1633" s="279"/>
      <c r="AT1633" s="279"/>
      <c r="AU1633" s="279"/>
      <c r="AV1633" s="279"/>
      <c r="AW1633" s="279"/>
      <c r="AX1633" s="279"/>
      <c r="AY1633" s="279"/>
      <c r="AZ1633" s="279"/>
      <c r="BA1633" s="279"/>
      <c r="BB1633" s="279"/>
      <c r="BC1633" s="279"/>
      <c r="BD1633" s="279"/>
      <c r="BE1633" s="279"/>
      <c r="BF1633" s="279"/>
      <c r="BG1633" s="279"/>
      <c r="BH1633" s="279"/>
      <c r="BI1633" s="279"/>
      <c r="BJ1633" s="279"/>
      <c r="BK1633" s="279"/>
      <c r="BL1633" s="279"/>
      <c r="BM1633" s="279"/>
      <c r="BN1633" s="279"/>
      <c r="BO1633" s="279"/>
      <c r="BP1633" s="279"/>
      <c r="BQ1633" s="279"/>
      <c r="BR1633" s="279"/>
      <c r="BS1633" s="279"/>
      <c r="BT1633" s="279"/>
      <c r="BU1633" s="279"/>
      <c r="BV1633" s="279"/>
      <c r="BW1633" s="279"/>
      <c r="BX1633" s="279"/>
      <c r="BY1633" s="279"/>
      <c r="BZ1633" s="279"/>
      <c r="CA1633" s="279"/>
      <c r="CB1633" s="279"/>
      <c r="CC1633" s="279"/>
      <c r="CD1633" s="279"/>
      <c r="CE1633" s="279"/>
      <c r="CF1633" s="279"/>
      <c r="CG1633" s="279"/>
      <c r="CH1633" s="279"/>
      <c r="CI1633" s="279"/>
      <c r="CJ1633" s="279"/>
      <c r="CK1633" s="279"/>
      <c r="CL1633" s="279"/>
      <c r="CM1633" s="279"/>
      <c r="CN1633" s="382"/>
    </row>
    <row r="1634" ht="16.2" thickBot="true" x14ac:dyDescent="0.3">
      <c r="B1634" s="361"/>
      <c r="C1634" s="279"/>
      <c r="D1634" s="280"/>
      <c r="E1634" s="287"/>
      <c r="F1634" s="287"/>
      <c r="G1634" s="287"/>
      <c r="H1634" s="280"/>
      <c r="I1634" s="344" t="s">
        <v>1808</v>
      </c>
      <c r="J1634" s="1266" t="str">
        <f>IF('II. Equipment &amp; Cost Data'!E181="","",'II. Equipment &amp; Cost Data'!E181)</f>
        <v> </v>
      </c>
      <c r="K1634" s="336"/>
      <c r="L1634" s="336"/>
      <c r="M1634" s="336"/>
      <c r="N1634" s="336"/>
      <c r="O1634" s="336"/>
      <c r="P1634" s="336"/>
      <c r="Q1634" s="336"/>
      <c r="R1634" s="336"/>
      <c r="S1634" s="336"/>
      <c r="T1634" s="298"/>
      <c r="U1634" s="299"/>
      <c r="V1634" s="279"/>
      <c r="W1634" s="279"/>
      <c r="X1634" s="279"/>
      <c r="Y1634" s="279"/>
      <c r="Z1634" s="279"/>
      <c r="AA1634" s="279"/>
      <c r="AB1634" s="279"/>
      <c r="AC1634" s="279"/>
      <c r="AD1634" s="279"/>
      <c r="AE1634" s="279"/>
      <c r="AF1634" s="279"/>
      <c r="AG1634" s="279"/>
      <c r="AH1634" s="279"/>
      <c r="AI1634" s="279"/>
      <c r="AJ1634" s="279"/>
      <c r="AK1634" s="279"/>
      <c r="AL1634" s="279"/>
      <c r="AM1634" s="279"/>
      <c r="AN1634" s="279"/>
      <c r="AO1634" s="279"/>
      <c r="AP1634" s="279"/>
      <c r="AQ1634" s="279"/>
      <c r="AR1634" s="279"/>
      <c r="AS1634" s="279"/>
      <c r="AT1634" s="279"/>
      <c r="AU1634" s="279"/>
      <c r="AV1634" s="279"/>
      <c r="AW1634" s="279"/>
      <c r="AX1634" s="279"/>
      <c r="AY1634" s="279"/>
      <c r="AZ1634" s="279"/>
      <c r="BA1634" s="279"/>
      <c r="BB1634" s="279"/>
      <c r="BC1634" s="279"/>
      <c r="BD1634" s="279"/>
      <c r="BE1634" s="279"/>
      <c r="BF1634" s="279"/>
      <c r="BG1634" s="279"/>
      <c r="BH1634" s="279"/>
      <c r="BI1634" s="279"/>
      <c r="BJ1634" s="279"/>
      <c r="BK1634" s="279"/>
      <c r="BL1634" s="279"/>
      <c r="BM1634" s="279"/>
      <c r="BN1634" s="279"/>
      <c r="BO1634" s="279"/>
      <c r="BP1634" s="279"/>
      <c r="BQ1634" s="279"/>
      <c r="BR1634" s="279"/>
      <c r="BS1634" s="279"/>
      <c r="BT1634" s="279"/>
      <c r="BU1634" s="279"/>
      <c r="BV1634" s="279"/>
      <c r="BW1634" s="279"/>
      <c r="BX1634" s="279"/>
      <c r="BY1634" s="279"/>
      <c r="BZ1634" s="279"/>
      <c r="CA1634" s="279"/>
      <c r="CB1634" s="279"/>
      <c r="CC1634" s="279"/>
      <c r="CD1634" s="279"/>
      <c r="CE1634" s="279"/>
      <c r="CF1634" s="279"/>
      <c r="CG1634" s="279"/>
      <c r="CH1634" s="279"/>
      <c r="CI1634" s="279"/>
      <c r="CJ1634" s="279"/>
      <c r="CK1634" s="279"/>
      <c r="CL1634" s="279"/>
      <c r="CM1634" s="279"/>
      <c r="CN1634" s="382"/>
    </row>
    <row r="1635" x14ac:dyDescent="0.25">
      <c r="B1635" s="361"/>
      <c r="C1635" s="279"/>
      <c r="D1635" s="280"/>
      <c r="E1635" s="287"/>
      <c r="F1635" s="287"/>
      <c r="G1635" s="287"/>
      <c r="H1635" s="280"/>
      <c r="I1635" s="336"/>
      <c r="J1635" s="336"/>
      <c r="K1635" s="336"/>
      <c r="L1635" s="336"/>
      <c r="M1635" s="336"/>
      <c r="N1635" s="336"/>
      <c r="O1635" s="336"/>
      <c r="P1635" s="336"/>
      <c r="Q1635" s="336"/>
      <c r="R1635" s="336"/>
      <c r="S1635" s="336"/>
      <c r="T1635" s="298"/>
      <c r="U1635" s="299"/>
      <c r="V1635" s="279"/>
      <c r="W1635" s="279"/>
      <c r="X1635" s="279"/>
      <c r="Y1635" s="279"/>
      <c r="Z1635" s="279"/>
      <c r="AA1635" s="279"/>
      <c r="AB1635" s="279"/>
      <c r="AC1635" s="279"/>
      <c r="AD1635" s="279"/>
      <c r="AE1635" s="279"/>
      <c r="AF1635" s="279"/>
      <c r="AG1635" s="279"/>
      <c r="AH1635" s="279"/>
      <c r="AI1635" s="279"/>
      <c r="AJ1635" s="279"/>
      <c r="AK1635" s="279"/>
      <c r="AL1635" s="279"/>
      <c r="AM1635" s="279"/>
      <c r="AN1635" s="279"/>
      <c r="AO1635" s="279"/>
      <c r="AP1635" s="279"/>
      <c r="AQ1635" s="279"/>
      <c r="AR1635" s="279"/>
      <c r="AS1635" s="279"/>
      <c r="AT1635" s="279"/>
      <c r="AU1635" s="279"/>
      <c r="AV1635" s="279"/>
      <c r="AW1635" s="279"/>
      <c r="AX1635" s="279"/>
      <c r="AY1635" s="279"/>
      <c r="AZ1635" s="279"/>
      <c r="BA1635" s="279"/>
      <c r="BB1635" s="279"/>
      <c r="BC1635" s="279"/>
      <c r="BD1635" s="279"/>
      <c r="BE1635" s="279"/>
      <c r="BF1635" s="279"/>
      <c r="BG1635" s="279"/>
      <c r="BH1635" s="279"/>
      <c r="BI1635" s="279"/>
      <c r="BJ1635" s="279"/>
      <c r="BK1635" s="279"/>
      <c r="BL1635" s="279"/>
      <c r="BM1635" s="279"/>
      <c r="BN1635" s="279"/>
      <c r="BO1635" s="279"/>
      <c r="BP1635" s="279"/>
      <c r="BQ1635" s="279"/>
      <c r="BR1635" s="279"/>
      <c r="BS1635" s="279"/>
      <c r="BT1635" s="279"/>
      <c r="BU1635" s="279"/>
      <c r="BV1635" s="279"/>
      <c r="BW1635" s="279"/>
      <c r="BX1635" s="279"/>
      <c r="BY1635" s="279"/>
      <c r="BZ1635" s="279"/>
      <c r="CA1635" s="279"/>
      <c r="CB1635" s="279"/>
      <c r="CC1635" s="279"/>
      <c r="CD1635" s="279"/>
      <c r="CE1635" s="279"/>
      <c r="CF1635" s="279"/>
      <c r="CG1635" s="279"/>
      <c r="CH1635" s="279"/>
      <c r="CI1635" s="279"/>
      <c r="CJ1635" s="279"/>
      <c r="CK1635" s="279"/>
      <c r="CL1635" s="279"/>
      <c r="CM1635" s="279"/>
      <c r="CN1635" s="382"/>
    </row>
    <row r="1636" x14ac:dyDescent="0.25">
      <c r="B1636" s="361"/>
      <c r="C1636" s="279"/>
      <c r="D1636" s="280"/>
      <c r="E1636" s="287"/>
      <c r="F1636" s="287"/>
      <c r="G1636" s="287"/>
      <c r="H1636" s="280"/>
      <c r="I1636" s="337" t="s">
        <v>211</v>
      </c>
      <c r="J1636" s="336"/>
      <c r="K1636" s="336"/>
      <c r="L1636" s="336"/>
      <c r="M1636" s="336"/>
      <c r="N1636" s="336"/>
      <c r="O1636" s="336"/>
      <c r="P1636" s="336"/>
      <c r="Q1636" s="336"/>
      <c r="R1636" s="336"/>
      <c r="S1636" s="336"/>
      <c r="T1636" s="298"/>
      <c r="U1636" s="299"/>
      <c r="V1636" s="279"/>
      <c r="W1636" s="279"/>
      <c r="X1636" s="279"/>
      <c r="Y1636" s="279"/>
      <c r="Z1636" s="279"/>
      <c r="AA1636" s="279"/>
      <c r="AB1636" s="279"/>
      <c r="AC1636" s="279"/>
      <c r="AD1636" s="279"/>
      <c r="AE1636" s="279"/>
      <c r="AF1636" s="279"/>
      <c r="AG1636" s="279"/>
      <c r="AH1636" s="279"/>
      <c r="AI1636" s="279"/>
      <c r="AJ1636" s="279"/>
      <c r="AK1636" s="279"/>
      <c r="AL1636" s="279"/>
      <c r="AM1636" s="279"/>
      <c r="AN1636" s="279"/>
      <c r="AO1636" s="279"/>
      <c r="AP1636" s="279"/>
      <c r="AQ1636" s="279"/>
      <c r="AR1636" s="279"/>
      <c r="AS1636" s="279"/>
      <c r="AT1636" s="279"/>
      <c r="AU1636" s="279"/>
      <c r="AV1636" s="279"/>
      <c r="AW1636" s="279"/>
      <c r="AX1636" s="279"/>
      <c r="AY1636" s="279"/>
      <c r="AZ1636" s="279"/>
      <c r="BA1636" s="279"/>
      <c r="BB1636" s="279"/>
      <c r="BC1636" s="279"/>
      <c r="BD1636" s="279"/>
      <c r="BE1636" s="279"/>
      <c r="BF1636" s="279"/>
      <c r="BG1636" s="279"/>
      <c r="BH1636" s="279"/>
      <c r="BI1636" s="279"/>
      <c r="BJ1636" s="279"/>
      <c r="BK1636" s="279"/>
      <c r="BL1636" s="279"/>
      <c r="BM1636" s="279"/>
      <c r="BN1636" s="279"/>
      <c r="BO1636" s="279"/>
      <c r="BP1636" s="279"/>
      <c r="BQ1636" s="279"/>
      <c r="BR1636" s="279"/>
      <c r="BS1636" s="279"/>
      <c r="BT1636" s="279"/>
      <c r="BU1636" s="279"/>
      <c r="BV1636" s="279"/>
      <c r="BW1636" s="279"/>
      <c r="BX1636" s="279"/>
      <c r="BY1636" s="279"/>
      <c r="BZ1636" s="279"/>
      <c r="CA1636" s="279"/>
      <c r="CB1636" s="279"/>
      <c r="CC1636" s="279"/>
      <c r="CD1636" s="279"/>
      <c r="CE1636" s="279"/>
      <c r="CF1636" s="279"/>
      <c r="CG1636" s="279"/>
      <c r="CH1636" s="279"/>
      <c r="CI1636" s="279"/>
      <c r="CJ1636" s="279"/>
      <c r="CK1636" s="279"/>
      <c r="CL1636" s="279"/>
      <c r="CM1636" s="279"/>
      <c r="CN1636" s="382"/>
    </row>
    <row r="1637" ht="16.2" thickBot="true" x14ac:dyDescent="0.3">
      <c r="B1637" s="361"/>
      <c r="C1637" s="279"/>
      <c r="D1637" s="280"/>
      <c r="E1637" s="287"/>
      <c r="F1637" s="287"/>
      <c r="G1637" s="287"/>
      <c r="H1637" s="280"/>
      <c r="I1637" s="336"/>
      <c r="J1637" s="336"/>
      <c r="K1637" s="336"/>
      <c r="L1637" s="336"/>
      <c r="M1637" s="336"/>
      <c r="N1637" s="336"/>
      <c r="O1637" s="336"/>
      <c r="P1637" s="336"/>
      <c r="Q1637" s="336"/>
      <c r="R1637" s="336"/>
      <c r="S1637" s="336"/>
      <c r="T1637" s="298"/>
      <c r="U1637" s="299"/>
      <c r="V1637" s="279"/>
      <c r="W1637" s="279"/>
      <c r="X1637" s="279"/>
      <c r="Y1637" s="279"/>
      <c r="Z1637" s="279"/>
      <c r="AA1637" s="279"/>
      <c r="AB1637" s="279"/>
      <c r="AC1637" s="279"/>
      <c r="AD1637" s="279"/>
      <c r="AE1637" s="279"/>
      <c r="AF1637" s="279"/>
      <c r="AG1637" s="279"/>
      <c r="AH1637" s="279"/>
      <c r="AI1637" s="279"/>
      <c r="AJ1637" s="279"/>
      <c r="AK1637" s="279"/>
      <c r="AL1637" s="279"/>
      <c r="AM1637" s="279"/>
      <c r="AN1637" s="279"/>
      <c r="AO1637" s="279"/>
      <c r="AP1637" s="279"/>
      <c r="AQ1637" s="279"/>
      <c r="AR1637" s="279"/>
      <c r="AS1637" s="279"/>
      <c r="AT1637" s="279"/>
      <c r="AU1637" s="279"/>
      <c r="AV1637" s="279"/>
      <c r="AW1637" s="279"/>
      <c r="AX1637" s="279"/>
      <c r="AY1637" s="279"/>
      <c r="AZ1637" s="279"/>
      <c r="BA1637" s="279"/>
      <c r="BB1637" s="279"/>
      <c r="BC1637" s="279"/>
      <c r="BD1637" s="279"/>
      <c r="BE1637" s="279"/>
      <c r="BF1637" s="279"/>
      <c r="BG1637" s="279"/>
      <c r="BH1637" s="279"/>
      <c r="BI1637" s="279"/>
      <c r="BJ1637" s="279"/>
      <c r="BK1637" s="279"/>
      <c r="BL1637" s="279"/>
      <c r="BM1637" s="279"/>
      <c r="BN1637" s="279"/>
      <c r="BO1637" s="279"/>
      <c r="BP1637" s="279"/>
      <c r="BQ1637" s="279"/>
      <c r="BR1637" s="279"/>
      <c r="BS1637" s="279"/>
      <c r="BT1637" s="279"/>
      <c r="BU1637" s="279"/>
      <c r="BV1637" s="279"/>
      <c r="BW1637" s="279"/>
      <c r="BX1637" s="279"/>
      <c r="BY1637" s="279"/>
      <c r="BZ1637" s="279"/>
      <c r="CA1637" s="279"/>
      <c r="CB1637" s="279"/>
      <c r="CC1637" s="279"/>
      <c r="CD1637" s="279"/>
      <c r="CE1637" s="279"/>
      <c r="CF1637" s="279"/>
      <c r="CG1637" s="279"/>
      <c r="CH1637" s="279"/>
      <c r="CI1637" s="279"/>
      <c r="CJ1637" s="279"/>
      <c r="CK1637" s="279"/>
      <c r="CL1637" s="279"/>
      <c r="CM1637" s="279"/>
      <c r="CN1637" s="382"/>
    </row>
    <row r="1638" x14ac:dyDescent="0.25">
      <c r="B1638" s="361"/>
      <c r="C1638" s="279"/>
      <c r="D1638" s="280"/>
      <c r="E1638" s="287"/>
      <c r="F1638" s="287"/>
      <c r="G1638" s="287"/>
      <c r="H1638" s="280"/>
      <c r="I1638" s="345" t="s">
        <v>212</v>
      </c>
      <c r="J1638" s="1334" t="e">
        <f>((10)^-6)*4.751*((J1631)^2*J1627*(J1620/(J1629+273))^0.5)</f>
        <v>#N/A</v>
      </c>
      <c r="K1638" s="342" t="s">
        <v>213</v>
      </c>
      <c r="L1638" s="336" t="s">
        <v>214</v>
      </c>
      <c r="M1638" s="336"/>
      <c r="N1638" s="336"/>
      <c r="O1638" s="336"/>
      <c r="P1638" s="336"/>
      <c r="Q1638" s="336"/>
      <c r="R1638" s="336"/>
      <c r="S1638" s="336"/>
      <c r="T1638" s="298"/>
      <c r="U1638" s="299"/>
      <c r="V1638" s="279"/>
      <c r="W1638" s="279"/>
      <c r="X1638" s="279"/>
      <c r="Y1638" s="279"/>
      <c r="Z1638" s="279"/>
      <c r="AA1638" s="279"/>
      <c r="AB1638" s="279"/>
      <c r="AC1638" s="279"/>
      <c r="AD1638" s="279"/>
      <c r="AE1638" s="279"/>
      <c r="AF1638" s="279"/>
      <c r="AG1638" s="279"/>
      <c r="AH1638" s="279"/>
      <c r="AI1638" s="279"/>
      <c r="AJ1638" s="279"/>
      <c r="AK1638" s="279"/>
      <c r="AL1638" s="279"/>
      <c r="AM1638" s="279"/>
      <c r="AN1638" s="279"/>
      <c r="AO1638" s="279"/>
      <c r="AP1638" s="279"/>
      <c r="AQ1638" s="279"/>
      <c r="AR1638" s="279"/>
      <c r="AS1638" s="279"/>
      <c r="AT1638" s="279"/>
      <c r="AU1638" s="279"/>
      <c r="AV1638" s="279"/>
      <c r="AW1638" s="279"/>
      <c r="AX1638" s="279"/>
      <c r="AY1638" s="279"/>
      <c r="AZ1638" s="279"/>
      <c r="BA1638" s="279"/>
      <c r="BB1638" s="279"/>
      <c r="BC1638" s="279"/>
      <c r="BD1638" s="279"/>
      <c r="BE1638" s="279"/>
      <c r="BF1638" s="279"/>
      <c r="BG1638" s="279"/>
      <c r="BH1638" s="279"/>
      <c r="BI1638" s="279"/>
      <c r="BJ1638" s="279"/>
      <c r="BK1638" s="279"/>
      <c r="BL1638" s="279"/>
      <c r="BM1638" s="279"/>
      <c r="BN1638" s="279"/>
      <c r="BO1638" s="279"/>
      <c r="BP1638" s="279"/>
      <c r="BQ1638" s="279"/>
      <c r="BR1638" s="279"/>
      <c r="BS1638" s="279"/>
      <c r="BT1638" s="279"/>
      <c r="BU1638" s="279"/>
      <c r="BV1638" s="279"/>
      <c r="BW1638" s="279"/>
      <c r="BX1638" s="279"/>
      <c r="BY1638" s="279"/>
      <c r="BZ1638" s="279"/>
      <c r="CA1638" s="279"/>
      <c r="CB1638" s="279"/>
      <c r="CC1638" s="279"/>
      <c r="CD1638" s="279"/>
      <c r="CE1638" s="279"/>
      <c r="CF1638" s="279"/>
      <c r="CG1638" s="279"/>
      <c r="CH1638" s="279"/>
      <c r="CI1638" s="279"/>
      <c r="CJ1638" s="279"/>
      <c r="CK1638" s="279"/>
      <c r="CL1638" s="279"/>
      <c r="CM1638" s="279"/>
      <c r="CN1638" s="382"/>
    </row>
    <row r="1639" x14ac:dyDescent="0.25">
      <c r="B1639" s="361"/>
      <c r="C1639" s="279"/>
      <c r="D1639" s="280"/>
      <c r="E1639" s="287"/>
      <c r="F1639" s="287"/>
      <c r="G1639" s="287"/>
      <c r="H1639" s="280"/>
      <c r="I1639" s="346" t="s">
        <v>215</v>
      </c>
      <c r="J1639" s="1326" t="e">
        <f>IF((MAX(J1617:J1617)/J1638)&lt;300,J1617/300,J1638)</f>
        <v>#N/A</v>
      </c>
      <c r="K1639" s="343" t="s">
        <v>213</v>
      </c>
      <c r="L1639" s="336" t="s">
        <v>216</v>
      </c>
      <c r="M1639" s="336"/>
      <c r="N1639" s="336"/>
      <c r="O1639" s="336"/>
      <c r="P1639" s="336"/>
      <c r="Q1639" s="336"/>
      <c r="R1639" s="336"/>
      <c r="S1639" s="336"/>
      <c r="T1639" s="298"/>
      <c r="U1639" s="299"/>
      <c r="V1639" s="279"/>
      <c r="W1639" s="279"/>
      <c r="X1639" s="279"/>
      <c r="Y1639" s="279"/>
      <c r="Z1639" s="279"/>
      <c r="AA1639" s="279"/>
      <c r="AB1639" s="279"/>
      <c r="AC1639" s="279"/>
      <c r="AD1639" s="279"/>
      <c r="AE1639" s="279"/>
      <c r="AF1639" s="279"/>
      <c r="AG1639" s="279"/>
      <c r="AH1639" s="279"/>
      <c r="AI1639" s="279"/>
      <c r="AJ1639" s="279"/>
      <c r="AK1639" s="279"/>
      <c r="AL1639" s="279"/>
      <c r="AM1639" s="279"/>
      <c r="AN1639" s="279"/>
      <c r="AO1639" s="279"/>
      <c r="AP1639" s="279"/>
      <c r="AQ1639" s="279"/>
      <c r="AR1639" s="279"/>
      <c r="AS1639" s="279"/>
      <c r="AT1639" s="279"/>
      <c r="AU1639" s="279"/>
      <c r="AV1639" s="279"/>
      <c r="AW1639" s="279"/>
      <c r="AX1639" s="279"/>
      <c r="AY1639" s="279"/>
      <c r="AZ1639" s="279"/>
      <c r="BA1639" s="279"/>
      <c r="BB1639" s="279"/>
      <c r="BC1639" s="279"/>
      <c r="BD1639" s="279"/>
      <c r="BE1639" s="279"/>
      <c r="BF1639" s="279"/>
      <c r="BG1639" s="279"/>
      <c r="BH1639" s="279"/>
      <c r="BI1639" s="279"/>
      <c r="BJ1639" s="279"/>
      <c r="BK1639" s="279"/>
      <c r="BL1639" s="279"/>
      <c r="BM1639" s="279"/>
      <c r="BN1639" s="279"/>
      <c r="BO1639" s="279"/>
      <c r="BP1639" s="279"/>
      <c r="BQ1639" s="279"/>
      <c r="BR1639" s="279"/>
      <c r="BS1639" s="279"/>
      <c r="BT1639" s="279"/>
      <c r="BU1639" s="279"/>
      <c r="BV1639" s="279"/>
      <c r="BW1639" s="279"/>
      <c r="BX1639" s="279"/>
      <c r="BY1639" s="279"/>
      <c r="BZ1639" s="279"/>
      <c r="CA1639" s="279"/>
      <c r="CB1639" s="279"/>
      <c r="CC1639" s="279"/>
      <c r="CD1639" s="279"/>
      <c r="CE1639" s="279"/>
      <c r="CF1639" s="279"/>
      <c r="CG1639" s="279"/>
      <c r="CH1639" s="279"/>
      <c r="CI1639" s="279"/>
      <c r="CJ1639" s="279"/>
      <c r="CK1639" s="279"/>
      <c r="CL1639" s="279"/>
      <c r="CM1639" s="279"/>
      <c r="CN1639" s="382"/>
    </row>
    <row r="1640" ht="26.4" x14ac:dyDescent="0.25">
      <c r="B1640" s="361"/>
      <c r="C1640" s="279"/>
      <c r="D1640" s="280"/>
      <c r="E1640" s="287"/>
      <c r="F1640" s="287"/>
      <c r="G1640" s="287"/>
      <c r="H1640" s="280"/>
      <c r="I1640" s="347" t="s">
        <v>106</v>
      </c>
      <c r="J1640" s="1335" t="e">
        <f>655.1*(MIN(J1638:J1639)/J1614)^0.5</f>
        <v>#N/A</v>
      </c>
      <c r="K1640" s="1336" t="e">
        <f>IF(J1640&gt;1000,"&gt;1000",J1640)</f>
        <v>#N/A</v>
      </c>
      <c r="L1640" s="348" t="s">
        <v>215</v>
      </c>
      <c r="M1640" s="336"/>
      <c r="N1640" s="336"/>
      <c r="O1640" s="336"/>
      <c r="P1640" s="336"/>
      <c r="Q1640" s="336"/>
      <c r="R1640" s="336"/>
      <c r="S1640" s="348"/>
      <c r="T1640" s="298"/>
      <c r="U1640" s="299"/>
      <c r="V1640" s="279"/>
      <c r="W1640" s="279"/>
      <c r="X1640" s="279"/>
      <c r="Y1640" s="279"/>
      <c r="Z1640" s="279"/>
      <c r="AA1640" s="279"/>
      <c r="AB1640" s="279"/>
      <c r="AC1640" s="279"/>
      <c r="AD1640" s="279"/>
      <c r="AE1640" s="279"/>
      <c r="AF1640" s="279"/>
      <c r="AG1640" s="279"/>
      <c r="AH1640" s="279"/>
      <c r="AI1640" s="279"/>
      <c r="AJ1640" s="279"/>
      <c r="AK1640" s="279"/>
      <c r="AL1640" s="279"/>
      <c r="AM1640" s="279"/>
      <c r="AN1640" s="279"/>
      <c r="AO1640" s="279"/>
      <c r="AP1640" s="279"/>
      <c r="AQ1640" s="279"/>
      <c r="AR1640" s="279"/>
      <c r="AS1640" s="279"/>
      <c r="AT1640" s="279"/>
      <c r="AU1640" s="279"/>
      <c r="AV1640" s="279"/>
      <c r="AW1640" s="279"/>
      <c r="AX1640" s="279"/>
      <c r="AY1640" s="279"/>
      <c r="AZ1640" s="279"/>
      <c r="BA1640" s="279"/>
      <c r="BB1640" s="279"/>
      <c r="BC1640" s="279"/>
      <c r="BD1640" s="279"/>
      <c r="BE1640" s="279"/>
      <c r="BF1640" s="279"/>
      <c r="BG1640" s="279"/>
      <c r="BH1640" s="279"/>
      <c r="BI1640" s="279"/>
      <c r="BJ1640" s="279"/>
      <c r="BK1640" s="279"/>
      <c r="BL1640" s="279"/>
      <c r="BM1640" s="279"/>
      <c r="BN1640" s="279"/>
      <c r="BO1640" s="279"/>
      <c r="BP1640" s="279"/>
      <c r="BQ1640" s="279"/>
      <c r="BR1640" s="279"/>
      <c r="BS1640" s="279"/>
      <c r="BT1640" s="279"/>
      <c r="BU1640" s="279"/>
      <c r="BV1640" s="279"/>
      <c r="BW1640" s="279"/>
      <c r="BX1640" s="279"/>
      <c r="BY1640" s="279"/>
      <c r="BZ1640" s="279"/>
      <c r="CA1640" s="279"/>
      <c r="CB1640" s="279"/>
      <c r="CC1640" s="279"/>
      <c r="CD1640" s="279"/>
      <c r="CE1640" s="279"/>
      <c r="CF1640" s="279"/>
      <c r="CG1640" s="279"/>
      <c r="CH1640" s="279"/>
      <c r="CI1640" s="279"/>
      <c r="CJ1640" s="279"/>
      <c r="CK1640" s="279"/>
      <c r="CL1640" s="279"/>
      <c r="CM1640" s="279"/>
      <c r="CN1640" s="382"/>
    </row>
    <row r="1641" x14ac:dyDescent="0.25">
      <c r="B1641" s="361"/>
      <c r="C1641" s="279"/>
      <c r="D1641" s="280"/>
      <c r="E1641" s="287"/>
      <c r="F1641" s="287"/>
      <c r="G1641" s="287"/>
      <c r="H1641" s="280"/>
      <c r="I1641" s="347" t="s">
        <v>217</v>
      </c>
      <c r="J1641" s="1335" t="e">
        <f>10*J1640</f>
        <v>#N/A</v>
      </c>
      <c r="K1641" s="343" t="s">
        <v>218</v>
      </c>
      <c r="L1641" s="336"/>
      <c r="M1641" s="336"/>
      <c r="N1641" s="336"/>
      <c r="O1641" s="336"/>
      <c r="P1641" s="336"/>
      <c r="Q1641" s="336"/>
      <c r="R1641" s="336"/>
      <c r="S1641" s="336"/>
      <c r="T1641" s="298"/>
      <c r="U1641" s="299"/>
      <c r="V1641" s="279"/>
      <c r="W1641" s="279"/>
      <c r="X1641" s="279"/>
      <c r="Y1641" s="279"/>
      <c r="Z1641" s="279"/>
      <c r="AA1641" s="279"/>
      <c r="AB1641" s="279"/>
      <c r="AC1641" s="279"/>
      <c r="AD1641" s="279"/>
      <c r="AE1641" s="279"/>
      <c r="AF1641" s="279"/>
      <c r="AG1641" s="279"/>
      <c r="AH1641" s="279"/>
      <c r="AI1641" s="279"/>
      <c r="AJ1641" s="279"/>
      <c r="AK1641" s="279"/>
      <c r="AL1641" s="279"/>
      <c r="AM1641" s="279"/>
      <c r="AN1641" s="279"/>
      <c r="AO1641" s="279"/>
      <c r="AP1641" s="279"/>
      <c r="AQ1641" s="279"/>
      <c r="AR1641" s="279"/>
      <c r="AS1641" s="279"/>
      <c r="AT1641" s="279"/>
      <c r="AU1641" s="279"/>
      <c r="AV1641" s="279"/>
      <c r="AW1641" s="279"/>
      <c r="AX1641" s="279"/>
      <c r="AY1641" s="279"/>
      <c r="AZ1641" s="279"/>
      <c r="BA1641" s="279"/>
      <c r="BB1641" s="279"/>
      <c r="BC1641" s="279"/>
      <c r="BD1641" s="279"/>
      <c r="BE1641" s="279"/>
      <c r="BF1641" s="279"/>
      <c r="BG1641" s="279"/>
      <c r="BH1641" s="279"/>
      <c r="BI1641" s="279"/>
      <c r="BJ1641" s="279"/>
      <c r="BK1641" s="279"/>
      <c r="BL1641" s="279"/>
      <c r="BM1641" s="279"/>
      <c r="BN1641" s="279"/>
      <c r="BO1641" s="279"/>
      <c r="BP1641" s="279"/>
      <c r="BQ1641" s="279"/>
      <c r="BR1641" s="279"/>
      <c r="BS1641" s="279"/>
      <c r="BT1641" s="279"/>
      <c r="BU1641" s="279"/>
      <c r="BV1641" s="279"/>
      <c r="BW1641" s="279"/>
      <c r="BX1641" s="279"/>
      <c r="BY1641" s="279"/>
      <c r="BZ1641" s="279"/>
      <c r="CA1641" s="279"/>
      <c r="CB1641" s="279"/>
      <c r="CC1641" s="279"/>
      <c r="CD1641" s="279"/>
      <c r="CE1641" s="279"/>
      <c r="CF1641" s="279"/>
      <c r="CG1641" s="279"/>
      <c r="CH1641" s="279"/>
      <c r="CI1641" s="279"/>
      <c r="CJ1641" s="279"/>
      <c r="CK1641" s="279"/>
      <c r="CL1641" s="279"/>
      <c r="CM1641" s="279"/>
      <c r="CN1641" s="382"/>
    </row>
    <row r="1642" x14ac:dyDescent="0.25">
      <c r="B1642" s="361"/>
      <c r="C1642" s="279"/>
      <c r="D1642" s="280"/>
      <c r="E1642" s="287"/>
      <c r="F1642" s="287"/>
      <c r="G1642" s="287"/>
      <c r="H1642" s="280"/>
      <c r="I1642" s="347" t="s">
        <v>219</v>
      </c>
      <c r="J1642" s="1335" t="e">
        <f>6551*((MIN(J1638:J1639))/J1615)^0.5</f>
        <v>#N/A</v>
      </c>
      <c r="K1642" s="343" t="s">
        <v>218</v>
      </c>
      <c r="L1642" s="336"/>
      <c r="M1642" s="336"/>
      <c r="N1642" s="336"/>
      <c r="O1642" s="336"/>
      <c r="P1642" s="336"/>
      <c r="Q1642" s="336"/>
      <c r="R1642" s="336"/>
      <c r="S1642" s="336"/>
      <c r="T1642" s="298"/>
      <c r="U1642" s="299"/>
      <c r="V1642" s="279"/>
      <c r="W1642" s="279"/>
      <c r="X1642" s="279"/>
      <c r="Y1642" s="279"/>
      <c r="Z1642" s="279"/>
      <c r="AA1642" s="279"/>
      <c r="AB1642" s="279"/>
      <c r="AC1642" s="279"/>
      <c r="AD1642" s="279"/>
      <c r="AE1642" s="279"/>
      <c r="AF1642" s="279"/>
      <c r="AG1642" s="279"/>
      <c r="AH1642" s="279"/>
      <c r="AI1642" s="279"/>
      <c r="AJ1642" s="279"/>
      <c r="AK1642" s="279"/>
      <c r="AL1642" s="279"/>
      <c r="AM1642" s="279"/>
      <c r="AN1642" s="279"/>
      <c r="AO1642" s="279"/>
      <c r="AP1642" s="279"/>
      <c r="AQ1642" s="279"/>
      <c r="AR1642" s="279"/>
      <c r="AS1642" s="279"/>
      <c r="AT1642" s="279"/>
      <c r="AU1642" s="279"/>
      <c r="AV1642" s="279"/>
      <c r="AW1642" s="279"/>
      <c r="AX1642" s="279"/>
      <c r="AY1642" s="279"/>
      <c r="AZ1642" s="279"/>
      <c r="BA1642" s="279"/>
      <c r="BB1642" s="279"/>
      <c r="BC1642" s="279"/>
      <c r="BD1642" s="279"/>
      <c r="BE1642" s="279"/>
      <c r="BF1642" s="279"/>
      <c r="BG1642" s="279"/>
      <c r="BH1642" s="279"/>
      <c r="BI1642" s="279"/>
      <c r="BJ1642" s="279"/>
      <c r="BK1642" s="279"/>
      <c r="BL1642" s="279"/>
      <c r="BM1642" s="279"/>
      <c r="BN1642" s="279"/>
      <c r="BO1642" s="279"/>
      <c r="BP1642" s="279"/>
      <c r="BQ1642" s="279"/>
      <c r="BR1642" s="279"/>
      <c r="BS1642" s="279"/>
      <c r="BT1642" s="279"/>
      <c r="BU1642" s="279"/>
      <c r="BV1642" s="279"/>
      <c r="BW1642" s="279"/>
      <c r="BX1642" s="279"/>
      <c r="BY1642" s="279"/>
      <c r="BZ1642" s="279"/>
      <c r="CA1642" s="279"/>
      <c r="CB1642" s="279"/>
      <c r="CC1642" s="279"/>
      <c r="CD1642" s="279"/>
      <c r="CE1642" s="279"/>
      <c r="CF1642" s="279"/>
      <c r="CG1642" s="279"/>
      <c r="CH1642" s="279"/>
      <c r="CI1642" s="279"/>
      <c r="CJ1642" s="279"/>
      <c r="CK1642" s="279"/>
      <c r="CL1642" s="279"/>
      <c r="CM1642" s="279"/>
      <c r="CN1642" s="382"/>
    </row>
    <row r="1643" ht="16.2" thickBot="true" x14ac:dyDescent="0.3">
      <c r="B1643" s="361"/>
      <c r="C1643" s="279"/>
      <c r="D1643" s="280"/>
      <c r="E1643" s="287"/>
      <c r="F1643" s="287"/>
      <c r="G1643" s="287"/>
      <c r="H1643" s="280"/>
      <c r="I1643" s="349" t="s">
        <v>220</v>
      </c>
      <c r="J1643" s="1337" t="e">
        <f>MAX(300,MAX(J1617:J1617)/J1638)/60</f>
        <v>#N/A</v>
      </c>
      <c r="K1643" s="350" t="s">
        <v>221</v>
      </c>
      <c r="L1643" s="336"/>
      <c r="M1643" s="336"/>
      <c r="N1643" s="336"/>
      <c r="O1643" s="336"/>
      <c r="P1643" s="336"/>
      <c r="Q1643" s="336"/>
      <c r="R1643" s="336"/>
      <c r="S1643" s="336"/>
      <c r="T1643" s="298"/>
      <c r="U1643" s="299"/>
      <c r="V1643" s="279"/>
      <c r="W1643" s="279"/>
      <c r="X1643" s="279"/>
      <c r="Y1643" s="279"/>
      <c r="Z1643" s="279"/>
      <c r="AA1643" s="279"/>
      <c r="AB1643" s="279"/>
      <c r="AC1643" s="279"/>
      <c r="AD1643" s="279"/>
      <c r="AE1643" s="279"/>
      <c r="AF1643" s="279"/>
      <c r="AG1643" s="279"/>
      <c r="AH1643" s="279"/>
      <c r="AI1643" s="279"/>
      <c r="AJ1643" s="279"/>
      <c r="AK1643" s="279"/>
      <c r="AL1643" s="279"/>
      <c r="AM1643" s="279"/>
      <c r="AN1643" s="279"/>
      <c r="AO1643" s="279"/>
      <c r="AP1643" s="279"/>
      <c r="AQ1643" s="279"/>
      <c r="AR1643" s="279"/>
      <c r="AS1643" s="279"/>
      <c r="AT1643" s="279"/>
      <c r="AU1643" s="279"/>
      <c r="AV1643" s="279"/>
      <c r="AW1643" s="279"/>
      <c r="AX1643" s="279"/>
      <c r="AY1643" s="279"/>
      <c r="AZ1643" s="279"/>
      <c r="BA1643" s="279"/>
      <c r="BB1643" s="279"/>
      <c r="BC1643" s="279"/>
      <c r="BD1643" s="279"/>
      <c r="BE1643" s="279"/>
      <c r="BF1643" s="279"/>
      <c r="BG1643" s="279"/>
      <c r="BH1643" s="279"/>
      <c r="BI1643" s="279"/>
      <c r="BJ1643" s="279"/>
      <c r="BK1643" s="279"/>
      <c r="BL1643" s="279"/>
      <c r="BM1643" s="279"/>
      <c r="BN1643" s="279"/>
      <c r="BO1643" s="279"/>
      <c r="BP1643" s="279"/>
      <c r="BQ1643" s="279"/>
      <c r="BR1643" s="279"/>
      <c r="BS1643" s="279"/>
      <c r="BT1643" s="279"/>
      <c r="BU1643" s="279"/>
      <c r="BV1643" s="279"/>
      <c r="BW1643" s="279"/>
      <c r="BX1643" s="279"/>
      <c r="BY1643" s="279"/>
      <c r="BZ1643" s="279"/>
      <c r="CA1643" s="279"/>
      <c r="CB1643" s="279"/>
      <c r="CC1643" s="279"/>
      <c r="CD1643" s="279"/>
      <c r="CE1643" s="279"/>
      <c r="CF1643" s="279"/>
      <c r="CG1643" s="279"/>
      <c r="CH1643" s="279"/>
      <c r="CI1643" s="279"/>
      <c r="CJ1643" s="279"/>
      <c r="CK1643" s="279"/>
      <c r="CL1643" s="279"/>
      <c r="CM1643" s="279"/>
      <c r="CN1643" s="382"/>
    </row>
    <row r="1644" x14ac:dyDescent="0.25">
      <c r="B1644" s="361"/>
      <c r="C1644" s="279"/>
      <c r="D1644" s="280"/>
      <c r="E1644" s="287"/>
      <c r="F1644" s="287"/>
      <c r="G1644" s="287"/>
      <c r="H1644" s="280"/>
      <c r="I1644" s="336"/>
      <c r="J1644" s="351"/>
      <c r="K1644" s="337"/>
      <c r="L1644" s="336"/>
      <c r="M1644" s="336"/>
      <c r="N1644" s="336"/>
      <c r="O1644" s="336"/>
      <c r="P1644" s="336"/>
      <c r="Q1644" s="336"/>
      <c r="R1644" s="336"/>
      <c r="S1644" s="336"/>
      <c r="T1644" s="298"/>
      <c r="U1644" s="299"/>
      <c r="V1644" s="279"/>
      <c r="W1644" s="279"/>
      <c r="X1644" s="279"/>
      <c r="Y1644" s="279"/>
      <c r="Z1644" s="279"/>
      <c r="AA1644" s="279"/>
      <c r="AB1644" s="279"/>
      <c r="AC1644" s="279"/>
      <c r="AD1644" s="279"/>
      <c r="AE1644" s="279"/>
      <c r="AF1644" s="279"/>
      <c r="AG1644" s="279"/>
      <c r="AH1644" s="279"/>
      <c r="AI1644" s="279"/>
      <c r="AJ1644" s="279"/>
      <c r="AK1644" s="279"/>
      <c r="AL1644" s="279"/>
      <c r="AM1644" s="279"/>
      <c r="AN1644" s="279"/>
      <c r="AO1644" s="279"/>
      <c r="AP1644" s="279"/>
      <c r="AQ1644" s="279"/>
      <c r="AR1644" s="279"/>
      <c r="AS1644" s="279"/>
      <c r="AT1644" s="279"/>
      <c r="AU1644" s="279"/>
      <c r="AV1644" s="279"/>
      <c r="AW1644" s="279"/>
      <c r="AX1644" s="279"/>
      <c r="AY1644" s="279"/>
      <c r="AZ1644" s="279"/>
      <c r="BA1644" s="279"/>
      <c r="BB1644" s="279"/>
      <c r="BC1644" s="279"/>
      <c r="BD1644" s="279"/>
      <c r="BE1644" s="279"/>
      <c r="BF1644" s="279"/>
      <c r="BG1644" s="279"/>
      <c r="BH1644" s="279"/>
      <c r="BI1644" s="279"/>
      <c r="BJ1644" s="279"/>
      <c r="BK1644" s="279"/>
      <c r="BL1644" s="279"/>
      <c r="BM1644" s="279"/>
      <c r="BN1644" s="279"/>
      <c r="BO1644" s="279"/>
      <c r="BP1644" s="279"/>
      <c r="BQ1644" s="279"/>
      <c r="BR1644" s="279"/>
      <c r="BS1644" s="279"/>
      <c r="BT1644" s="279"/>
      <c r="BU1644" s="279"/>
      <c r="BV1644" s="279"/>
      <c r="BW1644" s="279"/>
      <c r="BX1644" s="279"/>
      <c r="BY1644" s="279"/>
      <c r="BZ1644" s="279"/>
      <c r="CA1644" s="279"/>
      <c r="CB1644" s="279"/>
      <c r="CC1644" s="279"/>
      <c r="CD1644" s="279"/>
      <c r="CE1644" s="279"/>
      <c r="CF1644" s="279"/>
      <c r="CG1644" s="279"/>
      <c r="CH1644" s="279"/>
      <c r="CI1644" s="279"/>
      <c r="CJ1644" s="279"/>
      <c r="CK1644" s="279"/>
      <c r="CL1644" s="279"/>
      <c r="CM1644" s="279"/>
      <c r="CN1644" s="382"/>
    </row>
    <row r="1645" x14ac:dyDescent="0.25">
      <c r="B1645" s="361"/>
      <c r="C1645" s="279"/>
      <c r="D1645" s="280"/>
      <c r="E1645" s="287"/>
      <c r="F1645" s="287"/>
      <c r="G1645" s="287"/>
      <c r="H1645" s="280"/>
      <c r="I1645" s="336"/>
      <c r="J1645" s="351"/>
      <c r="K1645" s="337"/>
      <c r="L1645" s="336"/>
      <c r="M1645" s="336"/>
      <c r="N1645" s="336"/>
      <c r="O1645" s="336"/>
      <c r="P1645" s="336"/>
      <c r="Q1645" s="336"/>
      <c r="R1645" s="336"/>
      <c r="S1645" s="336"/>
      <c r="T1645" s="298"/>
      <c r="U1645" s="299"/>
      <c r="V1645" s="279"/>
      <c r="W1645" s="279"/>
      <c r="X1645" s="279"/>
      <c r="Y1645" s="279"/>
      <c r="Z1645" s="279"/>
      <c r="AA1645" s="279"/>
      <c r="AB1645" s="279"/>
      <c r="AC1645" s="279"/>
      <c r="AD1645" s="279"/>
      <c r="AE1645" s="279"/>
      <c r="AF1645" s="279"/>
      <c r="AG1645" s="279"/>
      <c r="AH1645" s="279"/>
      <c r="AI1645" s="279"/>
      <c r="AJ1645" s="279"/>
      <c r="AK1645" s="279"/>
      <c r="AL1645" s="279"/>
      <c r="AM1645" s="279"/>
      <c r="AN1645" s="279"/>
      <c r="AO1645" s="279"/>
      <c r="AP1645" s="279"/>
      <c r="AQ1645" s="279"/>
      <c r="AR1645" s="279"/>
      <c r="AS1645" s="279"/>
      <c r="AT1645" s="279"/>
      <c r="AU1645" s="279"/>
      <c r="AV1645" s="279"/>
      <c r="AW1645" s="279"/>
      <c r="AX1645" s="279"/>
      <c r="AY1645" s="279"/>
      <c r="AZ1645" s="279"/>
      <c r="BA1645" s="279"/>
      <c r="BB1645" s="279"/>
      <c r="BC1645" s="279"/>
      <c r="BD1645" s="279"/>
      <c r="BE1645" s="279"/>
      <c r="BF1645" s="279"/>
      <c r="BG1645" s="279"/>
      <c r="BH1645" s="279"/>
      <c r="BI1645" s="279"/>
      <c r="BJ1645" s="279"/>
      <c r="BK1645" s="279"/>
      <c r="BL1645" s="279"/>
      <c r="BM1645" s="279"/>
      <c r="BN1645" s="279"/>
      <c r="BO1645" s="279"/>
      <c r="BP1645" s="279"/>
      <c r="BQ1645" s="279"/>
      <c r="BR1645" s="279"/>
      <c r="BS1645" s="279"/>
      <c r="BT1645" s="279"/>
      <c r="BU1645" s="279"/>
      <c r="BV1645" s="279"/>
      <c r="BW1645" s="279"/>
      <c r="BX1645" s="279"/>
      <c r="BY1645" s="279"/>
      <c r="BZ1645" s="279"/>
      <c r="CA1645" s="279"/>
      <c r="CB1645" s="279"/>
      <c r="CC1645" s="279"/>
      <c r="CD1645" s="279"/>
      <c r="CE1645" s="279"/>
      <c r="CF1645" s="279"/>
      <c r="CG1645" s="279"/>
      <c r="CH1645" s="279"/>
      <c r="CI1645" s="279"/>
      <c r="CJ1645" s="279"/>
      <c r="CK1645" s="279"/>
      <c r="CL1645" s="279"/>
      <c r="CM1645" s="279"/>
      <c r="CN1645" s="382"/>
    </row>
    <row r="1646" x14ac:dyDescent="0.25">
      <c r="B1646" s="361"/>
      <c r="C1646" s="279"/>
      <c r="D1646" s="280"/>
      <c r="E1646" s="287"/>
      <c r="F1646" s="287"/>
      <c r="G1646" s="287"/>
      <c r="H1646" s="280"/>
      <c r="I1646" s="336"/>
      <c r="J1646" s="336"/>
      <c r="K1646" s="336"/>
      <c r="L1646" s="336"/>
      <c r="M1646" s="336"/>
      <c r="N1646" s="336"/>
      <c r="O1646" s="336"/>
      <c r="P1646" s="336"/>
      <c r="Q1646" s="336"/>
      <c r="R1646" s="336"/>
      <c r="S1646" s="336"/>
      <c r="T1646" s="298"/>
      <c r="U1646" s="299"/>
      <c r="V1646" s="279"/>
      <c r="W1646" s="279"/>
      <c r="X1646" s="279"/>
      <c r="Y1646" s="279"/>
      <c r="Z1646" s="279"/>
      <c r="AA1646" s="279"/>
      <c r="AB1646" s="279"/>
      <c r="AC1646" s="279"/>
      <c r="AD1646" s="279"/>
      <c r="AE1646" s="279"/>
      <c r="AF1646" s="279"/>
      <c r="AG1646" s="279"/>
      <c r="AH1646" s="279"/>
      <c r="AI1646" s="279"/>
      <c r="AJ1646" s="279"/>
      <c r="AK1646" s="279"/>
      <c r="AL1646" s="279"/>
      <c r="AM1646" s="279"/>
      <c r="AN1646" s="279"/>
      <c r="AO1646" s="279"/>
      <c r="AP1646" s="279"/>
      <c r="AQ1646" s="279"/>
      <c r="AR1646" s="279"/>
      <c r="AS1646" s="279"/>
      <c r="AT1646" s="279"/>
      <c r="AU1646" s="279"/>
      <c r="AV1646" s="279"/>
      <c r="AW1646" s="279"/>
      <c r="AX1646" s="279"/>
      <c r="AY1646" s="279"/>
      <c r="AZ1646" s="279"/>
      <c r="BA1646" s="279"/>
      <c r="BB1646" s="279"/>
      <c r="BC1646" s="279"/>
      <c r="BD1646" s="279"/>
      <c r="BE1646" s="279"/>
      <c r="BF1646" s="279"/>
      <c r="BG1646" s="279"/>
      <c r="BH1646" s="279"/>
      <c r="BI1646" s="279"/>
      <c r="BJ1646" s="279"/>
      <c r="BK1646" s="279"/>
      <c r="BL1646" s="279"/>
      <c r="BM1646" s="279"/>
      <c r="BN1646" s="279"/>
      <c r="BO1646" s="279"/>
      <c r="BP1646" s="279"/>
      <c r="BQ1646" s="279"/>
      <c r="BR1646" s="279"/>
      <c r="BS1646" s="279"/>
      <c r="BT1646" s="279"/>
      <c r="BU1646" s="279"/>
      <c r="BV1646" s="279"/>
      <c r="BW1646" s="279"/>
      <c r="BX1646" s="279"/>
      <c r="BY1646" s="279"/>
      <c r="BZ1646" s="279"/>
      <c r="CA1646" s="279"/>
      <c r="CB1646" s="279"/>
      <c r="CC1646" s="279"/>
      <c r="CD1646" s="279"/>
      <c r="CE1646" s="279"/>
      <c r="CF1646" s="279"/>
      <c r="CG1646" s="279"/>
      <c r="CH1646" s="279"/>
      <c r="CI1646" s="279"/>
      <c r="CJ1646" s="279"/>
      <c r="CK1646" s="279"/>
      <c r="CL1646" s="279"/>
      <c r="CM1646" s="279"/>
      <c r="CN1646" s="382"/>
    </row>
    <row r="1647" x14ac:dyDescent="0.25">
      <c r="B1647" s="361"/>
      <c r="C1647" s="279"/>
      <c r="D1647" s="280"/>
      <c r="E1647" s="287"/>
      <c r="F1647" s="287"/>
      <c r="G1647" s="287"/>
      <c r="H1647" s="280"/>
      <c r="I1647" s="337" t="s">
        <v>222</v>
      </c>
      <c r="J1647" s="336"/>
      <c r="K1647" s="336"/>
      <c r="L1647" s="336"/>
      <c r="M1647" s="336"/>
      <c r="N1647" s="336"/>
      <c r="O1647" s="336"/>
      <c r="P1647" s="336"/>
      <c r="Q1647" s="336"/>
      <c r="R1647" s="336"/>
      <c r="S1647" s="336"/>
      <c r="T1647" s="298"/>
      <c r="U1647" s="299"/>
      <c r="V1647" s="279"/>
      <c r="W1647" s="279"/>
      <c r="X1647" s="279"/>
      <c r="Y1647" s="279"/>
      <c r="Z1647" s="279"/>
      <c r="AA1647" s="279"/>
      <c r="AB1647" s="279"/>
      <c r="AC1647" s="279"/>
      <c r="AD1647" s="279"/>
      <c r="AE1647" s="279"/>
      <c r="AF1647" s="279"/>
      <c r="AG1647" s="279"/>
      <c r="AH1647" s="279"/>
      <c r="AI1647" s="279"/>
      <c r="AJ1647" s="279"/>
      <c r="AK1647" s="279"/>
      <c r="AL1647" s="279"/>
      <c r="AM1647" s="279"/>
      <c r="AN1647" s="279"/>
      <c r="AO1647" s="279"/>
      <c r="AP1647" s="279"/>
      <c r="AQ1647" s="279"/>
      <c r="AR1647" s="279"/>
      <c r="AS1647" s="279"/>
      <c r="AT1647" s="279"/>
      <c r="AU1647" s="279"/>
      <c r="AV1647" s="279"/>
      <c r="AW1647" s="279"/>
      <c r="AX1647" s="279"/>
      <c r="AY1647" s="279"/>
      <c r="AZ1647" s="279"/>
      <c r="BA1647" s="279"/>
      <c r="BB1647" s="279"/>
      <c r="BC1647" s="279"/>
      <c r="BD1647" s="279"/>
      <c r="BE1647" s="279"/>
      <c r="BF1647" s="279"/>
      <c r="BG1647" s="279"/>
      <c r="BH1647" s="279"/>
      <c r="BI1647" s="279"/>
      <c r="BJ1647" s="279"/>
      <c r="BK1647" s="279"/>
      <c r="BL1647" s="279"/>
      <c r="BM1647" s="279"/>
      <c r="BN1647" s="279"/>
      <c r="BO1647" s="279"/>
      <c r="BP1647" s="279"/>
      <c r="BQ1647" s="279"/>
      <c r="BR1647" s="279"/>
      <c r="BS1647" s="279"/>
      <c r="BT1647" s="279"/>
      <c r="BU1647" s="279"/>
      <c r="BV1647" s="279"/>
      <c r="BW1647" s="279"/>
      <c r="BX1647" s="279"/>
      <c r="BY1647" s="279"/>
      <c r="BZ1647" s="279"/>
      <c r="CA1647" s="279"/>
      <c r="CB1647" s="279"/>
      <c r="CC1647" s="279"/>
      <c r="CD1647" s="279"/>
      <c r="CE1647" s="279"/>
      <c r="CF1647" s="279"/>
      <c r="CG1647" s="279"/>
      <c r="CH1647" s="279"/>
      <c r="CI1647" s="279"/>
      <c r="CJ1647" s="279"/>
      <c r="CK1647" s="279"/>
      <c r="CL1647" s="279"/>
      <c r="CM1647" s="279"/>
      <c r="CN1647" s="382"/>
    </row>
    <row r="1648" ht="16.2" thickBot="true" x14ac:dyDescent="0.3">
      <c r="B1648" s="361"/>
      <c r="C1648" s="279"/>
      <c r="D1648" s="280"/>
      <c r="E1648" s="287"/>
      <c r="F1648" s="287"/>
      <c r="G1648" s="287"/>
      <c r="H1648" s="280"/>
      <c r="I1648" s="336"/>
      <c r="J1648" s="336"/>
      <c r="K1648" s="336"/>
      <c r="L1648" s="336"/>
      <c r="M1648" s="336"/>
      <c r="N1648" s="336"/>
      <c r="O1648" s="336"/>
      <c r="P1648" s="336"/>
      <c r="Q1648" s="336"/>
      <c r="R1648" s="336"/>
      <c r="S1648" s="336"/>
      <c r="T1648" s="298"/>
      <c r="U1648" s="299"/>
      <c r="V1648" s="279"/>
      <c r="W1648" s="279"/>
      <c r="X1648" s="279"/>
      <c r="Y1648" s="279"/>
      <c r="Z1648" s="279"/>
      <c r="AA1648" s="279"/>
      <c r="AB1648" s="279"/>
      <c r="AC1648" s="279"/>
      <c r="AD1648" s="279"/>
      <c r="AE1648" s="279"/>
      <c r="AF1648" s="279"/>
      <c r="AG1648" s="279"/>
      <c r="AH1648" s="279"/>
      <c r="AI1648" s="279"/>
      <c r="AJ1648" s="279"/>
      <c r="AK1648" s="279"/>
      <c r="AL1648" s="279"/>
      <c r="AM1648" s="279"/>
      <c r="AN1648" s="279"/>
      <c r="AO1648" s="279"/>
      <c r="AP1648" s="279"/>
      <c r="AQ1648" s="279"/>
      <c r="AR1648" s="279"/>
      <c r="AS1648" s="279"/>
      <c r="AT1648" s="279"/>
      <c r="AU1648" s="279"/>
      <c r="AV1648" s="279"/>
      <c r="AW1648" s="279"/>
      <c r="AX1648" s="279"/>
      <c r="AY1648" s="279"/>
      <c r="AZ1648" s="279"/>
      <c r="BA1648" s="279"/>
      <c r="BB1648" s="279"/>
      <c r="BC1648" s="279"/>
      <c r="BD1648" s="279"/>
      <c r="BE1648" s="279"/>
      <c r="BF1648" s="279"/>
      <c r="BG1648" s="279"/>
      <c r="BH1648" s="279"/>
      <c r="BI1648" s="279"/>
      <c r="BJ1648" s="279"/>
      <c r="BK1648" s="279"/>
      <c r="BL1648" s="279"/>
      <c r="BM1648" s="279"/>
      <c r="BN1648" s="279"/>
      <c r="BO1648" s="279"/>
      <c r="BP1648" s="279"/>
      <c r="BQ1648" s="279"/>
      <c r="BR1648" s="279"/>
      <c r="BS1648" s="279"/>
      <c r="BT1648" s="279"/>
      <c r="BU1648" s="279"/>
      <c r="BV1648" s="279"/>
      <c r="BW1648" s="279"/>
      <c r="BX1648" s="279"/>
      <c r="BY1648" s="279"/>
      <c r="BZ1648" s="279"/>
      <c r="CA1648" s="279"/>
      <c r="CB1648" s="279"/>
      <c r="CC1648" s="279"/>
      <c r="CD1648" s="279"/>
      <c r="CE1648" s="279"/>
      <c r="CF1648" s="279"/>
      <c r="CG1648" s="279"/>
      <c r="CH1648" s="279"/>
      <c r="CI1648" s="279"/>
      <c r="CJ1648" s="279"/>
      <c r="CK1648" s="279"/>
      <c r="CL1648" s="279"/>
      <c r="CM1648" s="279"/>
      <c r="CN1648" s="382"/>
    </row>
    <row r="1649" x14ac:dyDescent="0.25">
      <c r="B1649" s="361"/>
      <c r="C1649" s="279"/>
      <c r="D1649" s="280"/>
      <c r="E1649" s="287"/>
      <c r="F1649" s="287"/>
      <c r="G1649" s="287"/>
      <c r="H1649" s="280"/>
      <c r="I1649" s="352" t="s">
        <v>223</v>
      </c>
      <c r="J1649" s="1334" t="e">
        <f>IF((MAX('V. Environmental'!J1616,J1617)/(((10)^-7)*9.44*(((J1631)^2)*J1623*(9.8*J1632+(1000*J1628/J1623))^0.5)))&gt;300,((10)^-7)*9.44*(((J1631)^2)*J1623*(9.8*J1632+(1000*J1628/J1623))^0.5),'V. Environmental'!J1616/300)</f>
        <v>#N/A</v>
      </c>
      <c r="K1649" s="342" t="s">
        <v>213</v>
      </c>
      <c r="L1649" s="336" t="s">
        <v>214</v>
      </c>
      <c r="M1649" s="336"/>
      <c r="N1649" s="336"/>
      <c r="O1649" s="336"/>
      <c r="P1649" s="336"/>
      <c r="Q1649" s="336"/>
      <c r="R1649" s="336"/>
      <c r="S1649" s="336"/>
      <c r="T1649" s="298"/>
      <c r="U1649" s="299"/>
      <c r="V1649" s="279"/>
      <c r="W1649" s="279"/>
      <c r="X1649" s="279"/>
      <c r="Y1649" s="279"/>
      <c r="Z1649" s="279"/>
      <c r="AA1649" s="279"/>
      <c r="AB1649" s="279"/>
      <c r="AC1649" s="279"/>
      <c r="AD1649" s="279"/>
      <c r="AE1649" s="279"/>
      <c r="AF1649" s="279"/>
      <c r="AG1649" s="279"/>
      <c r="AH1649" s="279"/>
      <c r="AI1649" s="279"/>
      <c r="AJ1649" s="279"/>
      <c r="AK1649" s="279"/>
      <c r="AL1649" s="279"/>
      <c r="AM1649" s="279"/>
      <c r="AN1649" s="279"/>
      <c r="AO1649" s="279"/>
      <c r="AP1649" s="279"/>
      <c r="AQ1649" s="279"/>
      <c r="AR1649" s="279"/>
      <c r="AS1649" s="279"/>
      <c r="AT1649" s="279"/>
      <c r="AU1649" s="279"/>
      <c r="AV1649" s="279"/>
      <c r="AW1649" s="279"/>
      <c r="AX1649" s="279"/>
      <c r="AY1649" s="279"/>
      <c r="AZ1649" s="279"/>
      <c r="BA1649" s="279"/>
      <c r="BB1649" s="279"/>
      <c r="BC1649" s="279"/>
      <c r="BD1649" s="279"/>
      <c r="BE1649" s="279"/>
      <c r="BF1649" s="279"/>
      <c r="BG1649" s="279"/>
      <c r="BH1649" s="279"/>
      <c r="BI1649" s="279"/>
      <c r="BJ1649" s="279"/>
      <c r="BK1649" s="279"/>
      <c r="BL1649" s="279"/>
      <c r="BM1649" s="279"/>
      <c r="BN1649" s="279"/>
      <c r="BO1649" s="279"/>
      <c r="BP1649" s="279"/>
      <c r="BQ1649" s="279"/>
      <c r="BR1649" s="279"/>
      <c r="BS1649" s="279"/>
      <c r="BT1649" s="279"/>
      <c r="BU1649" s="279"/>
      <c r="BV1649" s="279"/>
      <c r="BW1649" s="279"/>
      <c r="BX1649" s="279"/>
      <c r="BY1649" s="279"/>
      <c r="BZ1649" s="279"/>
      <c r="CA1649" s="279"/>
      <c r="CB1649" s="279"/>
      <c r="CC1649" s="279"/>
      <c r="CD1649" s="279"/>
      <c r="CE1649" s="279"/>
      <c r="CF1649" s="279"/>
      <c r="CG1649" s="279"/>
      <c r="CH1649" s="279"/>
      <c r="CI1649" s="279"/>
      <c r="CJ1649" s="279"/>
      <c r="CK1649" s="279"/>
      <c r="CL1649" s="279"/>
      <c r="CM1649" s="279"/>
      <c r="CN1649" s="382"/>
    </row>
    <row r="1650" x14ac:dyDescent="0.25">
      <c r="B1650" s="361"/>
      <c r="C1650" s="279"/>
      <c r="D1650" s="280"/>
      <c r="E1650" s="287"/>
      <c r="F1650" s="287"/>
      <c r="G1650" s="287"/>
      <c r="H1650" s="280"/>
      <c r="I1650" s="347" t="s">
        <v>224</v>
      </c>
      <c r="J1650" s="1326" t="e">
        <f>+J1649*900</f>
        <v>#N/A</v>
      </c>
      <c r="K1650" s="343" t="s">
        <v>70</v>
      </c>
      <c r="L1650" s="336"/>
      <c r="M1650" s="336"/>
      <c r="N1650" s="336"/>
      <c r="O1650" s="336"/>
      <c r="P1650" s="336"/>
      <c r="Q1650" s="336"/>
      <c r="R1650" s="336"/>
      <c r="S1650" s="336"/>
      <c r="T1650" s="298"/>
      <c r="U1650" s="299"/>
      <c r="V1650" s="279"/>
      <c r="W1650" s="279"/>
      <c r="X1650" s="279"/>
      <c r="Y1650" s="279"/>
      <c r="Z1650" s="279"/>
      <c r="AA1650" s="279"/>
      <c r="AB1650" s="279"/>
      <c r="AC1650" s="279"/>
      <c r="AD1650" s="279"/>
      <c r="AE1650" s="279"/>
      <c r="AF1650" s="279"/>
      <c r="AG1650" s="279"/>
      <c r="AH1650" s="279"/>
      <c r="AI1650" s="279"/>
      <c r="AJ1650" s="279"/>
      <c r="AK1650" s="279"/>
      <c r="AL1650" s="279"/>
      <c r="AM1650" s="279"/>
      <c r="AN1650" s="279"/>
      <c r="AO1650" s="279"/>
      <c r="AP1650" s="279"/>
      <c r="AQ1650" s="279"/>
      <c r="AR1650" s="279"/>
      <c r="AS1650" s="279"/>
      <c r="AT1650" s="279"/>
      <c r="AU1650" s="279"/>
      <c r="AV1650" s="279"/>
      <c r="AW1650" s="279"/>
      <c r="AX1650" s="279"/>
      <c r="AY1650" s="279"/>
      <c r="AZ1650" s="279"/>
      <c r="BA1650" s="279"/>
      <c r="BB1650" s="279"/>
      <c r="BC1650" s="279"/>
      <c r="BD1650" s="279"/>
      <c r="BE1650" s="279"/>
      <c r="BF1650" s="279"/>
      <c r="BG1650" s="279"/>
      <c r="BH1650" s="279"/>
      <c r="BI1650" s="279"/>
      <c r="BJ1650" s="279"/>
      <c r="BK1650" s="279"/>
      <c r="BL1650" s="279"/>
      <c r="BM1650" s="279"/>
      <c r="BN1650" s="279"/>
      <c r="BO1650" s="279"/>
      <c r="BP1650" s="279"/>
      <c r="BQ1650" s="279"/>
      <c r="BR1650" s="279"/>
      <c r="BS1650" s="279"/>
      <c r="BT1650" s="279"/>
      <c r="BU1650" s="279"/>
      <c r="BV1650" s="279"/>
      <c r="BW1650" s="279"/>
      <c r="BX1650" s="279"/>
      <c r="BY1650" s="279"/>
      <c r="BZ1650" s="279"/>
      <c r="CA1650" s="279"/>
      <c r="CB1650" s="279"/>
      <c r="CC1650" s="279"/>
      <c r="CD1650" s="279"/>
      <c r="CE1650" s="279"/>
      <c r="CF1650" s="279"/>
      <c r="CG1650" s="279"/>
      <c r="CH1650" s="279"/>
      <c r="CI1650" s="279"/>
      <c r="CJ1650" s="279"/>
      <c r="CK1650" s="279"/>
      <c r="CL1650" s="279"/>
      <c r="CM1650" s="279"/>
      <c r="CN1650" s="382"/>
    </row>
    <row r="1651" ht="28.8" x14ac:dyDescent="0.25">
      <c r="B1651" s="361"/>
      <c r="C1651" s="279"/>
      <c r="D1651" s="280"/>
      <c r="E1651" s="287"/>
      <c r="F1651" s="287"/>
      <c r="G1651" s="287"/>
      <c r="H1651" s="280"/>
      <c r="I1651" s="346" t="s">
        <v>1801</v>
      </c>
      <c r="J1651" s="1326" t="e">
        <f>IF('V. Environmental'!J1616&lt;J1650,'V. Environmental'!J1616,J1650)</f>
        <v>#N/A</v>
      </c>
      <c r="K1651" s="343" t="s">
        <v>70</v>
      </c>
      <c r="L1651" s="336"/>
      <c r="M1651" s="336"/>
      <c r="N1651" s="336"/>
      <c r="O1651" s="336"/>
      <c r="P1651" s="336"/>
      <c r="Q1651" s="336"/>
      <c r="R1651" s="336"/>
      <c r="S1651" s="336"/>
      <c r="T1651" s="298"/>
      <c r="U1651" s="299"/>
      <c r="V1651" s="279"/>
      <c r="W1651" s="279"/>
      <c r="X1651" s="279"/>
      <c r="Y1651" s="279"/>
      <c r="Z1651" s="279"/>
      <c r="AA1651" s="279"/>
      <c r="AB1651" s="279"/>
      <c r="AC1651" s="279"/>
      <c r="AD1651" s="279"/>
      <c r="AE1651" s="279"/>
      <c r="AF1651" s="279"/>
      <c r="AG1651" s="279"/>
      <c r="AH1651" s="279"/>
      <c r="AI1651" s="279"/>
      <c r="AJ1651" s="279"/>
      <c r="AK1651" s="279"/>
      <c r="AL1651" s="279"/>
      <c r="AM1651" s="279"/>
      <c r="AN1651" s="279"/>
      <c r="AO1651" s="279"/>
      <c r="AP1651" s="279"/>
      <c r="AQ1651" s="279"/>
      <c r="AR1651" s="279"/>
      <c r="AS1651" s="279"/>
      <c r="AT1651" s="279"/>
      <c r="AU1651" s="279"/>
      <c r="AV1651" s="279"/>
      <c r="AW1651" s="279"/>
      <c r="AX1651" s="279"/>
      <c r="AY1651" s="279"/>
      <c r="AZ1651" s="279"/>
      <c r="BA1651" s="279"/>
      <c r="BB1651" s="279"/>
      <c r="BC1651" s="279"/>
      <c r="BD1651" s="279"/>
      <c r="BE1651" s="279"/>
      <c r="BF1651" s="279"/>
      <c r="BG1651" s="279"/>
      <c r="BH1651" s="279"/>
      <c r="BI1651" s="279"/>
      <c r="BJ1651" s="279"/>
      <c r="BK1651" s="279"/>
      <c r="BL1651" s="279"/>
      <c r="BM1651" s="279"/>
      <c r="BN1651" s="279"/>
      <c r="BO1651" s="279"/>
      <c r="BP1651" s="279"/>
      <c r="BQ1651" s="279"/>
      <c r="BR1651" s="279"/>
      <c r="BS1651" s="279"/>
      <c r="BT1651" s="279"/>
      <c r="BU1651" s="279"/>
      <c r="BV1651" s="279"/>
      <c r="BW1651" s="279"/>
      <c r="BX1651" s="279"/>
      <c r="BY1651" s="279"/>
      <c r="BZ1651" s="279"/>
      <c r="CA1651" s="279"/>
      <c r="CB1651" s="279"/>
      <c r="CC1651" s="279"/>
      <c r="CD1651" s="279"/>
      <c r="CE1651" s="279"/>
      <c r="CF1651" s="279"/>
      <c r="CG1651" s="279"/>
      <c r="CH1651" s="279"/>
      <c r="CI1651" s="279"/>
      <c r="CJ1651" s="279"/>
      <c r="CK1651" s="279"/>
      <c r="CL1651" s="279"/>
      <c r="CM1651" s="279"/>
      <c r="CN1651" s="382"/>
    </row>
    <row r="1652" x14ac:dyDescent="0.25">
      <c r="B1652" s="361"/>
      <c r="C1652" s="279"/>
      <c r="D1652" s="280"/>
      <c r="E1652" s="287"/>
      <c r="F1652" s="287"/>
      <c r="G1652" s="287"/>
      <c r="H1652" s="280"/>
      <c r="I1652" s="347" t="s">
        <v>1802</v>
      </c>
      <c r="J1652" s="1326" t="e">
        <f>IF(+J1626*(J1619-J1621)&lt;0,0,+J1626*(J1619-J1621))</f>
        <v>#N/A</v>
      </c>
      <c r="K1652" s="343"/>
      <c r="L1652" s="336"/>
      <c r="M1652" s="336"/>
      <c r="N1652" s="336"/>
      <c r="O1652" s="336"/>
      <c r="P1652" s="336"/>
      <c r="Q1652" s="336"/>
      <c r="R1652" s="336"/>
      <c r="S1652" s="336"/>
      <c r="T1652" s="298"/>
      <c r="U1652" s="299"/>
      <c r="V1652" s="279"/>
      <c r="W1652" s="279"/>
      <c r="X1652" s="279"/>
      <c r="Y1652" s="279"/>
      <c r="Z1652" s="279"/>
      <c r="AA1652" s="279"/>
      <c r="AB1652" s="279"/>
      <c r="AC1652" s="279"/>
      <c r="AD1652" s="279"/>
      <c r="AE1652" s="279"/>
      <c r="AF1652" s="279"/>
      <c r="AG1652" s="279"/>
      <c r="AH1652" s="279"/>
      <c r="AI1652" s="279"/>
      <c r="AJ1652" s="279"/>
      <c r="AK1652" s="279"/>
      <c r="AL1652" s="279"/>
      <c r="AM1652" s="279"/>
      <c r="AN1652" s="279"/>
      <c r="AO1652" s="279"/>
      <c r="AP1652" s="279"/>
      <c r="AQ1652" s="279"/>
      <c r="AR1652" s="279"/>
      <c r="AS1652" s="279"/>
      <c r="AT1652" s="279"/>
      <c r="AU1652" s="279"/>
      <c r="AV1652" s="279"/>
      <c r="AW1652" s="279"/>
      <c r="AX1652" s="279"/>
      <c r="AY1652" s="279"/>
      <c r="AZ1652" s="279"/>
      <c r="BA1652" s="279"/>
      <c r="BB1652" s="279"/>
      <c r="BC1652" s="279"/>
      <c r="BD1652" s="279"/>
      <c r="BE1652" s="279"/>
      <c r="BF1652" s="279"/>
      <c r="BG1652" s="279"/>
      <c r="BH1652" s="279"/>
      <c r="BI1652" s="279"/>
      <c r="BJ1652" s="279"/>
      <c r="BK1652" s="279"/>
      <c r="BL1652" s="279"/>
      <c r="BM1652" s="279"/>
      <c r="BN1652" s="279"/>
      <c r="BO1652" s="279"/>
      <c r="BP1652" s="279"/>
      <c r="BQ1652" s="279"/>
      <c r="BR1652" s="279"/>
      <c r="BS1652" s="279"/>
      <c r="BT1652" s="279"/>
      <c r="BU1652" s="279"/>
      <c r="BV1652" s="279"/>
      <c r="BW1652" s="279"/>
      <c r="BX1652" s="279"/>
      <c r="BY1652" s="279"/>
      <c r="BZ1652" s="279"/>
      <c r="CA1652" s="279"/>
      <c r="CB1652" s="279"/>
      <c r="CC1652" s="279"/>
      <c r="CD1652" s="279"/>
      <c r="CE1652" s="279"/>
      <c r="CF1652" s="279"/>
      <c r="CG1652" s="279"/>
      <c r="CH1652" s="279"/>
      <c r="CI1652" s="279"/>
      <c r="CJ1652" s="279"/>
      <c r="CK1652" s="279"/>
      <c r="CL1652" s="279"/>
      <c r="CM1652" s="279"/>
      <c r="CN1652" s="382"/>
    </row>
    <row r="1653" x14ac:dyDescent="0.25">
      <c r="B1653" s="361"/>
      <c r="C1653" s="279"/>
      <c r="D1653" s="280"/>
      <c r="E1653" s="287"/>
      <c r="F1653" s="287"/>
      <c r="G1653" s="287"/>
      <c r="H1653" s="280"/>
      <c r="I1653" s="347" t="s">
        <v>225</v>
      </c>
      <c r="J1653" s="1326" t="e">
        <f>5*(IF(J1652&gt;=0.2,0.2,J1652))*J1649</f>
        <v>#N/A</v>
      </c>
      <c r="K1653" s="343" t="s">
        <v>213</v>
      </c>
      <c r="L1653" s="336"/>
      <c r="M1653" s="336"/>
      <c r="N1653" s="336"/>
      <c r="O1653" s="336"/>
      <c r="P1653" s="336"/>
      <c r="Q1653" s="336"/>
      <c r="R1653" s="336"/>
      <c r="S1653" s="336"/>
      <c r="T1653" s="298"/>
      <c r="U1653" s="299"/>
      <c r="V1653" s="279"/>
      <c r="W1653" s="279"/>
      <c r="X1653" s="279"/>
      <c r="Y1653" s="279"/>
      <c r="Z1653" s="279"/>
      <c r="AA1653" s="279"/>
      <c r="AB1653" s="279"/>
      <c r="AC1653" s="279"/>
      <c r="AD1653" s="279"/>
      <c r="AE1653" s="279"/>
      <c r="AF1653" s="279"/>
      <c r="AG1653" s="279"/>
      <c r="AH1653" s="279"/>
      <c r="AI1653" s="279"/>
      <c r="AJ1653" s="279"/>
      <c r="AK1653" s="279"/>
      <c r="AL1653" s="279"/>
      <c r="AM1653" s="279"/>
      <c r="AN1653" s="279"/>
      <c r="AO1653" s="279"/>
      <c r="AP1653" s="279"/>
      <c r="AQ1653" s="279"/>
      <c r="AR1653" s="279"/>
      <c r="AS1653" s="279"/>
      <c r="AT1653" s="279"/>
      <c r="AU1653" s="279"/>
      <c r="AV1653" s="279"/>
      <c r="AW1653" s="279"/>
      <c r="AX1653" s="279"/>
      <c r="AY1653" s="279"/>
      <c r="AZ1653" s="279"/>
      <c r="BA1653" s="279"/>
      <c r="BB1653" s="279"/>
      <c r="BC1653" s="279"/>
      <c r="BD1653" s="279"/>
      <c r="BE1653" s="279"/>
      <c r="BF1653" s="279"/>
      <c r="BG1653" s="279"/>
      <c r="BH1653" s="279"/>
      <c r="BI1653" s="279"/>
      <c r="BJ1653" s="279"/>
      <c r="BK1653" s="279"/>
      <c r="BL1653" s="279"/>
      <c r="BM1653" s="279"/>
      <c r="BN1653" s="279"/>
      <c r="BO1653" s="279"/>
      <c r="BP1653" s="279"/>
      <c r="BQ1653" s="279"/>
      <c r="BR1653" s="279"/>
      <c r="BS1653" s="279"/>
      <c r="BT1653" s="279"/>
      <c r="BU1653" s="279"/>
      <c r="BV1653" s="279"/>
      <c r="BW1653" s="279"/>
      <c r="BX1653" s="279"/>
      <c r="BY1653" s="279"/>
      <c r="BZ1653" s="279"/>
      <c r="CA1653" s="279"/>
      <c r="CB1653" s="279"/>
      <c r="CC1653" s="279"/>
      <c r="CD1653" s="279"/>
      <c r="CE1653" s="279"/>
      <c r="CF1653" s="279"/>
      <c r="CG1653" s="279"/>
      <c r="CH1653" s="279"/>
      <c r="CI1653" s="279"/>
      <c r="CJ1653" s="279"/>
      <c r="CK1653" s="279"/>
      <c r="CL1653" s="279"/>
      <c r="CM1653" s="279"/>
      <c r="CN1653" s="382"/>
    </row>
    <row r="1654" x14ac:dyDescent="0.25">
      <c r="B1654" s="361"/>
      <c r="C1654" s="279"/>
      <c r="D1654" s="280"/>
      <c r="E1654" s="287"/>
      <c r="F1654" s="287"/>
      <c r="G1654" s="287"/>
      <c r="H1654" s="280"/>
      <c r="I1654" s="347" t="s">
        <v>1803</v>
      </c>
      <c r="J1654" s="1326" t="e">
        <f>IF(J1651*(1-5*J1652)&lt;=0,0,J1651*(1-5*J1652))</f>
        <v>#N/A</v>
      </c>
      <c r="K1654" s="343" t="s">
        <v>70</v>
      </c>
      <c r="L1654" s="336"/>
      <c r="M1654" s="336"/>
      <c r="N1654" s="336"/>
      <c r="O1654" s="336"/>
      <c r="P1654" s="336"/>
      <c r="Q1654" s="336"/>
      <c r="R1654" s="336"/>
      <c r="S1654" s="336"/>
      <c r="T1654" s="298"/>
      <c r="U1654" s="299"/>
      <c r="V1654" s="279"/>
      <c r="W1654" s="279"/>
      <c r="X1654" s="279"/>
      <c r="Y1654" s="279"/>
      <c r="Z1654" s="279"/>
      <c r="AA1654" s="279"/>
      <c r="AB1654" s="279"/>
      <c r="AC1654" s="279"/>
      <c r="AD1654" s="279"/>
      <c r="AE1654" s="279"/>
      <c r="AF1654" s="279"/>
      <c r="AG1654" s="279"/>
      <c r="AH1654" s="279"/>
      <c r="AI1654" s="279"/>
      <c r="AJ1654" s="279"/>
      <c r="AK1654" s="279"/>
      <c r="AL1654" s="279"/>
      <c r="AM1654" s="279"/>
      <c r="AN1654" s="279"/>
      <c r="AO1654" s="279"/>
      <c r="AP1654" s="279"/>
      <c r="AQ1654" s="279"/>
      <c r="AR1654" s="279"/>
      <c r="AS1654" s="279"/>
      <c r="AT1654" s="279"/>
      <c r="AU1654" s="279"/>
      <c r="AV1654" s="279"/>
      <c r="AW1654" s="279"/>
      <c r="AX1654" s="279"/>
      <c r="AY1654" s="279"/>
      <c r="AZ1654" s="279"/>
      <c r="BA1654" s="279"/>
      <c r="BB1654" s="279"/>
      <c r="BC1654" s="279"/>
      <c r="BD1654" s="279"/>
      <c r="BE1654" s="279"/>
      <c r="BF1654" s="279"/>
      <c r="BG1654" s="279"/>
      <c r="BH1654" s="279"/>
      <c r="BI1654" s="279"/>
      <c r="BJ1654" s="279"/>
      <c r="BK1654" s="279"/>
      <c r="BL1654" s="279"/>
      <c r="BM1654" s="279"/>
      <c r="BN1654" s="279"/>
      <c r="BO1654" s="279"/>
      <c r="BP1654" s="279"/>
      <c r="BQ1654" s="279"/>
      <c r="BR1654" s="279"/>
      <c r="BS1654" s="279"/>
      <c r="BT1654" s="279"/>
      <c r="BU1654" s="279"/>
      <c r="BV1654" s="279"/>
      <c r="BW1654" s="279"/>
      <c r="BX1654" s="279"/>
      <c r="BY1654" s="279"/>
      <c r="BZ1654" s="279"/>
      <c r="CA1654" s="279"/>
      <c r="CB1654" s="279"/>
      <c r="CC1654" s="279"/>
      <c r="CD1654" s="279"/>
      <c r="CE1654" s="279"/>
      <c r="CF1654" s="279"/>
      <c r="CG1654" s="279"/>
      <c r="CH1654" s="279"/>
      <c r="CI1654" s="279"/>
      <c r="CJ1654" s="279"/>
      <c r="CK1654" s="279"/>
      <c r="CL1654" s="279"/>
      <c r="CM1654" s="279"/>
      <c r="CN1654" s="382"/>
    </row>
    <row r="1655" x14ac:dyDescent="0.25">
      <c r="B1655" s="361"/>
      <c r="C1655" s="279"/>
      <c r="D1655" s="280"/>
      <c r="E1655" s="287"/>
      <c r="F1655" s="287"/>
      <c r="G1655" s="287"/>
      <c r="H1655" s="280"/>
      <c r="I1655" s="347" t="s">
        <v>226</v>
      </c>
      <c r="J1655" s="1326" t="e">
        <f>100*J1654/J1623</f>
        <v>#N/A</v>
      </c>
      <c r="K1655" s="343" t="s">
        <v>227</v>
      </c>
      <c r="L1655" s="336"/>
      <c r="M1655" s="336"/>
      <c r="N1655" s="336"/>
      <c r="O1655" s="336"/>
      <c r="P1655" s="336"/>
      <c r="Q1655" s="336"/>
      <c r="R1655" s="336"/>
      <c r="S1655" s="336"/>
      <c r="T1655" s="298"/>
      <c r="U1655" s="299"/>
      <c r="V1655" s="279"/>
      <c r="W1655" s="279"/>
      <c r="X1655" s="279"/>
      <c r="Y1655" s="279"/>
      <c r="Z1655" s="279"/>
      <c r="AA1655" s="279"/>
      <c r="AB1655" s="279"/>
      <c r="AC1655" s="279"/>
      <c r="AD1655" s="279"/>
      <c r="AE1655" s="279"/>
      <c r="AF1655" s="279"/>
      <c r="AG1655" s="279"/>
      <c r="AH1655" s="279"/>
      <c r="AI1655" s="279"/>
      <c r="AJ1655" s="279"/>
      <c r="AK1655" s="279"/>
      <c r="AL1655" s="279"/>
      <c r="AM1655" s="279"/>
      <c r="AN1655" s="279"/>
      <c r="AO1655" s="279"/>
      <c r="AP1655" s="279"/>
      <c r="AQ1655" s="279"/>
      <c r="AR1655" s="279"/>
      <c r="AS1655" s="279"/>
      <c r="AT1655" s="279"/>
      <c r="AU1655" s="279"/>
      <c r="AV1655" s="279"/>
      <c r="AW1655" s="279"/>
      <c r="AX1655" s="279"/>
      <c r="AY1655" s="279"/>
      <c r="AZ1655" s="279"/>
      <c r="BA1655" s="279"/>
      <c r="BB1655" s="279"/>
      <c r="BC1655" s="279"/>
      <c r="BD1655" s="279"/>
      <c r="BE1655" s="279"/>
      <c r="BF1655" s="279"/>
      <c r="BG1655" s="279"/>
      <c r="BH1655" s="279"/>
      <c r="BI1655" s="279"/>
      <c r="BJ1655" s="279"/>
      <c r="BK1655" s="279"/>
      <c r="BL1655" s="279"/>
      <c r="BM1655" s="279"/>
      <c r="BN1655" s="279"/>
      <c r="BO1655" s="279"/>
      <c r="BP1655" s="279"/>
      <c r="BQ1655" s="279"/>
      <c r="BR1655" s="279"/>
      <c r="BS1655" s="279"/>
      <c r="BT1655" s="279"/>
      <c r="BU1655" s="279"/>
      <c r="BV1655" s="279"/>
      <c r="BW1655" s="279"/>
      <c r="BX1655" s="279"/>
      <c r="BY1655" s="279"/>
      <c r="BZ1655" s="279"/>
      <c r="CA1655" s="279"/>
      <c r="CB1655" s="279"/>
      <c r="CC1655" s="279"/>
      <c r="CD1655" s="279"/>
      <c r="CE1655" s="279"/>
      <c r="CF1655" s="279"/>
      <c r="CG1655" s="279"/>
      <c r="CH1655" s="279"/>
      <c r="CI1655" s="279"/>
      <c r="CJ1655" s="279"/>
      <c r="CK1655" s="279"/>
      <c r="CL1655" s="279"/>
      <c r="CM1655" s="279"/>
      <c r="CN1655" s="382"/>
    </row>
    <row r="1656" x14ac:dyDescent="0.25">
      <c r="B1656" s="361"/>
      <c r="C1656" s="279"/>
      <c r="D1656" s="280"/>
      <c r="E1656" s="287"/>
      <c r="F1656" s="287"/>
      <c r="G1656" s="287"/>
      <c r="H1656" s="280"/>
      <c r="I1656" s="347" t="s">
        <v>228</v>
      </c>
      <c r="J1656" s="1326" t="e">
        <f>MIN('V. Environmental'!J1633,J1655)</f>
        <v>#N/A</v>
      </c>
      <c r="K1656" s="343" t="s">
        <v>227</v>
      </c>
      <c r="L1656" s="336"/>
      <c r="M1656" s="336"/>
      <c r="N1656" s="336"/>
      <c r="O1656" s="336"/>
      <c r="P1656" s="336"/>
      <c r="Q1656" s="336"/>
      <c r="R1656" s="336"/>
      <c r="S1656" s="336"/>
      <c r="T1656" s="298"/>
      <c r="U1656" s="299"/>
      <c r="V1656" s="279"/>
      <c r="W1656" s="279"/>
      <c r="X1656" s="279"/>
      <c r="Y1656" s="279"/>
      <c r="Z1656" s="279"/>
      <c r="AA1656" s="279"/>
      <c r="AB1656" s="279"/>
      <c r="AC1656" s="279"/>
      <c r="AD1656" s="279"/>
      <c r="AE1656" s="279"/>
      <c r="AF1656" s="279"/>
      <c r="AG1656" s="279"/>
      <c r="AH1656" s="279"/>
      <c r="AI1656" s="279"/>
      <c r="AJ1656" s="279"/>
      <c r="AK1656" s="279"/>
      <c r="AL1656" s="279"/>
      <c r="AM1656" s="279"/>
      <c r="AN1656" s="279"/>
      <c r="AO1656" s="279"/>
      <c r="AP1656" s="279"/>
      <c r="AQ1656" s="279"/>
      <c r="AR1656" s="279"/>
      <c r="AS1656" s="279"/>
      <c r="AT1656" s="279"/>
      <c r="AU1656" s="279"/>
      <c r="AV1656" s="279"/>
      <c r="AW1656" s="279"/>
      <c r="AX1656" s="279"/>
      <c r="AY1656" s="279"/>
      <c r="AZ1656" s="279"/>
      <c r="BA1656" s="279"/>
      <c r="BB1656" s="279"/>
      <c r="BC1656" s="279"/>
      <c r="BD1656" s="279"/>
      <c r="BE1656" s="279"/>
      <c r="BF1656" s="279"/>
      <c r="BG1656" s="279"/>
      <c r="BH1656" s="279"/>
      <c r="BI1656" s="279"/>
      <c r="BJ1656" s="279"/>
      <c r="BK1656" s="279"/>
      <c r="BL1656" s="279"/>
      <c r="BM1656" s="279"/>
      <c r="BN1656" s="279"/>
      <c r="BO1656" s="279"/>
      <c r="BP1656" s="279"/>
      <c r="BQ1656" s="279"/>
      <c r="BR1656" s="279"/>
      <c r="BS1656" s="279"/>
      <c r="BT1656" s="279"/>
      <c r="BU1656" s="279"/>
      <c r="BV1656" s="279"/>
      <c r="BW1656" s="279"/>
      <c r="BX1656" s="279"/>
      <c r="BY1656" s="279"/>
      <c r="BZ1656" s="279"/>
      <c r="CA1656" s="279"/>
      <c r="CB1656" s="279"/>
      <c r="CC1656" s="279"/>
      <c r="CD1656" s="279"/>
      <c r="CE1656" s="279"/>
      <c r="CF1656" s="279"/>
      <c r="CG1656" s="279"/>
      <c r="CH1656" s="279"/>
      <c r="CI1656" s="279"/>
      <c r="CJ1656" s="279"/>
      <c r="CK1656" s="279"/>
      <c r="CL1656" s="279"/>
      <c r="CM1656" s="279"/>
      <c r="CN1656" s="382"/>
    </row>
    <row r="1657" x14ac:dyDescent="0.25">
      <c r="B1657" s="361"/>
      <c r="C1657" s="279"/>
      <c r="D1657" s="280"/>
      <c r="E1657" s="287"/>
      <c r="F1657" s="287"/>
      <c r="G1657" s="287"/>
      <c r="H1657" s="280"/>
      <c r="I1657" s="347" t="s">
        <v>229</v>
      </c>
      <c r="J1657" s="1326" t="e">
        <f>IF(J1619&lt;J1621,J1619,J1621)</f>
        <v>#N/A</v>
      </c>
      <c r="K1657" s="343" t="s">
        <v>230</v>
      </c>
      <c r="L1657" s="336"/>
      <c r="M1657" s="336"/>
      <c r="N1657" s="336"/>
      <c r="O1657" s="336"/>
      <c r="P1657" s="336"/>
      <c r="Q1657" s="336"/>
      <c r="R1657" s="336"/>
      <c r="S1657" s="336"/>
      <c r="T1657" s="298"/>
      <c r="U1657" s="299"/>
      <c r="V1657" s="279"/>
      <c r="W1657" s="279"/>
      <c r="X1657" s="279"/>
      <c r="Y1657" s="279"/>
      <c r="Z1657" s="279"/>
      <c r="AA1657" s="279"/>
      <c r="AB1657" s="279"/>
      <c r="AC1657" s="279"/>
      <c r="AD1657" s="279"/>
      <c r="AE1657" s="279"/>
      <c r="AF1657" s="279"/>
      <c r="AG1657" s="279"/>
      <c r="AH1657" s="279"/>
      <c r="AI1657" s="279"/>
      <c r="AJ1657" s="279"/>
      <c r="AK1657" s="279"/>
      <c r="AL1657" s="279"/>
      <c r="AM1657" s="279"/>
      <c r="AN1657" s="279"/>
      <c r="AO1657" s="279"/>
      <c r="AP1657" s="279"/>
      <c r="AQ1657" s="279"/>
      <c r="AR1657" s="279"/>
      <c r="AS1657" s="279"/>
      <c r="AT1657" s="279"/>
      <c r="AU1657" s="279"/>
      <c r="AV1657" s="279"/>
      <c r="AW1657" s="279"/>
      <c r="AX1657" s="279"/>
      <c r="AY1657" s="279"/>
      <c r="AZ1657" s="279"/>
      <c r="BA1657" s="279"/>
      <c r="BB1657" s="279"/>
      <c r="BC1657" s="279"/>
      <c r="BD1657" s="279"/>
      <c r="BE1657" s="279"/>
      <c r="BF1657" s="279"/>
      <c r="BG1657" s="279"/>
      <c r="BH1657" s="279"/>
      <c r="BI1657" s="279"/>
      <c r="BJ1657" s="279"/>
      <c r="BK1657" s="279"/>
      <c r="BL1657" s="279"/>
      <c r="BM1657" s="279"/>
      <c r="BN1657" s="279"/>
      <c r="BO1657" s="279"/>
      <c r="BP1657" s="279"/>
      <c r="BQ1657" s="279"/>
      <c r="BR1657" s="279"/>
      <c r="BS1657" s="279"/>
      <c r="BT1657" s="279"/>
      <c r="BU1657" s="279"/>
      <c r="BV1657" s="279"/>
      <c r="BW1657" s="279"/>
      <c r="BX1657" s="279"/>
      <c r="BY1657" s="279"/>
      <c r="BZ1657" s="279"/>
      <c r="CA1657" s="279"/>
      <c r="CB1657" s="279"/>
      <c r="CC1657" s="279"/>
      <c r="CD1657" s="279"/>
      <c r="CE1657" s="279"/>
      <c r="CF1657" s="279"/>
      <c r="CG1657" s="279"/>
      <c r="CH1657" s="279"/>
      <c r="CI1657" s="279"/>
      <c r="CJ1657" s="279"/>
      <c r="CK1657" s="279"/>
      <c r="CL1657" s="279"/>
      <c r="CM1657" s="279"/>
      <c r="CN1657" s="382"/>
    </row>
    <row r="1658" x14ac:dyDescent="0.25">
      <c r="B1658" s="361"/>
      <c r="C1658" s="279"/>
      <c r="D1658" s="280"/>
      <c r="E1658" s="287"/>
      <c r="F1658" s="287"/>
      <c r="G1658" s="287"/>
      <c r="H1658" s="280"/>
      <c r="I1658" s="347" t="s">
        <v>231</v>
      </c>
      <c r="J1658" s="1326" t="e">
        <f>+((J1656)^0.95)*0.0001*9*(J1620*'V. Environmental'!J1622/(J1657+273))</f>
        <v>#N/A</v>
      </c>
      <c r="K1658" s="343" t="s">
        <v>213</v>
      </c>
      <c r="L1658" s="336"/>
      <c r="M1658" s="336"/>
      <c r="N1658" s="336"/>
      <c r="O1658" s="336"/>
      <c r="P1658" s="336"/>
      <c r="Q1658" s="336"/>
      <c r="R1658" s="336"/>
      <c r="S1658" s="336"/>
      <c r="T1658" s="298"/>
      <c r="U1658" s="299"/>
      <c r="V1658" s="279"/>
      <c r="W1658" s="279"/>
      <c r="X1658" s="279"/>
      <c r="Y1658" s="279"/>
      <c r="Z1658" s="279"/>
      <c r="AA1658" s="279"/>
      <c r="AB1658" s="279"/>
      <c r="AC1658" s="279"/>
      <c r="AD1658" s="279"/>
      <c r="AE1658" s="279"/>
      <c r="AF1658" s="279"/>
      <c r="AG1658" s="279"/>
      <c r="AH1658" s="279"/>
      <c r="AI1658" s="279"/>
      <c r="AJ1658" s="279"/>
      <c r="AK1658" s="279"/>
      <c r="AL1658" s="279"/>
      <c r="AM1658" s="279"/>
      <c r="AN1658" s="279"/>
      <c r="AO1658" s="279"/>
      <c r="AP1658" s="279"/>
      <c r="AQ1658" s="279"/>
      <c r="AR1658" s="279"/>
      <c r="AS1658" s="279"/>
      <c r="AT1658" s="279"/>
      <c r="AU1658" s="279"/>
      <c r="AV1658" s="279"/>
      <c r="AW1658" s="279"/>
      <c r="AX1658" s="279"/>
      <c r="AY1658" s="279"/>
      <c r="AZ1658" s="279"/>
      <c r="BA1658" s="279"/>
      <c r="BB1658" s="279"/>
      <c r="BC1658" s="279"/>
      <c r="BD1658" s="279"/>
      <c r="BE1658" s="279"/>
      <c r="BF1658" s="279"/>
      <c r="BG1658" s="279"/>
      <c r="BH1658" s="279"/>
      <c r="BI1658" s="279"/>
      <c r="BJ1658" s="279"/>
      <c r="BK1658" s="279"/>
      <c r="BL1658" s="279"/>
      <c r="BM1658" s="279"/>
      <c r="BN1658" s="279"/>
      <c r="BO1658" s="279"/>
      <c r="BP1658" s="279"/>
      <c r="BQ1658" s="279"/>
      <c r="BR1658" s="279"/>
      <c r="BS1658" s="279"/>
      <c r="BT1658" s="279"/>
      <c r="BU1658" s="279"/>
      <c r="BV1658" s="279"/>
      <c r="BW1658" s="279"/>
      <c r="BX1658" s="279"/>
      <c r="BY1658" s="279"/>
      <c r="BZ1658" s="279"/>
      <c r="CA1658" s="279"/>
      <c r="CB1658" s="279"/>
      <c r="CC1658" s="279"/>
      <c r="CD1658" s="279"/>
      <c r="CE1658" s="279"/>
      <c r="CF1658" s="279"/>
      <c r="CG1658" s="279"/>
      <c r="CH1658" s="279"/>
      <c r="CI1658" s="279"/>
      <c r="CJ1658" s="279"/>
      <c r="CK1658" s="279"/>
      <c r="CL1658" s="279"/>
      <c r="CM1658" s="279"/>
      <c r="CN1658" s="382"/>
    </row>
    <row r="1659" x14ac:dyDescent="0.25">
      <c r="B1659" s="361"/>
      <c r="C1659" s="279"/>
      <c r="D1659" s="280"/>
      <c r="E1659" s="287"/>
      <c r="F1659" s="287"/>
      <c r="G1659" s="287"/>
      <c r="H1659" s="280"/>
      <c r="I1659" s="347" t="s">
        <v>232</v>
      </c>
      <c r="J1659" s="1326" t="e">
        <f>MIN(J1658+J1653,J1649)</f>
        <v>#N/A</v>
      </c>
      <c r="K1659" s="343" t="s">
        <v>213</v>
      </c>
      <c r="L1659" s="336"/>
      <c r="M1659" s="336"/>
      <c r="N1659" s="336"/>
      <c r="O1659" s="336"/>
      <c r="P1659" s="336"/>
      <c r="Q1659" s="336"/>
      <c r="R1659" s="336"/>
      <c r="S1659" s="336"/>
      <c r="T1659" s="298"/>
      <c r="U1659" s="299"/>
      <c r="V1659" s="279"/>
      <c r="W1659" s="279"/>
      <c r="X1659" s="279"/>
      <c r="Y1659" s="279"/>
      <c r="Z1659" s="279"/>
      <c r="AA1659" s="279"/>
      <c r="AB1659" s="279"/>
      <c r="AC1659" s="279"/>
      <c r="AD1659" s="279"/>
      <c r="AE1659" s="279"/>
      <c r="AF1659" s="279"/>
      <c r="AG1659" s="279"/>
      <c r="AH1659" s="279"/>
      <c r="AI1659" s="279"/>
      <c r="AJ1659" s="279"/>
      <c r="AK1659" s="279"/>
      <c r="AL1659" s="279"/>
      <c r="AM1659" s="279"/>
      <c r="AN1659" s="279"/>
      <c r="AO1659" s="279"/>
      <c r="AP1659" s="279"/>
      <c r="AQ1659" s="279"/>
      <c r="AR1659" s="279"/>
      <c r="AS1659" s="279"/>
      <c r="AT1659" s="279"/>
      <c r="AU1659" s="279"/>
      <c r="AV1659" s="279"/>
      <c r="AW1659" s="279"/>
      <c r="AX1659" s="279"/>
      <c r="AY1659" s="279"/>
      <c r="AZ1659" s="279"/>
      <c r="BA1659" s="279"/>
      <c r="BB1659" s="279"/>
      <c r="BC1659" s="279"/>
      <c r="BD1659" s="279"/>
      <c r="BE1659" s="279"/>
      <c r="BF1659" s="279"/>
      <c r="BG1659" s="279"/>
      <c r="BH1659" s="279"/>
      <c r="BI1659" s="279"/>
      <c r="BJ1659" s="279"/>
      <c r="BK1659" s="279"/>
      <c r="BL1659" s="279"/>
      <c r="BM1659" s="279"/>
      <c r="BN1659" s="279"/>
      <c r="BO1659" s="279"/>
      <c r="BP1659" s="279"/>
      <c r="BQ1659" s="279"/>
      <c r="BR1659" s="279"/>
      <c r="BS1659" s="279"/>
      <c r="BT1659" s="279"/>
      <c r="BU1659" s="279"/>
      <c r="BV1659" s="279"/>
      <c r="BW1659" s="279"/>
      <c r="BX1659" s="279"/>
      <c r="BY1659" s="279"/>
      <c r="BZ1659" s="279"/>
      <c r="CA1659" s="279"/>
      <c r="CB1659" s="279"/>
      <c r="CC1659" s="279"/>
      <c r="CD1659" s="279"/>
      <c r="CE1659" s="279"/>
      <c r="CF1659" s="279"/>
      <c r="CG1659" s="279"/>
      <c r="CH1659" s="279"/>
      <c r="CI1659" s="279"/>
      <c r="CJ1659" s="279"/>
      <c r="CK1659" s="279"/>
      <c r="CL1659" s="279"/>
      <c r="CM1659" s="279"/>
      <c r="CN1659" s="382"/>
    </row>
    <row r="1660" x14ac:dyDescent="0.25">
      <c r="B1660" s="361"/>
      <c r="C1660" s="279"/>
      <c r="D1660" s="280"/>
      <c r="E1660" s="287"/>
      <c r="F1660" s="287"/>
      <c r="G1660" s="287"/>
      <c r="H1660" s="280"/>
      <c r="I1660" s="347" t="s">
        <v>107</v>
      </c>
      <c r="J1660" s="1335" t="e">
        <f>655.1*(J1659/J1614)^0.5</f>
        <v>#N/A</v>
      </c>
      <c r="K1660" s="1336" t="e">
        <f>IF(J1660&gt;1000,"&gt;1000",J1660)</f>
        <v>#N/A</v>
      </c>
      <c r="L1660" s="336"/>
      <c r="M1660" s="336"/>
      <c r="N1660" s="336"/>
      <c r="O1660" s="336"/>
      <c r="P1660" s="336"/>
      <c r="Q1660" s="336"/>
      <c r="R1660" s="336"/>
      <c r="S1660" s="336"/>
      <c r="T1660" s="298"/>
      <c r="U1660" s="299"/>
      <c r="V1660" s="279"/>
      <c r="W1660" s="279"/>
      <c r="X1660" s="279"/>
      <c r="Y1660" s="279"/>
      <c r="Z1660" s="279"/>
      <c r="AA1660" s="279"/>
      <c r="AB1660" s="279"/>
      <c r="AC1660" s="279"/>
      <c r="AD1660" s="279"/>
      <c r="AE1660" s="279"/>
      <c r="AF1660" s="279"/>
      <c r="AG1660" s="279"/>
      <c r="AH1660" s="279"/>
      <c r="AI1660" s="279"/>
      <c r="AJ1660" s="279"/>
      <c r="AK1660" s="279"/>
      <c r="AL1660" s="279"/>
      <c r="AM1660" s="279"/>
      <c r="AN1660" s="279"/>
      <c r="AO1660" s="279"/>
      <c r="AP1660" s="279"/>
      <c r="AQ1660" s="279"/>
      <c r="AR1660" s="279"/>
      <c r="AS1660" s="279"/>
      <c r="AT1660" s="279"/>
      <c r="AU1660" s="279"/>
      <c r="AV1660" s="279"/>
      <c r="AW1660" s="279"/>
      <c r="AX1660" s="279"/>
      <c r="AY1660" s="279"/>
      <c r="AZ1660" s="279"/>
      <c r="BA1660" s="279"/>
      <c r="BB1660" s="279"/>
      <c r="BC1660" s="279"/>
      <c r="BD1660" s="279"/>
      <c r="BE1660" s="279"/>
      <c r="BF1660" s="279"/>
      <c r="BG1660" s="279"/>
      <c r="BH1660" s="279"/>
      <c r="BI1660" s="279"/>
      <c r="BJ1660" s="279"/>
      <c r="BK1660" s="279"/>
      <c r="BL1660" s="279"/>
      <c r="BM1660" s="279"/>
      <c r="BN1660" s="279"/>
      <c r="BO1660" s="279"/>
      <c r="BP1660" s="279"/>
      <c r="BQ1660" s="279"/>
      <c r="BR1660" s="279"/>
      <c r="BS1660" s="279"/>
      <c r="BT1660" s="279"/>
      <c r="BU1660" s="279"/>
      <c r="BV1660" s="279"/>
      <c r="BW1660" s="279"/>
      <c r="BX1660" s="279"/>
      <c r="BY1660" s="279"/>
      <c r="BZ1660" s="279"/>
      <c r="CA1660" s="279"/>
      <c r="CB1660" s="279"/>
      <c r="CC1660" s="279"/>
      <c r="CD1660" s="279"/>
      <c r="CE1660" s="279"/>
      <c r="CF1660" s="279"/>
      <c r="CG1660" s="279"/>
      <c r="CH1660" s="279"/>
      <c r="CI1660" s="279"/>
      <c r="CJ1660" s="279"/>
      <c r="CK1660" s="279"/>
      <c r="CL1660" s="279"/>
      <c r="CM1660" s="279"/>
      <c r="CN1660" s="382"/>
    </row>
    <row r="1661" x14ac:dyDescent="0.25">
      <c r="B1661" s="361"/>
      <c r="C1661" s="279"/>
      <c r="D1661" s="280"/>
      <c r="E1661" s="287"/>
      <c r="F1661" s="287"/>
      <c r="G1661" s="287"/>
      <c r="H1661" s="280"/>
      <c r="I1661" s="347" t="s">
        <v>233</v>
      </c>
      <c r="J1661" s="1335" t="e">
        <f>10*J1660</f>
        <v>#N/A</v>
      </c>
      <c r="K1661" s="343" t="s">
        <v>218</v>
      </c>
      <c r="L1661" s="336"/>
      <c r="M1661" s="336"/>
      <c r="N1661" s="336"/>
      <c r="O1661" s="336"/>
      <c r="P1661" s="336"/>
      <c r="Q1661" s="336"/>
      <c r="R1661" s="336"/>
      <c r="S1661" s="336"/>
      <c r="T1661" s="298"/>
      <c r="U1661" s="299"/>
      <c r="V1661" s="279"/>
      <c r="W1661" s="279"/>
      <c r="X1661" s="279"/>
      <c r="Y1661" s="279"/>
      <c r="Z1661" s="279"/>
      <c r="AA1661" s="279"/>
      <c r="AB1661" s="279"/>
      <c r="AC1661" s="279"/>
      <c r="AD1661" s="279"/>
      <c r="AE1661" s="279"/>
      <c r="AF1661" s="279"/>
      <c r="AG1661" s="279"/>
      <c r="AH1661" s="279"/>
      <c r="AI1661" s="279"/>
      <c r="AJ1661" s="279"/>
      <c r="AK1661" s="279"/>
      <c r="AL1661" s="279"/>
      <c r="AM1661" s="279"/>
      <c r="AN1661" s="279"/>
      <c r="AO1661" s="279"/>
      <c r="AP1661" s="279"/>
      <c r="AQ1661" s="279"/>
      <c r="AR1661" s="279"/>
      <c r="AS1661" s="279"/>
      <c r="AT1661" s="279"/>
      <c r="AU1661" s="279"/>
      <c r="AV1661" s="279"/>
      <c r="AW1661" s="279"/>
      <c r="AX1661" s="279"/>
      <c r="AY1661" s="279"/>
      <c r="AZ1661" s="279"/>
      <c r="BA1661" s="279"/>
      <c r="BB1661" s="279"/>
      <c r="BC1661" s="279"/>
      <c r="BD1661" s="279"/>
      <c r="BE1661" s="279"/>
      <c r="BF1661" s="279"/>
      <c r="BG1661" s="279"/>
      <c r="BH1661" s="279"/>
      <c r="BI1661" s="279"/>
      <c r="BJ1661" s="279"/>
      <c r="BK1661" s="279"/>
      <c r="BL1661" s="279"/>
      <c r="BM1661" s="279"/>
      <c r="BN1661" s="279"/>
      <c r="BO1661" s="279"/>
      <c r="BP1661" s="279"/>
      <c r="BQ1661" s="279"/>
      <c r="BR1661" s="279"/>
      <c r="BS1661" s="279"/>
      <c r="BT1661" s="279"/>
      <c r="BU1661" s="279"/>
      <c r="BV1661" s="279"/>
      <c r="BW1661" s="279"/>
      <c r="BX1661" s="279"/>
      <c r="BY1661" s="279"/>
      <c r="BZ1661" s="279"/>
      <c r="CA1661" s="279"/>
      <c r="CB1661" s="279"/>
      <c r="CC1661" s="279"/>
      <c r="CD1661" s="279"/>
      <c r="CE1661" s="279"/>
      <c r="CF1661" s="279"/>
      <c r="CG1661" s="279"/>
      <c r="CH1661" s="279"/>
      <c r="CI1661" s="279"/>
      <c r="CJ1661" s="279"/>
      <c r="CK1661" s="279"/>
      <c r="CL1661" s="279"/>
      <c r="CM1661" s="279"/>
      <c r="CN1661" s="382"/>
    </row>
    <row r="1662" x14ac:dyDescent="0.25">
      <c r="B1662" s="361"/>
      <c r="C1662" s="279"/>
      <c r="D1662" s="280"/>
      <c r="E1662" s="287"/>
      <c r="F1662" s="287"/>
      <c r="G1662" s="287"/>
      <c r="H1662" s="280"/>
      <c r="I1662" s="347" t="s">
        <v>234</v>
      </c>
      <c r="J1662" s="1335" t="e">
        <f>6551*(J1659/J1615)^0.5</f>
        <v>#N/A</v>
      </c>
      <c r="K1662" s="343" t="s">
        <v>218</v>
      </c>
      <c r="L1662" s="336"/>
      <c r="M1662" s="336"/>
      <c r="N1662" s="336"/>
      <c r="O1662" s="336"/>
      <c r="P1662" s="336"/>
      <c r="Q1662" s="336"/>
      <c r="R1662" s="336"/>
      <c r="S1662" s="336"/>
      <c r="T1662" s="298"/>
      <c r="U1662" s="299"/>
      <c r="V1662" s="279"/>
      <c r="W1662" s="279"/>
      <c r="X1662" s="279"/>
      <c r="Y1662" s="279"/>
      <c r="Z1662" s="279"/>
      <c r="AA1662" s="279"/>
      <c r="AB1662" s="279"/>
      <c r="AC1662" s="279"/>
      <c r="AD1662" s="279"/>
      <c r="AE1662" s="279"/>
      <c r="AF1662" s="279"/>
      <c r="AG1662" s="279"/>
      <c r="AH1662" s="279"/>
      <c r="AI1662" s="279"/>
      <c r="AJ1662" s="279"/>
      <c r="AK1662" s="279"/>
      <c r="AL1662" s="279"/>
      <c r="AM1662" s="279"/>
      <c r="AN1662" s="279"/>
      <c r="AO1662" s="279"/>
      <c r="AP1662" s="279"/>
      <c r="AQ1662" s="279"/>
      <c r="AR1662" s="279"/>
      <c r="AS1662" s="279"/>
      <c r="AT1662" s="279"/>
      <c r="AU1662" s="279"/>
      <c r="AV1662" s="279"/>
      <c r="AW1662" s="279"/>
      <c r="AX1662" s="279"/>
      <c r="AY1662" s="279"/>
      <c r="AZ1662" s="279"/>
      <c r="BA1662" s="279"/>
      <c r="BB1662" s="279"/>
      <c r="BC1662" s="279"/>
      <c r="BD1662" s="279"/>
      <c r="BE1662" s="279"/>
      <c r="BF1662" s="279"/>
      <c r="BG1662" s="279"/>
      <c r="BH1662" s="279"/>
      <c r="BI1662" s="279"/>
      <c r="BJ1662" s="279"/>
      <c r="BK1662" s="279"/>
      <c r="BL1662" s="279"/>
      <c r="BM1662" s="279"/>
      <c r="BN1662" s="279"/>
      <c r="BO1662" s="279"/>
      <c r="BP1662" s="279"/>
      <c r="BQ1662" s="279"/>
      <c r="BR1662" s="279"/>
      <c r="BS1662" s="279"/>
      <c r="BT1662" s="279"/>
      <c r="BU1662" s="279"/>
      <c r="BV1662" s="279"/>
      <c r="BW1662" s="279"/>
      <c r="BX1662" s="279"/>
      <c r="BY1662" s="279"/>
      <c r="BZ1662" s="279"/>
      <c r="CA1662" s="279"/>
      <c r="CB1662" s="279"/>
      <c r="CC1662" s="279"/>
      <c r="CD1662" s="279"/>
      <c r="CE1662" s="279"/>
      <c r="CF1662" s="279"/>
      <c r="CG1662" s="279"/>
      <c r="CH1662" s="279"/>
      <c r="CI1662" s="279"/>
      <c r="CJ1662" s="279"/>
      <c r="CK1662" s="279"/>
      <c r="CL1662" s="279"/>
      <c r="CM1662" s="279"/>
      <c r="CN1662" s="382"/>
    </row>
    <row r="1663" ht="16.2" thickBot="true" x14ac:dyDescent="0.3">
      <c r="B1663" s="361"/>
      <c r="C1663" s="279"/>
      <c r="D1663" s="280"/>
      <c r="E1663" s="287"/>
      <c r="F1663" s="287"/>
      <c r="G1663" s="287"/>
      <c r="H1663" s="280"/>
      <c r="I1663" s="349" t="s">
        <v>220</v>
      </c>
      <c r="J1663" s="1337" t="e">
        <f>MAX(300,MAX(J1617:J1617)/J1638)/60</f>
        <v>#N/A</v>
      </c>
      <c r="K1663" s="350" t="s">
        <v>221</v>
      </c>
      <c r="L1663" s="336"/>
      <c r="M1663" s="336"/>
      <c r="N1663" s="336"/>
      <c r="O1663" s="336"/>
      <c r="P1663" s="336"/>
      <c r="Q1663" s="336"/>
      <c r="R1663" s="336"/>
      <c r="S1663" s="336"/>
      <c r="T1663" s="298"/>
      <c r="U1663" s="299"/>
      <c r="V1663" s="279"/>
      <c r="W1663" s="279"/>
      <c r="X1663" s="279"/>
      <c r="Y1663" s="279"/>
      <c r="Z1663" s="279"/>
      <c r="AA1663" s="279"/>
      <c r="AB1663" s="279"/>
      <c r="AC1663" s="279"/>
      <c r="AD1663" s="279"/>
      <c r="AE1663" s="279"/>
      <c r="AF1663" s="279"/>
      <c r="AG1663" s="279"/>
      <c r="AH1663" s="279"/>
      <c r="AI1663" s="279"/>
      <c r="AJ1663" s="279"/>
      <c r="AK1663" s="279"/>
      <c r="AL1663" s="279"/>
      <c r="AM1663" s="279"/>
      <c r="AN1663" s="279"/>
      <c r="AO1663" s="279"/>
      <c r="AP1663" s="279"/>
      <c r="AQ1663" s="279"/>
      <c r="AR1663" s="279"/>
      <c r="AS1663" s="279"/>
      <c r="AT1663" s="279"/>
      <c r="AU1663" s="279"/>
      <c r="AV1663" s="279"/>
      <c r="AW1663" s="279"/>
      <c r="AX1663" s="279"/>
      <c r="AY1663" s="279"/>
      <c r="AZ1663" s="279"/>
      <c r="BA1663" s="279"/>
      <c r="BB1663" s="279"/>
      <c r="BC1663" s="279"/>
      <c r="BD1663" s="279"/>
      <c r="BE1663" s="279"/>
      <c r="BF1663" s="279"/>
      <c r="BG1663" s="279"/>
      <c r="BH1663" s="279"/>
      <c r="BI1663" s="279"/>
      <c r="BJ1663" s="279"/>
      <c r="BK1663" s="279"/>
      <c r="BL1663" s="279"/>
      <c r="BM1663" s="279"/>
      <c r="BN1663" s="279"/>
      <c r="BO1663" s="279"/>
      <c r="BP1663" s="279"/>
      <c r="BQ1663" s="279"/>
      <c r="BR1663" s="279"/>
      <c r="BS1663" s="279"/>
      <c r="BT1663" s="279"/>
      <c r="BU1663" s="279"/>
      <c r="BV1663" s="279"/>
      <c r="BW1663" s="279"/>
      <c r="BX1663" s="279"/>
      <c r="BY1663" s="279"/>
      <c r="BZ1663" s="279"/>
      <c r="CA1663" s="279"/>
      <c r="CB1663" s="279"/>
      <c r="CC1663" s="279"/>
      <c r="CD1663" s="279"/>
      <c r="CE1663" s="279"/>
      <c r="CF1663" s="279"/>
      <c r="CG1663" s="279"/>
      <c r="CH1663" s="279"/>
      <c r="CI1663" s="279"/>
      <c r="CJ1663" s="279"/>
      <c r="CK1663" s="279"/>
      <c r="CL1663" s="279"/>
      <c r="CM1663" s="279"/>
      <c r="CN1663" s="382"/>
    </row>
    <row r="1664" x14ac:dyDescent="0.25">
      <c r="B1664" s="361"/>
      <c r="C1664" s="279"/>
      <c r="D1664" s="280"/>
      <c r="E1664" s="287"/>
      <c r="F1664" s="287"/>
      <c r="G1664" s="287"/>
      <c r="H1664" s="280"/>
      <c r="I1664" s="337"/>
      <c r="J1664" s="1940"/>
      <c r="K1664" s="1940"/>
      <c r="L1664" s="336"/>
      <c r="M1664" s="336"/>
      <c r="N1664" s="336"/>
      <c r="O1664" s="336"/>
      <c r="P1664" s="336"/>
      <c r="Q1664" s="336"/>
      <c r="R1664" s="336"/>
      <c r="S1664" s="336"/>
      <c r="T1664" s="298"/>
      <c r="U1664" s="299"/>
      <c r="V1664" s="279"/>
      <c r="W1664" s="279"/>
      <c r="X1664" s="279"/>
      <c r="Y1664" s="279"/>
      <c r="Z1664" s="279"/>
      <c r="AA1664" s="279"/>
      <c r="AB1664" s="279"/>
      <c r="AC1664" s="279"/>
      <c r="AD1664" s="279"/>
      <c r="AE1664" s="279"/>
      <c r="AF1664" s="279"/>
      <c r="AG1664" s="279"/>
      <c r="AH1664" s="279"/>
      <c r="AI1664" s="279"/>
      <c r="AJ1664" s="279"/>
      <c r="AK1664" s="279"/>
      <c r="AL1664" s="279"/>
      <c r="AM1664" s="279"/>
      <c r="AN1664" s="279"/>
      <c r="AO1664" s="279"/>
      <c r="AP1664" s="279"/>
      <c r="AQ1664" s="279"/>
      <c r="AR1664" s="279"/>
      <c r="AS1664" s="279"/>
      <c r="AT1664" s="279"/>
      <c r="AU1664" s="279"/>
      <c r="AV1664" s="279"/>
      <c r="AW1664" s="279"/>
      <c r="AX1664" s="279"/>
      <c r="AY1664" s="279"/>
      <c r="AZ1664" s="279"/>
      <c r="BA1664" s="279"/>
      <c r="BB1664" s="279"/>
      <c r="BC1664" s="279"/>
      <c r="BD1664" s="279"/>
      <c r="BE1664" s="279"/>
      <c r="BF1664" s="279"/>
      <c r="BG1664" s="279"/>
      <c r="BH1664" s="279"/>
      <c r="BI1664" s="279"/>
      <c r="BJ1664" s="279"/>
      <c r="BK1664" s="279"/>
      <c r="BL1664" s="279"/>
      <c r="BM1664" s="279"/>
      <c r="BN1664" s="279"/>
      <c r="BO1664" s="279"/>
      <c r="BP1664" s="279"/>
      <c r="BQ1664" s="279"/>
      <c r="BR1664" s="279"/>
      <c r="BS1664" s="279"/>
      <c r="BT1664" s="279"/>
      <c r="BU1664" s="279"/>
      <c r="BV1664" s="279"/>
      <c r="BW1664" s="279"/>
      <c r="BX1664" s="279"/>
      <c r="BY1664" s="279"/>
      <c r="BZ1664" s="279"/>
      <c r="CA1664" s="279"/>
      <c r="CB1664" s="279"/>
      <c r="CC1664" s="279"/>
      <c r="CD1664" s="279"/>
      <c r="CE1664" s="279"/>
      <c r="CF1664" s="279"/>
      <c r="CG1664" s="279"/>
      <c r="CH1664" s="279"/>
      <c r="CI1664" s="279"/>
      <c r="CJ1664" s="279"/>
      <c r="CK1664" s="279"/>
      <c r="CL1664" s="279"/>
      <c r="CM1664" s="279"/>
      <c r="CN1664" s="382"/>
    </row>
    <row r="1665" ht="16.2" thickBot="true" x14ac:dyDescent="0.3">
      <c r="B1665" s="361"/>
      <c r="C1665" s="279"/>
      <c r="D1665" s="280"/>
      <c r="E1665" s="287"/>
      <c r="F1665" s="287"/>
      <c r="G1665" s="287"/>
      <c r="H1665" s="280"/>
      <c r="I1665" s="336"/>
      <c r="J1665" s="336"/>
      <c r="K1665" s="336"/>
      <c r="L1665" s="336"/>
      <c r="M1665" s="336"/>
      <c r="N1665" s="336"/>
      <c r="O1665" s="336"/>
      <c r="P1665" s="336"/>
      <c r="Q1665" s="336"/>
      <c r="R1665" s="336"/>
      <c r="S1665" s="336"/>
      <c r="T1665" s="298"/>
      <c r="U1665" s="299"/>
      <c r="V1665" s="279"/>
      <c r="W1665" s="279"/>
      <c r="X1665" s="279"/>
      <c r="Y1665" s="279"/>
      <c r="Z1665" s="279"/>
      <c r="AA1665" s="279"/>
      <c r="AB1665" s="279"/>
      <c r="AC1665" s="279"/>
      <c r="AD1665" s="279"/>
      <c r="AE1665" s="279"/>
      <c r="AF1665" s="279"/>
      <c r="AG1665" s="279"/>
      <c r="AH1665" s="279"/>
      <c r="AI1665" s="279"/>
      <c r="AJ1665" s="279"/>
      <c r="AK1665" s="279"/>
      <c r="AL1665" s="279"/>
      <c r="AM1665" s="279"/>
      <c r="AN1665" s="279"/>
      <c r="AO1665" s="279"/>
      <c r="AP1665" s="279"/>
      <c r="AQ1665" s="279"/>
      <c r="AR1665" s="279"/>
      <c r="AS1665" s="279"/>
      <c r="AT1665" s="279"/>
      <c r="AU1665" s="279"/>
      <c r="AV1665" s="279"/>
      <c r="AW1665" s="279"/>
      <c r="AX1665" s="279"/>
      <c r="AY1665" s="279"/>
      <c r="AZ1665" s="279"/>
      <c r="BA1665" s="279"/>
      <c r="BB1665" s="279"/>
      <c r="BC1665" s="279"/>
      <c r="BD1665" s="279"/>
      <c r="BE1665" s="279"/>
      <c r="BF1665" s="279"/>
      <c r="BG1665" s="279"/>
      <c r="BH1665" s="279"/>
      <c r="BI1665" s="279"/>
      <c r="BJ1665" s="279"/>
      <c r="BK1665" s="279"/>
      <c r="BL1665" s="279"/>
      <c r="BM1665" s="279"/>
      <c r="BN1665" s="279"/>
      <c r="BO1665" s="279"/>
      <c r="BP1665" s="279"/>
      <c r="BQ1665" s="279"/>
      <c r="BR1665" s="279"/>
      <c r="BS1665" s="279"/>
      <c r="BT1665" s="279"/>
      <c r="BU1665" s="279"/>
      <c r="BV1665" s="279"/>
      <c r="BW1665" s="279"/>
      <c r="BX1665" s="279"/>
      <c r="BY1665" s="279"/>
      <c r="BZ1665" s="279"/>
      <c r="CA1665" s="279"/>
      <c r="CB1665" s="279"/>
      <c r="CC1665" s="279"/>
      <c r="CD1665" s="279"/>
      <c r="CE1665" s="279"/>
      <c r="CF1665" s="279"/>
      <c r="CG1665" s="279"/>
      <c r="CH1665" s="279"/>
      <c r="CI1665" s="279"/>
      <c r="CJ1665" s="279"/>
      <c r="CK1665" s="279"/>
      <c r="CL1665" s="279"/>
      <c r="CM1665" s="279"/>
      <c r="CN1665" s="382"/>
    </row>
    <row r="1666" ht="16.2" thickBot="true" x14ac:dyDescent="0.3">
      <c r="B1666" s="361"/>
      <c r="C1666" s="279"/>
      <c r="D1666" s="280"/>
      <c r="E1666" s="287"/>
      <c r="F1666" s="287"/>
      <c r="G1666" s="287"/>
      <c r="H1666" s="280"/>
      <c r="I1666" s="1945" t="s">
        <v>207</v>
      </c>
      <c r="J1666" s="1946"/>
      <c r="K1666" s="336"/>
      <c r="L1666" s="336"/>
      <c r="M1666" s="336"/>
      <c r="N1666" s="336"/>
      <c r="O1666" s="336"/>
      <c r="P1666" s="336"/>
      <c r="Q1666" s="336"/>
      <c r="R1666" s="336"/>
      <c r="S1666" s="336"/>
      <c r="T1666" s="298"/>
      <c r="U1666" s="299"/>
      <c r="V1666" s="279"/>
      <c r="W1666" s="279"/>
      <c r="X1666" s="279"/>
      <c r="Y1666" s="279"/>
      <c r="Z1666" s="279"/>
      <c r="AA1666" s="279"/>
      <c r="AB1666" s="279"/>
      <c r="AC1666" s="279"/>
      <c r="AD1666" s="279"/>
      <c r="AE1666" s="279"/>
      <c r="AF1666" s="279"/>
      <c r="AG1666" s="279"/>
      <c r="AH1666" s="279"/>
      <c r="AI1666" s="279"/>
      <c r="AJ1666" s="279"/>
      <c r="AK1666" s="279"/>
      <c r="AL1666" s="279"/>
      <c r="AM1666" s="279"/>
      <c r="AN1666" s="279"/>
      <c r="AO1666" s="279"/>
      <c r="AP1666" s="279"/>
      <c r="AQ1666" s="279"/>
      <c r="AR1666" s="279"/>
      <c r="AS1666" s="279"/>
      <c r="AT1666" s="279"/>
      <c r="AU1666" s="279"/>
      <c r="AV1666" s="279"/>
      <c r="AW1666" s="279"/>
      <c r="AX1666" s="279"/>
      <c r="AY1666" s="279"/>
      <c r="AZ1666" s="279"/>
      <c r="BA1666" s="279"/>
      <c r="BB1666" s="279"/>
      <c r="BC1666" s="279"/>
      <c r="BD1666" s="279"/>
      <c r="BE1666" s="279"/>
      <c r="BF1666" s="279"/>
      <c r="BG1666" s="279"/>
      <c r="BH1666" s="279"/>
      <c r="BI1666" s="279"/>
      <c r="BJ1666" s="279"/>
      <c r="BK1666" s="279"/>
      <c r="BL1666" s="279"/>
      <c r="BM1666" s="279"/>
      <c r="BN1666" s="279"/>
      <c r="BO1666" s="279"/>
      <c r="BP1666" s="279"/>
      <c r="BQ1666" s="279"/>
      <c r="BR1666" s="279"/>
      <c r="BS1666" s="279"/>
      <c r="BT1666" s="279"/>
      <c r="BU1666" s="279"/>
      <c r="BV1666" s="279"/>
      <c r="BW1666" s="279"/>
      <c r="BX1666" s="279"/>
      <c r="BY1666" s="279"/>
      <c r="BZ1666" s="279"/>
      <c r="CA1666" s="279"/>
      <c r="CB1666" s="279"/>
      <c r="CC1666" s="279"/>
      <c r="CD1666" s="279"/>
      <c r="CE1666" s="279"/>
      <c r="CF1666" s="279"/>
      <c r="CG1666" s="279"/>
      <c r="CH1666" s="279"/>
      <c r="CI1666" s="279"/>
      <c r="CJ1666" s="279"/>
      <c r="CK1666" s="279"/>
      <c r="CL1666" s="279"/>
      <c r="CM1666" s="279"/>
      <c r="CN1666" s="382"/>
    </row>
    <row r="1667" x14ac:dyDescent="0.25">
      <c r="B1667" s="361"/>
      <c r="C1667" s="279"/>
      <c r="D1667" s="280"/>
      <c r="E1667" s="287"/>
      <c r="F1667" s="287"/>
      <c r="G1667" s="287"/>
      <c r="H1667" s="280"/>
      <c r="I1667" s="337"/>
      <c r="J1667" s="336"/>
      <c r="K1667" s="336"/>
      <c r="L1667" s="336"/>
      <c r="M1667" s="336"/>
      <c r="N1667" s="336"/>
      <c r="O1667" s="336"/>
      <c r="P1667" s="336"/>
      <c r="Q1667" s="336"/>
      <c r="R1667" s="336"/>
      <c r="S1667" s="336"/>
      <c r="T1667" s="298"/>
      <c r="U1667" s="299"/>
      <c r="V1667" s="279"/>
      <c r="W1667" s="279"/>
      <c r="X1667" s="279"/>
      <c r="Y1667" s="279"/>
      <c r="Z1667" s="279"/>
      <c r="AA1667" s="279"/>
      <c r="AB1667" s="279"/>
      <c r="AC1667" s="279"/>
      <c r="AD1667" s="279"/>
      <c r="AE1667" s="279"/>
      <c r="AF1667" s="279"/>
      <c r="AG1667" s="279"/>
      <c r="AH1667" s="279"/>
      <c r="AI1667" s="279"/>
      <c r="AJ1667" s="279"/>
      <c r="AK1667" s="279"/>
      <c r="AL1667" s="279"/>
      <c r="AM1667" s="279"/>
      <c r="AN1667" s="279"/>
      <c r="AO1667" s="279"/>
      <c r="AP1667" s="279"/>
      <c r="AQ1667" s="279"/>
      <c r="AR1667" s="279"/>
      <c r="AS1667" s="279"/>
      <c r="AT1667" s="279"/>
      <c r="AU1667" s="279"/>
      <c r="AV1667" s="279"/>
      <c r="AW1667" s="279"/>
      <c r="AX1667" s="279"/>
      <c r="AY1667" s="279"/>
      <c r="AZ1667" s="279"/>
      <c r="BA1667" s="279"/>
      <c r="BB1667" s="279"/>
      <c r="BC1667" s="279"/>
      <c r="BD1667" s="279"/>
      <c r="BE1667" s="279"/>
      <c r="BF1667" s="279"/>
      <c r="BG1667" s="279"/>
      <c r="BH1667" s="279"/>
      <c r="BI1667" s="279"/>
      <c r="BJ1667" s="279"/>
      <c r="BK1667" s="279"/>
      <c r="BL1667" s="279"/>
      <c r="BM1667" s="279"/>
      <c r="BN1667" s="279"/>
      <c r="BO1667" s="279"/>
      <c r="BP1667" s="279"/>
      <c r="BQ1667" s="279"/>
      <c r="BR1667" s="279"/>
      <c r="BS1667" s="279"/>
      <c r="BT1667" s="279"/>
      <c r="BU1667" s="279"/>
      <c r="BV1667" s="279"/>
      <c r="BW1667" s="279"/>
      <c r="BX1667" s="279"/>
      <c r="BY1667" s="279"/>
      <c r="BZ1667" s="279"/>
      <c r="CA1667" s="279"/>
      <c r="CB1667" s="279"/>
      <c r="CC1667" s="279"/>
      <c r="CD1667" s="279"/>
      <c r="CE1667" s="279"/>
      <c r="CF1667" s="279"/>
      <c r="CG1667" s="279"/>
      <c r="CH1667" s="279"/>
      <c r="CI1667" s="279"/>
      <c r="CJ1667" s="279"/>
      <c r="CK1667" s="279"/>
      <c r="CL1667" s="279"/>
      <c r="CM1667" s="279"/>
      <c r="CN1667" s="382"/>
    </row>
    <row r="1668" ht="16.2" thickBot="true" x14ac:dyDescent="0.3">
      <c r="B1668" s="361"/>
      <c r="C1668" s="279"/>
      <c r="D1668" s="280"/>
      <c r="E1668" s="287"/>
      <c r="F1668" s="287"/>
      <c r="G1668" s="287"/>
      <c r="H1668" s="280"/>
      <c r="I1668" s="337"/>
      <c r="J1668" s="336"/>
      <c r="K1668" s="336"/>
      <c r="L1668" s="336"/>
      <c r="M1668" s="336"/>
      <c r="N1668" s="336"/>
      <c r="O1668" s="336"/>
      <c r="P1668" s="336"/>
      <c r="Q1668" s="336"/>
      <c r="R1668" s="336"/>
      <c r="S1668" s="336"/>
      <c r="T1668" s="298"/>
      <c r="U1668" s="299"/>
      <c r="V1668" s="279"/>
      <c r="W1668" s="279"/>
      <c r="X1668" s="279"/>
      <c r="Y1668" s="279"/>
      <c r="Z1668" s="279"/>
      <c r="AA1668" s="279"/>
      <c r="AB1668" s="279"/>
      <c r="AC1668" s="279"/>
      <c r="AD1668" s="279"/>
      <c r="AE1668" s="279"/>
      <c r="AF1668" s="279"/>
      <c r="AG1668" s="279"/>
      <c r="AH1668" s="279"/>
      <c r="AI1668" s="279"/>
      <c r="AJ1668" s="279"/>
      <c r="AK1668" s="279"/>
      <c r="AL1668" s="279"/>
      <c r="AM1668" s="279"/>
      <c r="AN1668" s="279"/>
      <c r="AO1668" s="279"/>
      <c r="AP1668" s="279"/>
      <c r="AQ1668" s="279"/>
      <c r="AR1668" s="279"/>
      <c r="AS1668" s="279"/>
      <c r="AT1668" s="279"/>
      <c r="AU1668" s="279"/>
      <c r="AV1668" s="279"/>
      <c r="AW1668" s="279"/>
      <c r="AX1668" s="279"/>
      <c r="AY1668" s="279"/>
      <c r="AZ1668" s="279"/>
      <c r="BA1668" s="279"/>
      <c r="BB1668" s="279"/>
      <c r="BC1668" s="279"/>
      <c r="BD1668" s="279"/>
      <c r="BE1668" s="279"/>
      <c r="BF1668" s="279"/>
      <c r="BG1668" s="279"/>
      <c r="BH1668" s="279"/>
      <c r="BI1668" s="279"/>
      <c r="BJ1668" s="279"/>
      <c r="BK1668" s="279"/>
      <c r="BL1668" s="279"/>
      <c r="BM1668" s="279"/>
      <c r="BN1668" s="279"/>
      <c r="BO1668" s="279"/>
      <c r="BP1668" s="279"/>
      <c r="BQ1668" s="279"/>
      <c r="BR1668" s="279"/>
      <c r="BS1668" s="279"/>
      <c r="BT1668" s="279"/>
      <c r="BU1668" s="279"/>
      <c r="BV1668" s="279"/>
      <c r="BW1668" s="279"/>
      <c r="BX1668" s="279"/>
      <c r="BY1668" s="279"/>
      <c r="BZ1668" s="279"/>
      <c r="CA1668" s="279"/>
      <c r="CB1668" s="279"/>
      <c r="CC1668" s="279"/>
      <c r="CD1668" s="279"/>
      <c r="CE1668" s="279"/>
      <c r="CF1668" s="279"/>
      <c r="CG1668" s="279"/>
      <c r="CH1668" s="279"/>
      <c r="CI1668" s="279"/>
      <c r="CJ1668" s="279"/>
      <c r="CK1668" s="279"/>
      <c r="CL1668" s="279"/>
      <c r="CM1668" s="279"/>
      <c r="CN1668" s="382"/>
    </row>
    <row r="1669" ht="16.8" thickTop="true" thickBot="true" x14ac:dyDescent="0.3">
      <c r="B1669" s="361"/>
      <c r="C1669" s="279"/>
      <c r="D1669" s="280"/>
      <c r="E1669" s="287"/>
      <c r="F1669" s="287"/>
      <c r="G1669" s="287"/>
      <c r="H1669" s="280"/>
      <c r="I1669" s="338" t="e">
        <f>I1607</f>
        <v>#N/A</v>
      </c>
      <c r="J1669" s="338" t="str">
        <f>J1607</f>
        <v>(Liquid Release)</v>
      </c>
      <c r="K1669" s="336"/>
      <c r="L1669" s="336"/>
      <c r="M1669" s="336"/>
      <c r="N1669" s="336"/>
      <c r="O1669" s="336"/>
      <c r="P1669" s="336"/>
      <c r="Q1669" s="336"/>
      <c r="R1669" s="336"/>
      <c r="S1669" s="336"/>
      <c r="T1669" s="298"/>
      <c r="U1669" s="299"/>
      <c r="V1669" s="279"/>
      <c r="W1669" s="279"/>
      <c r="X1669" s="279"/>
      <c r="Y1669" s="279"/>
      <c r="Z1669" s="279"/>
      <c r="AA1669" s="279"/>
      <c r="AB1669" s="279"/>
      <c r="AC1669" s="279"/>
      <c r="AD1669" s="279"/>
      <c r="AE1669" s="279"/>
      <c r="AF1669" s="279"/>
      <c r="AG1669" s="279"/>
      <c r="AH1669" s="279"/>
      <c r="AI1669" s="279"/>
      <c r="AJ1669" s="279"/>
      <c r="AK1669" s="279"/>
      <c r="AL1669" s="279"/>
      <c r="AM1669" s="279"/>
      <c r="AN1669" s="279"/>
      <c r="AO1669" s="279"/>
      <c r="AP1669" s="279"/>
      <c r="AQ1669" s="279"/>
      <c r="AR1669" s="279"/>
      <c r="AS1669" s="279"/>
      <c r="AT1669" s="279"/>
      <c r="AU1669" s="279"/>
      <c r="AV1669" s="279"/>
      <c r="AW1669" s="279"/>
      <c r="AX1669" s="279"/>
      <c r="AY1669" s="279"/>
      <c r="AZ1669" s="279"/>
      <c r="BA1669" s="279"/>
      <c r="BB1669" s="279"/>
      <c r="BC1669" s="279"/>
      <c r="BD1669" s="279"/>
      <c r="BE1669" s="279"/>
      <c r="BF1669" s="279"/>
      <c r="BG1669" s="279"/>
      <c r="BH1669" s="279"/>
      <c r="BI1669" s="279"/>
      <c r="BJ1669" s="279"/>
      <c r="BK1669" s="279"/>
      <c r="BL1669" s="279"/>
      <c r="BM1669" s="279"/>
      <c r="BN1669" s="279"/>
      <c r="BO1669" s="279"/>
      <c r="BP1669" s="279"/>
      <c r="BQ1669" s="279"/>
      <c r="BR1669" s="279"/>
      <c r="BS1669" s="279"/>
      <c r="BT1669" s="279"/>
      <c r="BU1669" s="279"/>
      <c r="BV1669" s="279"/>
      <c r="BW1669" s="279"/>
      <c r="BX1669" s="279"/>
      <c r="BY1669" s="279"/>
      <c r="BZ1669" s="279"/>
      <c r="CA1669" s="279"/>
      <c r="CB1669" s="279"/>
      <c r="CC1669" s="279"/>
      <c r="CD1669" s="279"/>
      <c r="CE1669" s="279"/>
      <c r="CF1669" s="279"/>
      <c r="CG1669" s="279"/>
      <c r="CH1669" s="279"/>
      <c r="CI1669" s="279"/>
      <c r="CJ1669" s="279"/>
      <c r="CK1669" s="279"/>
      <c r="CL1669" s="279"/>
      <c r="CM1669" s="279"/>
      <c r="CN1669" s="382"/>
    </row>
    <row r="1670" ht="16.8" thickTop="true" thickBot="true" x14ac:dyDescent="0.3">
      <c r="B1670" s="361"/>
      <c r="C1670" s="279"/>
      <c r="D1670" s="280"/>
      <c r="E1670" s="287"/>
      <c r="F1670" s="287"/>
      <c r="G1670" s="287"/>
      <c r="H1670" s="280"/>
      <c r="I1670" s="338" t="e">
        <f>I1608</f>
        <v>#N/A</v>
      </c>
      <c r="J1670" s="338" t="str">
        <f>J1608</f>
        <v>(Gas Release)</v>
      </c>
      <c r="K1670" s="336"/>
      <c r="L1670" s="336"/>
      <c r="M1670" s="336"/>
      <c r="N1670" s="336"/>
      <c r="O1670" s="336"/>
      <c r="P1670" s="336"/>
      <c r="Q1670" s="336"/>
      <c r="R1670" s="336"/>
      <c r="S1670" s="336"/>
      <c r="T1670" s="298"/>
      <c r="U1670" s="299"/>
      <c r="V1670" s="279"/>
      <c r="W1670" s="279"/>
      <c r="X1670" s="279"/>
      <c r="Y1670" s="279"/>
      <c r="Z1670" s="279"/>
      <c r="AA1670" s="279"/>
      <c r="AB1670" s="279"/>
      <c r="AC1670" s="279"/>
      <c r="AD1670" s="279"/>
      <c r="AE1670" s="279"/>
      <c r="AF1670" s="279"/>
      <c r="AG1670" s="279"/>
      <c r="AH1670" s="279"/>
      <c r="AI1670" s="279"/>
      <c r="AJ1670" s="279"/>
      <c r="AK1670" s="279"/>
      <c r="AL1670" s="279"/>
      <c r="AM1670" s="279"/>
      <c r="AN1670" s="279"/>
      <c r="AO1670" s="279"/>
      <c r="AP1670" s="279"/>
      <c r="AQ1670" s="279"/>
      <c r="AR1670" s="279"/>
      <c r="AS1670" s="279"/>
      <c r="AT1670" s="279"/>
      <c r="AU1670" s="279"/>
      <c r="AV1670" s="279"/>
      <c r="AW1670" s="279"/>
      <c r="AX1670" s="279"/>
      <c r="AY1670" s="279"/>
      <c r="AZ1670" s="279"/>
      <c r="BA1670" s="279"/>
      <c r="BB1670" s="279"/>
      <c r="BC1670" s="279"/>
      <c r="BD1670" s="279"/>
      <c r="BE1670" s="279"/>
      <c r="BF1670" s="279"/>
      <c r="BG1670" s="279"/>
      <c r="BH1670" s="279"/>
      <c r="BI1670" s="279"/>
      <c r="BJ1670" s="279"/>
      <c r="BK1670" s="279"/>
      <c r="BL1670" s="279"/>
      <c r="BM1670" s="279"/>
      <c r="BN1670" s="279"/>
      <c r="BO1670" s="279"/>
      <c r="BP1670" s="279"/>
      <c r="BQ1670" s="279"/>
      <c r="BR1670" s="279"/>
      <c r="BS1670" s="279"/>
      <c r="BT1670" s="279"/>
      <c r="BU1670" s="279"/>
      <c r="BV1670" s="279"/>
      <c r="BW1670" s="279"/>
      <c r="BX1670" s="279"/>
      <c r="BY1670" s="279"/>
      <c r="BZ1670" s="279"/>
      <c r="CA1670" s="279"/>
      <c r="CB1670" s="279"/>
      <c r="CC1670" s="279"/>
      <c r="CD1670" s="279"/>
      <c r="CE1670" s="279"/>
      <c r="CF1670" s="279"/>
      <c r="CG1670" s="279"/>
      <c r="CH1670" s="279"/>
      <c r="CI1670" s="279"/>
      <c r="CJ1670" s="279"/>
      <c r="CK1670" s="279"/>
      <c r="CL1670" s="279"/>
      <c r="CM1670" s="279"/>
      <c r="CN1670" s="382"/>
    </row>
    <row r="1671" ht="16.8" thickTop="true" thickBot="true" x14ac:dyDescent="0.3">
      <c r="B1671" s="361"/>
      <c r="C1671" s="279"/>
      <c r="D1671" s="280"/>
      <c r="E1671" s="287"/>
      <c r="F1671" s="287"/>
      <c r="G1671" s="287"/>
      <c r="H1671" s="280"/>
      <c r="I1671" s="353"/>
      <c r="J1671" s="353"/>
      <c r="K1671" s="336"/>
      <c r="L1671" s="336"/>
      <c r="M1671" s="336"/>
      <c r="N1671" s="336"/>
      <c r="O1671" s="336"/>
      <c r="P1671" s="336"/>
      <c r="Q1671" s="336"/>
      <c r="R1671" s="336"/>
      <c r="S1671" s="336"/>
      <c r="T1671" s="298"/>
      <c r="U1671" s="299"/>
      <c r="V1671" s="279"/>
      <c r="W1671" s="279"/>
      <c r="X1671" s="279"/>
      <c r="Y1671" s="279"/>
      <c r="Z1671" s="279"/>
      <c r="AA1671" s="279"/>
      <c r="AB1671" s="279"/>
      <c r="AC1671" s="279"/>
      <c r="AD1671" s="279"/>
      <c r="AE1671" s="279"/>
      <c r="AF1671" s="279"/>
      <c r="AG1671" s="279"/>
      <c r="AH1671" s="279"/>
      <c r="AI1671" s="279"/>
      <c r="AJ1671" s="279"/>
      <c r="AK1671" s="279"/>
      <c r="AL1671" s="279"/>
      <c r="AM1671" s="279"/>
      <c r="AN1671" s="279"/>
      <c r="AO1671" s="279"/>
      <c r="AP1671" s="279"/>
      <c r="AQ1671" s="279"/>
      <c r="AR1671" s="279"/>
      <c r="AS1671" s="279"/>
      <c r="AT1671" s="279"/>
      <c r="AU1671" s="279"/>
      <c r="AV1671" s="279"/>
      <c r="AW1671" s="279"/>
      <c r="AX1671" s="279"/>
      <c r="AY1671" s="279"/>
      <c r="AZ1671" s="279"/>
      <c r="BA1671" s="279"/>
      <c r="BB1671" s="279"/>
      <c r="BC1671" s="279"/>
      <c r="BD1671" s="279"/>
      <c r="BE1671" s="279"/>
      <c r="BF1671" s="279"/>
      <c r="BG1671" s="279"/>
      <c r="BH1671" s="279"/>
      <c r="BI1671" s="279"/>
      <c r="BJ1671" s="279"/>
      <c r="BK1671" s="279"/>
      <c r="BL1671" s="279"/>
      <c r="BM1671" s="279"/>
      <c r="BN1671" s="279"/>
      <c r="BO1671" s="279"/>
      <c r="BP1671" s="279"/>
      <c r="BQ1671" s="279"/>
      <c r="BR1671" s="279"/>
      <c r="BS1671" s="279"/>
      <c r="BT1671" s="279"/>
      <c r="BU1671" s="279"/>
      <c r="BV1671" s="279"/>
      <c r="BW1671" s="279"/>
      <c r="BX1671" s="279"/>
      <c r="BY1671" s="279"/>
      <c r="BZ1671" s="279"/>
      <c r="CA1671" s="279"/>
      <c r="CB1671" s="279"/>
      <c r="CC1671" s="279"/>
      <c r="CD1671" s="279"/>
      <c r="CE1671" s="279"/>
      <c r="CF1671" s="279"/>
      <c r="CG1671" s="279"/>
      <c r="CH1671" s="279"/>
      <c r="CI1671" s="279"/>
      <c r="CJ1671" s="279"/>
      <c r="CK1671" s="279"/>
      <c r="CL1671" s="279"/>
      <c r="CM1671" s="279"/>
      <c r="CN1671" s="382"/>
    </row>
    <row r="1672" x14ac:dyDescent="0.25">
      <c r="B1672" s="361"/>
      <c r="C1672" s="279"/>
      <c r="D1672" s="280"/>
      <c r="E1672" s="287"/>
      <c r="F1672" s="287"/>
      <c r="G1672" s="287"/>
      <c r="H1672" s="280"/>
      <c r="I1672" s="345" t="s">
        <v>235</v>
      </c>
      <c r="J1672" s="1338" t="e">
        <f>J1661</f>
        <v>#N/A</v>
      </c>
      <c r="K1672" s="336"/>
      <c r="L1672" s="336"/>
      <c r="M1672" s="336"/>
      <c r="N1672" s="336"/>
      <c r="O1672" s="336"/>
      <c r="P1672" s="336"/>
      <c r="Q1672" s="336"/>
      <c r="R1672" s="336"/>
      <c r="S1672" s="336"/>
      <c r="T1672" s="298"/>
      <c r="U1672" s="299"/>
      <c r="V1672" s="279"/>
      <c r="W1672" s="279"/>
      <c r="X1672" s="279"/>
      <c r="Y1672" s="279"/>
      <c r="Z1672" s="279"/>
      <c r="AA1672" s="279"/>
      <c r="AB1672" s="279"/>
      <c r="AC1672" s="279"/>
      <c r="AD1672" s="279"/>
      <c r="AE1672" s="279"/>
      <c r="AF1672" s="279"/>
      <c r="AG1672" s="279"/>
      <c r="AH1672" s="279"/>
      <c r="AI1672" s="279"/>
      <c r="AJ1672" s="279"/>
      <c r="AK1672" s="279"/>
      <c r="AL1672" s="279"/>
      <c r="AM1672" s="279"/>
      <c r="AN1672" s="279"/>
      <c r="AO1672" s="279"/>
      <c r="AP1672" s="279"/>
      <c r="AQ1672" s="279"/>
      <c r="AR1672" s="279"/>
      <c r="AS1672" s="279"/>
      <c r="AT1672" s="279"/>
      <c r="AU1672" s="279"/>
      <c r="AV1672" s="279"/>
      <c r="AW1672" s="279"/>
      <c r="AX1672" s="279"/>
      <c r="AY1672" s="279"/>
      <c r="AZ1672" s="279"/>
      <c r="BA1672" s="279"/>
      <c r="BB1672" s="279"/>
      <c r="BC1672" s="279"/>
      <c r="BD1672" s="279"/>
      <c r="BE1672" s="279"/>
      <c r="BF1672" s="279"/>
      <c r="BG1672" s="279"/>
      <c r="BH1672" s="279"/>
      <c r="BI1672" s="279"/>
      <c r="BJ1672" s="279"/>
      <c r="BK1672" s="279"/>
      <c r="BL1672" s="279"/>
      <c r="BM1672" s="279"/>
      <c r="BN1672" s="279"/>
      <c r="BO1672" s="279"/>
      <c r="BP1672" s="279"/>
      <c r="BQ1672" s="279"/>
      <c r="BR1672" s="279"/>
      <c r="BS1672" s="279"/>
      <c r="BT1672" s="279"/>
      <c r="BU1672" s="279"/>
      <c r="BV1672" s="279"/>
      <c r="BW1672" s="279"/>
      <c r="BX1672" s="279"/>
      <c r="BY1672" s="279"/>
      <c r="BZ1672" s="279"/>
      <c r="CA1672" s="279"/>
      <c r="CB1672" s="279"/>
      <c r="CC1672" s="279"/>
      <c r="CD1672" s="279"/>
      <c r="CE1672" s="279"/>
      <c r="CF1672" s="279"/>
      <c r="CG1672" s="279"/>
      <c r="CH1672" s="279"/>
      <c r="CI1672" s="279"/>
      <c r="CJ1672" s="279"/>
      <c r="CK1672" s="279"/>
      <c r="CL1672" s="279"/>
      <c r="CM1672" s="279"/>
      <c r="CN1672" s="382"/>
    </row>
    <row r="1673" ht="16.2" thickBot="true" x14ac:dyDescent="0.3">
      <c r="B1673" s="361"/>
      <c r="C1673" s="279"/>
      <c r="D1673" s="280"/>
      <c r="E1673" s="287"/>
      <c r="F1673" s="287"/>
      <c r="G1673" s="287"/>
      <c r="H1673" s="280"/>
      <c r="I1673" s="354" t="s">
        <v>236</v>
      </c>
      <c r="J1673" s="1339" t="e">
        <f>J1641</f>
        <v>#N/A</v>
      </c>
      <c r="K1673" s="336"/>
      <c r="L1673" s="336"/>
      <c r="M1673" s="336"/>
      <c r="N1673" s="336"/>
      <c r="O1673" s="336"/>
      <c r="P1673" s="336"/>
      <c r="Q1673" s="336"/>
      <c r="R1673" s="336"/>
      <c r="S1673" s="336"/>
      <c r="T1673" s="298"/>
      <c r="U1673" s="299"/>
      <c r="V1673" s="279"/>
      <c r="W1673" s="279"/>
      <c r="X1673" s="279"/>
      <c r="Y1673" s="279"/>
      <c r="Z1673" s="279"/>
      <c r="AA1673" s="279"/>
      <c r="AB1673" s="279"/>
      <c r="AC1673" s="279"/>
      <c r="AD1673" s="279"/>
      <c r="AE1673" s="279"/>
      <c r="AF1673" s="279"/>
      <c r="AG1673" s="279"/>
      <c r="AH1673" s="279"/>
      <c r="AI1673" s="279"/>
      <c r="AJ1673" s="279"/>
      <c r="AK1673" s="279"/>
      <c r="AL1673" s="279"/>
      <c r="AM1673" s="279"/>
      <c r="AN1673" s="279"/>
      <c r="AO1673" s="279"/>
      <c r="AP1673" s="279"/>
      <c r="AQ1673" s="279"/>
      <c r="AR1673" s="279"/>
      <c r="AS1673" s="279"/>
      <c r="AT1673" s="279"/>
      <c r="AU1673" s="279"/>
      <c r="AV1673" s="279"/>
      <c r="AW1673" s="279"/>
      <c r="AX1673" s="279"/>
      <c r="AY1673" s="279"/>
      <c r="AZ1673" s="279"/>
      <c r="BA1673" s="279"/>
      <c r="BB1673" s="279"/>
      <c r="BC1673" s="279"/>
      <c r="BD1673" s="279"/>
      <c r="BE1673" s="279"/>
      <c r="BF1673" s="279"/>
      <c r="BG1673" s="279"/>
      <c r="BH1673" s="279"/>
      <c r="BI1673" s="279"/>
      <c r="BJ1673" s="279"/>
      <c r="BK1673" s="279"/>
      <c r="BL1673" s="279"/>
      <c r="BM1673" s="279"/>
      <c r="BN1673" s="279"/>
      <c r="BO1673" s="279"/>
      <c r="BP1673" s="279"/>
      <c r="BQ1673" s="279"/>
      <c r="BR1673" s="279"/>
      <c r="BS1673" s="279"/>
      <c r="BT1673" s="279"/>
      <c r="BU1673" s="279"/>
      <c r="BV1673" s="279"/>
      <c r="BW1673" s="279"/>
      <c r="BX1673" s="279"/>
      <c r="BY1673" s="279"/>
      <c r="BZ1673" s="279"/>
      <c r="CA1673" s="279"/>
      <c r="CB1673" s="279"/>
      <c r="CC1673" s="279"/>
      <c r="CD1673" s="279"/>
      <c r="CE1673" s="279"/>
      <c r="CF1673" s="279"/>
      <c r="CG1673" s="279"/>
      <c r="CH1673" s="279"/>
      <c r="CI1673" s="279"/>
      <c r="CJ1673" s="279"/>
      <c r="CK1673" s="279"/>
      <c r="CL1673" s="279"/>
      <c r="CM1673" s="279"/>
      <c r="CN1673" s="382"/>
    </row>
    <row r="1674" ht="16.2" thickBot="true" x14ac:dyDescent="0.3">
      <c r="B1674" s="372"/>
      <c r="C1674" s="373"/>
      <c r="D1674" s="374"/>
      <c r="E1674" s="375"/>
      <c r="F1674" s="375"/>
      <c r="G1674" s="375"/>
      <c r="H1674" s="374"/>
      <c r="I1674" s="376"/>
      <c r="J1674" s="377"/>
      <c r="K1674" s="377"/>
      <c r="L1674" s="377"/>
      <c r="M1674" s="377"/>
      <c r="N1674" s="377"/>
      <c r="O1674" s="377"/>
      <c r="P1674" s="377"/>
      <c r="Q1674" s="377"/>
      <c r="R1674" s="377"/>
      <c r="S1674" s="377"/>
      <c r="T1674" s="378"/>
      <c r="U1674" s="379"/>
      <c r="V1674" s="373"/>
      <c r="W1674" s="373"/>
      <c r="X1674" s="373"/>
      <c r="Y1674" s="373"/>
      <c r="Z1674" s="373"/>
      <c r="AA1674" s="373"/>
      <c r="AB1674" s="373"/>
      <c r="AC1674" s="373"/>
      <c r="AD1674" s="373"/>
      <c r="AE1674" s="373"/>
      <c r="AF1674" s="373"/>
      <c r="AG1674" s="373"/>
      <c r="AH1674" s="373"/>
      <c r="AI1674" s="373"/>
      <c r="AJ1674" s="373"/>
      <c r="AK1674" s="373"/>
      <c r="AL1674" s="373"/>
      <c r="AM1674" s="373"/>
      <c r="AN1674" s="373"/>
      <c r="AO1674" s="373"/>
      <c r="AP1674" s="373"/>
      <c r="AQ1674" s="373"/>
      <c r="AR1674" s="373"/>
      <c r="AS1674" s="373"/>
      <c r="AT1674" s="373"/>
      <c r="AU1674" s="373"/>
      <c r="AV1674" s="373"/>
      <c r="AW1674" s="373"/>
      <c r="AX1674" s="373"/>
      <c r="AY1674" s="373"/>
      <c r="AZ1674" s="373"/>
      <c r="BA1674" s="373"/>
      <c r="BB1674" s="373"/>
      <c r="BC1674" s="373"/>
      <c r="BD1674" s="373"/>
      <c r="BE1674" s="373"/>
      <c r="BF1674" s="373"/>
      <c r="BG1674" s="373"/>
      <c r="BH1674" s="373"/>
      <c r="BI1674" s="373"/>
      <c r="BJ1674" s="373"/>
      <c r="BK1674" s="373"/>
      <c r="BL1674" s="373"/>
      <c r="BM1674" s="373"/>
      <c r="BN1674" s="373"/>
      <c r="BO1674" s="373"/>
      <c r="BP1674" s="373"/>
      <c r="BQ1674" s="373"/>
      <c r="BR1674" s="373"/>
      <c r="BS1674" s="373"/>
      <c r="BT1674" s="373"/>
      <c r="BU1674" s="373"/>
      <c r="BV1674" s="373"/>
      <c r="BW1674" s="373"/>
      <c r="BX1674" s="373"/>
      <c r="BY1674" s="373"/>
      <c r="BZ1674" s="373"/>
      <c r="CA1674" s="373"/>
      <c r="CB1674" s="373"/>
      <c r="CC1674" s="373"/>
      <c r="CD1674" s="373"/>
      <c r="CE1674" s="373"/>
      <c r="CF1674" s="373"/>
      <c r="CG1674" s="373"/>
      <c r="CH1674" s="373"/>
      <c r="CI1674" s="373"/>
      <c r="CJ1674" s="373"/>
      <c r="CK1674" s="373"/>
      <c r="CL1674" s="373"/>
      <c r="CM1674" s="373"/>
      <c r="CN1674" s="385"/>
    </row>
    <row r="1675" x14ac:dyDescent="0.3">
      <c r="N1675" s="94"/>
      <c r="O1675" s="69"/>
    </row>
    <row r="1676" x14ac:dyDescent="0.3">
      <c r="N1676" s="94"/>
      <c r="O1676" s="69"/>
    </row>
    <row r="1677" x14ac:dyDescent="0.3">
      <c r="N1677" s="94"/>
      <c r="O1677" s="69"/>
    </row>
    <row r="1678" x14ac:dyDescent="0.3">
      <c r="N1678" s="94"/>
      <c r="O1678" s="69"/>
    </row>
    <row r="1679" x14ac:dyDescent="0.3">
      <c r="N1679" s="94"/>
      <c r="O1679" s="69"/>
    </row>
    <row r="1680" x14ac:dyDescent="0.3">
      <c r="N1680" s="94"/>
      <c r="O1680" s="69"/>
    </row>
    <row r="1681" x14ac:dyDescent="0.3">
      <c r="N1681" s="94"/>
      <c r="O1681" s="69"/>
    </row>
    <row r="1682" x14ac:dyDescent="0.3">
      <c r="N1682" s="94"/>
      <c r="O1682" s="69"/>
    </row>
    <row r="1683" x14ac:dyDescent="0.3">
      <c r="N1683" s="94"/>
      <c r="O1683" s="69"/>
    </row>
    <row r="1684" x14ac:dyDescent="0.3">
      <c r="O1684" s="69"/>
    </row>
    <row r="1685" x14ac:dyDescent="0.3">
      <c r="O1685" s="69"/>
    </row>
    <row r="1686" x14ac:dyDescent="0.3">
      <c r="O1686" s="69"/>
    </row>
    <row r="1687" x14ac:dyDescent="0.3">
      <c r="O1687" s="69"/>
    </row>
    <row r="1688" x14ac:dyDescent="0.3">
      <c r="O1688" s="69"/>
    </row>
    <row r="1689" x14ac:dyDescent="0.3">
      <c r="O1689" s="69"/>
      <c r="Q1689" s="74"/>
      <c r="R1689" s="76"/>
      <c r="T1689" s="82"/>
      <c r="U1689" s="73"/>
    </row>
    <row r="1690" x14ac:dyDescent="0.3">
      <c r="O1690" s="9"/>
      <c r="Q1690" s="74"/>
      <c r="R1690" s="76"/>
      <c r="T1690" s="82"/>
      <c r="U1690" s="73"/>
    </row>
    <row r="1691" x14ac:dyDescent="0.3">
      <c r="O1691" s="100"/>
      <c r="P1691" s="100"/>
      <c r="Q1691" s="74"/>
      <c r="R1691" s="76"/>
      <c r="T1691" s="82"/>
      <c r="U1691" s="73"/>
    </row>
    <row r="1692" x14ac:dyDescent="0.3">
      <c r="O1692" s="69"/>
      <c r="Q1692" s="74"/>
      <c r="R1692" s="76"/>
      <c r="T1692" s="82"/>
      <c r="U1692" s="73"/>
    </row>
    <row r="1693" x14ac:dyDescent="0.3">
      <c r="O1693" s="69"/>
      <c r="Q1693" s="74"/>
      <c r="R1693" s="76"/>
      <c r="T1693" s="82"/>
      <c r="U1693" s="73"/>
    </row>
    <row r="1694" x14ac:dyDescent="0.3">
      <c r="O1694" s="69"/>
      <c r="Q1694" s="74"/>
      <c r="R1694" s="76"/>
      <c r="T1694" s="82"/>
      <c r="U1694" s="73"/>
    </row>
    <row r="1695" x14ac:dyDescent="0.3">
      <c r="O1695" s="69"/>
      <c r="Q1695" s="74"/>
      <c r="R1695" s="76"/>
      <c r="T1695" s="82"/>
      <c r="U1695" s="73"/>
    </row>
    <row r="1696" x14ac:dyDescent="0.3">
      <c r="O1696" s="69"/>
      <c r="Q1696" s="74"/>
      <c r="R1696" s="76"/>
      <c r="T1696" s="82"/>
      <c r="U1696" s="73"/>
    </row>
    <row r="1697" x14ac:dyDescent="0.3">
      <c r="O1697" s="69"/>
      <c r="Q1697" s="74"/>
      <c r="R1697" s="76"/>
      <c r="T1697" s="82"/>
      <c r="U1697" s="73"/>
    </row>
    <row r="1698" x14ac:dyDescent="0.3">
      <c r="O1698" s="69"/>
      <c r="Q1698" s="74"/>
      <c r="R1698" s="76"/>
      <c r="T1698" s="82"/>
      <c r="U1698" s="73"/>
    </row>
    <row r="1699" x14ac:dyDescent="0.3">
      <c r="I1699" s="101"/>
      <c r="J1699" s="9"/>
      <c r="K1699" s="97"/>
      <c r="L1699" s="9"/>
      <c r="N1699" s="102"/>
      <c r="O1699" s="69"/>
      <c r="Q1699" s="74"/>
      <c r="R1699" s="76"/>
      <c r="T1699" s="82"/>
      <c r="U1699" s="73"/>
    </row>
    <row r="1700" x14ac:dyDescent="0.3">
      <c r="I1700" s="96"/>
      <c r="L1700" s="59"/>
      <c r="N1700" s="59"/>
      <c r="O1700" s="59"/>
      <c r="P1700" s="59"/>
      <c r="Q1700" s="74"/>
      <c r="R1700" s="76"/>
      <c r="T1700" s="82"/>
      <c r="U1700" s="73"/>
    </row>
    <row r="1701" x14ac:dyDescent="0.3">
      <c r="N1701" s="94"/>
      <c r="O1701" s="69"/>
      <c r="Q1701" s="74"/>
      <c r="R1701" s="76"/>
      <c r="T1701" s="82"/>
      <c r="U1701" s="73"/>
    </row>
    <row r="1702" x14ac:dyDescent="0.3">
      <c r="N1702" s="94"/>
      <c r="O1702" s="69"/>
      <c r="Q1702" s="74"/>
      <c r="R1702" s="76"/>
      <c r="T1702" s="82"/>
      <c r="U1702" s="73"/>
    </row>
    <row r="1703" ht="21" x14ac:dyDescent="0.3">
      <c r="J1703" s="103"/>
      <c r="N1703" s="94"/>
      <c r="O1703" s="69"/>
    </row>
    <row r="1721" x14ac:dyDescent="0.3">
      <c r="N1721" s="94"/>
      <c r="O1721" s="69"/>
    </row>
    <row r="1722" x14ac:dyDescent="0.3">
      <c r="N1722" s="94"/>
      <c r="O1722" s="69"/>
    </row>
    <row r="1723" x14ac:dyDescent="0.3">
      <c r="N1723" s="94"/>
      <c r="O1723" s="69"/>
    </row>
    <row r="1724" x14ac:dyDescent="0.3">
      <c r="N1724" s="94"/>
      <c r="O1724" s="69"/>
    </row>
    <row r="1725" x14ac:dyDescent="0.3">
      <c r="N1725" s="94"/>
      <c r="O1725" s="69"/>
    </row>
    <row r="1726" x14ac:dyDescent="0.3">
      <c r="N1726" s="94"/>
      <c r="O1726" s="69"/>
    </row>
    <row r="1727" x14ac:dyDescent="0.3">
      <c r="N1727" s="94"/>
      <c r="O1727" s="69"/>
    </row>
    <row r="1728" x14ac:dyDescent="0.3">
      <c r="N1728" s="94"/>
      <c r="O1728" s="69"/>
    </row>
    <row r="1729" x14ac:dyDescent="0.3">
      <c r="N1729" s="94"/>
      <c r="O1729" s="69"/>
    </row>
    <row r="1730" x14ac:dyDescent="0.3">
      <c r="N1730" s="94"/>
      <c r="O1730" s="69"/>
    </row>
    <row r="1731" x14ac:dyDescent="0.3">
      <c r="N1731" s="94"/>
      <c r="O1731" s="69"/>
    </row>
    <row r="1732" x14ac:dyDescent="0.3">
      <c r="N1732" s="94"/>
      <c r="O1732" s="69"/>
    </row>
    <row r="1733" x14ac:dyDescent="0.3">
      <c r="N1733" s="94"/>
      <c r="O1733" s="69"/>
    </row>
    <row r="1734" x14ac:dyDescent="0.3">
      <c r="N1734" s="94"/>
      <c r="O1734" s="69"/>
    </row>
    <row r="1735" x14ac:dyDescent="0.3">
      <c r="N1735" s="94"/>
      <c r="O1735" s="69"/>
    </row>
    <row r="1736" x14ac:dyDescent="0.3">
      <c r="N1736" s="94"/>
      <c r="O1736" s="69"/>
    </row>
    <row r="1737" x14ac:dyDescent="0.3">
      <c r="N1737" s="94"/>
      <c r="O1737" s="69"/>
    </row>
    <row r="1738" x14ac:dyDescent="0.3">
      <c r="N1738" s="94"/>
      <c r="O1738" s="69"/>
    </row>
    <row r="1739" x14ac:dyDescent="0.3">
      <c r="N1739" s="94"/>
      <c r="O1739" s="69"/>
    </row>
    <row r="1740" x14ac:dyDescent="0.3">
      <c r="N1740" s="94"/>
      <c r="O1740" s="69"/>
    </row>
    <row r="1741" x14ac:dyDescent="0.3">
      <c r="N1741" s="94"/>
      <c r="O1741" s="69"/>
    </row>
    <row r="1742" x14ac:dyDescent="0.3">
      <c r="N1742" s="94"/>
      <c r="O1742" s="69"/>
    </row>
    <row r="1743" x14ac:dyDescent="0.3">
      <c r="N1743" s="94"/>
      <c r="O1743" s="69"/>
    </row>
    <row r="1744" x14ac:dyDescent="0.3">
      <c r="N1744" s="94"/>
      <c r="O1744" s="69"/>
    </row>
    <row r="1745" x14ac:dyDescent="0.3">
      <c r="N1745" s="94"/>
      <c r="O1745" s="69"/>
    </row>
    <row r="1746" x14ac:dyDescent="0.3">
      <c r="N1746" s="94"/>
      <c r="O1746" s="69"/>
    </row>
    <row r="1747" x14ac:dyDescent="0.3">
      <c r="N1747" s="94"/>
      <c r="O1747" s="69"/>
    </row>
    <row r="1748" x14ac:dyDescent="0.3">
      <c r="N1748" s="94"/>
      <c r="O1748" s="69"/>
    </row>
    <row r="1749" x14ac:dyDescent="0.3">
      <c r="N1749" s="94"/>
      <c r="O1749" s="69"/>
    </row>
    <row r="1750" x14ac:dyDescent="0.3">
      <c r="N1750" s="94"/>
      <c r="O1750" s="69"/>
    </row>
    <row r="1751" x14ac:dyDescent="0.3">
      <c r="N1751" s="94"/>
      <c r="O1751" s="69"/>
    </row>
    <row r="1752" x14ac:dyDescent="0.3">
      <c r="N1752" s="94"/>
      <c r="O1752" s="69"/>
    </row>
    <row r="1753" x14ac:dyDescent="0.3">
      <c r="N1753" s="94"/>
      <c r="O1753" s="69"/>
    </row>
    <row r="1754" x14ac:dyDescent="0.3">
      <c r="N1754" s="94"/>
      <c r="O1754" s="69"/>
    </row>
    <row r="1755" x14ac:dyDescent="0.3">
      <c r="N1755" s="94"/>
      <c r="O1755" s="69"/>
    </row>
    <row r="1756" x14ac:dyDescent="0.3">
      <c r="N1756" s="94"/>
      <c r="O1756" s="69"/>
    </row>
    <row r="1757" x14ac:dyDescent="0.3">
      <c r="N1757" s="94"/>
      <c r="O1757" s="69"/>
    </row>
    <row r="1758" x14ac:dyDescent="0.3">
      <c r="N1758" s="94"/>
      <c r="O1758" s="69"/>
    </row>
    <row r="1759" x14ac:dyDescent="0.3">
      <c r="N1759" s="94"/>
      <c r="O1759" s="69"/>
    </row>
    <row r="1760" x14ac:dyDescent="0.3">
      <c r="N1760" s="94"/>
      <c r="O1760" s="69"/>
    </row>
    <row r="1761" x14ac:dyDescent="0.3">
      <c r="N1761" s="94"/>
      <c r="O1761" s="69"/>
    </row>
    <row r="1762" x14ac:dyDescent="0.3">
      <c r="N1762" s="94"/>
      <c r="O1762" s="69"/>
    </row>
    <row r="1763" x14ac:dyDescent="0.3">
      <c r="N1763" s="94"/>
      <c r="O1763" s="69"/>
    </row>
    <row r="1764" x14ac:dyDescent="0.3">
      <c r="N1764" s="94"/>
      <c r="O1764" s="69"/>
    </row>
    <row r="1765" x14ac:dyDescent="0.3">
      <c r="N1765" s="94"/>
      <c r="O1765" s="69"/>
    </row>
    <row r="1766" x14ac:dyDescent="0.3">
      <c r="N1766" s="94"/>
      <c r="O1766" s="69"/>
    </row>
    <row r="1767" x14ac:dyDescent="0.3">
      <c r="N1767" s="94"/>
      <c r="O1767" s="69"/>
    </row>
    <row r="1768" x14ac:dyDescent="0.3">
      <c r="N1768" s="94"/>
      <c r="O1768" s="69"/>
    </row>
    <row r="1769" x14ac:dyDescent="0.3">
      <c r="N1769" s="94"/>
      <c r="O1769" s="69"/>
    </row>
    <row r="1770" x14ac:dyDescent="0.3">
      <c r="N1770" s="94"/>
      <c r="O1770" s="69"/>
    </row>
    <row r="1771" x14ac:dyDescent="0.3">
      <c r="N1771" s="94"/>
      <c r="O1771" s="69"/>
    </row>
    <row r="1772" x14ac:dyDescent="0.3">
      <c r="N1772" s="94"/>
      <c r="O1772" s="69"/>
    </row>
    <row r="1773" x14ac:dyDescent="0.3">
      <c r="N1773" s="94"/>
      <c r="O1773" s="69"/>
    </row>
    <row r="1774" x14ac:dyDescent="0.3">
      <c r="N1774" s="94"/>
      <c r="O1774" s="69"/>
    </row>
    <row r="1775" x14ac:dyDescent="0.3">
      <c r="N1775" s="94"/>
      <c r="O1775" s="69"/>
    </row>
    <row r="1776" x14ac:dyDescent="0.3">
      <c r="N1776" s="94"/>
      <c r="O1776" s="69"/>
    </row>
    <row r="1777" x14ac:dyDescent="0.3">
      <c r="N1777" s="94"/>
      <c r="O1777" s="69"/>
    </row>
    <row r="1778" x14ac:dyDescent="0.3">
      <c r="N1778" s="94"/>
      <c r="O1778" s="69"/>
    </row>
    <row r="1779" x14ac:dyDescent="0.3">
      <c r="N1779" s="94"/>
      <c r="O1779" s="69"/>
    </row>
    <row r="1780" x14ac:dyDescent="0.3">
      <c r="N1780" s="94"/>
      <c r="O1780" s="69"/>
    </row>
    <row r="1781" x14ac:dyDescent="0.3">
      <c r="N1781" s="94"/>
      <c r="O1781" s="69"/>
    </row>
    <row r="1782" x14ac:dyDescent="0.3">
      <c r="N1782" s="94"/>
      <c r="O1782" s="69"/>
    </row>
    <row r="1783" x14ac:dyDescent="0.3">
      <c r="N1783" s="94"/>
      <c r="O1783" s="69"/>
    </row>
    <row r="1784" x14ac:dyDescent="0.3">
      <c r="N1784" s="94"/>
      <c r="O1784" s="69"/>
    </row>
    <row r="1785" x14ac:dyDescent="0.3">
      <c r="N1785" s="94"/>
      <c r="O1785" s="69"/>
    </row>
    <row r="1786" x14ac:dyDescent="0.3">
      <c r="N1786" s="94"/>
      <c r="O1786" s="69"/>
    </row>
    <row r="1787" x14ac:dyDescent="0.3">
      <c r="N1787" s="94"/>
      <c r="O1787" s="69"/>
    </row>
    <row r="1788" x14ac:dyDescent="0.3">
      <c r="N1788" s="94"/>
      <c r="O1788" s="69"/>
    </row>
    <row r="1789" x14ac:dyDescent="0.3">
      <c r="N1789" s="94"/>
      <c r="O1789" s="69"/>
    </row>
    <row r="1790" x14ac:dyDescent="0.3">
      <c r="N1790" s="94"/>
      <c r="O1790" s="69"/>
    </row>
    <row r="1791" x14ac:dyDescent="0.3">
      <c r="N1791" s="94"/>
      <c r="O1791" s="69"/>
    </row>
    <row r="1792" x14ac:dyDescent="0.3">
      <c r="N1792" s="94"/>
      <c r="O1792" s="69"/>
    </row>
    <row r="1793" x14ac:dyDescent="0.3">
      <c r="N1793" s="94"/>
      <c r="O1793" s="69"/>
    </row>
    <row r="1794" x14ac:dyDescent="0.3">
      <c r="N1794" s="94"/>
      <c r="O1794" s="69"/>
    </row>
    <row r="1795" x14ac:dyDescent="0.3">
      <c r="N1795" s="94"/>
      <c r="O1795" s="69"/>
    </row>
    <row r="1796" x14ac:dyDescent="0.3">
      <c r="N1796" s="94"/>
      <c r="O1796" s="69"/>
    </row>
    <row r="1797" x14ac:dyDescent="0.3">
      <c r="N1797" s="94"/>
      <c r="O1797" s="69"/>
    </row>
    <row r="1798" x14ac:dyDescent="0.3">
      <c r="N1798" s="94"/>
      <c r="O1798" s="69"/>
    </row>
    <row r="1799" x14ac:dyDescent="0.3">
      <c r="N1799" s="94"/>
      <c r="O1799" s="69"/>
    </row>
    <row r="1800" x14ac:dyDescent="0.3">
      <c r="N1800" s="94"/>
      <c r="O1800" s="69"/>
    </row>
    <row r="1801" x14ac:dyDescent="0.3">
      <c r="N1801" s="94"/>
      <c r="O1801" s="69"/>
    </row>
    <row r="1802" x14ac:dyDescent="0.3">
      <c r="N1802" s="94"/>
      <c r="O1802" s="69"/>
    </row>
    <row r="1803" x14ac:dyDescent="0.3">
      <c r="N1803" s="94"/>
      <c r="O1803" s="69"/>
    </row>
    <row r="1804" x14ac:dyDescent="0.3">
      <c r="N1804" s="94"/>
      <c r="O1804" s="69"/>
    </row>
    <row r="1805" x14ac:dyDescent="0.3">
      <c r="N1805" s="94"/>
      <c r="O1805" s="69"/>
    </row>
    <row r="1806" x14ac:dyDescent="0.3">
      <c r="N1806" s="94"/>
      <c r="O1806" s="69"/>
    </row>
    <row r="1807" x14ac:dyDescent="0.3">
      <c r="N1807" s="94"/>
      <c r="O1807" s="69"/>
    </row>
    <row r="1808" x14ac:dyDescent="0.3">
      <c r="N1808" s="94"/>
      <c r="O1808" s="69"/>
    </row>
    <row r="1809" x14ac:dyDescent="0.3">
      <c r="N1809" s="94"/>
      <c r="O1809" s="69"/>
    </row>
    <row r="1810" x14ac:dyDescent="0.3">
      <c r="N1810" s="94"/>
      <c r="O1810" s="69"/>
    </row>
    <row r="1811" x14ac:dyDescent="0.3">
      <c r="N1811" s="94"/>
      <c r="O1811" s="69"/>
    </row>
    <row r="1812" x14ac:dyDescent="0.3">
      <c r="N1812" s="94"/>
      <c r="O1812" s="69"/>
    </row>
    <row r="1813" x14ac:dyDescent="0.3">
      <c r="N1813" s="94"/>
      <c r="O1813" s="69"/>
    </row>
    <row r="1814" x14ac:dyDescent="0.3">
      <c r="N1814" s="94"/>
      <c r="O1814" s="69"/>
    </row>
    <row r="1815" x14ac:dyDescent="0.3">
      <c r="N1815" s="94"/>
      <c r="O1815" s="69"/>
    </row>
    <row r="1816" x14ac:dyDescent="0.3">
      <c r="N1816" s="94"/>
      <c r="O1816" s="69"/>
    </row>
    <row r="1817" x14ac:dyDescent="0.3">
      <c r="N1817" s="94"/>
      <c r="O1817" s="69"/>
    </row>
    <row r="1818" x14ac:dyDescent="0.3">
      <c r="N1818" s="94"/>
      <c r="O1818" s="69"/>
    </row>
    <row r="1819" x14ac:dyDescent="0.3">
      <c r="N1819" s="94"/>
      <c r="O1819" s="69"/>
    </row>
    <row r="1820" x14ac:dyDescent="0.3">
      <c r="N1820" s="94"/>
      <c r="O1820" s="69"/>
    </row>
    <row r="1821" x14ac:dyDescent="0.3">
      <c r="N1821" s="94"/>
      <c r="O1821" s="69"/>
    </row>
    <row r="1822" x14ac:dyDescent="0.3">
      <c r="N1822" s="94"/>
      <c r="O1822" s="69"/>
    </row>
    <row r="1823" x14ac:dyDescent="0.3">
      <c r="N1823" s="94"/>
      <c r="O1823" s="69"/>
    </row>
    <row r="1824" x14ac:dyDescent="0.3">
      <c r="N1824" s="94"/>
      <c r="O1824" s="69"/>
    </row>
    <row r="1825" x14ac:dyDescent="0.3">
      <c r="N1825" s="94"/>
      <c r="O1825" s="69"/>
    </row>
    <row r="1826" x14ac:dyDescent="0.3">
      <c r="N1826" s="94"/>
      <c r="O1826" s="69"/>
    </row>
    <row r="1827" x14ac:dyDescent="0.3">
      <c r="N1827" s="94"/>
      <c r="O1827" s="69"/>
    </row>
    <row r="1828" x14ac:dyDescent="0.3">
      <c r="N1828" s="94"/>
      <c r="O1828" s="69"/>
    </row>
    <row r="1829" x14ac:dyDescent="0.3">
      <c r="N1829" s="94"/>
      <c r="O1829" s="69"/>
    </row>
    <row r="1830" x14ac:dyDescent="0.3">
      <c r="N1830" s="94"/>
      <c r="O1830" s="69"/>
    </row>
    <row r="1831" x14ac:dyDescent="0.3">
      <c r="N1831" s="94"/>
      <c r="O1831" s="69"/>
    </row>
    <row r="1832" x14ac:dyDescent="0.3">
      <c r="N1832" s="94"/>
      <c r="O1832" s="69"/>
    </row>
    <row r="1833" x14ac:dyDescent="0.3">
      <c r="N1833" s="94"/>
      <c r="O1833" s="69"/>
    </row>
    <row r="1834" x14ac:dyDescent="0.3">
      <c r="N1834" s="94"/>
      <c r="O1834" s="69"/>
    </row>
    <row r="1835" x14ac:dyDescent="0.3">
      <c r="N1835" s="94"/>
      <c r="O1835" s="69"/>
    </row>
    <row r="1836" x14ac:dyDescent="0.3">
      <c r="N1836" s="94"/>
      <c r="O1836" s="69"/>
    </row>
    <row r="1837" x14ac:dyDescent="0.3">
      <c r="N1837" s="94"/>
      <c r="O1837" s="69"/>
    </row>
    <row r="1838" x14ac:dyDescent="0.3">
      <c r="N1838" s="94"/>
      <c r="O1838" s="69"/>
    </row>
    <row r="1839" x14ac:dyDescent="0.3">
      <c r="N1839" s="94"/>
      <c r="O1839" s="69"/>
    </row>
    <row r="1840" x14ac:dyDescent="0.3">
      <c r="N1840" s="94"/>
      <c r="O1840" s="69"/>
    </row>
    <row r="1841" x14ac:dyDescent="0.3">
      <c r="N1841" s="94"/>
      <c r="O1841" s="69"/>
    </row>
    <row r="1842" x14ac:dyDescent="0.3">
      <c r="N1842" s="94"/>
      <c r="O1842" s="69"/>
    </row>
    <row r="1843" x14ac:dyDescent="0.3">
      <c r="N1843" s="94"/>
      <c r="O1843" s="69"/>
    </row>
    <row r="1844" x14ac:dyDescent="0.3">
      <c r="N1844" s="94"/>
      <c r="O1844" s="69"/>
    </row>
    <row r="1845" x14ac:dyDescent="0.3">
      <c r="N1845" s="94"/>
      <c r="O1845" s="69"/>
    </row>
    <row r="1846" x14ac:dyDescent="0.3">
      <c r="N1846" s="94"/>
      <c r="O1846" s="69"/>
    </row>
    <row r="1847" x14ac:dyDescent="0.3">
      <c r="N1847" s="94"/>
      <c r="O1847" s="69"/>
    </row>
    <row r="1848" x14ac:dyDescent="0.3">
      <c r="N1848" s="94"/>
      <c r="O1848" s="69"/>
    </row>
    <row r="1849" x14ac:dyDescent="0.3">
      <c r="N1849" s="94"/>
      <c r="O1849" s="69"/>
    </row>
    <row r="1850" x14ac:dyDescent="0.3">
      <c r="N1850" s="94"/>
      <c r="O1850" s="69"/>
    </row>
    <row r="1851" x14ac:dyDescent="0.3">
      <c r="N1851" s="94"/>
      <c r="O1851" s="69"/>
    </row>
    <row r="1852" x14ac:dyDescent="0.3">
      <c r="N1852" s="94"/>
      <c r="O1852" s="69"/>
    </row>
    <row r="1853" x14ac:dyDescent="0.3">
      <c r="N1853" s="94"/>
      <c r="O1853" s="69"/>
    </row>
    <row r="1854" x14ac:dyDescent="0.3">
      <c r="N1854" s="94"/>
      <c r="O1854" s="69"/>
    </row>
    <row r="1855" x14ac:dyDescent="0.3">
      <c r="N1855" s="94"/>
      <c r="O1855" s="69"/>
    </row>
    <row r="1856" x14ac:dyDescent="0.3">
      <c r="N1856" s="94"/>
      <c r="O1856" s="69"/>
    </row>
    <row r="1857" x14ac:dyDescent="0.3">
      <c r="N1857" s="94"/>
      <c r="O1857" s="69"/>
    </row>
    <row r="1858" x14ac:dyDescent="0.3">
      <c r="N1858" s="94"/>
      <c r="O1858" s="69"/>
    </row>
    <row r="1859" x14ac:dyDescent="0.3">
      <c r="N1859" s="94"/>
      <c r="O1859" s="69"/>
    </row>
    <row r="1860" x14ac:dyDescent="0.3">
      <c r="N1860" s="94"/>
      <c r="O1860" s="69"/>
    </row>
    <row r="1861" x14ac:dyDescent="0.3">
      <c r="N1861" s="94"/>
      <c r="O1861" s="69"/>
    </row>
    <row r="1862" x14ac:dyDescent="0.3">
      <c r="N1862" s="94"/>
      <c r="O1862" s="69"/>
    </row>
    <row r="1863" x14ac:dyDescent="0.3">
      <c r="N1863" s="94"/>
      <c r="O1863" s="69"/>
    </row>
    <row r="1864" x14ac:dyDescent="0.3">
      <c r="N1864" s="94"/>
      <c r="O1864" s="69"/>
    </row>
    <row r="1865" x14ac:dyDescent="0.3">
      <c r="N1865" s="94"/>
      <c r="O1865" s="69"/>
    </row>
    <row r="1866" x14ac:dyDescent="0.3">
      <c r="N1866" s="94"/>
      <c r="O1866" s="69"/>
    </row>
    <row r="1867" x14ac:dyDescent="0.3">
      <c r="N1867" s="94"/>
      <c r="O1867" s="69"/>
    </row>
    <row r="1868" x14ac:dyDescent="0.3">
      <c r="N1868" s="94"/>
      <c r="O1868" s="69"/>
    </row>
    <row r="1869" x14ac:dyDescent="0.3">
      <c r="N1869" s="94"/>
      <c r="O1869" s="69"/>
    </row>
    <row r="1870" x14ac:dyDescent="0.3">
      <c r="N1870" s="94"/>
      <c r="O1870" s="69"/>
    </row>
    <row r="1871" x14ac:dyDescent="0.3">
      <c r="N1871" s="94"/>
      <c r="O1871" s="69"/>
    </row>
    <row r="1872" x14ac:dyDescent="0.3">
      <c r="N1872" s="94"/>
      <c r="O1872" s="69"/>
    </row>
    <row r="1873" x14ac:dyDescent="0.3">
      <c r="N1873" s="94"/>
      <c r="O1873" s="69"/>
    </row>
    <row r="1874" x14ac:dyDescent="0.3">
      <c r="N1874" s="94"/>
      <c r="O1874" s="69"/>
    </row>
    <row r="1875" x14ac:dyDescent="0.3">
      <c r="N1875" s="94"/>
      <c r="O1875" s="69"/>
    </row>
    <row r="1876" x14ac:dyDescent="0.3">
      <c r="N1876" s="94"/>
      <c r="O1876" s="69"/>
    </row>
    <row r="1877" x14ac:dyDescent="0.3">
      <c r="N1877" s="94"/>
      <c r="O1877" s="69"/>
    </row>
    <row r="1878" x14ac:dyDescent="0.3">
      <c r="N1878" s="94"/>
      <c r="O1878" s="69"/>
    </row>
    <row r="1879" x14ac:dyDescent="0.3">
      <c r="N1879" s="94"/>
      <c r="O1879" s="69"/>
    </row>
    <row r="1880" x14ac:dyDescent="0.3">
      <c r="N1880" s="94"/>
      <c r="O1880" s="69"/>
    </row>
    <row r="1881" x14ac:dyDescent="0.3">
      <c r="N1881" s="94"/>
      <c r="O1881" s="69"/>
    </row>
    <row r="1882" x14ac:dyDescent="0.3">
      <c r="N1882" s="94"/>
      <c r="O1882" s="69"/>
    </row>
    <row r="1883" x14ac:dyDescent="0.3">
      <c r="N1883" s="94"/>
      <c r="O1883" s="69"/>
    </row>
    <row r="1884" x14ac:dyDescent="0.3">
      <c r="N1884" s="94"/>
      <c r="O1884" s="69"/>
    </row>
    <row r="1885" x14ac:dyDescent="0.3">
      <c r="N1885" s="94"/>
      <c r="O1885" s="69"/>
    </row>
    <row r="1886" x14ac:dyDescent="0.3">
      <c r="N1886" s="94"/>
      <c r="O1886" s="69"/>
    </row>
    <row r="1887" x14ac:dyDescent="0.3">
      <c r="N1887" s="94"/>
      <c r="O1887" s="69"/>
    </row>
    <row r="1888" x14ac:dyDescent="0.3">
      <c r="N1888" s="94"/>
      <c r="O1888" s="69"/>
    </row>
    <row r="1889" x14ac:dyDescent="0.3">
      <c r="N1889" s="94"/>
      <c r="O1889" s="69"/>
    </row>
    <row r="1890" x14ac:dyDescent="0.3">
      <c r="N1890" s="94"/>
      <c r="O1890" s="69"/>
    </row>
    <row r="1891" x14ac:dyDescent="0.3">
      <c r="N1891" s="94"/>
      <c r="O1891" s="69"/>
    </row>
    <row r="1892" x14ac:dyDescent="0.3">
      <c r="N1892" s="94"/>
      <c r="O1892" s="69"/>
    </row>
    <row r="1893" x14ac:dyDescent="0.3">
      <c r="N1893" s="94"/>
      <c r="O1893" s="69"/>
    </row>
    <row r="1894" x14ac:dyDescent="0.3">
      <c r="N1894" s="94"/>
      <c r="O1894" s="69"/>
    </row>
    <row r="1895" x14ac:dyDescent="0.3">
      <c r="N1895" s="94"/>
      <c r="O1895" s="69"/>
    </row>
    <row r="1896" x14ac:dyDescent="0.3">
      <c r="N1896" s="94"/>
      <c r="O1896" s="69"/>
    </row>
    <row r="1897" x14ac:dyDescent="0.3">
      <c r="N1897" s="94"/>
      <c r="O1897" s="69"/>
    </row>
    <row r="1898" x14ac:dyDescent="0.3">
      <c r="N1898" s="94"/>
      <c r="O1898" s="69"/>
    </row>
    <row r="1899" x14ac:dyDescent="0.3">
      <c r="N1899" s="94"/>
      <c r="O1899" s="69"/>
    </row>
    <row r="1900" x14ac:dyDescent="0.3">
      <c r="N1900" s="94"/>
      <c r="O1900" s="69"/>
    </row>
    <row r="1901" x14ac:dyDescent="0.3">
      <c r="N1901" s="94"/>
      <c r="O1901" s="69"/>
    </row>
    <row r="1902" x14ac:dyDescent="0.3">
      <c r="N1902" s="94"/>
      <c r="O1902" s="69"/>
    </row>
    <row r="1903" x14ac:dyDescent="0.3">
      <c r="N1903" s="94"/>
      <c r="O1903" s="69"/>
    </row>
    <row r="1904" x14ac:dyDescent="0.3">
      <c r="N1904" s="94"/>
      <c r="O1904" s="69"/>
    </row>
    <row r="1905" x14ac:dyDescent="0.3">
      <c r="N1905" s="94"/>
      <c r="O1905" s="69"/>
    </row>
    <row r="1906" x14ac:dyDescent="0.3">
      <c r="N1906" s="94"/>
      <c r="O1906" s="69"/>
    </row>
    <row r="1907" x14ac:dyDescent="0.3">
      <c r="N1907" s="94"/>
      <c r="O1907" s="69"/>
    </row>
    <row r="1908" x14ac:dyDescent="0.3">
      <c r="N1908" s="94"/>
      <c r="O1908" s="69"/>
    </row>
    <row r="1909" x14ac:dyDescent="0.3">
      <c r="N1909" s="94"/>
      <c r="O1909" s="69"/>
    </row>
    <row r="1910" x14ac:dyDescent="0.3">
      <c r="N1910" s="94"/>
      <c r="O1910" s="69"/>
    </row>
    <row r="1911" x14ac:dyDescent="0.3">
      <c r="N1911" s="94"/>
      <c r="O1911" s="69"/>
    </row>
    <row r="1912" x14ac:dyDescent="0.3">
      <c r="N1912" s="94"/>
      <c r="O1912" s="69"/>
    </row>
    <row r="1913" x14ac:dyDescent="0.3">
      <c r="N1913" s="94"/>
      <c r="O1913" s="69"/>
    </row>
    <row r="1914" x14ac:dyDescent="0.3">
      <c r="N1914" s="94"/>
      <c r="O1914" s="69"/>
    </row>
    <row r="1915" x14ac:dyDescent="0.3">
      <c r="N1915" s="94"/>
      <c r="O1915" s="69"/>
    </row>
    <row r="1916" x14ac:dyDescent="0.3">
      <c r="N1916" s="94"/>
      <c r="O1916" s="69"/>
    </row>
    <row r="1917" x14ac:dyDescent="0.3">
      <c r="N1917" s="94"/>
      <c r="O1917" s="69"/>
    </row>
    <row r="1918" x14ac:dyDescent="0.3">
      <c r="N1918" s="94"/>
      <c r="O1918" s="69"/>
    </row>
    <row r="1919" x14ac:dyDescent="0.3">
      <c r="N1919" s="94"/>
      <c r="O1919" s="69"/>
    </row>
    <row r="1920" x14ac:dyDescent="0.3">
      <c r="N1920" s="94"/>
      <c r="O1920" s="69"/>
    </row>
    <row r="1921" x14ac:dyDescent="0.3">
      <c r="N1921" s="94"/>
      <c r="O1921" s="69"/>
    </row>
    <row r="1922" x14ac:dyDescent="0.3">
      <c r="N1922" s="94"/>
      <c r="O1922" s="69"/>
    </row>
    <row r="1923" x14ac:dyDescent="0.3">
      <c r="N1923" s="94"/>
      <c r="O1923" s="69"/>
    </row>
    <row r="1924" x14ac:dyDescent="0.3">
      <c r="N1924" s="94"/>
      <c r="O1924" s="69"/>
    </row>
    <row r="1925" x14ac:dyDescent="0.3">
      <c r="N1925" s="94"/>
      <c r="O1925" s="69"/>
    </row>
    <row r="1926" x14ac:dyDescent="0.3">
      <c r="N1926" s="94"/>
      <c r="O1926" s="69"/>
    </row>
    <row r="1927" x14ac:dyDescent="0.3">
      <c r="N1927" s="94"/>
      <c r="O1927" s="69"/>
    </row>
    <row r="1928" x14ac:dyDescent="0.3">
      <c r="N1928" s="94"/>
      <c r="O1928" s="69"/>
    </row>
    <row r="1929" x14ac:dyDescent="0.3">
      <c r="N1929" s="94"/>
      <c r="O1929" s="69"/>
    </row>
    <row r="1930" x14ac:dyDescent="0.3">
      <c r="N1930" s="94"/>
      <c r="O1930" s="69"/>
    </row>
    <row r="1931" x14ac:dyDescent="0.3">
      <c r="N1931" s="94"/>
      <c r="O1931" s="69"/>
    </row>
    <row r="1932" x14ac:dyDescent="0.3">
      <c r="N1932" s="94"/>
      <c r="O1932" s="69"/>
    </row>
    <row r="1933" x14ac:dyDescent="0.3">
      <c r="N1933" s="94"/>
      <c r="O1933" s="69"/>
    </row>
    <row r="1934" x14ac:dyDescent="0.3">
      <c r="N1934" s="94"/>
      <c r="O1934" s="69"/>
    </row>
    <row r="1935" x14ac:dyDescent="0.3">
      <c r="N1935" s="94"/>
      <c r="O1935" s="69"/>
    </row>
    <row r="1936" x14ac:dyDescent="0.3">
      <c r="N1936" s="94"/>
      <c r="O1936" s="69"/>
    </row>
    <row r="1937" x14ac:dyDescent="0.3">
      <c r="N1937" s="94"/>
      <c r="O1937" s="69"/>
    </row>
    <row r="1938" x14ac:dyDescent="0.3">
      <c r="N1938" s="94"/>
      <c r="O1938" s="69"/>
    </row>
    <row r="1939" x14ac:dyDescent="0.3">
      <c r="N1939" s="94"/>
      <c r="O1939" s="69"/>
    </row>
    <row r="1940" x14ac:dyDescent="0.3">
      <c r="N1940" s="94"/>
      <c r="O1940" s="69"/>
    </row>
    <row r="1941" x14ac:dyDescent="0.3">
      <c r="N1941" s="94"/>
      <c r="O1941" s="69"/>
    </row>
    <row r="1942" x14ac:dyDescent="0.3">
      <c r="N1942" s="94"/>
      <c r="O1942" s="69"/>
    </row>
    <row r="1943" x14ac:dyDescent="0.3">
      <c r="N1943" s="94"/>
      <c r="O1943" s="69"/>
    </row>
    <row r="1944" x14ac:dyDescent="0.3">
      <c r="N1944" s="94"/>
      <c r="O1944" s="69"/>
    </row>
    <row r="1945" x14ac:dyDescent="0.3">
      <c r="N1945" s="94"/>
      <c r="O1945" s="69"/>
    </row>
    <row r="1946" x14ac:dyDescent="0.3">
      <c r="N1946" s="94"/>
      <c r="O1946" s="69"/>
    </row>
    <row r="1947" x14ac:dyDescent="0.3">
      <c r="N1947" s="94"/>
      <c r="O1947" s="69"/>
    </row>
    <row r="1948" x14ac:dyDescent="0.3">
      <c r="N1948" s="94"/>
      <c r="O1948" s="69"/>
    </row>
    <row r="1949" x14ac:dyDescent="0.3">
      <c r="N1949" s="94"/>
      <c r="O1949" s="69"/>
    </row>
    <row r="1950" x14ac:dyDescent="0.3">
      <c r="N1950" s="94"/>
      <c r="O1950" s="69"/>
    </row>
    <row r="1951" x14ac:dyDescent="0.3">
      <c r="N1951" s="94"/>
      <c r="O1951" s="69"/>
    </row>
    <row r="1952" x14ac:dyDescent="0.3">
      <c r="N1952" s="94"/>
      <c r="O1952" s="69"/>
    </row>
    <row r="1953" x14ac:dyDescent="0.3">
      <c r="N1953" s="94"/>
      <c r="O1953" s="69"/>
    </row>
    <row r="1954" x14ac:dyDescent="0.3">
      <c r="N1954" s="94"/>
      <c r="O1954" s="69"/>
    </row>
    <row r="1955" x14ac:dyDescent="0.3">
      <c r="N1955" s="94"/>
      <c r="O1955" s="69"/>
    </row>
    <row r="1956" x14ac:dyDescent="0.3">
      <c r="N1956" s="94"/>
      <c r="O1956" s="69"/>
    </row>
    <row r="1957" x14ac:dyDescent="0.3">
      <c r="N1957" s="94"/>
      <c r="O1957" s="69"/>
    </row>
    <row r="1958" x14ac:dyDescent="0.3">
      <c r="N1958" s="94"/>
      <c r="O1958" s="69"/>
    </row>
    <row r="1959" x14ac:dyDescent="0.3">
      <c r="N1959" s="94"/>
      <c r="O1959" s="69"/>
    </row>
    <row r="1960" x14ac:dyDescent="0.3">
      <c r="N1960" s="94"/>
      <c r="O1960" s="69"/>
    </row>
    <row r="1961" x14ac:dyDescent="0.3">
      <c r="N1961" s="94"/>
      <c r="O1961" s="69"/>
    </row>
    <row r="1962" x14ac:dyDescent="0.3">
      <c r="N1962" s="94"/>
      <c r="O1962" s="69"/>
    </row>
    <row r="1963" x14ac:dyDescent="0.3">
      <c r="N1963" s="94"/>
      <c r="O1963" s="69"/>
    </row>
    <row r="1964" x14ac:dyDescent="0.3">
      <c r="N1964" s="94"/>
      <c r="O1964" s="69"/>
    </row>
    <row r="1965" x14ac:dyDescent="0.3">
      <c r="N1965" s="94"/>
      <c r="O1965" s="69"/>
    </row>
    <row r="1966" x14ac:dyDescent="0.3">
      <c r="N1966" s="94"/>
      <c r="O1966" s="69"/>
    </row>
    <row r="1967" x14ac:dyDescent="0.3">
      <c r="N1967" s="94"/>
      <c r="O1967" s="69"/>
    </row>
    <row r="1968" x14ac:dyDescent="0.3">
      <c r="N1968" s="94"/>
      <c r="O1968" s="69"/>
    </row>
    <row r="1969" x14ac:dyDescent="0.3">
      <c r="N1969" s="94"/>
      <c r="O1969" s="69"/>
    </row>
    <row r="1970" x14ac:dyDescent="0.3">
      <c r="N1970" s="94"/>
      <c r="O1970" s="69"/>
    </row>
    <row r="1971" x14ac:dyDescent="0.3">
      <c r="N1971" s="94"/>
      <c r="O1971" s="69"/>
    </row>
    <row r="1972" x14ac:dyDescent="0.3">
      <c r="N1972" s="94"/>
      <c r="O1972" s="69"/>
    </row>
    <row r="1973" x14ac:dyDescent="0.3">
      <c r="N1973" s="94"/>
      <c r="O1973" s="69"/>
    </row>
    <row r="1974" x14ac:dyDescent="0.3">
      <c r="N1974" s="94"/>
      <c r="O1974" s="69"/>
    </row>
    <row r="1975" x14ac:dyDescent="0.3">
      <c r="N1975" s="94"/>
      <c r="O1975" s="69"/>
    </row>
    <row r="1976" x14ac:dyDescent="0.3">
      <c r="N1976" s="94"/>
      <c r="O1976" s="69"/>
    </row>
    <row r="1977" x14ac:dyDescent="0.3">
      <c r="N1977" s="94"/>
      <c r="O1977" s="69"/>
    </row>
    <row r="1978" x14ac:dyDescent="0.3">
      <c r="N1978" s="94"/>
      <c r="O1978" s="69"/>
    </row>
    <row r="1979" x14ac:dyDescent="0.3">
      <c r="N1979" s="94"/>
      <c r="O1979" s="69"/>
    </row>
    <row r="1980" x14ac:dyDescent="0.3">
      <c r="N1980" s="94"/>
      <c r="O1980" s="69"/>
    </row>
    <row r="1981" x14ac:dyDescent="0.3">
      <c r="N1981" s="94"/>
      <c r="O1981" s="69"/>
    </row>
    <row r="1982" x14ac:dyDescent="0.3">
      <c r="N1982" s="94"/>
      <c r="O1982" s="69"/>
    </row>
    <row r="1983" x14ac:dyDescent="0.3">
      <c r="N1983" s="94"/>
      <c r="O1983" s="69"/>
    </row>
    <row r="1984" x14ac:dyDescent="0.3">
      <c r="N1984" s="94"/>
      <c r="O1984" s="69"/>
    </row>
    <row r="1985" x14ac:dyDescent="0.3">
      <c r="N1985" s="94"/>
      <c r="O1985" s="69"/>
    </row>
    <row r="1986" x14ac:dyDescent="0.3">
      <c r="N1986" s="94"/>
      <c r="O1986" s="69"/>
    </row>
    <row r="1987" x14ac:dyDescent="0.3">
      <c r="N1987" s="94"/>
      <c r="O1987" s="69"/>
    </row>
    <row r="1988" x14ac:dyDescent="0.3">
      <c r="N1988" s="94"/>
      <c r="O1988" s="69"/>
    </row>
    <row r="1989" x14ac:dyDescent="0.3">
      <c r="N1989" s="94"/>
      <c r="O1989" s="69"/>
    </row>
    <row r="1990" x14ac:dyDescent="0.3">
      <c r="N1990" s="94"/>
      <c r="O1990" s="69"/>
    </row>
    <row r="1991" x14ac:dyDescent="0.3">
      <c r="N1991" s="94"/>
      <c r="O1991" s="69"/>
    </row>
    <row r="1992" x14ac:dyDescent="0.3">
      <c r="N1992" s="94"/>
      <c r="O1992" s="69"/>
    </row>
    <row r="1993" x14ac:dyDescent="0.3">
      <c r="N1993" s="94"/>
      <c r="O1993" s="69"/>
    </row>
    <row r="1994" x14ac:dyDescent="0.3">
      <c r="N1994" s="94"/>
      <c r="O1994" s="69"/>
    </row>
    <row r="1995" x14ac:dyDescent="0.3">
      <c r="N1995" s="94"/>
      <c r="O1995" s="69"/>
    </row>
    <row r="1996" x14ac:dyDescent="0.3">
      <c r="N1996" s="94"/>
      <c r="O1996" s="69"/>
    </row>
    <row r="1997" x14ac:dyDescent="0.3">
      <c r="N1997" s="94"/>
      <c r="O1997" s="69"/>
    </row>
    <row r="1998" x14ac:dyDescent="0.3">
      <c r="N1998" s="94"/>
      <c r="O1998" s="69"/>
    </row>
    <row r="1999" x14ac:dyDescent="0.3">
      <c r="N1999" s="94"/>
      <c r="O1999" s="69"/>
    </row>
    <row r="2000" x14ac:dyDescent="0.3">
      <c r="N2000" s="94"/>
      <c r="O2000" s="69"/>
    </row>
    <row r="2001" x14ac:dyDescent="0.3">
      <c r="N2001" s="94"/>
      <c r="O2001" s="69"/>
    </row>
    <row r="2002" x14ac:dyDescent="0.3">
      <c r="N2002" s="94"/>
      <c r="O2002" s="69"/>
    </row>
    <row r="2003" x14ac:dyDescent="0.3">
      <c r="N2003" s="94"/>
      <c r="O2003" s="69"/>
    </row>
    <row r="2004" x14ac:dyDescent="0.3">
      <c r="N2004" s="94"/>
      <c r="O2004" s="69"/>
    </row>
    <row r="2005" x14ac:dyDescent="0.3">
      <c r="N2005" s="94"/>
      <c r="O2005" s="69"/>
    </row>
    <row r="2006" x14ac:dyDescent="0.3">
      <c r="N2006" s="94"/>
      <c r="O2006" s="69"/>
    </row>
    <row r="2007" x14ac:dyDescent="0.3">
      <c r="N2007" s="94"/>
      <c r="O2007" s="69"/>
    </row>
    <row r="2008" x14ac:dyDescent="0.3">
      <c r="N2008" s="94"/>
      <c r="O2008" s="69"/>
    </row>
    <row r="2009" x14ac:dyDescent="0.3">
      <c r="N2009" s="94"/>
      <c r="O2009" s="69"/>
    </row>
    <row r="2010" x14ac:dyDescent="0.3">
      <c r="N2010" s="94"/>
      <c r="O2010" s="69"/>
    </row>
    <row r="2011" x14ac:dyDescent="0.3">
      <c r="N2011" s="94"/>
      <c r="O2011" s="69"/>
    </row>
    <row r="2012" x14ac:dyDescent="0.3">
      <c r="N2012" s="94"/>
      <c r="O2012" s="69"/>
    </row>
    <row r="2013" x14ac:dyDescent="0.3">
      <c r="N2013" s="94"/>
      <c r="O2013" s="69"/>
    </row>
    <row r="2014" x14ac:dyDescent="0.3">
      <c r="N2014" s="94"/>
      <c r="O2014" s="69"/>
    </row>
    <row r="2015" x14ac:dyDescent="0.3">
      <c r="N2015" s="94"/>
      <c r="O2015" s="69"/>
    </row>
    <row r="2016" x14ac:dyDescent="0.3">
      <c r="N2016" s="94"/>
      <c r="O2016" s="69"/>
    </row>
    <row r="2017" x14ac:dyDescent="0.3">
      <c r="N2017" s="94"/>
      <c r="O2017" s="69"/>
    </row>
    <row r="2018" x14ac:dyDescent="0.3">
      <c r="N2018" s="94"/>
      <c r="O2018" s="69"/>
    </row>
    <row r="2019" x14ac:dyDescent="0.3">
      <c r="N2019" s="94"/>
      <c r="O2019" s="69"/>
    </row>
    <row r="2020" x14ac:dyDescent="0.3">
      <c r="N2020" s="94"/>
      <c r="O2020" s="69"/>
    </row>
    <row r="2021" x14ac:dyDescent="0.3">
      <c r="N2021" s="94"/>
      <c r="O2021" s="69"/>
    </row>
    <row r="2022" x14ac:dyDescent="0.3">
      <c r="N2022" s="94"/>
      <c r="O2022" s="69"/>
    </row>
    <row r="2023" x14ac:dyDescent="0.3">
      <c r="N2023" s="94"/>
      <c r="O2023" s="69"/>
    </row>
    <row r="2024" x14ac:dyDescent="0.3">
      <c r="N2024" s="94"/>
      <c r="O2024" s="69"/>
    </row>
    <row r="2025" x14ac:dyDescent="0.3">
      <c r="N2025" s="94"/>
      <c r="O2025" s="69"/>
    </row>
    <row r="2026" x14ac:dyDescent="0.3">
      <c r="N2026" s="94"/>
      <c r="O2026" s="69"/>
    </row>
    <row r="2027" x14ac:dyDescent="0.3">
      <c r="N2027" s="94"/>
      <c r="O2027" s="69"/>
    </row>
    <row r="2028" x14ac:dyDescent="0.3">
      <c r="N2028" s="94"/>
      <c r="O2028" s="69"/>
    </row>
    <row r="2029" x14ac:dyDescent="0.3">
      <c r="N2029" s="94"/>
      <c r="O2029" s="69"/>
    </row>
    <row r="2030" x14ac:dyDescent="0.3">
      <c r="N2030" s="94"/>
      <c r="O2030" s="69"/>
    </row>
    <row r="2031" x14ac:dyDescent="0.3">
      <c r="N2031" s="94"/>
      <c r="O2031" s="69"/>
    </row>
    <row r="2032" x14ac:dyDescent="0.3">
      <c r="N2032" s="94"/>
      <c r="O2032" s="69"/>
    </row>
    <row r="2033" x14ac:dyDescent="0.3">
      <c r="N2033" s="94"/>
      <c r="O2033" s="69"/>
    </row>
    <row r="2034" x14ac:dyDescent="0.3">
      <c r="N2034" s="94"/>
      <c r="O2034" s="69"/>
    </row>
    <row r="2035" x14ac:dyDescent="0.3">
      <c r="N2035" s="94"/>
      <c r="O2035" s="69"/>
    </row>
    <row r="2036" x14ac:dyDescent="0.3">
      <c r="N2036" s="94"/>
      <c r="O2036" s="69"/>
    </row>
    <row r="2037" x14ac:dyDescent="0.3">
      <c r="N2037" s="94"/>
      <c r="O2037" s="69"/>
    </row>
    <row r="2038" x14ac:dyDescent="0.3">
      <c r="N2038" s="94"/>
      <c r="O2038" s="69"/>
    </row>
    <row r="2039" x14ac:dyDescent="0.3">
      <c r="N2039" s="94"/>
      <c r="O2039" s="69"/>
    </row>
    <row r="2040" x14ac:dyDescent="0.3">
      <c r="N2040" s="94"/>
      <c r="O2040" s="69"/>
    </row>
    <row r="2041" x14ac:dyDescent="0.3">
      <c r="N2041" s="94"/>
      <c r="O2041" s="69"/>
    </row>
    <row r="2042" x14ac:dyDescent="0.3">
      <c r="N2042" s="94"/>
      <c r="O2042" s="69"/>
    </row>
    <row r="2043" x14ac:dyDescent="0.3">
      <c r="N2043" s="94"/>
      <c r="O2043" s="69"/>
    </row>
    <row r="2044" x14ac:dyDescent="0.3">
      <c r="N2044" s="94"/>
      <c r="O2044" s="69"/>
    </row>
    <row r="2045" x14ac:dyDescent="0.3">
      <c r="N2045" s="94"/>
      <c r="O2045" s="69"/>
    </row>
    <row r="2046" x14ac:dyDescent="0.3">
      <c r="N2046" s="94"/>
      <c r="O2046" s="69"/>
    </row>
    <row r="2047" x14ac:dyDescent="0.3">
      <c r="N2047" s="94"/>
      <c r="O2047" s="69"/>
    </row>
    <row r="2048" x14ac:dyDescent="0.3">
      <c r="N2048" s="94"/>
      <c r="O2048" s="69"/>
    </row>
    <row r="2049" x14ac:dyDescent="0.3">
      <c r="N2049" s="94"/>
      <c r="O2049" s="69"/>
    </row>
    <row r="2050" x14ac:dyDescent="0.3">
      <c r="N2050" s="94"/>
      <c r="O2050" s="69"/>
    </row>
    <row r="2051" x14ac:dyDescent="0.3">
      <c r="N2051" s="94"/>
      <c r="O2051" s="69"/>
    </row>
    <row r="2052" x14ac:dyDescent="0.3">
      <c r="N2052" s="94"/>
      <c r="O2052" s="69"/>
    </row>
    <row r="2053" x14ac:dyDescent="0.3">
      <c r="N2053" s="94"/>
      <c r="O2053" s="69"/>
    </row>
    <row r="2054" x14ac:dyDescent="0.3">
      <c r="N2054" s="94"/>
      <c r="O2054" s="69"/>
    </row>
    <row r="2055" x14ac:dyDescent="0.3">
      <c r="N2055" s="94"/>
      <c r="O2055" s="69"/>
    </row>
    <row r="2056" x14ac:dyDescent="0.3">
      <c r="N2056" s="94"/>
      <c r="O2056" s="69"/>
    </row>
    <row r="2057" x14ac:dyDescent="0.3">
      <c r="N2057" s="94"/>
      <c r="O2057" s="69"/>
    </row>
    <row r="2058" x14ac:dyDescent="0.3">
      <c r="N2058" s="94"/>
      <c r="O2058" s="69"/>
    </row>
    <row r="2059" x14ac:dyDescent="0.3">
      <c r="N2059" s="94"/>
      <c r="O2059" s="69"/>
    </row>
    <row r="2060" x14ac:dyDescent="0.3">
      <c r="N2060" s="94"/>
      <c r="O2060" s="69"/>
    </row>
    <row r="2061" x14ac:dyDescent="0.3">
      <c r="N2061" s="94"/>
      <c r="O2061" s="69"/>
    </row>
    <row r="2062" x14ac:dyDescent="0.3">
      <c r="N2062" s="94"/>
      <c r="O2062" s="69"/>
    </row>
    <row r="2063" x14ac:dyDescent="0.3">
      <c r="N2063" s="94"/>
      <c r="O2063" s="69"/>
    </row>
    <row r="2064" x14ac:dyDescent="0.3">
      <c r="N2064" s="94"/>
      <c r="O2064" s="69"/>
    </row>
    <row r="2065" x14ac:dyDescent="0.3">
      <c r="N2065" s="94"/>
      <c r="O2065" s="69"/>
    </row>
    <row r="2066" x14ac:dyDescent="0.3">
      <c r="N2066" s="94"/>
      <c r="O2066" s="69"/>
    </row>
    <row r="2067" x14ac:dyDescent="0.3">
      <c r="N2067" s="94"/>
      <c r="O2067" s="69"/>
    </row>
    <row r="2068" x14ac:dyDescent="0.3">
      <c r="N2068" s="94"/>
      <c r="O2068" s="69"/>
    </row>
    <row r="2069" x14ac:dyDescent="0.3">
      <c r="N2069" s="94"/>
      <c r="O2069" s="69"/>
    </row>
    <row r="2070" x14ac:dyDescent="0.3">
      <c r="N2070" s="94"/>
      <c r="O2070" s="69"/>
    </row>
    <row r="2071" x14ac:dyDescent="0.3">
      <c r="N2071" s="94"/>
      <c r="O2071" s="69"/>
    </row>
    <row r="2072" x14ac:dyDescent="0.3">
      <c r="N2072" s="94"/>
      <c r="O2072" s="69"/>
    </row>
    <row r="2073" x14ac:dyDescent="0.3">
      <c r="N2073" s="94"/>
      <c r="O2073" s="69"/>
    </row>
    <row r="2074" x14ac:dyDescent="0.3">
      <c r="N2074" s="94"/>
      <c r="O2074" s="69"/>
    </row>
    <row r="2075" x14ac:dyDescent="0.3">
      <c r="N2075" s="94"/>
      <c r="O2075" s="69"/>
    </row>
    <row r="2076" x14ac:dyDescent="0.3">
      <c r="N2076" s="94"/>
      <c r="O2076" s="69"/>
    </row>
    <row r="2077" x14ac:dyDescent="0.3">
      <c r="N2077" s="94"/>
      <c r="O2077" s="69"/>
    </row>
    <row r="2078" x14ac:dyDescent="0.3">
      <c r="N2078" s="94"/>
      <c r="O2078" s="69"/>
    </row>
    <row r="2079" x14ac:dyDescent="0.3">
      <c r="N2079" s="94"/>
      <c r="O2079" s="69"/>
    </row>
    <row r="2080" x14ac:dyDescent="0.3">
      <c r="N2080" s="94"/>
      <c r="O2080" s="69"/>
    </row>
    <row r="2081" x14ac:dyDescent="0.3">
      <c r="N2081" s="94"/>
      <c r="O2081" s="69"/>
    </row>
    <row r="2082" x14ac:dyDescent="0.3">
      <c r="N2082" s="94"/>
      <c r="O2082" s="69"/>
    </row>
    <row r="2083" x14ac:dyDescent="0.3">
      <c r="N2083" s="94"/>
      <c r="O2083" s="69"/>
    </row>
    <row r="2084" x14ac:dyDescent="0.3">
      <c r="N2084" s="94"/>
      <c r="O2084" s="69"/>
    </row>
    <row r="2085" x14ac:dyDescent="0.3">
      <c r="N2085" s="94"/>
      <c r="O2085" s="69"/>
    </row>
    <row r="2086" x14ac:dyDescent="0.3">
      <c r="N2086" s="94"/>
      <c r="O2086" s="69"/>
    </row>
    <row r="2087" x14ac:dyDescent="0.3">
      <c r="N2087" s="94"/>
      <c r="O2087" s="69"/>
    </row>
    <row r="2088" x14ac:dyDescent="0.3">
      <c r="N2088" s="94"/>
      <c r="O2088" s="69"/>
    </row>
    <row r="2089" x14ac:dyDescent="0.3">
      <c r="N2089" s="94"/>
      <c r="O2089" s="69"/>
    </row>
    <row r="2090" x14ac:dyDescent="0.3">
      <c r="N2090" s="94"/>
      <c r="O2090" s="69"/>
    </row>
    <row r="2091" x14ac:dyDescent="0.3">
      <c r="N2091" s="94"/>
      <c r="O2091" s="69"/>
    </row>
    <row r="2092" x14ac:dyDescent="0.3">
      <c r="N2092" s="94"/>
      <c r="O2092" s="69"/>
    </row>
    <row r="2093" x14ac:dyDescent="0.3">
      <c r="N2093" s="94"/>
      <c r="O2093" s="69"/>
    </row>
    <row r="2094" x14ac:dyDescent="0.3">
      <c r="N2094" s="94"/>
      <c r="O2094" s="69"/>
    </row>
    <row r="2095" x14ac:dyDescent="0.3">
      <c r="N2095" s="94"/>
      <c r="O2095" s="69"/>
    </row>
    <row r="2096" x14ac:dyDescent="0.3">
      <c r="N2096" s="94"/>
      <c r="O2096" s="69"/>
    </row>
    <row r="2097" x14ac:dyDescent="0.3">
      <c r="N2097" s="94"/>
      <c r="O2097" s="69"/>
    </row>
    <row r="2098" x14ac:dyDescent="0.3">
      <c r="N2098" s="94"/>
      <c r="O2098" s="69"/>
    </row>
    <row r="2099" x14ac:dyDescent="0.3">
      <c r="N2099" s="94"/>
      <c r="O2099" s="69"/>
    </row>
    <row r="2100" x14ac:dyDescent="0.3">
      <c r="N2100" s="94"/>
      <c r="O2100" s="69"/>
    </row>
    <row r="2101" x14ac:dyDescent="0.3">
      <c r="N2101" s="94"/>
      <c r="O2101" s="69"/>
    </row>
    <row r="2102" x14ac:dyDescent="0.3">
      <c r="N2102" s="94"/>
      <c r="O2102" s="69"/>
    </row>
    <row r="2103" x14ac:dyDescent="0.3">
      <c r="N2103" s="94"/>
      <c r="O2103" s="69"/>
    </row>
    <row r="2104" x14ac:dyDescent="0.3">
      <c r="N2104" s="94"/>
      <c r="O2104" s="69"/>
    </row>
    <row r="2105" x14ac:dyDescent="0.3">
      <c r="N2105" s="94"/>
      <c r="O2105" s="69"/>
    </row>
    <row r="2106" x14ac:dyDescent="0.3">
      <c r="N2106" s="94"/>
      <c r="O2106" s="69"/>
    </row>
    <row r="2107" x14ac:dyDescent="0.3">
      <c r="N2107" s="94"/>
      <c r="O2107" s="69"/>
    </row>
    <row r="2108" x14ac:dyDescent="0.3">
      <c r="N2108" s="94"/>
      <c r="O2108" s="69"/>
    </row>
    <row r="2109" x14ac:dyDescent="0.3">
      <c r="N2109" s="94"/>
      <c r="O2109" s="69"/>
    </row>
    <row r="2110" x14ac:dyDescent="0.3">
      <c r="N2110" s="94"/>
      <c r="O2110" s="69"/>
    </row>
    <row r="2111" x14ac:dyDescent="0.3">
      <c r="N2111" s="94"/>
      <c r="O2111" s="69"/>
    </row>
    <row r="2112" x14ac:dyDescent="0.3">
      <c r="N2112" s="94"/>
      <c r="O2112" s="69"/>
    </row>
    <row r="2113" x14ac:dyDescent="0.3">
      <c r="N2113" s="94"/>
      <c r="O2113" s="69"/>
    </row>
    <row r="2114" x14ac:dyDescent="0.3">
      <c r="N2114" s="94"/>
      <c r="O2114" s="69"/>
    </row>
    <row r="2115" x14ac:dyDescent="0.3">
      <c r="N2115" s="94"/>
      <c r="O2115" s="69"/>
    </row>
    <row r="2116" x14ac:dyDescent="0.3">
      <c r="N2116" s="94"/>
      <c r="O2116" s="69"/>
    </row>
    <row r="2117" x14ac:dyDescent="0.3">
      <c r="N2117" s="94"/>
      <c r="O2117" s="69"/>
    </row>
    <row r="2118" x14ac:dyDescent="0.3">
      <c r="N2118" s="94"/>
      <c r="O2118" s="69"/>
    </row>
    <row r="2119" x14ac:dyDescent="0.3">
      <c r="N2119" s="94"/>
      <c r="O2119" s="69"/>
    </row>
    <row r="2120" x14ac:dyDescent="0.3">
      <c r="N2120" s="94"/>
      <c r="O2120" s="69"/>
    </row>
    <row r="2121" x14ac:dyDescent="0.3">
      <c r="N2121" s="94"/>
      <c r="O2121" s="69"/>
    </row>
    <row r="2122" x14ac:dyDescent="0.3">
      <c r="N2122" s="94"/>
      <c r="O2122" s="69"/>
    </row>
    <row r="2123" x14ac:dyDescent="0.3">
      <c r="N2123" s="94"/>
      <c r="O2123" s="69"/>
    </row>
    <row r="2124" x14ac:dyDescent="0.3">
      <c r="N2124" s="94"/>
      <c r="O2124" s="69"/>
    </row>
    <row r="2125" x14ac:dyDescent="0.3">
      <c r="N2125" s="94"/>
      <c r="O2125" s="69"/>
    </row>
    <row r="2126" x14ac:dyDescent="0.3">
      <c r="N2126" s="94"/>
      <c r="O2126" s="69"/>
    </row>
    <row r="2127" x14ac:dyDescent="0.3">
      <c r="N2127" s="94"/>
      <c r="O2127" s="69"/>
    </row>
    <row r="2128" x14ac:dyDescent="0.3">
      <c r="N2128" s="94"/>
      <c r="O2128" s="69"/>
    </row>
    <row r="2129" x14ac:dyDescent="0.3">
      <c r="N2129" s="94"/>
      <c r="O2129" s="69"/>
    </row>
    <row r="2130" x14ac:dyDescent="0.3">
      <c r="N2130" s="94"/>
      <c r="O2130" s="69"/>
    </row>
    <row r="2131" x14ac:dyDescent="0.3">
      <c r="N2131" s="94"/>
      <c r="O2131" s="69"/>
    </row>
    <row r="2132" x14ac:dyDescent="0.3">
      <c r="N2132" s="94"/>
      <c r="O2132" s="69"/>
    </row>
    <row r="2133" x14ac:dyDescent="0.3">
      <c r="N2133" s="94"/>
      <c r="O2133" s="69"/>
    </row>
    <row r="2134" x14ac:dyDescent="0.3">
      <c r="N2134" s="94"/>
      <c r="O2134" s="69"/>
    </row>
    <row r="2135" x14ac:dyDescent="0.3">
      <c r="N2135" s="94"/>
      <c r="O2135" s="69"/>
    </row>
    <row r="2136" x14ac:dyDescent="0.3">
      <c r="N2136" s="94"/>
      <c r="O2136" s="69"/>
    </row>
    <row r="2137" x14ac:dyDescent="0.3">
      <c r="N2137" s="94"/>
      <c r="O2137" s="69"/>
    </row>
    <row r="2138" x14ac:dyDescent="0.3">
      <c r="N2138" s="94"/>
      <c r="O2138" s="69"/>
    </row>
    <row r="2139" x14ac:dyDescent="0.3">
      <c r="N2139" s="94"/>
      <c r="O2139" s="69"/>
    </row>
    <row r="2140" x14ac:dyDescent="0.3">
      <c r="N2140" s="94"/>
      <c r="O2140" s="69"/>
    </row>
    <row r="2141" x14ac:dyDescent="0.3">
      <c r="N2141" s="94"/>
      <c r="O2141" s="69"/>
    </row>
    <row r="2142" x14ac:dyDescent="0.3">
      <c r="N2142" s="94"/>
      <c r="O2142" s="69"/>
    </row>
    <row r="2143" x14ac:dyDescent="0.3">
      <c r="N2143" s="94"/>
      <c r="O2143" s="69"/>
    </row>
    <row r="2144" x14ac:dyDescent="0.3">
      <c r="N2144" s="94"/>
      <c r="O2144" s="69"/>
    </row>
    <row r="2145" x14ac:dyDescent="0.3">
      <c r="N2145" s="94"/>
      <c r="O2145" s="69"/>
    </row>
    <row r="2146" x14ac:dyDescent="0.3">
      <c r="N2146" s="94"/>
      <c r="O2146" s="69"/>
    </row>
    <row r="2147" x14ac:dyDescent="0.3">
      <c r="N2147" s="94"/>
      <c r="O2147" s="69"/>
    </row>
    <row r="2148" x14ac:dyDescent="0.3">
      <c r="N2148" s="94"/>
      <c r="O2148" s="69"/>
    </row>
    <row r="2149" x14ac:dyDescent="0.3">
      <c r="N2149" s="94"/>
      <c r="O2149" s="69"/>
    </row>
    <row r="2150" x14ac:dyDescent="0.3">
      <c r="N2150" s="94"/>
      <c r="O2150" s="69"/>
    </row>
    <row r="2151" x14ac:dyDescent="0.3">
      <c r="N2151" s="94"/>
      <c r="O2151" s="69"/>
    </row>
    <row r="2152" x14ac:dyDescent="0.3">
      <c r="N2152" s="94"/>
      <c r="O2152" s="69"/>
    </row>
    <row r="2153" x14ac:dyDescent="0.3">
      <c r="N2153" s="94"/>
      <c r="O2153" s="69"/>
    </row>
    <row r="2154" x14ac:dyDescent="0.3">
      <c r="N2154" s="94"/>
      <c r="O2154" s="69"/>
    </row>
    <row r="2155" x14ac:dyDescent="0.3">
      <c r="N2155" s="94"/>
      <c r="O2155" s="69"/>
    </row>
    <row r="2156" x14ac:dyDescent="0.3">
      <c r="N2156" s="94"/>
      <c r="O2156" s="69"/>
    </row>
    <row r="2157" x14ac:dyDescent="0.3">
      <c r="N2157" s="94"/>
      <c r="O2157" s="69"/>
    </row>
    <row r="2158" x14ac:dyDescent="0.3">
      <c r="N2158" s="94"/>
      <c r="O2158" s="69"/>
    </row>
    <row r="2159" x14ac:dyDescent="0.3">
      <c r="N2159" s="94"/>
      <c r="O2159" s="69"/>
    </row>
    <row r="2160" x14ac:dyDescent="0.3">
      <c r="N2160" s="94"/>
      <c r="O2160" s="69"/>
    </row>
    <row r="2161" x14ac:dyDescent="0.3">
      <c r="N2161" s="94"/>
      <c r="O2161" s="69"/>
    </row>
    <row r="2162" x14ac:dyDescent="0.3">
      <c r="N2162" s="94"/>
      <c r="O2162" s="69"/>
    </row>
    <row r="2163" x14ac:dyDescent="0.3">
      <c r="N2163" s="94"/>
      <c r="O2163" s="69"/>
    </row>
    <row r="2164" x14ac:dyDescent="0.3">
      <c r="N2164" s="94"/>
      <c r="O2164" s="69"/>
    </row>
    <row r="2165" x14ac:dyDescent="0.3">
      <c r="N2165" s="94"/>
      <c r="O2165" s="69"/>
    </row>
    <row r="2166" x14ac:dyDescent="0.3">
      <c r="N2166" s="94"/>
      <c r="O2166" s="69"/>
    </row>
    <row r="2167" x14ac:dyDescent="0.3">
      <c r="N2167" s="94"/>
      <c r="O2167" s="69"/>
    </row>
    <row r="2168" x14ac:dyDescent="0.3">
      <c r="N2168" s="94"/>
      <c r="O2168" s="69"/>
    </row>
    <row r="2169" x14ac:dyDescent="0.3">
      <c r="N2169" s="94"/>
      <c r="O2169" s="69"/>
    </row>
    <row r="2170" x14ac:dyDescent="0.3">
      <c r="N2170" s="94"/>
      <c r="O2170" s="69"/>
    </row>
    <row r="2171" x14ac:dyDescent="0.3">
      <c r="N2171" s="94"/>
      <c r="O2171" s="69"/>
    </row>
    <row r="2172" x14ac:dyDescent="0.3">
      <c r="N2172" s="94"/>
      <c r="O2172" s="69"/>
    </row>
    <row r="2173" x14ac:dyDescent="0.3">
      <c r="N2173" s="94"/>
      <c r="O2173" s="69"/>
    </row>
    <row r="2174" x14ac:dyDescent="0.3">
      <c r="N2174" s="94"/>
      <c r="O2174" s="69"/>
    </row>
    <row r="2175" x14ac:dyDescent="0.3">
      <c r="N2175" s="94"/>
      <c r="O2175" s="69"/>
    </row>
    <row r="2176" x14ac:dyDescent="0.3">
      <c r="N2176" s="94"/>
      <c r="O2176" s="69"/>
    </row>
    <row r="2177" x14ac:dyDescent="0.3">
      <c r="N2177" s="94"/>
      <c r="O2177" s="69"/>
    </row>
    <row r="2178" x14ac:dyDescent="0.3">
      <c r="N2178" s="94"/>
      <c r="O2178" s="69"/>
    </row>
    <row r="2179" x14ac:dyDescent="0.3">
      <c r="N2179" s="94"/>
      <c r="O2179" s="69"/>
    </row>
    <row r="2180" x14ac:dyDescent="0.3">
      <c r="N2180" s="94"/>
      <c r="O2180" s="69"/>
    </row>
    <row r="2181" x14ac:dyDescent="0.3">
      <c r="N2181" s="94"/>
      <c r="O2181" s="69"/>
    </row>
    <row r="2182" x14ac:dyDescent="0.3">
      <c r="N2182" s="94"/>
      <c r="O2182" s="69"/>
    </row>
    <row r="2183" x14ac:dyDescent="0.3">
      <c r="N2183" s="94"/>
      <c r="O2183" s="69"/>
    </row>
    <row r="2184" x14ac:dyDescent="0.3">
      <c r="N2184" s="94"/>
      <c r="O2184" s="69"/>
    </row>
    <row r="2185" x14ac:dyDescent="0.3">
      <c r="N2185" s="94"/>
      <c r="O2185" s="69"/>
    </row>
    <row r="2186" x14ac:dyDescent="0.3">
      <c r="N2186" s="94"/>
      <c r="O2186" s="69"/>
    </row>
    <row r="2187" x14ac:dyDescent="0.3">
      <c r="N2187" s="94"/>
      <c r="O2187" s="69"/>
    </row>
    <row r="2188" x14ac:dyDescent="0.3">
      <c r="N2188" s="94"/>
      <c r="O2188" s="69"/>
    </row>
    <row r="2189" x14ac:dyDescent="0.3">
      <c r="N2189" s="94"/>
      <c r="O2189" s="69"/>
    </row>
    <row r="2190" x14ac:dyDescent="0.3">
      <c r="N2190" s="94"/>
      <c r="O2190" s="69"/>
    </row>
    <row r="2191" x14ac:dyDescent="0.3">
      <c r="N2191" s="94"/>
      <c r="O2191" s="69"/>
    </row>
    <row r="2192" x14ac:dyDescent="0.3">
      <c r="N2192" s="94"/>
      <c r="O2192" s="69"/>
    </row>
    <row r="2193" x14ac:dyDescent="0.3">
      <c r="N2193" s="94"/>
      <c r="O2193" s="69"/>
    </row>
    <row r="2194" x14ac:dyDescent="0.3">
      <c r="N2194" s="94"/>
      <c r="O2194" s="69"/>
    </row>
    <row r="2195" x14ac:dyDescent="0.3">
      <c r="N2195" s="94"/>
      <c r="O2195" s="69"/>
    </row>
    <row r="2196" x14ac:dyDescent="0.3">
      <c r="N2196" s="94"/>
      <c r="O2196" s="69"/>
    </row>
    <row r="2197" x14ac:dyDescent="0.3">
      <c r="N2197" s="94"/>
      <c r="O2197" s="69"/>
    </row>
    <row r="2198" x14ac:dyDescent="0.3">
      <c r="N2198" s="94"/>
      <c r="O2198" s="69"/>
    </row>
    <row r="2199" x14ac:dyDescent="0.3">
      <c r="N2199" s="94"/>
      <c r="O2199" s="69"/>
    </row>
    <row r="2200" x14ac:dyDescent="0.3">
      <c r="N2200" s="94"/>
      <c r="O2200" s="69"/>
    </row>
    <row r="2201" x14ac:dyDescent="0.3">
      <c r="N2201" s="94"/>
      <c r="O2201" s="69"/>
    </row>
    <row r="2202" x14ac:dyDescent="0.3">
      <c r="N2202" s="94"/>
      <c r="O2202" s="69"/>
    </row>
    <row r="2203" x14ac:dyDescent="0.3">
      <c r="N2203" s="94"/>
      <c r="O2203" s="69"/>
    </row>
    <row r="2204" x14ac:dyDescent="0.3">
      <c r="N2204" s="94"/>
      <c r="O2204" s="69"/>
    </row>
    <row r="2205" x14ac:dyDescent="0.3">
      <c r="N2205" s="94"/>
      <c r="O2205" s="69"/>
    </row>
    <row r="2206" x14ac:dyDescent="0.3">
      <c r="N2206" s="94"/>
      <c r="O2206" s="69"/>
    </row>
    <row r="2207" x14ac:dyDescent="0.3">
      <c r="N2207" s="94"/>
      <c r="O2207" s="69"/>
    </row>
    <row r="2208" x14ac:dyDescent="0.3">
      <c r="N2208" s="94"/>
      <c r="O2208" s="69"/>
    </row>
    <row r="2209" x14ac:dyDescent="0.3">
      <c r="N2209" s="94"/>
      <c r="O2209" s="69"/>
    </row>
    <row r="2210" x14ac:dyDescent="0.3">
      <c r="N2210" s="94"/>
      <c r="O2210" s="69"/>
    </row>
    <row r="2211" x14ac:dyDescent="0.3">
      <c r="N2211" s="94"/>
      <c r="O2211" s="69"/>
    </row>
    <row r="2212" x14ac:dyDescent="0.3">
      <c r="N2212" s="94"/>
      <c r="O2212" s="69"/>
    </row>
    <row r="2213" x14ac:dyDescent="0.3">
      <c r="N2213" s="94"/>
      <c r="O2213" s="69"/>
    </row>
    <row r="2214" x14ac:dyDescent="0.3">
      <c r="N2214" s="94"/>
      <c r="O2214" s="69"/>
    </row>
    <row r="2215" x14ac:dyDescent="0.3">
      <c r="N2215" s="94"/>
      <c r="O2215" s="69"/>
    </row>
    <row r="2216" x14ac:dyDescent="0.3">
      <c r="N2216" s="94"/>
      <c r="O2216" s="69"/>
    </row>
    <row r="2217" x14ac:dyDescent="0.3">
      <c r="N2217" s="94"/>
      <c r="O2217" s="69"/>
    </row>
    <row r="2218" x14ac:dyDescent="0.3">
      <c r="N2218" s="94"/>
      <c r="O2218" s="69"/>
    </row>
    <row r="2219" x14ac:dyDescent="0.3">
      <c r="N2219" s="94"/>
      <c r="O2219" s="69"/>
    </row>
    <row r="2220" x14ac:dyDescent="0.3">
      <c r="N2220" s="94"/>
      <c r="O2220" s="69"/>
    </row>
    <row r="2221" x14ac:dyDescent="0.3">
      <c r="N2221" s="94"/>
      <c r="O2221" s="69"/>
    </row>
    <row r="2222" x14ac:dyDescent="0.3">
      <c r="N2222" s="94"/>
      <c r="O2222" s="69"/>
    </row>
    <row r="2223" x14ac:dyDescent="0.3">
      <c r="N2223" s="94"/>
      <c r="O2223" s="69"/>
    </row>
    <row r="2224" x14ac:dyDescent="0.3">
      <c r="N2224" s="94"/>
      <c r="O2224" s="69"/>
    </row>
    <row r="2225" x14ac:dyDescent="0.3">
      <c r="N2225" s="94"/>
      <c r="O2225" s="69"/>
    </row>
    <row r="2226" x14ac:dyDescent="0.3">
      <c r="N2226" s="94"/>
      <c r="O2226" s="69"/>
    </row>
    <row r="2227" x14ac:dyDescent="0.3">
      <c r="N2227" s="94"/>
      <c r="O2227" s="69"/>
    </row>
    <row r="2228" x14ac:dyDescent="0.3">
      <c r="N2228" s="94"/>
      <c r="O2228" s="69"/>
    </row>
    <row r="2229" x14ac:dyDescent="0.3">
      <c r="N2229" s="94"/>
      <c r="O2229" s="69"/>
    </row>
    <row r="2230" x14ac:dyDescent="0.3">
      <c r="N2230" s="94"/>
      <c r="O2230" s="69"/>
    </row>
    <row r="2231" x14ac:dyDescent="0.3">
      <c r="N2231" s="94"/>
      <c r="O2231" s="69"/>
    </row>
    <row r="2232" x14ac:dyDescent="0.3">
      <c r="N2232" s="94"/>
      <c r="O2232" s="69"/>
    </row>
    <row r="2233" x14ac:dyDescent="0.3">
      <c r="N2233" s="94"/>
      <c r="O2233" s="69"/>
    </row>
    <row r="2234" x14ac:dyDescent="0.3">
      <c r="N2234" s="94"/>
      <c r="O2234" s="69"/>
    </row>
    <row r="2235" x14ac:dyDescent="0.3">
      <c r="N2235" s="94"/>
      <c r="O2235" s="69"/>
    </row>
    <row r="2236" x14ac:dyDescent="0.3">
      <c r="N2236" s="94"/>
      <c r="O2236" s="69"/>
    </row>
    <row r="2237" x14ac:dyDescent="0.3">
      <c r="N2237" s="94"/>
      <c r="O2237" s="69"/>
    </row>
    <row r="2238" x14ac:dyDescent="0.3">
      <c r="N2238" s="94"/>
      <c r="O2238" s="69"/>
    </row>
    <row r="2239" x14ac:dyDescent="0.3">
      <c r="N2239" s="94"/>
      <c r="O2239" s="69"/>
    </row>
    <row r="2240" x14ac:dyDescent="0.3">
      <c r="N2240" s="94"/>
      <c r="O2240" s="69"/>
    </row>
    <row r="2241" x14ac:dyDescent="0.3">
      <c r="N2241" s="94"/>
      <c r="O2241" s="69"/>
    </row>
    <row r="2242" x14ac:dyDescent="0.3">
      <c r="N2242" s="94"/>
      <c r="O2242" s="69"/>
    </row>
    <row r="2243" x14ac:dyDescent="0.3">
      <c r="N2243" s="94"/>
      <c r="O2243" s="69"/>
    </row>
    <row r="2244" x14ac:dyDescent="0.3">
      <c r="N2244" s="94"/>
      <c r="O2244" s="69"/>
    </row>
    <row r="2245" x14ac:dyDescent="0.3">
      <c r="N2245" s="94"/>
      <c r="O2245" s="69"/>
    </row>
    <row r="2246" x14ac:dyDescent="0.3">
      <c r="N2246" s="94"/>
      <c r="O2246" s="69"/>
    </row>
    <row r="2247" x14ac:dyDescent="0.3">
      <c r="N2247" s="94"/>
      <c r="O2247" s="69"/>
    </row>
    <row r="2248" x14ac:dyDescent="0.3">
      <c r="N2248" s="94"/>
      <c r="O2248" s="69"/>
    </row>
    <row r="2249" x14ac:dyDescent="0.3">
      <c r="N2249" s="94"/>
      <c r="O2249" s="69"/>
    </row>
    <row r="2250" x14ac:dyDescent="0.3">
      <c r="N2250" s="94"/>
      <c r="O2250" s="69"/>
    </row>
    <row r="2251" x14ac:dyDescent="0.3">
      <c r="N2251" s="94"/>
      <c r="O2251" s="69"/>
    </row>
    <row r="2252" x14ac:dyDescent="0.3">
      <c r="N2252" s="94"/>
      <c r="O2252" s="69"/>
    </row>
    <row r="2253" x14ac:dyDescent="0.3">
      <c r="N2253" s="94"/>
      <c r="O2253" s="69"/>
    </row>
    <row r="2254" x14ac:dyDescent="0.3">
      <c r="N2254" s="94"/>
      <c r="O2254" s="69"/>
    </row>
    <row r="2255" x14ac:dyDescent="0.3">
      <c r="N2255" s="94"/>
      <c r="O2255" s="69"/>
    </row>
    <row r="2256" x14ac:dyDescent="0.3">
      <c r="N2256" s="94"/>
      <c r="O2256" s="69"/>
    </row>
    <row r="2257" x14ac:dyDescent="0.3">
      <c r="N2257" s="94"/>
      <c r="O2257" s="69"/>
    </row>
    <row r="2258" x14ac:dyDescent="0.3">
      <c r="N2258" s="94"/>
      <c r="O2258" s="69"/>
    </row>
    <row r="2259" x14ac:dyDescent="0.3">
      <c r="N2259" s="94"/>
      <c r="O2259" s="69"/>
    </row>
    <row r="2260" x14ac:dyDescent="0.3">
      <c r="N2260" s="94"/>
      <c r="O2260" s="69"/>
    </row>
    <row r="2261" x14ac:dyDescent="0.3">
      <c r="N2261" s="94"/>
      <c r="O2261" s="69"/>
    </row>
    <row r="2262" x14ac:dyDescent="0.3">
      <c r="N2262" s="94"/>
      <c r="O2262" s="69"/>
    </row>
    <row r="2263" x14ac:dyDescent="0.3">
      <c r="N2263" s="94"/>
      <c r="O2263" s="69"/>
    </row>
    <row r="2264" x14ac:dyDescent="0.3">
      <c r="N2264" s="94"/>
      <c r="O2264" s="69"/>
    </row>
    <row r="2265" x14ac:dyDescent="0.3">
      <c r="N2265" s="94"/>
      <c r="O2265" s="69"/>
    </row>
    <row r="2266" x14ac:dyDescent="0.3">
      <c r="N2266" s="94"/>
      <c r="O2266" s="69"/>
    </row>
    <row r="2267" x14ac:dyDescent="0.3">
      <c r="N2267" s="94"/>
      <c r="O2267" s="69"/>
    </row>
    <row r="2268" x14ac:dyDescent="0.3">
      <c r="N2268" s="94"/>
      <c r="O2268" s="69"/>
    </row>
    <row r="2269" x14ac:dyDescent="0.3">
      <c r="N2269" s="94"/>
      <c r="O2269" s="69"/>
    </row>
    <row r="2270" x14ac:dyDescent="0.3">
      <c r="N2270" s="94"/>
      <c r="O2270" s="69"/>
    </row>
    <row r="2271" x14ac:dyDescent="0.3">
      <c r="N2271" s="94"/>
      <c r="O2271" s="69"/>
    </row>
    <row r="2272" x14ac:dyDescent="0.3">
      <c r="N2272" s="94"/>
      <c r="O2272" s="69"/>
    </row>
    <row r="2273" x14ac:dyDescent="0.3">
      <c r="N2273" s="94"/>
      <c r="O2273" s="69"/>
    </row>
    <row r="2274" x14ac:dyDescent="0.3">
      <c r="N2274" s="94"/>
      <c r="O2274" s="69"/>
    </row>
    <row r="2275" x14ac:dyDescent="0.3">
      <c r="N2275" s="94"/>
      <c r="O2275" s="69"/>
    </row>
    <row r="2276" x14ac:dyDescent="0.3">
      <c r="N2276" s="94"/>
      <c r="O2276" s="69"/>
    </row>
    <row r="2277" x14ac:dyDescent="0.3">
      <c r="N2277" s="94"/>
      <c r="O2277" s="69"/>
    </row>
    <row r="2278" x14ac:dyDescent="0.3">
      <c r="N2278" s="94"/>
      <c r="O2278" s="69"/>
    </row>
    <row r="2279" x14ac:dyDescent="0.3">
      <c r="N2279" s="94"/>
      <c r="O2279" s="69"/>
    </row>
    <row r="2280" x14ac:dyDescent="0.3">
      <c r="N2280" s="94"/>
      <c r="O2280" s="69"/>
    </row>
    <row r="2281" x14ac:dyDescent="0.3">
      <c r="N2281" s="94"/>
      <c r="O2281" s="69"/>
    </row>
    <row r="2282" x14ac:dyDescent="0.3">
      <c r="N2282" s="94"/>
      <c r="O2282" s="69"/>
    </row>
    <row r="2283" x14ac:dyDescent="0.3">
      <c r="N2283" s="94"/>
      <c r="O2283" s="69"/>
    </row>
    <row r="2284" x14ac:dyDescent="0.3">
      <c r="N2284" s="94"/>
      <c r="O2284" s="69"/>
    </row>
    <row r="2285" x14ac:dyDescent="0.3">
      <c r="N2285" s="94"/>
      <c r="O2285" s="69"/>
    </row>
    <row r="2286" x14ac:dyDescent="0.3">
      <c r="N2286" s="94"/>
      <c r="O2286" s="69"/>
    </row>
    <row r="2287" x14ac:dyDescent="0.3">
      <c r="N2287" s="94"/>
      <c r="O2287" s="69"/>
    </row>
    <row r="2288" x14ac:dyDescent="0.3">
      <c r="N2288" s="94"/>
      <c r="O2288" s="69"/>
    </row>
    <row r="2289" x14ac:dyDescent="0.3">
      <c r="N2289" s="94"/>
      <c r="O2289" s="69"/>
    </row>
    <row r="2290" x14ac:dyDescent="0.3">
      <c r="N2290" s="94"/>
      <c r="O2290" s="69"/>
    </row>
    <row r="2291" x14ac:dyDescent="0.3">
      <c r="N2291" s="94"/>
      <c r="O2291" s="69"/>
    </row>
    <row r="2292" x14ac:dyDescent="0.3">
      <c r="N2292" s="94"/>
      <c r="O2292" s="69"/>
    </row>
    <row r="2293" x14ac:dyDescent="0.3">
      <c r="N2293" s="94"/>
      <c r="O2293" s="69"/>
    </row>
    <row r="2294" x14ac:dyDescent="0.3">
      <c r="N2294" s="94"/>
      <c r="O2294" s="69"/>
    </row>
    <row r="2295" x14ac:dyDescent="0.3">
      <c r="N2295" s="94"/>
      <c r="O2295" s="69"/>
    </row>
    <row r="2296" x14ac:dyDescent="0.3">
      <c r="N2296" s="94"/>
      <c r="O2296" s="69"/>
    </row>
    <row r="2297" x14ac:dyDescent="0.3">
      <c r="N2297" s="94"/>
      <c r="O2297" s="69"/>
    </row>
    <row r="2298" x14ac:dyDescent="0.3">
      <c r="N2298" s="94"/>
      <c r="O2298" s="69"/>
    </row>
    <row r="2299" x14ac:dyDescent="0.3">
      <c r="N2299" s="94"/>
      <c r="O2299" s="69"/>
    </row>
    <row r="2300" x14ac:dyDescent="0.3">
      <c r="N2300" s="94"/>
      <c r="O2300" s="69"/>
    </row>
    <row r="2301" x14ac:dyDescent="0.3">
      <c r="N2301" s="94"/>
      <c r="O2301" s="69"/>
    </row>
    <row r="2302" x14ac:dyDescent="0.3">
      <c r="N2302" s="94"/>
      <c r="O2302" s="69"/>
    </row>
    <row r="2303" x14ac:dyDescent="0.3">
      <c r="N2303" s="94"/>
      <c r="O2303" s="69"/>
    </row>
    <row r="2304" x14ac:dyDescent="0.3">
      <c r="N2304" s="94"/>
      <c r="O2304" s="69"/>
    </row>
    <row r="2305" x14ac:dyDescent="0.3">
      <c r="N2305" s="94"/>
      <c r="O2305" s="69"/>
    </row>
    <row r="2306" x14ac:dyDescent="0.3">
      <c r="N2306" s="94"/>
      <c r="O2306" s="69"/>
    </row>
    <row r="2307" x14ac:dyDescent="0.3">
      <c r="N2307" s="94"/>
      <c r="O2307" s="69"/>
    </row>
    <row r="2308" x14ac:dyDescent="0.3">
      <c r="N2308" s="94"/>
      <c r="O2308" s="69"/>
    </row>
    <row r="2309" x14ac:dyDescent="0.3">
      <c r="N2309" s="94"/>
      <c r="O2309" s="69"/>
    </row>
    <row r="2310" x14ac:dyDescent="0.3">
      <c r="N2310" s="94"/>
      <c r="O2310" s="69"/>
    </row>
    <row r="2311" x14ac:dyDescent="0.3">
      <c r="N2311" s="94"/>
      <c r="O2311" s="69"/>
    </row>
    <row r="2312" x14ac:dyDescent="0.3">
      <c r="N2312" s="94"/>
      <c r="O2312" s="69"/>
    </row>
    <row r="2313" x14ac:dyDescent="0.3">
      <c r="N2313" s="94"/>
      <c r="O2313" s="69"/>
    </row>
    <row r="2314" x14ac:dyDescent="0.3">
      <c r="N2314" s="94"/>
      <c r="O2314" s="69"/>
    </row>
    <row r="2315" x14ac:dyDescent="0.3">
      <c r="N2315" s="94"/>
      <c r="O2315" s="69"/>
    </row>
    <row r="2316" x14ac:dyDescent="0.3">
      <c r="N2316" s="94"/>
      <c r="O2316" s="69"/>
    </row>
    <row r="2317" x14ac:dyDescent="0.3">
      <c r="N2317" s="94"/>
      <c r="O2317" s="69"/>
    </row>
    <row r="2318" x14ac:dyDescent="0.3">
      <c r="N2318" s="94"/>
      <c r="O2318" s="69"/>
    </row>
    <row r="2319" x14ac:dyDescent="0.3">
      <c r="N2319" s="94"/>
      <c r="O2319" s="69"/>
    </row>
    <row r="2320" x14ac:dyDescent="0.3">
      <c r="N2320" s="94"/>
      <c r="O2320" s="69"/>
    </row>
    <row r="2321" x14ac:dyDescent="0.3">
      <c r="N2321" s="94"/>
      <c r="O2321" s="69"/>
    </row>
    <row r="2322" x14ac:dyDescent="0.3">
      <c r="N2322" s="94"/>
      <c r="O2322" s="69"/>
    </row>
    <row r="2323" x14ac:dyDescent="0.3">
      <c r="N2323" s="94"/>
      <c r="O2323" s="69"/>
    </row>
    <row r="2324" x14ac:dyDescent="0.3">
      <c r="N2324" s="94"/>
      <c r="O2324" s="69"/>
    </row>
    <row r="2325" x14ac:dyDescent="0.3">
      <c r="N2325" s="94"/>
      <c r="O2325" s="69"/>
    </row>
    <row r="2326" x14ac:dyDescent="0.3">
      <c r="N2326" s="94"/>
      <c r="O2326" s="69"/>
    </row>
    <row r="2327" x14ac:dyDescent="0.3">
      <c r="N2327" s="94"/>
      <c r="O2327" s="69"/>
    </row>
    <row r="2328" x14ac:dyDescent="0.3">
      <c r="N2328" s="94"/>
      <c r="O2328" s="69"/>
    </row>
    <row r="2329" x14ac:dyDescent="0.3">
      <c r="N2329" s="94"/>
      <c r="O2329" s="69"/>
    </row>
    <row r="2330" x14ac:dyDescent="0.3">
      <c r="N2330" s="94"/>
      <c r="O2330" s="69"/>
    </row>
    <row r="2331" x14ac:dyDescent="0.3">
      <c r="N2331" s="94"/>
      <c r="O2331" s="69"/>
    </row>
    <row r="2332" x14ac:dyDescent="0.3">
      <c r="N2332" s="94"/>
      <c r="O2332" s="69"/>
    </row>
    <row r="2333" x14ac:dyDescent="0.3">
      <c r="N2333" s="94"/>
      <c r="O2333" s="69"/>
    </row>
    <row r="2334" x14ac:dyDescent="0.3">
      <c r="N2334" s="94"/>
      <c r="O2334" s="69"/>
    </row>
    <row r="2335" x14ac:dyDescent="0.3">
      <c r="N2335" s="94"/>
      <c r="O2335" s="69"/>
    </row>
    <row r="2336" x14ac:dyDescent="0.3">
      <c r="N2336" s="94"/>
      <c r="O2336" s="69"/>
    </row>
    <row r="2337" x14ac:dyDescent="0.3">
      <c r="N2337" s="94"/>
      <c r="O2337" s="69"/>
    </row>
    <row r="2338" x14ac:dyDescent="0.3">
      <c r="N2338" s="94"/>
      <c r="O2338" s="69"/>
    </row>
    <row r="2339" x14ac:dyDescent="0.3">
      <c r="N2339" s="94"/>
      <c r="O2339" s="69"/>
    </row>
    <row r="2340" x14ac:dyDescent="0.3">
      <c r="N2340" s="94"/>
      <c r="O2340" s="69"/>
    </row>
    <row r="2341" x14ac:dyDescent="0.3">
      <c r="N2341" s="94"/>
      <c r="O2341" s="69"/>
    </row>
    <row r="2342" x14ac:dyDescent="0.3">
      <c r="N2342" s="94"/>
      <c r="O2342" s="69"/>
    </row>
    <row r="2343" x14ac:dyDescent="0.3">
      <c r="N2343" s="94"/>
      <c r="O2343" s="69"/>
    </row>
    <row r="2344" x14ac:dyDescent="0.3">
      <c r="N2344" s="94"/>
      <c r="O2344" s="69"/>
    </row>
    <row r="2345" x14ac:dyDescent="0.3">
      <c r="N2345" s="94"/>
      <c r="O2345" s="69"/>
    </row>
    <row r="2346" x14ac:dyDescent="0.3">
      <c r="N2346" s="94"/>
      <c r="O2346" s="69"/>
    </row>
    <row r="2347" x14ac:dyDescent="0.3">
      <c r="N2347" s="94"/>
      <c r="O2347" s="69"/>
    </row>
    <row r="2348" x14ac:dyDescent="0.3">
      <c r="N2348" s="94"/>
      <c r="O2348" s="69"/>
    </row>
    <row r="2349" x14ac:dyDescent="0.3">
      <c r="N2349" s="94"/>
      <c r="O2349" s="69"/>
    </row>
    <row r="2350" x14ac:dyDescent="0.3">
      <c r="N2350" s="94"/>
      <c r="O2350" s="69"/>
    </row>
    <row r="2351" x14ac:dyDescent="0.3">
      <c r="N2351" s="94"/>
      <c r="O2351" s="69"/>
    </row>
    <row r="2352" x14ac:dyDescent="0.3">
      <c r="N2352" s="94"/>
      <c r="O2352" s="69"/>
    </row>
    <row r="2353" x14ac:dyDescent="0.3">
      <c r="N2353" s="94"/>
      <c r="O2353" s="69"/>
    </row>
    <row r="2354" x14ac:dyDescent="0.3">
      <c r="N2354" s="94"/>
      <c r="O2354" s="69"/>
    </row>
    <row r="2355" x14ac:dyDescent="0.3">
      <c r="N2355" s="94"/>
      <c r="O2355" s="69"/>
    </row>
    <row r="2356" x14ac:dyDescent="0.3">
      <c r="N2356" s="94"/>
      <c r="O2356" s="69"/>
    </row>
    <row r="2357" x14ac:dyDescent="0.3">
      <c r="N2357" s="94"/>
      <c r="O2357" s="69"/>
    </row>
    <row r="2358" x14ac:dyDescent="0.3">
      <c r="N2358" s="94"/>
      <c r="O2358" s="69"/>
    </row>
    <row r="2359" x14ac:dyDescent="0.3">
      <c r="N2359" s="94"/>
      <c r="O2359" s="69"/>
    </row>
    <row r="2360" x14ac:dyDescent="0.3">
      <c r="N2360" s="94"/>
      <c r="O2360" s="69"/>
    </row>
    <row r="2361" x14ac:dyDescent="0.3">
      <c r="N2361" s="94"/>
      <c r="O2361" s="69"/>
    </row>
    <row r="2362" x14ac:dyDescent="0.3">
      <c r="N2362" s="94"/>
      <c r="O2362" s="69"/>
    </row>
    <row r="2363" x14ac:dyDescent="0.3">
      <c r="N2363" s="94"/>
      <c r="O2363" s="69"/>
    </row>
    <row r="2364" x14ac:dyDescent="0.3">
      <c r="N2364" s="94"/>
      <c r="O2364" s="69"/>
    </row>
    <row r="2365" x14ac:dyDescent="0.3">
      <c r="N2365" s="94"/>
      <c r="O2365" s="69"/>
    </row>
    <row r="2366" x14ac:dyDescent="0.3">
      <c r="N2366" s="94"/>
      <c r="O2366" s="69"/>
    </row>
    <row r="2367" x14ac:dyDescent="0.3">
      <c r="N2367" s="94"/>
      <c r="O2367" s="69"/>
    </row>
    <row r="2368" x14ac:dyDescent="0.3">
      <c r="N2368" s="94"/>
      <c r="O2368" s="69"/>
    </row>
    <row r="2369" x14ac:dyDescent="0.3">
      <c r="N2369" s="94"/>
      <c r="O2369" s="69"/>
    </row>
    <row r="2370" x14ac:dyDescent="0.3">
      <c r="N2370" s="94"/>
      <c r="O2370" s="69"/>
    </row>
    <row r="2371" x14ac:dyDescent="0.3">
      <c r="N2371" s="94"/>
      <c r="O2371" s="69"/>
    </row>
    <row r="2372" x14ac:dyDescent="0.3">
      <c r="N2372" s="94"/>
      <c r="O2372" s="69"/>
    </row>
    <row r="2373" x14ac:dyDescent="0.3">
      <c r="N2373" s="94"/>
      <c r="O2373" s="69"/>
    </row>
    <row r="2374" x14ac:dyDescent="0.3">
      <c r="N2374" s="94"/>
      <c r="O2374" s="69"/>
    </row>
    <row r="2375" x14ac:dyDescent="0.3">
      <c r="N2375" s="94"/>
      <c r="O2375" s="69"/>
    </row>
    <row r="2376" x14ac:dyDescent="0.3">
      <c r="N2376" s="94"/>
      <c r="O2376" s="69"/>
    </row>
    <row r="2377" x14ac:dyDescent="0.3">
      <c r="N2377" s="94"/>
      <c r="O2377" s="69"/>
    </row>
    <row r="2378" x14ac:dyDescent="0.3">
      <c r="N2378" s="94"/>
      <c r="O2378" s="69"/>
    </row>
    <row r="2379" x14ac:dyDescent="0.3">
      <c r="N2379" s="94"/>
      <c r="O2379" s="69"/>
    </row>
    <row r="2380" x14ac:dyDescent="0.3">
      <c r="N2380" s="94"/>
      <c r="O2380" s="69"/>
    </row>
    <row r="2381" x14ac:dyDescent="0.3">
      <c r="N2381" s="94"/>
      <c r="O2381" s="69"/>
    </row>
    <row r="2382" x14ac:dyDescent="0.3">
      <c r="N2382" s="94"/>
      <c r="O2382" s="69"/>
    </row>
    <row r="2383" x14ac:dyDescent="0.3">
      <c r="N2383" s="94"/>
      <c r="O2383" s="69"/>
    </row>
    <row r="2384" x14ac:dyDescent="0.3">
      <c r="N2384" s="94"/>
      <c r="O2384" s="69"/>
    </row>
    <row r="2385" x14ac:dyDescent="0.3">
      <c r="N2385" s="94"/>
      <c r="O2385" s="69"/>
    </row>
    <row r="2386" x14ac:dyDescent="0.3">
      <c r="N2386" s="94"/>
      <c r="O2386" s="69"/>
    </row>
    <row r="2387" x14ac:dyDescent="0.3">
      <c r="N2387" s="94"/>
      <c r="O2387" s="69"/>
    </row>
    <row r="2388" x14ac:dyDescent="0.3">
      <c r="N2388" s="94"/>
      <c r="O2388" s="69"/>
    </row>
    <row r="2389" x14ac:dyDescent="0.3">
      <c r="N2389" s="94"/>
      <c r="O2389" s="69"/>
    </row>
    <row r="2390" x14ac:dyDescent="0.3">
      <c r="N2390" s="94"/>
      <c r="O2390" s="69"/>
    </row>
    <row r="2391" x14ac:dyDescent="0.3">
      <c r="N2391" s="94"/>
      <c r="O2391" s="69"/>
    </row>
    <row r="2392" x14ac:dyDescent="0.3">
      <c r="N2392" s="94"/>
      <c r="O2392" s="69"/>
    </row>
    <row r="2393" x14ac:dyDescent="0.3">
      <c r="N2393" s="94"/>
      <c r="O2393" s="69"/>
    </row>
    <row r="2394" x14ac:dyDescent="0.3">
      <c r="N2394" s="94"/>
      <c r="O2394" s="69"/>
    </row>
    <row r="2395" x14ac:dyDescent="0.3">
      <c r="N2395" s="94"/>
      <c r="O2395" s="69"/>
    </row>
    <row r="2396" x14ac:dyDescent="0.3">
      <c r="N2396" s="94"/>
      <c r="O2396" s="69"/>
    </row>
    <row r="2397" x14ac:dyDescent="0.3">
      <c r="N2397" s="94"/>
      <c r="O2397" s="69"/>
    </row>
    <row r="2398" x14ac:dyDescent="0.3">
      <c r="N2398" s="94"/>
      <c r="O2398" s="69"/>
    </row>
    <row r="2399" x14ac:dyDescent="0.3">
      <c r="N2399" s="94"/>
      <c r="O2399" s="69"/>
    </row>
    <row r="2400" x14ac:dyDescent="0.3">
      <c r="N2400" s="94"/>
      <c r="O2400" s="69"/>
    </row>
    <row r="2401" x14ac:dyDescent="0.3">
      <c r="N2401" s="94"/>
      <c r="O2401" s="69"/>
    </row>
    <row r="2402" x14ac:dyDescent="0.3">
      <c r="N2402" s="94"/>
      <c r="O2402" s="69"/>
    </row>
    <row r="2403" x14ac:dyDescent="0.3">
      <c r="N2403" s="94"/>
      <c r="O2403" s="69"/>
    </row>
    <row r="2404" x14ac:dyDescent="0.3">
      <c r="N2404" s="94"/>
      <c r="O2404" s="69"/>
    </row>
    <row r="2405" x14ac:dyDescent="0.3">
      <c r="N2405" s="94"/>
      <c r="O2405" s="69"/>
    </row>
    <row r="2406" x14ac:dyDescent="0.3">
      <c r="N2406" s="94"/>
      <c r="O2406" s="69"/>
    </row>
    <row r="2407" x14ac:dyDescent="0.3">
      <c r="N2407" s="94"/>
      <c r="O2407" s="69"/>
    </row>
    <row r="2408" x14ac:dyDescent="0.3">
      <c r="N2408" s="94"/>
      <c r="O2408" s="69"/>
    </row>
    <row r="2409" x14ac:dyDescent="0.3">
      <c r="N2409" s="94"/>
      <c r="O2409" s="69"/>
    </row>
    <row r="2410" x14ac:dyDescent="0.3">
      <c r="N2410" s="94"/>
      <c r="O2410" s="69"/>
    </row>
    <row r="2411" x14ac:dyDescent="0.3">
      <c r="N2411" s="94"/>
      <c r="O2411" s="69"/>
    </row>
    <row r="2412" x14ac:dyDescent="0.3">
      <c r="N2412" s="94"/>
      <c r="O2412" s="69"/>
    </row>
    <row r="2413" x14ac:dyDescent="0.3">
      <c r="N2413" s="94"/>
      <c r="O2413" s="69"/>
    </row>
    <row r="2414" x14ac:dyDescent="0.3">
      <c r="N2414" s="94"/>
      <c r="O2414" s="69"/>
    </row>
    <row r="2415" x14ac:dyDescent="0.3">
      <c r="N2415" s="94"/>
      <c r="O2415" s="69"/>
    </row>
    <row r="2416" x14ac:dyDescent="0.3">
      <c r="N2416" s="94"/>
      <c r="O2416" s="69"/>
    </row>
    <row r="2417" x14ac:dyDescent="0.3">
      <c r="N2417" s="94"/>
      <c r="O2417" s="69"/>
    </row>
    <row r="2418" x14ac:dyDescent="0.3">
      <c r="N2418" s="94"/>
      <c r="O2418" s="69"/>
    </row>
    <row r="2419" x14ac:dyDescent="0.3">
      <c r="N2419" s="94"/>
      <c r="O2419" s="69"/>
    </row>
    <row r="2420" x14ac:dyDescent="0.3">
      <c r="N2420" s="94"/>
      <c r="O2420" s="69"/>
    </row>
    <row r="2421" x14ac:dyDescent="0.3">
      <c r="N2421" s="94"/>
      <c r="O2421" s="69"/>
    </row>
    <row r="2422" x14ac:dyDescent="0.3">
      <c r="N2422" s="94"/>
      <c r="O2422" s="69"/>
    </row>
    <row r="2423" x14ac:dyDescent="0.3">
      <c r="N2423" s="94"/>
      <c r="O2423" s="69"/>
    </row>
    <row r="2424" x14ac:dyDescent="0.3">
      <c r="N2424" s="94"/>
      <c r="O2424" s="69"/>
    </row>
    <row r="2425" x14ac:dyDescent="0.3">
      <c r="N2425" s="94"/>
      <c r="O2425" s="69"/>
    </row>
    <row r="2426" x14ac:dyDescent="0.3">
      <c r="N2426" s="94"/>
      <c r="O2426" s="69"/>
    </row>
    <row r="2427" x14ac:dyDescent="0.3">
      <c r="N2427" s="94"/>
      <c r="O2427" s="69"/>
    </row>
    <row r="2428" x14ac:dyDescent="0.3">
      <c r="N2428" s="94"/>
      <c r="O2428" s="69"/>
    </row>
    <row r="2429" x14ac:dyDescent="0.3">
      <c r="N2429" s="94"/>
      <c r="O2429" s="69"/>
    </row>
    <row r="2430" x14ac:dyDescent="0.3">
      <c r="N2430" s="94"/>
      <c r="O2430" s="69"/>
    </row>
    <row r="2431" x14ac:dyDescent="0.3">
      <c r="N2431" s="94"/>
      <c r="O2431" s="69"/>
    </row>
    <row r="2432" x14ac:dyDescent="0.3">
      <c r="N2432" s="94"/>
      <c r="O2432" s="69"/>
    </row>
    <row r="2433" x14ac:dyDescent="0.3">
      <c r="N2433" s="94"/>
      <c r="O2433" s="69"/>
    </row>
    <row r="2434" x14ac:dyDescent="0.3">
      <c r="N2434" s="94"/>
      <c r="O2434" s="69"/>
    </row>
    <row r="2435" x14ac:dyDescent="0.3">
      <c r="N2435" s="94"/>
      <c r="O2435" s="69"/>
    </row>
    <row r="2436" x14ac:dyDescent="0.3">
      <c r="N2436" s="94"/>
      <c r="O2436" s="69"/>
    </row>
    <row r="2437" x14ac:dyDescent="0.3">
      <c r="N2437" s="94"/>
      <c r="O2437" s="69"/>
    </row>
    <row r="2438" x14ac:dyDescent="0.3">
      <c r="N2438" s="94"/>
      <c r="O2438" s="69"/>
    </row>
    <row r="2439" x14ac:dyDescent="0.3">
      <c r="N2439" s="94"/>
      <c r="O2439" s="69"/>
    </row>
    <row r="2440" x14ac:dyDescent="0.3">
      <c r="N2440" s="94"/>
      <c r="O2440" s="69"/>
    </row>
    <row r="2441" x14ac:dyDescent="0.3">
      <c r="N2441" s="94"/>
      <c r="O2441" s="69"/>
    </row>
    <row r="2442" x14ac:dyDescent="0.3">
      <c r="N2442" s="94"/>
      <c r="O2442" s="69"/>
    </row>
    <row r="2443" x14ac:dyDescent="0.3">
      <c r="N2443" s="94"/>
      <c r="O2443" s="69"/>
    </row>
    <row r="2444" x14ac:dyDescent="0.3">
      <c r="N2444" s="94"/>
      <c r="O2444" s="69"/>
    </row>
    <row r="2445" x14ac:dyDescent="0.3">
      <c r="N2445" s="94"/>
      <c r="O2445" s="69"/>
    </row>
    <row r="2446" x14ac:dyDescent="0.3">
      <c r="N2446" s="94"/>
      <c r="O2446" s="69"/>
    </row>
    <row r="2447" x14ac:dyDescent="0.3">
      <c r="N2447" s="94"/>
      <c r="O2447" s="69"/>
    </row>
    <row r="2448" x14ac:dyDescent="0.3">
      <c r="N2448" s="94"/>
      <c r="O2448" s="69"/>
    </row>
    <row r="2449" x14ac:dyDescent="0.3">
      <c r="N2449" s="94"/>
      <c r="O2449" s="69"/>
    </row>
    <row r="2450" x14ac:dyDescent="0.3">
      <c r="N2450" s="94"/>
      <c r="O2450" s="69"/>
    </row>
    <row r="2451" x14ac:dyDescent="0.3">
      <c r="N2451" s="94"/>
      <c r="O2451" s="69"/>
    </row>
    <row r="2452" x14ac:dyDescent="0.3">
      <c r="N2452" s="94"/>
      <c r="O2452" s="69"/>
    </row>
    <row r="2453" x14ac:dyDescent="0.3">
      <c r="N2453" s="94"/>
      <c r="O2453" s="69"/>
    </row>
    <row r="2454" x14ac:dyDescent="0.3">
      <c r="N2454" s="94"/>
      <c r="O2454" s="69"/>
    </row>
    <row r="2455" x14ac:dyDescent="0.3">
      <c r="N2455" s="94"/>
      <c r="O2455" s="69"/>
    </row>
    <row r="2456" x14ac:dyDescent="0.3">
      <c r="N2456" s="94"/>
      <c r="O2456" s="69"/>
    </row>
    <row r="2457" x14ac:dyDescent="0.3">
      <c r="N2457" s="94"/>
      <c r="O2457" s="69"/>
    </row>
    <row r="2458" x14ac:dyDescent="0.3">
      <c r="N2458" s="94"/>
      <c r="O2458" s="69"/>
    </row>
    <row r="2459" x14ac:dyDescent="0.3">
      <c r="N2459" s="94"/>
      <c r="O2459" s="69"/>
    </row>
    <row r="2460" x14ac:dyDescent="0.3">
      <c r="N2460" s="94"/>
      <c r="O2460" s="69"/>
    </row>
    <row r="2461" x14ac:dyDescent="0.3">
      <c r="N2461" s="94"/>
      <c r="O2461" s="69"/>
    </row>
    <row r="2462" x14ac:dyDescent="0.3">
      <c r="N2462" s="94"/>
      <c r="O2462" s="69"/>
    </row>
    <row r="2463" x14ac:dyDescent="0.3">
      <c r="N2463" s="94"/>
      <c r="O2463" s="69"/>
    </row>
    <row r="2464" x14ac:dyDescent="0.3">
      <c r="N2464" s="94"/>
      <c r="O2464" s="69"/>
    </row>
    <row r="2465" x14ac:dyDescent="0.3">
      <c r="N2465" s="94"/>
      <c r="O2465" s="69"/>
    </row>
    <row r="2466" x14ac:dyDescent="0.3">
      <c r="N2466" s="94"/>
      <c r="O2466" s="69"/>
    </row>
    <row r="2467" x14ac:dyDescent="0.3">
      <c r="N2467" s="94"/>
      <c r="O2467" s="69"/>
    </row>
    <row r="2468" x14ac:dyDescent="0.3">
      <c r="N2468" s="94"/>
      <c r="O2468" s="69"/>
    </row>
    <row r="2469" x14ac:dyDescent="0.3">
      <c r="N2469" s="94"/>
      <c r="O2469" s="69"/>
    </row>
    <row r="2470" x14ac:dyDescent="0.3">
      <c r="N2470" s="94"/>
      <c r="O2470" s="69"/>
    </row>
    <row r="2471" x14ac:dyDescent="0.3">
      <c r="N2471" s="94"/>
      <c r="O2471" s="69"/>
    </row>
    <row r="2472" x14ac:dyDescent="0.3">
      <c r="N2472" s="94"/>
      <c r="O2472" s="69"/>
    </row>
    <row r="2473" x14ac:dyDescent="0.3">
      <c r="N2473" s="94"/>
      <c r="O2473" s="69"/>
    </row>
    <row r="2474" x14ac:dyDescent="0.3">
      <c r="N2474" s="94"/>
      <c r="O2474" s="69"/>
    </row>
    <row r="2475" x14ac:dyDescent="0.3">
      <c r="N2475" s="94"/>
      <c r="O2475" s="69"/>
    </row>
    <row r="2476" x14ac:dyDescent="0.3">
      <c r="N2476" s="94"/>
      <c r="O2476" s="69"/>
    </row>
    <row r="2477" x14ac:dyDescent="0.3">
      <c r="N2477" s="94"/>
      <c r="O2477" s="69"/>
    </row>
    <row r="2478" x14ac:dyDescent="0.3">
      <c r="N2478" s="94"/>
      <c r="O2478" s="69"/>
    </row>
    <row r="2479" x14ac:dyDescent="0.3">
      <c r="N2479" s="94"/>
      <c r="O2479" s="69"/>
    </row>
    <row r="2480" x14ac:dyDescent="0.3">
      <c r="N2480" s="94"/>
      <c r="O2480" s="69"/>
    </row>
    <row r="2481" x14ac:dyDescent="0.3">
      <c r="N2481" s="94"/>
      <c r="O2481" s="69"/>
    </row>
    <row r="2482" x14ac:dyDescent="0.3">
      <c r="N2482" s="94"/>
      <c r="O2482" s="69"/>
    </row>
    <row r="2483" x14ac:dyDescent="0.3">
      <c r="N2483" s="94"/>
      <c r="O2483" s="69"/>
    </row>
    <row r="2484" x14ac:dyDescent="0.3">
      <c r="N2484" s="94"/>
      <c r="O2484" s="69"/>
    </row>
    <row r="2485" x14ac:dyDescent="0.3">
      <c r="N2485" s="94"/>
      <c r="O2485" s="69"/>
    </row>
    <row r="2486" x14ac:dyDescent="0.3">
      <c r="N2486" s="94"/>
      <c r="O2486" s="69"/>
    </row>
    <row r="2487" x14ac:dyDescent="0.3">
      <c r="N2487" s="94"/>
      <c r="O2487" s="69"/>
    </row>
    <row r="2488" x14ac:dyDescent="0.3">
      <c r="N2488" s="94"/>
      <c r="O2488" s="69"/>
    </row>
    <row r="2489" x14ac:dyDescent="0.3">
      <c r="N2489" s="94"/>
      <c r="O2489" s="69"/>
    </row>
    <row r="2490" x14ac:dyDescent="0.3">
      <c r="N2490" s="94"/>
      <c r="O2490" s="69"/>
    </row>
    <row r="2491" x14ac:dyDescent="0.3">
      <c r="N2491" s="94"/>
      <c r="O2491" s="69"/>
    </row>
    <row r="2492" x14ac:dyDescent="0.3">
      <c r="N2492" s="94"/>
      <c r="O2492" s="69"/>
    </row>
    <row r="2493" x14ac:dyDescent="0.3">
      <c r="N2493" s="94"/>
      <c r="O2493" s="69"/>
    </row>
    <row r="2494" x14ac:dyDescent="0.3">
      <c r="N2494" s="94"/>
      <c r="O2494" s="69"/>
    </row>
    <row r="2495" x14ac:dyDescent="0.3">
      <c r="N2495" s="94"/>
      <c r="O2495" s="69"/>
    </row>
    <row r="2496" x14ac:dyDescent="0.3">
      <c r="N2496" s="94"/>
      <c r="O2496" s="69"/>
    </row>
    <row r="2497" x14ac:dyDescent="0.3">
      <c r="N2497" s="94"/>
      <c r="O2497" s="69"/>
    </row>
    <row r="2498" x14ac:dyDescent="0.3">
      <c r="N2498" s="94"/>
      <c r="O2498" s="69"/>
    </row>
    <row r="2499" x14ac:dyDescent="0.3">
      <c r="N2499" s="94"/>
      <c r="O2499" s="69"/>
    </row>
    <row r="2500" x14ac:dyDescent="0.3">
      <c r="N2500" s="94"/>
      <c r="O2500" s="69"/>
    </row>
    <row r="2501" x14ac:dyDescent="0.3">
      <c r="N2501" s="94"/>
      <c r="O2501" s="69"/>
    </row>
    <row r="2502" x14ac:dyDescent="0.3">
      <c r="N2502" s="94"/>
      <c r="O2502" s="69"/>
    </row>
    <row r="2503" x14ac:dyDescent="0.3">
      <c r="N2503" s="94"/>
      <c r="O2503" s="69"/>
    </row>
    <row r="2504" x14ac:dyDescent="0.3">
      <c r="N2504" s="94"/>
      <c r="O2504" s="69"/>
    </row>
    <row r="2505" x14ac:dyDescent="0.3">
      <c r="N2505" s="94"/>
      <c r="O2505" s="69"/>
    </row>
    <row r="2506" x14ac:dyDescent="0.3">
      <c r="N2506" s="94"/>
      <c r="O2506" s="69"/>
    </row>
    <row r="2507" x14ac:dyDescent="0.3">
      <c r="N2507" s="94"/>
      <c r="O2507" s="69"/>
    </row>
    <row r="2508" x14ac:dyDescent="0.3">
      <c r="N2508" s="94"/>
      <c r="O2508" s="69"/>
    </row>
    <row r="2509" x14ac:dyDescent="0.3">
      <c r="N2509" s="94"/>
      <c r="O2509" s="69"/>
    </row>
    <row r="2510" x14ac:dyDescent="0.3">
      <c r="N2510" s="94"/>
      <c r="O2510" s="69"/>
    </row>
    <row r="2511" x14ac:dyDescent="0.3">
      <c r="N2511" s="94"/>
      <c r="O2511" s="69"/>
    </row>
    <row r="2512" x14ac:dyDescent="0.3">
      <c r="N2512" s="94"/>
      <c r="O2512" s="69"/>
    </row>
    <row r="2513" x14ac:dyDescent="0.3">
      <c r="N2513" s="94"/>
      <c r="O2513" s="69"/>
    </row>
    <row r="2514" x14ac:dyDescent="0.3">
      <c r="N2514" s="94"/>
      <c r="O2514" s="69"/>
    </row>
    <row r="2515" x14ac:dyDescent="0.3">
      <c r="N2515" s="94"/>
      <c r="O2515" s="69"/>
    </row>
    <row r="2516" x14ac:dyDescent="0.3">
      <c r="N2516" s="94"/>
      <c r="O2516" s="69"/>
    </row>
    <row r="2517" x14ac:dyDescent="0.3">
      <c r="N2517" s="94"/>
      <c r="O2517" s="69"/>
    </row>
    <row r="2518" x14ac:dyDescent="0.3">
      <c r="N2518" s="94"/>
      <c r="O2518" s="69"/>
    </row>
    <row r="2519" x14ac:dyDescent="0.3">
      <c r="N2519" s="94"/>
      <c r="O2519" s="69"/>
    </row>
    <row r="2520" x14ac:dyDescent="0.3">
      <c r="N2520" s="94"/>
      <c r="O2520" s="69"/>
    </row>
    <row r="2521" x14ac:dyDescent="0.3">
      <c r="N2521" s="94"/>
      <c r="O2521" s="69"/>
    </row>
    <row r="2522" x14ac:dyDescent="0.3">
      <c r="N2522" s="94"/>
      <c r="O2522" s="69"/>
    </row>
    <row r="2523" x14ac:dyDescent="0.3">
      <c r="N2523" s="94"/>
      <c r="O2523" s="69"/>
    </row>
    <row r="2524" x14ac:dyDescent="0.3">
      <c r="N2524" s="94"/>
      <c r="O2524" s="69"/>
    </row>
    <row r="2525" x14ac:dyDescent="0.3">
      <c r="N2525" s="94"/>
      <c r="O2525" s="69"/>
    </row>
    <row r="2526" x14ac:dyDescent="0.3">
      <c r="N2526" s="94"/>
      <c r="O2526" s="69"/>
    </row>
    <row r="2527" x14ac:dyDescent="0.3">
      <c r="N2527" s="94"/>
      <c r="O2527" s="69"/>
    </row>
    <row r="2528" x14ac:dyDescent="0.3">
      <c r="N2528" s="94"/>
      <c r="O2528" s="69"/>
    </row>
    <row r="2529" x14ac:dyDescent="0.3">
      <c r="N2529" s="94"/>
      <c r="O2529" s="69"/>
    </row>
    <row r="2530" x14ac:dyDescent="0.3">
      <c r="N2530" s="94"/>
      <c r="O2530" s="69"/>
    </row>
    <row r="2531" x14ac:dyDescent="0.3">
      <c r="N2531" s="94"/>
      <c r="O2531" s="69"/>
    </row>
    <row r="2532" x14ac:dyDescent="0.3">
      <c r="N2532" s="94"/>
      <c r="O2532" s="69"/>
    </row>
    <row r="2533" x14ac:dyDescent="0.3">
      <c r="N2533" s="94"/>
      <c r="O2533" s="69"/>
    </row>
    <row r="2534" x14ac:dyDescent="0.3">
      <c r="N2534" s="94"/>
      <c r="O2534" s="69"/>
    </row>
    <row r="2535" x14ac:dyDescent="0.3">
      <c r="N2535" s="94"/>
      <c r="O2535" s="69"/>
    </row>
    <row r="2536" x14ac:dyDescent="0.3">
      <c r="N2536" s="94"/>
      <c r="O2536" s="69"/>
    </row>
    <row r="2537" x14ac:dyDescent="0.3">
      <c r="N2537" s="94"/>
      <c r="O2537" s="69"/>
    </row>
    <row r="2538" x14ac:dyDescent="0.3">
      <c r="N2538" s="94"/>
      <c r="O2538" s="69"/>
    </row>
    <row r="2539" x14ac:dyDescent="0.3">
      <c r="N2539" s="94"/>
      <c r="O2539" s="69"/>
    </row>
    <row r="2540" x14ac:dyDescent="0.3">
      <c r="N2540" s="94"/>
      <c r="O2540" s="69"/>
    </row>
    <row r="2541" x14ac:dyDescent="0.3">
      <c r="N2541" s="94"/>
      <c r="O2541" s="69"/>
    </row>
    <row r="2542" x14ac:dyDescent="0.3">
      <c r="N2542" s="94"/>
      <c r="O2542" s="69"/>
    </row>
    <row r="2543" x14ac:dyDescent="0.3">
      <c r="N2543" s="94"/>
      <c r="O2543" s="69"/>
    </row>
    <row r="2544" x14ac:dyDescent="0.3">
      <c r="N2544" s="94"/>
      <c r="O2544" s="69"/>
    </row>
    <row r="2545" x14ac:dyDescent="0.3">
      <c r="N2545" s="94"/>
      <c r="O2545" s="69"/>
    </row>
    <row r="2546" x14ac:dyDescent="0.3">
      <c r="N2546" s="94"/>
      <c r="O2546" s="69"/>
    </row>
    <row r="2547" x14ac:dyDescent="0.3">
      <c r="N2547" s="94"/>
      <c r="O2547" s="69"/>
    </row>
    <row r="2548" x14ac:dyDescent="0.3">
      <c r="N2548" s="94"/>
      <c r="O2548" s="69"/>
    </row>
    <row r="2549" x14ac:dyDescent="0.3">
      <c r="N2549" s="94"/>
      <c r="O2549" s="69"/>
    </row>
    <row r="2550" x14ac:dyDescent="0.3">
      <c r="N2550" s="94"/>
      <c r="O2550" s="69"/>
    </row>
    <row r="2551" x14ac:dyDescent="0.3">
      <c r="N2551" s="94"/>
      <c r="O2551" s="69"/>
    </row>
    <row r="2552" x14ac:dyDescent="0.3">
      <c r="N2552" s="94"/>
      <c r="O2552" s="69"/>
    </row>
    <row r="2553" x14ac:dyDescent="0.3">
      <c r="N2553" s="94"/>
      <c r="O2553" s="69"/>
    </row>
    <row r="2554" x14ac:dyDescent="0.3">
      <c r="N2554" s="94"/>
      <c r="O2554" s="69"/>
    </row>
    <row r="2555" x14ac:dyDescent="0.3">
      <c r="N2555" s="94"/>
      <c r="O2555" s="69"/>
    </row>
    <row r="2556" x14ac:dyDescent="0.3">
      <c r="N2556" s="94"/>
      <c r="O2556" s="69"/>
    </row>
    <row r="2557" x14ac:dyDescent="0.3">
      <c r="N2557" s="94"/>
      <c r="O2557" s="69"/>
    </row>
    <row r="2558" x14ac:dyDescent="0.3">
      <c r="N2558" s="94"/>
      <c r="O2558" s="69"/>
    </row>
    <row r="2559" x14ac:dyDescent="0.3">
      <c r="N2559" s="94"/>
      <c r="O2559" s="69"/>
    </row>
    <row r="2560" x14ac:dyDescent="0.3">
      <c r="N2560" s="94"/>
      <c r="O2560" s="69"/>
    </row>
    <row r="2561" x14ac:dyDescent="0.3">
      <c r="N2561" s="94"/>
      <c r="O2561" s="69"/>
    </row>
    <row r="2562" x14ac:dyDescent="0.3">
      <c r="N2562" s="94"/>
      <c r="O2562" s="69"/>
    </row>
    <row r="2563" x14ac:dyDescent="0.3">
      <c r="N2563" s="94"/>
      <c r="O2563" s="69"/>
    </row>
    <row r="2564" x14ac:dyDescent="0.3">
      <c r="N2564" s="94"/>
      <c r="O2564" s="69"/>
    </row>
    <row r="2565" x14ac:dyDescent="0.3">
      <c r="N2565" s="94"/>
      <c r="O2565" s="69"/>
    </row>
    <row r="2566" x14ac:dyDescent="0.3">
      <c r="N2566" s="94"/>
      <c r="O2566" s="69"/>
    </row>
    <row r="2567" x14ac:dyDescent="0.3">
      <c r="N2567" s="94"/>
      <c r="O2567" s="69"/>
    </row>
    <row r="2568" x14ac:dyDescent="0.3">
      <c r="N2568" s="94"/>
      <c r="O2568" s="69"/>
    </row>
    <row r="2569" x14ac:dyDescent="0.3">
      <c r="N2569" s="94"/>
      <c r="O2569" s="69"/>
    </row>
    <row r="2570" x14ac:dyDescent="0.3">
      <c r="N2570" s="94"/>
      <c r="O2570" s="69"/>
    </row>
    <row r="2571" x14ac:dyDescent="0.3">
      <c r="N2571" s="94"/>
      <c r="O2571" s="69"/>
    </row>
    <row r="2572" x14ac:dyDescent="0.3">
      <c r="N2572" s="94"/>
      <c r="O2572" s="69"/>
    </row>
    <row r="2573" x14ac:dyDescent="0.3">
      <c r="N2573" s="94"/>
      <c r="O2573" s="69"/>
    </row>
    <row r="2574" x14ac:dyDescent="0.3">
      <c r="N2574" s="94"/>
      <c r="O2574" s="69"/>
    </row>
    <row r="2575" x14ac:dyDescent="0.3">
      <c r="N2575" s="94"/>
      <c r="O2575" s="69"/>
    </row>
    <row r="2576" x14ac:dyDescent="0.3">
      <c r="N2576" s="94"/>
      <c r="O2576" s="69"/>
    </row>
    <row r="2577" x14ac:dyDescent="0.3">
      <c r="N2577" s="94"/>
      <c r="O2577" s="69"/>
    </row>
    <row r="2578" x14ac:dyDescent="0.3">
      <c r="N2578" s="94"/>
      <c r="O2578" s="69"/>
    </row>
    <row r="2579" x14ac:dyDescent="0.3">
      <c r="N2579" s="94"/>
      <c r="O2579" s="69"/>
    </row>
    <row r="2580" x14ac:dyDescent="0.3">
      <c r="N2580" s="94"/>
      <c r="O2580" s="69"/>
    </row>
    <row r="2581" x14ac:dyDescent="0.3">
      <c r="N2581" s="94"/>
      <c r="O2581" s="69"/>
    </row>
    <row r="2582" x14ac:dyDescent="0.3">
      <c r="N2582" s="94"/>
      <c r="O2582" s="69"/>
    </row>
    <row r="2583" x14ac:dyDescent="0.3">
      <c r="N2583" s="94"/>
      <c r="O2583" s="69"/>
    </row>
    <row r="2584" x14ac:dyDescent="0.3">
      <c r="N2584" s="94"/>
      <c r="O2584" s="69"/>
    </row>
    <row r="2585" x14ac:dyDescent="0.3">
      <c r="N2585" s="94"/>
      <c r="O2585" s="69"/>
    </row>
    <row r="2586" x14ac:dyDescent="0.3">
      <c r="N2586" s="94"/>
      <c r="O2586" s="69"/>
    </row>
    <row r="2587" x14ac:dyDescent="0.3">
      <c r="N2587" s="94"/>
      <c r="O2587" s="69"/>
    </row>
    <row r="2588" x14ac:dyDescent="0.3">
      <c r="N2588" s="94"/>
      <c r="O2588" s="69"/>
    </row>
    <row r="2589" x14ac:dyDescent="0.3">
      <c r="N2589" s="94"/>
      <c r="O2589" s="69"/>
    </row>
    <row r="2590" x14ac:dyDescent="0.3">
      <c r="N2590" s="94"/>
      <c r="O2590" s="69"/>
    </row>
    <row r="2591" x14ac:dyDescent="0.3">
      <c r="N2591" s="94"/>
      <c r="O2591" s="69"/>
    </row>
    <row r="2592" x14ac:dyDescent="0.3">
      <c r="N2592" s="94"/>
      <c r="O2592" s="69"/>
    </row>
    <row r="2593" x14ac:dyDescent="0.3">
      <c r="N2593" s="94"/>
      <c r="O2593" s="69"/>
    </row>
    <row r="2594" x14ac:dyDescent="0.3">
      <c r="N2594" s="94"/>
      <c r="O2594" s="69"/>
    </row>
    <row r="2595" x14ac:dyDescent="0.3">
      <c r="N2595" s="94"/>
      <c r="O2595" s="69"/>
    </row>
    <row r="2596" x14ac:dyDescent="0.3">
      <c r="N2596" s="94"/>
      <c r="O2596" s="69"/>
    </row>
    <row r="2597" x14ac:dyDescent="0.3">
      <c r="N2597" s="94"/>
      <c r="O2597" s="69"/>
    </row>
    <row r="2598" x14ac:dyDescent="0.3">
      <c r="N2598" s="94"/>
      <c r="O2598" s="69"/>
    </row>
    <row r="2599" x14ac:dyDescent="0.3">
      <c r="N2599" s="94"/>
      <c r="O2599" s="69"/>
    </row>
    <row r="2600" x14ac:dyDescent="0.3">
      <c r="N2600" s="94"/>
      <c r="O2600" s="69"/>
    </row>
    <row r="2601" x14ac:dyDescent="0.3">
      <c r="N2601" s="94"/>
      <c r="O2601" s="69"/>
    </row>
    <row r="2602" x14ac:dyDescent="0.3">
      <c r="N2602" s="94"/>
      <c r="O2602" s="69"/>
    </row>
    <row r="2603" x14ac:dyDescent="0.3">
      <c r="N2603" s="94"/>
      <c r="O2603" s="69"/>
    </row>
    <row r="2604" x14ac:dyDescent="0.3">
      <c r="N2604" s="94"/>
      <c r="O2604" s="69"/>
    </row>
    <row r="2605" x14ac:dyDescent="0.3">
      <c r="N2605" s="94"/>
      <c r="O2605" s="69"/>
    </row>
    <row r="2606" x14ac:dyDescent="0.3">
      <c r="N2606" s="94"/>
      <c r="O2606" s="69"/>
    </row>
    <row r="2607" x14ac:dyDescent="0.3">
      <c r="N2607" s="94"/>
      <c r="O2607" s="69"/>
    </row>
    <row r="2608" x14ac:dyDescent="0.3">
      <c r="N2608" s="94"/>
      <c r="O2608" s="69"/>
    </row>
    <row r="2609" x14ac:dyDescent="0.3">
      <c r="N2609" s="94"/>
      <c r="O2609" s="69"/>
    </row>
    <row r="2610" x14ac:dyDescent="0.3">
      <c r="N2610" s="94"/>
      <c r="O2610" s="69"/>
    </row>
    <row r="2611" x14ac:dyDescent="0.3">
      <c r="N2611" s="94"/>
      <c r="O2611" s="69"/>
    </row>
    <row r="2612" x14ac:dyDescent="0.3">
      <c r="N2612" s="94"/>
      <c r="O2612" s="69"/>
    </row>
    <row r="2613" x14ac:dyDescent="0.3">
      <c r="N2613" s="94"/>
      <c r="O2613" s="69"/>
    </row>
    <row r="2614" x14ac:dyDescent="0.3">
      <c r="N2614" s="94"/>
      <c r="O2614" s="69"/>
    </row>
    <row r="2615" x14ac:dyDescent="0.3">
      <c r="N2615" s="94"/>
      <c r="O2615" s="69"/>
    </row>
    <row r="2616" x14ac:dyDescent="0.3">
      <c r="N2616" s="94"/>
      <c r="O2616" s="69"/>
    </row>
    <row r="2617" x14ac:dyDescent="0.3">
      <c r="N2617" s="94"/>
      <c r="O2617" s="69"/>
    </row>
    <row r="2618" x14ac:dyDescent="0.3">
      <c r="N2618" s="94"/>
      <c r="O2618" s="69"/>
    </row>
    <row r="2619" x14ac:dyDescent="0.3">
      <c r="N2619" s="94"/>
      <c r="O2619" s="69"/>
    </row>
    <row r="2620" x14ac:dyDescent="0.3">
      <c r="N2620" s="94"/>
      <c r="O2620" s="69"/>
    </row>
    <row r="2621" x14ac:dyDescent="0.3">
      <c r="N2621" s="94"/>
      <c r="O2621" s="69"/>
    </row>
    <row r="2622" x14ac:dyDescent="0.3">
      <c r="N2622" s="94"/>
      <c r="O2622" s="69"/>
    </row>
    <row r="2623" x14ac:dyDescent="0.3">
      <c r="N2623" s="94"/>
      <c r="O2623" s="69"/>
    </row>
    <row r="2624" x14ac:dyDescent="0.3">
      <c r="N2624" s="94"/>
      <c r="O2624" s="69"/>
    </row>
    <row r="2625" x14ac:dyDescent="0.3">
      <c r="N2625" s="94"/>
      <c r="O2625" s="69"/>
    </row>
    <row r="2626" x14ac:dyDescent="0.3">
      <c r="N2626" s="94"/>
      <c r="O2626" s="69"/>
    </row>
    <row r="2627" x14ac:dyDescent="0.3">
      <c r="N2627" s="94"/>
      <c r="O2627" s="69"/>
    </row>
    <row r="2628" x14ac:dyDescent="0.3">
      <c r="N2628" s="94"/>
      <c r="O2628" s="69"/>
    </row>
    <row r="2629" x14ac:dyDescent="0.3">
      <c r="N2629" s="94"/>
      <c r="O2629" s="69"/>
    </row>
    <row r="2630" x14ac:dyDescent="0.3">
      <c r="N2630" s="94"/>
      <c r="O2630" s="69"/>
    </row>
    <row r="2631" x14ac:dyDescent="0.3">
      <c r="N2631" s="94"/>
      <c r="O2631" s="69"/>
    </row>
    <row r="2632" x14ac:dyDescent="0.3">
      <c r="N2632" s="94"/>
      <c r="O2632" s="69"/>
    </row>
    <row r="2633" x14ac:dyDescent="0.3">
      <c r="N2633" s="94"/>
      <c r="O2633" s="69"/>
    </row>
    <row r="2634" x14ac:dyDescent="0.3">
      <c r="N2634" s="94"/>
      <c r="O2634" s="69"/>
    </row>
    <row r="2635" x14ac:dyDescent="0.3">
      <c r="N2635" s="94"/>
      <c r="O2635" s="69"/>
    </row>
    <row r="2636" x14ac:dyDescent="0.3">
      <c r="N2636" s="94"/>
      <c r="O2636" s="69"/>
    </row>
    <row r="2637" x14ac:dyDescent="0.3">
      <c r="N2637" s="94"/>
      <c r="O2637" s="69"/>
    </row>
    <row r="2638" x14ac:dyDescent="0.3">
      <c r="N2638" s="94"/>
      <c r="O2638" s="69"/>
    </row>
    <row r="2639" x14ac:dyDescent="0.3">
      <c r="N2639" s="94"/>
      <c r="O2639" s="69"/>
    </row>
    <row r="2640" x14ac:dyDescent="0.3">
      <c r="N2640" s="94"/>
      <c r="O2640" s="69"/>
    </row>
    <row r="2641" x14ac:dyDescent="0.3">
      <c r="N2641" s="94"/>
      <c r="O2641" s="69"/>
    </row>
    <row r="2642" x14ac:dyDescent="0.3">
      <c r="N2642" s="94"/>
      <c r="O2642" s="69"/>
    </row>
    <row r="2643" x14ac:dyDescent="0.3">
      <c r="N2643" s="94"/>
      <c r="O2643" s="69"/>
    </row>
    <row r="2644" x14ac:dyDescent="0.3">
      <c r="N2644" s="94"/>
      <c r="O2644" s="69"/>
    </row>
    <row r="2645" x14ac:dyDescent="0.3">
      <c r="N2645" s="94"/>
      <c r="O2645" s="69"/>
    </row>
    <row r="2646" x14ac:dyDescent="0.3">
      <c r="N2646" s="94"/>
      <c r="O2646" s="69"/>
    </row>
    <row r="2647" x14ac:dyDescent="0.3">
      <c r="N2647" s="94"/>
      <c r="O2647" s="69"/>
    </row>
    <row r="2648" x14ac:dyDescent="0.3">
      <c r="N2648" s="94"/>
      <c r="O2648" s="69"/>
    </row>
    <row r="2649" x14ac:dyDescent="0.3">
      <c r="N2649" s="94"/>
      <c r="O2649" s="69"/>
    </row>
    <row r="2650" x14ac:dyDescent="0.3">
      <c r="N2650" s="94"/>
      <c r="O2650" s="69"/>
    </row>
    <row r="2651" x14ac:dyDescent="0.3">
      <c r="N2651" s="94"/>
      <c r="O2651" s="69"/>
    </row>
    <row r="2652" x14ac:dyDescent="0.3">
      <c r="N2652" s="94"/>
      <c r="O2652" s="69"/>
    </row>
    <row r="2653" x14ac:dyDescent="0.3">
      <c r="N2653" s="94"/>
      <c r="O2653" s="69"/>
    </row>
    <row r="2654" x14ac:dyDescent="0.3">
      <c r="N2654" s="94"/>
      <c r="O2654" s="69"/>
    </row>
    <row r="2655" x14ac:dyDescent="0.3">
      <c r="N2655" s="94"/>
      <c r="O2655" s="69"/>
    </row>
    <row r="2656" x14ac:dyDescent="0.3">
      <c r="N2656" s="94"/>
      <c r="O2656" s="69"/>
    </row>
    <row r="2657" x14ac:dyDescent="0.3">
      <c r="N2657" s="94"/>
      <c r="O2657" s="69"/>
    </row>
    <row r="2658" x14ac:dyDescent="0.3">
      <c r="N2658" s="94"/>
      <c r="O2658" s="69"/>
    </row>
    <row r="2659" x14ac:dyDescent="0.3">
      <c r="N2659" s="94"/>
      <c r="O2659" s="69"/>
    </row>
    <row r="2660" x14ac:dyDescent="0.3">
      <c r="N2660" s="94"/>
      <c r="O2660" s="69"/>
    </row>
    <row r="2661" x14ac:dyDescent="0.3">
      <c r="N2661" s="94"/>
      <c r="O2661" s="69"/>
    </row>
    <row r="2662" x14ac:dyDescent="0.3">
      <c r="N2662" s="94"/>
      <c r="O2662" s="69"/>
    </row>
    <row r="2663" x14ac:dyDescent="0.3">
      <c r="N2663" s="94"/>
      <c r="O2663" s="69"/>
    </row>
    <row r="2664" x14ac:dyDescent="0.3">
      <c r="N2664" s="94"/>
      <c r="O2664" s="69"/>
    </row>
    <row r="2665" x14ac:dyDescent="0.3">
      <c r="N2665" s="94"/>
      <c r="O2665" s="69"/>
    </row>
    <row r="2666" x14ac:dyDescent="0.3">
      <c r="N2666" s="94"/>
      <c r="O2666" s="69"/>
    </row>
    <row r="2667" x14ac:dyDescent="0.3">
      <c r="N2667" s="94"/>
      <c r="O2667" s="69"/>
    </row>
    <row r="2668" x14ac:dyDescent="0.3">
      <c r="N2668" s="94"/>
      <c r="O2668" s="69"/>
    </row>
    <row r="2669" x14ac:dyDescent="0.3">
      <c r="N2669" s="94"/>
      <c r="O2669" s="69"/>
    </row>
    <row r="2670" x14ac:dyDescent="0.3">
      <c r="N2670" s="94"/>
      <c r="O2670" s="69"/>
    </row>
    <row r="2671" x14ac:dyDescent="0.3">
      <c r="N2671" s="94"/>
      <c r="O2671" s="69"/>
    </row>
    <row r="2672" x14ac:dyDescent="0.3">
      <c r="N2672" s="94"/>
      <c r="O2672" s="69"/>
    </row>
    <row r="2673" x14ac:dyDescent="0.3">
      <c r="N2673" s="94"/>
      <c r="O2673" s="69"/>
    </row>
    <row r="2674" x14ac:dyDescent="0.3">
      <c r="N2674" s="94"/>
      <c r="O2674" s="69"/>
    </row>
    <row r="2675" x14ac:dyDescent="0.3">
      <c r="N2675" s="94"/>
      <c r="O2675" s="69"/>
    </row>
    <row r="2676" x14ac:dyDescent="0.3">
      <c r="N2676" s="94"/>
      <c r="O2676" s="69"/>
    </row>
    <row r="2677" x14ac:dyDescent="0.3">
      <c r="N2677" s="94"/>
      <c r="O2677" s="69"/>
    </row>
    <row r="2678" x14ac:dyDescent="0.3">
      <c r="N2678" s="94"/>
      <c r="O2678" s="69"/>
    </row>
    <row r="2679" x14ac:dyDescent="0.3">
      <c r="N2679" s="94"/>
      <c r="O2679" s="69"/>
    </row>
    <row r="2680" x14ac:dyDescent="0.3">
      <c r="N2680" s="94"/>
      <c r="O2680" s="69"/>
    </row>
    <row r="2681" x14ac:dyDescent="0.3">
      <c r="N2681" s="94"/>
      <c r="O2681" s="69"/>
    </row>
    <row r="2682" x14ac:dyDescent="0.3">
      <c r="N2682" s="94"/>
      <c r="O2682" s="69"/>
    </row>
    <row r="2683" x14ac:dyDescent="0.3">
      <c r="N2683" s="94"/>
      <c r="O2683" s="69"/>
    </row>
    <row r="2684" x14ac:dyDescent="0.3">
      <c r="N2684" s="94"/>
      <c r="O2684" s="69"/>
    </row>
    <row r="2685" x14ac:dyDescent="0.3">
      <c r="N2685" s="94"/>
      <c r="O2685" s="69"/>
    </row>
    <row r="2686" x14ac:dyDescent="0.3">
      <c r="N2686" s="94"/>
      <c r="O2686" s="69"/>
    </row>
    <row r="2687" x14ac:dyDescent="0.3">
      <c r="N2687" s="94"/>
      <c r="O2687" s="69"/>
    </row>
    <row r="2688" x14ac:dyDescent="0.3">
      <c r="N2688" s="94"/>
      <c r="O2688" s="69"/>
    </row>
    <row r="2689" x14ac:dyDescent="0.3">
      <c r="N2689" s="94"/>
      <c r="O2689" s="69"/>
    </row>
    <row r="2690" x14ac:dyDescent="0.3">
      <c r="N2690" s="94"/>
      <c r="O2690" s="69"/>
    </row>
    <row r="2691" x14ac:dyDescent="0.3">
      <c r="N2691" s="94"/>
      <c r="O2691" s="69"/>
    </row>
    <row r="2692" x14ac:dyDescent="0.3">
      <c r="N2692" s="94"/>
      <c r="O2692" s="69"/>
    </row>
    <row r="2693" x14ac:dyDescent="0.3">
      <c r="N2693" s="94"/>
      <c r="O2693" s="69"/>
    </row>
    <row r="2694" x14ac:dyDescent="0.3">
      <c r="N2694" s="94"/>
      <c r="O2694" s="69"/>
    </row>
    <row r="2695" x14ac:dyDescent="0.3">
      <c r="N2695" s="94"/>
      <c r="O2695" s="69"/>
    </row>
    <row r="2696" x14ac:dyDescent="0.3">
      <c r="N2696" s="94"/>
      <c r="O2696" s="69"/>
    </row>
    <row r="2697" x14ac:dyDescent="0.3">
      <c r="N2697" s="94"/>
      <c r="O2697" s="69"/>
    </row>
    <row r="2698" x14ac:dyDescent="0.3">
      <c r="N2698" s="94"/>
      <c r="O2698" s="69"/>
    </row>
    <row r="2699" x14ac:dyDescent="0.3">
      <c r="N2699" s="94"/>
      <c r="O2699" s="69"/>
    </row>
    <row r="2700" x14ac:dyDescent="0.3">
      <c r="N2700" s="94"/>
      <c r="O2700" s="69"/>
    </row>
    <row r="2701" x14ac:dyDescent="0.3">
      <c r="N2701" s="94"/>
      <c r="O2701" s="69"/>
    </row>
    <row r="2702" x14ac:dyDescent="0.3">
      <c r="N2702" s="94"/>
      <c r="O2702" s="69"/>
    </row>
    <row r="2703" x14ac:dyDescent="0.3">
      <c r="N2703" s="94"/>
      <c r="O2703" s="69"/>
    </row>
    <row r="2704" x14ac:dyDescent="0.3">
      <c r="N2704" s="94"/>
      <c r="O2704" s="69"/>
    </row>
    <row r="2705" x14ac:dyDescent="0.3">
      <c r="N2705" s="94"/>
      <c r="O2705" s="69"/>
    </row>
    <row r="2706" x14ac:dyDescent="0.3">
      <c r="N2706" s="94"/>
      <c r="O2706" s="69"/>
    </row>
    <row r="2707" x14ac:dyDescent="0.3">
      <c r="N2707" s="94"/>
      <c r="O2707" s="69"/>
    </row>
    <row r="2708" x14ac:dyDescent="0.3">
      <c r="N2708" s="94"/>
      <c r="O2708" s="69"/>
    </row>
    <row r="2709" x14ac:dyDescent="0.3">
      <c r="N2709" s="94"/>
      <c r="O2709" s="69"/>
    </row>
    <row r="2710" x14ac:dyDescent="0.3">
      <c r="N2710" s="94"/>
      <c r="O2710" s="69"/>
    </row>
    <row r="2711" x14ac:dyDescent="0.3">
      <c r="N2711" s="94"/>
      <c r="O2711" s="69"/>
    </row>
    <row r="2712" x14ac:dyDescent="0.3">
      <c r="N2712" s="94"/>
      <c r="O2712" s="69"/>
    </row>
    <row r="2713" x14ac:dyDescent="0.3">
      <c r="N2713" s="94"/>
      <c r="O2713" s="69"/>
    </row>
    <row r="2714" x14ac:dyDescent="0.3">
      <c r="N2714" s="94"/>
      <c r="O2714" s="69"/>
    </row>
    <row r="2715" x14ac:dyDescent="0.3">
      <c r="N2715" s="94"/>
      <c r="O2715" s="69"/>
    </row>
    <row r="2716" x14ac:dyDescent="0.3">
      <c r="N2716" s="94"/>
      <c r="O2716" s="69"/>
    </row>
    <row r="2717" x14ac:dyDescent="0.3">
      <c r="N2717" s="94"/>
      <c r="O2717" s="69"/>
    </row>
    <row r="2718" x14ac:dyDescent="0.3">
      <c r="N2718" s="94"/>
      <c r="O2718" s="69"/>
    </row>
    <row r="2719" x14ac:dyDescent="0.3">
      <c r="N2719" s="94"/>
      <c r="O2719" s="69"/>
    </row>
    <row r="2720" x14ac:dyDescent="0.3">
      <c r="N2720" s="94"/>
      <c r="O2720" s="69"/>
    </row>
    <row r="2721" x14ac:dyDescent="0.3">
      <c r="N2721" s="94"/>
      <c r="O2721" s="69"/>
    </row>
    <row r="2722" x14ac:dyDescent="0.3">
      <c r="N2722" s="94"/>
      <c r="O2722" s="69"/>
    </row>
    <row r="2723" x14ac:dyDescent="0.3">
      <c r="N2723" s="94"/>
      <c r="O2723" s="69"/>
    </row>
    <row r="2724" x14ac:dyDescent="0.3">
      <c r="N2724" s="94"/>
      <c r="O2724" s="69"/>
    </row>
    <row r="2725" x14ac:dyDescent="0.3">
      <c r="N2725" s="94"/>
      <c r="O2725" s="69"/>
    </row>
    <row r="2726" x14ac:dyDescent="0.3">
      <c r="N2726" s="94"/>
      <c r="O2726" s="69"/>
    </row>
    <row r="2727" x14ac:dyDescent="0.3">
      <c r="N2727" s="94"/>
      <c r="O2727" s="69"/>
    </row>
    <row r="2728" x14ac:dyDescent="0.3">
      <c r="N2728" s="94"/>
      <c r="O2728" s="69"/>
    </row>
    <row r="2729" x14ac:dyDescent="0.3">
      <c r="N2729" s="94"/>
      <c r="O2729" s="69"/>
    </row>
    <row r="2730" x14ac:dyDescent="0.3">
      <c r="N2730" s="94"/>
      <c r="O2730" s="69"/>
    </row>
    <row r="2731" x14ac:dyDescent="0.3">
      <c r="N2731" s="94"/>
      <c r="O2731" s="69"/>
    </row>
    <row r="2732" x14ac:dyDescent="0.3">
      <c r="N2732" s="94"/>
      <c r="O2732" s="69"/>
    </row>
    <row r="2733" x14ac:dyDescent="0.3">
      <c r="N2733" s="94"/>
      <c r="O2733" s="69"/>
    </row>
    <row r="2734" x14ac:dyDescent="0.3">
      <c r="N2734" s="94"/>
      <c r="O2734" s="69"/>
    </row>
    <row r="2735" x14ac:dyDescent="0.3">
      <c r="N2735" s="94"/>
      <c r="O2735" s="69"/>
    </row>
    <row r="2736" x14ac:dyDescent="0.3">
      <c r="N2736" s="94"/>
      <c r="O2736" s="69"/>
    </row>
    <row r="2737" x14ac:dyDescent="0.3">
      <c r="N2737" s="94"/>
      <c r="O2737" s="69"/>
    </row>
    <row r="2738" x14ac:dyDescent="0.3">
      <c r="N2738" s="94"/>
      <c r="O2738" s="69"/>
    </row>
    <row r="2739" x14ac:dyDescent="0.3">
      <c r="N2739" s="94"/>
      <c r="O2739" s="69"/>
    </row>
    <row r="2740" x14ac:dyDescent="0.3">
      <c r="N2740" s="94"/>
      <c r="O2740" s="69"/>
    </row>
    <row r="2741" x14ac:dyDescent="0.3">
      <c r="N2741" s="94"/>
      <c r="O2741" s="69"/>
    </row>
    <row r="2742" x14ac:dyDescent="0.3">
      <c r="N2742" s="94"/>
      <c r="O2742" s="69"/>
    </row>
    <row r="2743" x14ac:dyDescent="0.3">
      <c r="N2743" s="94"/>
      <c r="O2743" s="69"/>
    </row>
    <row r="2744" x14ac:dyDescent="0.3">
      <c r="N2744" s="94"/>
      <c r="O2744" s="69"/>
    </row>
    <row r="2745" x14ac:dyDescent="0.3">
      <c r="N2745" s="94"/>
      <c r="O2745" s="69"/>
    </row>
    <row r="2746" x14ac:dyDescent="0.3">
      <c r="N2746" s="94"/>
      <c r="O2746" s="69"/>
    </row>
    <row r="2747" x14ac:dyDescent="0.3">
      <c r="N2747" s="94"/>
      <c r="O2747" s="69"/>
    </row>
    <row r="2748" x14ac:dyDescent="0.3">
      <c r="N2748" s="94"/>
      <c r="O2748" s="69"/>
    </row>
    <row r="2749" x14ac:dyDescent="0.3">
      <c r="N2749" s="94"/>
      <c r="O2749" s="69"/>
    </row>
    <row r="2750" x14ac:dyDescent="0.3">
      <c r="N2750" s="94"/>
      <c r="O2750" s="69"/>
    </row>
    <row r="2751" x14ac:dyDescent="0.3">
      <c r="N2751" s="94"/>
      <c r="O2751" s="69"/>
    </row>
    <row r="2752" x14ac:dyDescent="0.3">
      <c r="N2752" s="94"/>
      <c r="O2752" s="69"/>
    </row>
    <row r="2753" x14ac:dyDescent="0.3">
      <c r="N2753" s="94"/>
      <c r="O2753" s="69"/>
    </row>
    <row r="2754" x14ac:dyDescent="0.3">
      <c r="N2754" s="94"/>
      <c r="O2754" s="69"/>
    </row>
    <row r="2755" x14ac:dyDescent="0.3">
      <c r="N2755" s="94"/>
      <c r="O2755" s="69"/>
    </row>
    <row r="2756" x14ac:dyDescent="0.3">
      <c r="N2756" s="94"/>
      <c r="O2756" s="69"/>
    </row>
    <row r="2757" x14ac:dyDescent="0.3">
      <c r="N2757" s="94"/>
      <c r="O2757" s="69"/>
    </row>
    <row r="2758" x14ac:dyDescent="0.3">
      <c r="N2758" s="94"/>
      <c r="O2758" s="69"/>
    </row>
    <row r="2759" x14ac:dyDescent="0.3">
      <c r="N2759" s="94"/>
      <c r="O2759" s="69"/>
    </row>
    <row r="2760" x14ac:dyDescent="0.3">
      <c r="N2760" s="94"/>
      <c r="O2760" s="69"/>
    </row>
    <row r="2761" x14ac:dyDescent="0.3">
      <c r="N2761" s="94"/>
      <c r="O2761" s="69"/>
    </row>
    <row r="2762" x14ac:dyDescent="0.3">
      <c r="N2762" s="94"/>
      <c r="O2762" s="69"/>
    </row>
    <row r="2763" x14ac:dyDescent="0.3">
      <c r="N2763" s="94"/>
      <c r="O2763" s="69"/>
    </row>
    <row r="2764" x14ac:dyDescent="0.3">
      <c r="N2764" s="94"/>
      <c r="O2764" s="69"/>
    </row>
    <row r="2765" x14ac:dyDescent="0.3">
      <c r="N2765" s="94"/>
      <c r="O2765" s="69"/>
    </row>
    <row r="2766" x14ac:dyDescent="0.3">
      <c r="N2766" s="94"/>
      <c r="O2766" s="69"/>
    </row>
    <row r="2767" x14ac:dyDescent="0.3">
      <c r="N2767" s="94"/>
      <c r="O2767" s="69"/>
    </row>
    <row r="2768" x14ac:dyDescent="0.3">
      <c r="N2768" s="94"/>
      <c r="O2768" s="69"/>
    </row>
    <row r="2769" x14ac:dyDescent="0.3">
      <c r="N2769" s="94"/>
      <c r="O2769" s="69"/>
    </row>
    <row r="2770" x14ac:dyDescent="0.3">
      <c r="N2770" s="94"/>
      <c r="O2770" s="69"/>
    </row>
    <row r="2771" x14ac:dyDescent="0.3">
      <c r="N2771" s="94"/>
      <c r="O2771" s="69"/>
    </row>
    <row r="2772" x14ac:dyDescent="0.3">
      <c r="N2772" s="94"/>
      <c r="O2772" s="69"/>
    </row>
    <row r="2773" x14ac:dyDescent="0.3">
      <c r="N2773" s="94"/>
      <c r="O2773" s="69"/>
    </row>
    <row r="2774" x14ac:dyDescent="0.3">
      <c r="N2774" s="94"/>
      <c r="O2774" s="69"/>
    </row>
    <row r="2775" x14ac:dyDescent="0.3">
      <c r="N2775" s="94"/>
      <c r="O2775" s="69"/>
    </row>
    <row r="2776" x14ac:dyDescent="0.3">
      <c r="N2776" s="94"/>
      <c r="O2776" s="69"/>
    </row>
    <row r="2777" x14ac:dyDescent="0.3">
      <c r="N2777" s="94"/>
      <c r="O2777" s="69"/>
    </row>
    <row r="2778" x14ac:dyDescent="0.3">
      <c r="N2778" s="94"/>
      <c r="O2778" s="69"/>
    </row>
    <row r="2779" x14ac:dyDescent="0.3">
      <c r="N2779" s="94"/>
      <c r="O2779" s="69"/>
    </row>
    <row r="2780" x14ac:dyDescent="0.3">
      <c r="N2780" s="94"/>
      <c r="O2780" s="69"/>
    </row>
    <row r="2781" x14ac:dyDescent="0.3">
      <c r="N2781" s="94"/>
      <c r="O2781" s="69"/>
    </row>
    <row r="2782" x14ac:dyDescent="0.3">
      <c r="N2782" s="94"/>
      <c r="O2782" s="69"/>
    </row>
    <row r="2783" x14ac:dyDescent="0.3">
      <c r="N2783" s="94"/>
      <c r="O2783" s="69"/>
    </row>
    <row r="2784" x14ac:dyDescent="0.3">
      <c r="N2784" s="94"/>
      <c r="O2784" s="69"/>
    </row>
    <row r="2785" x14ac:dyDescent="0.3">
      <c r="N2785" s="94"/>
      <c r="O2785" s="69"/>
    </row>
    <row r="2786" x14ac:dyDescent="0.3">
      <c r="N2786" s="94"/>
      <c r="O2786" s="69"/>
    </row>
    <row r="2787" x14ac:dyDescent="0.3">
      <c r="N2787" s="94"/>
      <c r="O2787" s="69"/>
    </row>
    <row r="2788" x14ac:dyDescent="0.3">
      <c r="N2788" s="94"/>
      <c r="O2788" s="69"/>
    </row>
    <row r="2789" x14ac:dyDescent="0.3">
      <c r="N2789" s="94"/>
      <c r="O2789" s="69"/>
    </row>
    <row r="2790" x14ac:dyDescent="0.3">
      <c r="N2790" s="94"/>
      <c r="O2790" s="69"/>
    </row>
    <row r="2791" x14ac:dyDescent="0.3">
      <c r="N2791" s="94"/>
      <c r="O2791" s="69"/>
    </row>
    <row r="2792" x14ac:dyDescent="0.3">
      <c r="N2792" s="94"/>
      <c r="O2792" s="69"/>
    </row>
    <row r="2793" x14ac:dyDescent="0.3">
      <c r="N2793" s="94"/>
      <c r="O2793" s="69"/>
    </row>
    <row r="2794" x14ac:dyDescent="0.3">
      <c r="N2794" s="94"/>
      <c r="O2794" s="69"/>
    </row>
    <row r="2795" x14ac:dyDescent="0.3">
      <c r="N2795" s="94"/>
      <c r="O2795" s="69"/>
    </row>
    <row r="2796" x14ac:dyDescent="0.3">
      <c r="N2796" s="94"/>
      <c r="O2796" s="69"/>
    </row>
    <row r="2797" x14ac:dyDescent="0.3">
      <c r="N2797" s="94"/>
      <c r="O2797" s="69"/>
    </row>
    <row r="2798" x14ac:dyDescent="0.3">
      <c r="N2798" s="94"/>
      <c r="O2798" s="69"/>
    </row>
    <row r="2799" x14ac:dyDescent="0.3">
      <c r="N2799" s="94"/>
      <c r="O2799" s="69"/>
    </row>
    <row r="2800" x14ac:dyDescent="0.3">
      <c r="N2800" s="94"/>
      <c r="O2800" s="69"/>
    </row>
    <row r="2801" x14ac:dyDescent="0.3">
      <c r="N2801" s="94"/>
      <c r="O2801" s="69"/>
    </row>
    <row r="2802" x14ac:dyDescent="0.3">
      <c r="N2802" s="94"/>
      <c r="O2802" s="69"/>
    </row>
    <row r="2803" x14ac:dyDescent="0.3">
      <c r="N2803" s="94"/>
      <c r="O2803" s="69"/>
    </row>
    <row r="2804" x14ac:dyDescent="0.3">
      <c r="N2804" s="94"/>
      <c r="O2804" s="69"/>
    </row>
    <row r="2805" x14ac:dyDescent="0.3">
      <c r="N2805" s="94"/>
      <c r="O2805" s="69"/>
    </row>
    <row r="2806" x14ac:dyDescent="0.3">
      <c r="N2806" s="94"/>
      <c r="O2806" s="69"/>
    </row>
    <row r="2807" x14ac:dyDescent="0.3">
      <c r="N2807" s="94"/>
      <c r="O2807" s="69"/>
    </row>
    <row r="2808" x14ac:dyDescent="0.3">
      <c r="N2808" s="94"/>
      <c r="O2808" s="69"/>
    </row>
    <row r="2809" x14ac:dyDescent="0.3">
      <c r="N2809" s="94"/>
      <c r="O2809" s="69"/>
    </row>
    <row r="2810" x14ac:dyDescent="0.3">
      <c r="N2810" s="94"/>
      <c r="O2810" s="69"/>
    </row>
    <row r="2811" x14ac:dyDescent="0.3">
      <c r="N2811" s="94"/>
      <c r="O2811" s="69"/>
    </row>
    <row r="2812" x14ac:dyDescent="0.3">
      <c r="N2812" s="94"/>
      <c r="O2812" s="69"/>
    </row>
    <row r="2813" x14ac:dyDescent="0.3">
      <c r="N2813" s="94"/>
      <c r="O2813" s="69"/>
    </row>
    <row r="2814" x14ac:dyDescent="0.3">
      <c r="N2814" s="94"/>
      <c r="O2814" s="69"/>
    </row>
    <row r="2815" x14ac:dyDescent="0.3">
      <c r="N2815" s="94"/>
      <c r="O2815" s="69"/>
    </row>
    <row r="2816" x14ac:dyDescent="0.3">
      <c r="N2816" s="94"/>
      <c r="O2816" s="69"/>
    </row>
    <row r="2817" x14ac:dyDescent="0.3">
      <c r="N2817" s="94"/>
      <c r="O2817" s="69"/>
    </row>
    <row r="2818" x14ac:dyDescent="0.3">
      <c r="N2818" s="94"/>
      <c r="O2818" s="69"/>
    </row>
    <row r="2819" x14ac:dyDescent="0.3">
      <c r="N2819" s="94"/>
      <c r="O2819" s="69"/>
    </row>
    <row r="2820" x14ac:dyDescent="0.3">
      <c r="N2820" s="94"/>
      <c r="O2820" s="69"/>
    </row>
    <row r="2821" x14ac:dyDescent="0.3">
      <c r="N2821" s="94"/>
      <c r="O2821" s="69"/>
    </row>
    <row r="2822" x14ac:dyDescent="0.3">
      <c r="N2822" s="94"/>
      <c r="O2822" s="69"/>
    </row>
    <row r="2823" x14ac:dyDescent="0.3">
      <c r="N2823" s="94"/>
      <c r="O2823" s="69"/>
    </row>
    <row r="2824" x14ac:dyDescent="0.3">
      <c r="N2824" s="94"/>
      <c r="O2824" s="69"/>
    </row>
    <row r="2825" x14ac:dyDescent="0.3">
      <c r="N2825" s="94"/>
      <c r="O2825" s="69"/>
    </row>
    <row r="2826" x14ac:dyDescent="0.3">
      <c r="N2826" s="94"/>
      <c r="O2826" s="69"/>
    </row>
    <row r="2827" x14ac:dyDescent="0.3">
      <c r="N2827" s="94"/>
      <c r="O2827" s="69"/>
    </row>
    <row r="2828" x14ac:dyDescent="0.3">
      <c r="N2828" s="94"/>
      <c r="O2828" s="69"/>
    </row>
    <row r="2829" x14ac:dyDescent="0.3">
      <c r="N2829" s="94"/>
      <c r="O2829" s="69"/>
    </row>
  </sheetData>
  <sheetProtection sheet="true" objects="true" scenarios="true"/>
  <protectedRanges>
    <protectedRange sqref="J1617 J1628:J1629 J1623:J1626 J1614:J1615 J1619:J1621 J1632" name="Range1"/>
    <protectedRange sqref="J1616" name="Range1_1"/>
    <protectedRange sqref="J1622" name="Range1_1_1"/>
    <protectedRange sqref="J1630" name="Range1_2"/>
    <protectedRange sqref="J1633:J1634" name="Range1_3"/>
  </protectedRanges>
  <mergeCells count="129">
    <mergeCell ref="E6:G6"/>
    <mergeCell ref="E8:G8"/>
    <mergeCell ref="E10:G10"/>
    <mergeCell ref="E11:G11"/>
    <mergeCell ref="E16:G16"/>
    <mergeCell ref="E17:G17"/>
    <mergeCell ref="E7:G7"/>
    <mergeCell ref="E29:G29"/>
    <mergeCell ref="E15:G15"/>
    <mergeCell ref="E13:G13"/>
    <mergeCell ref="E19:G19"/>
    <mergeCell ref="E20:G20"/>
    <mergeCell ref="E21:G21"/>
    <mergeCell ref="E22:G22"/>
    <mergeCell ref="E23:G23"/>
    <mergeCell ref="E24:G24"/>
    <mergeCell ref="E25:G25"/>
    <mergeCell ref="E12:G12"/>
    <mergeCell ref="E9:G9"/>
    <mergeCell ref="E27:G27"/>
    <mergeCell ref="E26:G26"/>
    <mergeCell ref="E14:G14"/>
    <mergeCell ref="E18:G18"/>
    <mergeCell ref="I19:I20"/>
    <mergeCell ref="I44:I45"/>
    <mergeCell ref="E28:G28"/>
    <mergeCell ref="I28:I29"/>
    <mergeCell ref="I38:I39"/>
    <mergeCell ref="I32:I33"/>
    <mergeCell ref="I34:I35"/>
    <mergeCell ref="I36:I37"/>
    <mergeCell ref="I30:I31"/>
    <mergeCell ref="E30:G30"/>
    <mergeCell ref="E37:G37"/>
    <mergeCell ref="E34:G34"/>
    <mergeCell ref="E32:G32"/>
    <mergeCell ref="E31:G31"/>
    <mergeCell ref="E38:G38"/>
    <mergeCell ref="E35:G35"/>
    <mergeCell ref="E33:G33"/>
    <mergeCell ref="E39:G39"/>
    <mergeCell ref="E40:G40"/>
    <mergeCell ref="E36:G36"/>
    <mergeCell ref="E43:G43"/>
    <mergeCell ref="E44:G44"/>
    <mergeCell ref="E45:G45"/>
    <mergeCell ref="E41:G41"/>
    <mergeCell ref="I40:I41"/>
    <mergeCell ref="E65:G65"/>
    <mergeCell ref="E63:G63"/>
    <mergeCell ref="E64:G64"/>
    <mergeCell ref="D82:F82"/>
    <mergeCell ref="D77:F77"/>
    <mergeCell ref="E71:G71"/>
    <mergeCell ref="I48:I49"/>
    <mergeCell ref="I50:I51"/>
    <mergeCell ref="I46:I47"/>
    <mergeCell ref="E54:G54"/>
    <mergeCell ref="E55:G55"/>
    <mergeCell ref="E56:G56"/>
    <mergeCell ref="E57:G57"/>
    <mergeCell ref="E48:G48"/>
    <mergeCell ref="E42:G42"/>
    <mergeCell ref="L725:N725"/>
    <mergeCell ref="E69:G69"/>
    <mergeCell ref="E62:G62"/>
    <mergeCell ref="E67:G67"/>
    <mergeCell ref="K667:L667"/>
    <mergeCell ref="H140:L140"/>
    <mergeCell ref="E58:G58"/>
    <mergeCell ref="E60:G60"/>
    <mergeCell ref="I42:I43"/>
    <mergeCell ref="E46:G46"/>
    <mergeCell ref="E47:G47"/>
    <mergeCell ref="H376:L376"/>
    <mergeCell ref="H434:L434"/>
    <mergeCell ref="H492:L492"/>
    <mergeCell ref="D78:F78"/>
    <mergeCell ref="D79:F79"/>
    <mergeCell ref="H666:L666"/>
    <mergeCell ref="H608:L608"/>
    <mergeCell ref="H840:L840"/>
    <mergeCell ref="H898:L898"/>
    <mergeCell ref="H956:L956"/>
    <mergeCell ref="H724:L724"/>
    <mergeCell ref="H782:L782"/>
    <mergeCell ref="Q141:T141"/>
    <mergeCell ref="E51:G51"/>
    <mergeCell ref="E49:G49"/>
    <mergeCell ref="E53:G53"/>
    <mergeCell ref="E52:G52"/>
    <mergeCell ref="E50:G50"/>
    <mergeCell ref="B75:I75"/>
    <mergeCell ref="E59:G59"/>
    <mergeCell ref="E68:G68"/>
    <mergeCell ref="E61:G61"/>
    <mergeCell ref="E66:G66"/>
    <mergeCell ref="H198:L198"/>
    <mergeCell ref="M199:P199"/>
    <mergeCell ref="K258:L258"/>
    <mergeCell ref="L783:M783"/>
    <mergeCell ref="M318:O318"/>
    <mergeCell ref="L377:N377"/>
    <mergeCell ref="H257:L257"/>
    <mergeCell ref="H317:L317"/>
    <mergeCell ref="U6:CF7"/>
    <mergeCell ref="N4:Q4"/>
    <mergeCell ref="D5:G5"/>
    <mergeCell ref="J1664:K1664"/>
    <mergeCell ref="I1610:J1610"/>
    <mergeCell ref="I1605:J1605"/>
    <mergeCell ref="I1666:J1666"/>
    <mergeCell ref="I1536:J1536"/>
    <mergeCell ref="D80:F80"/>
    <mergeCell ref="E70:G70"/>
    <mergeCell ref="M435:O435"/>
    <mergeCell ref="N493:R493"/>
    <mergeCell ref="L841:N841"/>
    <mergeCell ref="H550:L550"/>
    <mergeCell ref="H1072:L1072"/>
    <mergeCell ref="H1246:L1246"/>
    <mergeCell ref="H1188:L1188"/>
    <mergeCell ref="H1130:L1130"/>
    <mergeCell ref="H1304:L1304"/>
    <mergeCell ref="H1362:L1362"/>
    <mergeCell ref="I1596:J1596"/>
    <mergeCell ref="H1420:L1420"/>
    <mergeCell ref="H1478:L1478"/>
    <mergeCell ref="H1014:L1014"/>
  </mergeCells>
  <phoneticPr fontId="32" type="noConversion"/>
  <conditionalFormatting sqref="P72:P74 R6:R71">
    <cfRule type="colorScale" priority="4">
      <colorScale>
        <cfvo type="num" val="0"/>
        <cfvo type="num" val="100"/>
        <color rgb="FFFF0000"/>
        <color rgb="FF21FF85"/>
      </colorScale>
    </cfRule>
  </conditionalFormatting>
  <pageMargins left="0.75" right="0.75" top="1" bottom="1" header="0.5" footer="0.5"/>
  <pageSetup orientation="portrait" r:id="rId1"/>
  <headerFooter alignWithMargins="false"/>
  <drawing r:id="rId2"/>
  <legacyDrawing r:id="rId3"/>
  <oleObjects>
    <mc:AlternateContent xmlns:mc="http://schemas.openxmlformats.org/markup-compatibility/2006">
      <mc:Choice Requires="x14">
        <oleObject progId="Equation.DSMT4" shapeId="4347" r:id="rId4">
          <objectPr defaultSize="0" autoPict="0" r:id="rId5">
            <anchor moveWithCells="1" sizeWithCells="1">
              <from>
                <xdr:col>9</xdr:col>
                <xdr:colOff>1203960</xdr:colOff>
                <xdr:row>6</xdr:row>
                <xdr:rowOff>198120</xdr:rowOff>
              </from>
              <to>
                <xdr:col>9</xdr:col>
                <xdr:colOff>3169920</xdr:colOff>
                <xdr:row>6</xdr:row>
                <xdr:rowOff>975360</xdr:rowOff>
              </to>
            </anchor>
          </objectPr>
        </oleObject>
      </mc:Choice>
      <mc:Fallback>
        <oleObject progId="Equation.DSMT4" shapeId="4347" r:id="rId4"/>
      </mc:Fallback>
    </mc:AlternateContent>
  </oleObjec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dimension ref="B2:AT152"/>
  <sheetViews>
    <sheetView topLeftCell="A15" zoomScale="66" zoomScaleNormal="66" workbookViewId="0">
      <selection activeCell="F37" sqref="F37"/>
    </sheetView>
  </sheetViews>
  <sheetFormatPr defaultColWidth="9.109375" defaultRowHeight="15.6" x14ac:dyDescent="0.3"/>
  <cols>
    <col min="1" max="1" width="9.109375" style="62"/>
    <col min="2" max="2" width="15.44140625" style="62" customWidth="true"/>
    <col min="3" max="3" width="15.6640625" style="62" customWidth="true"/>
    <col min="4" max="4" width="8.88671875" style="88" customWidth="true"/>
    <col min="5" max="5" width="39.44140625" style="45" customWidth="true"/>
    <col min="6" max="6" width="23.88671875" style="62" customWidth="true"/>
    <col min="7" max="7" width="44.5546875" style="836" customWidth="true"/>
    <col min="8" max="8" width="79.5546875" style="62" customWidth="true"/>
    <col min="9" max="9" width="32.44140625" style="673" customWidth="true"/>
    <col min="10" max="10" width="58.33203125" style="70" customWidth="true"/>
    <col min="11" max="11" width="32.6640625" style="539" customWidth="true"/>
    <col min="12" max="12" width="25" style="837" customWidth="true"/>
    <col min="13" max="13" width="18" style="62" customWidth="true"/>
    <col min="14" max="14" width="18.44140625" style="62" customWidth="true"/>
    <col min="15" max="15" width="19.109375" style="62" customWidth="true"/>
    <col min="16" max="16" width="19.109375" style="74" customWidth="true"/>
    <col min="17" max="17" width="19.109375" style="675" customWidth="true"/>
    <col min="18" max="45" width="19.109375" style="62" customWidth="true"/>
    <col min="46" max="16384" width="9.109375" style="62"/>
  </cols>
  <sheetData>
    <row r="2" ht="16.2" thickBot="true" x14ac:dyDescent="0.35"/>
    <row r="3" s="73" customFormat="true" ht="38.4" thickBot="true" x14ac:dyDescent="0.35">
      <c r="B3" s="668" t="s">
        <v>2364</v>
      </c>
      <c r="C3" s="387"/>
      <c r="D3" s="429"/>
      <c r="E3" s="429"/>
      <c r="F3" s="431"/>
      <c r="G3" s="432"/>
      <c r="H3" s="433"/>
      <c r="I3" s="387"/>
      <c r="J3" s="434"/>
      <c r="K3" s="429"/>
      <c r="L3" s="386"/>
      <c r="M3" s="387"/>
      <c r="N3" s="387"/>
      <c r="O3" s="428"/>
      <c r="P3" s="435"/>
      <c r="Q3" s="435"/>
      <c r="R3" s="437"/>
      <c r="S3" s="438"/>
      <c r="T3" s="428"/>
      <c r="U3" s="428"/>
      <c r="V3" s="437"/>
      <c r="W3" s="437"/>
      <c r="X3" s="437"/>
      <c r="Y3" s="428"/>
      <c r="Z3" s="428"/>
      <c r="AA3" s="428"/>
      <c r="AB3" s="428"/>
      <c r="AC3" s="428"/>
      <c r="AD3" s="428"/>
      <c r="AE3" s="428"/>
      <c r="AF3" s="428"/>
      <c r="AG3" s="428"/>
      <c r="AH3" s="428"/>
      <c r="AI3" s="428"/>
      <c r="AJ3" s="428"/>
      <c r="AK3" s="428"/>
      <c r="AL3" s="428"/>
      <c r="AM3" s="428"/>
      <c r="AN3" s="428"/>
      <c r="AO3" s="428"/>
      <c r="AP3" s="428"/>
      <c r="AQ3" s="428"/>
      <c r="AR3" s="428"/>
      <c r="AS3" s="428"/>
      <c r="AT3" s="439"/>
    </row>
    <row r="4" s="73" customFormat="true" ht="36" customHeight="true" thickBot="true" x14ac:dyDescent="0.45">
      <c r="B4" s="436"/>
      <c r="C4" s="72"/>
      <c r="D4" s="421"/>
      <c r="E4" s="421"/>
      <c r="F4" s="72"/>
      <c r="G4" s="422"/>
      <c r="H4" s="391"/>
      <c r="I4" s="72"/>
      <c r="J4" s="423"/>
      <c r="K4" s="421"/>
      <c r="L4" s="1971" t="s">
        <v>27</v>
      </c>
      <c r="M4" s="1972"/>
      <c r="N4" s="1972"/>
      <c r="O4" s="1973"/>
      <c r="P4" s="669"/>
      <c r="Q4" s="440"/>
      <c r="R4" s="440"/>
      <c r="S4" s="1970" t="s">
        <v>2365</v>
      </c>
      <c r="T4" s="1970"/>
      <c r="U4" s="1970"/>
      <c r="V4" s="1970"/>
      <c r="W4" s="1970"/>
      <c r="X4" s="1970"/>
      <c r="Y4" s="1970"/>
      <c r="Z4" s="1970"/>
      <c r="AA4" s="1970"/>
      <c r="AB4" s="1970"/>
      <c r="AC4" s="1970"/>
      <c r="AD4" s="1970"/>
      <c r="AE4" s="1970"/>
      <c r="AF4" s="1970"/>
      <c r="AG4" s="838"/>
      <c r="AN4" s="391"/>
      <c r="AO4" s="391"/>
      <c r="AP4" s="391"/>
      <c r="AQ4" s="391"/>
      <c r="AR4" s="391"/>
      <c r="AS4" s="391"/>
      <c r="AT4" s="443"/>
    </row>
    <row r="5" s="78" customFormat="true" ht="63.6" thickBot="true" x14ac:dyDescent="0.3">
      <c r="B5" s="424"/>
      <c r="C5" s="557"/>
      <c r="D5" s="1975" t="s">
        <v>24</v>
      </c>
      <c r="E5" s="1976"/>
      <c r="F5" s="1191" t="s">
        <v>44</v>
      </c>
      <c r="G5" s="228" t="s">
        <v>42</v>
      </c>
      <c r="H5" s="1191" t="s">
        <v>39</v>
      </c>
      <c r="I5" s="1191" t="s">
        <v>29</v>
      </c>
      <c r="J5" s="1191" t="s">
        <v>30</v>
      </c>
      <c r="K5" s="1191" t="s">
        <v>31</v>
      </c>
      <c r="L5" s="839" t="s">
        <v>73</v>
      </c>
      <c r="M5" s="840" t="s">
        <v>2260</v>
      </c>
      <c r="N5" s="839" t="s">
        <v>74</v>
      </c>
      <c r="O5" s="841" t="s">
        <v>2261</v>
      </c>
      <c r="P5" s="842" t="s">
        <v>97</v>
      </c>
      <c r="Q5" s="425"/>
      <c r="R5" s="425"/>
      <c r="S5" s="425"/>
      <c r="T5" s="425"/>
      <c r="U5" s="425"/>
      <c r="V5" s="425"/>
      <c r="W5" s="425"/>
      <c r="X5" s="425"/>
      <c r="Y5" s="425"/>
      <c r="Z5" s="425"/>
      <c r="AA5" s="425"/>
      <c r="AB5" s="425"/>
      <c r="AC5" s="425"/>
      <c r="AD5" s="425"/>
      <c r="AE5" s="425"/>
      <c r="AF5" s="425"/>
      <c r="AG5" s="425"/>
      <c r="AH5" s="425"/>
      <c r="AI5" s="425"/>
      <c r="AJ5" s="425"/>
      <c r="AK5" s="425"/>
      <c r="AL5" s="425"/>
      <c r="AM5" s="425"/>
      <c r="AN5" s="425"/>
      <c r="AO5" s="425"/>
      <c r="AP5" s="425"/>
      <c r="AQ5" s="425"/>
      <c r="AR5" s="425"/>
      <c r="AS5" s="425"/>
      <c r="AT5" s="444"/>
    </row>
    <row r="6" s="675" customFormat="true" ht="140.25" customHeight="true" thickBot="true" x14ac:dyDescent="0.3">
      <c r="B6" s="805"/>
      <c r="C6" s="806"/>
      <c r="D6" s="843">
        <v>1</v>
      </c>
      <c r="E6" s="844" t="s">
        <v>1032</v>
      </c>
      <c r="F6" s="845" t="s">
        <v>2277</v>
      </c>
      <c r="G6" s="846" t="s">
        <v>1046</v>
      </c>
      <c r="H6" s="233"/>
      <c r="I6" s="848">
        <f>IFERROR('VI. Energy'!F79+'VI. Energy'!F94+'VI. Energy'!F105,"missing data")</f>
        <v>0</v>
      </c>
      <c r="J6" s="847" t="s">
        <v>1163</v>
      </c>
      <c r="K6" s="848" t="s">
        <v>78</v>
      </c>
      <c r="L6" s="1340">
        <f>ABS(F51)</f>
        <v>4916954.2417169847</v>
      </c>
      <c r="M6" s="1134">
        <f>L6</f>
        <v>4916954.2417169847</v>
      </c>
      <c r="N6" s="234">
        <f>10*(ABS(F51))</f>
        <v>49169542.417169847</v>
      </c>
      <c r="O6" s="1134">
        <f>N6</f>
        <v>49169542.417169847</v>
      </c>
      <c r="P6" s="1215">
        <f>IFERROR(IF(ROUND((I6- IF(O6&lt;&gt;"",O6,N6))/(IF(M6&lt;&gt;"",M6,L6)- IF(O6&lt;&gt;"",O6,N6))*100,2)&lt;0,0,IF(ROUND((I6- IF(O6&lt;&gt;"",O6,N6))/(IF(M6&lt;&gt;"",M6,L6)- IF(O6&lt;&gt;"",O6,N6))*100,2)&gt;100,100,ROUND((I6- IF(O6&lt;&gt;"",O6,N6))/(IF(M6&lt;&gt;"",M6,L6)- IF(O6&lt;&gt;"",O6,N6))*100,2))),"")</f>
        <v>100</v>
      </c>
      <c r="Q6" s="669"/>
      <c r="R6" s="669"/>
      <c r="S6" s="669"/>
      <c r="T6" s="669"/>
      <c r="U6" s="669"/>
      <c r="V6" s="669"/>
      <c r="W6" s="669"/>
      <c r="X6" s="669"/>
      <c r="Y6" s="669"/>
      <c r="Z6" s="669"/>
      <c r="AA6" s="669"/>
      <c r="AB6" s="669"/>
      <c r="AC6" s="669"/>
      <c r="AD6" s="669"/>
      <c r="AE6" s="669"/>
      <c r="AF6" s="669"/>
      <c r="AG6" s="669"/>
      <c r="AH6" s="669"/>
      <c r="AI6" s="669"/>
      <c r="AJ6" s="669"/>
      <c r="AK6" s="669"/>
      <c r="AL6" s="669"/>
      <c r="AM6" s="669"/>
      <c r="AN6" s="669"/>
      <c r="AO6" s="669"/>
      <c r="AP6" s="669"/>
      <c r="AQ6" s="669"/>
      <c r="AR6" s="669"/>
      <c r="AS6" s="669"/>
      <c r="AT6" s="849"/>
    </row>
    <row r="7" s="675" customFormat="true" ht="104.25" customHeight="true" thickBot="true" x14ac:dyDescent="0.3">
      <c r="B7" s="805"/>
      <c r="C7" s="806"/>
      <c r="D7" s="1276">
        <f>D6+1</f>
        <v>2</v>
      </c>
      <c r="E7" s="850" t="s">
        <v>1033</v>
      </c>
      <c r="F7" s="460" t="s">
        <v>2278</v>
      </c>
      <c r="G7" s="407" t="s">
        <v>1047</v>
      </c>
      <c r="H7" s="239"/>
      <c r="I7" s="99">
        <f>IFERROR(('VI. Energy'!F79+'VI. Energy'!F94+'VI. Energy'!F105)/F26,"missing data")</f>
        <v>0</v>
      </c>
      <c r="J7" s="851" t="s">
        <v>1164</v>
      </c>
      <c r="K7" s="99" t="s">
        <v>1079</v>
      </c>
      <c r="L7" s="852">
        <v>0</v>
      </c>
      <c r="M7" s="1134">
        <f t="shared" ref="M7:M19" si="0">L7</f>
        <v>0</v>
      </c>
      <c r="N7" s="80">
        <f>1949000/1000</f>
        <v>1949</v>
      </c>
      <c r="O7" s="1134">
        <f t="shared" ref="O7:O19" si="1">N7</f>
        <v>1949</v>
      </c>
      <c r="P7" s="1215">
        <f t="shared" ref="P7:P19" si="2">IFERROR(IF(ROUND((I7- IF(O7&lt;&gt;"",O7,N7))/(IF(M7&lt;&gt;"",M7,L7)- IF(O7&lt;&gt;"",O7,N7))*100,2)&lt;0,0,IF(ROUND((I7- IF(O7&lt;&gt;"",O7,N7))/(IF(M7&lt;&gt;"",M7,L7)- IF(O7&lt;&gt;"",O7,N7))*100,2)&gt;100,100,ROUND((I7- IF(O7&lt;&gt;"",O7,N7))/(IF(M7&lt;&gt;"",M7,L7)- IF(O7&lt;&gt;"",O7,N7))*100,2))),"")</f>
        <v>100</v>
      </c>
      <c r="Q7" s="669"/>
      <c r="R7" s="669"/>
      <c r="S7" s="669"/>
      <c r="T7" s="669"/>
      <c r="U7" s="669"/>
      <c r="V7" s="669"/>
      <c r="W7" s="669"/>
      <c r="X7" s="669"/>
      <c r="Y7" s="669"/>
      <c r="Z7" s="669"/>
      <c r="AA7" s="669"/>
      <c r="AB7" s="669"/>
      <c r="AC7" s="669"/>
      <c r="AD7" s="669"/>
      <c r="AE7" s="669"/>
      <c r="AF7" s="669"/>
      <c r="AG7" s="669"/>
      <c r="AH7" s="669"/>
      <c r="AI7" s="669"/>
      <c r="AJ7" s="669"/>
      <c r="AK7" s="669"/>
      <c r="AL7" s="669"/>
      <c r="AM7" s="669"/>
      <c r="AN7" s="669"/>
      <c r="AO7" s="669"/>
      <c r="AP7" s="669"/>
      <c r="AQ7" s="669"/>
      <c r="AR7" s="669"/>
      <c r="AS7" s="669"/>
      <c r="AT7" s="849"/>
    </row>
    <row r="8" ht="84.75" customHeight="true" thickBot="true" x14ac:dyDescent="0.3">
      <c r="B8" s="697"/>
      <c r="C8" s="806"/>
      <c r="D8" s="1276">
        <f>D7+1</f>
        <v>3</v>
      </c>
      <c r="E8" s="850" t="s">
        <v>1034</v>
      </c>
      <c r="F8" s="460" t="s">
        <v>2279</v>
      </c>
      <c r="G8" s="243" t="s">
        <v>2192</v>
      </c>
      <c r="H8" s="239"/>
      <c r="I8" s="99">
        <f>IFERROR(ROUND(('VI. Energy'!F79+'VI. Energy'!F94+'VI. Energy'!F105)/F28,4),"missing data")</f>
        <v>0</v>
      </c>
      <c r="J8" s="851" t="s">
        <v>1165</v>
      </c>
      <c r="K8" s="99" t="s">
        <v>1091</v>
      </c>
      <c r="L8" s="84">
        <v>0</v>
      </c>
      <c r="M8" s="1134">
        <f t="shared" si="0"/>
        <v>0</v>
      </c>
      <c r="N8" s="80">
        <f>37300/1000</f>
        <v>37.299999999999997</v>
      </c>
      <c r="O8" s="1134">
        <f t="shared" si="1"/>
        <v>37.299999999999997</v>
      </c>
      <c r="P8" s="1215">
        <f t="shared" si="2"/>
        <v>100</v>
      </c>
      <c r="Q8" s="669"/>
      <c r="R8" s="683"/>
      <c r="S8" s="683"/>
      <c r="T8" s="683"/>
      <c r="U8" s="683"/>
      <c r="V8" s="683"/>
      <c r="W8" s="683"/>
      <c r="X8" s="683"/>
      <c r="Y8" s="683"/>
      <c r="Z8" s="683"/>
      <c r="AA8" s="683"/>
      <c r="AB8" s="683"/>
      <c r="AC8" s="683"/>
      <c r="AD8" s="683"/>
      <c r="AE8" s="683"/>
      <c r="AF8" s="683"/>
      <c r="AG8" s="683"/>
      <c r="AH8" s="683"/>
      <c r="AI8" s="683"/>
      <c r="AJ8" s="683"/>
      <c r="AK8" s="683"/>
      <c r="AL8" s="683"/>
      <c r="AM8" s="683"/>
      <c r="AN8" s="683"/>
      <c r="AO8" s="683"/>
      <c r="AP8" s="683"/>
      <c r="AQ8" s="683"/>
      <c r="AR8" s="683"/>
      <c r="AS8" s="683"/>
      <c r="AT8" s="685"/>
    </row>
    <row r="9" ht="120" customHeight="true" thickBot="true" x14ac:dyDescent="0.3">
      <c r="B9" s="697"/>
      <c r="C9" s="806"/>
      <c r="D9" s="1276">
        <f>D8+1</f>
        <v>4</v>
      </c>
      <c r="E9" s="850" t="s">
        <v>1035</v>
      </c>
      <c r="F9" s="460" t="s">
        <v>1727</v>
      </c>
      <c r="G9" s="243" t="s">
        <v>2193</v>
      </c>
      <c r="H9" s="239"/>
      <c r="I9" s="99">
        <f>IFERROR(F116/F26,"missing data")</f>
        <v>0</v>
      </c>
      <c r="J9" s="851" t="s">
        <v>1061</v>
      </c>
      <c r="K9" s="99" t="s">
        <v>1079</v>
      </c>
      <c r="L9" s="852">
        <v>0</v>
      </c>
      <c r="M9" s="1134">
        <f t="shared" si="0"/>
        <v>0</v>
      </c>
      <c r="N9" s="80">
        <f>0.1*(('VI. Energy'!F79+'VI. Energy'!F94+'VI. Energy'!F105)/F26)</f>
        <v>0</v>
      </c>
      <c r="O9" s="1134">
        <f t="shared" si="1"/>
        <v>0</v>
      </c>
      <c r="P9" s="1215" t="str">
        <f t="shared" si="2"/>
        <v/>
      </c>
      <c r="Q9" s="669"/>
      <c r="R9" s="683"/>
      <c r="S9" s="683"/>
      <c r="T9" s="683"/>
      <c r="U9" s="683"/>
      <c r="V9" s="683"/>
      <c r="W9" s="683"/>
      <c r="X9" s="683"/>
      <c r="Y9" s="683"/>
      <c r="Z9" s="683"/>
      <c r="AA9" s="683"/>
      <c r="AB9" s="683"/>
      <c r="AC9" s="683"/>
      <c r="AD9" s="683"/>
      <c r="AE9" s="683"/>
      <c r="AF9" s="683"/>
      <c r="AG9" s="683"/>
      <c r="AH9" s="683"/>
      <c r="AI9" s="683"/>
      <c r="AJ9" s="683"/>
      <c r="AK9" s="683"/>
      <c r="AL9" s="683"/>
      <c r="AM9" s="683"/>
      <c r="AN9" s="683"/>
      <c r="AO9" s="683"/>
      <c r="AP9" s="683"/>
      <c r="AQ9" s="683"/>
      <c r="AR9" s="683"/>
      <c r="AS9" s="683"/>
      <c r="AT9" s="685"/>
    </row>
    <row r="10" ht="121.5" customHeight="true" thickBot="true" x14ac:dyDescent="0.3">
      <c r="B10" s="697"/>
      <c r="C10" s="806"/>
      <c r="D10" s="1276">
        <f>D9+1</f>
        <v>5</v>
      </c>
      <c r="E10" s="853" t="s">
        <v>1036</v>
      </c>
      <c r="F10" s="460" t="s">
        <v>1728</v>
      </c>
      <c r="G10" s="243" t="s">
        <v>1048</v>
      </c>
      <c r="H10" s="239"/>
      <c r="I10" s="99">
        <f>IFERROR(G116/F26,"missing data")</f>
        <v>0</v>
      </c>
      <c r="J10" s="851" t="s">
        <v>1062</v>
      </c>
      <c r="K10" s="99" t="s">
        <v>1079</v>
      </c>
      <c r="L10" s="852">
        <v>0</v>
      </c>
      <c r="M10" s="1134">
        <f t="shared" si="0"/>
        <v>0</v>
      </c>
      <c r="N10" s="80">
        <f>0.1*(('VI. Energy'!F79+'VI. Energy'!F94+'VI. Energy'!F105)/F26)</f>
        <v>0</v>
      </c>
      <c r="O10" s="1134">
        <f t="shared" si="1"/>
        <v>0</v>
      </c>
      <c r="P10" s="1215" t="str">
        <f t="shared" si="2"/>
        <v/>
      </c>
      <c r="Q10" s="669"/>
      <c r="R10" s="683"/>
      <c r="S10" s="683"/>
      <c r="T10" s="683"/>
      <c r="U10" s="683"/>
      <c r="V10" s="683"/>
      <c r="W10" s="683"/>
      <c r="X10" s="683"/>
      <c r="Y10" s="683"/>
      <c r="Z10" s="683"/>
      <c r="AA10" s="683"/>
      <c r="AB10" s="683"/>
      <c r="AC10" s="683"/>
      <c r="AD10" s="683"/>
      <c r="AE10" s="683"/>
      <c r="AF10" s="683"/>
      <c r="AG10" s="683"/>
      <c r="AH10" s="683"/>
      <c r="AI10" s="683"/>
      <c r="AJ10" s="683"/>
      <c r="AK10" s="683"/>
      <c r="AL10" s="683"/>
      <c r="AM10" s="683"/>
      <c r="AN10" s="683"/>
      <c r="AO10" s="683"/>
      <c r="AP10" s="683"/>
      <c r="AQ10" s="683"/>
      <c r="AR10" s="683"/>
      <c r="AS10" s="683"/>
      <c r="AT10" s="685"/>
    </row>
    <row r="11" ht="87" customHeight="true" thickBot="true" x14ac:dyDescent="0.3">
      <c r="B11" s="697"/>
      <c r="C11" s="806"/>
      <c r="D11" s="1276">
        <f>D10+1</f>
        <v>6</v>
      </c>
      <c r="E11" s="853" t="s">
        <v>1037</v>
      </c>
      <c r="F11" s="854" t="s">
        <v>2280</v>
      </c>
      <c r="G11" s="243" t="s">
        <v>1049</v>
      </c>
      <c r="H11" s="239"/>
      <c r="I11" s="99">
        <f>IFERROR(F51/F59,"missing data")</f>
        <v>0.60076270670767318</v>
      </c>
      <c r="J11" s="851" t="s">
        <v>1063</v>
      </c>
      <c r="K11" s="99" t="s">
        <v>33</v>
      </c>
      <c r="L11" s="84">
        <v>1</v>
      </c>
      <c r="M11" s="1134">
        <f t="shared" si="0"/>
        <v>1</v>
      </c>
      <c r="N11" s="84">
        <v>0</v>
      </c>
      <c r="O11" s="1134">
        <f t="shared" si="1"/>
        <v>0</v>
      </c>
      <c r="P11" s="1215">
        <f t="shared" si="2"/>
        <v>60.08</v>
      </c>
      <c r="Q11" s="669"/>
      <c r="R11" s="683"/>
      <c r="S11" s="683"/>
      <c r="T11" s="683"/>
      <c r="U11" s="683"/>
      <c r="V11" s="683"/>
      <c r="W11" s="683"/>
      <c r="X11" s="683"/>
      <c r="Y11" s="683"/>
      <c r="Z11" s="683"/>
      <c r="AA11" s="683"/>
      <c r="AB11" s="683"/>
      <c r="AC11" s="683"/>
      <c r="AD11" s="683"/>
      <c r="AE11" s="683"/>
      <c r="AF11" s="683"/>
      <c r="AG11" s="683"/>
      <c r="AH11" s="683"/>
      <c r="AI11" s="683"/>
      <c r="AJ11" s="683"/>
      <c r="AK11" s="683"/>
      <c r="AL11" s="683"/>
      <c r="AM11" s="683"/>
      <c r="AN11" s="683"/>
      <c r="AO11" s="683"/>
      <c r="AP11" s="683"/>
      <c r="AQ11" s="683"/>
      <c r="AR11" s="683"/>
      <c r="AS11" s="683"/>
      <c r="AT11" s="685"/>
    </row>
    <row r="12" ht="89.25" customHeight="true" thickBot="true" x14ac:dyDescent="0.35">
      <c r="B12" s="697"/>
      <c r="C12" s="806"/>
      <c r="D12" s="1276">
        <f t="shared" ref="D12:D19" si="3">D11+1</f>
        <v>7</v>
      </c>
      <c r="E12" s="853" t="s">
        <v>1038</v>
      </c>
      <c r="F12" s="462" t="s">
        <v>2281</v>
      </c>
      <c r="G12" s="243" t="s">
        <v>1051</v>
      </c>
      <c r="H12" s="242"/>
      <c r="I12" s="99" t="str">
        <f>IFERROR(('VI. Energy'!F80+'VI. Energy'!F91*'VI. Energy'!F92+'VI. Energy'!F102*'VI. Energy'!F103)/'VI. Energy'!I6,"missing data")</f>
        <v>missing data</v>
      </c>
      <c r="J12" s="851" t="s">
        <v>1064</v>
      </c>
      <c r="K12" s="99" t="s">
        <v>33</v>
      </c>
      <c r="L12" s="84">
        <v>1</v>
      </c>
      <c r="M12" s="1134">
        <f t="shared" si="0"/>
        <v>1</v>
      </c>
      <c r="N12" s="80">
        <v>0</v>
      </c>
      <c r="O12" s="1134">
        <f t="shared" si="1"/>
        <v>0</v>
      </c>
      <c r="P12" s="1215" t="str">
        <f t="shared" si="2"/>
        <v/>
      </c>
      <c r="Q12" s="669"/>
      <c r="R12" s="683"/>
      <c r="S12" s="683"/>
      <c r="T12" s="683"/>
      <c r="U12" s="683"/>
      <c r="V12" s="683"/>
      <c r="W12" s="683"/>
      <c r="X12" s="683"/>
      <c r="Y12" s="683"/>
      <c r="Z12" s="683"/>
      <c r="AA12" s="683"/>
      <c r="AB12" s="683"/>
      <c r="AC12" s="683"/>
      <c r="AD12" s="683"/>
      <c r="AE12" s="683"/>
      <c r="AF12" s="683"/>
      <c r="AG12" s="683"/>
      <c r="AH12" s="683"/>
      <c r="AI12" s="683"/>
      <c r="AJ12" s="683"/>
      <c r="AK12" s="683"/>
      <c r="AL12" s="683"/>
      <c r="AM12" s="683"/>
      <c r="AN12" s="683"/>
      <c r="AO12" s="683"/>
      <c r="AP12" s="683"/>
      <c r="AQ12" s="683"/>
      <c r="AR12" s="683"/>
      <c r="AS12" s="683"/>
      <c r="AT12" s="685"/>
    </row>
    <row r="13" ht="89.25" customHeight="true" thickBot="true" x14ac:dyDescent="0.35">
      <c r="B13" s="697"/>
      <c r="C13" s="806"/>
      <c r="D13" s="1276">
        <f t="shared" si="3"/>
        <v>8</v>
      </c>
      <c r="E13" s="853" t="s">
        <v>1039</v>
      </c>
      <c r="F13" s="462" t="s">
        <v>2282</v>
      </c>
      <c r="G13" s="243" t="s">
        <v>1100</v>
      </c>
      <c r="H13" s="242"/>
      <c r="I13" s="99">
        <f>IFERROR(F51/I59,"missing data")</f>
        <v>0.60076270670767318</v>
      </c>
      <c r="J13" s="851" t="s">
        <v>1065</v>
      </c>
      <c r="K13" s="99" t="s">
        <v>34</v>
      </c>
      <c r="L13" s="84">
        <v>10</v>
      </c>
      <c r="M13" s="1134">
        <f t="shared" si="0"/>
        <v>10</v>
      </c>
      <c r="N13" s="80">
        <v>0</v>
      </c>
      <c r="O13" s="1134">
        <f t="shared" si="1"/>
        <v>0</v>
      </c>
      <c r="P13" s="1215">
        <f t="shared" si="2"/>
        <v>6.01</v>
      </c>
      <c r="Q13" s="669"/>
      <c r="R13" s="683"/>
      <c r="S13" s="683"/>
      <c r="T13" s="683"/>
      <c r="U13" s="683"/>
      <c r="V13" s="683"/>
      <c r="W13" s="683"/>
      <c r="X13" s="683"/>
      <c r="Y13" s="683"/>
      <c r="Z13" s="683"/>
      <c r="AA13" s="683"/>
      <c r="AB13" s="683"/>
      <c r="AC13" s="683"/>
      <c r="AD13" s="683"/>
      <c r="AE13" s="683"/>
      <c r="AF13" s="683"/>
      <c r="AG13" s="683"/>
      <c r="AH13" s="683"/>
      <c r="AI13" s="683"/>
      <c r="AJ13" s="683"/>
      <c r="AK13" s="683"/>
      <c r="AL13" s="683"/>
      <c r="AM13" s="683"/>
      <c r="AN13" s="683"/>
      <c r="AO13" s="683"/>
      <c r="AP13" s="683"/>
      <c r="AQ13" s="683"/>
      <c r="AR13" s="683"/>
      <c r="AS13" s="683"/>
      <c r="AT13" s="685"/>
    </row>
    <row r="14" ht="85.5" customHeight="true" thickBot="true" x14ac:dyDescent="0.35">
      <c r="B14" s="697"/>
      <c r="C14" s="806"/>
      <c r="D14" s="1276">
        <f t="shared" si="3"/>
        <v>9</v>
      </c>
      <c r="E14" s="1182" t="s">
        <v>1040</v>
      </c>
      <c r="F14" s="460" t="s">
        <v>2283</v>
      </c>
      <c r="G14" s="243" t="s">
        <v>1092</v>
      </c>
      <c r="H14" s="242"/>
      <c r="I14" s="99">
        <f>IFERROR(H116/F26,"missing data")</f>
        <v>0</v>
      </c>
      <c r="J14" s="851" t="s">
        <v>1066</v>
      </c>
      <c r="K14" s="99" t="s">
        <v>1079</v>
      </c>
      <c r="L14" s="852">
        <v>0</v>
      </c>
      <c r="M14" s="1134">
        <f t="shared" si="0"/>
        <v>0</v>
      </c>
      <c r="N14" s="80">
        <f>0.1*I7</f>
        <v>0</v>
      </c>
      <c r="O14" s="1134">
        <f t="shared" si="1"/>
        <v>0</v>
      </c>
      <c r="P14" s="1215" t="str">
        <f t="shared" si="2"/>
        <v/>
      </c>
      <c r="Q14" s="669"/>
      <c r="R14" s="683"/>
      <c r="S14" s="683"/>
      <c r="T14" s="683"/>
      <c r="U14" s="683"/>
      <c r="V14" s="683"/>
      <c r="W14" s="683"/>
      <c r="X14" s="683"/>
      <c r="Y14" s="683"/>
      <c r="Z14" s="683"/>
      <c r="AA14" s="683"/>
      <c r="AB14" s="683"/>
      <c r="AC14" s="683"/>
      <c r="AD14" s="683"/>
      <c r="AE14" s="683"/>
      <c r="AF14" s="683"/>
      <c r="AG14" s="683"/>
      <c r="AH14" s="683"/>
      <c r="AI14" s="683"/>
      <c r="AJ14" s="683"/>
      <c r="AK14" s="683"/>
      <c r="AL14" s="683"/>
      <c r="AM14" s="683"/>
      <c r="AN14" s="683"/>
      <c r="AO14" s="683"/>
      <c r="AP14" s="683"/>
      <c r="AQ14" s="683"/>
      <c r="AR14" s="683"/>
      <c r="AS14" s="683"/>
      <c r="AT14" s="685"/>
    </row>
    <row r="15" ht="219.75" customHeight="true" thickBot="true" x14ac:dyDescent="0.35">
      <c r="B15" s="697"/>
      <c r="C15" s="806"/>
      <c r="D15" s="1276">
        <f t="shared" si="3"/>
        <v>10</v>
      </c>
      <c r="E15" s="853" t="s">
        <v>1041</v>
      </c>
      <c r="F15" s="460" t="s">
        <v>2284</v>
      </c>
      <c r="G15" s="243" t="s">
        <v>1052</v>
      </c>
      <c r="H15" s="239"/>
      <c r="I15" s="99">
        <f>IFERROR(Exergy!G175+Exergy!G181+Exergy!G190+Exergy!G202-Exergy!G172,"missing data")</f>
        <v>-2394498.0436379523</v>
      </c>
      <c r="J15" s="855" t="s">
        <v>1056</v>
      </c>
      <c r="K15" s="99" t="s">
        <v>78</v>
      </c>
      <c r="L15" s="856">
        <v>0</v>
      </c>
      <c r="M15" s="1134">
        <f t="shared" si="0"/>
        <v>0</v>
      </c>
      <c r="N15" s="84">
        <f>Exergy!G172</f>
        <v>-3827942.2684964458</v>
      </c>
      <c r="O15" s="1134">
        <f t="shared" si="1"/>
        <v>-3827942.2684964458</v>
      </c>
      <c r="P15" s="1215">
        <f t="shared" si="2"/>
        <v>37.450000000000003</v>
      </c>
      <c r="Q15" s="669"/>
      <c r="R15" s="683"/>
      <c r="S15" s="683"/>
      <c r="T15" s="683"/>
      <c r="U15" s="683"/>
      <c r="V15" s="683"/>
      <c r="W15" s="683"/>
      <c r="X15" s="683"/>
      <c r="Y15" s="683"/>
      <c r="Z15" s="683"/>
      <c r="AA15" s="683"/>
      <c r="AB15" s="683"/>
      <c r="AC15" s="683"/>
      <c r="AD15" s="683"/>
      <c r="AE15" s="683"/>
      <c r="AF15" s="683"/>
      <c r="AG15" s="683"/>
      <c r="AH15" s="683"/>
      <c r="AI15" s="683"/>
      <c r="AJ15" s="683"/>
      <c r="AK15" s="683"/>
      <c r="AL15" s="683"/>
      <c r="AM15" s="683"/>
      <c r="AN15" s="683"/>
      <c r="AO15" s="683"/>
      <c r="AP15" s="683"/>
      <c r="AQ15" s="683"/>
      <c r="AR15" s="683"/>
      <c r="AS15" s="683"/>
      <c r="AT15" s="685"/>
    </row>
    <row r="16" ht="158.25" customHeight="true" thickBot="true" x14ac:dyDescent="0.3">
      <c r="B16" s="697"/>
      <c r="C16" s="806"/>
      <c r="D16" s="1276">
        <f t="shared" si="3"/>
        <v>11</v>
      </c>
      <c r="E16" s="853" t="s">
        <v>1042</v>
      </c>
      <c r="F16" s="460" t="s">
        <v>2285</v>
      </c>
      <c r="G16" s="243" t="s">
        <v>1050</v>
      </c>
      <c r="H16" s="239"/>
      <c r="I16" s="99">
        <f>IFERROR((Exergy!G175+Exergy!G181+Exergy!G190+Exergy!G202-Exergy!G221*0)/F26,"missing data")</f>
        <v>-1379.08232709349</v>
      </c>
      <c r="J16" s="857" t="s">
        <v>1057</v>
      </c>
      <c r="K16" s="99" t="s">
        <v>1079</v>
      </c>
      <c r="L16" s="99">
        <f>Exergy!G172/F26</f>
        <v>-848.38861713513359</v>
      </c>
      <c r="M16" s="1134">
        <f t="shared" si="0"/>
        <v>-848.38861713513359</v>
      </c>
      <c r="N16" s="80">
        <f>5*Exergy!G172/F26</f>
        <v>-4241.943085675668</v>
      </c>
      <c r="O16" s="1134">
        <f t="shared" si="1"/>
        <v>-4241.943085675668</v>
      </c>
      <c r="P16" s="1215">
        <f t="shared" si="2"/>
        <v>84.36</v>
      </c>
      <c r="Q16" s="669"/>
      <c r="R16" s="683"/>
      <c r="S16" s="683"/>
      <c r="T16" s="683"/>
      <c r="U16" s="683"/>
      <c r="V16" s="683"/>
      <c r="W16" s="683"/>
      <c r="X16" s="683"/>
      <c r="Y16" s="683"/>
      <c r="Z16" s="683"/>
      <c r="AA16" s="683"/>
      <c r="AB16" s="683"/>
      <c r="AC16" s="683"/>
      <c r="AD16" s="683"/>
      <c r="AE16" s="683"/>
      <c r="AF16" s="683"/>
      <c r="AG16" s="683"/>
      <c r="AH16" s="683"/>
      <c r="AI16" s="683"/>
      <c r="AJ16" s="683"/>
      <c r="AK16" s="683"/>
      <c r="AL16" s="683"/>
      <c r="AM16" s="683"/>
      <c r="AN16" s="683"/>
      <c r="AO16" s="683"/>
      <c r="AP16" s="683"/>
      <c r="AQ16" s="683"/>
      <c r="AR16" s="683"/>
      <c r="AS16" s="683"/>
      <c r="AT16" s="685"/>
    </row>
    <row r="17" ht="87.75" customHeight="true" thickBot="true" x14ac:dyDescent="0.3">
      <c r="B17" s="697"/>
      <c r="C17" s="806"/>
      <c r="D17" s="1276">
        <f t="shared" si="3"/>
        <v>12</v>
      </c>
      <c r="E17" s="853" t="s">
        <v>1043</v>
      </c>
      <c r="F17" s="854" t="s">
        <v>2286</v>
      </c>
      <c r="G17" s="858" t="s">
        <v>1053</v>
      </c>
      <c r="H17" s="239"/>
      <c r="I17" s="99">
        <f>IFERROR(Exergy!G172/(Exergy!G175+Exergy!G181+Exergy!G190+Exergy!G202),"missing data")</f>
        <v>0.61518344515600498</v>
      </c>
      <c r="J17" s="857" t="s">
        <v>1058</v>
      </c>
      <c r="K17" s="99" t="s">
        <v>33</v>
      </c>
      <c r="L17" s="84">
        <v>1</v>
      </c>
      <c r="M17" s="1134">
        <f t="shared" si="0"/>
        <v>1</v>
      </c>
      <c r="N17" s="84">
        <v>0</v>
      </c>
      <c r="O17" s="1134">
        <f t="shared" si="1"/>
        <v>0</v>
      </c>
      <c r="P17" s="1215">
        <f t="shared" si="2"/>
        <v>61.52</v>
      </c>
      <c r="Q17" s="669"/>
      <c r="R17" s="683"/>
      <c r="S17" s="683"/>
      <c r="T17" s="683"/>
      <c r="U17" s="683"/>
      <c r="V17" s="683"/>
      <c r="W17" s="683"/>
      <c r="X17" s="683"/>
      <c r="Y17" s="683"/>
      <c r="Z17" s="683"/>
      <c r="AA17" s="683"/>
      <c r="AB17" s="683"/>
      <c r="AC17" s="683"/>
      <c r="AD17" s="683"/>
      <c r="AE17" s="683"/>
      <c r="AF17" s="683"/>
      <c r="AG17" s="683"/>
      <c r="AH17" s="683"/>
      <c r="AI17" s="683"/>
      <c r="AJ17" s="683"/>
      <c r="AK17" s="683"/>
      <c r="AL17" s="683"/>
      <c r="AM17" s="683"/>
      <c r="AN17" s="683"/>
      <c r="AO17" s="683"/>
      <c r="AP17" s="683"/>
      <c r="AQ17" s="683"/>
      <c r="AR17" s="683"/>
      <c r="AS17" s="683"/>
      <c r="AT17" s="685"/>
    </row>
    <row r="18" ht="75" customHeight="true" thickBot="true" x14ac:dyDescent="0.3">
      <c r="B18" s="697"/>
      <c r="C18" s="806"/>
      <c r="D18" s="1276">
        <f t="shared" si="3"/>
        <v>13</v>
      </c>
      <c r="E18" s="853" t="s">
        <v>1044</v>
      </c>
      <c r="F18" s="460" t="s">
        <v>2287</v>
      </c>
      <c r="G18" s="463" t="s">
        <v>1054</v>
      </c>
      <c r="H18" s="239"/>
      <c r="I18" s="99">
        <f>IFERROR((Exergy!G173+Exergy!G183+Exergy!G192+Exergy!G204)/(Exergy!G175+Exergy!G181+Exergy!G190+Exergy!G202),"missing data")</f>
        <v>0</v>
      </c>
      <c r="J18" s="857" t="s">
        <v>1060</v>
      </c>
      <c r="K18" s="99" t="s">
        <v>34</v>
      </c>
      <c r="L18" s="84">
        <v>1</v>
      </c>
      <c r="M18" s="1134">
        <f t="shared" si="0"/>
        <v>1</v>
      </c>
      <c r="N18" s="80">
        <v>0</v>
      </c>
      <c r="O18" s="1134">
        <f t="shared" si="1"/>
        <v>0</v>
      </c>
      <c r="P18" s="1341">
        <f t="shared" si="2"/>
        <v>0</v>
      </c>
      <c r="Q18" s="669"/>
      <c r="R18" s="683"/>
      <c r="S18" s="683"/>
      <c r="T18" s="683"/>
      <c r="U18" s="683"/>
      <c r="V18" s="683"/>
      <c r="W18" s="683"/>
      <c r="X18" s="683"/>
      <c r="Y18" s="683"/>
      <c r="Z18" s="683"/>
      <c r="AA18" s="683"/>
      <c r="AB18" s="683"/>
      <c r="AC18" s="683"/>
      <c r="AD18" s="683"/>
      <c r="AE18" s="683"/>
      <c r="AF18" s="683"/>
      <c r="AG18" s="683"/>
      <c r="AH18" s="683"/>
      <c r="AI18" s="683"/>
      <c r="AJ18" s="683"/>
      <c r="AK18" s="683"/>
      <c r="AL18" s="683"/>
      <c r="AM18" s="683"/>
      <c r="AN18" s="683"/>
      <c r="AO18" s="683"/>
      <c r="AP18" s="683"/>
      <c r="AQ18" s="683"/>
      <c r="AR18" s="683"/>
      <c r="AS18" s="683"/>
      <c r="AT18" s="685"/>
    </row>
    <row r="19" ht="80.25" customHeight="true" thickBot="true" x14ac:dyDescent="0.3">
      <c r="B19" s="697"/>
      <c r="C19" s="806"/>
      <c r="D19" s="1280">
        <f t="shared" si="3"/>
        <v>14</v>
      </c>
      <c r="E19" s="859" t="s">
        <v>1045</v>
      </c>
      <c r="F19" s="466" t="s">
        <v>2288</v>
      </c>
      <c r="G19" s="860" t="s">
        <v>1055</v>
      </c>
      <c r="H19" s="467"/>
      <c r="I19" s="862">
        <f>IFERROR(Exergy!G172/(Exergy!G174+Exergy!G184+Exergy!G193+Exergy!G205),"missing data")</f>
        <v>0.61518344515600498</v>
      </c>
      <c r="J19" s="861" t="s">
        <v>1059</v>
      </c>
      <c r="K19" s="862" t="s">
        <v>33</v>
      </c>
      <c r="L19" s="863">
        <v>10</v>
      </c>
      <c r="M19" s="1134">
        <f t="shared" si="0"/>
        <v>10</v>
      </c>
      <c r="N19" s="87">
        <v>0</v>
      </c>
      <c r="O19" s="1134">
        <f t="shared" si="1"/>
        <v>0</v>
      </c>
      <c r="P19" s="1220">
        <f t="shared" si="2"/>
        <v>6.15</v>
      </c>
      <c r="Q19" s="669"/>
      <c r="R19" s="683"/>
      <c r="S19" s="683"/>
      <c r="T19" s="683"/>
      <c r="U19" s="683"/>
      <c r="V19" s="683"/>
      <c r="W19" s="683"/>
      <c r="X19" s="683"/>
      <c r="Y19" s="683"/>
      <c r="Z19" s="683"/>
      <c r="AA19" s="683"/>
      <c r="AB19" s="683"/>
      <c r="AC19" s="683"/>
      <c r="AD19" s="683"/>
      <c r="AE19" s="683"/>
      <c r="AF19" s="683"/>
      <c r="AG19" s="683"/>
      <c r="AH19" s="683"/>
      <c r="AI19" s="683"/>
      <c r="AJ19" s="683"/>
      <c r="AK19" s="683"/>
      <c r="AL19" s="683"/>
      <c r="AM19" s="683"/>
      <c r="AN19" s="683"/>
      <c r="AO19" s="683"/>
      <c r="AP19" s="683"/>
      <c r="AQ19" s="683"/>
      <c r="AR19" s="683"/>
      <c r="AS19" s="683"/>
      <c r="AT19" s="685"/>
    </row>
    <row r="20" ht="27" customHeight="true" thickBot="true" x14ac:dyDescent="0.3">
      <c r="B20" s="700"/>
      <c r="C20" s="864"/>
      <c r="D20" s="414"/>
      <c r="E20" s="865"/>
      <c r="F20" s="866"/>
      <c r="G20" s="867"/>
      <c r="H20" s="158"/>
      <c r="I20" s="1164"/>
      <c r="J20" s="868"/>
      <c r="K20" s="1164"/>
      <c r="L20" s="869"/>
      <c r="M20" s="151"/>
      <c r="N20" s="255"/>
      <c r="O20" s="151"/>
      <c r="P20" s="227"/>
      <c r="Q20" s="667"/>
      <c r="R20" s="151"/>
      <c r="S20" s="151"/>
      <c r="T20" s="151"/>
      <c r="U20" s="151"/>
      <c r="V20" s="151"/>
      <c r="W20" s="151"/>
      <c r="X20" s="151"/>
      <c r="Y20" s="151"/>
      <c r="Z20" s="151"/>
      <c r="AA20" s="151"/>
      <c r="AB20" s="151"/>
      <c r="AC20" s="151"/>
      <c r="AD20" s="151"/>
      <c r="AE20" s="151"/>
      <c r="AF20" s="151"/>
      <c r="AG20" s="151"/>
      <c r="AH20" s="151"/>
      <c r="AI20" s="151"/>
      <c r="AJ20" s="151"/>
      <c r="AK20" s="151"/>
      <c r="AL20" s="151"/>
      <c r="AM20" s="151"/>
      <c r="AN20" s="151"/>
      <c r="AO20" s="151"/>
      <c r="AP20" s="151"/>
      <c r="AQ20" s="151"/>
      <c r="AR20" s="151"/>
      <c r="AS20" s="151"/>
      <c r="AT20" s="703"/>
    </row>
    <row r="21" ht="17.25" customHeight="true" x14ac:dyDescent="0.3">
      <c r="D21" s="74"/>
      <c r="E21" s="126"/>
      <c r="I21" s="62"/>
      <c r="J21" s="62"/>
      <c r="K21" s="62"/>
      <c r="L21" s="62"/>
      <c r="P21" s="62"/>
      <c r="Q21" s="62"/>
    </row>
    <row r="22" ht="17.25" customHeight="true" thickBot="true" x14ac:dyDescent="0.35">
      <c r="D22" s="74"/>
      <c r="E22" s="126"/>
      <c r="I22" s="62"/>
      <c r="J22" s="62"/>
      <c r="K22" s="62"/>
      <c r="L22" s="62"/>
      <c r="P22" s="62"/>
      <c r="Q22" s="62"/>
    </row>
    <row r="23" ht="23.25" customHeight="true" thickBot="true" x14ac:dyDescent="0.3">
      <c r="B23" s="1959" t="s">
        <v>2360</v>
      </c>
      <c r="C23" s="1882"/>
      <c r="D23" s="1882"/>
      <c r="E23" s="1882"/>
      <c r="F23" s="1882"/>
      <c r="G23" s="1882"/>
      <c r="H23" s="1882"/>
      <c r="I23" s="1883"/>
      <c r="J23" s="595"/>
      <c r="K23" s="595"/>
      <c r="L23" s="595"/>
      <c r="M23" s="595"/>
      <c r="N23" s="595"/>
      <c r="O23" s="595"/>
      <c r="P23" s="595"/>
      <c r="Q23" s="595"/>
      <c r="R23" s="595"/>
      <c r="S23" s="595"/>
      <c r="T23" s="595"/>
      <c r="U23" s="595"/>
      <c r="V23" s="595"/>
      <c r="W23" s="595"/>
      <c r="X23" s="595"/>
      <c r="Y23" s="595"/>
      <c r="Z23" s="595"/>
      <c r="AA23" s="595"/>
      <c r="AB23" s="595"/>
      <c r="AC23" s="595"/>
      <c r="AD23" s="595"/>
      <c r="AE23" s="595"/>
      <c r="AF23" s="595"/>
      <c r="AG23" s="595"/>
      <c r="AH23" s="595"/>
      <c r="AI23" s="595"/>
      <c r="AJ23" s="595"/>
      <c r="AK23" s="595"/>
      <c r="AL23" s="595"/>
      <c r="AM23" s="595"/>
      <c r="AN23" s="595"/>
      <c r="AO23" s="595"/>
      <c r="AP23" s="595"/>
      <c r="AQ23" s="595"/>
      <c r="AR23" s="595"/>
      <c r="AS23" s="595"/>
      <c r="AT23" s="596"/>
    </row>
    <row r="24" ht="18.75" customHeight="true" thickBot="true" x14ac:dyDescent="0.35">
      <c r="B24" s="597"/>
      <c r="C24" s="570"/>
      <c r="D24" s="297"/>
      <c r="E24" s="1188"/>
      <c r="F24" s="570"/>
      <c r="G24" s="371"/>
      <c r="H24" s="570"/>
      <c r="I24" s="570"/>
      <c r="J24" s="570"/>
      <c r="K24" s="570"/>
      <c r="L24" s="570"/>
      <c r="M24" s="570"/>
      <c r="N24" s="570"/>
      <c r="O24" s="570"/>
      <c r="P24" s="570"/>
      <c r="Q24" s="570"/>
      <c r="R24" s="570"/>
      <c r="S24" s="570"/>
      <c r="T24" s="570"/>
      <c r="U24" s="570"/>
      <c r="V24" s="570"/>
      <c r="W24" s="570"/>
      <c r="X24" s="570"/>
      <c r="Y24" s="570"/>
      <c r="Z24" s="570"/>
      <c r="AA24" s="570"/>
      <c r="AB24" s="570"/>
      <c r="AC24" s="570"/>
      <c r="AD24" s="570"/>
      <c r="AE24" s="570"/>
      <c r="AF24" s="570"/>
      <c r="AG24" s="570"/>
      <c r="AH24" s="570"/>
      <c r="AI24" s="570"/>
      <c r="AJ24" s="570"/>
      <c r="AK24" s="570"/>
      <c r="AL24" s="570"/>
      <c r="AM24" s="570"/>
      <c r="AN24" s="570"/>
      <c r="AO24" s="570"/>
      <c r="AP24" s="570"/>
      <c r="AQ24" s="570"/>
      <c r="AR24" s="570"/>
      <c r="AS24" s="570"/>
      <c r="AT24" s="588"/>
    </row>
    <row r="25" ht="16.5" customHeight="true" x14ac:dyDescent="0.3">
      <c r="B25" s="597"/>
      <c r="C25" s="570"/>
      <c r="D25" s="297"/>
      <c r="E25" s="473" t="s">
        <v>1522</v>
      </c>
      <c r="F25" s="1238">
        <f>'IV. Material Efficiency'!H175</f>
        <v>6778.7792000553327</v>
      </c>
      <c r="G25" s="829"/>
      <c r="H25" s="570"/>
      <c r="I25" s="570"/>
      <c r="J25" s="570"/>
      <c r="K25" s="570"/>
      <c r="L25" s="570"/>
      <c r="M25" s="570"/>
      <c r="N25" s="570"/>
      <c r="O25" s="570"/>
      <c r="P25" s="570"/>
      <c r="Q25" s="570"/>
      <c r="R25" s="570"/>
      <c r="S25" s="570"/>
      <c r="T25" s="570"/>
      <c r="U25" s="570"/>
      <c r="V25" s="570"/>
      <c r="W25" s="570"/>
      <c r="X25" s="570"/>
      <c r="Y25" s="570"/>
      <c r="Z25" s="570"/>
      <c r="AA25" s="570"/>
      <c r="AB25" s="570"/>
      <c r="AC25" s="570"/>
      <c r="AD25" s="570"/>
      <c r="AE25" s="570"/>
      <c r="AF25" s="570"/>
      <c r="AG25" s="570"/>
      <c r="AH25" s="570"/>
      <c r="AI25" s="570"/>
      <c r="AJ25" s="570"/>
      <c r="AK25" s="570"/>
      <c r="AL25" s="570"/>
      <c r="AM25" s="570"/>
      <c r="AN25" s="570"/>
      <c r="AO25" s="570"/>
      <c r="AP25" s="570"/>
      <c r="AQ25" s="570"/>
      <c r="AR25" s="570"/>
      <c r="AS25" s="570"/>
      <c r="AT25" s="588"/>
    </row>
    <row r="26" ht="16.5" customHeight="true" x14ac:dyDescent="0.3">
      <c r="B26" s="597"/>
      <c r="C26" s="570"/>
      <c r="D26" s="297"/>
      <c r="E26" s="474" t="s">
        <v>1525</v>
      </c>
      <c r="F26" s="1235">
        <f>'IV. Material Efficiency'!H176</f>
        <v>4512.0151204088124</v>
      </c>
      <c r="G26" s="829"/>
      <c r="H26" s="570"/>
      <c r="I26" s="570"/>
      <c r="J26" s="570"/>
      <c r="K26" s="570"/>
      <c r="L26" s="570"/>
      <c r="M26" s="570"/>
      <c r="N26" s="570"/>
      <c r="O26" s="570"/>
      <c r="P26" s="570"/>
      <c r="Q26" s="570"/>
      <c r="R26" s="570"/>
      <c r="S26" s="570"/>
      <c r="T26" s="570"/>
      <c r="U26" s="570"/>
      <c r="V26" s="570"/>
      <c r="W26" s="570"/>
      <c r="X26" s="570"/>
      <c r="Y26" s="570"/>
      <c r="Z26" s="570"/>
      <c r="AA26" s="570"/>
      <c r="AB26" s="570"/>
      <c r="AC26" s="570"/>
      <c r="AD26" s="570"/>
      <c r="AE26" s="570"/>
      <c r="AF26" s="570"/>
      <c r="AG26" s="570"/>
      <c r="AH26" s="570"/>
      <c r="AI26" s="570"/>
      <c r="AJ26" s="570"/>
      <c r="AK26" s="570"/>
      <c r="AL26" s="570"/>
      <c r="AM26" s="570"/>
      <c r="AN26" s="570"/>
      <c r="AO26" s="570"/>
      <c r="AP26" s="570"/>
      <c r="AQ26" s="570"/>
      <c r="AR26" s="570"/>
      <c r="AS26" s="570"/>
      <c r="AT26" s="588"/>
    </row>
    <row r="27" ht="16.5" customHeight="true" x14ac:dyDescent="0.3">
      <c r="B27" s="597"/>
      <c r="C27" s="570"/>
      <c r="D27" s="297"/>
      <c r="E27" s="474" t="s">
        <v>1523</v>
      </c>
      <c r="F27" s="1283">
        <f>'IV. Material Efficiency'!H168</f>
        <v>39552324.545503646</v>
      </c>
      <c r="G27" s="829"/>
      <c r="H27" s="570"/>
      <c r="I27" s="570"/>
      <c r="J27" s="570"/>
      <c r="K27" s="570"/>
      <c r="L27" s="570"/>
      <c r="M27" s="570"/>
      <c r="N27" s="570"/>
      <c r="O27" s="570"/>
      <c r="P27" s="570"/>
      <c r="Q27" s="570"/>
      <c r="R27" s="570"/>
      <c r="S27" s="570"/>
      <c r="T27" s="570"/>
      <c r="U27" s="570"/>
      <c r="V27" s="570"/>
      <c r="W27" s="570"/>
      <c r="X27" s="570"/>
      <c r="Y27" s="570"/>
      <c r="Z27" s="570"/>
      <c r="AA27" s="570"/>
      <c r="AB27" s="570"/>
      <c r="AC27" s="570"/>
      <c r="AD27" s="570"/>
      <c r="AE27" s="570"/>
      <c r="AF27" s="570"/>
      <c r="AG27" s="570"/>
      <c r="AH27" s="570"/>
      <c r="AI27" s="570"/>
      <c r="AJ27" s="570"/>
      <c r="AK27" s="570"/>
      <c r="AL27" s="570"/>
      <c r="AM27" s="570"/>
      <c r="AN27" s="570"/>
      <c r="AO27" s="570"/>
      <c r="AP27" s="570"/>
      <c r="AQ27" s="570"/>
      <c r="AR27" s="570"/>
      <c r="AS27" s="570"/>
      <c r="AT27" s="588"/>
    </row>
    <row r="28" ht="16.5" customHeight="true" thickBot="true" x14ac:dyDescent="0.35">
      <c r="B28" s="597"/>
      <c r="C28" s="570"/>
      <c r="D28" s="297"/>
      <c r="E28" s="475" t="s">
        <v>1524</v>
      </c>
      <c r="F28" s="1284">
        <f>'IV. Material Efficiency'!H169</f>
        <v>4512.0151204088124</v>
      </c>
      <c r="G28" s="829"/>
      <c r="H28" s="570"/>
      <c r="I28" s="570"/>
      <c r="J28" s="570"/>
      <c r="K28" s="570"/>
      <c r="L28" s="570"/>
      <c r="M28" s="570"/>
      <c r="N28" s="570"/>
      <c r="O28" s="570"/>
      <c r="P28" s="570"/>
      <c r="Q28" s="570"/>
      <c r="R28" s="570"/>
      <c r="S28" s="570"/>
      <c r="T28" s="570"/>
      <c r="U28" s="570"/>
      <c r="V28" s="570"/>
      <c r="W28" s="570"/>
      <c r="X28" s="570"/>
      <c r="Y28" s="570"/>
      <c r="Z28" s="570"/>
      <c r="AA28" s="570"/>
      <c r="AB28" s="570"/>
      <c r="AC28" s="570"/>
      <c r="AD28" s="570"/>
      <c r="AE28" s="570"/>
      <c r="AF28" s="570"/>
      <c r="AG28" s="570"/>
      <c r="AH28" s="570"/>
      <c r="AI28" s="570"/>
      <c r="AJ28" s="570"/>
      <c r="AK28" s="570"/>
      <c r="AL28" s="570"/>
      <c r="AM28" s="570"/>
      <c r="AN28" s="570"/>
      <c r="AO28" s="570"/>
      <c r="AP28" s="570"/>
      <c r="AQ28" s="570"/>
      <c r="AR28" s="570"/>
      <c r="AS28" s="570"/>
      <c r="AT28" s="588"/>
    </row>
    <row r="29" ht="13.5" customHeight="true" x14ac:dyDescent="0.3">
      <c r="B29" s="597"/>
      <c r="C29" s="570"/>
      <c r="D29" s="297"/>
      <c r="E29" s="1188"/>
      <c r="F29" s="570"/>
      <c r="G29" s="371"/>
      <c r="H29" s="570"/>
      <c r="I29" s="570"/>
      <c r="J29" s="570"/>
      <c r="K29" s="570"/>
      <c r="L29" s="570"/>
      <c r="M29" s="570"/>
      <c r="N29" s="570"/>
      <c r="O29" s="570"/>
      <c r="P29" s="570"/>
      <c r="Q29" s="570"/>
      <c r="R29" s="570"/>
      <c r="S29" s="570"/>
      <c r="T29" s="570"/>
      <c r="U29" s="570"/>
      <c r="V29" s="570"/>
      <c r="W29" s="570"/>
      <c r="X29" s="570"/>
      <c r="Y29" s="570"/>
      <c r="Z29" s="570"/>
      <c r="AA29" s="570"/>
      <c r="AB29" s="570"/>
      <c r="AC29" s="570"/>
      <c r="AD29" s="570"/>
      <c r="AE29" s="570"/>
      <c r="AF29" s="570"/>
      <c r="AG29" s="570"/>
      <c r="AH29" s="570"/>
      <c r="AI29" s="570"/>
      <c r="AJ29" s="570"/>
      <c r="AK29" s="570"/>
      <c r="AL29" s="570"/>
      <c r="AM29" s="570"/>
      <c r="AN29" s="570"/>
      <c r="AO29" s="570"/>
      <c r="AP29" s="570"/>
      <c r="AQ29" s="570"/>
      <c r="AR29" s="570"/>
      <c r="AS29" s="570"/>
      <c r="AT29" s="588"/>
    </row>
    <row r="30" ht="13.5" customHeight="true" x14ac:dyDescent="0.3">
      <c r="B30" s="597"/>
      <c r="C30" s="570"/>
      <c r="D30" s="297"/>
      <c r="E30" s="1188"/>
      <c r="F30" s="570"/>
      <c r="G30" s="371"/>
      <c r="H30" s="570"/>
      <c r="I30" s="570"/>
      <c r="J30" s="570"/>
      <c r="K30" s="570"/>
      <c r="L30" s="570"/>
      <c r="M30" s="570"/>
      <c r="N30" s="570"/>
      <c r="O30" s="570"/>
      <c r="P30" s="570"/>
      <c r="Q30" s="570"/>
      <c r="R30" s="570"/>
      <c r="S30" s="570"/>
      <c r="T30" s="570"/>
      <c r="U30" s="570"/>
      <c r="V30" s="570"/>
      <c r="W30" s="570"/>
      <c r="X30" s="570"/>
      <c r="Y30" s="570"/>
      <c r="Z30" s="570"/>
      <c r="AA30" s="570"/>
      <c r="AB30" s="570"/>
      <c r="AC30" s="570"/>
      <c r="AD30" s="570"/>
      <c r="AE30" s="570"/>
      <c r="AF30" s="570"/>
      <c r="AG30" s="570"/>
      <c r="AH30" s="570"/>
      <c r="AI30" s="570"/>
      <c r="AJ30" s="570"/>
      <c r="AK30" s="570"/>
      <c r="AL30" s="570"/>
      <c r="AM30" s="570"/>
      <c r="AN30" s="570"/>
      <c r="AO30" s="570"/>
      <c r="AP30" s="570"/>
      <c r="AQ30" s="570"/>
      <c r="AR30" s="570"/>
      <c r="AS30" s="570"/>
      <c r="AT30" s="588"/>
    </row>
    <row r="31" ht="13.5" customHeight="true" x14ac:dyDescent="0.3">
      <c r="B31" s="597"/>
      <c r="C31" s="570"/>
      <c r="D31" s="297"/>
      <c r="E31" s="1188"/>
      <c r="F31" s="570"/>
      <c r="G31" s="371"/>
      <c r="H31" s="570"/>
      <c r="I31" s="570"/>
      <c r="J31" s="570"/>
      <c r="K31" s="570"/>
      <c r="L31" s="570"/>
      <c r="M31" s="570"/>
      <c r="N31" s="570"/>
      <c r="O31" s="570"/>
      <c r="P31" s="570"/>
      <c r="Q31" s="570"/>
      <c r="R31" s="570"/>
      <c r="S31" s="570"/>
      <c r="T31" s="570"/>
      <c r="U31" s="570"/>
      <c r="V31" s="570"/>
      <c r="W31" s="570"/>
      <c r="X31" s="570"/>
      <c r="Y31" s="570"/>
      <c r="Z31" s="570"/>
      <c r="AA31" s="570"/>
      <c r="AB31" s="570"/>
      <c r="AC31" s="570"/>
      <c r="AD31" s="570"/>
      <c r="AE31" s="570"/>
      <c r="AF31" s="570"/>
      <c r="AG31" s="570"/>
      <c r="AH31" s="570"/>
      <c r="AI31" s="570"/>
      <c r="AJ31" s="570"/>
      <c r="AK31" s="570"/>
      <c r="AL31" s="570"/>
      <c r="AM31" s="570"/>
      <c r="AN31" s="570"/>
      <c r="AO31" s="570"/>
      <c r="AP31" s="570"/>
      <c r="AQ31" s="570"/>
      <c r="AR31" s="570"/>
      <c r="AS31" s="570"/>
      <c r="AT31" s="588"/>
    </row>
    <row r="32" ht="13.5" customHeight="true" x14ac:dyDescent="0.3">
      <c r="B32" s="597"/>
      <c r="C32" s="570"/>
      <c r="D32" s="297"/>
      <c r="E32" s="1188"/>
      <c r="F32" s="570"/>
      <c r="G32" s="371"/>
      <c r="H32" s="570"/>
      <c r="I32" s="570"/>
      <c r="J32" s="570"/>
      <c r="K32" s="570"/>
      <c r="L32" s="570"/>
      <c r="M32" s="570"/>
      <c r="N32" s="570"/>
      <c r="O32" s="570"/>
      <c r="P32" s="570"/>
      <c r="Q32" s="570"/>
      <c r="R32" s="570"/>
      <c r="S32" s="570"/>
      <c r="T32" s="570"/>
      <c r="U32" s="570"/>
      <c r="V32" s="570"/>
      <c r="W32" s="570"/>
      <c r="X32" s="570"/>
      <c r="Y32" s="570"/>
      <c r="Z32" s="570"/>
      <c r="AA32" s="570"/>
      <c r="AB32" s="570"/>
      <c r="AC32" s="570"/>
      <c r="AD32" s="570"/>
      <c r="AE32" s="570"/>
      <c r="AF32" s="570"/>
      <c r="AG32" s="570"/>
      <c r="AH32" s="570"/>
      <c r="AI32" s="570"/>
      <c r="AJ32" s="570"/>
      <c r="AK32" s="570"/>
      <c r="AL32" s="570"/>
      <c r="AM32" s="570"/>
      <c r="AN32" s="570"/>
      <c r="AO32" s="570"/>
      <c r="AP32" s="570"/>
      <c r="AQ32" s="570"/>
      <c r="AR32" s="570"/>
      <c r="AS32" s="570"/>
      <c r="AT32" s="588"/>
    </row>
    <row r="33" ht="27.75" customHeight="true" thickBot="true" x14ac:dyDescent="0.45">
      <c r="B33" s="597"/>
      <c r="C33" s="570"/>
      <c r="D33" s="297"/>
      <c r="E33" s="569" t="s">
        <v>1471</v>
      </c>
      <c r="F33" s="570"/>
      <c r="G33" s="371"/>
      <c r="H33" s="570"/>
      <c r="I33" s="570"/>
      <c r="J33" s="570"/>
      <c r="K33" s="570"/>
      <c r="L33" s="570"/>
      <c r="M33" s="570"/>
      <c r="N33" s="570"/>
      <c r="O33" s="570"/>
      <c r="P33" s="570"/>
      <c r="Q33" s="570"/>
      <c r="R33" s="570"/>
      <c r="S33" s="570"/>
      <c r="T33" s="570"/>
      <c r="U33" s="570"/>
      <c r="V33" s="570"/>
      <c r="W33" s="570"/>
      <c r="X33" s="570"/>
      <c r="Y33" s="570"/>
      <c r="Z33" s="570"/>
      <c r="AA33" s="570"/>
      <c r="AB33" s="570"/>
      <c r="AC33" s="570"/>
      <c r="AD33" s="570"/>
      <c r="AE33" s="570"/>
      <c r="AF33" s="570"/>
      <c r="AG33" s="570"/>
      <c r="AH33" s="570"/>
      <c r="AI33" s="570"/>
      <c r="AJ33" s="570"/>
      <c r="AK33" s="570"/>
      <c r="AL33" s="570"/>
      <c r="AM33" s="570"/>
      <c r="AN33" s="570"/>
      <c r="AO33" s="570"/>
      <c r="AP33" s="570"/>
      <c r="AQ33" s="570"/>
      <c r="AR33" s="570"/>
      <c r="AS33" s="570"/>
      <c r="AT33" s="588"/>
    </row>
    <row r="34" ht="24.75" customHeight="true" thickBot="true" x14ac:dyDescent="0.35">
      <c r="B34" s="597"/>
      <c r="C34" s="570"/>
      <c r="D34" s="297"/>
      <c r="E34" s="570"/>
      <c r="F34" s="449">
        <v>1</v>
      </c>
      <c r="G34" s="261">
        <f>F34+1</f>
        <v>2</v>
      </c>
      <c r="H34" s="261">
        <f t="shared" ref="H34:AS34" si="4">G34+1</f>
        <v>3</v>
      </c>
      <c r="I34" s="261">
        <f t="shared" si="4"/>
        <v>4</v>
      </c>
      <c r="J34" s="261">
        <f t="shared" si="4"/>
        <v>5</v>
      </c>
      <c r="K34" s="261">
        <f t="shared" si="4"/>
        <v>6</v>
      </c>
      <c r="L34" s="261">
        <f t="shared" si="4"/>
        <v>7</v>
      </c>
      <c r="M34" s="261">
        <f t="shared" si="4"/>
        <v>8</v>
      </c>
      <c r="N34" s="261">
        <f t="shared" si="4"/>
        <v>9</v>
      </c>
      <c r="O34" s="261">
        <f t="shared" si="4"/>
        <v>10</v>
      </c>
      <c r="P34" s="261">
        <f t="shared" si="4"/>
        <v>11</v>
      </c>
      <c r="Q34" s="261">
        <f t="shared" si="4"/>
        <v>12</v>
      </c>
      <c r="R34" s="261">
        <f t="shared" si="4"/>
        <v>13</v>
      </c>
      <c r="S34" s="261">
        <f t="shared" si="4"/>
        <v>14</v>
      </c>
      <c r="T34" s="261">
        <f t="shared" si="4"/>
        <v>15</v>
      </c>
      <c r="U34" s="261">
        <f t="shared" si="4"/>
        <v>16</v>
      </c>
      <c r="V34" s="261">
        <f t="shared" si="4"/>
        <v>17</v>
      </c>
      <c r="W34" s="261">
        <f t="shared" si="4"/>
        <v>18</v>
      </c>
      <c r="X34" s="261">
        <f t="shared" si="4"/>
        <v>19</v>
      </c>
      <c r="Y34" s="261">
        <f t="shared" si="4"/>
        <v>20</v>
      </c>
      <c r="Z34" s="261">
        <f t="shared" si="4"/>
        <v>21</v>
      </c>
      <c r="AA34" s="261">
        <f t="shared" si="4"/>
        <v>22</v>
      </c>
      <c r="AB34" s="261">
        <f t="shared" si="4"/>
        <v>23</v>
      </c>
      <c r="AC34" s="261">
        <f t="shared" si="4"/>
        <v>24</v>
      </c>
      <c r="AD34" s="261">
        <f t="shared" si="4"/>
        <v>25</v>
      </c>
      <c r="AE34" s="261">
        <f t="shared" si="4"/>
        <v>26</v>
      </c>
      <c r="AF34" s="261">
        <f t="shared" si="4"/>
        <v>27</v>
      </c>
      <c r="AG34" s="261">
        <f t="shared" si="4"/>
        <v>28</v>
      </c>
      <c r="AH34" s="261">
        <f t="shared" si="4"/>
        <v>29</v>
      </c>
      <c r="AI34" s="261">
        <f t="shared" si="4"/>
        <v>30</v>
      </c>
      <c r="AJ34" s="261">
        <f t="shared" si="4"/>
        <v>31</v>
      </c>
      <c r="AK34" s="261">
        <f>AJ34+1</f>
        <v>32</v>
      </c>
      <c r="AL34" s="261">
        <f t="shared" si="4"/>
        <v>33</v>
      </c>
      <c r="AM34" s="261">
        <f t="shared" si="4"/>
        <v>34</v>
      </c>
      <c r="AN34" s="261">
        <f t="shared" si="4"/>
        <v>35</v>
      </c>
      <c r="AO34" s="261">
        <f t="shared" si="4"/>
        <v>36</v>
      </c>
      <c r="AP34" s="261">
        <f t="shared" si="4"/>
        <v>37</v>
      </c>
      <c r="AQ34" s="261">
        <f t="shared" si="4"/>
        <v>38</v>
      </c>
      <c r="AR34" s="261">
        <f>AQ34+1</f>
        <v>39</v>
      </c>
      <c r="AS34" s="1221">
        <f t="shared" si="4"/>
        <v>40</v>
      </c>
      <c r="AT34" s="588"/>
    </row>
    <row r="35" ht="24.75" customHeight="true" x14ac:dyDescent="0.3">
      <c r="B35" s="597"/>
      <c r="C35" s="570"/>
      <c r="D35" s="297"/>
      <c r="E35" s="870" t="s">
        <v>76</v>
      </c>
      <c r="F35" s="495" t="str">
        <f t="array" ref="F35:AS35">TRANSPOSE(IN_stream_number)</f>
        <v>S2</v>
      </c>
      <c r="G35" s="202" t="str">
        <v/>
      </c>
      <c r="H35" s="202" t="str">
        <v/>
      </c>
      <c r="I35" s="202" t="str">
        <v/>
      </c>
      <c r="J35" s="202" t="str">
        <v/>
      </c>
      <c r="K35" s="202" t="str">
        <v/>
      </c>
      <c r="L35" s="202" t="str">
        <v/>
      </c>
      <c r="M35" s="202" t="str">
        <v/>
      </c>
      <c r="N35" s="202" t="str">
        <v/>
      </c>
      <c r="O35" s="202" t="str">
        <v/>
      </c>
      <c r="P35" s="202" t="str">
        <v/>
      </c>
      <c r="Q35" s="202" t="str">
        <v/>
      </c>
      <c r="R35" s="202" t="str">
        <v/>
      </c>
      <c r="S35" s="202" t="str">
        <v/>
      </c>
      <c r="T35" s="202" t="str">
        <v/>
      </c>
      <c r="U35" s="202" t="str">
        <v/>
      </c>
      <c r="V35" s="202" t="str">
        <v/>
      </c>
      <c r="W35" s="202" t="str">
        <v/>
      </c>
      <c r="X35" s="202" t="str">
        <v/>
      </c>
      <c r="Y35" s="202" t="str">
        <v/>
      </c>
      <c r="Z35" s="202" t="str">
        <v/>
      </c>
      <c r="AA35" s="202" t="str">
        <v/>
      </c>
      <c r="AB35" s="202" t="str">
        <v/>
      </c>
      <c r="AC35" s="202" t="str">
        <v/>
      </c>
      <c r="AD35" s="202" t="str">
        <v/>
      </c>
      <c r="AE35" s="202" t="str">
        <v/>
      </c>
      <c r="AF35" s="202" t="str">
        <v/>
      </c>
      <c r="AG35" s="202" t="str">
        <v/>
      </c>
      <c r="AH35" s="202" t="str">
        <v/>
      </c>
      <c r="AI35" s="202" t="str">
        <v/>
      </c>
      <c r="AJ35" s="202" t="str">
        <v/>
      </c>
      <c r="AK35" s="202" t="str">
        <v/>
      </c>
      <c r="AL35" s="202" t="str">
        <v/>
      </c>
      <c r="AM35" s="202" t="str">
        <v/>
      </c>
      <c r="AN35" s="202" t="str">
        <v/>
      </c>
      <c r="AO35" s="202" t="str">
        <v/>
      </c>
      <c r="AP35" s="202" t="str">
        <v/>
      </c>
      <c r="AQ35" s="202" t="str">
        <v/>
      </c>
      <c r="AR35" s="202" t="str">
        <v/>
      </c>
      <c r="AS35" s="262" t="str">
        <v/>
      </c>
      <c r="AT35" s="588"/>
    </row>
    <row r="36" ht="24.75" customHeight="true" x14ac:dyDescent="0.3">
      <c r="B36" s="597"/>
      <c r="C36" s="570"/>
      <c r="D36" s="297"/>
      <c r="E36" s="871" t="s">
        <v>28</v>
      </c>
      <c r="F36" s="495" t="str">
        <f t="array" ref="F36:AS36">TRANSPOSE(IN_renewab)</f>
        <v>no</v>
      </c>
      <c r="G36" s="202" t="str">
        <v/>
      </c>
      <c r="H36" s="202" t="str">
        <v/>
      </c>
      <c r="I36" s="202" t="str">
        <v/>
      </c>
      <c r="J36" s="202" t="str">
        <v/>
      </c>
      <c r="K36" s="202" t="str">
        <v/>
      </c>
      <c r="L36" s="202" t="str">
        <v/>
      </c>
      <c r="M36" s="202" t="str">
        <v/>
      </c>
      <c r="N36" s="202" t="str">
        <v/>
      </c>
      <c r="O36" s="202" t="str">
        <v/>
      </c>
      <c r="P36" s="202" t="str">
        <v/>
      </c>
      <c r="Q36" s="202" t="str">
        <v/>
      </c>
      <c r="R36" s="202" t="str">
        <v/>
      </c>
      <c r="S36" s="202" t="str">
        <v/>
      </c>
      <c r="T36" s="202" t="str">
        <v/>
      </c>
      <c r="U36" s="202" t="str">
        <v/>
      </c>
      <c r="V36" s="202" t="str">
        <v/>
      </c>
      <c r="W36" s="202" t="str">
        <v/>
      </c>
      <c r="X36" s="202" t="str">
        <v/>
      </c>
      <c r="Y36" s="202" t="str">
        <v/>
      </c>
      <c r="Z36" s="202" t="str">
        <v/>
      </c>
      <c r="AA36" s="202" t="str">
        <v/>
      </c>
      <c r="AB36" s="202" t="str">
        <v/>
      </c>
      <c r="AC36" s="202" t="str">
        <v/>
      </c>
      <c r="AD36" s="202" t="str">
        <v/>
      </c>
      <c r="AE36" s="202" t="str">
        <v/>
      </c>
      <c r="AF36" s="202" t="str">
        <v/>
      </c>
      <c r="AG36" s="202" t="str">
        <v/>
      </c>
      <c r="AH36" s="202" t="str">
        <v/>
      </c>
      <c r="AI36" s="202" t="str">
        <v/>
      </c>
      <c r="AJ36" s="202" t="str">
        <v/>
      </c>
      <c r="AK36" s="202" t="str">
        <v/>
      </c>
      <c r="AL36" s="202" t="str">
        <v/>
      </c>
      <c r="AM36" s="202" t="str">
        <v/>
      </c>
      <c r="AN36" s="202" t="str">
        <v/>
      </c>
      <c r="AO36" s="202" t="str">
        <v/>
      </c>
      <c r="AP36" s="202" t="str">
        <v/>
      </c>
      <c r="AQ36" s="202" t="str">
        <v/>
      </c>
      <c r="AR36" s="202" t="str">
        <v/>
      </c>
      <c r="AS36" s="262" t="str">
        <v/>
      </c>
      <c r="AT36" s="588"/>
    </row>
    <row r="37" ht="24.75" customHeight="true" x14ac:dyDescent="0.3">
      <c r="B37" s="597"/>
      <c r="C37" s="570"/>
      <c r="D37" s="297"/>
      <c r="E37" s="872" t="s">
        <v>1474</v>
      </c>
      <c r="F37" s="495">
        <f t="array" ref="F37:AS37">TRANSPOSE(IN_Enthalpy_MJ_h)</f>
        <v>-8184519.7560000001</v>
      </c>
      <c r="G37" s="202" t="str">
        <v/>
      </c>
      <c r="H37" s="202" t="str">
        <v/>
      </c>
      <c r="I37" s="202" t="str">
        <v/>
      </c>
      <c r="J37" s="202" t="str">
        <v/>
      </c>
      <c r="K37" s="202" t="str">
        <v/>
      </c>
      <c r="L37" s="202" t="str">
        <v/>
      </c>
      <c r="M37" s="202" t="str">
        <v/>
      </c>
      <c r="N37" s="202" t="str">
        <v/>
      </c>
      <c r="O37" s="202" t="str">
        <v/>
      </c>
      <c r="P37" s="202" t="str">
        <v/>
      </c>
      <c r="Q37" s="202" t="str">
        <v/>
      </c>
      <c r="R37" s="202" t="str">
        <v/>
      </c>
      <c r="S37" s="202" t="str">
        <v/>
      </c>
      <c r="T37" s="202" t="str">
        <v/>
      </c>
      <c r="U37" s="202" t="str">
        <v/>
      </c>
      <c r="V37" s="202" t="str">
        <v/>
      </c>
      <c r="W37" s="202" t="str">
        <v/>
      </c>
      <c r="X37" s="202" t="str">
        <v/>
      </c>
      <c r="Y37" s="202" t="str">
        <v/>
      </c>
      <c r="Z37" s="202" t="str">
        <v/>
      </c>
      <c r="AA37" s="202" t="str">
        <v/>
      </c>
      <c r="AB37" s="202" t="str">
        <v/>
      </c>
      <c r="AC37" s="202" t="str">
        <v/>
      </c>
      <c r="AD37" s="202" t="str">
        <v/>
      </c>
      <c r="AE37" s="202" t="str">
        <v/>
      </c>
      <c r="AF37" s="202" t="str">
        <v/>
      </c>
      <c r="AG37" s="202" t="str">
        <v/>
      </c>
      <c r="AH37" s="202" t="str">
        <v/>
      </c>
      <c r="AI37" s="202" t="str">
        <v/>
      </c>
      <c r="AJ37" s="202" t="str">
        <v/>
      </c>
      <c r="AK37" s="202" t="str">
        <v/>
      </c>
      <c r="AL37" s="202" t="str">
        <v/>
      </c>
      <c r="AM37" s="202" t="str">
        <v/>
      </c>
      <c r="AN37" s="202" t="str">
        <v/>
      </c>
      <c r="AO37" s="202" t="str">
        <v/>
      </c>
      <c r="AP37" s="202" t="str">
        <v/>
      </c>
      <c r="AQ37" s="202" t="str">
        <v/>
      </c>
      <c r="AR37" s="202" t="str">
        <v/>
      </c>
      <c r="AS37" s="262" t="str">
        <v/>
      </c>
      <c r="AT37" s="588"/>
    </row>
    <row r="38" ht="24.75" customHeight="true" thickBot="true" x14ac:dyDescent="0.35">
      <c r="B38" s="597"/>
      <c r="C38" s="570"/>
      <c r="D38" s="297"/>
      <c r="E38" s="873" t="s">
        <v>1475</v>
      </c>
      <c r="F38" s="496">
        <f t="array" ref="F38:AS38">TRANSPOSE(IN_Entropy_MJ_h_K)</f>
        <v>-17.838678213498213</v>
      </c>
      <c r="G38" s="263" t="str">
        <v/>
      </c>
      <c r="H38" s="263" t="str">
        <v/>
      </c>
      <c r="I38" s="263" t="str">
        <v/>
      </c>
      <c r="J38" s="263" t="str">
        <v/>
      </c>
      <c r="K38" s="263" t="str">
        <v/>
      </c>
      <c r="L38" s="263" t="str">
        <v/>
      </c>
      <c r="M38" s="263" t="str">
        <v/>
      </c>
      <c r="N38" s="263" t="str">
        <v/>
      </c>
      <c r="O38" s="263" t="str">
        <v/>
      </c>
      <c r="P38" s="263" t="str">
        <v/>
      </c>
      <c r="Q38" s="263" t="str">
        <v/>
      </c>
      <c r="R38" s="263" t="str">
        <v/>
      </c>
      <c r="S38" s="263" t="str">
        <v/>
      </c>
      <c r="T38" s="263" t="str">
        <v/>
      </c>
      <c r="U38" s="263" t="str">
        <v/>
      </c>
      <c r="V38" s="263" t="str">
        <v/>
      </c>
      <c r="W38" s="263" t="str">
        <v/>
      </c>
      <c r="X38" s="263" t="str">
        <v/>
      </c>
      <c r="Y38" s="263" t="str">
        <v/>
      </c>
      <c r="Z38" s="263" t="str">
        <v/>
      </c>
      <c r="AA38" s="263" t="str">
        <v/>
      </c>
      <c r="AB38" s="263" t="str">
        <v/>
      </c>
      <c r="AC38" s="263" t="str">
        <v/>
      </c>
      <c r="AD38" s="263" t="str">
        <v/>
      </c>
      <c r="AE38" s="263" t="str">
        <v/>
      </c>
      <c r="AF38" s="263" t="str">
        <v/>
      </c>
      <c r="AG38" s="263" t="str">
        <v/>
      </c>
      <c r="AH38" s="263" t="str">
        <v/>
      </c>
      <c r="AI38" s="263" t="str">
        <v/>
      </c>
      <c r="AJ38" s="263" t="str">
        <v/>
      </c>
      <c r="AK38" s="263" t="str">
        <v/>
      </c>
      <c r="AL38" s="263" t="str">
        <v/>
      </c>
      <c r="AM38" s="263" t="str">
        <v/>
      </c>
      <c r="AN38" s="263" t="str">
        <v/>
      </c>
      <c r="AO38" s="263" t="str">
        <v/>
      </c>
      <c r="AP38" s="263" t="str">
        <v/>
      </c>
      <c r="AQ38" s="263" t="str">
        <v/>
      </c>
      <c r="AR38" s="263" t="str">
        <v/>
      </c>
      <c r="AS38" s="1227" t="str">
        <v/>
      </c>
      <c r="AT38" s="588"/>
    </row>
    <row r="39" ht="13.5" customHeight="true" x14ac:dyDescent="0.3">
      <c r="B39" s="597"/>
      <c r="C39" s="570"/>
      <c r="D39" s="297"/>
      <c r="E39" s="193"/>
      <c r="F39" s="193"/>
      <c r="G39" s="371"/>
      <c r="H39" s="570"/>
      <c r="I39" s="570"/>
      <c r="J39" s="570"/>
      <c r="K39" s="570"/>
      <c r="L39" s="570"/>
      <c r="M39" s="570"/>
      <c r="N39" s="570"/>
      <c r="O39" s="570"/>
      <c r="P39" s="570"/>
      <c r="Q39" s="570"/>
      <c r="R39" s="570"/>
      <c r="S39" s="570"/>
      <c r="T39" s="570"/>
      <c r="U39" s="570"/>
      <c r="V39" s="570"/>
      <c r="W39" s="570"/>
      <c r="X39" s="570"/>
      <c r="Y39" s="570"/>
      <c r="Z39" s="570"/>
      <c r="AA39" s="570"/>
      <c r="AB39" s="570"/>
      <c r="AC39" s="570"/>
      <c r="AD39" s="570"/>
      <c r="AE39" s="570"/>
      <c r="AF39" s="570"/>
      <c r="AG39" s="570"/>
      <c r="AH39" s="570"/>
      <c r="AI39" s="570"/>
      <c r="AJ39" s="570"/>
      <c r="AK39" s="570"/>
      <c r="AL39" s="570"/>
      <c r="AM39" s="570"/>
      <c r="AN39" s="570"/>
      <c r="AO39" s="570"/>
      <c r="AP39" s="570"/>
      <c r="AQ39" s="570"/>
      <c r="AR39" s="570"/>
      <c r="AS39" s="570"/>
      <c r="AT39" s="588"/>
    </row>
    <row r="40" ht="13.5" customHeight="true" x14ac:dyDescent="0.3">
      <c r="B40" s="597"/>
      <c r="C40" s="570"/>
      <c r="D40" s="297"/>
      <c r="E40" s="193"/>
      <c r="F40" s="193"/>
      <c r="G40" s="371"/>
      <c r="H40" s="570"/>
      <c r="I40" s="570"/>
      <c r="J40" s="570"/>
      <c r="K40" s="570"/>
      <c r="L40" s="570"/>
      <c r="M40" s="570"/>
      <c r="N40" s="570"/>
      <c r="O40" s="570"/>
      <c r="P40" s="570"/>
      <c r="Q40" s="570"/>
      <c r="R40" s="570"/>
      <c r="S40" s="570"/>
      <c r="T40" s="570"/>
      <c r="U40" s="570"/>
      <c r="V40" s="570"/>
      <c r="W40" s="570"/>
      <c r="X40" s="570"/>
      <c r="Y40" s="570"/>
      <c r="Z40" s="570"/>
      <c r="AA40" s="570"/>
      <c r="AB40" s="570"/>
      <c r="AC40" s="570"/>
      <c r="AD40" s="570"/>
      <c r="AE40" s="570"/>
      <c r="AF40" s="570"/>
      <c r="AG40" s="570"/>
      <c r="AH40" s="570"/>
      <c r="AI40" s="570"/>
      <c r="AJ40" s="570"/>
      <c r="AK40" s="570"/>
      <c r="AL40" s="570"/>
      <c r="AM40" s="570"/>
      <c r="AN40" s="570"/>
      <c r="AO40" s="570"/>
      <c r="AP40" s="570"/>
      <c r="AQ40" s="570"/>
      <c r="AR40" s="570"/>
      <c r="AS40" s="570"/>
      <c r="AT40" s="588"/>
    </row>
    <row r="41" ht="13.5" customHeight="true" x14ac:dyDescent="0.3">
      <c r="B41" s="597"/>
      <c r="C41" s="570"/>
      <c r="D41" s="297"/>
      <c r="E41" s="193"/>
      <c r="F41" s="193"/>
      <c r="G41" s="371"/>
      <c r="H41" s="570"/>
      <c r="I41" s="570"/>
      <c r="J41" s="570"/>
      <c r="K41" s="570"/>
      <c r="L41" s="570"/>
      <c r="M41" s="570"/>
      <c r="N41" s="570"/>
      <c r="O41" s="570"/>
      <c r="P41" s="570"/>
      <c r="Q41" s="570"/>
      <c r="R41" s="570"/>
      <c r="S41" s="570"/>
      <c r="T41" s="570"/>
      <c r="U41" s="570"/>
      <c r="V41" s="570"/>
      <c r="W41" s="570"/>
      <c r="X41" s="570"/>
      <c r="Y41" s="570"/>
      <c r="Z41" s="570"/>
      <c r="AA41" s="570"/>
      <c r="AB41" s="570"/>
      <c r="AC41" s="570"/>
      <c r="AD41" s="570"/>
      <c r="AE41" s="570"/>
      <c r="AF41" s="570"/>
      <c r="AG41" s="570"/>
      <c r="AH41" s="570"/>
      <c r="AI41" s="570"/>
      <c r="AJ41" s="570"/>
      <c r="AK41" s="570"/>
      <c r="AL41" s="570"/>
      <c r="AM41" s="570"/>
      <c r="AN41" s="570"/>
      <c r="AO41" s="570"/>
      <c r="AP41" s="570"/>
      <c r="AQ41" s="570"/>
      <c r="AR41" s="570"/>
      <c r="AS41" s="570"/>
      <c r="AT41" s="588"/>
    </row>
    <row r="42" ht="13.5" customHeight="true" x14ac:dyDescent="0.3">
      <c r="B42" s="597"/>
      <c r="C42" s="570"/>
      <c r="D42" s="297"/>
      <c r="E42" s="193"/>
      <c r="F42" s="193"/>
      <c r="G42" s="371"/>
      <c r="H42" s="570"/>
      <c r="I42" s="570"/>
      <c r="J42" s="570"/>
      <c r="K42" s="570"/>
      <c r="L42" s="570"/>
      <c r="M42" s="570"/>
      <c r="N42" s="570"/>
      <c r="O42" s="570"/>
      <c r="P42" s="570"/>
      <c r="Q42" s="570"/>
      <c r="R42" s="570"/>
      <c r="S42" s="570"/>
      <c r="T42" s="570"/>
      <c r="U42" s="570"/>
      <c r="V42" s="570"/>
      <c r="W42" s="570"/>
      <c r="X42" s="570"/>
      <c r="Y42" s="570"/>
      <c r="Z42" s="570"/>
      <c r="AA42" s="570"/>
      <c r="AB42" s="570"/>
      <c r="AC42" s="570"/>
      <c r="AD42" s="570"/>
      <c r="AE42" s="570"/>
      <c r="AF42" s="570"/>
      <c r="AG42" s="570"/>
      <c r="AH42" s="570"/>
      <c r="AI42" s="570"/>
      <c r="AJ42" s="570"/>
      <c r="AK42" s="570"/>
      <c r="AL42" s="570"/>
      <c r="AM42" s="570"/>
      <c r="AN42" s="570"/>
      <c r="AO42" s="570"/>
      <c r="AP42" s="570"/>
      <c r="AQ42" s="570"/>
      <c r="AR42" s="570"/>
      <c r="AS42" s="570"/>
      <c r="AT42" s="588"/>
    </row>
    <row r="43" ht="22.5" customHeight="true" thickBot="true" x14ac:dyDescent="0.45">
      <c r="B43" s="597"/>
      <c r="C43" s="570"/>
      <c r="D43" s="297"/>
      <c r="E43" s="569" t="s">
        <v>1480</v>
      </c>
      <c r="F43" s="193"/>
      <c r="G43" s="371"/>
      <c r="H43" s="570"/>
      <c r="I43" s="570"/>
      <c r="J43" s="570"/>
      <c r="K43" s="570"/>
      <c r="L43" s="570"/>
      <c r="M43" s="570"/>
      <c r="N43" s="570"/>
      <c r="O43" s="570"/>
      <c r="P43" s="570"/>
      <c r="Q43" s="570"/>
      <c r="R43" s="570"/>
      <c r="S43" s="570"/>
      <c r="T43" s="570"/>
      <c r="U43" s="570"/>
      <c r="V43" s="570"/>
      <c r="W43" s="570"/>
      <c r="X43" s="570"/>
      <c r="Y43" s="570"/>
      <c r="Z43" s="570"/>
      <c r="AA43" s="570"/>
      <c r="AB43" s="570"/>
      <c r="AC43" s="570"/>
      <c r="AD43" s="570"/>
      <c r="AE43" s="570"/>
      <c r="AF43" s="570"/>
      <c r="AG43" s="570"/>
      <c r="AH43" s="570"/>
      <c r="AI43" s="570"/>
      <c r="AJ43" s="570"/>
      <c r="AK43" s="570"/>
      <c r="AL43" s="570"/>
      <c r="AM43" s="570"/>
      <c r="AN43" s="570"/>
      <c r="AO43" s="570"/>
      <c r="AP43" s="570"/>
      <c r="AQ43" s="570"/>
      <c r="AR43" s="570"/>
      <c r="AS43" s="570"/>
      <c r="AT43" s="588"/>
    </row>
    <row r="44" ht="22.5" customHeight="true" thickBot="true" x14ac:dyDescent="0.45">
      <c r="B44" s="597"/>
      <c r="C44" s="570"/>
      <c r="D44" s="297"/>
      <c r="E44" s="569"/>
      <c r="F44" s="449">
        <v>1</v>
      </c>
      <c r="G44" s="261">
        <f>F44+1</f>
        <v>2</v>
      </c>
      <c r="H44" s="261">
        <f t="shared" ref="H44:AS44" si="5">G44+1</f>
        <v>3</v>
      </c>
      <c r="I44" s="261">
        <f t="shared" si="5"/>
        <v>4</v>
      </c>
      <c r="J44" s="261">
        <f t="shared" si="5"/>
        <v>5</v>
      </c>
      <c r="K44" s="261">
        <f t="shared" si="5"/>
        <v>6</v>
      </c>
      <c r="L44" s="261">
        <f t="shared" si="5"/>
        <v>7</v>
      </c>
      <c r="M44" s="261">
        <f t="shared" si="5"/>
        <v>8</v>
      </c>
      <c r="N44" s="261">
        <f t="shared" si="5"/>
        <v>9</v>
      </c>
      <c r="O44" s="261">
        <f t="shared" si="5"/>
        <v>10</v>
      </c>
      <c r="P44" s="261">
        <f t="shared" si="5"/>
        <v>11</v>
      </c>
      <c r="Q44" s="261">
        <f t="shared" si="5"/>
        <v>12</v>
      </c>
      <c r="R44" s="261">
        <f t="shared" si="5"/>
        <v>13</v>
      </c>
      <c r="S44" s="261">
        <f t="shared" si="5"/>
        <v>14</v>
      </c>
      <c r="T44" s="261">
        <f t="shared" si="5"/>
        <v>15</v>
      </c>
      <c r="U44" s="261">
        <f t="shared" si="5"/>
        <v>16</v>
      </c>
      <c r="V44" s="261">
        <f t="shared" si="5"/>
        <v>17</v>
      </c>
      <c r="W44" s="261">
        <f t="shared" si="5"/>
        <v>18</v>
      </c>
      <c r="X44" s="261">
        <f t="shared" si="5"/>
        <v>19</v>
      </c>
      <c r="Y44" s="261">
        <f t="shared" si="5"/>
        <v>20</v>
      </c>
      <c r="Z44" s="261">
        <f t="shared" si="5"/>
        <v>21</v>
      </c>
      <c r="AA44" s="261">
        <f t="shared" si="5"/>
        <v>22</v>
      </c>
      <c r="AB44" s="261">
        <f t="shared" si="5"/>
        <v>23</v>
      </c>
      <c r="AC44" s="261">
        <f t="shared" si="5"/>
        <v>24</v>
      </c>
      <c r="AD44" s="261">
        <f t="shared" si="5"/>
        <v>25</v>
      </c>
      <c r="AE44" s="261">
        <f t="shared" si="5"/>
        <v>26</v>
      </c>
      <c r="AF44" s="261">
        <f t="shared" si="5"/>
        <v>27</v>
      </c>
      <c r="AG44" s="261">
        <f t="shared" si="5"/>
        <v>28</v>
      </c>
      <c r="AH44" s="261">
        <f t="shared" si="5"/>
        <v>29</v>
      </c>
      <c r="AI44" s="261">
        <f t="shared" si="5"/>
        <v>30</v>
      </c>
      <c r="AJ44" s="261">
        <f t="shared" si="5"/>
        <v>31</v>
      </c>
      <c r="AK44" s="261">
        <f t="shared" si="5"/>
        <v>32</v>
      </c>
      <c r="AL44" s="261">
        <f t="shared" si="5"/>
        <v>33</v>
      </c>
      <c r="AM44" s="261">
        <f t="shared" si="5"/>
        <v>34</v>
      </c>
      <c r="AN44" s="261">
        <f t="shared" si="5"/>
        <v>35</v>
      </c>
      <c r="AO44" s="261">
        <f t="shared" si="5"/>
        <v>36</v>
      </c>
      <c r="AP44" s="261">
        <f t="shared" si="5"/>
        <v>37</v>
      </c>
      <c r="AQ44" s="261">
        <f t="shared" si="5"/>
        <v>38</v>
      </c>
      <c r="AR44" s="261">
        <f t="shared" si="5"/>
        <v>39</v>
      </c>
      <c r="AS44" s="1221">
        <f t="shared" si="5"/>
        <v>40</v>
      </c>
      <c r="AT44" s="588"/>
    </row>
    <row r="45" ht="21.75" customHeight="true" x14ac:dyDescent="0.3">
      <c r="B45" s="597"/>
      <c r="C45" s="570"/>
      <c r="D45" s="297"/>
      <c r="E45" s="870" t="s">
        <v>76</v>
      </c>
      <c r="F45" s="495" t="str">
        <f t="array" ref="F45:AS45">TRANSPOSE(OUT_stream_Num)</f>
        <v>S1-2</v>
      </c>
      <c r="G45" s="202" t="str">
        <v>CO2</v>
      </c>
      <c r="H45" s="202" t="str">
        <v/>
      </c>
      <c r="I45" s="202" t="str">
        <v/>
      </c>
      <c r="J45" s="202" t="str">
        <v/>
      </c>
      <c r="K45" s="202">
        <v>303</v>
      </c>
      <c r="L45" s="202" t="str">
        <v/>
      </c>
      <c r="M45" s="202" t="str">
        <v/>
      </c>
      <c r="N45" s="202" t="str">
        <v/>
      </c>
      <c r="O45" s="202" t="str">
        <v/>
      </c>
      <c r="P45" s="202" t="str">
        <v/>
      </c>
      <c r="Q45" s="202" t="str">
        <v/>
      </c>
      <c r="R45" s="202" t="str">
        <v/>
      </c>
      <c r="S45" s="202" t="str">
        <v/>
      </c>
      <c r="T45" s="202" t="str">
        <v/>
      </c>
      <c r="U45" s="202" t="str">
        <v/>
      </c>
      <c r="V45" s="202" t="str">
        <v/>
      </c>
      <c r="W45" s="202" t="str">
        <v/>
      </c>
      <c r="X45" s="202" t="str">
        <v/>
      </c>
      <c r="Y45" s="202" t="str">
        <v/>
      </c>
      <c r="Z45" s="202" t="str">
        <v/>
      </c>
      <c r="AA45" s="202" t="str">
        <v/>
      </c>
      <c r="AB45" s="202" t="str">
        <v/>
      </c>
      <c r="AC45" s="202" t="str">
        <v/>
      </c>
      <c r="AD45" s="202" t="str">
        <v/>
      </c>
      <c r="AE45" s="202" t="str">
        <v/>
      </c>
      <c r="AF45" s="202" t="str">
        <v/>
      </c>
      <c r="AG45" s="202" t="str">
        <v/>
      </c>
      <c r="AH45" s="202" t="str">
        <v/>
      </c>
      <c r="AI45" s="202" t="str">
        <v/>
      </c>
      <c r="AJ45" s="202" t="str">
        <v/>
      </c>
      <c r="AK45" s="202" t="str">
        <v/>
      </c>
      <c r="AL45" s="202" t="str">
        <v/>
      </c>
      <c r="AM45" s="202" t="str">
        <v/>
      </c>
      <c r="AN45" s="202" t="str">
        <v/>
      </c>
      <c r="AO45" s="202" t="str">
        <v/>
      </c>
      <c r="AP45" s="202" t="str">
        <v/>
      </c>
      <c r="AQ45" s="202" t="str">
        <v/>
      </c>
      <c r="AR45" s="202" t="str">
        <v/>
      </c>
      <c r="AS45" s="262" t="str">
        <v/>
      </c>
      <c r="AT45" s="588"/>
    </row>
    <row r="46" ht="21.75" customHeight="true" x14ac:dyDescent="0.3">
      <c r="B46" s="597"/>
      <c r="C46" s="570"/>
      <c r="D46" s="297"/>
      <c r="E46" s="871" t="s">
        <v>1481</v>
      </c>
      <c r="F46" s="495">
        <f t="array" ref="F46:AS46">TRANSPOSE(OUT_Product_1__waste_0)</f>
        <v>1</v>
      </c>
      <c r="G46" s="202">
        <v>0</v>
      </c>
      <c r="H46" s="202" t="str">
        <v/>
      </c>
      <c r="I46" s="202" t="str">
        <v/>
      </c>
      <c r="J46" s="202" t="str">
        <v/>
      </c>
      <c r="K46" s="202">
        <v>0</v>
      </c>
      <c r="L46" s="202" t="str">
        <v/>
      </c>
      <c r="M46" s="202" t="str">
        <v/>
      </c>
      <c r="N46" s="202" t="str">
        <v/>
      </c>
      <c r="O46" s="202" t="str">
        <v/>
      </c>
      <c r="P46" s="202" t="str">
        <v/>
      </c>
      <c r="Q46" s="202" t="str">
        <v/>
      </c>
      <c r="R46" s="202" t="str">
        <v/>
      </c>
      <c r="S46" s="202" t="str">
        <v/>
      </c>
      <c r="T46" s="202" t="str">
        <v/>
      </c>
      <c r="U46" s="202" t="str">
        <v/>
      </c>
      <c r="V46" s="202" t="str">
        <v/>
      </c>
      <c r="W46" s="202" t="str">
        <v/>
      </c>
      <c r="X46" s="202" t="str">
        <v/>
      </c>
      <c r="Y46" s="202" t="str">
        <v/>
      </c>
      <c r="Z46" s="202" t="str">
        <v/>
      </c>
      <c r="AA46" s="202" t="str">
        <v/>
      </c>
      <c r="AB46" s="202" t="str">
        <v/>
      </c>
      <c r="AC46" s="202" t="str">
        <v/>
      </c>
      <c r="AD46" s="202" t="str">
        <v/>
      </c>
      <c r="AE46" s="202" t="str">
        <v/>
      </c>
      <c r="AF46" s="202" t="str">
        <v/>
      </c>
      <c r="AG46" s="202" t="str">
        <v/>
      </c>
      <c r="AH46" s="202" t="str">
        <v/>
      </c>
      <c r="AI46" s="202" t="str">
        <v/>
      </c>
      <c r="AJ46" s="202" t="str">
        <v/>
      </c>
      <c r="AK46" s="202" t="str">
        <v/>
      </c>
      <c r="AL46" s="202" t="str">
        <v/>
      </c>
      <c r="AM46" s="202" t="str">
        <v/>
      </c>
      <c r="AN46" s="202" t="str">
        <v/>
      </c>
      <c r="AO46" s="202" t="str">
        <v/>
      </c>
      <c r="AP46" s="202" t="str">
        <v/>
      </c>
      <c r="AQ46" s="202" t="str">
        <v/>
      </c>
      <c r="AR46" s="202" t="str">
        <v/>
      </c>
      <c r="AS46" s="262" t="str">
        <v/>
      </c>
      <c r="AT46" s="588"/>
    </row>
    <row r="47" ht="21.75" customHeight="true" x14ac:dyDescent="0.3">
      <c r="B47" s="597"/>
      <c r="C47" s="570"/>
      <c r="D47" s="297"/>
      <c r="E47" s="871" t="s">
        <v>28</v>
      </c>
      <c r="F47" s="495" t="str">
        <f t="array" ref="F47:AS47">TRANSPOSE(OUT_renewability)</f>
        <v>yes</v>
      </c>
      <c r="G47" s="202" t="str">
        <v/>
      </c>
      <c r="H47" s="202" t="str">
        <v/>
      </c>
      <c r="I47" s="202" t="str">
        <v/>
      </c>
      <c r="J47" s="202" t="str">
        <v/>
      </c>
      <c r="K47" s="202" t="str">
        <v/>
      </c>
      <c r="L47" s="202" t="str">
        <v/>
      </c>
      <c r="M47" s="202" t="str">
        <v/>
      </c>
      <c r="N47" s="202" t="str">
        <v/>
      </c>
      <c r="O47" s="202" t="str">
        <v/>
      </c>
      <c r="P47" s="202" t="str">
        <v/>
      </c>
      <c r="Q47" s="202" t="str">
        <v/>
      </c>
      <c r="R47" s="202" t="str">
        <v/>
      </c>
      <c r="S47" s="202" t="str">
        <v/>
      </c>
      <c r="T47" s="202" t="str">
        <v/>
      </c>
      <c r="U47" s="202" t="str">
        <v/>
      </c>
      <c r="V47" s="202" t="str">
        <v/>
      </c>
      <c r="W47" s="202" t="str">
        <v/>
      </c>
      <c r="X47" s="202" t="str">
        <v/>
      </c>
      <c r="Y47" s="202" t="str">
        <v/>
      </c>
      <c r="Z47" s="202" t="str">
        <v/>
      </c>
      <c r="AA47" s="202" t="str">
        <v/>
      </c>
      <c r="AB47" s="202" t="str">
        <v/>
      </c>
      <c r="AC47" s="202" t="str">
        <v/>
      </c>
      <c r="AD47" s="202" t="str">
        <v/>
      </c>
      <c r="AE47" s="202" t="str">
        <v/>
      </c>
      <c r="AF47" s="202" t="str">
        <v/>
      </c>
      <c r="AG47" s="202" t="str">
        <v/>
      </c>
      <c r="AH47" s="202" t="str">
        <v/>
      </c>
      <c r="AI47" s="202" t="str">
        <v/>
      </c>
      <c r="AJ47" s="202" t="str">
        <v/>
      </c>
      <c r="AK47" s="202" t="str">
        <v/>
      </c>
      <c r="AL47" s="202" t="str">
        <v/>
      </c>
      <c r="AM47" s="202" t="str">
        <v/>
      </c>
      <c r="AN47" s="202" t="str">
        <v/>
      </c>
      <c r="AO47" s="202" t="str">
        <v/>
      </c>
      <c r="AP47" s="202" t="str">
        <v/>
      </c>
      <c r="AQ47" s="202" t="str">
        <v/>
      </c>
      <c r="AR47" s="202" t="str">
        <v/>
      </c>
      <c r="AS47" s="262" t="str">
        <v/>
      </c>
      <c r="AT47" s="588"/>
    </row>
    <row r="48" ht="21.75" customHeight="true" x14ac:dyDescent="0.3">
      <c r="B48" s="597"/>
      <c r="C48" s="570"/>
      <c r="D48" s="297"/>
      <c r="E48" s="872" t="s">
        <v>1474</v>
      </c>
      <c r="F48" s="495">
        <f t="array" ref="F48:AS48">TRANSPOSE(OUT_Enthalpy__MJ_h)</f>
        <v>-4916954.2417169847</v>
      </c>
      <c r="G48" s="202">
        <v>-399821.58125213848</v>
      </c>
      <c r="H48" s="202" t="str">
        <v/>
      </c>
      <c r="I48" s="202" t="str">
        <v/>
      </c>
      <c r="J48" s="202" t="str">
        <v/>
      </c>
      <c r="K48" s="202">
        <v>0</v>
      </c>
      <c r="L48" s="202" t="str">
        <v/>
      </c>
      <c r="M48" s="202" t="str">
        <v/>
      </c>
      <c r="N48" s="202" t="str">
        <v/>
      </c>
      <c r="O48" s="202" t="str">
        <v/>
      </c>
      <c r="P48" s="202" t="str">
        <v/>
      </c>
      <c r="Q48" s="202" t="str">
        <v/>
      </c>
      <c r="R48" s="202" t="str">
        <v/>
      </c>
      <c r="S48" s="202" t="str">
        <v/>
      </c>
      <c r="T48" s="202" t="str">
        <v/>
      </c>
      <c r="U48" s="202" t="str">
        <v/>
      </c>
      <c r="V48" s="202" t="str">
        <v/>
      </c>
      <c r="W48" s="202" t="str">
        <v/>
      </c>
      <c r="X48" s="202" t="str">
        <v/>
      </c>
      <c r="Y48" s="202" t="str">
        <v/>
      </c>
      <c r="Z48" s="202" t="str">
        <v/>
      </c>
      <c r="AA48" s="202" t="str">
        <v/>
      </c>
      <c r="AB48" s="202" t="str">
        <v/>
      </c>
      <c r="AC48" s="202" t="str">
        <v/>
      </c>
      <c r="AD48" s="202" t="str">
        <v/>
      </c>
      <c r="AE48" s="202" t="str">
        <v/>
      </c>
      <c r="AF48" s="202" t="str">
        <v/>
      </c>
      <c r="AG48" s="202" t="str">
        <v/>
      </c>
      <c r="AH48" s="202" t="str">
        <v/>
      </c>
      <c r="AI48" s="202" t="str">
        <v/>
      </c>
      <c r="AJ48" s="202" t="str">
        <v/>
      </c>
      <c r="AK48" s="202" t="str">
        <v/>
      </c>
      <c r="AL48" s="202" t="str">
        <v/>
      </c>
      <c r="AM48" s="202" t="str">
        <v/>
      </c>
      <c r="AN48" s="202" t="str">
        <v/>
      </c>
      <c r="AO48" s="202" t="str">
        <v/>
      </c>
      <c r="AP48" s="202" t="str">
        <v/>
      </c>
      <c r="AQ48" s="202" t="str">
        <v/>
      </c>
      <c r="AR48" s="202" t="str">
        <v/>
      </c>
      <c r="AS48" s="262" t="str">
        <v/>
      </c>
      <c r="AT48" s="588"/>
    </row>
    <row r="49" ht="21.75" customHeight="true" thickBot="true" x14ac:dyDescent="0.35">
      <c r="B49" s="597"/>
      <c r="C49" s="570"/>
      <c r="D49" s="297"/>
      <c r="E49" s="873" t="s">
        <v>1475</v>
      </c>
      <c r="F49" s="496">
        <f t="array" ref="F49:AS49">TRANSPOSE(OUT_Entropy__MJ_K_h)</f>
        <v>-9.7321236926486687</v>
      </c>
      <c r="G49" s="263">
        <v>0.19630744634537137</v>
      </c>
      <c r="H49" s="263" t="str">
        <v/>
      </c>
      <c r="I49" s="263" t="str">
        <v/>
      </c>
      <c r="J49" s="263" t="str">
        <v/>
      </c>
      <c r="K49" s="263">
        <v>0</v>
      </c>
      <c r="L49" s="263" t="str">
        <v/>
      </c>
      <c r="M49" s="263" t="str">
        <v/>
      </c>
      <c r="N49" s="263" t="str">
        <v/>
      </c>
      <c r="O49" s="263" t="str">
        <v/>
      </c>
      <c r="P49" s="263" t="str">
        <v/>
      </c>
      <c r="Q49" s="263" t="str">
        <v/>
      </c>
      <c r="R49" s="263" t="str">
        <v/>
      </c>
      <c r="S49" s="263" t="str">
        <v/>
      </c>
      <c r="T49" s="263" t="str">
        <v/>
      </c>
      <c r="U49" s="263" t="str">
        <v/>
      </c>
      <c r="V49" s="263" t="str">
        <v/>
      </c>
      <c r="W49" s="263" t="str">
        <v/>
      </c>
      <c r="X49" s="263" t="str">
        <v/>
      </c>
      <c r="Y49" s="263" t="str">
        <v/>
      </c>
      <c r="Z49" s="263" t="str">
        <v/>
      </c>
      <c r="AA49" s="263" t="str">
        <v/>
      </c>
      <c r="AB49" s="263" t="str">
        <v/>
      </c>
      <c r="AC49" s="263" t="str">
        <v/>
      </c>
      <c r="AD49" s="263" t="str">
        <v/>
      </c>
      <c r="AE49" s="263" t="str">
        <v/>
      </c>
      <c r="AF49" s="263" t="str">
        <v/>
      </c>
      <c r="AG49" s="263" t="str">
        <v/>
      </c>
      <c r="AH49" s="263" t="str">
        <v/>
      </c>
      <c r="AI49" s="263" t="str">
        <v/>
      </c>
      <c r="AJ49" s="263" t="str">
        <v/>
      </c>
      <c r="AK49" s="263" t="str">
        <v/>
      </c>
      <c r="AL49" s="263" t="str">
        <v/>
      </c>
      <c r="AM49" s="263" t="str">
        <v/>
      </c>
      <c r="AN49" s="263" t="str">
        <v/>
      </c>
      <c r="AO49" s="263" t="str">
        <v/>
      </c>
      <c r="AP49" s="263" t="str">
        <v/>
      </c>
      <c r="AQ49" s="263" t="str">
        <v/>
      </c>
      <c r="AR49" s="263" t="str">
        <v/>
      </c>
      <c r="AS49" s="1227" t="str">
        <v/>
      </c>
      <c r="AT49" s="588"/>
    </row>
    <row r="50" ht="13.5" customHeight="true" thickBot="true" x14ac:dyDescent="0.35">
      <c r="B50" s="597"/>
      <c r="C50" s="570"/>
      <c r="D50" s="297"/>
      <c r="E50" s="193"/>
      <c r="F50" s="193"/>
      <c r="G50" s="371"/>
      <c r="H50" s="570"/>
      <c r="I50" s="570"/>
      <c r="J50" s="570"/>
      <c r="K50" s="570"/>
      <c r="L50" s="570"/>
      <c r="M50" s="570"/>
      <c r="N50" s="570"/>
      <c r="O50" s="570"/>
      <c r="P50" s="570"/>
      <c r="Q50" s="570"/>
      <c r="R50" s="570"/>
      <c r="S50" s="570"/>
      <c r="T50" s="570"/>
      <c r="U50" s="570"/>
      <c r="V50" s="570"/>
      <c r="W50" s="570"/>
      <c r="X50" s="570"/>
      <c r="Y50" s="570"/>
      <c r="Z50" s="570"/>
      <c r="AA50" s="570"/>
      <c r="AB50" s="570"/>
      <c r="AC50" s="570"/>
      <c r="AD50" s="570"/>
      <c r="AE50" s="570"/>
      <c r="AF50" s="570"/>
      <c r="AG50" s="570"/>
      <c r="AH50" s="570"/>
      <c r="AI50" s="570"/>
      <c r="AJ50" s="570"/>
      <c r="AK50" s="570"/>
      <c r="AL50" s="570"/>
      <c r="AM50" s="570"/>
      <c r="AN50" s="570"/>
      <c r="AO50" s="570"/>
      <c r="AP50" s="570"/>
      <c r="AQ50" s="570"/>
      <c r="AR50" s="570"/>
      <c r="AS50" s="570"/>
      <c r="AT50" s="588"/>
    </row>
    <row r="51" ht="13.5" customHeight="true" thickBot="true" x14ac:dyDescent="0.35">
      <c r="B51" s="597"/>
      <c r="C51" s="570"/>
      <c r="D51" s="297"/>
      <c r="E51" s="874" t="s">
        <v>1598</v>
      </c>
      <c r="F51" s="1342">
        <f>SUMIF(F46:AS46,"=1",F48:AS48)</f>
        <v>-4916954.2417169847</v>
      </c>
      <c r="G51" s="371"/>
      <c r="H51" s="570"/>
      <c r="I51" s="570"/>
      <c r="J51" s="570"/>
      <c r="K51" s="570"/>
      <c r="L51" s="570"/>
      <c r="M51" s="570"/>
      <c r="N51" s="570"/>
      <c r="O51" s="570"/>
      <c r="P51" s="570"/>
      <c r="Q51" s="570"/>
      <c r="R51" s="570"/>
      <c r="S51" s="570"/>
      <c r="T51" s="570"/>
      <c r="U51" s="570"/>
      <c r="V51" s="570"/>
      <c r="W51" s="570"/>
      <c r="X51" s="570"/>
      <c r="Y51" s="570"/>
      <c r="Z51" s="570"/>
      <c r="AA51" s="570"/>
      <c r="AB51" s="570"/>
      <c r="AC51" s="570"/>
      <c r="AD51" s="570"/>
      <c r="AE51" s="570"/>
      <c r="AF51" s="570"/>
      <c r="AG51" s="570"/>
      <c r="AH51" s="570"/>
      <c r="AI51" s="570"/>
      <c r="AJ51" s="570"/>
      <c r="AK51" s="570"/>
      <c r="AL51" s="570"/>
      <c r="AM51" s="570"/>
      <c r="AN51" s="570"/>
      <c r="AO51" s="570"/>
      <c r="AP51" s="570"/>
      <c r="AQ51" s="570"/>
      <c r="AR51" s="570"/>
      <c r="AS51" s="570"/>
      <c r="AT51" s="588"/>
    </row>
    <row r="52" ht="13.5" customHeight="true" x14ac:dyDescent="0.3">
      <c r="B52" s="597"/>
      <c r="C52" s="570"/>
      <c r="D52" s="297"/>
      <c r="E52" s="570"/>
      <c r="F52" s="570"/>
      <c r="G52" s="570"/>
      <c r="H52" s="570"/>
      <c r="I52" s="570"/>
      <c r="J52" s="570"/>
      <c r="K52" s="570"/>
      <c r="L52" s="570"/>
      <c r="M52" s="570"/>
      <c r="N52" s="570"/>
      <c r="O52" s="570"/>
      <c r="P52" s="570"/>
      <c r="Q52" s="570"/>
      <c r="R52" s="570"/>
      <c r="S52" s="570"/>
      <c r="T52" s="570"/>
      <c r="U52" s="570"/>
      <c r="V52" s="570"/>
      <c r="W52" s="570"/>
      <c r="X52" s="570"/>
      <c r="Y52" s="570"/>
      <c r="Z52" s="570"/>
      <c r="AA52" s="570"/>
      <c r="AB52" s="570"/>
      <c r="AC52" s="570"/>
      <c r="AD52" s="570"/>
      <c r="AE52" s="570"/>
      <c r="AF52" s="570"/>
      <c r="AG52" s="570"/>
      <c r="AH52" s="570"/>
      <c r="AI52" s="570"/>
      <c r="AJ52" s="570"/>
      <c r="AK52" s="570"/>
      <c r="AL52" s="570"/>
      <c r="AM52" s="570"/>
      <c r="AN52" s="570"/>
      <c r="AO52" s="570"/>
      <c r="AP52" s="570"/>
      <c r="AQ52" s="570"/>
      <c r="AR52" s="570"/>
      <c r="AS52" s="570"/>
      <c r="AT52" s="588"/>
    </row>
    <row r="53" ht="13.5" customHeight="true" x14ac:dyDescent="0.3">
      <c r="B53" s="597"/>
      <c r="C53" s="570"/>
      <c r="D53" s="297"/>
      <c r="E53" s="570"/>
      <c r="F53" s="570"/>
      <c r="G53" s="570"/>
      <c r="H53" s="570"/>
      <c r="I53" s="570"/>
      <c r="J53" s="570"/>
      <c r="K53" s="570"/>
      <c r="L53" s="570"/>
      <c r="M53" s="570"/>
      <c r="N53" s="570"/>
      <c r="O53" s="570"/>
      <c r="P53" s="570"/>
      <c r="Q53" s="570"/>
      <c r="R53" s="570"/>
      <c r="S53" s="570"/>
      <c r="T53" s="570"/>
      <c r="U53" s="570"/>
      <c r="V53" s="570"/>
      <c r="W53" s="570"/>
      <c r="X53" s="570"/>
      <c r="Y53" s="570"/>
      <c r="Z53" s="570"/>
      <c r="AA53" s="570"/>
      <c r="AB53" s="570"/>
      <c r="AC53" s="570"/>
      <c r="AD53" s="570"/>
      <c r="AE53" s="570"/>
      <c r="AF53" s="570"/>
      <c r="AG53" s="570"/>
      <c r="AH53" s="570"/>
      <c r="AI53" s="570"/>
      <c r="AJ53" s="570"/>
      <c r="AK53" s="570"/>
      <c r="AL53" s="570"/>
      <c r="AM53" s="570"/>
      <c r="AN53" s="570"/>
      <c r="AO53" s="570"/>
      <c r="AP53" s="570"/>
      <c r="AQ53" s="570"/>
      <c r="AR53" s="570"/>
      <c r="AS53" s="570"/>
      <c r="AT53" s="588"/>
    </row>
    <row r="54" ht="13.5" customHeight="true" x14ac:dyDescent="0.3">
      <c r="B54" s="597"/>
      <c r="C54" s="570"/>
      <c r="D54" s="297"/>
      <c r="E54" s="570"/>
      <c r="F54" s="570"/>
      <c r="G54" s="570"/>
      <c r="H54" s="570"/>
      <c r="I54" s="570"/>
      <c r="J54" s="570"/>
      <c r="K54" s="570"/>
      <c r="L54" s="570"/>
      <c r="M54" s="570"/>
      <c r="N54" s="570"/>
      <c r="O54" s="570"/>
      <c r="P54" s="570"/>
      <c r="Q54" s="570"/>
      <c r="R54" s="570"/>
      <c r="S54" s="570"/>
      <c r="T54" s="570"/>
      <c r="U54" s="570"/>
      <c r="V54" s="570"/>
      <c r="W54" s="570"/>
      <c r="X54" s="570"/>
      <c r="Y54" s="570"/>
      <c r="Z54" s="570"/>
      <c r="AA54" s="570"/>
      <c r="AB54" s="570"/>
      <c r="AC54" s="570"/>
      <c r="AD54" s="570"/>
      <c r="AE54" s="570"/>
      <c r="AF54" s="570"/>
      <c r="AG54" s="570"/>
      <c r="AH54" s="570"/>
      <c r="AI54" s="570"/>
      <c r="AJ54" s="570"/>
      <c r="AK54" s="570"/>
      <c r="AL54" s="570"/>
      <c r="AM54" s="570"/>
      <c r="AN54" s="570"/>
      <c r="AO54" s="570"/>
      <c r="AP54" s="570"/>
      <c r="AQ54" s="570"/>
      <c r="AR54" s="570"/>
      <c r="AS54" s="570"/>
      <c r="AT54" s="588"/>
    </row>
    <row r="55" ht="13.5" customHeight="true" x14ac:dyDescent="0.3">
      <c r="B55" s="597"/>
      <c r="C55" s="570"/>
      <c r="D55" s="297"/>
      <c r="E55" s="570"/>
      <c r="F55" s="570"/>
      <c r="G55" s="570"/>
      <c r="H55" s="570"/>
      <c r="I55" s="570"/>
      <c r="J55" s="570"/>
      <c r="K55" s="570"/>
      <c r="L55" s="570"/>
      <c r="M55" s="570"/>
      <c r="N55" s="570"/>
      <c r="O55" s="570"/>
      <c r="P55" s="570"/>
      <c r="Q55" s="570"/>
      <c r="R55" s="570"/>
      <c r="S55" s="570"/>
      <c r="T55" s="570"/>
      <c r="U55" s="570"/>
      <c r="V55" s="570"/>
      <c r="W55" s="570"/>
      <c r="X55" s="570"/>
      <c r="Y55" s="570"/>
      <c r="Z55" s="570"/>
      <c r="AA55" s="570"/>
      <c r="AB55" s="570"/>
      <c r="AC55" s="570"/>
      <c r="AD55" s="570"/>
      <c r="AE55" s="570"/>
      <c r="AF55" s="570"/>
      <c r="AG55" s="570"/>
      <c r="AH55" s="570"/>
      <c r="AI55" s="570"/>
      <c r="AJ55" s="570"/>
      <c r="AK55" s="570"/>
      <c r="AL55" s="570"/>
      <c r="AM55" s="570"/>
      <c r="AN55" s="570"/>
      <c r="AO55" s="570"/>
      <c r="AP55" s="570"/>
      <c r="AQ55" s="570"/>
      <c r="AR55" s="570"/>
      <c r="AS55" s="570"/>
      <c r="AT55" s="588"/>
    </row>
    <row r="56" ht="13.5" customHeight="true" x14ac:dyDescent="0.3">
      <c r="B56" s="597"/>
      <c r="C56" s="570"/>
      <c r="D56" s="297"/>
      <c r="E56" s="1188"/>
      <c r="F56" s="570"/>
      <c r="G56" s="371"/>
      <c r="H56" s="570"/>
      <c r="I56" s="570"/>
      <c r="J56" s="570"/>
      <c r="K56" s="570"/>
      <c r="L56" s="570"/>
      <c r="M56" s="570"/>
      <c r="N56" s="570"/>
      <c r="O56" s="570"/>
      <c r="P56" s="570"/>
      <c r="Q56" s="570"/>
      <c r="R56" s="570"/>
      <c r="S56" s="570"/>
      <c r="T56" s="570"/>
      <c r="U56" s="570"/>
      <c r="V56" s="570"/>
      <c r="W56" s="570"/>
      <c r="X56" s="570"/>
      <c r="Y56" s="570"/>
      <c r="Z56" s="570"/>
      <c r="AA56" s="570"/>
      <c r="AB56" s="570"/>
      <c r="AC56" s="570"/>
      <c r="AD56" s="570"/>
      <c r="AE56" s="570"/>
      <c r="AF56" s="570"/>
      <c r="AG56" s="570"/>
      <c r="AH56" s="570"/>
      <c r="AI56" s="570"/>
      <c r="AJ56" s="570"/>
      <c r="AK56" s="570"/>
      <c r="AL56" s="570"/>
      <c r="AM56" s="570"/>
      <c r="AN56" s="570"/>
      <c r="AO56" s="570"/>
      <c r="AP56" s="570"/>
      <c r="AQ56" s="570"/>
      <c r="AR56" s="570"/>
      <c r="AS56" s="570"/>
      <c r="AT56" s="588"/>
    </row>
    <row r="57" ht="35.25" customHeight="true" thickBot="true" x14ac:dyDescent="0.45">
      <c r="B57" s="597"/>
      <c r="C57" s="570"/>
      <c r="D57" s="297"/>
      <c r="E57" s="875" t="s">
        <v>95</v>
      </c>
      <c r="F57" s="172"/>
      <c r="G57" s="172"/>
      <c r="H57" s="172"/>
      <c r="I57" s="190"/>
      <c r="J57" s="570"/>
      <c r="K57" s="570"/>
      <c r="L57" s="570"/>
      <c r="M57" s="570"/>
      <c r="N57" s="570"/>
      <c r="O57" s="570"/>
      <c r="P57" s="570"/>
      <c r="Q57" s="570"/>
      <c r="R57" s="570"/>
      <c r="S57" s="570"/>
      <c r="T57" s="570"/>
      <c r="U57" s="570"/>
      <c r="V57" s="570"/>
      <c r="W57" s="570"/>
      <c r="X57" s="570"/>
      <c r="Y57" s="570"/>
      <c r="Z57" s="570"/>
      <c r="AA57" s="570"/>
      <c r="AB57" s="570"/>
      <c r="AC57" s="570"/>
      <c r="AD57" s="570"/>
      <c r="AE57" s="570"/>
      <c r="AF57" s="570"/>
      <c r="AG57" s="570"/>
      <c r="AH57" s="570"/>
      <c r="AI57" s="570"/>
      <c r="AJ57" s="570"/>
      <c r="AK57" s="570"/>
      <c r="AL57" s="570"/>
      <c r="AM57" s="570"/>
      <c r="AN57" s="570"/>
      <c r="AO57" s="570"/>
      <c r="AP57" s="570"/>
      <c r="AQ57" s="570"/>
      <c r="AR57" s="570"/>
      <c r="AS57" s="570"/>
      <c r="AT57" s="588"/>
    </row>
    <row r="58" ht="35.25" customHeight="true" x14ac:dyDescent="0.3">
      <c r="B58" s="597"/>
      <c r="C58" s="570"/>
      <c r="D58" s="297"/>
      <c r="E58" s="180"/>
      <c r="F58" s="876" t="s">
        <v>1088</v>
      </c>
      <c r="G58" s="876" t="s">
        <v>1089</v>
      </c>
      <c r="H58" s="876" t="s">
        <v>1101</v>
      </c>
      <c r="I58" s="212" t="s">
        <v>1102</v>
      </c>
      <c r="J58" s="570"/>
      <c r="K58" s="570"/>
      <c r="L58" s="570"/>
      <c r="M58" s="570"/>
      <c r="N58" s="570"/>
      <c r="O58" s="570"/>
      <c r="P58" s="570"/>
      <c r="Q58" s="570"/>
      <c r="R58" s="570"/>
      <c r="S58" s="570"/>
      <c r="T58" s="570"/>
      <c r="U58" s="570"/>
      <c r="V58" s="570"/>
      <c r="W58" s="570"/>
      <c r="X58" s="570"/>
      <c r="Y58" s="570"/>
      <c r="Z58" s="570"/>
      <c r="AA58" s="570"/>
      <c r="AB58" s="570"/>
      <c r="AC58" s="570"/>
      <c r="AD58" s="570"/>
      <c r="AE58" s="570"/>
      <c r="AF58" s="570"/>
      <c r="AG58" s="570"/>
      <c r="AH58" s="570"/>
      <c r="AI58" s="570"/>
      <c r="AJ58" s="570"/>
      <c r="AK58" s="570"/>
      <c r="AL58" s="570"/>
      <c r="AM58" s="570"/>
      <c r="AN58" s="570"/>
      <c r="AO58" s="570"/>
      <c r="AP58" s="570"/>
      <c r="AQ58" s="570"/>
      <c r="AR58" s="570"/>
      <c r="AS58" s="570"/>
      <c r="AT58" s="588"/>
    </row>
    <row r="59" ht="35.25" customHeight="true" x14ac:dyDescent="0.3">
      <c r="B59" s="597"/>
      <c r="C59" s="570"/>
      <c r="D59" s="297"/>
      <c r="E59" s="185" t="s">
        <v>93</v>
      </c>
      <c r="F59" s="1242">
        <f>SUM(F37:AS37)</f>
        <v>-8184519.7560000001</v>
      </c>
      <c r="G59" s="1242"/>
      <c r="H59" s="186">
        <f>SUMIF(F36:AS36,"=yes",F37:AS37)</f>
        <v>0</v>
      </c>
      <c r="I59" s="187">
        <f>F59-H59</f>
        <v>-8184519.7560000001</v>
      </c>
      <c r="J59" s="570"/>
      <c r="K59" s="570"/>
      <c r="L59" s="570"/>
      <c r="M59" s="570"/>
      <c r="N59" s="570"/>
      <c r="O59" s="570"/>
      <c r="P59" s="570"/>
      <c r="Q59" s="570"/>
      <c r="R59" s="570"/>
      <c r="S59" s="570"/>
      <c r="T59" s="570"/>
      <c r="U59" s="570"/>
      <c r="V59" s="570"/>
      <c r="W59" s="570"/>
      <c r="X59" s="570"/>
      <c r="Y59" s="570"/>
      <c r="Z59" s="570"/>
      <c r="AA59" s="570"/>
      <c r="AB59" s="570"/>
      <c r="AC59" s="570"/>
      <c r="AD59" s="570"/>
      <c r="AE59" s="570"/>
      <c r="AF59" s="570"/>
      <c r="AG59" s="570"/>
      <c r="AH59" s="570"/>
      <c r="AI59" s="570"/>
      <c r="AJ59" s="570"/>
      <c r="AK59" s="570"/>
      <c r="AL59" s="570"/>
      <c r="AM59" s="570"/>
      <c r="AN59" s="570"/>
      <c r="AO59" s="570"/>
      <c r="AP59" s="570"/>
      <c r="AQ59" s="570"/>
      <c r="AR59" s="570"/>
      <c r="AS59" s="570"/>
      <c r="AT59" s="588"/>
    </row>
    <row r="60" ht="35.25" customHeight="true" x14ac:dyDescent="0.3">
      <c r="B60" s="597"/>
      <c r="C60" s="570"/>
      <c r="D60" s="297"/>
      <c r="E60" s="185" t="s">
        <v>1093</v>
      </c>
      <c r="F60" s="1242"/>
      <c r="G60" s="1242">
        <f>SUM(F48:AS48)</f>
        <v>-5316775.8229691228</v>
      </c>
      <c r="H60" s="186">
        <f>SUMIFS(F48:AS48,F46:AS46,"=1",F47:AS47,"=yes")</f>
        <v>-4916954.2417169847</v>
      </c>
      <c r="I60" s="187">
        <f>G60-H60</f>
        <v>-399821.58125213813</v>
      </c>
      <c r="J60" s="570"/>
      <c r="K60" s="570"/>
      <c r="L60" s="570"/>
      <c r="M60" s="570"/>
      <c r="N60" s="570"/>
      <c r="O60" s="570"/>
      <c r="P60" s="570"/>
      <c r="Q60" s="570"/>
      <c r="R60" s="570"/>
      <c r="S60" s="570"/>
      <c r="T60" s="570"/>
      <c r="U60" s="570"/>
      <c r="V60" s="570"/>
      <c r="W60" s="570"/>
      <c r="X60" s="570"/>
      <c r="Y60" s="570"/>
      <c r="Z60" s="570"/>
      <c r="AA60" s="570"/>
      <c r="AB60" s="570"/>
      <c r="AC60" s="570"/>
      <c r="AD60" s="570"/>
      <c r="AE60" s="570"/>
      <c r="AF60" s="570"/>
      <c r="AG60" s="570"/>
      <c r="AH60" s="570"/>
      <c r="AI60" s="570"/>
      <c r="AJ60" s="570"/>
      <c r="AK60" s="570"/>
      <c r="AL60" s="570"/>
      <c r="AM60" s="570"/>
      <c r="AN60" s="570"/>
      <c r="AO60" s="570"/>
      <c r="AP60" s="570"/>
      <c r="AQ60" s="570"/>
      <c r="AR60" s="570"/>
      <c r="AS60" s="570"/>
      <c r="AT60" s="588"/>
    </row>
    <row r="61" ht="35.25" customHeight="true" x14ac:dyDescent="0.3">
      <c r="B61" s="597"/>
      <c r="C61" s="570"/>
      <c r="D61" s="297"/>
      <c r="E61" s="185" t="s">
        <v>92</v>
      </c>
      <c r="F61" s="186">
        <f>'II. Equipment &amp; Cost Data'!E133</f>
        <v>0</v>
      </c>
      <c r="G61" s="186">
        <f>'II. Equipment &amp; Cost Data'!F133</f>
        <v>0</v>
      </c>
      <c r="H61" s="186"/>
      <c r="I61" s="1343"/>
      <c r="J61" s="570"/>
      <c r="K61" s="570"/>
      <c r="L61" s="570"/>
      <c r="M61" s="570"/>
      <c r="N61" s="570"/>
      <c r="O61" s="570"/>
      <c r="P61" s="570"/>
      <c r="Q61" s="570"/>
      <c r="R61" s="570"/>
      <c r="S61" s="570"/>
      <c r="T61" s="570"/>
      <c r="U61" s="570"/>
      <c r="V61" s="570"/>
      <c r="W61" s="570"/>
      <c r="X61" s="570"/>
      <c r="Y61" s="570"/>
      <c r="Z61" s="570"/>
      <c r="AA61" s="570"/>
      <c r="AB61" s="570"/>
      <c r="AC61" s="570"/>
      <c r="AD61" s="570"/>
      <c r="AE61" s="570"/>
      <c r="AF61" s="570"/>
      <c r="AG61" s="570"/>
      <c r="AH61" s="570"/>
      <c r="AI61" s="570"/>
      <c r="AJ61" s="570"/>
      <c r="AK61" s="570"/>
      <c r="AL61" s="570"/>
      <c r="AM61" s="570"/>
      <c r="AN61" s="570"/>
      <c r="AO61" s="570"/>
      <c r="AP61" s="570"/>
      <c r="AQ61" s="570"/>
      <c r="AR61" s="570"/>
      <c r="AS61" s="570"/>
      <c r="AT61" s="588"/>
    </row>
    <row r="62" ht="35.25" customHeight="true" x14ac:dyDescent="0.3">
      <c r="B62" s="597"/>
      <c r="C62" s="570"/>
      <c r="D62" s="297"/>
      <c r="E62" s="185" t="s">
        <v>91</v>
      </c>
      <c r="F62" s="186">
        <f>'II. Equipment &amp; Cost Data'!E134</f>
        <v>0</v>
      </c>
      <c r="G62" s="186">
        <f>'II. Equipment &amp; Cost Data'!F134</f>
        <v>0</v>
      </c>
      <c r="H62" s="186"/>
      <c r="I62" s="1343"/>
      <c r="J62" s="570"/>
      <c r="K62" s="570"/>
      <c r="L62" s="570"/>
      <c r="M62" s="570"/>
      <c r="N62" s="570"/>
      <c r="O62" s="570"/>
      <c r="P62" s="570"/>
      <c r="Q62" s="570"/>
      <c r="R62" s="570"/>
      <c r="S62" s="570"/>
      <c r="T62" s="570"/>
      <c r="U62" s="570"/>
      <c r="V62" s="570"/>
      <c r="W62" s="570"/>
      <c r="X62" s="570"/>
      <c r="Y62" s="570"/>
      <c r="Z62" s="570"/>
      <c r="AA62" s="570"/>
      <c r="AB62" s="570"/>
      <c r="AC62" s="570"/>
      <c r="AD62" s="570"/>
      <c r="AE62" s="570"/>
      <c r="AF62" s="570"/>
      <c r="AG62" s="570"/>
      <c r="AH62" s="570"/>
      <c r="AI62" s="570"/>
      <c r="AJ62" s="570"/>
      <c r="AK62" s="570"/>
      <c r="AL62" s="570"/>
      <c r="AM62" s="570"/>
      <c r="AN62" s="570"/>
      <c r="AO62" s="570"/>
      <c r="AP62" s="570"/>
      <c r="AQ62" s="570"/>
      <c r="AR62" s="570"/>
      <c r="AS62" s="570"/>
      <c r="AT62" s="588"/>
    </row>
    <row r="63" ht="35.25" customHeight="true" x14ac:dyDescent="0.3">
      <c r="B63" s="597"/>
      <c r="C63" s="570"/>
      <c r="D63" s="297"/>
      <c r="E63" s="185" t="s">
        <v>90</v>
      </c>
      <c r="F63" s="186">
        <f>'II. Equipment &amp; Cost Data'!E135</f>
        <v>0</v>
      </c>
      <c r="G63" s="186">
        <f>'II. Equipment &amp; Cost Data'!F135</f>
        <v>0</v>
      </c>
      <c r="H63" s="186"/>
      <c r="I63" s="1343"/>
      <c r="J63" s="570"/>
      <c r="K63" s="570"/>
      <c r="L63" s="570"/>
      <c r="M63" s="570"/>
      <c r="N63" s="570"/>
      <c r="O63" s="570"/>
      <c r="P63" s="570"/>
      <c r="Q63" s="570"/>
      <c r="R63" s="570"/>
      <c r="S63" s="570"/>
      <c r="T63" s="570"/>
      <c r="U63" s="570"/>
      <c r="V63" s="570"/>
      <c r="W63" s="570"/>
      <c r="X63" s="570"/>
      <c r="Y63" s="570"/>
      <c r="Z63" s="570"/>
      <c r="AA63" s="570"/>
      <c r="AB63" s="570"/>
      <c r="AC63" s="570"/>
      <c r="AD63" s="570"/>
      <c r="AE63" s="570"/>
      <c r="AF63" s="570"/>
      <c r="AG63" s="570"/>
      <c r="AH63" s="570"/>
      <c r="AI63" s="570"/>
      <c r="AJ63" s="570"/>
      <c r="AK63" s="570"/>
      <c r="AL63" s="570"/>
      <c r="AM63" s="570"/>
      <c r="AN63" s="570"/>
      <c r="AO63" s="570"/>
      <c r="AP63" s="570"/>
      <c r="AQ63" s="570"/>
      <c r="AR63" s="570"/>
      <c r="AS63" s="570"/>
      <c r="AT63" s="588"/>
    </row>
    <row r="64" ht="35.25" customHeight="true" thickBot="true" x14ac:dyDescent="0.35">
      <c r="B64" s="597"/>
      <c r="C64" s="570"/>
      <c r="D64" s="297"/>
      <c r="E64" s="877" t="s">
        <v>89</v>
      </c>
      <c r="F64" s="572">
        <f>'II. Equipment &amp; Cost Data'!E136</f>
        <v>0</v>
      </c>
      <c r="G64" s="572">
        <f>'II. Equipment &amp; Cost Data'!F136</f>
        <v>0</v>
      </c>
      <c r="H64" s="1344"/>
      <c r="I64" s="1345"/>
      <c r="J64" s="570"/>
      <c r="K64" s="570"/>
      <c r="L64" s="570"/>
      <c r="M64" s="570"/>
      <c r="N64" s="570"/>
      <c r="O64" s="570"/>
      <c r="P64" s="570"/>
      <c r="Q64" s="570"/>
      <c r="R64" s="570"/>
      <c r="S64" s="570"/>
      <c r="T64" s="570"/>
      <c r="U64" s="570"/>
      <c r="V64" s="570"/>
      <c r="W64" s="570"/>
      <c r="X64" s="570"/>
      <c r="Y64" s="570"/>
      <c r="Z64" s="570"/>
      <c r="AA64" s="570"/>
      <c r="AB64" s="570"/>
      <c r="AC64" s="570"/>
      <c r="AD64" s="570"/>
      <c r="AE64" s="570"/>
      <c r="AF64" s="570"/>
      <c r="AG64" s="570"/>
      <c r="AH64" s="570"/>
      <c r="AI64" s="570"/>
      <c r="AJ64" s="570"/>
      <c r="AK64" s="570"/>
      <c r="AL64" s="570"/>
      <c r="AM64" s="570"/>
      <c r="AN64" s="570"/>
      <c r="AO64" s="570"/>
      <c r="AP64" s="570"/>
      <c r="AQ64" s="570"/>
      <c r="AR64" s="570"/>
      <c r="AS64" s="570"/>
      <c r="AT64" s="588"/>
    </row>
    <row r="65" ht="35.25" customHeight="true" thickBot="true" x14ac:dyDescent="0.35">
      <c r="B65" s="597"/>
      <c r="C65" s="570"/>
      <c r="D65" s="297"/>
      <c r="E65" s="878" t="s">
        <v>88</v>
      </c>
      <c r="F65" s="1346">
        <f>SUM(F59:F64)</f>
        <v>-8184519.7560000001</v>
      </c>
      <c r="G65" s="1346">
        <f>SUM(G59:G64)</f>
        <v>-5316775.8229691228</v>
      </c>
      <c r="H65" s="879"/>
      <c r="I65" s="880"/>
      <c r="J65" s="570"/>
      <c r="K65" s="570"/>
      <c r="L65" s="570"/>
      <c r="M65" s="570"/>
      <c r="N65" s="570"/>
      <c r="O65" s="570"/>
      <c r="P65" s="570"/>
      <c r="Q65" s="570"/>
      <c r="R65" s="570"/>
      <c r="S65" s="570"/>
      <c r="T65" s="570"/>
      <c r="U65" s="570"/>
      <c r="V65" s="570"/>
      <c r="W65" s="570"/>
      <c r="X65" s="570"/>
      <c r="Y65" s="570"/>
      <c r="Z65" s="570"/>
      <c r="AA65" s="570"/>
      <c r="AB65" s="570"/>
      <c r="AC65" s="570"/>
      <c r="AD65" s="570"/>
      <c r="AE65" s="570"/>
      <c r="AF65" s="570"/>
      <c r="AG65" s="570"/>
      <c r="AH65" s="570"/>
      <c r="AI65" s="570"/>
      <c r="AJ65" s="570"/>
      <c r="AK65" s="570"/>
      <c r="AL65" s="570"/>
      <c r="AM65" s="570"/>
      <c r="AN65" s="570"/>
      <c r="AO65" s="570"/>
      <c r="AP65" s="570"/>
      <c r="AQ65" s="570"/>
      <c r="AR65" s="570"/>
      <c r="AS65" s="570"/>
      <c r="AT65" s="588"/>
    </row>
    <row r="66" ht="23.25" customHeight="true" x14ac:dyDescent="0.3">
      <c r="B66" s="597"/>
      <c r="C66" s="570"/>
      <c r="D66" s="297"/>
      <c r="E66" s="570"/>
      <c r="F66" s="570"/>
      <c r="G66" s="570"/>
      <c r="H66" s="570"/>
      <c r="I66" s="570"/>
      <c r="J66" s="570"/>
      <c r="K66" s="570"/>
      <c r="L66" s="570"/>
      <c r="M66" s="570"/>
      <c r="N66" s="570"/>
      <c r="O66" s="570"/>
      <c r="P66" s="570"/>
      <c r="Q66" s="570"/>
      <c r="R66" s="570"/>
      <c r="S66" s="570"/>
      <c r="T66" s="570"/>
      <c r="U66" s="570"/>
      <c r="V66" s="570"/>
      <c r="W66" s="570"/>
      <c r="X66" s="570"/>
      <c r="Y66" s="570"/>
      <c r="Z66" s="570"/>
      <c r="AA66" s="570"/>
      <c r="AB66" s="570"/>
      <c r="AC66" s="570"/>
      <c r="AD66" s="570"/>
      <c r="AE66" s="570"/>
      <c r="AF66" s="570"/>
      <c r="AG66" s="570"/>
      <c r="AH66" s="570"/>
      <c r="AI66" s="570"/>
      <c r="AJ66" s="570"/>
      <c r="AK66" s="570"/>
      <c r="AL66" s="570"/>
      <c r="AM66" s="570"/>
      <c r="AN66" s="570"/>
      <c r="AO66" s="570"/>
      <c r="AP66" s="570"/>
      <c r="AQ66" s="570"/>
      <c r="AR66" s="570"/>
      <c r="AS66" s="570"/>
      <c r="AT66" s="588"/>
    </row>
    <row r="67" ht="23.25" customHeight="true" x14ac:dyDescent="0.3">
      <c r="B67" s="597"/>
      <c r="C67" s="570"/>
      <c r="D67" s="297"/>
      <c r="E67" s="570"/>
      <c r="F67" s="570"/>
      <c r="G67" s="570"/>
      <c r="H67" s="570"/>
      <c r="I67" s="570"/>
      <c r="J67" s="570"/>
      <c r="K67" s="570"/>
      <c r="L67" s="570"/>
      <c r="M67" s="570"/>
      <c r="N67" s="570"/>
      <c r="O67" s="570"/>
      <c r="P67" s="570"/>
      <c r="Q67" s="570"/>
      <c r="R67" s="570"/>
      <c r="S67" s="570"/>
      <c r="T67" s="570"/>
      <c r="U67" s="570"/>
      <c r="V67" s="570"/>
      <c r="W67" s="570"/>
      <c r="X67" s="570"/>
      <c r="Y67" s="570"/>
      <c r="Z67" s="570"/>
      <c r="AA67" s="570"/>
      <c r="AB67" s="570"/>
      <c r="AC67" s="570"/>
      <c r="AD67" s="570"/>
      <c r="AE67" s="570"/>
      <c r="AF67" s="570"/>
      <c r="AG67" s="570"/>
      <c r="AH67" s="570"/>
      <c r="AI67" s="570"/>
      <c r="AJ67" s="570"/>
      <c r="AK67" s="570"/>
      <c r="AL67" s="570"/>
      <c r="AM67" s="570"/>
      <c r="AN67" s="570"/>
      <c r="AO67" s="570"/>
      <c r="AP67" s="570"/>
      <c r="AQ67" s="570"/>
      <c r="AR67" s="570"/>
      <c r="AS67" s="570"/>
      <c r="AT67" s="588"/>
    </row>
    <row r="68" ht="23.25" customHeight="true" x14ac:dyDescent="0.3">
      <c r="B68" s="597"/>
      <c r="C68" s="570"/>
      <c r="D68" s="297"/>
      <c r="E68" s="1843" t="s">
        <v>1632</v>
      </c>
      <c r="F68" s="1843"/>
      <c r="G68" s="1978" t="s">
        <v>1484</v>
      </c>
      <c r="H68" s="1978"/>
      <c r="I68" s="202" t="s">
        <v>1785</v>
      </c>
      <c r="J68" s="202" t="s">
        <v>1639</v>
      </c>
      <c r="K68" s="570"/>
      <c r="L68" s="570"/>
      <c r="M68" s="570"/>
      <c r="N68" s="570"/>
      <c r="O68" s="570"/>
      <c r="P68" s="570"/>
      <c r="Q68" s="570"/>
      <c r="R68" s="570"/>
      <c r="S68" s="570"/>
      <c r="T68" s="570"/>
      <c r="U68" s="570"/>
      <c r="V68" s="570"/>
      <c r="W68" s="570"/>
      <c r="X68" s="570"/>
      <c r="Y68" s="570"/>
      <c r="Z68" s="570"/>
      <c r="AA68" s="570"/>
      <c r="AB68" s="570"/>
      <c r="AC68" s="570"/>
      <c r="AD68" s="570"/>
      <c r="AE68" s="570"/>
      <c r="AF68" s="570"/>
      <c r="AG68" s="570"/>
      <c r="AH68" s="570"/>
      <c r="AI68" s="570"/>
      <c r="AJ68" s="570"/>
      <c r="AK68" s="570"/>
      <c r="AL68" s="570"/>
      <c r="AM68" s="570"/>
      <c r="AN68" s="570"/>
      <c r="AO68" s="570"/>
      <c r="AP68" s="570"/>
      <c r="AQ68" s="570"/>
      <c r="AR68" s="570"/>
      <c r="AS68" s="570"/>
      <c r="AT68" s="588"/>
    </row>
    <row r="69" ht="23.25" customHeight="true" x14ac:dyDescent="0.3">
      <c r="B69" s="597"/>
      <c r="C69" s="570"/>
      <c r="D69" s="297"/>
      <c r="E69" s="186" t="s">
        <v>1482</v>
      </c>
      <c r="F69" s="186">
        <f>F61</f>
        <v>0</v>
      </c>
      <c r="G69" s="1974" t="str">
        <f>'III. Utility Data'!G44</f>
        <v>Medium pressure steam</v>
      </c>
      <c r="H69" s="1974"/>
      <c r="I69" s="202">
        <f>'III. Utility Data'!I44</f>
        <v>1.9971399999999999</v>
      </c>
      <c r="J69" s="1295">
        <f>'III. Utility Data'!J44</f>
        <v>0</v>
      </c>
      <c r="K69" s="570"/>
      <c r="L69" s="570"/>
      <c r="M69" s="570"/>
      <c r="N69" s="570"/>
      <c r="O69" s="570"/>
      <c r="P69" s="570"/>
      <c r="Q69" s="570"/>
      <c r="R69" s="570"/>
      <c r="S69" s="570"/>
      <c r="T69" s="570"/>
      <c r="U69" s="570"/>
      <c r="V69" s="570"/>
      <c r="W69" s="570"/>
      <c r="X69" s="570"/>
      <c r="Y69" s="570"/>
      <c r="Z69" s="570"/>
      <c r="AA69" s="570"/>
      <c r="AB69" s="570"/>
      <c r="AC69" s="570"/>
      <c r="AD69" s="570"/>
      <c r="AE69" s="570"/>
      <c r="AF69" s="570"/>
      <c r="AG69" s="570"/>
      <c r="AH69" s="570"/>
      <c r="AI69" s="570"/>
      <c r="AJ69" s="570"/>
      <c r="AK69" s="570"/>
      <c r="AL69" s="570"/>
      <c r="AM69" s="570"/>
      <c r="AN69" s="570"/>
      <c r="AO69" s="570"/>
      <c r="AP69" s="570"/>
      <c r="AQ69" s="570"/>
      <c r="AR69" s="570"/>
      <c r="AS69" s="570"/>
      <c r="AT69" s="588"/>
    </row>
    <row r="70" ht="23.25" customHeight="true" x14ac:dyDescent="0.3">
      <c r="B70" s="597"/>
      <c r="C70" s="570"/>
      <c r="D70" s="297"/>
      <c r="E70" s="1175" t="s">
        <v>1483</v>
      </c>
      <c r="F70" s="186">
        <f>F62</f>
        <v>0</v>
      </c>
      <c r="G70" s="1974" t="str">
        <f>'III. Utility Data'!G45</f>
        <v>Moderately low T Refrigerated water, Tin = 5 °C Tout = 15°C, 0.043 MJ/kg</v>
      </c>
      <c r="H70" s="1974"/>
      <c r="I70" s="202">
        <f>'III. Utility Data'!I45</f>
        <v>4.1946499999999998E-2</v>
      </c>
      <c r="J70" s="1295">
        <f>'III. Utility Data'!J45</f>
        <v>0</v>
      </c>
      <c r="K70" s="570"/>
      <c r="L70" s="570"/>
      <c r="M70" s="570"/>
      <c r="N70" s="570"/>
      <c r="O70" s="570"/>
      <c r="P70" s="570"/>
      <c r="Q70" s="570"/>
      <c r="R70" s="570"/>
      <c r="S70" s="570"/>
      <c r="T70" s="570"/>
      <c r="U70" s="570"/>
      <c r="V70" s="570"/>
      <c r="W70" s="570"/>
      <c r="X70" s="570"/>
      <c r="Y70" s="570"/>
      <c r="Z70" s="570"/>
      <c r="AA70" s="570"/>
      <c r="AB70" s="570"/>
      <c r="AC70" s="570"/>
      <c r="AD70" s="570"/>
      <c r="AE70" s="570"/>
      <c r="AF70" s="570"/>
      <c r="AG70" s="570"/>
      <c r="AH70" s="570"/>
      <c r="AI70" s="570"/>
      <c r="AJ70" s="570"/>
      <c r="AK70" s="570"/>
      <c r="AL70" s="570"/>
      <c r="AM70" s="570"/>
      <c r="AN70" s="570"/>
      <c r="AO70" s="570"/>
      <c r="AP70" s="570"/>
      <c r="AQ70" s="570"/>
      <c r="AR70" s="570"/>
      <c r="AS70" s="570"/>
      <c r="AT70" s="588"/>
    </row>
    <row r="71" ht="23.25" customHeight="true" x14ac:dyDescent="0.3">
      <c r="B71" s="597"/>
      <c r="C71" s="570"/>
      <c r="D71" s="297"/>
      <c r="E71" s="202" t="s">
        <v>1080</v>
      </c>
      <c r="F71" s="202">
        <f>F63</f>
        <v>0</v>
      </c>
      <c r="G71" s="1974" t="str">
        <f>'III. Utility Data'!G46</f>
        <v>Electricity, 3.6 MJ/kWh</v>
      </c>
      <c r="H71" s="1974"/>
      <c r="I71" s="202">
        <f>'III. Utility Data'!I46</f>
        <v>3.6</v>
      </c>
      <c r="J71" s="1295">
        <f>'III. Utility Data'!J46</f>
        <v>0</v>
      </c>
      <c r="K71" s="570"/>
      <c r="L71" s="570"/>
      <c r="M71" s="570"/>
      <c r="N71" s="570"/>
      <c r="O71" s="570"/>
      <c r="P71" s="570"/>
      <c r="Q71" s="570"/>
      <c r="R71" s="570"/>
      <c r="S71" s="570"/>
      <c r="T71" s="570"/>
      <c r="U71" s="570"/>
      <c r="V71" s="570"/>
      <c r="W71" s="570"/>
      <c r="X71" s="570"/>
      <c r="Y71" s="570"/>
      <c r="Z71" s="570"/>
      <c r="AA71" s="570"/>
      <c r="AB71" s="570"/>
      <c r="AC71" s="570"/>
      <c r="AD71" s="570"/>
      <c r="AE71" s="570"/>
      <c r="AF71" s="570"/>
      <c r="AG71" s="570"/>
      <c r="AH71" s="570"/>
      <c r="AI71" s="570"/>
      <c r="AJ71" s="570"/>
      <c r="AK71" s="570"/>
      <c r="AL71" s="570"/>
      <c r="AM71" s="570"/>
      <c r="AN71" s="570"/>
      <c r="AO71" s="570"/>
      <c r="AP71" s="570"/>
      <c r="AQ71" s="570"/>
      <c r="AR71" s="570"/>
      <c r="AS71" s="570"/>
      <c r="AT71" s="588"/>
    </row>
    <row r="72" ht="16.5" customHeight="true" x14ac:dyDescent="0.3">
      <c r="B72" s="597"/>
      <c r="C72" s="570"/>
      <c r="D72" s="297"/>
      <c r="E72" s="570"/>
      <c r="F72" s="570"/>
      <c r="G72" s="570"/>
      <c r="H72" s="570"/>
      <c r="I72" s="570"/>
      <c r="J72" s="570"/>
      <c r="K72" s="570"/>
      <c r="L72" s="570"/>
      <c r="M72" s="570"/>
      <c r="N72" s="570"/>
      <c r="O72" s="570"/>
      <c r="P72" s="570"/>
      <c r="Q72" s="570"/>
      <c r="R72" s="570"/>
      <c r="S72" s="570"/>
      <c r="T72" s="570"/>
      <c r="U72" s="570"/>
      <c r="V72" s="570"/>
      <c r="W72" s="570"/>
      <c r="X72" s="570"/>
      <c r="Y72" s="570"/>
      <c r="Z72" s="570"/>
      <c r="AA72" s="570"/>
      <c r="AB72" s="570"/>
      <c r="AC72" s="570"/>
      <c r="AD72" s="570"/>
      <c r="AE72" s="570"/>
      <c r="AF72" s="570"/>
      <c r="AG72" s="570"/>
      <c r="AH72" s="570"/>
      <c r="AI72" s="570"/>
      <c r="AJ72" s="570"/>
      <c r="AK72" s="570"/>
      <c r="AL72" s="570"/>
      <c r="AM72" s="570"/>
      <c r="AN72" s="570"/>
      <c r="AO72" s="570"/>
      <c r="AP72" s="570"/>
      <c r="AQ72" s="570"/>
      <c r="AR72" s="570"/>
      <c r="AS72" s="570"/>
      <c r="AT72" s="588"/>
    </row>
    <row r="73" ht="16.5" customHeight="true" x14ac:dyDescent="0.3">
      <c r="B73" s="597"/>
      <c r="C73" s="570"/>
      <c r="D73" s="297"/>
      <c r="E73" s="570"/>
      <c r="F73" s="570"/>
      <c r="G73" s="570"/>
      <c r="H73" s="570"/>
      <c r="I73" s="570"/>
      <c r="J73" s="570"/>
      <c r="K73" s="570"/>
      <c r="L73" s="570"/>
      <c r="M73" s="570"/>
      <c r="N73" s="570"/>
      <c r="O73" s="570"/>
      <c r="P73" s="570"/>
      <c r="Q73" s="570"/>
      <c r="R73" s="570"/>
      <c r="S73" s="570"/>
      <c r="T73" s="570"/>
      <c r="U73" s="570"/>
      <c r="V73" s="570"/>
      <c r="W73" s="570"/>
      <c r="X73" s="570"/>
      <c r="Y73" s="570"/>
      <c r="Z73" s="570"/>
      <c r="AA73" s="570"/>
      <c r="AB73" s="570"/>
      <c r="AC73" s="570"/>
      <c r="AD73" s="570"/>
      <c r="AE73" s="570"/>
      <c r="AF73" s="570"/>
      <c r="AG73" s="570"/>
      <c r="AH73" s="570"/>
      <c r="AI73" s="570"/>
      <c r="AJ73" s="570"/>
      <c r="AK73" s="570"/>
      <c r="AL73" s="570"/>
      <c r="AM73" s="570"/>
      <c r="AN73" s="570"/>
      <c r="AO73" s="570"/>
      <c r="AP73" s="570"/>
      <c r="AQ73" s="570"/>
      <c r="AR73" s="570"/>
      <c r="AS73" s="570"/>
      <c r="AT73" s="588"/>
    </row>
    <row r="74" ht="16.5" customHeight="true" x14ac:dyDescent="0.3">
      <c r="B74" s="597"/>
      <c r="C74" s="570"/>
      <c r="D74" s="297"/>
      <c r="E74" s="570"/>
      <c r="F74" s="570"/>
      <c r="G74" s="570"/>
      <c r="H74" s="570"/>
      <c r="I74" s="570"/>
      <c r="J74" s="570"/>
      <c r="K74" s="570"/>
      <c r="L74" s="570"/>
      <c r="M74" s="570"/>
      <c r="N74" s="570"/>
      <c r="O74" s="570"/>
      <c r="P74" s="570"/>
      <c r="Q74" s="570"/>
      <c r="R74" s="570"/>
      <c r="S74" s="570"/>
      <c r="T74" s="570"/>
      <c r="U74" s="570"/>
      <c r="V74" s="570"/>
      <c r="W74" s="570"/>
      <c r="X74" s="570"/>
      <c r="Y74" s="570"/>
      <c r="Z74" s="570"/>
      <c r="AA74" s="570"/>
      <c r="AB74" s="570"/>
      <c r="AC74" s="570"/>
      <c r="AD74" s="570"/>
      <c r="AE74" s="570"/>
      <c r="AF74" s="570"/>
      <c r="AG74" s="570"/>
      <c r="AH74" s="570"/>
      <c r="AI74" s="570"/>
      <c r="AJ74" s="570"/>
      <c r="AK74" s="570"/>
      <c r="AL74" s="570"/>
      <c r="AM74" s="570"/>
      <c r="AN74" s="570"/>
      <c r="AO74" s="570"/>
      <c r="AP74" s="570"/>
      <c r="AQ74" s="570"/>
      <c r="AR74" s="570"/>
      <c r="AS74" s="570"/>
      <c r="AT74" s="588"/>
    </row>
    <row r="75" ht="16.5" customHeight="true" x14ac:dyDescent="0.3">
      <c r="B75" s="597"/>
      <c r="C75" s="570"/>
      <c r="D75" s="297"/>
      <c r="E75" s="570"/>
      <c r="F75" s="570"/>
      <c r="G75" s="570"/>
      <c r="H75" s="570"/>
      <c r="I75" s="570"/>
      <c r="J75" s="570"/>
      <c r="K75" s="570"/>
      <c r="L75" s="570"/>
      <c r="M75" s="570"/>
      <c r="N75" s="570"/>
      <c r="O75" s="570"/>
      <c r="P75" s="570"/>
      <c r="Q75" s="570"/>
      <c r="R75" s="570"/>
      <c r="S75" s="570"/>
      <c r="T75" s="570"/>
      <c r="U75" s="570"/>
      <c r="V75" s="570"/>
      <c r="W75" s="570"/>
      <c r="X75" s="570"/>
      <c r="Y75" s="570"/>
      <c r="Z75" s="570"/>
      <c r="AA75" s="570"/>
      <c r="AB75" s="570"/>
      <c r="AC75" s="570"/>
      <c r="AD75" s="570"/>
      <c r="AE75" s="570"/>
      <c r="AF75" s="570"/>
      <c r="AG75" s="570"/>
      <c r="AH75" s="570"/>
      <c r="AI75" s="570"/>
      <c r="AJ75" s="570"/>
      <c r="AK75" s="570"/>
      <c r="AL75" s="570"/>
      <c r="AM75" s="570"/>
      <c r="AN75" s="570"/>
      <c r="AO75" s="570"/>
      <c r="AP75" s="570"/>
      <c r="AQ75" s="570"/>
      <c r="AR75" s="570"/>
      <c r="AS75" s="570"/>
      <c r="AT75" s="588"/>
    </row>
    <row r="76" ht="24" customHeight="true" x14ac:dyDescent="0.4">
      <c r="B76" s="597"/>
      <c r="C76" s="570"/>
      <c r="D76" s="297"/>
      <c r="E76" s="875" t="s">
        <v>1633</v>
      </c>
      <c r="F76" s="570"/>
      <c r="G76" s="570"/>
      <c r="H76" s="570"/>
      <c r="I76" s="570"/>
      <c r="J76" s="570"/>
      <c r="K76" s="570"/>
      <c r="L76" s="570"/>
      <c r="M76" s="570"/>
      <c r="N76" s="570"/>
      <c r="O76" s="570"/>
      <c r="P76" s="570"/>
      <c r="Q76" s="570"/>
      <c r="R76" s="570"/>
      <c r="S76" s="570"/>
      <c r="T76" s="570"/>
      <c r="U76" s="570"/>
      <c r="V76" s="570"/>
      <c r="W76" s="570"/>
      <c r="X76" s="570"/>
      <c r="Y76" s="570"/>
      <c r="Z76" s="570"/>
      <c r="AA76" s="570"/>
      <c r="AB76" s="570"/>
      <c r="AC76" s="570"/>
      <c r="AD76" s="570"/>
      <c r="AE76" s="570"/>
      <c r="AF76" s="570"/>
      <c r="AG76" s="570"/>
      <c r="AH76" s="570"/>
      <c r="AI76" s="570"/>
      <c r="AJ76" s="570"/>
      <c r="AK76" s="570"/>
      <c r="AL76" s="570"/>
      <c r="AM76" s="570"/>
      <c r="AN76" s="570"/>
      <c r="AO76" s="570"/>
      <c r="AP76" s="570"/>
      <c r="AQ76" s="570"/>
      <c r="AR76" s="570"/>
      <c r="AS76" s="570"/>
      <c r="AT76" s="588"/>
    </row>
    <row r="77" ht="33.75" customHeight="true" thickBot="true" x14ac:dyDescent="0.35">
      <c r="B77" s="597"/>
      <c r="C77" s="570"/>
      <c r="D77" s="297"/>
      <c r="E77" s="1836" t="str">
        <f>'III. Utility Data'!E53</f>
        <v>Steam is produced from saturated water using a natural gas-fired industrial boiler</v>
      </c>
      <c r="F77" s="1836"/>
      <c r="G77" s="1836"/>
      <c r="H77" s="570"/>
      <c r="I77" s="570"/>
      <c r="J77" s="570"/>
      <c r="K77" s="570"/>
      <c r="L77" s="570"/>
      <c r="M77" s="570"/>
      <c r="N77" s="570"/>
      <c r="O77" s="570"/>
      <c r="P77" s="570"/>
      <c r="Q77" s="570"/>
      <c r="R77" s="570"/>
      <c r="S77" s="570"/>
      <c r="T77" s="570"/>
      <c r="U77" s="570"/>
      <c r="V77" s="570"/>
      <c r="W77" s="570"/>
      <c r="X77" s="570"/>
      <c r="Y77" s="570"/>
      <c r="Z77" s="570"/>
      <c r="AA77" s="570"/>
      <c r="AB77" s="570"/>
      <c r="AC77" s="570"/>
      <c r="AD77" s="570"/>
      <c r="AE77" s="570"/>
      <c r="AF77" s="570"/>
      <c r="AG77" s="570"/>
      <c r="AH77" s="570"/>
      <c r="AI77" s="570"/>
      <c r="AJ77" s="570"/>
      <c r="AK77" s="570"/>
      <c r="AL77" s="570"/>
      <c r="AM77" s="570"/>
      <c r="AN77" s="570"/>
      <c r="AO77" s="570"/>
      <c r="AP77" s="570"/>
      <c r="AQ77" s="570"/>
      <c r="AR77" s="570"/>
      <c r="AS77" s="570"/>
      <c r="AT77" s="588"/>
    </row>
    <row r="78" ht="33.75" customHeight="true" x14ac:dyDescent="0.3">
      <c r="B78" s="597"/>
      <c r="C78" s="570"/>
      <c r="D78" s="297"/>
      <c r="E78" s="219" t="s">
        <v>1071</v>
      </c>
      <c r="F78" s="1347">
        <f>'III. Utility Data'!F108</f>
        <v>2.5512222222222221</v>
      </c>
      <c r="G78" s="570"/>
      <c r="H78" s="570"/>
      <c r="I78" s="570"/>
      <c r="J78" s="570"/>
      <c r="K78" s="570"/>
      <c r="L78" s="570"/>
      <c r="M78" s="570"/>
      <c r="N78" s="570"/>
      <c r="O78" s="570"/>
      <c r="P78" s="570"/>
      <c r="Q78" s="570"/>
      <c r="R78" s="570"/>
      <c r="S78" s="570"/>
      <c r="T78" s="570"/>
      <c r="U78" s="570"/>
      <c r="V78" s="570"/>
      <c r="W78" s="570"/>
      <c r="X78" s="570"/>
      <c r="Y78" s="570"/>
      <c r="Z78" s="570"/>
      <c r="AA78" s="570"/>
      <c r="AB78" s="570"/>
      <c r="AC78" s="570"/>
      <c r="AD78" s="570"/>
      <c r="AE78" s="570"/>
      <c r="AF78" s="570"/>
      <c r="AG78" s="570"/>
      <c r="AH78" s="570"/>
      <c r="AI78" s="570"/>
      <c r="AJ78" s="570"/>
      <c r="AK78" s="570"/>
      <c r="AL78" s="570"/>
      <c r="AM78" s="570"/>
      <c r="AN78" s="570"/>
      <c r="AO78" s="570"/>
      <c r="AP78" s="570"/>
      <c r="AQ78" s="570"/>
      <c r="AR78" s="570"/>
      <c r="AS78" s="570"/>
      <c r="AT78" s="588"/>
    </row>
    <row r="79" ht="33.75" customHeight="true" x14ac:dyDescent="0.3">
      <c r="B79" s="597"/>
      <c r="C79" s="570"/>
      <c r="D79" s="297"/>
      <c r="E79" s="220" t="s">
        <v>1073</v>
      </c>
      <c r="F79" s="1348">
        <f>'III. Utility Data'!F109</f>
        <v>0</v>
      </c>
      <c r="G79" s="570"/>
      <c r="H79" s="570"/>
      <c r="I79" s="570"/>
      <c r="J79" s="570"/>
      <c r="K79" s="570"/>
      <c r="L79" s="570"/>
      <c r="M79" s="570"/>
      <c r="N79" s="570"/>
      <c r="O79" s="570"/>
      <c r="P79" s="570"/>
      <c r="Q79" s="570"/>
      <c r="R79" s="570"/>
      <c r="S79" s="570"/>
      <c r="T79" s="570"/>
      <c r="U79" s="570"/>
      <c r="V79" s="570"/>
      <c r="W79" s="570"/>
      <c r="X79" s="570"/>
      <c r="Y79" s="570"/>
      <c r="Z79" s="570"/>
      <c r="AA79" s="570"/>
      <c r="AB79" s="570"/>
      <c r="AC79" s="570"/>
      <c r="AD79" s="570"/>
      <c r="AE79" s="570"/>
      <c r="AF79" s="570"/>
      <c r="AG79" s="570"/>
      <c r="AH79" s="570"/>
      <c r="AI79" s="570"/>
      <c r="AJ79" s="570"/>
      <c r="AK79" s="570"/>
      <c r="AL79" s="570"/>
      <c r="AM79" s="570"/>
      <c r="AN79" s="570"/>
      <c r="AO79" s="570"/>
      <c r="AP79" s="570"/>
      <c r="AQ79" s="570"/>
      <c r="AR79" s="570"/>
      <c r="AS79" s="570"/>
      <c r="AT79" s="588"/>
    </row>
    <row r="80" ht="33.75" customHeight="true" thickBot="true" x14ac:dyDescent="0.35">
      <c r="B80" s="597"/>
      <c r="C80" s="570"/>
      <c r="D80" s="297"/>
      <c r="E80" s="221" t="s">
        <v>1094</v>
      </c>
      <c r="F80" s="1349">
        <f>'III. Utility Data'!F111</f>
        <v>0</v>
      </c>
      <c r="G80" s="1133"/>
      <c r="H80" s="570"/>
      <c r="I80" s="172"/>
      <c r="J80" s="570"/>
      <c r="K80" s="570"/>
      <c r="L80" s="570"/>
      <c r="M80" s="570"/>
      <c r="N80" s="570"/>
      <c r="O80" s="570"/>
      <c r="P80" s="570"/>
      <c r="Q80" s="570"/>
      <c r="R80" s="570"/>
      <c r="S80" s="570"/>
      <c r="T80" s="570"/>
      <c r="U80" s="570"/>
      <c r="V80" s="570"/>
      <c r="W80" s="570"/>
      <c r="X80" s="570"/>
      <c r="Y80" s="570"/>
      <c r="Z80" s="570"/>
      <c r="AA80" s="570"/>
      <c r="AB80" s="570"/>
      <c r="AC80" s="570"/>
      <c r="AD80" s="570"/>
      <c r="AE80" s="570"/>
      <c r="AF80" s="570"/>
      <c r="AG80" s="570"/>
      <c r="AH80" s="570"/>
      <c r="AI80" s="570"/>
      <c r="AJ80" s="570"/>
      <c r="AK80" s="570"/>
      <c r="AL80" s="570"/>
      <c r="AM80" s="570"/>
      <c r="AN80" s="570"/>
      <c r="AO80" s="570"/>
      <c r="AP80" s="570"/>
      <c r="AQ80" s="570"/>
      <c r="AR80" s="570"/>
      <c r="AS80" s="570"/>
      <c r="AT80" s="588"/>
    </row>
    <row r="81" ht="15.75" customHeight="true" x14ac:dyDescent="0.3">
      <c r="B81" s="597"/>
      <c r="C81" s="570"/>
      <c r="D81" s="297"/>
      <c r="E81" s="570"/>
      <c r="F81" s="570"/>
      <c r="G81" s="371"/>
      <c r="H81" s="570"/>
      <c r="I81" s="570"/>
      <c r="J81" s="570"/>
      <c r="K81" s="570"/>
      <c r="L81" s="570"/>
      <c r="M81" s="570"/>
      <c r="N81" s="570"/>
      <c r="O81" s="570"/>
      <c r="P81" s="570"/>
      <c r="Q81" s="570"/>
      <c r="R81" s="570"/>
      <c r="S81" s="570"/>
      <c r="T81" s="570"/>
      <c r="U81" s="570"/>
      <c r="V81" s="570"/>
      <c r="W81" s="570"/>
      <c r="X81" s="570"/>
      <c r="Y81" s="570"/>
      <c r="Z81" s="570"/>
      <c r="AA81" s="570"/>
      <c r="AB81" s="570"/>
      <c r="AC81" s="570"/>
      <c r="AD81" s="570"/>
      <c r="AE81" s="570"/>
      <c r="AF81" s="570"/>
      <c r="AG81" s="570"/>
      <c r="AH81" s="570"/>
      <c r="AI81" s="570"/>
      <c r="AJ81" s="570"/>
      <c r="AK81" s="570"/>
      <c r="AL81" s="570"/>
      <c r="AM81" s="570"/>
      <c r="AN81" s="570"/>
      <c r="AO81" s="570"/>
      <c r="AP81" s="570"/>
      <c r="AQ81" s="570"/>
      <c r="AR81" s="570"/>
      <c r="AS81" s="570"/>
      <c r="AT81" s="588"/>
    </row>
    <row r="82" ht="15.75" customHeight="true" x14ac:dyDescent="0.3">
      <c r="B82" s="597"/>
      <c r="C82" s="570"/>
      <c r="D82" s="297"/>
      <c r="E82" s="1188"/>
      <c r="F82" s="570"/>
      <c r="G82" s="371"/>
      <c r="H82" s="570"/>
      <c r="I82" s="570"/>
      <c r="J82" s="570"/>
      <c r="K82" s="570"/>
      <c r="L82" s="570"/>
      <c r="M82" s="570"/>
      <c r="N82" s="570"/>
      <c r="O82" s="570"/>
      <c r="P82" s="570"/>
      <c r="Q82" s="570"/>
      <c r="R82" s="570"/>
      <c r="S82" s="570"/>
      <c r="T82" s="570"/>
      <c r="U82" s="570"/>
      <c r="V82" s="570"/>
      <c r="W82" s="570"/>
      <c r="X82" s="570"/>
      <c r="Y82" s="570"/>
      <c r="Z82" s="570"/>
      <c r="AA82" s="570"/>
      <c r="AB82" s="570"/>
      <c r="AC82" s="570"/>
      <c r="AD82" s="570"/>
      <c r="AE82" s="570"/>
      <c r="AF82" s="570"/>
      <c r="AG82" s="570"/>
      <c r="AH82" s="570"/>
      <c r="AI82" s="570"/>
      <c r="AJ82" s="570"/>
      <c r="AK82" s="570"/>
      <c r="AL82" s="570"/>
      <c r="AM82" s="570"/>
      <c r="AN82" s="570"/>
      <c r="AO82" s="570"/>
      <c r="AP82" s="570"/>
      <c r="AQ82" s="570"/>
      <c r="AR82" s="570"/>
      <c r="AS82" s="570"/>
      <c r="AT82" s="588"/>
    </row>
    <row r="83" ht="15.75" customHeight="true" x14ac:dyDescent="0.3">
      <c r="B83" s="597"/>
      <c r="C83" s="570"/>
      <c r="D83" s="297"/>
      <c r="E83" s="1188"/>
      <c r="F83" s="570"/>
      <c r="G83" s="371"/>
      <c r="H83" s="570"/>
      <c r="I83" s="570"/>
      <c r="J83" s="570"/>
      <c r="K83" s="570"/>
      <c r="L83" s="570"/>
      <c r="M83" s="570"/>
      <c r="N83" s="570"/>
      <c r="O83" s="570"/>
      <c r="P83" s="570"/>
      <c r="Q83" s="570"/>
      <c r="R83" s="570"/>
      <c r="S83" s="570"/>
      <c r="T83" s="570"/>
      <c r="U83" s="570"/>
      <c r="V83" s="570"/>
      <c r="W83" s="570"/>
      <c r="X83" s="570"/>
      <c r="Y83" s="570"/>
      <c r="Z83" s="570"/>
      <c r="AA83" s="570"/>
      <c r="AB83" s="570"/>
      <c r="AC83" s="570"/>
      <c r="AD83" s="570"/>
      <c r="AE83" s="570"/>
      <c r="AF83" s="570"/>
      <c r="AG83" s="570"/>
      <c r="AH83" s="570"/>
      <c r="AI83" s="570"/>
      <c r="AJ83" s="570"/>
      <c r="AK83" s="570"/>
      <c r="AL83" s="570"/>
      <c r="AM83" s="570"/>
      <c r="AN83" s="570"/>
      <c r="AO83" s="570"/>
      <c r="AP83" s="570"/>
      <c r="AQ83" s="570"/>
      <c r="AR83" s="570"/>
      <c r="AS83" s="570"/>
      <c r="AT83" s="588"/>
    </row>
    <row r="84" ht="15.75" customHeight="true" x14ac:dyDescent="0.3">
      <c r="B84" s="597"/>
      <c r="C84" s="570"/>
      <c r="D84" s="297"/>
      <c r="E84" s="1188"/>
      <c r="F84" s="570"/>
      <c r="G84" s="371"/>
      <c r="H84" s="570"/>
      <c r="I84" s="570"/>
      <c r="J84" s="570"/>
      <c r="K84" s="570"/>
      <c r="L84" s="570"/>
      <c r="M84" s="570"/>
      <c r="N84" s="570"/>
      <c r="O84" s="570"/>
      <c r="P84" s="570"/>
      <c r="Q84" s="570"/>
      <c r="R84" s="570"/>
      <c r="S84" s="570"/>
      <c r="T84" s="570"/>
      <c r="U84" s="570"/>
      <c r="V84" s="570"/>
      <c r="W84" s="570"/>
      <c r="X84" s="570"/>
      <c r="Y84" s="570"/>
      <c r="Z84" s="570"/>
      <c r="AA84" s="570"/>
      <c r="AB84" s="570"/>
      <c r="AC84" s="570"/>
      <c r="AD84" s="570"/>
      <c r="AE84" s="570"/>
      <c r="AF84" s="570"/>
      <c r="AG84" s="570"/>
      <c r="AH84" s="570"/>
      <c r="AI84" s="570"/>
      <c r="AJ84" s="570"/>
      <c r="AK84" s="570"/>
      <c r="AL84" s="570"/>
      <c r="AM84" s="570"/>
      <c r="AN84" s="570"/>
      <c r="AO84" s="570"/>
      <c r="AP84" s="570"/>
      <c r="AQ84" s="570"/>
      <c r="AR84" s="570"/>
      <c r="AS84" s="570"/>
      <c r="AT84" s="588"/>
    </row>
    <row r="85" ht="30" customHeight="true" x14ac:dyDescent="0.4">
      <c r="B85" s="597"/>
      <c r="C85" s="570"/>
      <c r="D85" s="297"/>
      <c r="E85" s="875" t="s">
        <v>1087</v>
      </c>
      <c r="F85" s="172"/>
      <c r="G85" s="172"/>
      <c r="H85" s="172"/>
      <c r="I85" s="172"/>
      <c r="J85" s="190"/>
      <c r="K85" s="190"/>
      <c r="L85" s="190"/>
      <c r="M85" s="190"/>
      <c r="N85" s="190"/>
      <c r="O85" s="570"/>
      <c r="P85" s="570"/>
      <c r="Q85" s="570"/>
      <c r="R85" s="570"/>
      <c r="S85" s="570"/>
      <c r="T85" s="570"/>
      <c r="U85" s="570"/>
      <c r="V85" s="570"/>
      <c r="W85" s="570"/>
      <c r="X85" s="570"/>
      <c r="Y85" s="570"/>
      <c r="Z85" s="570"/>
      <c r="AA85" s="570"/>
      <c r="AB85" s="570"/>
      <c r="AC85" s="570"/>
      <c r="AD85" s="570"/>
      <c r="AE85" s="570"/>
      <c r="AF85" s="570"/>
      <c r="AG85" s="570"/>
      <c r="AH85" s="570"/>
      <c r="AI85" s="570"/>
      <c r="AJ85" s="570"/>
      <c r="AK85" s="570"/>
      <c r="AL85" s="570"/>
      <c r="AM85" s="570"/>
      <c r="AN85" s="570"/>
      <c r="AO85" s="570"/>
      <c r="AP85" s="570"/>
      <c r="AQ85" s="570"/>
      <c r="AR85" s="570"/>
      <c r="AS85" s="570"/>
      <c r="AT85" s="588"/>
    </row>
    <row r="86" ht="30.75" customHeight="true" x14ac:dyDescent="0.3">
      <c r="B86" s="597"/>
      <c r="C86" s="570"/>
      <c r="D86" s="297"/>
      <c r="E86" s="1836" t="str">
        <f>'III. Utility Data'!E77</f>
        <v>Moderately low temperature refrigerated water in @ 5°C and returned at 15°C is supplied by a combined Cooling water loop</v>
      </c>
      <c r="F86" s="1836"/>
      <c r="G86" s="1836"/>
      <c r="H86" s="1836"/>
      <c r="I86" s="172"/>
      <c r="J86" s="190"/>
      <c r="K86" s="190"/>
      <c r="L86" s="190"/>
      <c r="M86" s="190"/>
      <c r="N86" s="190"/>
      <c r="O86" s="570"/>
      <c r="P86" s="570"/>
      <c r="Q86" s="570"/>
      <c r="R86" s="570"/>
      <c r="S86" s="570"/>
      <c r="T86" s="570"/>
      <c r="U86" s="570"/>
      <c r="V86" s="570"/>
      <c r="W86" s="570"/>
      <c r="X86" s="570"/>
      <c r="Y86" s="570"/>
      <c r="Z86" s="570"/>
      <c r="AA86" s="570"/>
      <c r="AB86" s="570"/>
      <c r="AC86" s="570"/>
      <c r="AD86" s="570"/>
      <c r="AE86" s="570"/>
      <c r="AF86" s="570"/>
      <c r="AG86" s="570"/>
      <c r="AH86" s="570"/>
      <c r="AI86" s="570"/>
      <c r="AJ86" s="570"/>
      <c r="AK86" s="570"/>
      <c r="AL86" s="570"/>
      <c r="AM86" s="570"/>
      <c r="AN86" s="570"/>
      <c r="AO86" s="570"/>
      <c r="AP86" s="570"/>
      <c r="AQ86" s="570"/>
      <c r="AR86" s="570"/>
      <c r="AS86" s="570"/>
      <c r="AT86" s="588"/>
    </row>
    <row r="87" ht="30.75" customHeight="true" thickBot="true" x14ac:dyDescent="0.35">
      <c r="B87" s="597"/>
      <c r="C87" s="570"/>
      <c r="D87" s="297"/>
      <c r="E87" s="1836" t="str">
        <f>'III. Utility Data'!E78</f>
        <v>refrigeration cycle as described in Turton et al. 2008 pages 232-238 </v>
      </c>
      <c r="F87" s="1836"/>
      <c r="G87" s="1836"/>
      <c r="H87" s="172"/>
      <c r="I87" s="172"/>
      <c r="J87" s="330"/>
      <c r="K87" s="330"/>
      <c r="L87" s="330"/>
      <c r="M87" s="330"/>
      <c r="N87" s="330"/>
      <c r="O87" s="570"/>
      <c r="P87" s="570"/>
      <c r="Q87" s="570"/>
      <c r="R87" s="570"/>
      <c r="S87" s="570"/>
      <c r="T87" s="570"/>
      <c r="U87" s="570"/>
      <c r="V87" s="570"/>
      <c r="W87" s="570"/>
      <c r="X87" s="570"/>
      <c r="Y87" s="570"/>
      <c r="Z87" s="570"/>
      <c r="AA87" s="570"/>
      <c r="AB87" s="570"/>
      <c r="AC87" s="570"/>
      <c r="AD87" s="570"/>
      <c r="AE87" s="570"/>
      <c r="AF87" s="570"/>
      <c r="AG87" s="570"/>
      <c r="AH87" s="570"/>
      <c r="AI87" s="570"/>
      <c r="AJ87" s="570"/>
      <c r="AK87" s="570"/>
      <c r="AL87" s="570"/>
      <c r="AM87" s="570"/>
      <c r="AN87" s="570"/>
      <c r="AO87" s="570"/>
      <c r="AP87" s="570"/>
      <c r="AQ87" s="570"/>
      <c r="AR87" s="570"/>
      <c r="AS87" s="570"/>
      <c r="AT87" s="588"/>
    </row>
    <row r="88" ht="39" customHeight="true" x14ac:dyDescent="0.3">
      <c r="B88" s="597"/>
      <c r="C88" s="570"/>
      <c r="D88" s="297"/>
      <c r="E88" s="219" t="s">
        <v>1077</v>
      </c>
      <c r="F88" s="1350">
        <f>'III. Utility Data'!F83</f>
        <v>71.42</v>
      </c>
      <c r="G88" s="172"/>
      <c r="H88" s="172"/>
      <c r="I88" s="172"/>
      <c r="J88" s="330"/>
      <c r="K88" s="330"/>
      <c r="L88" s="330"/>
      <c r="M88" s="330"/>
      <c r="N88" s="330"/>
      <c r="O88" s="570"/>
      <c r="P88" s="570"/>
      <c r="Q88" s="570"/>
      <c r="R88" s="570"/>
      <c r="S88" s="570"/>
      <c r="T88" s="570"/>
      <c r="U88" s="570"/>
      <c r="V88" s="570"/>
      <c r="W88" s="570"/>
      <c r="X88" s="570"/>
      <c r="Y88" s="570"/>
      <c r="Z88" s="570"/>
      <c r="AA88" s="570"/>
      <c r="AB88" s="570"/>
      <c r="AC88" s="570"/>
      <c r="AD88" s="570"/>
      <c r="AE88" s="570"/>
      <c r="AF88" s="570"/>
      <c r="AG88" s="570"/>
      <c r="AH88" s="570"/>
      <c r="AI88" s="570"/>
      <c r="AJ88" s="570"/>
      <c r="AK88" s="570"/>
      <c r="AL88" s="570"/>
      <c r="AM88" s="570"/>
      <c r="AN88" s="570"/>
      <c r="AO88" s="570"/>
      <c r="AP88" s="570"/>
      <c r="AQ88" s="570"/>
      <c r="AR88" s="570"/>
      <c r="AS88" s="570"/>
      <c r="AT88" s="588"/>
    </row>
    <row r="89" ht="39" customHeight="true" thickBot="true" x14ac:dyDescent="0.35">
      <c r="B89" s="597"/>
      <c r="C89" s="570"/>
      <c r="D89" s="297"/>
      <c r="E89" s="222" t="s">
        <v>1078</v>
      </c>
      <c r="F89" s="1348">
        <f>ABS(F70/1000*F88)</f>
        <v>0</v>
      </c>
      <c r="G89" s="172"/>
      <c r="H89" s="172"/>
      <c r="I89" s="172"/>
      <c r="J89" s="330"/>
      <c r="K89" s="330"/>
      <c r="L89" s="330"/>
      <c r="M89" s="330"/>
      <c r="N89" s="330"/>
      <c r="O89" s="570"/>
      <c r="P89" s="570"/>
      <c r="Q89" s="570"/>
      <c r="R89" s="570"/>
      <c r="S89" s="570"/>
      <c r="T89" s="570"/>
      <c r="U89" s="570"/>
      <c r="V89" s="570"/>
      <c r="W89" s="570"/>
      <c r="X89" s="570"/>
      <c r="Y89" s="570"/>
      <c r="Z89" s="570"/>
      <c r="AA89" s="570"/>
      <c r="AB89" s="570"/>
      <c r="AC89" s="570"/>
      <c r="AD89" s="570"/>
      <c r="AE89" s="570"/>
      <c r="AF89" s="570"/>
      <c r="AG89" s="570"/>
      <c r="AH89" s="570"/>
      <c r="AI89" s="570"/>
      <c r="AJ89" s="570"/>
      <c r="AK89" s="570"/>
      <c r="AL89" s="570"/>
      <c r="AM89" s="570"/>
      <c r="AN89" s="570"/>
      <c r="AO89" s="570"/>
      <c r="AP89" s="570"/>
      <c r="AQ89" s="570"/>
      <c r="AR89" s="570"/>
      <c r="AS89" s="570"/>
      <c r="AT89" s="588"/>
    </row>
    <row r="90" ht="39" customHeight="true" x14ac:dyDescent="0.3">
      <c r="B90" s="597"/>
      <c r="C90" s="570"/>
      <c r="D90" s="297"/>
      <c r="E90" s="219" t="s">
        <v>1103</v>
      </c>
      <c r="F90" s="1351">
        <f>'III. Utility Data'!F84</f>
        <v>1</v>
      </c>
      <c r="G90" s="172"/>
      <c r="H90" s="172"/>
      <c r="I90" s="172"/>
      <c r="J90" s="330"/>
      <c r="K90" s="330"/>
      <c r="L90" s="330"/>
      <c r="M90" s="330"/>
      <c r="N90" s="330"/>
      <c r="O90" s="570"/>
      <c r="P90" s="570"/>
      <c r="Q90" s="570"/>
      <c r="R90" s="570"/>
      <c r="S90" s="570"/>
      <c r="T90" s="570"/>
      <c r="U90" s="570"/>
      <c r="V90" s="570"/>
      <c r="W90" s="570"/>
      <c r="X90" s="570"/>
      <c r="Y90" s="570"/>
      <c r="Z90" s="570"/>
      <c r="AA90" s="570"/>
      <c r="AB90" s="570"/>
      <c r="AC90" s="570"/>
      <c r="AD90" s="570"/>
      <c r="AE90" s="570"/>
      <c r="AF90" s="570"/>
      <c r="AG90" s="570"/>
      <c r="AH90" s="570"/>
      <c r="AI90" s="570"/>
      <c r="AJ90" s="570"/>
      <c r="AK90" s="570"/>
      <c r="AL90" s="570"/>
      <c r="AM90" s="570"/>
      <c r="AN90" s="570"/>
      <c r="AO90" s="570"/>
      <c r="AP90" s="570"/>
      <c r="AQ90" s="570"/>
      <c r="AR90" s="570"/>
      <c r="AS90" s="570"/>
      <c r="AT90" s="588"/>
    </row>
    <row r="91" ht="39" customHeight="true" x14ac:dyDescent="0.3">
      <c r="B91" s="597"/>
      <c r="C91" s="570"/>
      <c r="D91" s="297"/>
      <c r="E91" s="222" t="s">
        <v>1096</v>
      </c>
      <c r="F91" s="1348">
        <f>F90*F89/100</f>
        <v>0</v>
      </c>
      <c r="G91" s="172"/>
      <c r="H91" s="172"/>
      <c r="I91" s="172"/>
      <c r="J91" s="330"/>
      <c r="K91" s="330"/>
      <c r="L91" s="330"/>
      <c r="M91" s="330"/>
      <c r="N91" s="330"/>
      <c r="O91" s="570"/>
      <c r="P91" s="570"/>
      <c r="Q91" s="570"/>
      <c r="R91" s="570"/>
      <c r="S91" s="570"/>
      <c r="T91" s="570"/>
      <c r="U91" s="570"/>
      <c r="V91" s="570"/>
      <c r="W91" s="570"/>
      <c r="X91" s="570"/>
      <c r="Y91" s="570"/>
      <c r="Z91" s="570"/>
      <c r="AA91" s="570"/>
      <c r="AB91" s="570"/>
      <c r="AC91" s="570"/>
      <c r="AD91" s="570"/>
      <c r="AE91" s="570"/>
      <c r="AF91" s="570"/>
      <c r="AG91" s="570"/>
      <c r="AH91" s="570"/>
      <c r="AI91" s="570"/>
      <c r="AJ91" s="570"/>
      <c r="AK91" s="570"/>
      <c r="AL91" s="570"/>
      <c r="AM91" s="570"/>
      <c r="AN91" s="570"/>
      <c r="AO91" s="570"/>
      <c r="AP91" s="570"/>
      <c r="AQ91" s="570"/>
      <c r="AR91" s="570"/>
      <c r="AS91" s="570"/>
      <c r="AT91" s="588"/>
    </row>
    <row r="92" ht="39" customHeight="true" thickBot="true" x14ac:dyDescent="0.35">
      <c r="B92" s="597"/>
      <c r="C92" s="570"/>
      <c r="D92" s="297"/>
      <c r="E92" s="221" t="s">
        <v>1098</v>
      </c>
      <c r="F92" s="1349">
        <f>F93/3</f>
        <v>3.4333333333333336</v>
      </c>
      <c r="G92" s="172"/>
      <c r="H92" s="172"/>
      <c r="I92" s="172"/>
      <c r="J92" s="330"/>
      <c r="K92" s="330"/>
      <c r="L92" s="330"/>
      <c r="M92" s="330"/>
      <c r="N92" s="330"/>
      <c r="O92" s="570"/>
      <c r="P92" s="570"/>
      <c r="Q92" s="570"/>
      <c r="R92" s="570"/>
      <c r="S92" s="570"/>
      <c r="T92" s="570"/>
      <c r="U92" s="570"/>
      <c r="V92" s="570"/>
      <c r="W92" s="570"/>
      <c r="X92" s="570"/>
      <c r="Y92" s="570"/>
      <c r="Z92" s="570"/>
      <c r="AA92" s="570"/>
      <c r="AB92" s="570"/>
      <c r="AC92" s="570"/>
      <c r="AD92" s="570"/>
      <c r="AE92" s="570"/>
      <c r="AF92" s="570"/>
      <c r="AG92" s="570"/>
      <c r="AH92" s="570"/>
      <c r="AI92" s="570"/>
      <c r="AJ92" s="570"/>
      <c r="AK92" s="570"/>
      <c r="AL92" s="570"/>
      <c r="AM92" s="570"/>
      <c r="AN92" s="570"/>
      <c r="AO92" s="570"/>
      <c r="AP92" s="570"/>
      <c r="AQ92" s="570"/>
      <c r="AR92" s="570"/>
      <c r="AS92" s="570"/>
      <c r="AT92" s="588"/>
    </row>
    <row r="93" ht="39" customHeight="true" thickBot="true" x14ac:dyDescent="0.35">
      <c r="B93" s="597"/>
      <c r="C93" s="570"/>
      <c r="D93" s="297"/>
      <c r="E93" s="221" t="s">
        <v>1099</v>
      </c>
      <c r="F93" s="1349">
        <f>'III. Utility Data'!F96</f>
        <v>10.3</v>
      </c>
      <c r="G93" s="172"/>
      <c r="H93" s="172"/>
      <c r="I93" s="172"/>
      <c r="J93" s="172"/>
      <c r="K93" s="330"/>
      <c r="L93" s="330"/>
      <c r="M93" s="330"/>
      <c r="N93" s="330"/>
      <c r="O93" s="570"/>
      <c r="P93" s="570"/>
      <c r="Q93" s="570"/>
      <c r="R93" s="570"/>
      <c r="S93" s="570"/>
      <c r="T93" s="570"/>
      <c r="U93" s="570"/>
      <c r="V93" s="570"/>
      <c r="W93" s="570"/>
      <c r="X93" s="570"/>
      <c r="Y93" s="570"/>
      <c r="Z93" s="570"/>
      <c r="AA93" s="570"/>
      <c r="AB93" s="570"/>
      <c r="AC93" s="570"/>
      <c r="AD93" s="570"/>
      <c r="AE93" s="570"/>
      <c r="AF93" s="570"/>
      <c r="AG93" s="570"/>
      <c r="AH93" s="570"/>
      <c r="AI93" s="570"/>
      <c r="AJ93" s="570"/>
      <c r="AK93" s="570"/>
      <c r="AL93" s="570"/>
      <c r="AM93" s="570"/>
      <c r="AN93" s="570"/>
      <c r="AO93" s="570"/>
      <c r="AP93" s="570"/>
      <c r="AQ93" s="570"/>
      <c r="AR93" s="570"/>
      <c r="AS93" s="570"/>
      <c r="AT93" s="588"/>
    </row>
    <row r="94" ht="39" customHeight="true" thickBot="true" x14ac:dyDescent="0.35">
      <c r="B94" s="597"/>
      <c r="C94" s="570"/>
      <c r="D94" s="297"/>
      <c r="E94" s="223" t="s">
        <v>1075</v>
      </c>
      <c r="F94" s="1352">
        <f>F89*F90/100*F92+F89*(100-F90)/100*F93</f>
        <v>0</v>
      </c>
      <c r="G94" s="570"/>
      <c r="H94" s="570"/>
      <c r="I94" s="570"/>
      <c r="J94" s="330"/>
      <c r="K94" s="330"/>
      <c r="L94" s="330"/>
      <c r="M94" s="330"/>
      <c r="N94" s="330"/>
      <c r="O94" s="570"/>
      <c r="P94" s="570"/>
      <c r="Q94" s="570"/>
      <c r="R94" s="570"/>
      <c r="S94" s="570"/>
      <c r="T94" s="570"/>
      <c r="U94" s="570"/>
      <c r="V94" s="570"/>
      <c r="W94" s="570"/>
      <c r="X94" s="570"/>
      <c r="Y94" s="570"/>
      <c r="Z94" s="570"/>
      <c r="AA94" s="570"/>
      <c r="AB94" s="570"/>
      <c r="AC94" s="570"/>
      <c r="AD94" s="570"/>
      <c r="AE94" s="570"/>
      <c r="AF94" s="570"/>
      <c r="AG94" s="570"/>
      <c r="AH94" s="570"/>
      <c r="AI94" s="570"/>
      <c r="AJ94" s="570"/>
      <c r="AK94" s="570"/>
      <c r="AL94" s="570"/>
      <c r="AM94" s="570"/>
      <c r="AN94" s="570"/>
      <c r="AO94" s="570"/>
      <c r="AP94" s="570"/>
      <c r="AQ94" s="570"/>
      <c r="AR94" s="570"/>
      <c r="AS94" s="570"/>
      <c r="AT94" s="588"/>
    </row>
    <row r="95" ht="18.75" customHeight="true" x14ac:dyDescent="0.3">
      <c r="B95" s="597"/>
      <c r="C95" s="570"/>
      <c r="D95" s="297"/>
      <c r="E95" s="570"/>
      <c r="F95" s="570"/>
      <c r="G95" s="172"/>
      <c r="H95" s="172"/>
      <c r="I95" s="172"/>
      <c r="J95" s="330"/>
      <c r="K95" s="330"/>
      <c r="L95" s="330"/>
      <c r="M95" s="330"/>
      <c r="N95" s="330"/>
      <c r="O95" s="570"/>
      <c r="P95" s="570"/>
      <c r="Q95" s="570"/>
      <c r="R95" s="570"/>
      <c r="S95" s="570"/>
      <c r="T95" s="570"/>
      <c r="U95" s="570"/>
      <c r="V95" s="570"/>
      <c r="W95" s="570"/>
      <c r="X95" s="570"/>
      <c r="Y95" s="570"/>
      <c r="Z95" s="570"/>
      <c r="AA95" s="570"/>
      <c r="AB95" s="570"/>
      <c r="AC95" s="570"/>
      <c r="AD95" s="570"/>
      <c r="AE95" s="570"/>
      <c r="AF95" s="570"/>
      <c r="AG95" s="570"/>
      <c r="AH95" s="570"/>
      <c r="AI95" s="570"/>
      <c r="AJ95" s="570"/>
      <c r="AK95" s="570"/>
      <c r="AL95" s="570"/>
      <c r="AM95" s="570"/>
      <c r="AN95" s="570"/>
      <c r="AO95" s="570"/>
      <c r="AP95" s="570"/>
      <c r="AQ95" s="570"/>
      <c r="AR95" s="570"/>
      <c r="AS95" s="570"/>
      <c r="AT95" s="588"/>
    </row>
    <row r="96" ht="18.75" customHeight="true" x14ac:dyDescent="0.3">
      <c r="B96" s="597"/>
      <c r="C96" s="570"/>
      <c r="D96" s="297"/>
      <c r="E96" s="570"/>
      <c r="F96" s="570"/>
      <c r="G96" s="172"/>
      <c r="H96" s="172"/>
      <c r="I96" s="172"/>
      <c r="J96" s="330"/>
      <c r="K96" s="330"/>
      <c r="L96" s="330"/>
      <c r="M96" s="330"/>
      <c r="N96" s="330"/>
      <c r="O96" s="570"/>
      <c r="P96" s="570"/>
      <c r="Q96" s="570"/>
      <c r="R96" s="570"/>
      <c r="S96" s="570"/>
      <c r="T96" s="570"/>
      <c r="U96" s="570"/>
      <c r="V96" s="570"/>
      <c r="W96" s="570"/>
      <c r="X96" s="570"/>
      <c r="Y96" s="570"/>
      <c r="Z96" s="570"/>
      <c r="AA96" s="570"/>
      <c r="AB96" s="570"/>
      <c r="AC96" s="570"/>
      <c r="AD96" s="570"/>
      <c r="AE96" s="570"/>
      <c r="AF96" s="570"/>
      <c r="AG96" s="570"/>
      <c r="AH96" s="570"/>
      <c r="AI96" s="570"/>
      <c r="AJ96" s="570"/>
      <c r="AK96" s="570"/>
      <c r="AL96" s="570"/>
      <c r="AM96" s="570"/>
      <c r="AN96" s="570"/>
      <c r="AO96" s="570"/>
      <c r="AP96" s="570"/>
      <c r="AQ96" s="570"/>
      <c r="AR96" s="570"/>
      <c r="AS96" s="570"/>
      <c r="AT96" s="588"/>
    </row>
    <row r="97" ht="18.75" customHeight="true" x14ac:dyDescent="0.3">
      <c r="B97" s="597"/>
      <c r="C97" s="570"/>
      <c r="D97" s="297"/>
      <c r="E97" s="570"/>
      <c r="F97" s="570"/>
      <c r="G97" s="172"/>
      <c r="H97" s="172"/>
      <c r="I97" s="172"/>
      <c r="J97" s="330"/>
      <c r="K97" s="330"/>
      <c r="L97" s="330"/>
      <c r="M97" s="330"/>
      <c r="N97" s="330"/>
      <c r="O97" s="570"/>
      <c r="P97" s="570"/>
      <c r="Q97" s="570"/>
      <c r="R97" s="570"/>
      <c r="S97" s="570"/>
      <c r="T97" s="570"/>
      <c r="U97" s="570"/>
      <c r="V97" s="570"/>
      <c r="W97" s="570"/>
      <c r="X97" s="570"/>
      <c r="Y97" s="570"/>
      <c r="Z97" s="570"/>
      <c r="AA97" s="570"/>
      <c r="AB97" s="570"/>
      <c r="AC97" s="570"/>
      <c r="AD97" s="570"/>
      <c r="AE97" s="570"/>
      <c r="AF97" s="570"/>
      <c r="AG97" s="570"/>
      <c r="AH97" s="570"/>
      <c r="AI97" s="570"/>
      <c r="AJ97" s="570"/>
      <c r="AK97" s="570"/>
      <c r="AL97" s="570"/>
      <c r="AM97" s="570"/>
      <c r="AN97" s="570"/>
      <c r="AO97" s="570"/>
      <c r="AP97" s="570"/>
      <c r="AQ97" s="570"/>
      <c r="AR97" s="570"/>
      <c r="AS97" s="570"/>
      <c r="AT97" s="588"/>
    </row>
    <row r="98" ht="18.75" customHeight="true" x14ac:dyDescent="0.3">
      <c r="B98" s="597"/>
      <c r="C98" s="570"/>
      <c r="D98" s="297"/>
      <c r="E98" s="570"/>
      <c r="F98" s="570"/>
      <c r="G98" s="172"/>
      <c r="H98" s="172"/>
      <c r="I98" s="172"/>
      <c r="J98" s="330"/>
      <c r="K98" s="330"/>
      <c r="L98" s="330"/>
      <c r="M98" s="330"/>
      <c r="N98" s="330"/>
      <c r="O98" s="570"/>
      <c r="P98" s="570"/>
      <c r="Q98" s="570"/>
      <c r="R98" s="570"/>
      <c r="S98" s="570"/>
      <c r="T98" s="570"/>
      <c r="U98" s="570"/>
      <c r="V98" s="570"/>
      <c r="W98" s="570"/>
      <c r="X98" s="570"/>
      <c r="Y98" s="570"/>
      <c r="Z98" s="570"/>
      <c r="AA98" s="570"/>
      <c r="AB98" s="570"/>
      <c r="AC98" s="570"/>
      <c r="AD98" s="570"/>
      <c r="AE98" s="570"/>
      <c r="AF98" s="570"/>
      <c r="AG98" s="570"/>
      <c r="AH98" s="570"/>
      <c r="AI98" s="570"/>
      <c r="AJ98" s="570"/>
      <c r="AK98" s="570"/>
      <c r="AL98" s="570"/>
      <c r="AM98" s="570"/>
      <c r="AN98" s="570"/>
      <c r="AO98" s="570"/>
      <c r="AP98" s="570"/>
      <c r="AQ98" s="570"/>
      <c r="AR98" s="570"/>
      <c r="AS98" s="570"/>
      <c r="AT98" s="588"/>
    </row>
    <row r="99" ht="35.25" customHeight="true" thickBot="true" x14ac:dyDescent="0.45">
      <c r="B99" s="597"/>
      <c r="C99" s="570"/>
      <c r="D99" s="297"/>
      <c r="E99" s="875" t="s">
        <v>1487</v>
      </c>
      <c r="F99" s="570"/>
      <c r="G99" s="172"/>
      <c r="H99" s="172"/>
      <c r="I99" s="172"/>
      <c r="J99" s="330"/>
      <c r="K99" s="330"/>
      <c r="L99" s="330"/>
      <c r="M99" s="330"/>
      <c r="N99" s="330"/>
      <c r="O99" s="570"/>
      <c r="P99" s="570"/>
      <c r="Q99" s="570"/>
      <c r="R99" s="570"/>
      <c r="S99" s="570"/>
      <c r="T99" s="570"/>
      <c r="U99" s="570"/>
      <c r="V99" s="570"/>
      <c r="W99" s="570"/>
      <c r="X99" s="570"/>
      <c r="Y99" s="570"/>
      <c r="Z99" s="570"/>
      <c r="AA99" s="570"/>
      <c r="AB99" s="570"/>
      <c r="AC99" s="570"/>
      <c r="AD99" s="570"/>
      <c r="AE99" s="570"/>
      <c r="AF99" s="570"/>
      <c r="AG99" s="570"/>
      <c r="AH99" s="570"/>
      <c r="AI99" s="570"/>
      <c r="AJ99" s="570"/>
      <c r="AK99" s="570"/>
      <c r="AL99" s="570"/>
      <c r="AM99" s="570"/>
      <c r="AN99" s="570"/>
      <c r="AO99" s="570"/>
      <c r="AP99" s="570"/>
      <c r="AQ99" s="570"/>
      <c r="AR99" s="570"/>
      <c r="AS99" s="570"/>
      <c r="AT99" s="588"/>
    </row>
    <row r="100" ht="39" customHeight="true" thickBot="true" x14ac:dyDescent="0.35">
      <c r="B100" s="597"/>
      <c r="C100" s="570"/>
      <c r="D100" s="297"/>
      <c r="E100" s="224" t="s">
        <v>1078</v>
      </c>
      <c r="F100" s="1352">
        <f>J71</f>
        <v>0</v>
      </c>
      <c r="G100" s="172"/>
      <c r="H100" s="172"/>
      <c r="I100" s="172"/>
      <c r="J100" s="330"/>
      <c r="K100" s="330"/>
      <c r="L100" s="330"/>
      <c r="M100" s="330"/>
      <c r="N100" s="330"/>
      <c r="O100" s="570"/>
      <c r="P100" s="570"/>
      <c r="Q100" s="570"/>
      <c r="R100" s="570"/>
      <c r="S100" s="570"/>
      <c r="T100" s="570"/>
      <c r="U100" s="570"/>
      <c r="V100" s="570"/>
      <c r="W100" s="570"/>
      <c r="X100" s="570"/>
      <c r="Y100" s="570"/>
      <c r="Z100" s="570"/>
      <c r="AA100" s="570"/>
      <c r="AB100" s="570"/>
      <c r="AC100" s="570"/>
      <c r="AD100" s="570"/>
      <c r="AE100" s="570"/>
      <c r="AF100" s="570"/>
      <c r="AG100" s="570"/>
      <c r="AH100" s="570"/>
      <c r="AI100" s="570"/>
      <c r="AJ100" s="570"/>
      <c r="AK100" s="570"/>
      <c r="AL100" s="570"/>
      <c r="AM100" s="570"/>
      <c r="AN100" s="570"/>
      <c r="AO100" s="570"/>
      <c r="AP100" s="570"/>
      <c r="AQ100" s="570"/>
      <c r="AR100" s="570"/>
      <c r="AS100" s="570"/>
      <c r="AT100" s="588"/>
    </row>
    <row r="101" ht="39" customHeight="true" x14ac:dyDescent="0.3">
      <c r="B101" s="597"/>
      <c r="C101" s="570"/>
      <c r="D101" s="297"/>
      <c r="E101" s="219" t="s">
        <v>1103</v>
      </c>
      <c r="F101" s="1351">
        <f>'III. Utility Data'!F95</f>
        <v>1</v>
      </c>
      <c r="G101" s="172"/>
      <c r="H101" s="172"/>
      <c r="I101" s="172"/>
      <c r="J101" s="330"/>
      <c r="K101" s="330"/>
      <c r="L101" s="330"/>
      <c r="M101" s="330"/>
      <c r="N101" s="330"/>
      <c r="O101" s="570"/>
      <c r="P101" s="570"/>
      <c r="Q101" s="570"/>
      <c r="R101" s="570"/>
      <c r="S101" s="570"/>
      <c r="T101" s="570"/>
      <c r="U101" s="570"/>
      <c r="V101" s="570"/>
      <c r="W101" s="570"/>
      <c r="X101" s="570"/>
      <c r="Y101" s="570"/>
      <c r="Z101" s="570"/>
      <c r="AA101" s="570"/>
      <c r="AB101" s="570"/>
      <c r="AC101" s="570"/>
      <c r="AD101" s="570"/>
      <c r="AE101" s="570"/>
      <c r="AF101" s="570"/>
      <c r="AG101" s="570"/>
      <c r="AH101" s="570"/>
      <c r="AI101" s="570"/>
      <c r="AJ101" s="570"/>
      <c r="AK101" s="570"/>
      <c r="AL101" s="570"/>
      <c r="AM101" s="570"/>
      <c r="AN101" s="570"/>
      <c r="AO101" s="570"/>
      <c r="AP101" s="570"/>
      <c r="AQ101" s="570"/>
      <c r="AR101" s="570"/>
      <c r="AS101" s="570"/>
      <c r="AT101" s="588"/>
    </row>
    <row r="102" ht="39" customHeight="true" x14ac:dyDescent="0.3">
      <c r="B102" s="597"/>
      <c r="C102" s="570"/>
      <c r="D102" s="297"/>
      <c r="E102" s="222" t="s">
        <v>1096</v>
      </c>
      <c r="F102" s="1348">
        <f>F101*F100/100</f>
        <v>0</v>
      </c>
      <c r="G102" s="172"/>
      <c r="H102" s="172"/>
      <c r="I102" s="172"/>
      <c r="J102" s="330"/>
      <c r="K102" s="330"/>
      <c r="L102" s="330"/>
      <c r="M102" s="330"/>
      <c r="N102" s="330"/>
      <c r="O102" s="570"/>
      <c r="P102" s="570"/>
      <c r="Q102" s="570"/>
      <c r="R102" s="570"/>
      <c r="S102" s="570"/>
      <c r="T102" s="570"/>
      <c r="U102" s="570"/>
      <c r="V102" s="570"/>
      <c r="W102" s="570"/>
      <c r="X102" s="570"/>
      <c r="Y102" s="570"/>
      <c r="Z102" s="570"/>
      <c r="AA102" s="570"/>
      <c r="AB102" s="570"/>
      <c r="AC102" s="570"/>
      <c r="AD102" s="570"/>
      <c r="AE102" s="570"/>
      <c r="AF102" s="570"/>
      <c r="AG102" s="570"/>
      <c r="AH102" s="570"/>
      <c r="AI102" s="570"/>
      <c r="AJ102" s="570"/>
      <c r="AK102" s="570"/>
      <c r="AL102" s="570"/>
      <c r="AM102" s="570"/>
      <c r="AN102" s="570"/>
      <c r="AO102" s="570"/>
      <c r="AP102" s="570"/>
      <c r="AQ102" s="570"/>
      <c r="AR102" s="570"/>
      <c r="AS102" s="570"/>
      <c r="AT102" s="588"/>
    </row>
    <row r="103" ht="39" customHeight="true" thickBot="true" x14ac:dyDescent="0.35">
      <c r="B103" s="597"/>
      <c r="C103" s="570"/>
      <c r="D103" s="820"/>
      <c r="E103" s="221" t="s">
        <v>1098</v>
      </c>
      <c r="F103" s="1349">
        <f>F92</f>
        <v>3.4333333333333336</v>
      </c>
      <c r="G103" s="172"/>
      <c r="H103" s="172"/>
      <c r="I103" s="172"/>
      <c r="J103" s="330"/>
      <c r="K103" s="330"/>
      <c r="L103" s="330"/>
      <c r="M103" s="330"/>
      <c r="N103" s="330"/>
      <c r="O103" s="570"/>
      <c r="P103" s="297"/>
      <c r="Q103" s="611"/>
      <c r="R103" s="570"/>
      <c r="S103" s="570"/>
      <c r="T103" s="570"/>
      <c r="U103" s="570"/>
      <c r="V103" s="570"/>
      <c r="W103" s="570"/>
      <c r="X103" s="570"/>
      <c r="Y103" s="570"/>
      <c r="Z103" s="570"/>
      <c r="AA103" s="570"/>
      <c r="AB103" s="570"/>
      <c r="AC103" s="570"/>
      <c r="AD103" s="570"/>
      <c r="AE103" s="570"/>
      <c r="AF103" s="570"/>
      <c r="AG103" s="570"/>
      <c r="AH103" s="570"/>
      <c r="AI103" s="570"/>
      <c r="AJ103" s="570"/>
      <c r="AK103" s="570"/>
      <c r="AL103" s="570"/>
      <c r="AM103" s="570"/>
      <c r="AN103" s="570"/>
      <c r="AO103" s="570"/>
      <c r="AP103" s="570"/>
      <c r="AQ103" s="570"/>
      <c r="AR103" s="570"/>
      <c r="AS103" s="570"/>
      <c r="AT103" s="588"/>
    </row>
    <row r="104" ht="39" customHeight="true" thickBot="true" x14ac:dyDescent="0.35">
      <c r="B104" s="597"/>
      <c r="C104" s="172"/>
      <c r="D104" s="172"/>
      <c r="E104" s="221" t="s">
        <v>1099</v>
      </c>
      <c r="F104" s="1349">
        <f>'III. Utility Data'!F96</f>
        <v>10.3</v>
      </c>
      <c r="G104" s="172"/>
      <c r="H104" s="172"/>
      <c r="I104" s="172"/>
      <c r="J104" s="172"/>
      <c r="K104" s="330"/>
      <c r="L104" s="330"/>
      <c r="M104" s="330"/>
      <c r="N104" s="330"/>
      <c r="O104" s="570"/>
      <c r="P104" s="297"/>
      <c r="Q104" s="611"/>
      <c r="R104" s="570"/>
      <c r="S104" s="570"/>
      <c r="T104" s="570"/>
      <c r="U104" s="570"/>
      <c r="V104" s="570"/>
      <c r="W104" s="570"/>
      <c r="X104" s="570"/>
      <c r="Y104" s="570"/>
      <c r="Z104" s="570"/>
      <c r="AA104" s="570"/>
      <c r="AB104" s="570"/>
      <c r="AC104" s="570"/>
      <c r="AD104" s="570"/>
      <c r="AE104" s="570"/>
      <c r="AF104" s="570"/>
      <c r="AG104" s="570"/>
      <c r="AH104" s="570"/>
      <c r="AI104" s="570"/>
      <c r="AJ104" s="570"/>
      <c r="AK104" s="570"/>
      <c r="AL104" s="570"/>
      <c r="AM104" s="570"/>
      <c r="AN104" s="570"/>
      <c r="AO104" s="570"/>
      <c r="AP104" s="570"/>
      <c r="AQ104" s="570"/>
      <c r="AR104" s="570"/>
      <c r="AS104" s="570"/>
      <c r="AT104" s="588"/>
    </row>
    <row r="105" ht="39" customHeight="true" thickBot="true" x14ac:dyDescent="0.35">
      <c r="B105" s="597"/>
      <c r="C105" s="172"/>
      <c r="D105" s="172"/>
      <c r="E105" s="223" t="s">
        <v>1075</v>
      </c>
      <c r="F105" s="1352">
        <f>F100*(F101/100*F103+(100-F101)/100*F104)</f>
        <v>0</v>
      </c>
      <c r="G105" s="172"/>
      <c r="H105" s="172"/>
      <c r="I105" s="172"/>
      <c r="J105" s="172"/>
      <c r="K105" s="330"/>
      <c r="L105" s="330"/>
      <c r="M105" s="330"/>
      <c r="N105" s="330"/>
      <c r="O105" s="570"/>
      <c r="P105" s="297"/>
      <c r="Q105" s="611"/>
      <c r="R105" s="570"/>
      <c r="S105" s="570"/>
      <c r="T105" s="570"/>
      <c r="U105" s="570"/>
      <c r="V105" s="570"/>
      <c r="W105" s="570"/>
      <c r="X105" s="570"/>
      <c r="Y105" s="570"/>
      <c r="Z105" s="570"/>
      <c r="AA105" s="570"/>
      <c r="AB105" s="570"/>
      <c r="AC105" s="570"/>
      <c r="AD105" s="570"/>
      <c r="AE105" s="570"/>
      <c r="AF105" s="570"/>
      <c r="AG105" s="570"/>
      <c r="AH105" s="570"/>
      <c r="AI105" s="570"/>
      <c r="AJ105" s="570"/>
      <c r="AK105" s="570"/>
      <c r="AL105" s="570"/>
      <c r="AM105" s="570"/>
      <c r="AN105" s="570"/>
      <c r="AO105" s="570"/>
      <c r="AP105" s="570"/>
      <c r="AQ105" s="570"/>
      <c r="AR105" s="570"/>
      <c r="AS105" s="570"/>
      <c r="AT105" s="588"/>
    </row>
    <row r="106" ht="33.75" customHeight="true" x14ac:dyDescent="0.3">
      <c r="B106" s="597"/>
      <c r="C106" s="172"/>
      <c r="D106" s="172"/>
      <c r="E106" s="172"/>
      <c r="F106" s="172"/>
      <c r="G106" s="172"/>
      <c r="H106" s="172"/>
      <c r="I106" s="172"/>
      <c r="J106" s="172"/>
      <c r="K106" s="330"/>
      <c r="L106" s="330"/>
      <c r="M106" s="330"/>
      <c r="N106" s="330"/>
      <c r="O106" s="570"/>
      <c r="P106" s="297"/>
      <c r="Q106" s="611"/>
      <c r="R106" s="570"/>
      <c r="S106" s="570"/>
      <c r="T106" s="570"/>
      <c r="U106" s="570"/>
      <c r="V106" s="570"/>
      <c r="W106" s="570"/>
      <c r="X106" s="570"/>
      <c r="Y106" s="570"/>
      <c r="Z106" s="570"/>
      <c r="AA106" s="570"/>
      <c r="AB106" s="570"/>
      <c r="AC106" s="570"/>
      <c r="AD106" s="570"/>
      <c r="AE106" s="570"/>
      <c r="AF106" s="570"/>
      <c r="AG106" s="570"/>
      <c r="AH106" s="570"/>
      <c r="AI106" s="570"/>
      <c r="AJ106" s="570"/>
      <c r="AK106" s="570"/>
      <c r="AL106" s="570"/>
      <c r="AM106" s="570"/>
      <c r="AN106" s="570"/>
      <c r="AO106" s="570"/>
      <c r="AP106" s="570"/>
      <c r="AQ106" s="570"/>
      <c r="AR106" s="570"/>
      <c r="AS106" s="570"/>
      <c r="AT106" s="588"/>
    </row>
    <row r="107" ht="33.75" customHeight="true" x14ac:dyDescent="0.3">
      <c r="B107" s="597"/>
      <c r="C107" s="172"/>
      <c r="D107" s="172"/>
      <c r="E107" s="172"/>
      <c r="F107" s="172"/>
      <c r="G107" s="172"/>
      <c r="H107" s="172"/>
      <c r="I107" s="172"/>
      <c r="J107" s="172"/>
      <c r="K107" s="330"/>
      <c r="L107" s="330"/>
      <c r="M107" s="330"/>
      <c r="N107" s="330"/>
      <c r="O107" s="570"/>
      <c r="P107" s="297"/>
      <c r="Q107" s="611"/>
      <c r="R107" s="570"/>
      <c r="S107" s="570"/>
      <c r="T107" s="570"/>
      <c r="U107" s="570"/>
      <c r="V107" s="570"/>
      <c r="W107" s="570"/>
      <c r="X107" s="570"/>
      <c r="Y107" s="570"/>
      <c r="Z107" s="570"/>
      <c r="AA107" s="570"/>
      <c r="AB107" s="570"/>
      <c r="AC107" s="570"/>
      <c r="AD107" s="570"/>
      <c r="AE107" s="570"/>
      <c r="AF107" s="570"/>
      <c r="AG107" s="570"/>
      <c r="AH107" s="570"/>
      <c r="AI107" s="570"/>
      <c r="AJ107" s="570"/>
      <c r="AK107" s="570"/>
      <c r="AL107" s="570"/>
      <c r="AM107" s="570"/>
      <c r="AN107" s="570"/>
      <c r="AO107" s="570"/>
      <c r="AP107" s="570"/>
      <c r="AQ107" s="570"/>
      <c r="AR107" s="570"/>
      <c r="AS107" s="570"/>
      <c r="AT107" s="588"/>
    </row>
    <row r="108" ht="33.75" customHeight="true" x14ac:dyDescent="0.3">
      <c r="B108" s="597"/>
      <c r="C108" s="172"/>
      <c r="D108" s="172"/>
      <c r="E108" s="172"/>
      <c r="F108" s="172"/>
      <c r="G108" s="172"/>
      <c r="H108" s="172"/>
      <c r="I108" s="172"/>
      <c r="J108" s="172"/>
      <c r="K108" s="330"/>
      <c r="L108" s="330"/>
      <c r="M108" s="330"/>
      <c r="N108" s="330"/>
      <c r="O108" s="570"/>
      <c r="P108" s="297"/>
      <c r="Q108" s="611"/>
      <c r="R108" s="570"/>
      <c r="S108" s="570"/>
      <c r="T108" s="570"/>
      <c r="U108" s="570"/>
      <c r="V108" s="570"/>
      <c r="W108" s="570"/>
      <c r="X108" s="570"/>
      <c r="Y108" s="570"/>
      <c r="Z108" s="570"/>
      <c r="AA108" s="570"/>
      <c r="AB108" s="570"/>
      <c r="AC108" s="570"/>
      <c r="AD108" s="570"/>
      <c r="AE108" s="570"/>
      <c r="AF108" s="570"/>
      <c r="AG108" s="570"/>
      <c r="AH108" s="570"/>
      <c r="AI108" s="570"/>
      <c r="AJ108" s="570"/>
      <c r="AK108" s="570"/>
      <c r="AL108" s="570"/>
      <c r="AM108" s="570"/>
      <c r="AN108" s="570"/>
      <c r="AO108" s="570"/>
      <c r="AP108" s="570"/>
      <c r="AQ108" s="570"/>
      <c r="AR108" s="570"/>
      <c r="AS108" s="570"/>
      <c r="AT108" s="588"/>
    </row>
    <row r="109" ht="33.75" customHeight="true" x14ac:dyDescent="0.3">
      <c r="B109" s="597"/>
      <c r="C109" s="172"/>
      <c r="D109" s="172"/>
      <c r="E109" s="172"/>
      <c r="F109" s="172"/>
      <c r="G109" s="172"/>
      <c r="H109" s="172"/>
      <c r="I109" s="172"/>
      <c r="J109" s="172"/>
      <c r="K109" s="330"/>
      <c r="L109" s="330"/>
      <c r="M109" s="330"/>
      <c r="N109" s="330"/>
      <c r="O109" s="570"/>
      <c r="P109" s="297"/>
      <c r="Q109" s="611"/>
      <c r="R109" s="570"/>
      <c r="S109" s="570"/>
      <c r="T109" s="570"/>
      <c r="U109" s="570"/>
      <c r="V109" s="570"/>
      <c r="W109" s="570"/>
      <c r="X109" s="570"/>
      <c r="Y109" s="570"/>
      <c r="Z109" s="570"/>
      <c r="AA109" s="570"/>
      <c r="AB109" s="570"/>
      <c r="AC109" s="570"/>
      <c r="AD109" s="570"/>
      <c r="AE109" s="570"/>
      <c r="AF109" s="570"/>
      <c r="AG109" s="570"/>
      <c r="AH109" s="570"/>
      <c r="AI109" s="570"/>
      <c r="AJ109" s="570"/>
      <c r="AK109" s="570"/>
      <c r="AL109" s="570"/>
      <c r="AM109" s="570"/>
      <c r="AN109" s="570"/>
      <c r="AO109" s="570"/>
      <c r="AP109" s="570"/>
      <c r="AQ109" s="570"/>
      <c r="AR109" s="570"/>
      <c r="AS109" s="570"/>
      <c r="AT109" s="588"/>
    </row>
    <row r="110" ht="33.75" customHeight="true" thickBot="true" x14ac:dyDescent="0.45">
      <c r="B110" s="597"/>
      <c r="C110" s="172"/>
      <c r="D110" s="172"/>
      <c r="E110" s="1979" t="s">
        <v>1090</v>
      </c>
      <c r="F110" s="1979"/>
      <c r="G110" s="1979"/>
      <c r="H110" s="172"/>
      <c r="I110" s="172"/>
      <c r="J110" s="172"/>
      <c r="K110" s="330"/>
      <c r="L110" s="330"/>
      <c r="M110" s="330"/>
      <c r="N110" s="330"/>
      <c r="O110" s="570"/>
      <c r="P110" s="297"/>
      <c r="Q110" s="611"/>
      <c r="R110" s="570"/>
      <c r="S110" s="570"/>
      <c r="T110" s="570"/>
      <c r="U110" s="570"/>
      <c r="V110" s="570"/>
      <c r="W110" s="570"/>
      <c r="X110" s="570"/>
      <c r="Y110" s="570"/>
      <c r="Z110" s="570"/>
      <c r="AA110" s="570"/>
      <c r="AB110" s="570"/>
      <c r="AC110" s="570"/>
      <c r="AD110" s="570"/>
      <c r="AE110" s="570"/>
      <c r="AF110" s="570"/>
      <c r="AG110" s="570"/>
      <c r="AH110" s="570"/>
      <c r="AI110" s="570"/>
      <c r="AJ110" s="570"/>
      <c r="AK110" s="570"/>
      <c r="AL110" s="570"/>
      <c r="AM110" s="570"/>
      <c r="AN110" s="570"/>
      <c r="AO110" s="570"/>
      <c r="AP110" s="570"/>
      <c r="AQ110" s="570"/>
      <c r="AR110" s="570"/>
      <c r="AS110" s="570"/>
      <c r="AT110" s="588"/>
    </row>
    <row r="111" ht="33.75" customHeight="true" x14ac:dyDescent="0.3">
      <c r="B111" s="597"/>
      <c r="C111" s="172"/>
      <c r="D111" s="172"/>
      <c r="E111" s="180"/>
      <c r="F111" s="188" t="s">
        <v>1082</v>
      </c>
      <c r="G111" s="188" t="s">
        <v>1083</v>
      </c>
      <c r="H111" s="176" t="s">
        <v>1040</v>
      </c>
      <c r="I111" s="172"/>
      <c r="J111" s="172"/>
      <c r="K111" s="330"/>
      <c r="L111" s="330"/>
      <c r="M111" s="330"/>
      <c r="N111" s="330"/>
      <c r="O111" s="570"/>
      <c r="P111" s="297"/>
      <c r="Q111" s="611"/>
      <c r="R111" s="570"/>
      <c r="S111" s="570"/>
      <c r="T111" s="570"/>
      <c r="U111" s="570"/>
      <c r="V111" s="570"/>
      <c r="W111" s="570"/>
      <c r="X111" s="570"/>
      <c r="Y111" s="570"/>
      <c r="Z111" s="570"/>
      <c r="AA111" s="570"/>
      <c r="AB111" s="570"/>
      <c r="AC111" s="570"/>
      <c r="AD111" s="570"/>
      <c r="AE111" s="570"/>
      <c r="AF111" s="570"/>
      <c r="AG111" s="570"/>
      <c r="AH111" s="570"/>
      <c r="AI111" s="570"/>
      <c r="AJ111" s="570"/>
      <c r="AK111" s="570"/>
      <c r="AL111" s="570"/>
      <c r="AM111" s="570"/>
      <c r="AN111" s="570"/>
      <c r="AO111" s="570"/>
      <c r="AP111" s="570"/>
      <c r="AQ111" s="570"/>
      <c r="AR111" s="570"/>
      <c r="AS111" s="570"/>
      <c r="AT111" s="588"/>
    </row>
    <row r="112" ht="33.75" customHeight="true" x14ac:dyDescent="0.3">
      <c r="B112" s="597"/>
      <c r="C112" s="570"/>
      <c r="D112" s="820"/>
      <c r="E112" s="185" t="s">
        <v>1070</v>
      </c>
      <c r="F112" s="206">
        <f>'II. Equipment &amp; Cost Data'!E143</f>
        <v>0</v>
      </c>
      <c r="G112" s="206">
        <f>'II. Equipment &amp; Cost Data'!F143</f>
        <v>0</v>
      </c>
      <c r="H112" s="1353">
        <f>'II. Equipment &amp; Cost Data'!G143</f>
        <v>0</v>
      </c>
      <c r="I112" s="172"/>
      <c r="J112" s="330"/>
      <c r="K112" s="330"/>
      <c r="L112" s="330"/>
      <c r="M112" s="330"/>
      <c r="N112" s="330"/>
      <c r="O112" s="570"/>
      <c r="P112" s="297"/>
      <c r="Q112" s="611"/>
      <c r="R112" s="570"/>
      <c r="S112" s="570"/>
      <c r="T112" s="570"/>
      <c r="U112" s="570"/>
      <c r="V112" s="570"/>
      <c r="W112" s="570"/>
      <c r="X112" s="570"/>
      <c r="Y112" s="570"/>
      <c r="Z112" s="570"/>
      <c r="AA112" s="570"/>
      <c r="AB112" s="570"/>
      <c r="AC112" s="570"/>
      <c r="AD112" s="570"/>
      <c r="AE112" s="570"/>
      <c r="AF112" s="570"/>
      <c r="AG112" s="570"/>
      <c r="AH112" s="570"/>
      <c r="AI112" s="570"/>
      <c r="AJ112" s="570"/>
      <c r="AK112" s="570"/>
      <c r="AL112" s="570"/>
      <c r="AM112" s="570"/>
      <c r="AN112" s="570"/>
      <c r="AO112" s="570"/>
      <c r="AP112" s="570"/>
      <c r="AQ112" s="570"/>
      <c r="AR112" s="570"/>
      <c r="AS112" s="570"/>
      <c r="AT112" s="588"/>
    </row>
    <row r="113" ht="33.75" customHeight="true" x14ac:dyDescent="0.3">
      <c r="B113" s="597"/>
      <c r="C113" s="570"/>
      <c r="D113" s="820"/>
      <c r="E113" s="185" t="s">
        <v>1084</v>
      </c>
      <c r="F113" s="206">
        <f>'II. Equipment &amp; Cost Data'!E144</f>
        <v>0</v>
      </c>
      <c r="G113" s="206">
        <f>'II. Equipment &amp; Cost Data'!F144</f>
        <v>0</v>
      </c>
      <c r="H113" s="1353">
        <f>'II. Equipment &amp; Cost Data'!G144</f>
        <v>0</v>
      </c>
      <c r="I113" s="172"/>
      <c r="J113" s="330"/>
      <c r="K113" s="330"/>
      <c r="L113" s="330"/>
      <c r="M113" s="330"/>
      <c r="N113" s="330"/>
      <c r="O113" s="570"/>
      <c r="P113" s="297"/>
      <c r="Q113" s="611"/>
      <c r="R113" s="570"/>
      <c r="S113" s="570"/>
      <c r="T113" s="570"/>
      <c r="U113" s="570"/>
      <c r="V113" s="570"/>
      <c r="W113" s="570"/>
      <c r="X113" s="570"/>
      <c r="Y113" s="570"/>
      <c r="Z113" s="570"/>
      <c r="AA113" s="570"/>
      <c r="AB113" s="570"/>
      <c r="AC113" s="570"/>
      <c r="AD113" s="570"/>
      <c r="AE113" s="570"/>
      <c r="AF113" s="570"/>
      <c r="AG113" s="570"/>
      <c r="AH113" s="570"/>
      <c r="AI113" s="570"/>
      <c r="AJ113" s="570"/>
      <c r="AK113" s="570"/>
      <c r="AL113" s="570"/>
      <c r="AM113" s="570"/>
      <c r="AN113" s="570"/>
      <c r="AO113" s="570"/>
      <c r="AP113" s="570"/>
      <c r="AQ113" s="570"/>
      <c r="AR113" s="570"/>
      <c r="AS113" s="570"/>
      <c r="AT113" s="588"/>
    </row>
    <row r="114" ht="33.75" customHeight="true" x14ac:dyDescent="0.3">
      <c r="B114" s="597"/>
      <c r="C114" s="570"/>
      <c r="D114" s="820"/>
      <c r="E114" s="185" t="s">
        <v>1081</v>
      </c>
      <c r="F114" s="206">
        <f>'II. Equipment &amp; Cost Data'!E145</f>
        <v>0</v>
      </c>
      <c r="G114" s="206">
        <f>'II. Equipment &amp; Cost Data'!F145</f>
        <v>0</v>
      </c>
      <c r="H114" s="1353">
        <f>'II. Equipment &amp; Cost Data'!G145</f>
        <v>0</v>
      </c>
      <c r="I114" s="172"/>
      <c r="J114" s="330"/>
      <c r="K114" s="330"/>
      <c r="L114" s="330"/>
      <c r="M114" s="330"/>
      <c r="N114" s="330"/>
      <c r="O114" s="570"/>
      <c r="P114" s="297"/>
      <c r="Q114" s="611"/>
      <c r="R114" s="570"/>
      <c r="S114" s="570"/>
      <c r="T114" s="570"/>
      <c r="U114" s="570"/>
      <c r="V114" s="570"/>
      <c r="W114" s="570"/>
      <c r="X114" s="570"/>
      <c r="Y114" s="570"/>
      <c r="Z114" s="570"/>
      <c r="AA114" s="570"/>
      <c r="AB114" s="570"/>
      <c r="AC114" s="570"/>
      <c r="AD114" s="570"/>
      <c r="AE114" s="570"/>
      <c r="AF114" s="570"/>
      <c r="AG114" s="570"/>
      <c r="AH114" s="570"/>
      <c r="AI114" s="570"/>
      <c r="AJ114" s="570"/>
      <c r="AK114" s="570"/>
      <c r="AL114" s="570"/>
      <c r="AM114" s="570"/>
      <c r="AN114" s="570"/>
      <c r="AO114" s="570"/>
      <c r="AP114" s="570"/>
      <c r="AQ114" s="570"/>
      <c r="AR114" s="570"/>
      <c r="AS114" s="570"/>
      <c r="AT114" s="588"/>
    </row>
    <row r="115" ht="33.75" customHeight="true" x14ac:dyDescent="0.3">
      <c r="B115" s="597"/>
      <c r="C115" s="570"/>
      <c r="D115" s="820"/>
      <c r="E115" s="185" t="s">
        <v>1086</v>
      </c>
      <c r="F115" s="206">
        <f>'II. Equipment &amp; Cost Data'!E146</f>
        <v>0</v>
      </c>
      <c r="G115" s="206">
        <f>'II. Equipment &amp; Cost Data'!F146</f>
        <v>0</v>
      </c>
      <c r="H115" s="1353">
        <f>'II. Equipment &amp; Cost Data'!G146</f>
        <v>0</v>
      </c>
      <c r="I115" s="172"/>
      <c r="J115" s="330"/>
      <c r="K115" s="330"/>
      <c r="L115" s="330"/>
      <c r="M115" s="330"/>
      <c r="N115" s="330"/>
      <c r="O115" s="570"/>
      <c r="P115" s="297"/>
      <c r="Q115" s="611"/>
      <c r="R115" s="570"/>
      <c r="S115" s="570"/>
      <c r="T115" s="570"/>
      <c r="U115" s="570"/>
      <c r="V115" s="570"/>
      <c r="W115" s="570"/>
      <c r="X115" s="570"/>
      <c r="Y115" s="570"/>
      <c r="Z115" s="570"/>
      <c r="AA115" s="570"/>
      <c r="AB115" s="570"/>
      <c r="AC115" s="570"/>
      <c r="AD115" s="570"/>
      <c r="AE115" s="570"/>
      <c r="AF115" s="570"/>
      <c r="AG115" s="570"/>
      <c r="AH115" s="570"/>
      <c r="AI115" s="570"/>
      <c r="AJ115" s="570"/>
      <c r="AK115" s="570"/>
      <c r="AL115" s="570"/>
      <c r="AM115" s="570"/>
      <c r="AN115" s="570"/>
      <c r="AO115" s="570"/>
      <c r="AP115" s="570"/>
      <c r="AQ115" s="570"/>
      <c r="AR115" s="570"/>
      <c r="AS115" s="570"/>
      <c r="AT115" s="588"/>
    </row>
    <row r="116" ht="33.75" customHeight="true" thickBot="true" x14ac:dyDescent="0.35">
      <c r="B116" s="597"/>
      <c r="C116" s="570"/>
      <c r="D116" s="820"/>
      <c r="E116" s="881" t="s">
        <v>1085</v>
      </c>
      <c r="F116" s="1354">
        <f>F113/I69*F78+ABS(F114/1000*F88)*(F90/100*F92+(100-F90)/100*F93)+F115*(F101/100*F103+(100-F101)/100*F104)</f>
        <v>0</v>
      </c>
      <c r="G116" s="1354">
        <f>G113/I69*F78+ABS(G114/1000*F88)*(F90/100*F92+(100-F90)/100*F93)+G115*(F101/100*F103+(100-F101)/100*F104)</f>
        <v>0</v>
      </c>
      <c r="H116" s="1355">
        <f>H113/I69*F78+ABS(H114/1000*F88)*(F90/100*F92+(100-F90)/100*F93)+H115*(F101/100*F103+(100-F101)/100*F104)</f>
        <v>0</v>
      </c>
      <c r="I116" s="172"/>
      <c r="J116" s="330"/>
      <c r="K116" s="330"/>
      <c r="L116" s="330"/>
      <c r="M116" s="330"/>
      <c r="N116" s="330"/>
      <c r="O116" s="570"/>
      <c r="P116" s="297"/>
      <c r="Q116" s="611"/>
      <c r="R116" s="570"/>
      <c r="S116" s="570"/>
      <c r="T116" s="570"/>
      <c r="U116" s="570"/>
      <c r="V116" s="570"/>
      <c r="W116" s="570"/>
      <c r="X116" s="570"/>
      <c r="Y116" s="570"/>
      <c r="Z116" s="570"/>
      <c r="AA116" s="570"/>
      <c r="AB116" s="570"/>
      <c r="AC116" s="570"/>
      <c r="AD116" s="570"/>
      <c r="AE116" s="570"/>
      <c r="AF116" s="570"/>
      <c r="AG116" s="570"/>
      <c r="AH116" s="570"/>
      <c r="AI116" s="570"/>
      <c r="AJ116" s="570"/>
      <c r="AK116" s="570"/>
      <c r="AL116" s="570"/>
      <c r="AM116" s="570"/>
      <c r="AN116" s="570"/>
      <c r="AO116" s="570"/>
      <c r="AP116" s="570"/>
      <c r="AQ116" s="570"/>
      <c r="AR116" s="570"/>
      <c r="AS116" s="570"/>
      <c r="AT116" s="588"/>
    </row>
    <row r="117" ht="60" customHeight="true" thickBot="true" x14ac:dyDescent="0.35">
      <c r="B117" s="605"/>
      <c r="C117" s="591"/>
      <c r="D117" s="832"/>
      <c r="E117" s="882"/>
      <c r="F117" s="591"/>
      <c r="G117" s="756"/>
      <c r="H117" s="756"/>
      <c r="I117" s="756"/>
      <c r="J117" s="883"/>
      <c r="K117" s="883"/>
      <c r="L117" s="883"/>
      <c r="M117" s="883"/>
      <c r="N117" s="883"/>
      <c r="O117" s="591"/>
      <c r="P117" s="723"/>
      <c r="Q117" s="724"/>
      <c r="R117" s="591"/>
      <c r="S117" s="591"/>
      <c r="T117" s="591"/>
      <c r="U117" s="591"/>
      <c r="V117" s="591"/>
      <c r="W117" s="591"/>
      <c r="X117" s="591"/>
      <c r="Y117" s="591"/>
      <c r="Z117" s="591"/>
      <c r="AA117" s="591"/>
      <c r="AB117" s="591"/>
      <c r="AC117" s="591"/>
      <c r="AD117" s="591"/>
      <c r="AE117" s="591"/>
      <c r="AF117" s="591"/>
      <c r="AG117" s="591"/>
      <c r="AH117" s="591"/>
      <c r="AI117" s="591"/>
      <c r="AJ117" s="591"/>
      <c r="AK117" s="591"/>
      <c r="AL117" s="591"/>
      <c r="AM117" s="591"/>
      <c r="AN117" s="591"/>
      <c r="AO117" s="591"/>
      <c r="AP117" s="591"/>
      <c r="AQ117" s="591"/>
      <c r="AR117" s="591"/>
      <c r="AS117" s="591"/>
      <c r="AT117" s="606"/>
    </row>
    <row r="118" ht="60" customHeight="true" x14ac:dyDescent="0.3">
      <c r="E118" s="884"/>
      <c r="F118" s="8"/>
      <c r="G118" s="8"/>
      <c r="H118" s="8"/>
      <c r="I118" s="8"/>
      <c r="J118" s="758"/>
      <c r="K118" s="758"/>
      <c r="L118" s="758"/>
      <c r="M118" s="758"/>
      <c r="N118" s="758"/>
    </row>
    <row r="119" ht="60" customHeight="true" x14ac:dyDescent="0.3">
      <c r="E119" s="1977"/>
      <c r="F119" s="1977"/>
      <c r="G119" s="1977"/>
      <c r="H119" s="1977"/>
      <c r="I119" s="1977"/>
      <c r="J119" s="1977"/>
      <c r="K119" s="1977"/>
      <c r="L119" s="1977"/>
      <c r="M119" s="1977"/>
      <c r="N119" s="1977"/>
    </row>
    <row r="120" ht="60" customHeight="true" x14ac:dyDescent="0.3">
      <c r="E120" s="885"/>
      <c r="F120" s="8"/>
      <c r="G120" s="8"/>
      <c r="H120" s="8"/>
      <c r="I120" s="8"/>
      <c r="J120" s="758"/>
      <c r="K120" s="758"/>
      <c r="L120" s="758"/>
      <c r="M120" s="758"/>
      <c r="N120" s="758"/>
    </row>
    <row r="121" ht="60" customHeight="true" x14ac:dyDescent="0.3">
      <c r="E121" s="1977"/>
      <c r="F121" s="1977"/>
      <c r="G121" s="1977"/>
      <c r="H121" s="1977"/>
      <c r="I121" s="1977"/>
      <c r="J121" s="1977"/>
      <c r="K121" s="1977"/>
      <c r="L121" s="1977"/>
      <c r="M121" s="1977"/>
      <c r="N121" s="1977"/>
    </row>
    <row r="122" ht="60" customHeight="true" x14ac:dyDescent="0.3">
      <c r="G122" s="8"/>
      <c r="H122" s="8"/>
      <c r="I122" s="8"/>
      <c r="J122" s="758"/>
      <c r="K122" s="758"/>
      <c r="L122" s="758"/>
      <c r="M122" s="758"/>
      <c r="N122" s="758"/>
    </row>
    <row r="123" ht="60" customHeight="true" x14ac:dyDescent="0.3">
      <c r="E123" s="8"/>
      <c r="F123" s="8"/>
      <c r="G123" s="8"/>
      <c r="H123" s="8"/>
      <c r="I123" s="8"/>
      <c r="J123" s="758"/>
      <c r="K123" s="758"/>
      <c r="L123" s="758"/>
      <c r="M123" s="758"/>
      <c r="N123" s="758"/>
    </row>
    <row r="124" ht="60" customHeight="true" x14ac:dyDescent="0.3">
      <c r="E124" s="8"/>
      <c r="F124" s="8"/>
      <c r="G124" s="8"/>
      <c r="H124" s="8"/>
      <c r="I124" s="8"/>
      <c r="J124" s="758"/>
      <c r="K124" s="758"/>
      <c r="L124" s="758"/>
      <c r="M124" s="758"/>
      <c r="N124" s="758"/>
    </row>
    <row r="125" ht="60" customHeight="true" x14ac:dyDescent="0.3">
      <c r="E125" s="8"/>
      <c r="F125" s="8"/>
      <c r="G125" s="8"/>
      <c r="H125" s="8"/>
      <c r="I125" s="8"/>
      <c r="J125" s="758"/>
      <c r="K125" s="758"/>
      <c r="L125" s="758"/>
      <c r="M125" s="758"/>
      <c r="N125" s="758"/>
    </row>
    <row r="126" ht="60" customHeight="true" x14ac:dyDescent="0.3">
      <c r="E126" s="8"/>
      <c r="F126" s="8"/>
      <c r="G126" s="8"/>
      <c r="H126" s="8"/>
      <c r="I126" s="8"/>
      <c r="J126" s="758"/>
      <c r="K126" s="758"/>
      <c r="L126" s="758"/>
      <c r="M126" s="758"/>
      <c r="N126" s="758"/>
    </row>
    <row r="127" ht="60" customHeight="true" x14ac:dyDescent="0.3">
      <c r="E127" s="8"/>
      <c r="F127" s="8"/>
      <c r="G127" s="8"/>
      <c r="H127" s="8"/>
      <c r="I127" s="8"/>
      <c r="J127" s="758"/>
      <c r="K127" s="758"/>
      <c r="L127" s="758"/>
      <c r="M127" s="758"/>
      <c r="N127" s="758"/>
    </row>
    <row r="128" ht="60" customHeight="true" x14ac:dyDescent="0.3">
      <c r="E128" s="8"/>
      <c r="F128" s="8"/>
      <c r="G128" s="8"/>
      <c r="H128" s="8"/>
      <c r="I128" s="8"/>
      <c r="J128" s="758"/>
      <c r="K128" s="758"/>
      <c r="L128" s="758"/>
      <c r="M128" s="758"/>
      <c r="N128" s="758"/>
    </row>
    <row r="129" ht="60" customHeight="true" x14ac:dyDescent="0.3">
      <c r="E129" s="8"/>
      <c r="F129" s="8"/>
      <c r="G129" s="8"/>
      <c r="H129" s="8"/>
      <c r="I129" s="8"/>
      <c r="J129" s="758"/>
      <c r="K129" s="758"/>
      <c r="L129" s="758"/>
      <c r="M129" s="758"/>
      <c r="N129" s="758"/>
    </row>
    <row r="130" ht="60" customHeight="true" x14ac:dyDescent="0.3">
      <c r="G130" s="886"/>
      <c r="H130" s="886"/>
      <c r="I130" s="8"/>
      <c r="J130" s="758"/>
      <c r="K130" s="758"/>
      <c r="L130" s="758"/>
      <c r="M130" s="758"/>
      <c r="N130" s="758"/>
    </row>
    <row r="131" ht="60" customHeight="true" x14ac:dyDescent="0.3">
      <c r="G131" s="886"/>
      <c r="H131" s="886"/>
      <c r="I131" s="8"/>
      <c r="J131" s="758"/>
      <c r="K131" s="758"/>
      <c r="L131" s="758"/>
      <c r="M131" s="758"/>
      <c r="N131" s="758"/>
    </row>
    <row r="132" ht="60" customHeight="true" x14ac:dyDescent="0.3">
      <c r="G132" s="886"/>
      <c r="H132" s="886"/>
      <c r="I132" s="8"/>
      <c r="J132" s="758"/>
      <c r="K132" s="758"/>
      <c r="L132" s="758"/>
      <c r="M132" s="758"/>
      <c r="N132" s="758"/>
    </row>
    <row r="133" ht="60" customHeight="true" x14ac:dyDescent="0.3">
      <c r="G133" s="886"/>
      <c r="H133" s="886"/>
      <c r="I133" s="8"/>
      <c r="J133" s="758"/>
      <c r="K133" s="758"/>
      <c r="L133" s="758"/>
      <c r="M133" s="758"/>
      <c r="N133" s="758"/>
    </row>
    <row r="134" ht="60" customHeight="true" x14ac:dyDescent="0.3">
      <c r="G134" s="886" t="s">
        <v>1486</v>
      </c>
      <c r="H134" s="886"/>
      <c r="I134" s="8"/>
      <c r="J134" s="758"/>
      <c r="K134" s="758"/>
      <c r="L134" s="758"/>
      <c r="M134" s="758"/>
      <c r="N134" s="758"/>
    </row>
    <row r="135" ht="60" customHeight="true" x14ac:dyDescent="0.3">
      <c r="G135" s="8"/>
      <c r="H135" s="8"/>
      <c r="I135" s="8"/>
      <c r="J135" s="758"/>
      <c r="K135" s="758"/>
      <c r="L135" s="758"/>
      <c r="M135" s="758"/>
      <c r="N135" s="758"/>
    </row>
    <row r="136" ht="60" customHeight="true" x14ac:dyDescent="0.3">
      <c r="G136" s="8"/>
      <c r="H136" s="8"/>
      <c r="I136" s="8"/>
      <c r="J136" s="758"/>
      <c r="K136" s="758"/>
      <c r="L136" s="758"/>
      <c r="M136" s="758"/>
      <c r="N136" s="758"/>
    </row>
    <row r="137" ht="60" customHeight="true" x14ac:dyDescent="0.3">
      <c r="E137" s="8"/>
      <c r="F137" s="8"/>
      <c r="G137" s="8"/>
      <c r="H137" s="8"/>
      <c r="I137" s="8"/>
      <c r="J137" s="758"/>
      <c r="K137" s="758"/>
      <c r="L137" s="758"/>
      <c r="M137" s="758"/>
      <c r="N137" s="758"/>
    </row>
    <row r="138" ht="60" customHeight="true" x14ac:dyDescent="0.3">
      <c r="E138" s="8"/>
      <c r="F138" s="8"/>
      <c r="G138" s="8"/>
      <c r="H138" s="8"/>
      <c r="I138" s="8"/>
      <c r="J138" s="758"/>
      <c r="K138" s="758"/>
      <c r="L138" s="758"/>
      <c r="M138" s="758"/>
      <c r="N138" s="758"/>
    </row>
    <row r="139" ht="60" customHeight="true" x14ac:dyDescent="0.3">
      <c r="E139" s="8"/>
      <c r="F139" s="8"/>
      <c r="G139" s="8"/>
      <c r="H139" s="8"/>
      <c r="I139" s="8"/>
      <c r="J139" s="758"/>
      <c r="K139" s="758"/>
      <c r="L139" s="758"/>
      <c r="M139" s="758"/>
      <c r="N139" s="758"/>
    </row>
    <row r="140" ht="60" customHeight="true" x14ac:dyDescent="0.3">
      <c r="I140" s="8"/>
      <c r="J140" s="758"/>
      <c r="K140" s="758"/>
      <c r="L140" s="758"/>
      <c r="M140" s="758"/>
      <c r="N140" s="758"/>
    </row>
    <row r="141" ht="60" customHeight="true" x14ac:dyDescent="0.3">
      <c r="I141" s="8"/>
      <c r="J141" s="758"/>
      <c r="K141" s="758"/>
      <c r="L141" s="758"/>
      <c r="M141" s="758"/>
      <c r="N141" s="758"/>
    </row>
    <row r="142" ht="60" customHeight="true" x14ac:dyDescent="0.3">
      <c r="I142" s="8"/>
      <c r="J142" s="758"/>
      <c r="K142" s="758"/>
      <c r="L142" s="758"/>
      <c r="M142" s="758"/>
      <c r="N142" s="758"/>
    </row>
    <row r="143" ht="60" customHeight="true" x14ac:dyDescent="0.3">
      <c r="I143" s="8"/>
      <c r="J143" s="758"/>
      <c r="K143" s="758"/>
      <c r="L143" s="758"/>
      <c r="M143" s="758"/>
      <c r="N143" s="758"/>
    </row>
    <row r="144" ht="60" customHeight="true" x14ac:dyDescent="0.3">
      <c r="I144" s="8"/>
      <c r="J144" s="758"/>
      <c r="K144" s="758"/>
      <c r="L144" s="758"/>
      <c r="M144" s="758"/>
      <c r="N144" s="758"/>
    </row>
    <row r="145" ht="60" customHeight="true" x14ac:dyDescent="0.3">
      <c r="I145" s="8"/>
      <c r="J145" s="758"/>
      <c r="K145" s="758"/>
      <c r="L145" s="758"/>
      <c r="M145" s="758"/>
      <c r="N145" s="758"/>
    </row>
    <row r="146" ht="60" customHeight="true" x14ac:dyDescent="0.3">
      <c r="I146" s="8"/>
      <c r="J146" s="758"/>
      <c r="K146" s="758"/>
      <c r="L146" s="758"/>
      <c r="M146" s="758"/>
      <c r="N146" s="758"/>
    </row>
    <row r="147" ht="60" customHeight="true" x14ac:dyDescent="0.3">
      <c r="E147" s="8"/>
      <c r="F147" s="8"/>
      <c r="G147" s="8"/>
      <c r="H147" s="8"/>
      <c r="I147" s="8"/>
      <c r="J147" s="758"/>
      <c r="K147" s="758"/>
      <c r="L147" s="758"/>
      <c r="M147" s="758"/>
      <c r="N147" s="758"/>
    </row>
    <row r="148" ht="60" customHeight="true" x14ac:dyDescent="0.3">
      <c r="E148" s="8"/>
      <c r="F148" s="8"/>
      <c r="G148" s="8"/>
      <c r="H148" s="8"/>
      <c r="I148" s="8"/>
      <c r="J148" s="758"/>
      <c r="K148" s="758"/>
      <c r="L148" s="758"/>
      <c r="M148" s="758"/>
      <c r="N148" s="758"/>
    </row>
    <row r="149" ht="60" customHeight="true" x14ac:dyDescent="0.3"/>
    <row r="150" ht="60" customHeight="true" x14ac:dyDescent="0.3"/>
    <row r="151" ht="60" customHeight="true" x14ac:dyDescent="0.3"/>
    <row r="152" ht="60" customHeight="true" x14ac:dyDescent="0.3"/>
  </sheetData>
  <sheetProtection sheet="true" objects="true" scenarios="true"/>
  <mergeCells count="15">
    <mergeCell ref="E121:N121"/>
    <mergeCell ref="G69:H69"/>
    <mergeCell ref="G68:H68"/>
    <mergeCell ref="G70:H70"/>
    <mergeCell ref="E68:F68"/>
    <mergeCell ref="E110:G110"/>
    <mergeCell ref="E86:H86"/>
    <mergeCell ref="E87:G87"/>
    <mergeCell ref="E77:G77"/>
    <mergeCell ref="S4:AF4"/>
    <mergeCell ref="L4:O4"/>
    <mergeCell ref="G71:H71"/>
    <mergeCell ref="D5:E5"/>
    <mergeCell ref="E119:N119"/>
    <mergeCell ref="B23:I23"/>
  </mergeCells>
  <phoneticPr fontId="32" type="noConversion"/>
  <conditionalFormatting sqref="P6:P20">
    <cfRule type="colorScale" priority="2">
      <colorScale>
        <cfvo type="num" val="0"/>
        <cfvo type="num" val="100"/>
        <color rgb="FFFF0000"/>
        <color rgb="FF21FF85"/>
      </colorScale>
    </cfRule>
  </conditionalFormatting>
  <pageMargins left="0.75" right="0.75" top="1" bottom="1" header="0.5" footer="0.5"/>
  <pageSetup orientation="portrait" r:id="rId1"/>
  <headerFooter alignWithMargins="false"/>
  <drawing r:id="rId2"/>
  <legacyDrawing r:id="rId3"/>
  <oleObjects>
    <mc:AlternateContent xmlns:mc="http://schemas.openxmlformats.org/markup-compatibility/2006">
      <mc:Choice Requires="x14">
        <oleObject progId="Equation.DSMT4" shapeId="3122" r:id="rId4">
          <objectPr defaultSize="0" autoPict="0" r:id="rId5">
            <anchor moveWithCells="1" sizeWithCells="1">
              <from>
                <xdr:col>7</xdr:col>
                <xdr:colOff>83820</xdr:colOff>
                <xdr:row>5</xdr:row>
                <xdr:rowOff>144780</xdr:rowOff>
              </from>
              <to>
                <xdr:col>7</xdr:col>
                <xdr:colOff>4922520</xdr:colOff>
                <xdr:row>5</xdr:row>
                <xdr:rowOff>1447800</xdr:rowOff>
              </to>
            </anchor>
          </objectPr>
        </oleObject>
      </mc:Choice>
      <mc:Fallback>
        <oleObject progId="Equation.DSMT4" shapeId="3122" r:id="rId4"/>
      </mc:Fallback>
    </mc:AlternateContent>
  </oleObjec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dimension ref="B2:AP326"/>
  <sheetViews>
    <sheetView topLeftCell="H3" zoomScale="55" zoomScaleNormal="55" workbookViewId="0">
      <selection activeCell="O6" sqref="O6"/>
    </sheetView>
  </sheetViews>
  <sheetFormatPr defaultColWidth="9.109375" defaultRowHeight="21" x14ac:dyDescent="0.3"/>
  <cols>
    <col min="1" max="1" width="9.109375" style="62"/>
    <col min="2" max="2" width="14.88671875" style="62" customWidth="true"/>
    <col min="3" max="3" width="15.6640625" style="62" customWidth="true"/>
    <col min="4" max="4" width="8.88671875" style="88" customWidth="true"/>
    <col min="5" max="5" width="44.88671875" style="796" customWidth="true"/>
    <col min="6" max="6" width="24.88671875" style="675" customWidth="true"/>
    <col min="7" max="7" width="75.33203125" style="62" customWidth="true"/>
    <col min="8" max="8" width="93.109375" style="674" customWidth="true"/>
    <col min="9" max="9" width="75.109375" style="797" customWidth="true"/>
    <col min="10" max="10" width="62.6640625" style="673" customWidth="true"/>
    <col min="11" max="11" width="34.88671875" style="59" customWidth="true"/>
    <col min="12" max="12" width="27.33203125" style="797" customWidth="true"/>
    <col min="13" max="13" width="28.5546875" style="798" customWidth="true"/>
    <col min="14" max="14" width="20.44140625" style="62" customWidth="true"/>
    <col min="15" max="15" width="27.33203125" style="62" customWidth="true"/>
    <col min="16" max="16" width="20.33203125" style="74" customWidth="true"/>
    <col min="17" max="17" width="19" style="675" customWidth="true"/>
    <col min="18" max="18" width="16.6640625" style="62" customWidth="true"/>
    <col min="19" max="19" width="18" style="62" customWidth="true"/>
    <col min="20" max="21" width="19" style="62" customWidth="true"/>
    <col min="22" max="23" width="21" style="62" customWidth="true"/>
    <col min="24" max="16384" width="9.109375" style="62"/>
  </cols>
  <sheetData>
    <row r="2" ht="21.6" thickBot="true" x14ac:dyDescent="0.35"/>
    <row r="3" s="73" customFormat="true" ht="38.4" thickBot="true" x14ac:dyDescent="0.35">
      <c r="B3" s="668" t="s">
        <v>2366</v>
      </c>
      <c r="C3" s="387"/>
      <c r="D3" s="429"/>
      <c r="E3" s="799"/>
      <c r="F3" s="431"/>
      <c r="G3" s="432"/>
      <c r="H3" s="433"/>
      <c r="I3" s="800"/>
      <c r="J3" s="434"/>
      <c r="K3" s="429"/>
      <c r="L3" s="801"/>
      <c r="M3" s="802"/>
      <c r="N3" s="387"/>
      <c r="O3" s="428"/>
      <c r="P3" s="435"/>
      <c r="Q3" s="437"/>
      <c r="R3" s="438"/>
      <c r="S3" s="428"/>
      <c r="T3" s="428"/>
      <c r="U3" s="437"/>
      <c r="V3" s="437"/>
      <c r="W3" s="437"/>
      <c r="X3" s="428"/>
      <c r="Y3" s="428"/>
      <c r="Z3" s="428"/>
      <c r="AA3" s="428"/>
      <c r="AB3" s="428"/>
      <c r="AC3" s="428"/>
      <c r="AD3" s="428"/>
      <c r="AE3" s="428"/>
      <c r="AF3" s="428"/>
      <c r="AG3" s="428"/>
      <c r="AH3" s="428"/>
      <c r="AI3" s="428"/>
      <c r="AJ3" s="428"/>
      <c r="AK3" s="428"/>
      <c r="AL3" s="428"/>
      <c r="AM3" s="428"/>
      <c r="AN3" s="428"/>
      <c r="AO3" s="439"/>
    </row>
    <row r="4" s="73" customFormat="true" ht="21.6" thickBot="true" x14ac:dyDescent="0.45">
      <c r="B4" s="436"/>
      <c r="C4" s="72"/>
      <c r="D4" s="421"/>
      <c r="E4" s="803"/>
      <c r="F4" s="72"/>
      <c r="G4" s="422"/>
      <c r="H4" s="391"/>
      <c r="I4" s="804"/>
      <c r="J4" s="423"/>
      <c r="K4" s="421"/>
      <c r="L4" s="1971" t="s">
        <v>27</v>
      </c>
      <c r="M4" s="1972"/>
      <c r="N4" s="1972"/>
      <c r="O4" s="1973"/>
      <c r="P4" s="669"/>
      <c r="Q4" s="440"/>
      <c r="R4" s="441"/>
      <c r="S4" s="440"/>
      <c r="T4" s="440"/>
      <c r="U4" s="442"/>
      <c r="V4" s="442"/>
      <c r="W4" s="442"/>
      <c r="X4" s="391"/>
      <c r="Y4" s="391"/>
      <c r="Z4" s="391"/>
      <c r="AA4" s="391"/>
      <c r="AB4" s="391"/>
      <c r="AC4" s="391"/>
      <c r="AD4" s="391"/>
      <c r="AE4" s="391"/>
      <c r="AF4" s="391"/>
      <c r="AG4" s="391"/>
      <c r="AH4" s="391"/>
      <c r="AI4" s="391"/>
      <c r="AJ4" s="391"/>
      <c r="AK4" s="391"/>
      <c r="AL4" s="391"/>
      <c r="AM4" s="391"/>
      <c r="AN4" s="391"/>
      <c r="AO4" s="443"/>
    </row>
    <row r="5" s="78" customFormat="true" ht="42.6" thickBot="true" x14ac:dyDescent="0.3">
      <c r="B5" s="424"/>
      <c r="C5" s="557"/>
      <c r="D5" s="1988" t="s">
        <v>24</v>
      </c>
      <c r="E5" s="1989"/>
      <c r="F5" s="1193" t="s">
        <v>44</v>
      </c>
      <c r="G5" s="426" t="s">
        <v>42</v>
      </c>
      <c r="H5" s="1193" t="s">
        <v>39</v>
      </c>
      <c r="I5" s="1193" t="s">
        <v>29</v>
      </c>
      <c r="J5" s="1193" t="s">
        <v>30</v>
      </c>
      <c r="K5" s="1193" t="s">
        <v>31</v>
      </c>
      <c r="L5" s="46" t="s">
        <v>73</v>
      </c>
      <c r="M5" s="47" t="s">
        <v>2260</v>
      </c>
      <c r="N5" s="46" t="s">
        <v>74</v>
      </c>
      <c r="O5" s="47" t="s">
        <v>2261</v>
      </c>
      <c r="P5" s="44" t="s">
        <v>97</v>
      </c>
      <c r="Q5" s="425"/>
      <c r="R5" s="425"/>
      <c r="S5" s="1970" t="s">
        <v>2367</v>
      </c>
      <c r="T5" s="1970"/>
      <c r="U5" s="1970"/>
      <c r="V5" s="1970"/>
      <c r="W5" s="1970"/>
      <c r="X5" s="1970"/>
      <c r="Y5" s="1970"/>
      <c r="Z5" s="1970"/>
      <c r="AA5" s="1970"/>
      <c r="AB5" s="1970"/>
      <c r="AC5" s="1970"/>
      <c r="AD5" s="1970"/>
      <c r="AE5" s="1970"/>
      <c r="AF5" s="1970"/>
      <c r="AG5" s="1970"/>
      <c r="AH5" s="1970"/>
      <c r="AI5" s="1970"/>
      <c r="AJ5" s="1970"/>
      <c r="AK5" s="425"/>
      <c r="AL5" s="425"/>
      <c r="AM5" s="425"/>
      <c r="AN5" s="425"/>
      <c r="AO5" s="444"/>
    </row>
    <row r="6" ht="354" customHeight="true" x14ac:dyDescent="0.25">
      <c r="B6" s="805"/>
      <c r="C6" s="806"/>
      <c r="D6" s="1273">
        <f>1</f>
        <v>1</v>
      </c>
      <c r="E6" s="450" t="s">
        <v>1787</v>
      </c>
      <c r="F6" s="451" t="s">
        <v>1729</v>
      </c>
      <c r="G6" s="452" t="s">
        <v>11</v>
      </c>
      <c r="H6" s="453"/>
      <c r="I6" s="1356">
        <f>IFERROR(Q95/1000000,"missing data")</f>
        <v>3.4291443490463092</v>
      </c>
      <c r="J6" s="454" t="s">
        <v>1195</v>
      </c>
      <c r="K6" s="396" t="s">
        <v>1788</v>
      </c>
      <c r="L6" s="1356">
        <f>U95/1000000</f>
        <v>6.138851963141426</v>
      </c>
      <c r="M6" s="1135">
        <f>L6</f>
        <v>6.138851963141426</v>
      </c>
      <c r="N6" s="1357">
        <f>W95/1000000</f>
        <v>1.0583253479644816</v>
      </c>
      <c r="O6" s="1136">
        <f>N6</f>
        <v>1.0583253479644816</v>
      </c>
      <c r="P6" s="1358">
        <f>IFERROR(IF(ROUND((I6- IF(O6&lt;&gt;"",O6,N6))/(IF(M6&lt;&gt;"",M6,L6)- IF(O6&lt;&gt;"",O6,N6))*100,2)&lt;0,0,IF(ROUND((I6- IF(O6&lt;&gt;"",O6,N6))/(IF(M6&lt;&gt;"",M6,L6)- IF(O6&lt;&gt;"",O6,N6))*100,2)&gt;100,100,ROUND((I6- IF(O6&lt;&gt;"",O6,N6))/(IF(M6&lt;&gt;"",M6,L6)- IF(O6&lt;&gt;"",O6,N6))*100,2))),"")</f>
        <v>46.66</v>
      </c>
      <c r="Q6" s="669"/>
      <c r="R6" s="683"/>
      <c r="S6" s="683"/>
      <c r="T6" s="683"/>
      <c r="U6" s="683"/>
      <c r="V6" s="683"/>
      <c r="W6" s="683"/>
      <c r="X6" s="683"/>
      <c r="Y6" s="683"/>
      <c r="Z6" s="683"/>
      <c r="AA6" s="683"/>
      <c r="AB6" s="683"/>
      <c r="AC6" s="683"/>
      <c r="AD6" s="683"/>
      <c r="AE6" s="683"/>
      <c r="AF6" s="683"/>
      <c r="AG6" s="683"/>
      <c r="AH6" s="683"/>
      <c r="AI6" s="683"/>
      <c r="AJ6" s="683"/>
      <c r="AK6" s="683"/>
      <c r="AL6" s="683"/>
      <c r="AM6" s="683"/>
      <c r="AN6" s="683"/>
      <c r="AO6" s="685"/>
    </row>
    <row r="7" ht="81" customHeight="true" x14ac:dyDescent="0.25">
      <c r="B7" s="697"/>
      <c r="C7" s="806"/>
      <c r="D7" s="1276">
        <f t="shared" ref="D7:D12" si="0">D6+1</f>
        <v>2</v>
      </c>
      <c r="E7" s="455" t="s">
        <v>1104</v>
      </c>
      <c r="F7" s="456" t="s">
        <v>1730</v>
      </c>
      <c r="G7" s="457" t="s">
        <v>1167</v>
      </c>
      <c r="H7" s="239"/>
      <c r="I7" s="458" t="str">
        <f>IFERROR(SUMIF(P84:P95,"&gt;0")/ABS(SUMIF(P84:P95,"&lt;0")),"missing data")</f>
        <v>missing data</v>
      </c>
      <c r="J7" s="398" t="s">
        <v>1168</v>
      </c>
      <c r="K7" s="399" t="s">
        <v>1169</v>
      </c>
      <c r="L7" s="458" t="e">
        <f>SUMIF(T85:T95,"&gt;0")/ABS(SUMIF(T85:T95,"&lt;0"))</f>
        <v>#DIV/0!</v>
      </c>
      <c r="M7" s="1135" t="e">
        <f t="shared" ref="M7:M38" si="1">L7</f>
        <v>#DIV/0!</v>
      </c>
      <c r="N7" s="458">
        <v>1</v>
      </c>
      <c r="O7" s="1136">
        <f t="shared" ref="O7:O38" si="2">N7</f>
        <v>1</v>
      </c>
      <c r="P7" s="1358" t="str">
        <f t="shared" ref="P7:P37" si="3">IFERROR(IF(ROUND((I7- IF(O7&lt;&gt;"",O7,N7))/(IF(M7&lt;&gt;"",M7,L7)- IF(O7&lt;&gt;"",O7,N7))*100,2)&lt;0,0,IF(ROUND((I7- IF(O7&lt;&gt;"",O7,N7))/(IF(M7&lt;&gt;"",M7,L7)- IF(O7&lt;&gt;"",O7,N7))*100,2)&gt;100,100,ROUND((I7- IF(O7&lt;&gt;"",O7,N7))/(IF(M7&lt;&gt;"",M7,L7)- IF(O7&lt;&gt;"",O7,N7))*100,2))),"")</f>
        <v/>
      </c>
      <c r="Q7" s="669"/>
      <c r="R7" s="683"/>
      <c r="S7" s="683"/>
      <c r="T7" s="683"/>
      <c r="U7" s="683"/>
      <c r="V7" s="683"/>
      <c r="W7" s="683"/>
      <c r="X7" s="683"/>
      <c r="Y7" s="683"/>
      <c r="Z7" s="683"/>
      <c r="AA7" s="683"/>
      <c r="AB7" s="683"/>
      <c r="AC7" s="683"/>
      <c r="AD7" s="683"/>
      <c r="AE7" s="683"/>
      <c r="AF7" s="683"/>
      <c r="AG7" s="683"/>
      <c r="AH7" s="683"/>
      <c r="AI7" s="683"/>
      <c r="AJ7" s="683"/>
      <c r="AK7" s="683"/>
      <c r="AL7" s="683"/>
      <c r="AM7" s="683"/>
      <c r="AN7" s="683"/>
      <c r="AO7" s="685"/>
    </row>
    <row r="8" ht="83.25" customHeight="true" x14ac:dyDescent="0.25">
      <c r="B8" s="697"/>
      <c r="C8" s="806"/>
      <c r="D8" s="1276">
        <f t="shared" si="0"/>
        <v>3</v>
      </c>
      <c r="E8" s="455" t="s">
        <v>1105</v>
      </c>
      <c r="F8" s="456" t="s">
        <v>1731</v>
      </c>
      <c r="G8" s="457" t="s">
        <v>2194</v>
      </c>
      <c r="H8" s="239"/>
      <c r="I8" s="1359">
        <f>IFERROR(F110,"missing data")</f>
        <v>1</v>
      </c>
      <c r="J8" s="1177" t="s">
        <v>1170</v>
      </c>
      <c r="K8" s="399" t="s">
        <v>1171</v>
      </c>
      <c r="L8" s="458">
        <v>1</v>
      </c>
      <c r="M8" s="1135">
        <f t="shared" si="1"/>
        <v>1</v>
      </c>
      <c r="N8" s="1360">
        <f>G57+1</f>
        <v>11</v>
      </c>
      <c r="O8" s="1136">
        <f t="shared" si="2"/>
        <v>11</v>
      </c>
      <c r="P8" s="1358">
        <f t="shared" si="3"/>
        <v>100</v>
      </c>
      <c r="Q8" s="669"/>
      <c r="R8" s="683"/>
      <c r="S8" s="683"/>
      <c r="T8" s="683"/>
      <c r="U8" s="683"/>
      <c r="V8" s="683"/>
      <c r="W8" s="683"/>
      <c r="X8" s="683"/>
      <c r="Y8" s="683"/>
      <c r="Z8" s="683"/>
      <c r="AA8" s="683"/>
      <c r="AB8" s="683"/>
      <c r="AC8" s="683"/>
      <c r="AD8" s="683"/>
      <c r="AE8" s="683"/>
      <c r="AF8" s="683"/>
      <c r="AG8" s="683"/>
      <c r="AH8" s="683"/>
      <c r="AI8" s="683"/>
      <c r="AJ8" s="683"/>
      <c r="AK8" s="683"/>
      <c r="AL8" s="683"/>
      <c r="AM8" s="683"/>
      <c r="AN8" s="683"/>
      <c r="AO8" s="685"/>
    </row>
    <row r="9" ht="210" customHeight="true" x14ac:dyDescent="0.25">
      <c r="B9" s="697"/>
      <c r="C9" s="806"/>
      <c r="D9" s="1276">
        <f t="shared" si="0"/>
        <v>4</v>
      </c>
      <c r="E9" s="455" t="s">
        <v>1106</v>
      </c>
      <c r="F9" s="456" t="s">
        <v>1732</v>
      </c>
      <c r="G9" s="238" t="s">
        <v>2195</v>
      </c>
      <c r="H9" s="239"/>
      <c r="I9" s="1436">
        <v>0.66760888923463901</v>
      </c>
      <c r="J9" s="1177" t="s">
        <v>1205</v>
      </c>
      <c r="K9" s="399" t="s">
        <v>1176</v>
      </c>
      <c r="L9" s="458">
        <v>0.4</v>
      </c>
      <c r="M9" s="1135">
        <f t="shared" si="1"/>
        <v>0.4</v>
      </c>
      <c r="N9" s="471">
        <v>0</v>
      </c>
      <c r="O9" s="1136">
        <f t="shared" si="2"/>
        <v>0</v>
      </c>
      <c r="P9" s="1358">
        <f t="shared" si="3"/>
        <v>100</v>
      </c>
      <c r="Q9" s="669"/>
      <c r="R9" s="683"/>
      <c r="S9" s="683"/>
      <c r="T9" s="683"/>
      <c r="U9" s="683"/>
      <c r="V9" s="683"/>
      <c r="W9" s="683"/>
      <c r="X9" s="683"/>
      <c r="Y9" s="683"/>
      <c r="Z9" s="683"/>
      <c r="AA9" s="683"/>
      <c r="AB9" s="683"/>
      <c r="AC9" s="683"/>
      <c r="AD9" s="683"/>
      <c r="AE9" s="683"/>
      <c r="AF9" s="683"/>
      <c r="AG9" s="683"/>
      <c r="AH9" s="683"/>
      <c r="AI9" s="683"/>
      <c r="AJ9" s="683"/>
      <c r="AK9" s="683"/>
      <c r="AL9" s="683"/>
      <c r="AM9" s="683"/>
      <c r="AN9" s="683"/>
      <c r="AO9" s="685"/>
    </row>
    <row r="10" ht="75" customHeight="true" x14ac:dyDescent="0.25">
      <c r="B10" s="697"/>
      <c r="C10" s="806"/>
      <c r="D10" s="1276">
        <f t="shared" si="0"/>
        <v>5</v>
      </c>
      <c r="E10" s="455" t="s">
        <v>1107</v>
      </c>
      <c r="F10" s="456" t="s">
        <v>1733</v>
      </c>
      <c r="G10" s="1176" t="s">
        <v>1173</v>
      </c>
      <c r="H10" s="239"/>
      <c r="I10" s="458" t="str">
        <f>IFERROR(F161,"missing data")</f>
        <v>missing data</v>
      </c>
      <c r="J10" s="398" t="s">
        <v>1168</v>
      </c>
      <c r="K10" s="399" t="s">
        <v>1172</v>
      </c>
      <c r="L10" s="458">
        <v>1</v>
      </c>
      <c r="M10" s="1135">
        <f t="shared" si="1"/>
        <v>1</v>
      </c>
      <c r="N10" s="471">
        <v>0</v>
      </c>
      <c r="O10" s="1136">
        <f t="shared" si="2"/>
        <v>0</v>
      </c>
      <c r="P10" s="1358" t="str">
        <f t="shared" si="3"/>
        <v/>
      </c>
      <c r="Q10" s="669"/>
      <c r="R10" s="683"/>
      <c r="S10" s="683"/>
      <c r="T10" s="683"/>
      <c r="U10" s="683"/>
      <c r="V10" s="683"/>
      <c r="W10" s="683"/>
      <c r="X10" s="683"/>
      <c r="Y10" s="683"/>
      <c r="Z10" s="683"/>
      <c r="AA10" s="683"/>
      <c r="AB10" s="683"/>
      <c r="AC10" s="683"/>
      <c r="AD10" s="683"/>
      <c r="AE10" s="683"/>
      <c r="AF10" s="683"/>
      <c r="AG10" s="683"/>
      <c r="AH10" s="683"/>
      <c r="AI10" s="683"/>
      <c r="AJ10" s="683"/>
      <c r="AK10" s="683"/>
      <c r="AL10" s="683"/>
      <c r="AM10" s="683"/>
      <c r="AN10" s="683"/>
      <c r="AO10" s="685"/>
    </row>
    <row r="11" ht="108.75" customHeight="true" x14ac:dyDescent="0.25">
      <c r="B11" s="697"/>
      <c r="C11" s="806"/>
      <c r="D11" s="1276">
        <f t="shared" si="0"/>
        <v>6</v>
      </c>
      <c r="E11" s="455" t="s">
        <v>1108</v>
      </c>
      <c r="F11" s="456" t="s">
        <v>1734</v>
      </c>
      <c r="G11" s="1176" t="s">
        <v>2196</v>
      </c>
      <c r="H11" s="239"/>
      <c r="I11" s="458">
        <f>IFERROR(F180,"missing data")</f>
        <v>0.20562645769266549</v>
      </c>
      <c r="J11" s="1177" t="s">
        <v>1174</v>
      </c>
      <c r="K11" s="399" t="s">
        <v>1175</v>
      </c>
      <c r="L11" s="458">
        <v>1</v>
      </c>
      <c r="M11" s="1135">
        <f t="shared" si="1"/>
        <v>1</v>
      </c>
      <c r="N11" s="471">
        <v>0</v>
      </c>
      <c r="O11" s="1136">
        <f t="shared" si="2"/>
        <v>0</v>
      </c>
      <c r="P11" s="1358">
        <f t="shared" si="3"/>
        <v>20.56</v>
      </c>
      <c r="Q11" s="669"/>
      <c r="R11" s="683"/>
      <c r="S11" s="683"/>
      <c r="T11" s="683"/>
      <c r="U11" s="683"/>
      <c r="V11" s="683"/>
      <c r="W11" s="683"/>
      <c r="X11" s="683"/>
      <c r="Y11" s="683"/>
      <c r="Z11" s="683"/>
      <c r="AA11" s="683"/>
      <c r="AB11" s="683"/>
      <c r="AC11" s="683"/>
      <c r="AD11" s="683"/>
      <c r="AE11" s="683"/>
      <c r="AF11" s="683"/>
      <c r="AG11" s="683"/>
      <c r="AH11" s="683"/>
      <c r="AI11" s="683"/>
      <c r="AJ11" s="683"/>
      <c r="AK11" s="683"/>
      <c r="AL11" s="683"/>
      <c r="AM11" s="683"/>
      <c r="AN11" s="683"/>
      <c r="AO11" s="685"/>
    </row>
    <row r="12" ht="99.75" customHeight="true" x14ac:dyDescent="0.25">
      <c r="B12" s="697"/>
      <c r="C12" s="806"/>
      <c r="D12" s="1276">
        <f t="shared" si="0"/>
        <v>7</v>
      </c>
      <c r="E12" s="455" t="s">
        <v>1109</v>
      </c>
      <c r="F12" s="456" t="s">
        <v>1735</v>
      </c>
      <c r="G12" s="1176" t="s">
        <v>1328</v>
      </c>
      <c r="H12" s="239"/>
      <c r="I12" s="458" t="str">
        <f>IFERROR(1/G57*(SUM(K86:K95))/G70,"missing data")</f>
        <v>missing data</v>
      </c>
      <c r="J12" s="398" t="s">
        <v>1168</v>
      </c>
      <c r="K12" s="399" t="s">
        <v>1176</v>
      </c>
      <c r="L12" s="458">
        <v>0.4</v>
      </c>
      <c r="M12" s="1135">
        <f t="shared" si="1"/>
        <v>0.4</v>
      </c>
      <c r="N12" s="471">
        <v>0</v>
      </c>
      <c r="O12" s="1136">
        <f t="shared" si="2"/>
        <v>0</v>
      </c>
      <c r="P12" s="1358" t="str">
        <f t="shared" si="3"/>
        <v/>
      </c>
      <c r="Q12" s="669"/>
      <c r="R12" s="683"/>
      <c r="S12" s="683"/>
      <c r="T12" s="683"/>
      <c r="U12" s="683"/>
      <c r="V12" s="683"/>
      <c r="W12" s="683"/>
      <c r="X12" s="683"/>
      <c r="Y12" s="683"/>
      <c r="Z12" s="683"/>
      <c r="AA12" s="683"/>
      <c r="AB12" s="683"/>
      <c r="AC12" s="683"/>
      <c r="AD12" s="683"/>
      <c r="AE12" s="683"/>
      <c r="AF12" s="683"/>
      <c r="AG12" s="683"/>
      <c r="AH12" s="683"/>
      <c r="AI12" s="683"/>
      <c r="AJ12" s="683"/>
      <c r="AK12" s="683"/>
      <c r="AL12" s="683"/>
      <c r="AM12" s="683"/>
      <c r="AN12" s="683"/>
      <c r="AO12" s="685"/>
    </row>
    <row r="13" ht="82.5" customHeight="true" x14ac:dyDescent="0.25">
      <c r="B13" s="697"/>
      <c r="C13" s="806"/>
      <c r="D13" s="1276">
        <f>D12+1</f>
        <v>8</v>
      </c>
      <c r="E13" s="455" t="s">
        <v>1110</v>
      </c>
      <c r="F13" s="456" t="s">
        <v>1736</v>
      </c>
      <c r="G13" s="459" t="s">
        <v>2197</v>
      </c>
      <c r="H13" s="239"/>
      <c r="I13" s="1359">
        <f>IFERROR(F203,"missing data")</f>
        <v>1</v>
      </c>
      <c r="J13" s="398" t="s">
        <v>1168</v>
      </c>
      <c r="K13" s="399" t="s">
        <v>1171</v>
      </c>
      <c r="L13" s="458">
        <v>1</v>
      </c>
      <c r="M13" s="1135">
        <f t="shared" si="1"/>
        <v>1</v>
      </c>
      <c r="N13" s="471">
        <f>G57+1</f>
        <v>11</v>
      </c>
      <c r="O13" s="1136">
        <f t="shared" si="2"/>
        <v>11</v>
      </c>
      <c r="P13" s="1358">
        <f t="shared" si="3"/>
        <v>100</v>
      </c>
      <c r="Q13" s="669"/>
      <c r="R13" s="683"/>
      <c r="S13" s="683"/>
      <c r="T13" s="683"/>
      <c r="U13" s="683"/>
      <c r="V13" s="683"/>
      <c r="W13" s="683"/>
      <c r="X13" s="683"/>
      <c r="Y13" s="683"/>
      <c r="Z13" s="683"/>
      <c r="AA13" s="683"/>
      <c r="AB13" s="683"/>
      <c r="AC13" s="683"/>
      <c r="AD13" s="683"/>
      <c r="AE13" s="683"/>
      <c r="AF13" s="683"/>
      <c r="AG13" s="683"/>
      <c r="AH13" s="683"/>
      <c r="AI13" s="683"/>
      <c r="AJ13" s="683"/>
      <c r="AK13" s="683"/>
      <c r="AL13" s="683"/>
      <c r="AM13" s="683"/>
      <c r="AN13" s="683"/>
      <c r="AO13" s="685"/>
    </row>
    <row r="14" ht="82.5" customHeight="true" x14ac:dyDescent="0.25">
      <c r="B14" s="697"/>
      <c r="C14" s="806"/>
      <c r="D14" s="1276">
        <f>D13+1</f>
        <v>9</v>
      </c>
      <c r="E14" s="455" t="s">
        <v>1112</v>
      </c>
      <c r="F14" s="456" t="s">
        <v>1737</v>
      </c>
      <c r="G14" s="457" t="s">
        <v>1177</v>
      </c>
      <c r="H14" s="239"/>
      <c r="I14" s="458" t="str">
        <f>IFERROR(G65/G70,"missing data")</f>
        <v>missing data</v>
      </c>
      <c r="J14" s="398" t="s">
        <v>1168</v>
      </c>
      <c r="K14" s="401" t="s">
        <v>1169</v>
      </c>
      <c r="L14" s="471">
        <v>4</v>
      </c>
      <c r="M14" s="1135">
        <f t="shared" si="1"/>
        <v>4</v>
      </c>
      <c r="N14" s="471">
        <v>0.2</v>
      </c>
      <c r="O14" s="1136">
        <f t="shared" si="2"/>
        <v>0.2</v>
      </c>
      <c r="P14" s="1358" t="str">
        <f t="shared" si="3"/>
        <v/>
      </c>
      <c r="Q14" s="669"/>
      <c r="R14" s="683"/>
      <c r="S14" s="683"/>
      <c r="T14" s="683"/>
      <c r="U14" s="683"/>
      <c r="V14" s="683"/>
      <c r="W14" s="683"/>
      <c r="X14" s="683"/>
      <c r="Y14" s="683"/>
      <c r="Z14" s="683"/>
      <c r="AA14" s="683"/>
      <c r="AB14" s="683"/>
      <c r="AC14" s="683"/>
      <c r="AD14" s="683"/>
      <c r="AE14" s="683"/>
      <c r="AF14" s="683"/>
      <c r="AG14" s="683"/>
      <c r="AH14" s="683"/>
      <c r="AI14" s="683"/>
      <c r="AJ14" s="683"/>
      <c r="AK14" s="683"/>
      <c r="AL14" s="683"/>
      <c r="AM14" s="683"/>
      <c r="AN14" s="683"/>
      <c r="AO14" s="685"/>
    </row>
    <row r="15" ht="72" customHeight="true" x14ac:dyDescent="0.25">
      <c r="B15" s="697"/>
      <c r="C15" s="806"/>
      <c r="D15" s="1276">
        <f>D14+1</f>
        <v>10</v>
      </c>
      <c r="E15" s="455" t="s">
        <v>1111</v>
      </c>
      <c r="F15" s="456" t="s">
        <v>1738</v>
      </c>
      <c r="G15" s="457" t="s">
        <v>1178</v>
      </c>
      <c r="H15" s="239"/>
      <c r="I15" s="458">
        <f>IFERROR(M95/1000000,"missing data")</f>
        <v>6.138851963141426</v>
      </c>
      <c r="J15" s="398" t="s">
        <v>1168</v>
      </c>
      <c r="K15" s="401" t="s">
        <v>1788</v>
      </c>
      <c r="L15" s="1359">
        <f>G70/1000000</f>
        <v>0</v>
      </c>
      <c r="M15" s="1135">
        <f t="shared" si="1"/>
        <v>0</v>
      </c>
      <c r="N15" s="471">
        <v>0</v>
      </c>
      <c r="O15" s="1136">
        <f t="shared" si="2"/>
        <v>0</v>
      </c>
      <c r="P15" s="1358" t="str">
        <f t="shared" si="3"/>
        <v/>
      </c>
      <c r="Q15" s="669"/>
      <c r="R15" s="683"/>
      <c r="S15" s="683"/>
      <c r="T15" s="683"/>
      <c r="U15" s="683"/>
      <c r="V15" s="683"/>
      <c r="W15" s="683"/>
      <c r="X15" s="683"/>
      <c r="Y15" s="683"/>
      <c r="Z15" s="683"/>
      <c r="AA15" s="683"/>
      <c r="AB15" s="683"/>
      <c r="AC15" s="683"/>
      <c r="AD15" s="683"/>
      <c r="AE15" s="683"/>
      <c r="AF15" s="683"/>
      <c r="AG15" s="683"/>
      <c r="AH15" s="683"/>
      <c r="AI15" s="683"/>
      <c r="AJ15" s="683"/>
      <c r="AK15" s="683"/>
      <c r="AL15" s="683"/>
      <c r="AM15" s="683"/>
      <c r="AN15" s="683"/>
      <c r="AO15" s="685"/>
    </row>
    <row r="16" ht="82.5" customHeight="true" x14ac:dyDescent="0.25">
      <c r="B16" s="697"/>
      <c r="C16" s="806"/>
      <c r="D16" s="1276">
        <f>D15+1</f>
        <v>11</v>
      </c>
      <c r="E16" s="455" t="s">
        <v>1113</v>
      </c>
      <c r="F16" s="456" t="s">
        <v>1739</v>
      </c>
      <c r="G16" s="457" t="s">
        <v>1329</v>
      </c>
      <c r="H16" s="239"/>
      <c r="I16" s="458" t="str">
        <f>IFERROR(SUM(N84:N95)/ABS(SUM(O84:O95)),"missing data")</f>
        <v>missing data</v>
      </c>
      <c r="J16" s="398" t="s">
        <v>1168</v>
      </c>
      <c r="K16" s="401" t="s">
        <v>1169</v>
      </c>
      <c r="L16" s="458" t="e">
        <f>SUMIF('Best&amp;Worst-Economics'!AF10:AF20,"&gt;0")/ABS(SUMIF('Best&amp;Worst-Economics'!AF10:AF20,"&lt;0"))</f>
        <v>#DIV/0!</v>
      </c>
      <c r="M16" s="1135" t="e">
        <f t="shared" si="1"/>
        <v>#DIV/0!</v>
      </c>
      <c r="N16" s="471">
        <f>SUMIF('Best&amp;Worst-Economics'!AF29:AF39,"&gt;0")/ABS(SUMIF('Best&amp;Worst-Economics'!AF29:AF39,"&lt;0"))</f>
        <v>0</v>
      </c>
      <c r="O16" s="1136">
        <f t="shared" si="2"/>
        <v>0</v>
      </c>
      <c r="P16" s="1358" t="str">
        <f t="shared" si="3"/>
        <v/>
      </c>
      <c r="Q16" s="669"/>
      <c r="R16" s="683"/>
      <c r="S16" s="683"/>
      <c r="T16" s="683"/>
      <c r="U16" s="683"/>
      <c r="V16" s="683"/>
      <c r="W16" s="683"/>
      <c r="X16" s="683"/>
      <c r="Y16" s="683"/>
      <c r="Z16" s="683"/>
      <c r="AA16" s="683"/>
      <c r="AB16" s="683"/>
      <c r="AC16" s="683"/>
      <c r="AD16" s="683"/>
      <c r="AE16" s="683"/>
      <c r="AF16" s="683"/>
      <c r="AG16" s="683"/>
      <c r="AH16" s="683"/>
      <c r="AI16" s="683"/>
      <c r="AJ16" s="683"/>
      <c r="AK16" s="683"/>
      <c r="AL16" s="683"/>
      <c r="AM16" s="683"/>
      <c r="AN16" s="683"/>
      <c r="AO16" s="685"/>
    </row>
    <row r="17" ht="78.75" customHeight="true" x14ac:dyDescent="0.25">
      <c r="B17" s="697"/>
      <c r="C17" s="806"/>
      <c r="D17" s="1276">
        <f t="shared" ref="D17:D24" si="4">D16+1</f>
        <v>12</v>
      </c>
      <c r="E17" s="455" t="s">
        <v>2201</v>
      </c>
      <c r="F17" s="460" t="s">
        <v>1740</v>
      </c>
      <c r="G17" s="243" t="s">
        <v>1179</v>
      </c>
      <c r="H17" s="239"/>
      <c r="I17" s="458">
        <f>IFERROR(F217/1000000,"missing data")</f>
        <v>6.138851963141426</v>
      </c>
      <c r="J17" s="1177" t="s">
        <v>1180</v>
      </c>
      <c r="K17" s="401" t="s">
        <v>1789</v>
      </c>
      <c r="L17" s="458">
        <f>'Best&amp;Worst-Economics'!V36</f>
        <v>148.27074738721802</v>
      </c>
      <c r="M17" s="1135">
        <f t="shared" si="1"/>
        <v>148.27074738721802</v>
      </c>
      <c r="N17" s="471">
        <v>0</v>
      </c>
      <c r="O17" s="1136">
        <f t="shared" si="2"/>
        <v>0</v>
      </c>
      <c r="P17" s="1358">
        <f t="shared" si="3"/>
        <v>4.1399999999999997</v>
      </c>
      <c r="Q17" s="669"/>
      <c r="R17" s="683"/>
      <c r="S17" s="683"/>
      <c r="T17" s="683"/>
      <c r="U17" s="683"/>
      <c r="V17" s="683"/>
      <c r="W17" s="683"/>
      <c r="X17" s="683"/>
      <c r="Y17" s="683"/>
      <c r="Z17" s="683"/>
      <c r="AA17" s="683"/>
      <c r="AB17" s="683"/>
      <c r="AC17" s="683"/>
      <c r="AD17" s="683"/>
      <c r="AE17" s="683"/>
      <c r="AF17" s="683"/>
      <c r="AG17" s="683"/>
      <c r="AH17" s="683"/>
      <c r="AI17" s="683"/>
      <c r="AJ17" s="683"/>
      <c r="AK17" s="683"/>
      <c r="AL17" s="683"/>
      <c r="AM17" s="683"/>
      <c r="AN17" s="683"/>
      <c r="AO17" s="685"/>
    </row>
    <row r="18" ht="69.75" customHeight="true" x14ac:dyDescent="0.25">
      <c r="B18" s="697"/>
      <c r="C18" s="806"/>
      <c r="D18" s="1276">
        <f t="shared" si="4"/>
        <v>13</v>
      </c>
      <c r="E18" s="461" t="s">
        <v>1114</v>
      </c>
      <c r="F18" s="460" t="s">
        <v>1741</v>
      </c>
      <c r="G18" s="457" t="s">
        <v>1181</v>
      </c>
      <c r="H18" s="239"/>
      <c r="I18" s="458">
        <f>IFERROR(F231/1000000,"missing data")</f>
        <v>0</v>
      </c>
      <c r="J18" s="1177" t="s">
        <v>1182</v>
      </c>
      <c r="K18" s="401" t="s">
        <v>1789</v>
      </c>
      <c r="L18" s="471">
        <f>G65/1000000</f>
        <v>39.552324545503645</v>
      </c>
      <c r="M18" s="1135">
        <f t="shared" si="1"/>
        <v>39.552324545503645</v>
      </c>
      <c r="N18" s="471">
        <v>0</v>
      </c>
      <c r="O18" s="1136">
        <f t="shared" si="2"/>
        <v>0</v>
      </c>
      <c r="P18" s="1358">
        <f t="shared" si="3"/>
        <v>0</v>
      </c>
      <c r="Q18" s="669"/>
      <c r="R18" s="683"/>
      <c r="S18" s="683"/>
      <c r="T18" s="683"/>
      <c r="U18" s="683"/>
      <c r="V18" s="683"/>
      <c r="W18" s="683"/>
      <c r="X18" s="683"/>
      <c r="Y18" s="683"/>
      <c r="Z18" s="683"/>
      <c r="AA18" s="683"/>
      <c r="AB18" s="683"/>
      <c r="AC18" s="683"/>
      <c r="AD18" s="683"/>
      <c r="AE18" s="683"/>
      <c r="AF18" s="683"/>
      <c r="AG18" s="683"/>
      <c r="AH18" s="683"/>
      <c r="AI18" s="683"/>
      <c r="AJ18" s="683"/>
      <c r="AK18" s="683"/>
      <c r="AL18" s="683"/>
      <c r="AM18" s="683"/>
      <c r="AN18" s="683"/>
      <c r="AO18" s="685"/>
    </row>
    <row r="19" ht="81" customHeight="true" x14ac:dyDescent="0.25">
      <c r="B19" s="697"/>
      <c r="C19" s="806"/>
      <c r="D19" s="1276">
        <f t="shared" si="4"/>
        <v>14</v>
      </c>
      <c r="E19" s="461" t="s">
        <v>1115</v>
      </c>
      <c r="F19" s="460" t="s">
        <v>1742</v>
      </c>
      <c r="G19" s="457" t="s">
        <v>1183</v>
      </c>
      <c r="H19" s="239"/>
      <c r="I19" s="458">
        <f>IFERROR(F231/G65,"missing data")</f>
        <v>0</v>
      </c>
      <c r="J19" s="1177" t="s">
        <v>1182</v>
      </c>
      <c r="K19" s="401" t="s">
        <v>1169</v>
      </c>
      <c r="L19" s="458">
        <v>1</v>
      </c>
      <c r="M19" s="1135">
        <f t="shared" si="1"/>
        <v>1</v>
      </c>
      <c r="N19" s="471">
        <v>0</v>
      </c>
      <c r="O19" s="1136">
        <f t="shared" si="2"/>
        <v>0</v>
      </c>
      <c r="P19" s="1358">
        <f t="shared" si="3"/>
        <v>0</v>
      </c>
      <c r="Q19" s="669"/>
      <c r="R19" s="683"/>
      <c r="S19" s="683"/>
      <c r="T19" s="683"/>
      <c r="U19" s="683"/>
      <c r="V19" s="683"/>
      <c r="W19" s="683"/>
      <c r="X19" s="683"/>
      <c r="Y19" s="683"/>
      <c r="Z19" s="683"/>
      <c r="AA19" s="683"/>
      <c r="AB19" s="683"/>
      <c r="AC19" s="683"/>
      <c r="AD19" s="683"/>
      <c r="AE19" s="683"/>
      <c r="AF19" s="683"/>
      <c r="AG19" s="683"/>
      <c r="AH19" s="683"/>
      <c r="AI19" s="683"/>
      <c r="AJ19" s="683"/>
      <c r="AK19" s="683"/>
      <c r="AL19" s="683"/>
      <c r="AM19" s="683"/>
      <c r="AN19" s="683"/>
      <c r="AO19" s="685"/>
    </row>
    <row r="20" ht="76.2" customHeight="true" x14ac:dyDescent="0.25">
      <c r="B20" s="697"/>
      <c r="C20" s="806"/>
      <c r="D20" s="1276">
        <f t="shared" si="4"/>
        <v>15</v>
      </c>
      <c r="E20" s="461" t="s">
        <v>1117</v>
      </c>
      <c r="F20" s="460" t="s">
        <v>1743</v>
      </c>
      <c r="G20" s="457" t="s">
        <v>1184</v>
      </c>
      <c r="H20" s="239"/>
      <c r="I20" s="458">
        <f>IFERROR(F250/1000000,"missing data")</f>
        <v>38.675345693626298</v>
      </c>
      <c r="J20" s="398" t="s">
        <v>1168</v>
      </c>
      <c r="K20" s="401" t="s">
        <v>1788</v>
      </c>
      <c r="L20" s="458">
        <f>'Best&amp;Worst-Economics'!V47</f>
        <v>18.370789204472494</v>
      </c>
      <c r="M20" s="1135">
        <f t="shared" si="1"/>
        <v>18.370789204472494</v>
      </c>
      <c r="N20" s="471">
        <f>'Best&amp;Worst-Economics'!W47</f>
        <v>81.701667777785545</v>
      </c>
      <c r="O20" s="1136">
        <f t="shared" si="2"/>
        <v>81.701667777785545</v>
      </c>
      <c r="P20" s="1358">
        <f t="shared" si="3"/>
        <v>67.94</v>
      </c>
      <c r="Q20" s="669"/>
      <c r="R20" s="683"/>
      <c r="S20" s="683"/>
      <c r="T20" s="683"/>
      <c r="U20" s="683"/>
      <c r="V20" s="683"/>
      <c r="W20" s="683"/>
      <c r="X20" s="683"/>
      <c r="Y20" s="683"/>
      <c r="Z20" s="683"/>
      <c r="AA20" s="683"/>
      <c r="AB20" s="683"/>
      <c r="AC20" s="683"/>
      <c r="AD20" s="683"/>
      <c r="AE20" s="683"/>
      <c r="AF20" s="683"/>
      <c r="AG20" s="683"/>
      <c r="AH20" s="683"/>
      <c r="AI20" s="683"/>
      <c r="AJ20" s="683"/>
      <c r="AK20" s="683"/>
      <c r="AL20" s="683"/>
      <c r="AM20" s="683"/>
      <c r="AN20" s="683"/>
      <c r="AO20" s="685"/>
    </row>
    <row r="21" ht="76.2" customHeight="true" x14ac:dyDescent="0.25">
      <c r="B21" s="697"/>
      <c r="C21" s="806"/>
      <c r="D21" s="1276">
        <f t="shared" si="4"/>
        <v>16</v>
      </c>
      <c r="E21" s="461" t="s">
        <v>1118</v>
      </c>
      <c r="F21" s="460" t="s">
        <v>1744</v>
      </c>
      <c r="G21" s="457" t="s">
        <v>1185</v>
      </c>
      <c r="H21" s="462" t="s">
        <v>1186</v>
      </c>
      <c r="I21" s="458">
        <f>IFERROR(G73/0.8/1000000,"missing data")</f>
        <v>48.344182117032872</v>
      </c>
      <c r="J21" s="1177" t="s">
        <v>1187</v>
      </c>
      <c r="K21" s="401" t="s">
        <v>1789</v>
      </c>
      <c r="L21" s="458">
        <f>'Best&amp;Worst-Economics'!L41</f>
        <v>25.622416522027425</v>
      </c>
      <c r="M21" s="1135">
        <f t="shared" si="1"/>
        <v>25.622416522027425</v>
      </c>
      <c r="N21" s="471">
        <f>'Best&amp;Worst-Economics'!N41</f>
        <v>93.787713307043774</v>
      </c>
      <c r="O21" s="1136">
        <f t="shared" si="2"/>
        <v>93.787713307043774</v>
      </c>
      <c r="P21" s="1358">
        <f t="shared" si="3"/>
        <v>66.67</v>
      </c>
      <c r="Q21" s="669"/>
      <c r="R21" s="683"/>
      <c r="S21" s="683"/>
      <c r="T21" s="683"/>
      <c r="U21" s="683"/>
      <c r="V21" s="683"/>
      <c r="W21" s="683"/>
      <c r="X21" s="683"/>
      <c r="Y21" s="683"/>
      <c r="Z21" s="683"/>
      <c r="AA21" s="683"/>
      <c r="AB21" s="683"/>
      <c r="AC21" s="683"/>
      <c r="AD21" s="683"/>
      <c r="AE21" s="683"/>
      <c r="AF21" s="683"/>
      <c r="AG21" s="683"/>
      <c r="AH21" s="683"/>
      <c r="AI21" s="683"/>
      <c r="AJ21" s="683"/>
      <c r="AK21" s="683"/>
      <c r="AL21" s="683"/>
      <c r="AM21" s="683"/>
      <c r="AN21" s="683"/>
      <c r="AO21" s="685"/>
    </row>
    <row r="22" ht="104.25" customHeight="true" x14ac:dyDescent="0.25">
      <c r="B22" s="697"/>
      <c r="C22" s="806"/>
      <c r="D22" s="1276">
        <f t="shared" si="4"/>
        <v>17</v>
      </c>
      <c r="E22" s="455" t="s">
        <v>1120</v>
      </c>
      <c r="F22" s="460" t="s">
        <v>1745</v>
      </c>
      <c r="G22" s="243" t="s">
        <v>2202</v>
      </c>
      <c r="H22" s="239"/>
      <c r="I22" s="458">
        <f>IFERROR((G64+G63+G68)/1000000,"missing data")</f>
        <v>30.491732433842522</v>
      </c>
      <c r="J22" s="407" t="s">
        <v>1168</v>
      </c>
      <c r="K22" s="401" t="s">
        <v>1789</v>
      </c>
      <c r="L22" s="458">
        <f>'Best&amp;Worst-Economics'!L43+'Best&amp;Worst-Economics'!L45+'Best&amp;Worst-Economics'!L46</f>
        <v>9.9589015161087726</v>
      </c>
      <c r="M22" s="1135">
        <f t="shared" si="1"/>
        <v>9.9589015161087726</v>
      </c>
      <c r="N22" s="471">
        <f>'Best&amp;Worst-Economics'!N43+'Best&amp;Worst-Economics'!N45+'Best&amp;Worst-Economics'!N46</f>
        <v>76.19043101644381</v>
      </c>
      <c r="O22" s="1136">
        <f t="shared" si="2"/>
        <v>76.19043101644381</v>
      </c>
      <c r="P22" s="1358">
        <f t="shared" si="3"/>
        <v>69</v>
      </c>
      <c r="Q22" s="669"/>
      <c r="R22" s="683"/>
      <c r="S22" s="683"/>
      <c r="T22" s="683"/>
      <c r="U22" s="683"/>
      <c r="V22" s="683"/>
      <c r="W22" s="683"/>
      <c r="X22" s="683"/>
      <c r="Y22" s="683"/>
      <c r="Z22" s="683"/>
      <c r="AA22" s="683"/>
      <c r="AB22" s="683"/>
      <c r="AC22" s="683"/>
      <c r="AD22" s="683"/>
      <c r="AE22" s="683"/>
      <c r="AF22" s="683"/>
      <c r="AG22" s="683"/>
      <c r="AH22" s="683"/>
      <c r="AI22" s="683"/>
      <c r="AJ22" s="683"/>
      <c r="AK22" s="683"/>
      <c r="AL22" s="683"/>
      <c r="AM22" s="683"/>
      <c r="AN22" s="683"/>
      <c r="AO22" s="685"/>
    </row>
    <row r="23" ht="122.25" customHeight="true" x14ac:dyDescent="0.25">
      <c r="B23" s="697"/>
      <c r="C23" s="683"/>
      <c r="D23" s="1276">
        <f t="shared" si="4"/>
        <v>18</v>
      </c>
      <c r="E23" s="455" t="s">
        <v>1121</v>
      </c>
      <c r="F23" s="460" t="s">
        <v>1746</v>
      </c>
      <c r="G23" s="243" t="s">
        <v>1188</v>
      </c>
      <c r="H23" s="239"/>
      <c r="I23" s="458">
        <f>IFERROR(G69/1000000,"missing data")</f>
        <v>0</v>
      </c>
      <c r="J23" s="407" t="s">
        <v>1189</v>
      </c>
      <c r="K23" s="401" t="s">
        <v>1789</v>
      </c>
      <c r="L23" s="458">
        <f>'Best&amp;Worst-Economics'!L7</f>
        <v>0</v>
      </c>
      <c r="M23" s="1135">
        <f t="shared" si="1"/>
        <v>0</v>
      </c>
      <c r="N23" s="471">
        <f>'Best&amp;Worst-Economics'!N7</f>
        <v>0</v>
      </c>
      <c r="O23" s="1136">
        <f t="shared" si="2"/>
        <v>0</v>
      </c>
      <c r="P23" s="1358" t="str">
        <f t="shared" si="3"/>
        <v/>
      </c>
      <c r="Q23" s="669"/>
      <c r="R23" s="683"/>
      <c r="S23" s="683"/>
      <c r="T23" s="683"/>
      <c r="U23" s="683"/>
      <c r="V23" s="683"/>
      <c r="W23" s="683"/>
      <c r="X23" s="683"/>
      <c r="Y23" s="683"/>
      <c r="Z23" s="683"/>
      <c r="AA23" s="683"/>
      <c r="AB23" s="683"/>
      <c r="AC23" s="683"/>
      <c r="AD23" s="683"/>
      <c r="AE23" s="683"/>
      <c r="AF23" s="683"/>
      <c r="AG23" s="683"/>
      <c r="AH23" s="683"/>
      <c r="AI23" s="683"/>
      <c r="AJ23" s="683"/>
      <c r="AK23" s="683"/>
      <c r="AL23" s="683"/>
      <c r="AM23" s="683"/>
      <c r="AN23" s="683"/>
      <c r="AO23" s="685"/>
    </row>
    <row r="24" ht="154.5" customHeight="true" x14ac:dyDescent="0.25">
      <c r="B24" s="697"/>
      <c r="C24" s="683"/>
      <c r="D24" s="1276">
        <f t="shared" si="4"/>
        <v>19</v>
      </c>
      <c r="E24" s="455" t="s">
        <v>1122</v>
      </c>
      <c r="F24" s="460" t="s">
        <v>1747</v>
      </c>
      <c r="G24" s="457" t="s">
        <v>1190</v>
      </c>
      <c r="H24" s="239"/>
      <c r="I24" s="458">
        <f>IFERROR(G73/1000000,"missing data")</f>
        <v>38.675345693626298</v>
      </c>
      <c r="J24" s="407" t="s">
        <v>1330</v>
      </c>
      <c r="K24" s="401" t="s">
        <v>1789</v>
      </c>
      <c r="L24" s="458">
        <f>'Best&amp;Worst-Economics'!L42</f>
        <v>18.370789204472494</v>
      </c>
      <c r="M24" s="1135">
        <f t="shared" si="1"/>
        <v>18.370789204472494</v>
      </c>
      <c r="N24" s="471">
        <f>'Best&amp;Worst-Economics'!N42</f>
        <v>81.701667777785545</v>
      </c>
      <c r="O24" s="1136">
        <f t="shared" si="2"/>
        <v>81.701667777785545</v>
      </c>
      <c r="P24" s="1358">
        <f t="shared" si="3"/>
        <v>67.94</v>
      </c>
      <c r="Q24" s="669"/>
      <c r="R24" s="683"/>
      <c r="S24" s="683"/>
      <c r="T24" s="683"/>
      <c r="U24" s="683"/>
      <c r="V24" s="683"/>
      <c r="W24" s="683"/>
      <c r="X24" s="683"/>
      <c r="Y24" s="683"/>
      <c r="Z24" s="683"/>
      <c r="AA24" s="683"/>
      <c r="AB24" s="683"/>
      <c r="AC24" s="683"/>
      <c r="AD24" s="683"/>
      <c r="AE24" s="683"/>
      <c r="AF24" s="683"/>
      <c r="AG24" s="683"/>
      <c r="AH24" s="683"/>
      <c r="AI24" s="683"/>
      <c r="AJ24" s="683"/>
      <c r="AK24" s="683"/>
      <c r="AL24" s="683"/>
      <c r="AM24" s="683"/>
      <c r="AN24" s="683"/>
      <c r="AO24" s="685"/>
    </row>
    <row r="25" ht="112.5" customHeight="true" x14ac:dyDescent="0.25">
      <c r="B25" s="697"/>
      <c r="C25" s="683"/>
      <c r="D25" s="1276">
        <f t="shared" ref="D25:D38" si="5">D24+1</f>
        <v>20</v>
      </c>
      <c r="E25" s="455" t="s">
        <v>1124</v>
      </c>
      <c r="F25" s="460" t="s">
        <v>1748</v>
      </c>
      <c r="G25" s="238" t="s">
        <v>1191</v>
      </c>
      <c r="H25" s="239"/>
      <c r="I25" s="458">
        <f>IFERROR(F259,"missing data")</f>
        <v>0.75119198619187466</v>
      </c>
      <c r="J25" s="407" t="s">
        <v>1168</v>
      </c>
      <c r="K25" s="401" t="s">
        <v>38</v>
      </c>
      <c r="L25" s="458">
        <f>'Best&amp;Worst-Economics'!L43/F258*1000000</f>
        <v>0.12222842190075195</v>
      </c>
      <c r="M25" s="1135">
        <f t="shared" si="1"/>
        <v>0.12222842190075195</v>
      </c>
      <c r="N25" s="471">
        <f>'Best&amp;Worst-Economics'!N43/F258*1000000</f>
        <v>0.97782737520601559</v>
      </c>
      <c r="O25" s="1136">
        <f t="shared" si="2"/>
        <v>0.97782737520601559</v>
      </c>
      <c r="P25" s="1358">
        <f t="shared" si="3"/>
        <v>26.49</v>
      </c>
      <c r="Q25" s="669"/>
      <c r="R25" s="683"/>
      <c r="S25" s="683"/>
      <c r="T25" s="683"/>
      <c r="U25" s="683"/>
      <c r="V25" s="683"/>
      <c r="W25" s="683"/>
      <c r="X25" s="683"/>
      <c r="Y25" s="683"/>
      <c r="Z25" s="683"/>
      <c r="AA25" s="683"/>
      <c r="AB25" s="683"/>
      <c r="AC25" s="683"/>
      <c r="AD25" s="683"/>
      <c r="AE25" s="683"/>
      <c r="AF25" s="683"/>
      <c r="AG25" s="683"/>
      <c r="AH25" s="683"/>
      <c r="AI25" s="683"/>
      <c r="AJ25" s="683"/>
      <c r="AK25" s="683"/>
      <c r="AL25" s="683"/>
      <c r="AM25" s="683"/>
      <c r="AN25" s="683"/>
      <c r="AO25" s="685"/>
    </row>
    <row r="26" ht="67.5" customHeight="true" x14ac:dyDescent="0.25">
      <c r="B26" s="697"/>
      <c r="C26" s="683"/>
      <c r="D26" s="1276">
        <f t="shared" si="5"/>
        <v>21</v>
      </c>
      <c r="E26" s="461" t="s">
        <v>1125</v>
      </c>
      <c r="F26" s="460" t="s">
        <v>1749</v>
      </c>
      <c r="G26" s="457" t="s">
        <v>1192</v>
      </c>
      <c r="H26" s="463"/>
      <c r="I26" s="458">
        <f>IFERROR(F257/1000000,"missing data")</f>
        <v>29.711389233842521</v>
      </c>
      <c r="J26" s="407" t="s">
        <v>1168</v>
      </c>
      <c r="K26" s="401" t="s">
        <v>1790</v>
      </c>
      <c r="L26" s="458">
        <f>'Best&amp;Worst-Economics'!L43</f>
        <v>4.8344182117032872</v>
      </c>
      <c r="M26" s="1135">
        <f t="shared" si="1"/>
        <v>4.8344182117032872</v>
      </c>
      <c r="N26" s="471">
        <f>'Best&amp;Worst-Economics'!N43</f>
        <v>38.675345693626298</v>
      </c>
      <c r="O26" s="1136">
        <f t="shared" si="2"/>
        <v>38.675345693626298</v>
      </c>
      <c r="P26" s="1358">
        <f t="shared" si="3"/>
        <v>26.49</v>
      </c>
      <c r="Q26" s="669"/>
      <c r="R26" s="683"/>
      <c r="S26" s="683"/>
      <c r="T26" s="683"/>
      <c r="U26" s="683"/>
      <c r="V26" s="683"/>
      <c r="W26" s="683"/>
      <c r="X26" s="683"/>
      <c r="Y26" s="683"/>
      <c r="Z26" s="683"/>
      <c r="AA26" s="683"/>
      <c r="AB26" s="683"/>
      <c r="AC26" s="683"/>
      <c r="AD26" s="683"/>
      <c r="AE26" s="683"/>
      <c r="AF26" s="683"/>
      <c r="AG26" s="683"/>
      <c r="AH26" s="683"/>
      <c r="AI26" s="683"/>
      <c r="AJ26" s="683"/>
      <c r="AK26" s="683"/>
      <c r="AL26" s="683"/>
      <c r="AM26" s="683"/>
      <c r="AN26" s="683"/>
      <c r="AO26" s="685"/>
    </row>
    <row r="27" ht="57" customHeight="true" x14ac:dyDescent="0.25">
      <c r="B27" s="697"/>
      <c r="C27" s="683"/>
      <c r="D27" s="1276">
        <f t="shared" si="5"/>
        <v>22</v>
      </c>
      <c r="E27" s="461" t="s">
        <v>1126</v>
      </c>
      <c r="F27" s="460" t="s">
        <v>1750</v>
      </c>
      <c r="G27" s="243" t="s">
        <v>1194</v>
      </c>
      <c r="H27" s="239"/>
      <c r="I27" s="458">
        <f>IFERROR(F271/1000000,"missing data")</f>
        <v>0</v>
      </c>
      <c r="J27" s="407" t="s">
        <v>1331</v>
      </c>
      <c r="K27" s="401" t="s">
        <v>1790</v>
      </c>
      <c r="L27" s="458">
        <f>'Best&amp;Worst-Economics'!U58</f>
        <v>74.135475918572666</v>
      </c>
      <c r="M27" s="1135">
        <f t="shared" si="1"/>
        <v>74.135475918572666</v>
      </c>
      <c r="N27" s="471">
        <f>'Best&amp;Worst-Economics'!V58</f>
        <v>7241.1395083257039</v>
      </c>
      <c r="O27" s="1136">
        <f t="shared" si="2"/>
        <v>7241.1395083257039</v>
      </c>
      <c r="P27" s="1358">
        <f t="shared" si="3"/>
        <v>100</v>
      </c>
      <c r="Q27" s="669"/>
      <c r="R27" s="683"/>
      <c r="S27" s="683"/>
      <c r="T27" s="683"/>
      <c r="U27" s="683"/>
      <c r="V27" s="683"/>
      <c r="W27" s="683"/>
      <c r="X27" s="683"/>
      <c r="Y27" s="683"/>
      <c r="Z27" s="683"/>
      <c r="AA27" s="683"/>
      <c r="AB27" s="683"/>
      <c r="AC27" s="683"/>
      <c r="AD27" s="683"/>
      <c r="AE27" s="683"/>
      <c r="AF27" s="683"/>
      <c r="AG27" s="683"/>
      <c r="AH27" s="683"/>
      <c r="AI27" s="683"/>
      <c r="AJ27" s="683"/>
      <c r="AK27" s="683"/>
      <c r="AL27" s="683"/>
      <c r="AM27" s="683"/>
      <c r="AN27" s="683"/>
      <c r="AO27" s="685"/>
    </row>
    <row r="28" ht="108" customHeight="true" x14ac:dyDescent="0.25">
      <c r="B28" s="697"/>
      <c r="C28" s="683"/>
      <c r="D28" s="1276">
        <f t="shared" si="5"/>
        <v>23</v>
      </c>
      <c r="E28" s="461" t="s">
        <v>1127</v>
      </c>
      <c r="F28" s="460" t="s">
        <v>1751</v>
      </c>
      <c r="G28" s="243" t="s">
        <v>1196</v>
      </c>
      <c r="H28" s="239"/>
      <c r="I28" s="458">
        <f>IFERROR((F271/1000000)/(G73/0.8/1000000),"missing data")</f>
        <v>0</v>
      </c>
      <c r="J28" s="407" t="s">
        <v>1331</v>
      </c>
      <c r="K28" s="401" t="s">
        <v>1169</v>
      </c>
      <c r="L28" s="458">
        <f>L27/L21</f>
        <v>2.8933834501846802</v>
      </c>
      <c r="M28" s="1135">
        <f t="shared" si="1"/>
        <v>2.8933834501846802</v>
      </c>
      <c r="N28" s="458">
        <f>('Best&amp;Worst-Economics'!V58)/('Best&amp;Worst-Economics'!N41)</f>
        <v>77.207762648179099</v>
      </c>
      <c r="O28" s="1136">
        <f t="shared" si="2"/>
        <v>77.207762648179099</v>
      </c>
      <c r="P28" s="1358">
        <f t="shared" si="3"/>
        <v>100</v>
      </c>
      <c r="Q28" s="669"/>
      <c r="R28" s="683"/>
      <c r="S28" s="683"/>
      <c r="T28" s="683"/>
      <c r="U28" s="683"/>
      <c r="V28" s="683"/>
      <c r="W28" s="683"/>
      <c r="X28" s="683"/>
      <c r="Y28" s="683"/>
      <c r="Z28" s="683"/>
      <c r="AA28" s="683"/>
      <c r="AB28" s="683"/>
      <c r="AC28" s="683"/>
      <c r="AD28" s="683"/>
      <c r="AE28" s="683"/>
      <c r="AF28" s="683"/>
      <c r="AG28" s="683"/>
      <c r="AH28" s="683"/>
      <c r="AI28" s="683"/>
      <c r="AJ28" s="683"/>
      <c r="AK28" s="683"/>
      <c r="AL28" s="683"/>
      <c r="AM28" s="683"/>
      <c r="AN28" s="683"/>
      <c r="AO28" s="685"/>
    </row>
    <row r="29" ht="96" customHeight="true" x14ac:dyDescent="0.25">
      <c r="B29" s="697"/>
      <c r="C29" s="683"/>
      <c r="D29" s="1276">
        <f t="shared" si="5"/>
        <v>24</v>
      </c>
      <c r="E29" s="461" t="s">
        <v>1128</v>
      </c>
      <c r="F29" s="460" t="s">
        <v>1752</v>
      </c>
      <c r="G29" s="243" t="s">
        <v>2205</v>
      </c>
      <c r="H29" s="239"/>
      <c r="I29" s="458" t="str">
        <f>IFERROR(F271/(('VI. Energy'!F79+'VI. Energy'!F94+'VI. Energy'!F105)*8766),"missing data")</f>
        <v>missing data</v>
      </c>
      <c r="J29" s="407" t="s">
        <v>1332</v>
      </c>
      <c r="K29" s="401" t="s">
        <v>1197</v>
      </c>
      <c r="L29" s="458">
        <f>'Best&amp;Worst-Economics'!U57/1000</f>
        <v>1.72E-3</v>
      </c>
      <c r="M29" s="1135">
        <f t="shared" si="1"/>
        <v>1.72E-3</v>
      </c>
      <c r="N29" s="458">
        <f>'Best&amp;Worst-Economics'!V57/1000</f>
        <v>1.6800000000000002E-2</v>
      </c>
      <c r="O29" s="1136">
        <f t="shared" si="2"/>
        <v>1.6800000000000002E-2</v>
      </c>
      <c r="P29" s="1358" t="str">
        <f t="shared" si="3"/>
        <v/>
      </c>
      <c r="Q29" s="669"/>
      <c r="R29" s="683"/>
      <c r="S29" s="683"/>
      <c r="T29" s="683"/>
      <c r="U29" s="683"/>
      <c r="V29" s="683"/>
      <c r="W29" s="683"/>
      <c r="X29" s="683"/>
      <c r="Y29" s="683"/>
      <c r="Z29" s="683"/>
      <c r="AA29" s="683"/>
      <c r="AB29" s="683"/>
      <c r="AC29" s="683"/>
      <c r="AD29" s="683"/>
      <c r="AE29" s="683"/>
      <c r="AF29" s="683"/>
      <c r="AG29" s="683"/>
      <c r="AH29" s="683"/>
      <c r="AI29" s="683"/>
      <c r="AJ29" s="683"/>
      <c r="AK29" s="683"/>
      <c r="AL29" s="683"/>
      <c r="AM29" s="683"/>
      <c r="AN29" s="683"/>
      <c r="AO29" s="685"/>
    </row>
    <row r="30" ht="65.25" customHeight="true" x14ac:dyDescent="0.25">
      <c r="B30" s="697"/>
      <c r="C30" s="683"/>
      <c r="D30" s="1276">
        <f t="shared" si="5"/>
        <v>25</v>
      </c>
      <c r="E30" s="461" t="s">
        <v>1129</v>
      </c>
      <c r="F30" s="460" t="s">
        <v>1753</v>
      </c>
      <c r="G30" s="243" t="s">
        <v>2204</v>
      </c>
      <c r="H30" s="239"/>
      <c r="I30" s="458">
        <f>IFERROR(F315,"missing data")</f>
        <v>0</v>
      </c>
      <c r="J30" s="407" t="s">
        <v>1168</v>
      </c>
      <c r="K30" s="401" t="s">
        <v>1193</v>
      </c>
      <c r="L30" s="458">
        <f>'Best&amp;Worst-Economics'!U77</f>
        <v>0</v>
      </c>
      <c r="M30" s="1135">
        <f t="shared" si="1"/>
        <v>0</v>
      </c>
      <c r="N30" s="458">
        <f>'Best&amp;Worst-Economics'!V77</f>
        <v>0</v>
      </c>
      <c r="O30" s="1136">
        <f t="shared" si="2"/>
        <v>0</v>
      </c>
      <c r="P30" s="1358" t="str">
        <f t="shared" si="3"/>
        <v/>
      </c>
      <c r="Q30" s="669"/>
      <c r="R30" s="683"/>
      <c r="S30" s="683"/>
      <c r="T30" s="683"/>
      <c r="U30" s="683"/>
      <c r="V30" s="683"/>
      <c r="W30" s="683"/>
      <c r="X30" s="683"/>
      <c r="Y30" s="683"/>
      <c r="Z30" s="683"/>
      <c r="AA30" s="683"/>
      <c r="AB30" s="683"/>
      <c r="AC30" s="683"/>
      <c r="AD30" s="683"/>
      <c r="AE30" s="683"/>
      <c r="AF30" s="683"/>
      <c r="AG30" s="683"/>
      <c r="AH30" s="683"/>
      <c r="AI30" s="683"/>
      <c r="AJ30" s="683"/>
      <c r="AK30" s="683"/>
      <c r="AL30" s="683"/>
      <c r="AM30" s="683"/>
      <c r="AN30" s="683"/>
      <c r="AO30" s="685"/>
    </row>
    <row r="31" ht="87" customHeight="true" x14ac:dyDescent="0.25">
      <c r="B31" s="697"/>
      <c r="C31" s="683"/>
      <c r="D31" s="1276">
        <f t="shared" si="5"/>
        <v>26</v>
      </c>
      <c r="E31" s="461" t="s">
        <v>1130</v>
      </c>
      <c r="F31" s="460" t="s">
        <v>1754</v>
      </c>
      <c r="G31" s="243" t="s">
        <v>1200</v>
      </c>
      <c r="H31" s="239"/>
      <c r="I31" s="458">
        <f>IFERROR((F315)/((G73/0.8/1000000)*1000000),"missing data")</f>
        <v>0</v>
      </c>
      <c r="J31" s="407" t="s">
        <v>1168</v>
      </c>
      <c r="K31" s="401" t="s">
        <v>1169</v>
      </c>
      <c r="L31" s="458">
        <f>L30/(L21*1000000)</f>
        <v>0</v>
      </c>
      <c r="M31" s="1135">
        <f t="shared" si="1"/>
        <v>0</v>
      </c>
      <c r="N31" s="458">
        <f>('Best&amp;Worst-Economics'!V77)/(('Best&amp;Worst-Economics'!N41)*1000000)</f>
        <v>0</v>
      </c>
      <c r="O31" s="1136">
        <f t="shared" si="2"/>
        <v>0</v>
      </c>
      <c r="P31" s="1358" t="str">
        <f t="shared" si="3"/>
        <v/>
      </c>
      <c r="Q31" s="669"/>
      <c r="R31" s="683"/>
      <c r="S31" s="683"/>
      <c r="T31" s="683"/>
      <c r="U31" s="683"/>
      <c r="V31" s="683"/>
      <c r="W31" s="683"/>
      <c r="X31" s="683"/>
      <c r="Y31" s="683"/>
      <c r="Z31" s="683"/>
      <c r="AA31" s="683"/>
      <c r="AB31" s="683"/>
      <c r="AC31" s="683"/>
      <c r="AD31" s="683"/>
      <c r="AE31" s="683"/>
      <c r="AF31" s="683"/>
      <c r="AG31" s="683"/>
      <c r="AH31" s="683"/>
      <c r="AI31" s="683"/>
      <c r="AJ31" s="683"/>
      <c r="AK31" s="683"/>
      <c r="AL31" s="683"/>
      <c r="AM31" s="683"/>
      <c r="AN31" s="683"/>
      <c r="AO31" s="685"/>
    </row>
    <row r="32" ht="97.5" customHeight="true" x14ac:dyDescent="0.25">
      <c r="B32" s="697"/>
      <c r="C32" s="683"/>
      <c r="D32" s="1276">
        <f t="shared" si="5"/>
        <v>27</v>
      </c>
      <c r="E32" s="461" t="s">
        <v>1131</v>
      </c>
      <c r="F32" s="460" t="s">
        <v>1755</v>
      </c>
      <c r="G32" s="243" t="s">
        <v>2203</v>
      </c>
      <c r="H32" s="464"/>
      <c r="I32" s="458" t="str">
        <f>IFERROR(F315/F314,"missing data")</f>
        <v>missing data</v>
      </c>
      <c r="J32" s="407" t="s">
        <v>1198</v>
      </c>
      <c r="K32" s="401" t="s">
        <v>1199</v>
      </c>
      <c r="L32" s="458">
        <f>'Best&amp;Worst-Economics'!U76</f>
        <v>6.7000000000000004E-2</v>
      </c>
      <c r="M32" s="1135">
        <f t="shared" si="1"/>
        <v>6.7000000000000004E-2</v>
      </c>
      <c r="N32" s="471">
        <f>'Best&amp;Worst-Economics'!V76</f>
        <v>1</v>
      </c>
      <c r="O32" s="1136">
        <f t="shared" si="2"/>
        <v>1</v>
      </c>
      <c r="P32" s="1358" t="str">
        <f t="shared" si="3"/>
        <v/>
      </c>
      <c r="Q32" s="669"/>
      <c r="R32" s="683"/>
      <c r="S32" s="683"/>
      <c r="T32" s="683"/>
      <c r="U32" s="683"/>
      <c r="V32" s="683"/>
      <c r="W32" s="683"/>
      <c r="X32" s="683"/>
      <c r="Y32" s="683"/>
      <c r="Z32" s="683"/>
      <c r="AA32" s="683"/>
      <c r="AB32" s="683"/>
      <c r="AC32" s="683"/>
      <c r="AD32" s="683"/>
      <c r="AE32" s="683"/>
      <c r="AF32" s="683"/>
      <c r="AG32" s="683"/>
      <c r="AH32" s="683"/>
      <c r="AI32" s="683"/>
      <c r="AJ32" s="683"/>
      <c r="AK32" s="683"/>
      <c r="AL32" s="683"/>
      <c r="AM32" s="683"/>
      <c r="AN32" s="683"/>
      <c r="AO32" s="685"/>
    </row>
    <row r="33" ht="81.75" customHeight="true" x14ac:dyDescent="0.25">
      <c r="B33" s="697"/>
      <c r="C33" s="683"/>
      <c r="D33" s="1276">
        <f t="shared" si="5"/>
        <v>28</v>
      </c>
      <c r="E33" s="461" t="s">
        <v>1132</v>
      </c>
      <c r="F33" s="460" t="s">
        <v>1756</v>
      </c>
      <c r="G33" s="243" t="s">
        <v>2206</v>
      </c>
      <c r="H33" s="239"/>
      <c r="I33" s="458">
        <f>IFERROR(('III. Utility Data'!M17+'III. Utility Data'!M19)/1000000,"missing data")</f>
        <v>0</v>
      </c>
      <c r="J33" s="407" t="s">
        <v>1203</v>
      </c>
      <c r="K33" s="401" t="s">
        <v>1790</v>
      </c>
      <c r="L33" s="458">
        <v>0</v>
      </c>
      <c r="M33" s="1135">
        <f t="shared" si="1"/>
        <v>0</v>
      </c>
      <c r="N33" s="471">
        <f>('III. Utility Data'!K17+'III. Utility Data'!K19)*2/1000000</f>
        <v>0</v>
      </c>
      <c r="O33" s="1136">
        <f t="shared" si="2"/>
        <v>0</v>
      </c>
      <c r="P33" s="1358" t="str">
        <f t="shared" si="3"/>
        <v/>
      </c>
      <c r="Q33" s="669"/>
      <c r="R33" s="683"/>
      <c r="S33" s="683"/>
      <c r="T33" s="683"/>
      <c r="U33" s="683"/>
      <c r="V33" s="683"/>
      <c r="W33" s="683"/>
      <c r="X33" s="683"/>
      <c r="Y33" s="683"/>
      <c r="Z33" s="683"/>
      <c r="AA33" s="683"/>
      <c r="AB33" s="683"/>
      <c r="AC33" s="683"/>
      <c r="AD33" s="683"/>
      <c r="AE33" s="683"/>
      <c r="AF33" s="683"/>
      <c r="AG33" s="683"/>
      <c r="AH33" s="683"/>
      <c r="AI33" s="683"/>
      <c r="AJ33" s="683"/>
      <c r="AK33" s="683"/>
      <c r="AL33" s="683"/>
      <c r="AM33" s="683"/>
      <c r="AN33" s="683"/>
      <c r="AO33" s="685"/>
    </row>
    <row r="34" ht="108" customHeight="true" x14ac:dyDescent="0.25">
      <c r="B34" s="697"/>
      <c r="C34" s="683"/>
      <c r="D34" s="1276">
        <f t="shared" si="5"/>
        <v>29</v>
      </c>
      <c r="E34" s="461" t="s">
        <v>1133</v>
      </c>
      <c r="F34" s="460" t="s">
        <v>1757</v>
      </c>
      <c r="G34" s="243" t="s">
        <v>1324</v>
      </c>
      <c r="H34" s="239"/>
      <c r="I34" s="458">
        <f>IFERROR((('III. Utility Data'!M17+'III. Utility Data'!M19)/1000000)/(G73/0.8/1000000),"missing data")</f>
        <v>0</v>
      </c>
      <c r="J34" s="407" t="s">
        <v>1202</v>
      </c>
      <c r="K34" s="401" t="s">
        <v>1169</v>
      </c>
      <c r="L34" s="458">
        <v>0</v>
      </c>
      <c r="M34" s="1135">
        <f t="shared" si="1"/>
        <v>0</v>
      </c>
      <c r="N34" s="471">
        <f>(('III. Utility Data'!K17+'III. Utility Data'!K19)*2/1000000)/('Best&amp;Worst-Economics'!N41)</f>
        <v>0</v>
      </c>
      <c r="O34" s="1136">
        <f t="shared" si="2"/>
        <v>0</v>
      </c>
      <c r="P34" s="1358" t="str">
        <f t="shared" si="3"/>
        <v/>
      </c>
      <c r="Q34" s="669"/>
      <c r="R34" s="683"/>
      <c r="S34" s="683"/>
      <c r="T34" s="683"/>
      <c r="U34" s="683"/>
      <c r="V34" s="683"/>
      <c r="W34" s="683"/>
      <c r="X34" s="683"/>
      <c r="Y34" s="683"/>
      <c r="Z34" s="683"/>
      <c r="AA34" s="683"/>
      <c r="AB34" s="683"/>
      <c r="AC34" s="683"/>
      <c r="AD34" s="683"/>
      <c r="AE34" s="683"/>
      <c r="AF34" s="683"/>
      <c r="AG34" s="683"/>
      <c r="AH34" s="683"/>
      <c r="AI34" s="683"/>
      <c r="AJ34" s="683"/>
      <c r="AK34" s="683"/>
      <c r="AL34" s="683"/>
      <c r="AM34" s="683"/>
      <c r="AN34" s="683"/>
      <c r="AO34" s="685"/>
    </row>
    <row r="35" ht="77.25" customHeight="true" x14ac:dyDescent="0.25">
      <c r="B35" s="697"/>
      <c r="C35" s="683"/>
      <c r="D35" s="1276">
        <f t="shared" si="5"/>
        <v>30</v>
      </c>
      <c r="E35" s="461" t="s">
        <v>1134</v>
      </c>
      <c r="F35" s="460" t="s">
        <v>1758</v>
      </c>
      <c r="G35" s="243" t="s">
        <v>2207</v>
      </c>
      <c r="H35" s="239"/>
      <c r="I35" s="458">
        <f>IFERROR(('III. Utility Data'!M18+'III. Utility Data'!M20)/1000000,"missing data")</f>
        <v>0</v>
      </c>
      <c r="J35" s="407" t="s">
        <v>1201</v>
      </c>
      <c r="K35" s="401" t="s">
        <v>1790</v>
      </c>
      <c r="L35" s="458">
        <v>0</v>
      </c>
      <c r="M35" s="1135">
        <f t="shared" si="1"/>
        <v>0</v>
      </c>
      <c r="N35" s="471">
        <f>2*('III. Utility Data'!J18+'III. Utility Data'!J20)*8766/1000000</f>
        <v>0</v>
      </c>
      <c r="O35" s="1136">
        <f t="shared" si="2"/>
        <v>0</v>
      </c>
      <c r="P35" s="1358" t="str">
        <f t="shared" si="3"/>
        <v/>
      </c>
      <c r="Q35" s="669"/>
      <c r="R35" s="683"/>
      <c r="S35" s="683"/>
      <c r="T35" s="683"/>
      <c r="U35" s="683"/>
      <c r="V35" s="683"/>
      <c r="W35" s="683"/>
      <c r="X35" s="683"/>
      <c r="Y35" s="683"/>
      <c r="Z35" s="683"/>
      <c r="AA35" s="683"/>
      <c r="AB35" s="683"/>
      <c r="AC35" s="683"/>
      <c r="AD35" s="683"/>
      <c r="AE35" s="683"/>
      <c r="AF35" s="683"/>
      <c r="AG35" s="683"/>
      <c r="AH35" s="683"/>
      <c r="AI35" s="683"/>
      <c r="AJ35" s="683"/>
      <c r="AK35" s="683"/>
      <c r="AL35" s="683"/>
      <c r="AM35" s="683"/>
      <c r="AN35" s="683"/>
      <c r="AO35" s="685"/>
    </row>
    <row r="36" ht="104.25" customHeight="true" x14ac:dyDescent="0.25">
      <c r="B36" s="697"/>
      <c r="C36" s="683"/>
      <c r="D36" s="1276">
        <f t="shared" si="5"/>
        <v>31</v>
      </c>
      <c r="E36" s="461" t="s">
        <v>1135</v>
      </c>
      <c r="F36" s="460" t="s">
        <v>1759</v>
      </c>
      <c r="G36" s="243" t="s">
        <v>2208</v>
      </c>
      <c r="H36" s="239"/>
      <c r="I36" s="458">
        <f>IFERROR((('III. Utility Data'!M18+'III. Utility Data'!M20)/1000000)/(G73/0.8/1000000),"missing data")</f>
        <v>0</v>
      </c>
      <c r="J36" s="407" t="s">
        <v>1201</v>
      </c>
      <c r="K36" s="401" t="s">
        <v>1169</v>
      </c>
      <c r="L36" s="458">
        <v>0</v>
      </c>
      <c r="M36" s="1135">
        <f t="shared" si="1"/>
        <v>0</v>
      </c>
      <c r="N36" s="471">
        <f>(2*('III. Utility Data'!J18+'III. Utility Data'!J20)*8766/1000000)/('Best&amp;Worst-Economics'!N41)</f>
        <v>0</v>
      </c>
      <c r="O36" s="1136">
        <f t="shared" si="2"/>
        <v>0</v>
      </c>
      <c r="P36" s="1358" t="str">
        <f t="shared" si="3"/>
        <v/>
      </c>
      <c r="Q36" s="669"/>
      <c r="R36" s="683"/>
      <c r="S36" s="683"/>
      <c r="T36" s="683"/>
      <c r="U36" s="683"/>
      <c r="V36" s="683"/>
      <c r="W36" s="683"/>
      <c r="X36" s="683"/>
      <c r="Y36" s="683"/>
      <c r="Z36" s="683"/>
      <c r="AA36" s="683"/>
      <c r="AB36" s="683"/>
      <c r="AC36" s="683"/>
      <c r="AD36" s="683"/>
      <c r="AE36" s="683"/>
      <c r="AF36" s="683"/>
      <c r="AG36" s="683"/>
      <c r="AH36" s="683"/>
      <c r="AI36" s="683"/>
      <c r="AJ36" s="683"/>
      <c r="AK36" s="683"/>
      <c r="AL36" s="683"/>
      <c r="AM36" s="683"/>
      <c r="AN36" s="683"/>
      <c r="AO36" s="685"/>
    </row>
    <row r="37" ht="96.75" customHeight="true" x14ac:dyDescent="0.25">
      <c r="B37" s="697"/>
      <c r="C37" s="683"/>
      <c r="D37" s="1276">
        <f t="shared" si="5"/>
        <v>32</v>
      </c>
      <c r="E37" s="461" t="s">
        <v>1136</v>
      </c>
      <c r="F37" s="460" t="s">
        <v>1760</v>
      </c>
      <c r="G37" s="243" t="s">
        <v>2209</v>
      </c>
      <c r="H37" s="239"/>
      <c r="I37" s="458">
        <f>IFERROR('III. Utility Data'!M24/1000000,"missing data")</f>
        <v>0</v>
      </c>
      <c r="J37" s="407" t="s">
        <v>1204</v>
      </c>
      <c r="K37" s="401" t="s">
        <v>1790</v>
      </c>
      <c r="L37" s="458">
        <v>0</v>
      </c>
      <c r="M37" s="1135">
        <f t="shared" si="1"/>
        <v>0</v>
      </c>
      <c r="N37" s="471">
        <f>IF('III. Utility Data'!K24=0,'I. Stream &amp; Compound Data'!J350*8766*2/1000000,('III. Utility Data'!K24)*2/1000000)</f>
        <v>0</v>
      </c>
      <c r="O37" s="1136">
        <f t="shared" si="2"/>
        <v>0</v>
      </c>
      <c r="P37" s="1358" t="str">
        <f t="shared" si="3"/>
        <v/>
      </c>
      <c r="Q37" s="669"/>
      <c r="R37" s="683"/>
      <c r="S37" s="683"/>
      <c r="T37" s="683"/>
      <c r="U37" s="683"/>
      <c r="V37" s="683"/>
      <c r="W37" s="683"/>
      <c r="X37" s="683"/>
      <c r="Y37" s="683"/>
      <c r="Z37" s="683"/>
      <c r="AA37" s="683"/>
      <c r="AB37" s="683"/>
      <c r="AC37" s="683"/>
      <c r="AD37" s="683"/>
      <c r="AE37" s="683"/>
      <c r="AF37" s="683"/>
      <c r="AG37" s="683"/>
      <c r="AH37" s="683"/>
      <c r="AI37" s="683"/>
      <c r="AJ37" s="683"/>
      <c r="AK37" s="683"/>
      <c r="AL37" s="683"/>
      <c r="AM37" s="683"/>
      <c r="AN37" s="683"/>
      <c r="AO37" s="685"/>
    </row>
    <row r="38" ht="113.25" customHeight="true" thickBot="true" x14ac:dyDescent="0.3">
      <c r="B38" s="697"/>
      <c r="C38" s="683"/>
      <c r="D38" s="1280">
        <f t="shared" si="5"/>
        <v>33</v>
      </c>
      <c r="E38" s="465" t="s">
        <v>1137</v>
      </c>
      <c r="F38" s="466" t="s">
        <v>1761</v>
      </c>
      <c r="G38" s="246" t="s">
        <v>2210</v>
      </c>
      <c r="H38" s="467"/>
      <c r="I38" s="468">
        <f>IFERROR(('III. Utility Data'!M24/1000000)/(G73/0.8/1000000),"missing data")</f>
        <v>0</v>
      </c>
      <c r="J38" s="469" t="s">
        <v>1204</v>
      </c>
      <c r="K38" s="470" t="s">
        <v>1169</v>
      </c>
      <c r="L38" s="468">
        <v>0</v>
      </c>
      <c r="M38" s="1135">
        <f t="shared" si="1"/>
        <v>0</v>
      </c>
      <c r="N38" s="472">
        <v>2.4E-2</v>
      </c>
      <c r="O38" s="1136">
        <f t="shared" si="2"/>
        <v>2.4E-2</v>
      </c>
      <c r="P38" s="1220">
        <f>IFERROR(IF(ROUND((I38- IF(O38&lt;&gt;"",O38,N38))/(IF(M38&lt;&gt;"",M38,L38)- IF(O38&lt;&gt;"",O38,N38))*100,2)&lt;0,0,IF(ROUND((I38- IF(O38&lt;&gt;"",O38,N38))/(IF(M38&lt;&gt;"",M38,L38)- IF(O38&lt;&gt;"",O38,N38))*100,2)&gt;100,100,ROUND((I38- IF(O38&lt;&gt;"",O38,N38))/(IF(M38&lt;&gt;"",M38,L38)- IF(O38&lt;&gt;"",O38,N38))*100,2))),"")</f>
        <v>100</v>
      </c>
      <c r="Q38" s="669"/>
      <c r="R38" s="683"/>
      <c r="S38" s="683"/>
      <c r="T38" s="683"/>
      <c r="U38" s="683"/>
      <c r="V38" s="683"/>
      <c r="W38" s="683"/>
      <c r="X38" s="683"/>
      <c r="Y38" s="683"/>
      <c r="Z38" s="683"/>
      <c r="AA38" s="683"/>
      <c r="AB38" s="683"/>
      <c r="AC38" s="683"/>
      <c r="AD38" s="683"/>
      <c r="AE38" s="683"/>
      <c r="AF38" s="683"/>
      <c r="AG38" s="683"/>
      <c r="AH38" s="683"/>
      <c r="AI38" s="683"/>
      <c r="AJ38" s="683"/>
      <c r="AK38" s="683"/>
      <c r="AL38" s="683"/>
      <c r="AM38" s="683"/>
      <c r="AN38" s="683"/>
      <c r="AO38" s="685"/>
    </row>
    <row r="39" ht="24" customHeight="true" thickBot="true" x14ac:dyDescent="0.4">
      <c r="B39" s="700"/>
      <c r="C39" s="151"/>
      <c r="D39" s="414"/>
      <c r="E39" s="807"/>
      <c r="F39" s="257"/>
      <c r="G39" s="808"/>
      <c r="H39" s="809"/>
      <c r="I39" s="810"/>
      <c r="J39" s="1164"/>
      <c r="K39" s="419"/>
      <c r="L39" s="811"/>
      <c r="M39" s="812"/>
      <c r="N39" s="136"/>
      <c r="O39" s="136"/>
      <c r="P39" s="388"/>
      <c r="Q39" s="667"/>
      <c r="R39" s="151"/>
      <c r="S39" s="151"/>
      <c r="T39" s="151"/>
      <c r="U39" s="151"/>
      <c r="V39" s="151"/>
      <c r="W39" s="151"/>
      <c r="X39" s="151"/>
      <c r="Y39" s="151"/>
      <c r="Z39" s="151"/>
      <c r="AA39" s="151"/>
      <c r="AB39" s="151"/>
      <c r="AC39" s="151"/>
      <c r="AD39" s="151"/>
      <c r="AE39" s="151"/>
      <c r="AF39" s="151"/>
      <c r="AG39" s="151"/>
      <c r="AH39" s="151"/>
      <c r="AI39" s="151"/>
      <c r="AJ39" s="151"/>
      <c r="AK39" s="151"/>
      <c r="AL39" s="151"/>
      <c r="AM39" s="151"/>
      <c r="AN39" s="151"/>
      <c r="AO39" s="703"/>
    </row>
    <row r="40" ht="24" customHeight="true" x14ac:dyDescent="0.35">
      <c r="E40" s="813"/>
      <c r="F40" s="91"/>
      <c r="G40" s="814"/>
    </row>
    <row r="41" ht="24" customHeight="true" x14ac:dyDescent="0.35">
      <c r="E41" s="813"/>
      <c r="F41" s="91"/>
      <c r="G41" s="814"/>
    </row>
    <row r="42" ht="24" customHeight="true" x14ac:dyDescent="0.35">
      <c r="E42" s="813"/>
      <c r="F42" s="91"/>
      <c r="G42" s="814"/>
    </row>
    <row r="43" ht="24" customHeight="true" x14ac:dyDescent="0.35">
      <c r="E43" s="813"/>
      <c r="F43" s="91"/>
      <c r="G43" s="814"/>
    </row>
    <row r="44" ht="24" customHeight="true" x14ac:dyDescent="0.35">
      <c r="E44" s="813"/>
      <c r="F44" s="91"/>
      <c r="G44" s="814"/>
    </row>
    <row r="45" ht="24" customHeight="true" x14ac:dyDescent="0.35">
      <c r="E45" s="813"/>
      <c r="F45" s="91"/>
      <c r="G45" s="814"/>
    </row>
    <row r="46" ht="24" customHeight="true" thickBot="true" x14ac:dyDescent="0.4">
      <c r="E46" s="813"/>
      <c r="F46" s="91"/>
      <c r="G46" s="814"/>
    </row>
    <row r="47" ht="33" customHeight="true" thickBot="true" x14ac:dyDescent="0.35">
      <c r="B47" s="1959" t="s">
        <v>2360</v>
      </c>
      <c r="C47" s="1882"/>
      <c r="D47" s="1882"/>
      <c r="E47" s="1882"/>
      <c r="F47" s="1882"/>
      <c r="G47" s="1882"/>
      <c r="H47" s="1882"/>
      <c r="I47" s="1883"/>
      <c r="J47" s="815"/>
      <c r="K47" s="816"/>
      <c r="L47" s="817"/>
      <c r="M47" s="818"/>
      <c r="N47" s="595"/>
      <c r="O47" s="595"/>
      <c r="P47" s="358"/>
      <c r="Q47" s="706"/>
      <c r="R47" s="595"/>
      <c r="S47" s="595"/>
      <c r="T47" s="595"/>
      <c r="U47" s="595"/>
      <c r="V47" s="595"/>
      <c r="W47" s="595"/>
      <c r="X47" s="595"/>
      <c r="Y47" s="595"/>
      <c r="Z47" s="595"/>
      <c r="AA47" s="595"/>
      <c r="AB47" s="595"/>
      <c r="AC47" s="595"/>
      <c r="AD47" s="595"/>
      <c r="AE47" s="595"/>
      <c r="AF47" s="595"/>
      <c r="AG47" s="595"/>
      <c r="AH47" s="595"/>
      <c r="AI47" s="595"/>
      <c r="AJ47" s="595"/>
      <c r="AK47" s="595"/>
      <c r="AL47" s="595"/>
      <c r="AM47" s="595"/>
      <c r="AN47" s="595"/>
      <c r="AO47" s="596"/>
      <c r="AP47" s="819"/>
    </row>
    <row r="48" ht="24" customHeight="true" thickBot="true" x14ac:dyDescent="0.4">
      <c r="B48" s="597"/>
      <c r="C48" s="570"/>
      <c r="D48" s="820"/>
      <c r="E48" s="821"/>
      <c r="F48" s="633"/>
      <c r="G48" s="822"/>
      <c r="H48" s="626"/>
      <c r="I48" s="532"/>
      <c r="J48" s="292"/>
      <c r="K48" s="287"/>
      <c r="L48" s="532"/>
      <c r="M48" s="610"/>
      <c r="N48" s="570"/>
      <c r="O48" s="570"/>
      <c r="P48" s="297"/>
      <c r="Q48" s="611"/>
      <c r="R48" s="570"/>
      <c r="S48" s="570"/>
      <c r="T48" s="570"/>
      <c r="U48" s="570"/>
      <c r="V48" s="570"/>
      <c r="W48" s="570"/>
      <c r="X48" s="570"/>
      <c r="Y48" s="570"/>
      <c r="Z48" s="570"/>
      <c r="AA48" s="570"/>
      <c r="AB48" s="570"/>
      <c r="AC48" s="570"/>
      <c r="AD48" s="570"/>
      <c r="AE48" s="570"/>
      <c r="AF48" s="570"/>
      <c r="AG48" s="570"/>
      <c r="AH48" s="570"/>
      <c r="AI48" s="570"/>
      <c r="AJ48" s="570"/>
      <c r="AK48" s="570"/>
      <c r="AL48" s="570"/>
      <c r="AM48" s="570"/>
      <c r="AN48" s="570"/>
      <c r="AO48" s="588"/>
    </row>
    <row r="49" ht="24" customHeight="true" x14ac:dyDescent="0.3">
      <c r="B49" s="597"/>
      <c r="C49" s="570"/>
      <c r="D49" s="820"/>
      <c r="E49" s="473" t="s">
        <v>1522</v>
      </c>
      <c r="F49" s="1238">
        <f>'IV. Material Efficiency'!H175</f>
        <v>6778.7792000553327</v>
      </c>
      <c r="G49" s="822"/>
      <c r="H49" s="626"/>
      <c r="I49" s="532"/>
      <c r="J49" s="292"/>
      <c r="K49" s="287"/>
      <c r="L49" s="532"/>
      <c r="M49" s="610"/>
      <c r="N49" s="570"/>
      <c r="O49" s="570"/>
      <c r="P49" s="297"/>
      <c r="Q49" s="611"/>
      <c r="R49" s="570"/>
      <c r="S49" s="570"/>
      <c r="T49" s="570"/>
      <c r="U49" s="570"/>
      <c r="V49" s="570"/>
      <c r="W49" s="570"/>
      <c r="X49" s="570"/>
      <c r="Y49" s="570"/>
      <c r="Z49" s="570"/>
      <c r="AA49" s="570"/>
      <c r="AB49" s="570"/>
      <c r="AC49" s="570"/>
      <c r="AD49" s="570"/>
      <c r="AE49" s="570"/>
      <c r="AF49" s="570"/>
      <c r="AG49" s="570"/>
      <c r="AH49" s="570"/>
      <c r="AI49" s="570"/>
      <c r="AJ49" s="570"/>
      <c r="AK49" s="570"/>
      <c r="AL49" s="570"/>
      <c r="AM49" s="570"/>
      <c r="AN49" s="570"/>
      <c r="AO49" s="588"/>
    </row>
    <row r="50" ht="24" customHeight="true" x14ac:dyDescent="0.3">
      <c r="B50" s="597"/>
      <c r="C50" s="570"/>
      <c r="D50" s="820"/>
      <c r="E50" s="474" t="s">
        <v>1599</v>
      </c>
      <c r="F50" s="1361">
        <f>F49*8766</f>
        <v>59422778.467685044</v>
      </c>
      <c r="G50" s="822"/>
      <c r="H50" s="626"/>
      <c r="I50" s="532"/>
      <c r="J50" s="292"/>
      <c r="K50" s="287"/>
      <c r="L50" s="532"/>
      <c r="M50" s="610"/>
      <c r="N50" s="570"/>
      <c r="O50" s="570"/>
      <c r="P50" s="297"/>
      <c r="Q50" s="611"/>
      <c r="R50" s="570"/>
      <c r="S50" s="570"/>
      <c r="T50" s="570"/>
      <c r="U50" s="570"/>
      <c r="V50" s="570"/>
      <c r="W50" s="570"/>
      <c r="X50" s="570"/>
      <c r="Y50" s="570"/>
      <c r="Z50" s="570"/>
      <c r="AA50" s="570"/>
      <c r="AB50" s="570"/>
      <c r="AC50" s="570"/>
      <c r="AD50" s="570"/>
      <c r="AE50" s="570"/>
      <c r="AF50" s="570"/>
      <c r="AG50" s="570"/>
      <c r="AH50" s="570"/>
      <c r="AI50" s="570"/>
      <c r="AJ50" s="570"/>
      <c r="AK50" s="570"/>
      <c r="AL50" s="570"/>
      <c r="AM50" s="570"/>
      <c r="AN50" s="570"/>
      <c r="AO50" s="588"/>
    </row>
    <row r="51" ht="24" customHeight="true" x14ac:dyDescent="0.3">
      <c r="B51" s="597"/>
      <c r="C51" s="570"/>
      <c r="D51" s="820"/>
      <c r="E51" s="474" t="s">
        <v>1525</v>
      </c>
      <c r="F51" s="1361">
        <f>'IV. Material Efficiency'!H176</f>
        <v>4512.0151204088124</v>
      </c>
      <c r="G51" s="822"/>
      <c r="H51" s="626"/>
      <c r="I51" s="532"/>
      <c r="J51" s="292"/>
      <c r="K51" s="287"/>
      <c r="L51" s="532"/>
      <c r="M51" s="610"/>
      <c r="N51" s="570"/>
      <c r="O51" s="570"/>
      <c r="P51" s="297"/>
      <c r="Q51" s="611"/>
      <c r="R51" s="570"/>
      <c r="S51" s="570"/>
      <c r="T51" s="570"/>
      <c r="U51" s="570"/>
      <c r="V51" s="570"/>
      <c r="W51" s="570"/>
      <c r="X51" s="570"/>
      <c r="Y51" s="570"/>
      <c r="Z51" s="570"/>
      <c r="AA51" s="570"/>
      <c r="AB51" s="570"/>
      <c r="AC51" s="570"/>
      <c r="AD51" s="570"/>
      <c r="AE51" s="570"/>
      <c r="AF51" s="570"/>
      <c r="AG51" s="570"/>
      <c r="AH51" s="570"/>
      <c r="AI51" s="570"/>
      <c r="AJ51" s="570"/>
      <c r="AK51" s="570"/>
      <c r="AL51" s="570"/>
      <c r="AM51" s="570"/>
      <c r="AN51" s="570"/>
      <c r="AO51" s="588"/>
    </row>
    <row r="52" ht="24" customHeight="true" thickBot="true" x14ac:dyDescent="0.35">
      <c r="B52" s="597"/>
      <c r="C52" s="570"/>
      <c r="D52" s="820"/>
      <c r="E52" s="475" t="s">
        <v>1600</v>
      </c>
      <c r="F52" s="1362">
        <f>F51*8766</f>
        <v>39552324.545503646</v>
      </c>
      <c r="G52" s="822"/>
      <c r="H52" s="626"/>
      <c r="I52" s="532"/>
      <c r="J52" s="292"/>
      <c r="K52" s="287"/>
      <c r="L52" s="532"/>
      <c r="M52" s="610"/>
      <c r="N52" s="570"/>
      <c r="O52" s="570"/>
      <c r="P52" s="297"/>
      <c r="Q52" s="611"/>
      <c r="R52" s="570"/>
      <c r="S52" s="570"/>
      <c r="T52" s="570"/>
      <c r="U52" s="570"/>
      <c r="V52" s="570"/>
      <c r="W52" s="570"/>
      <c r="X52" s="570"/>
      <c r="Y52" s="570"/>
      <c r="Z52" s="570"/>
      <c r="AA52" s="570"/>
      <c r="AB52" s="570"/>
      <c r="AC52" s="570"/>
      <c r="AD52" s="570"/>
      <c r="AE52" s="570"/>
      <c r="AF52" s="570"/>
      <c r="AG52" s="570"/>
      <c r="AH52" s="570"/>
      <c r="AI52" s="570"/>
      <c r="AJ52" s="570"/>
      <c r="AK52" s="570"/>
      <c r="AL52" s="570"/>
      <c r="AM52" s="570"/>
      <c r="AN52" s="570"/>
      <c r="AO52" s="588"/>
    </row>
    <row r="53" ht="24" customHeight="true" thickBot="true" x14ac:dyDescent="0.4">
      <c r="B53" s="597"/>
      <c r="C53" s="570"/>
      <c r="D53" s="820"/>
      <c r="E53" s="821"/>
      <c r="F53" s="633"/>
      <c r="G53" s="822"/>
      <c r="H53" s="626"/>
      <c r="I53" s="532"/>
      <c r="J53" s="292"/>
      <c r="K53" s="287"/>
      <c r="L53" s="532"/>
      <c r="M53" s="610"/>
      <c r="N53" s="570"/>
      <c r="O53" s="570"/>
      <c r="P53" s="297"/>
      <c r="Q53" s="611"/>
      <c r="R53" s="570"/>
      <c r="S53" s="570"/>
      <c r="T53" s="570"/>
      <c r="U53" s="570"/>
      <c r="V53" s="570"/>
      <c r="W53" s="570"/>
      <c r="X53" s="570"/>
      <c r="Y53" s="570"/>
      <c r="Z53" s="570"/>
      <c r="AA53" s="570"/>
      <c r="AB53" s="570"/>
      <c r="AC53" s="570"/>
      <c r="AD53" s="570"/>
      <c r="AE53" s="570"/>
      <c r="AF53" s="570"/>
      <c r="AG53" s="570"/>
      <c r="AH53" s="570"/>
      <c r="AI53" s="570"/>
      <c r="AJ53" s="570"/>
      <c r="AK53" s="570"/>
      <c r="AL53" s="570"/>
      <c r="AM53" s="570"/>
      <c r="AN53" s="570"/>
      <c r="AO53" s="588"/>
    </row>
    <row r="54" ht="24" customHeight="true" x14ac:dyDescent="0.3">
      <c r="B54" s="597"/>
      <c r="C54" s="570"/>
      <c r="D54" s="820"/>
      <c r="E54" s="1996" t="s">
        <v>1220</v>
      </c>
      <c r="F54" s="1997"/>
      <c r="G54" s="1363">
        <f>'II. Equipment &amp; Cost Data'!G155</f>
        <v>0</v>
      </c>
      <c r="H54" s="570"/>
      <c r="I54" s="823"/>
      <c r="J54" s="570"/>
      <c r="K54" s="287"/>
      <c r="L54" s="532"/>
      <c r="M54" s="610"/>
      <c r="N54" s="570"/>
      <c r="O54" s="570"/>
      <c r="P54" s="297"/>
      <c r="Q54" s="611"/>
      <c r="R54" s="570"/>
      <c r="S54" s="570"/>
      <c r="T54" s="570"/>
      <c r="U54" s="570"/>
      <c r="V54" s="570"/>
      <c r="W54" s="570"/>
      <c r="X54" s="570"/>
      <c r="Y54" s="570"/>
      <c r="Z54" s="570"/>
      <c r="AA54" s="570"/>
      <c r="AB54" s="570"/>
      <c r="AC54" s="570"/>
      <c r="AD54" s="570"/>
      <c r="AE54" s="570"/>
      <c r="AF54" s="570"/>
      <c r="AG54" s="570"/>
      <c r="AH54" s="570"/>
      <c r="AI54" s="570"/>
      <c r="AJ54" s="570"/>
      <c r="AK54" s="570"/>
      <c r="AL54" s="570"/>
      <c r="AM54" s="570"/>
      <c r="AN54" s="570"/>
      <c r="AO54" s="588"/>
    </row>
    <row r="55" ht="25.5" customHeight="true" x14ac:dyDescent="0.3">
      <c r="B55" s="597"/>
      <c r="C55" s="570"/>
      <c r="D55" s="820"/>
      <c r="E55" s="1904" t="s">
        <v>1222</v>
      </c>
      <c r="F55" s="1905"/>
      <c r="G55" s="1364">
        <f>'II. Equipment &amp; Cost Data'!G156*40*52</f>
        <v>57803.199999999997</v>
      </c>
      <c r="H55" s="570"/>
      <c r="I55" s="823"/>
      <c r="J55" s="570"/>
      <c r="K55" s="287"/>
      <c r="L55" s="532"/>
      <c r="M55" s="610"/>
      <c r="N55" s="570"/>
      <c r="O55" s="570"/>
      <c r="P55" s="297"/>
      <c r="Q55" s="611"/>
      <c r="R55" s="570"/>
      <c r="S55" s="570"/>
      <c r="T55" s="570"/>
      <c r="U55" s="570"/>
      <c r="V55" s="570"/>
      <c r="W55" s="570"/>
      <c r="X55" s="570"/>
      <c r="Y55" s="570"/>
      <c r="Z55" s="570"/>
      <c r="AA55" s="570"/>
      <c r="AB55" s="570"/>
      <c r="AC55" s="570"/>
      <c r="AD55" s="570"/>
      <c r="AE55" s="570"/>
      <c r="AF55" s="570"/>
      <c r="AG55" s="570"/>
      <c r="AH55" s="570"/>
      <c r="AI55" s="570"/>
      <c r="AJ55" s="570"/>
      <c r="AK55" s="570"/>
      <c r="AL55" s="570"/>
      <c r="AM55" s="570"/>
      <c r="AN55" s="570"/>
      <c r="AO55" s="588"/>
    </row>
    <row r="56" ht="25.5" customHeight="true" x14ac:dyDescent="0.3">
      <c r="B56" s="597"/>
      <c r="C56" s="570"/>
      <c r="D56" s="820"/>
      <c r="E56" s="1904" t="s">
        <v>1492</v>
      </c>
      <c r="F56" s="1905"/>
      <c r="G56" s="1365">
        <f>'II. Equipment &amp; Cost Data'!G157</f>
        <v>0</v>
      </c>
      <c r="H56" s="570"/>
      <c r="I56" s="823"/>
      <c r="J56" s="570"/>
      <c r="K56" s="287"/>
      <c r="L56" s="532"/>
      <c r="M56" s="610"/>
      <c r="N56" s="570"/>
      <c r="O56" s="570"/>
      <c r="P56" s="297"/>
      <c r="Q56" s="611"/>
      <c r="R56" s="570"/>
      <c r="S56" s="570"/>
      <c r="T56" s="570"/>
      <c r="U56" s="570"/>
      <c r="V56" s="570"/>
      <c r="W56" s="570"/>
      <c r="X56" s="570"/>
      <c r="Y56" s="570"/>
      <c r="Z56" s="570"/>
      <c r="AA56" s="570"/>
      <c r="AB56" s="570"/>
      <c r="AC56" s="570"/>
      <c r="AD56" s="570"/>
      <c r="AE56" s="570"/>
      <c r="AF56" s="570"/>
      <c r="AG56" s="570"/>
      <c r="AH56" s="570"/>
      <c r="AI56" s="570"/>
      <c r="AJ56" s="570"/>
      <c r="AK56" s="570"/>
      <c r="AL56" s="570"/>
      <c r="AM56" s="570"/>
      <c r="AN56" s="570"/>
      <c r="AO56" s="588"/>
    </row>
    <row r="57" ht="25.5" customHeight="true" x14ac:dyDescent="0.3">
      <c r="B57" s="597"/>
      <c r="C57" s="570"/>
      <c r="D57" s="820"/>
      <c r="E57" s="1904" t="s">
        <v>1249</v>
      </c>
      <c r="F57" s="1905"/>
      <c r="G57" s="1364">
        <f>'II. Equipment &amp; Cost Data'!G158</f>
        <v>10</v>
      </c>
      <c r="H57" s="570"/>
      <c r="I57" s="823"/>
      <c r="J57" s="570"/>
      <c r="K57" s="287"/>
      <c r="L57" s="532"/>
      <c r="M57" s="610"/>
      <c r="N57" s="570"/>
      <c r="O57" s="570"/>
      <c r="P57" s="297"/>
      <c r="Q57" s="611"/>
      <c r="R57" s="570"/>
      <c r="S57" s="570"/>
      <c r="T57" s="570"/>
      <c r="U57" s="570"/>
      <c r="V57" s="570"/>
      <c r="W57" s="570"/>
      <c r="X57" s="570"/>
      <c r="Y57" s="570"/>
      <c r="Z57" s="570"/>
      <c r="AA57" s="570"/>
      <c r="AB57" s="570"/>
      <c r="AC57" s="570"/>
      <c r="AD57" s="570"/>
      <c r="AE57" s="570"/>
      <c r="AF57" s="570"/>
      <c r="AG57" s="570"/>
      <c r="AH57" s="570"/>
      <c r="AI57" s="570"/>
      <c r="AJ57" s="570"/>
      <c r="AK57" s="570"/>
      <c r="AL57" s="570"/>
      <c r="AM57" s="570"/>
      <c r="AN57" s="570"/>
      <c r="AO57" s="588"/>
    </row>
    <row r="58" ht="25.5" customHeight="true" x14ac:dyDescent="0.3">
      <c r="B58" s="597"/>
      <c r="C58" s="570"/>
      <c r="D58" s="820"/>
      <c r="E58" s="1866" t="s">
        <v>1250</v>
      </c>
      <c r="F58" s="1867"/>
      <c r="G58" s="1364">
        <f>'II. Equipment &amp; Cost Data'!G159</f>
        <v>0.3</v>
      </c>
      <c r="H58" s="570"/>
      <c r="I58" s="823"/>
      <c r="J58" s="570"/>
      <c r="K58" s="287"/>
      <c r="L58" s="532"/>
      <c r="M58" s="610"/>
      <c r="N58" s="570"/>
      <c r="O58" s="570"/>
      <c r="P58" s="297"/>
      <c r="Q58" s="611"/>
      <c r="R58" s="570"/>
      <c r="S58" s="570"/>
      <c r="T58" s="570"/>
      <c r="U58" s="570"/>
      <c r="V58" s="570"/>
      <c r="W58" s="570"/>
      <c r="X58" s="570"/>
      <c r="Y58" s="570"/>
      <c r="Z58" s="570"/>
      <c r="AA58" s="570"/>
      <c r="AB58" s="570"/>
      <c r="AC58" s="570"/>
      <c r="AD58" s="570"/>
      <c r="AE58" s="570"/>
      <c r="AF58" s="570"/>
      <c r="AG58" s="570"/>
      <c r="AH58" s="570"/>
      <c r="AI58" s="570"/>
      <c r="AJ58" s="570"/>
      <c r="AK58" s="570"/>
      <c r="AL58" s="570"/>
      <c r="AM58" s="570"/>
      <c r="AN58" s="570"/>
      <c r="AO58" s="588"/>
    </row>
    <row r="59" ht="25.5" customHeight="true" x14ac:dyDescent="0.3">
      <c r="B59" s="597"/>
      <c r="C59" s="570"/>
      <c r="D59" s="820"/>
      <c r="E59" s="1904" t="s">
        <v>1223</v>
      </c>
      <c r="F59" s="1905"/>
      <c r="G59" s="1366" t="str">
        <f>'II. Equipment &amp; Cost Data'!G160</f>
        <v>Straight-line</v>
      </c>
      <c r="H59" s="570"/>
      <c r="I59" s="823"/>
      <c r="J59" s="570"/>
      <c r="K59" s="287"/>
      <c r="L59" s="532"/>
      <c r="M59" s="610"/>
      <c r="N59" s="570"/>
      <c r="O59" s="570"/>
      <c r="P59" s="297"/>
      <c r="Q59" s="611"/>
      <c r="R59" s="570"/>
      <c r="S59" s="570"/>
      <c r="T59" s="570"/>
      <c r="U59" s="570"/>
      <c r="V59" s="570"/>
      <c r="W59" s="570"/>
      <c r="X59" s="570"/>
      <c r="Y59" s="570"/>
      <c r="Z59" s="570"/>
      <c r="AA59" s="570"/>
      <c r="AB59" s="570"/>
      <c r="AC59" s="570"/>
      <c r="AD59" s="570"/>
      <c r="AE59" s="570"/>
      <c r="AF59" s="570"/>
      <c r="AG59" s="570"/>
      <c r="AH59" s="570"/>
      <c r="AI59" s="570"/>
      <c r="AJ59" s="570"/>
      <c r="AK59" s="570"/>
      <c r="AL59" s="570"/>
      <c r="AM59" s="570"/>
      <c r="AN59" s="570"/>
      <c r="AO59" s="588"/>
    </row>
    <row r="60" ht="25.5" customHeight="true" x14ac:dyDescent="0.3">
      <c r="B60" s="597"/>
      <c r="C60" s="570"/>
      <c r="D60" s="820"/>
      <c r="E60" s="1904" t="s">
        <v>1239</v>
      </c>
      <c r="F60" s="1905"/>
      <c r="G60" s="1364">
        <f>'II. Equipment &amp; Cost Data'!G161</f>
        <v>1</v>
      </c>
      <c r="H60" s="570"/>
      <c r="I60" s="823"/>
      <c r="J60" s="570"/>
      <c r="K60" s="287"/>
      <c r="L60" s="532"/>
      <c r="M60" s="610"/>
      <c r="N60" s="570"/>
      <c r="O60" s="570"/>
      <c r="P60" s="297"/>
      <c r="Q60" s="611"/>
      <c r="R60" s="570"/>
      <c r="S60" s="570"/>
      <c r="T60" s="570"/>
      <c r="U60" s="570"/>
      <c r="V60" s="570"/>
      <c r="W60" s="570"/>
      <c r="X60" s="570"/>
      <c r="Y60" s="570"/>
      <c r="Z60" s="570"/>
      <c r="AA60" s="570"/>
      <c r="AB60" s="570"/>
      <c r="AC60" s="570"/>
      <c r="AD60" s="570"/>
      <c r="AE60" s="570"/>
      <c r="AF60" s="570"/>
      <c r="AG60" s="570"/>
      <c r="AH60" s="570"/>
      <c r="AI60" s="570"/>
      <c r="AJ60" s="570"/>
      <c r="AK60" s="570"/>
      <c r="AL60" s="570"/>
      <c r="AM60" s="570"/>
      <c r="AN60" s="570"/>
      <c r="AO60" s="588"/>
    </row>
    <row r="61" ht="36" customHeight="true" x14ac:dyDescent="0.3">
      <c r="B61" s="597"/>
      <c r="C61" s="570"/>
      <c r="D61" s="820"/>
      <c r="E61" s="1866" t="s">
        <v>1251</v>
      </c>
      <c r="F61" s="1867"/>
      <c r="G61" s="1364">
        <f>'II. Equipment &amp; Cost Data'!G162</f>
        <v>1</v>
      </c>
      <c r="H61" s="570"/>
      <c r="I61" s="823"/>
      <c r="J61" s="570"/>
      <c r="K61" s="287"/>
      <c r="L61" s="532"/>
      <c r="M61" s="610"/>
      <c r="N61" s="570"/>
      <c r="O61" s="570"/>
      <c r="P61" s="297"/>
      <c r="Q61" s="611"/>
      <c r="R61" s="570"/>
      <c r="S61" s="570"/>
      <c r="T61" s="570"/>
      <c r="U61" s="570"/>
      <c r="V61" s="570"/>
      <c r="W61" s="570"/>
      <c r="X61" s="570"/>
      <c r="Y61" s="570"/>
      <c r="Z61" s="570"/>
      <c r="AA61" s="570"/>
      <c r="AB61" s="570"/>
      <c r="AC61" s="570"/>
      <c r="AD61" s="570"/>
      <c r="AE61" s="570"/>
      <c r="AF61" s="570"/>
      <c r="AG61" s="570"/>
      <c r="AH61" s="570"/>
      <c r="AI61" s="570"/>
      <c r="AJ61" s="570"/>
      <c r="AK61" s="570"/>
      <c r="AL61" s="570"/>
      <c r="AM61" s="570"/>
      <c r="AN61" s="570"/>
      <c r="AO61" s="588"/>
    </row>
    <row r="62" ht="25.5" customHeight="true" x14ac:dyDescent="0.4">
      <c r="B62" s="597"/>
      <c r="C62" s="570"/>
      <c r="D62" s="820"/>
      <c r="E62" s="1904" t="s">
        <v>1228</v>
      </c>
      <c r="F62" s="1905"/>
      <c r="G62" s="1364">
        <f>SUM('III. Utility Data'!M10:'III. Utility Data'!M16)</f>
        <v>0</v>
      </c>
      <c r="H62" s="570"/>
      <c r="I62" s="823"/>
      <c r="J62" s="570"/>
      <c r="K62" s="287"/>
      <c r="L62" s="532"/>
      <c r="M62" s="610"/>
      <c r="N62" s="570"/>
      <c r="O62" s="570"/>
      <c r="P62" s="297"/>
      <c r="Q62" s="611"/>
      <c r="R62" s="570"/>
      <c r="S62" s="570"/>
      <c r="T62" s="570"/>
      <c r="U62" s="570"/>
      <c r="V62" s="570"/>
      <c r="W62" s="570"/>
      <c r="X62" s="570"/>
      <c r="Y62" s="570"/>
      <c r="Z62" s="570"/>
      <c r="AA62" s="570"/>
      <c r="AB62" s="570"/>
      <c r="AC62" s="570"/>
      <c r="AD62" s="570"/>
      <c r="AE62" s="570"/>
      <c r="AF62" s="570"/>
      <c r="AG62" s="570"/>
      <c r="AH62" s="570"/>
      <c r="AI62" s="570"/>
      <c r="AJ62" s="570"/>
      <c r="AK62" s="570"/>
      <c r="AL62" s="570"/>
      <c r="AM62" s="570"/>
      <c r="AN62" s="570"/>
      <c r="AO62" s="588"/>
    </row>
    <row r="63" ht="25.5" customHeight="true" x14ac:dyDescent="0.4">
      <c r="B63" s="597"/>
      <c r="C63" s="570"/>
      <c r="D63" s="820"/>
      <c r="E63" s="1904" t="s">
        <v>1227</v>
      </c>
      <c r="F63" s="1905"/>
      <c r="G63" s="1364">
        <f>SUM('III. Utility Data'!M17:M24)</f>
        <v>0</v>
      </c>
      <c r="H63" s="570"/>
      <c r="I63" s="823"/>
      <c r="J63" s="570"/>
      <c r="K63" s="287"/>
      <c r="L63" s="532"/>
      <c r="M63" s="610"/>
      <c r="N63" s="570"/>
      <c r="O63" s="570"/>
      <c r="P63" s="297"/>
      <c r="Q63" s="611"/>
      <c r="R63" s="570"/>
      <c r="S63" s="570"/>
      <c r="T63" s="570"/>
      <c r="U63" s="570"/>
      <c r="V63" s="570"/>
      <c r="W63" s="570"/>
      <c r="X63" s="570"/>
      <c r="Y63" s="570"/>
      <c r="Z63" s="570"/>
      <c r="AA63" s="570"/>
      <c r="AB63" s="570"/>
      <c r="AC63" s="570"/>
      <c r="AD63" s="570"/>
      <c r="AE63" s="570"/>
      <c r="AF63" s="570"/>
      <c r="AG63" s="570"/>
      <c r="AH63" s="570"/>
      <c r="AI63" s="570"/>
      <c r="AJ63" s="570"/>
      <c r="AK63" s="570"/>
      <c r="AL63" s="570"/>
      <c r="AM63" s="570"/>
      <c r="AN63" s="570"/>
      <c r="AO63" s="588"/>
    </row>
    <row r="64" ht="25.5" customHeight="true" x14ac:dyDescent="0.4">
      <c r="B64" s="597"/>
      <c r="C64" s="570"/>
      <c r="D64" s="820"/>
      <c r="E64" s="1904" t="s">
        <v>1226</v>
      </c>
      <c r="F64" s="1905"/>
      <c r="G64" s="1364">
        <f>'II. Equipment &amp; Cost Data'!K249</f>
        <v>29711389.233842522</v>
      </c>
      <c r="H64" s="570"/>
      <c r="I64" s="823"/>
      <c r="J64" s="570"/>
      <c r="K64" s="287"/>
      <c r="L64" s="532"/>
      <c r="M64" s="610"/>
      <c r="N64" s="570"/>
      <c r="O64" s="570"/>
      <c r="P64" s="297"/>
      <c r="Q64" s="611"/>
      <c r="R64" s="570"/>
      <c r="S64" s="570"/>
      <c r="T64" s="570"/>
      <c r="U64" s="570"/>
      <c r="V64" s="570"/>
      <c r="W64" s="570"/>
      <c r="X64" s="570"/>
      <c r="Y64" s="570"/>
      <c r="Z64" s="570"/>
      <c r="AA64" s="570"/>
      <c r="AB64" s="570"/>
      <c r="AC64" s="570"/>
      <c r="AD64" s="570"/>
      <c r="AE64" s="570"/>
      <c r="AF64" s="570"/>
      <c r="AG64" s="570"/>
      <c r="AH64" s="570"/>
      <c r="AI64" s="570"/>
      <c r="AJ64" s="570"/>
      <c r="AK64" s="570"/>
      <c r="AL64" s="570"/>
      <c r="AM64" s="570"/>
      <c r="AN64" s="570"/>
      <c r="AO64" s="588"/>
    </row>
    <row r="65" ht="25.5" customHeight="true" x14ac:dyDescent="0.4">
      <c r="B65" s="597"/>
      <c r="C65" s="570"/>
      <c r="D65" s="820"/>
      <c r="E65" s="1998" t="s">
        <v>1225</v>
      </c>
      <c r="F65" s="1999"/>
      <c r="G65" s="1364">
        <f>'II. Equipment &amp; Cost Data'!I295</f>
        <v>39552324.545503646</v>
      </c>
      <c r="H65" s="570"/>
      <c r="I65" s="823"/>
      <c r="J65" s="570"/>
      <c r="K65" s="287"/>
      <c r="L65" s="532"/>
      <c r="M65" s="610"/>
      <c r="N65" s="570"/>
      <c r="O65" s="570"/>
      <c r="P65" s="297"/>
      <c r="Q65" s="611"/>
      <c r="R65" s="570"/>
      <c r="S65" s="570"/>
      <c r="T65" s="570"/>
      <c r="U65" s="570"/>
      <c r="V65" s="570"/>
      <c r="W65" s="570"/>
      <c r="X65" s="570"/>
      <c r="Y65" s="570"/>
      <c r="Z65" s="570"/>
      <c r="AA65" s="570"/>
      <c r="AB65" s="570"/>
      <c r="AC65" s="570"/>
      <c r="AD65" s="570"/>
      <c r="AE65" s="570"/>
      <c r="AF65" s="570"/>
      <c r="AG65" s="570"/>
      <c r="AH65" s="570"/>
      <c r="AI65" s="570"/>
      <c r="AJ65" s="570"/>
      <c r="AK65" s="570"/>
      <c r="AL65" s="570"/>
      <c r="AM65" s="570"/>
      <c r="AN65" s="570"/>
      <c r="AO65" s="588"/>
    </row>
    <row r="66" ht="25.5" customHeight="true" x14ac:dyDescent="0.3">
      <c r="B66" s="597"/>
      <c r="C66" s="570"/>
      <c r="D66" s="820"/>
      <c r="E66" s="2000" t="s">
        <v>1230</v>
      </c>
      <c r="F66" s="2001"/>
      <c r="G66" s="1364">
        <f>'II. Equipment &amp; Cost Data'!E201</f>
        <v>0</v>
      </c>
      <c r="H66" s="570"/>
      <c r="I66" s="823"/>
      <c r="J66" s="570"/>
      <c r="K66" s="287"/>
      <c r="L66" s="532"/>
      <c r="M66" s="610"/>
      <c r="N66" s="570"/>
      <c r="O66" s="570"/>
      <c r="P66" s="297"/>
      <c r="Q66" s="611"/>
      <c r="R66" s="570"/>
      <c r="S66" s="570"/>
      <c r="T66" s="570"/>
      <c r="U66" s="570"/>
      <c r="V66" s="570"/>
      <c r="W66" s="570"/>
      <c r="X66" s="570"/>
      <c r="Y66" s="570"/>
      <c r="Z66" s="570"/>
      <c r="AA66" s="570"/>
      <c r="AB66" s="570"/>
      <c r="AC66" s="570"/>
      <c r="AD66" s="570"/>
      <c r="AE66" s="570"/>
      <c r="AF66" s="570"/>
      <c r="AG66" s="570"/>
      <c r="AH66" s="570"/>
      <c r="AI66" s="570"/>
      <c r="AJ66" s="570"/>
      <c r="AK66" s="570"/>
      <c r="AL66" s="570"/>
      <c r="AM66" s="570"/>
      <c r="AN66" s="570"/>
      <c r="AO66" s="588"/>
    </row>
    <row r="67" ht="25.5" customHeight="true" x14ac:dyDescent="0.4">
      <c r="B67" s="597"/>
      <c r="C67" s="570"/>
      <c r="D67" s="820"/>
      <c r="E67" s="2002" t="s">
        <v>1229</v>
      </c>
      <c r="F67" s="2003"/>
      <c r="G67" s="1364">
        <f>ROUNDUP((6.29+31.7*G54^2+0.23*G66)^0.5,0)</f>
        <v>3</v>
      </c>
      <c r="H67" s="570"/>
      <c r="I67" s="823"/>
      <c r="J67" s="570"/>
      <c r="K67" s="287"/>
      <c r="L67" s="532"/>
      <c r="M67" s="610"/>
      <c r="N67" s="570"/>
      <c r="O67" s="570"/>
      <c r="P67" s="297"/>
      <c r="Q67" s="611"/>
      <c r="R67" s="570"/>
      <c r="S67" s="570"/>
      <c r="T67" s="570"/>
      <c r="U67" s="570"/>
      <c r="V67" s="570"/>
      <c r="W67" s="570"/>
      <c r="X67" s="570"/>
      <c r="Y67" s="570"/>
      <c r="Z67" s="570"/>
      <c r="AA67" s="570"/>
      <c r="AB67" s="570"/>
      <c r="AC67" s="570"/>
      <c r="AD67" s="570"/>
      <c r="AE67" s="570"/>
      <c r="AF67" s="570"/>
      <c r="AG67" s="570"/>
      <c r="AH67" s="570"/>
      <c r="AI67" s="570"/>
      <c r="AJ67" s="570"/>
      <c r="AK67" s="570"/>
      <c r="AL67" s="570"/>
      <c r="AM67" s="570"/>
      <c r="AN67" s="570"/>
      <c r="AO67" s="588"/>
    </row>
    <row r="68" ht="25.5" customHeight="true" x14ac:dyDescent="0.4">
      <c r="B68" s="597"/>
      <c r="C68" s="570"/>
      <c r="D68" s="820"/>
      <c r="E68" s="1904" t="s">
        <v>1231</v>
      </c>
      <c r="F68" s="1905"/>
      <c r="G68" s="1364">
        <f>4.5*G67*G55</f>
        <v>780343.2</v>
      </c>
      <c r="H68" s="570"/>
      <c r="I68" s="823"/>
      <c r="J68" s="570"/>
      <c r="K68" s="287"/>
      <c r="L68" s="532"/>
      <c r="M68" s="610"/>
      <c r="N68" s="570"/>
      <c r="O68" s="570"/>
      <c r="P68" s="297"/>
      <c r="Q68" s="611"/>
      <c r="R68" s="570"/>
      <c r="S68" s="570"/>
      <c r="T68" s="570"/>
      <c r="U68" s="570"/>
      <c r="V68" s="570"/>
      <c r="W68" s="570"/>
      <c r="X68" s="570"/>
      <c r="Y68" s="570"/>
      <c r="Z68" s="570"/>
      <c r="AA68" s="570"/>
      <c r="AB68" s="570"/>
      <c r="AC68" s="570"/>
      <c r="AD68" s="570"/>
      <c r="AE68" s="570"/>
      <c r="AF68" s="570"/>
      <c r="AG68" s="570"/>
      <c r="AH68" s="570"/>
      <c r="AI68" s="570"/>
      <c r="AJ68" s="570"/>
      <c r="AK68" s="570"/>
      <c r="AL68" s="570"/>
      <c r="AM68" s="570"/>
      <c r="AN68" s="570"/>
      <c r="AO68" s="588"/>
    </row>
    <row r="69" ht="25.5" customHeight="true" x14ac:dyDescent="0.3">
      <c r="B69" s="597"/>
      <c r="C69" s="570"/>
      <c r="D69" s="820"/>
      <c r="E69" s="2000" t="s">
        <v>1237</v>
      </c>
      <c r="F69" s="2001"/>
      <c r="G69" s="1364">
        <f>'II. Equipment &amp; Cost Data'!G201</f>
        <v>0</v>
      </c>
      <c r="H69" s="570"/>
      <c r="I69" s="823"/>
      <c r="J69" s="570"/>
      <c r="K69" s="287"/>
      <c r="L69" s="532"/>
      <c r="M69" s="610"/>
      <c r="N69" s="570"/>
      <c r="O69" s="570"/>
      <c r="P69" s="297"/>
      <c r="Q69" s="611"/>
      <c r="R69" s="570"/>
      <c r="S69" s="570"/>
      <c r="T69" s="570"/>
      <c r="U69" s="570"/>
      <c r="V69" s="570"/>
      <c r="W69" s="570"/>
      <c r="X69" s="570"/>
      <c r="Y69" s="570"/>
      <c r="Z69" s="570"/>
      <c r="AA69" s="570"/>
      <c r="AB69" s="570"/>
      <c r="AC69" s="570"/>
      <c r="AD69" s="570"/>
      <c r="AE69" s="570"/>
      <c r="AF69" s="570"/>
      <c r="AG69" s="570"/>
      <c r="AH69" s="570"/>
      <c r="AI69" s="570"/>
      <c r="AJ69" s="570"/>
      <c r="AK69" s="570"/>
      <c r="AL69" s="570"/>
      <c r="AM69" s="570"/>
      <c r="AN69" s="570"/>
      <c r="AO69" s="588"/>
    </row>
    <row r="70" ht="25.5" customHeight="true" x14ac:dyDescent="0.3">
      <c r="B70" s="597"/>
      <c r="C70" s="570"/>
      <c r="D70" s="820"/>
      <c r="E70" s="1866" t="s">
        <v>1232</v>
      </c>
      <c r="F70" s="1867"/>
      <c r="G70" s="1364">
        <f>G69</f>
        <v>0</v>
      </c>
      <c r="H70" s="570"/>
      <c r="I70" s="823"/>
      <c r="J70" s="570"/>
      <c r="K70" s="287"/>
      <c r="L70" s="532"/>
      <c r="M70" s="610"/>
      <c r="N70" s="570"/>
      <c r="O70" s="570"/>
      <c r="P70" s="297"/>
      <c r="Q70" s="611"/>
      <c r="R70" s="570"/>
      <c r="S70" s="570"/>
      <c r="T70" s="570"/>
      <c r="U70" s="570"/>
      <c r="V70" s="570"/>
      <c r="W70" s="570"/>
      <c r="X70" s="570"/>
      <c r="Y70" s="570"/>
      <c r="Z70" s="570"/>
      <c r="AA70" s="570"/>
      <c r="AB70" s="570"/>
      <c r="AC70" s="570"/>
      <c r="AD70" s="570"/>
      <c r="AE70" s="570"/>
      <c r="AF70" s="570"/>
      <c r="AG70" s="570"/>
      <c r="AH70" s="570"/>
      <c r="AI70" s="570"/>
      <c r="AJ70" s="570"/>
      <c r="AK70" s="570"/>
      <c r="AL70" s="570"/>
      <c r="AM70" s="570"/>
      <c r="AN70" s="570"/>
      <c r="AO70" s="588"/>
    </row>
    <row r="71" ht="25.5" customHeight="true" x14ac:dyDescent="0.3">
      <c r="B71" s="597"/>
      <c r="C71" s="570"/>
      <c r="D71" s="820"/>
      <c r="E71" s="1864" t="s">
        <v>1233</v>
      </c>
      <c r="F71" s="1865"/>
      <c r="G71" s="1364">
        <f>0.15*G70</f>
        <v>0</v>
      </c>
      <c r="H71" s="570"/>
      <c r="I71" s="823"/>
      <c r="J71" s="570"/>
      <c r="K71" s="287"/>
      <c r="L71" s="532"/>
      <c r="M71" s="610"/>
      <c r="N71" s="570"/>
      <c r="O71" s="570"/>
      <c r="P71" s="297"/>
      <c r="Q71" s="611"/>
      <c r="R71" s="570"/>
      <c r="S71" s="570"/>
      <c r="T71" s="570"/>
      <c r="U71" s="570"/>
      <c r="V71" s="570"/>
      <c r="W71" s="570"/>
      <c r="X71" s="570"/>
      <c r="Y71" s="570"/>
      <c r="Z71" s="570"/>
      <c r="AA71" s="570"/>
      <c r="AB71" s="570"/>
      <c r="AC71" s="570"/>
      <c r="AD71" s="570"/>
      <c r="AE71" s="570"/>
      <c r="AF71" s="570"/>
      <c r="AG71" s="570"/>
      <c r="AH71" s="570"/>
      <c r="AI71" s="570"/>
      <c r="AJ71" s="570"/>
      <c r="AK71" s="570"/>
      <c r="AL71" s="570"/>
      <c r="AM71" s="570"/>
      <c r="AN71" s="570"/>
      <c r="AO71" s="588"/>
    </row>
    <row r="72" ht="25.5" customHeight="true" x14ac:dyDescent="0.3">
      <c r="B72" s="597"/>
      <c r="C72" s="570"/>
      <c r="D72" s="820"/>
      <c r="E72" s="1864" t="s">
        <v>1281</v>
      </c>
      <c r="F72" s="1865"/>
      <c r="G72" s="1364">
        <f>G56+G70+G71</f>
        <v>0</v>
      </c>
      <c r="H72" s="570"/>
      <c r="I72" s="823"/>
      <c r="J72" s="570"/>
      <c r="K72" s="287"/>
      <c r="L72" s="532"/>
      <c r="M72" s="610"/>
      <c r="N72" s="570"/>
      <c r="O72" s="570"/>
      <c r="P72" s="297"/>
      <c r="Q72" s="611"/>
      <c r="R72" s="570"/>
      <c r="S72" s="570"/>
      <c r="T72" s="570"/>
      <c r="U72" s="570"/>
      <c r="V72" s="570"/>
      <c r="W72" s="570"/>
      <c r="X72" s="570"/>
      <c r="Y72" s="570"/>
      <c r="Z72" s="570"/>
      <c r="AA72" s="570"/>
      <c r="AB72" s="570"/>
      <c r="AC72" s="570"/>
      <c r="AD72" s="570"/>
      <c r="AE72" s="570"/>
      <c r="AF72" s="570"/>
      <c r="AG72" s="570"/>
      <c r="AH72" s="570"/>
      <c r="AI72" s="570"/>
      <c r="AJ72" s="570"/>
      <c r="AK72" s="570"/>
      <c r="AL72" s="570"/>
      <c r="AM72" s="570"/>
      <c r="AN72" s="570"/>
      <c r="AO72" s="588"/>
    </row>
    <row r="73" ht="38.25" customHeight="true" x14ac:dyDescent="0.3">
      <c r="B73" s="597"/>
      <c r="C73" s="570"/>
      <c r="D73" s="820"/>
      <c r="E73" s="2000" t="s">
        <v>1236</v>
      </c>
      <c r="F73" s="2001"/>
      <c r="G73" s="1364">
        <f>0.28*G70+2.73*G68+1.23*(G62+G63+G64)</f>
        <v>38675345.6936263</v>
      </c>
      <c r="H73" s="570"/>
      <c r="I73" s="823"/>
      <c r="J73" s="570"/>
      <c r="K73" s="287"/>
      <c r="L73" s="532"/>
      <c r="M73" s="610"/>
      <c r="N73" s="570"/>
      <c r="O73" s="570"/>
      <c r="P73" s="297"/>
      <c r="Q73" s="611"/>
      <c r="R73" s="570"/>
      <c r="S73" s="570"/>
      <c r="T73" s="570"/>
      <c r="U73" s="570"/>
      <c r="V73" s="570"/>
      <c r="W73" s="570"/>
      <c r="X73" s="570"/>
      <c r="Y73" s="570"/>
      <c r="Z73" s="570"/>
      <c r="AA73" s="570"/>
      <c r="AB73" s="570"/>
      <c r="AC73" s="570"/>
      <c r="AD73" s="570"/>
      <c r="AE73" s="570"/>
      <c r="AF73" s="570"/>
      <c r="AG73" s="570"/>
      <c r="AH73" s="570"/>
      <c r="AI73" s="570"/>
      <c r="AJ73" s="570"/>
      <c r="AK73" s="570"/>
      <c r="AL73" s="570"/>
      <c r="AM73" s="570"/>
      <c r="AN73" s="570"/>
      <c r="AO73" s="588"/>
    </row>
    <row r="74" ht="25.5" customHeight="true" x14ac:dyDescent="0.3">
      <c r="B74" s="597"/>
      <c r="C74" s="570"/>
      <c r="D74" s="820"/>
      <c r="E74" s="2006" t="s">
        <v>1235</v>
      </c>
      <c r="F74" s="2007"/>
      <c r="G74" s="1364">
        <f>0.1*G70</f>
        <v>0</v>
      </c>
      <c r="H74" s="824"/>
      <c r="I74" s="823"/>
      <c r="J74" s="570"/>
      <c r="K74" s="287"/>
      <c r="L74" s="532"/>
      <c r="M74" s="610"/>
      <c r="N74" s="570"/>
      <c r="O74" s="570"/>
      <c r="P74" s="297"/>
      <c r="Q74" s="611"/>
      <c r="R74" s="570"/>
      <c r="S74" s="570"/>
      <c r="T74" s="570"/>
      <c r="U74" s="570"/>
      <c r="V74" s="570"/>
      <c r="W74" s="570"/>
      <c r="X74" s="570"/>
      <c r="Y74" s="570"/>
      <c r="Z74" s="570"/>
      <c r="AA74" s="570"/>
      <c r="AB74" s="570"/>
      <c r="AC74" s="570"/>
      <c r="AD74" s="570"/>
      <c r="AE74" s="570"/>
      <c r="AF74" s="570"/>
      <c r="AG74" s="570"/>
      <c r="AH74" s="570"/>
      <c r="AI74" s="570"/>
      <c r="AJ74" s="570"/>
      <c r="AK74" s="570"/>
      <c r="AL74" s="570"/>
      <c r="AM74" s="570"/>
      <c r="AN74" s="570"/>
      <c r="AO74" s="588"/>
    </row>
    <row r="75" ht="25.5" customHeight="true" x14ac:dyDescent="0.3">
      <c r="B75" s="597"/>
      <c r="C75" s="570"/>
      <c r="D75" s="820"/>
      <c r="E75" s="1864" t="s">
        <v>1243</v>
      </c>
      <c r="F75" s="1865"/>
      <c r="G75" s="1365">
        <f>'II. Equipment &amp; Cost Data'!G163</f>
        <v>0</v>
      </c>
      <c r="H75" s="570"/>
      <c r="I75" s="823"/>
      <c r="J75" s="570"/>
      <c r="K75" s="287"/>
      <c r="L75" s="532"/>
      <c r="M75" s="610"/>
      <c r="N75" s="570"/>
      <c r="O75" s="570"/>
      <c r="P75" s="297"/>
      <c r="Q75" s="611"/>
      <c r="R75" s="570"/>
      <c r="S75" s="570"/>
      <c r="T75" s="570"/>
      <c r="U75" s="570"/>
      <c r="V75" s="570"/>
      <c r="W75" s="570"/>
      <c r="X75" s="570"/>
      <c r="Y75" s="570"/>
      <c r="Z75" s="570"/>
      <c r="AA75" s="570"/>
      <c r="AB75" s="570"/>
      <c r="AC75" s="570"/>
      <c r="AD75" s="570"/>
      <c r="AE75" s="570"/>
      <c r="AF75" s="570"/>
      <c r="AG75" s="570"/>
      <c r="AH75" s="570"/>
      <c r="AI75" s="570"/>
      <c r="AJ75" s="570"/>
      <c r="AK75" s="570"/>
      <c r="AL75" s="570"/>
      <c r="AM75" s="570"/>
      <c r="AN75" s="570"/>
      <c r="AO75" s="588"/>
    </row>
    <row r="76" ht="25.5" customHeight="true" x14ac:dyDescent="0.3">
      <c r="B76" s="597"/>
      <c r="C76" s="570"/>
      <c r="D76" s="820"/>
      <c r="E76" s="1864" t="s">
        <v>1246</v>
      </c>
      <c r="F76" s="1865"/>
      <c r="G76" s="1364">
        <f>'II. Equipment &amp; Cost Data'!G164</f>
        <v>0.1</v>
      </c>
      <c r="H76" s="570"/>
      <c r="I76" s="823"/>
      <c r="J76" s="570"/>
      <c r="K76" s="287"/>
      <c r="L76" s="532"/>
      <c r="M76" s="610"/>
      <c r="N76" s="570"/>
      <c r="O76" s="570"/>
      <c r="P76" s="297"/>
      <c r="Q76" s="611"/>
      <c r="R76" s="570"/>
      <c r="S76" s="570"/>
      <c r="T76" s="570"/>
      <c r="U76" s="570"/>
      <c r="V76" s="570"/>
      <c r="W76" s="570"/>
      <c r="X76" s="570"/>
      <c r="Y76" s="570"/>
      <c r="Z76" s="570"/>
      <c r="AA76" s="570"/>
      <c r="AB76" s="570"/>
      <c r="AC76" s="570"/>
      <c r="AD76" s="570"/>
      <c r="AE76" s="570"/>
      <c r="AF76" s="570"/>
      <c r="AG76" s="570"/>
      <c r="AH76" s="570"/>
      <c r="AI76" s="570"/>
      <c r="AJ76" s="570"/>
      <c r="AK76" s="570"/>
      <c r="AL76" s="570"/>
      <c r="AM76" s="570"/>
      <c r="AN76" s="570"/>
      <c r="AO76" s="588"/>
    </row>
    <row r="77" ht="25.5" customHeight="true" x14ac:dyDescent="0.3">
      <c r="B77" s="597"/>
      <c r="C77" s="570"/>
      <c r="D77" s="820"/>
      <c r="E77" s="1866" t="s">
        <v>1252</v>
      </c>
      <c r="F77" s="1867"/>
      <c r="G77" s="2008" t="str">
        <f>'II. Equipment &amp; Cost Data'!G167</f>
        <v>(P/F, i, m)</v>
      </c>
      <c r="H77" s="570"/>
      <c r="I77" s="823"/>
      <c r="J77" s="570"/>
      <c r="K77" s="287"/>
      <c r="L77" s="532"/>
      <c r="M77" s="610"/>
      <c r="N77" s="570"/>
      <c r="O77" s="570"/>
      <c r="P77" s="297"/>
      <c r="Q77" s="611"/>
      <c r="R77" s="570"/>
      <c r="S77" s="570"/>
      <c r="T77" s="570"/>
      <c r="U77" s="570"/>
      <c r="V77" s="570"/>
      <c r="W77" s="570"/>
      <c r="X77" s="570"/>
      <c r="Y77" s="570"/>
      <c r="Z77" s="570"/>
      <c r="AA77" s="570"/>
      <c r="AB77" s="570"/>
      <c r="AC77" s="570"/>
      <c r="AD77" s="570"/>
      <c r="AE77" s="570"/>
      <c r="AF77" s="570"/>
      <c r="AG77" s="570"/>
      <c r="AH77" s="570"/>
      <c r="AI77" s="570"/>
      <c r="AJ77" s="570"/>
      <c r="AK77" s="570"/>
      <c r="AL77" s="570"/>
      <c r="AM77" s="570"/>
      <c r="AN77" s="570"/>
      <c r="AO77" s="588"/>
    </row>
    <row r="78" ht="25.5" customHeight="true" x14ac:dyDescent="0.3">
      <c r="B78" s="597"/>
      <c r="C78" s="570"/>
      <c r="D78" s="820"/>
      <c r="E78" s="1866"/>
      <c r="F78" s="1867"/>
      <c r="G78" s="2008"/>
      <c r="H78" s="570"/>
      <c r="I78" s="823"/>
      <c r="J78" s="570"/>
      <c r="K78" s="287"/>
      <c r="L78" s="532"/>
      <c r="M78" s="610"/>
      <c r="N78" s="570"/>
      <c r="O78" s="570"/>
      <c r="P78" s="297"/>
      <c r="Q78" s="611"/>
      <c r="R78" s="570"/>
      <c r="S78" s="570"/>
      <c r="T78" s="570"/>
      <c r="U78" s="570"/>
      <c r="V78" s="570"/>
      <c r="W78" s="570"/>
      <c r="X78" s="570"/>
      <c r="Y78" s="570"/>
      <c r="Z78" s="570"/>
      <c r="AA78" s="570"/>
      <c r="AB78" s="570"/>
      <c r="AC78" s="570"/>
      <c r="AD78" s="570"/>
      <c r="AE78" s="570"/>
      <c r="AF78" s="570"/>
      <c r="AG78" s="570"/>
      <c r="AH78" s="570"/>
      <c r="AI78" s="570"/>
      <c r="AJ78" s="570"/>
      <c r="AK78" s="570"/>
      <c r="AL78" s="570"/>
      <c r="AM78" s="570"/>
      <c r="AN78" s="570"/>
      <c r="AO78" s="588"/>
    </row>
    <row r="79" ht="25.5" customHeight="true" thickBot="true" x14ac:dyDescent="0.35">
      <c r="B79" s="597"/>
      <c r="C79" s="570"/>
      <c r="D79" s="820"/>
      <c r="E79" s="2004" t="s">
        <v>1296</v>
      </c>
      <c r="F79" s="2005"/>
      <c r="G79" s="1367">
        <f>'II. Equipment &amp; Cost Data'!G168</f>
        <v>0.16</v>
      </c>
      <c r="H79" s="570"/>
      <c r="I79" s="823"/>
      <c r="J79" s="570"/>
      <c r="K79" s="287"/>
      <c r="L79" s="532"/>
      <c r="M79" s="610"/>
      <c r="N79" s="570"/>
      <c r="O79" s="570"/>
      <c r="P79" s="297"/>
      <c r="Q79" s="611"/>
      <c r="R79" s="570"/>
      <c r="S79" s="570"/>
      <c r="T79" s="570"/>
      <c r="U79" s="570"/>
      <c r="V79" s="570"/>
      <c r="W79" s="570"/>
      <c r="X79" s="570"/>
      <c r="Y79" s="570"/>
      <c r="Z79" s="570"/>
      <c r="AA79" s="570"/>
      <c r="AB79" s="570"/>
      <c r="AC79" s="570"/>
      <c r="AD79" s="570"/>
      <c r="AE79" s="570"/>
      <c r="AF79" s="570"/>
      <c r="AG79" s="570"/>
      <c r="AH79" s="570"/>
      <c r="AI79" s="570"/>
      <c r="AJ79" s="570"/>
      <c r="AK79" s="570"/>
      <c r="AL79" s="570"/>
      <c r="AM79" s="570"/>
      <c r="AN79" s="570"/>
      <c r="AO79" s="588"/>
    </row>
    <row r="80" ht="24.75" customHeight="true" thickBot="true" x14ac:dyDescent="0.4">
      <c r="B80" s="597"/>
      <c r="C80" s="570"/>
      <c r="D80" s="820"/>
      <c r="E80" s="821"/>
      <c r="F80" s="633"/>
      <c r="G80" s="822"/>
      <c r="H80" s="626"/>
      <c r="I80" s="532"/>
      <c r="J80" s="292"/>
      <c r="K80" s="287"/>
      <c r="L80" s="532"/>
      <c r="M80" s="610"/>
      <c r="N80" s="570"/>
      <c r="O80" s="570"/>
      <c r="P80" s="297"/>
      <c r="Q80" s="611"/>
      <c r="R80" s="570"/>
      <c r="S80" s="570"/>
      <c r="T80" s="570"/>
      <c r="U80" s="570"/>
      <c r="V80" s="570"/>
      <c r="W80" s="570"/>
      <c r="X80" s="570"/>
      <c r="Y80" s="570"/>
      <c r="Z80" s="570"/>
      <c r="AA80" s="570"/>
      <c r="AB80" s="570"/>
      <c r="AC80" s="570"/>
      <c r="AD80" s="570"/>
      <c r="AE80" s="570"/>
      <c r="AF80" s="570"/>
      <c r="AG80" s="570"/>
      <c r="AH80" s="570"/>
      <c r="AI80" s="570"/>
      <c r="AJ80" s="570"/>
      <c r="AK80" s="570"/>
      <c r="AL80" s="570"/>
      <c r="AM80" s="570"/>
      <c r="AN80" s="570"/>
      <c r="AO80" s="588"/>
    </row>
    <row r="81" ht="21.6" thickBot="true" x14ac:dyDescent="0.35">
      <c r="B81" s="597"/>
      <c r="C81" s="570"/>
      <c r="D81" s="820"/>
      <c r="E81" s="625"/>
      <c r="F81" s="611"/>
      <c r="G81" s="570"/>
      <c r="H81" s="626"/>
      <c r="I81" s="532"/>
      <c r="J81" s="292"/>
      <c r="K81" s="287"/>
      <c r="L81" s="532"/>
      <c r="M81" s="610"/>
      <c r="N81" s="570"/>
      <c r="O81" s="570"/>
      <c r="P81" s="297"/>
      <c r="Q81" s="611"/>
      <c r="R81" s="570"/>
      <c r="S81" s="570"/>
      <c r="T81" s="476" t="s">
        <v>1326</v>
      </c>
      <c r="U81" s="1368">
        <f>'II. Equipment &amp; Cost Data'!G165</f>
        <v>0</v>
      </c>
      <c r="V81" s="477" t="s">
        <v>1326</v>
      </c>
      <c r="W81" s="1369">
        <f>'II. Equipment &amp; Cost Data'!G166</f>
        <v>0.4</v>
      </c>
      <c r="X81" s="570"/>
      <c r="Y81" s="570"/>
      <c r="Z81" s="570"/>
      <c r="AA81" s="570"/>
      <c r="AB81" s="570"/>
      <c r="AC81" s="570"/>
      <c r="AD81" s="570"/>
      <c r="AE81" s="570"/>
      <c r="AF81" s="570"/>
      <c r="AG81" s="570"/>
      <c r="AH81" s="570"/>
      <c r="AI81" s="570"/>
      <c r="AJ81" s="570"/>
      <c r="AK81" s="570"/>
      <c r="AL81" s="570"/>
      <c r="AM81" s="570"/>
      <c r="AN81" s="570"/>
      <c r="AO81" s="588"/>
    </row>
    <row r="82" ht="24" customHeight="true" thickBot="true" x14ac:dyDescent="0.45">
      <c r="B82" s="597"/>
      <c r="C82" s="570"/>
      <c r="D82" s="190"/>
      <c r="E82" s="1927" t="s">
        <v>1248</v>
      </c>
      <c r="F82" s="1927"/>
      <c r="G82" s="1927"/>
      <c r="H82" s="190"/>
      <c r="I82" s="190"/>
      <c r="J82" s="190"/>
      <c r="K82" s="190"/>
      <c r="L82" s="1990" t="s">
        <v>1244</v>
      </c>
      <c r="M82" s="1991"/>
      <c r="N82" s="1991"/>
      <c r="O82" s="1992"/>
      <c r="P82" s="1993" t="s">
        <v>1245</v>
      </c>
      <c r="Q82" s="1994"/>
      <c r="R82" s="1994"/>
      <c r="S82" s="1995"/>
      <c r="T82" s="1985" t="s">
        <v>1796</v>
      </c>
      <c r="U82" s="1986"/>
      <c r="V82" s="1986" t="s">
        <v>1797</v>
      </c>
      <c r="W82" s="1987"/>
      <c r="X82" s="570"/>
      <c r="Y82" s="570"/>
      <c r="Z82" s="570"/>
      <c r="AA82" s="570"/>
      <c r="AB82" s="570"/>
      <c r="AC82" s="570"/>
      <c r="AD82" s="570"/>
      <c r="AE82" s="570"/>
      <c r="AF82" s="570"/>
      <c r="AG82" s="570"/>
      <c r="AH82" s="570"/>
      <c r="AI82" s="570"/>
      <c r="AJ82" s="570"/>
      <c r="AK82" s="570"/>
      <c r="AL82" s="570"/>
      <c r="AM82" s="570"/>
      <c r="AN82" s="570"/>
      <c r="AO82" s="588"/>
    </row>
    <row r="83" ht="36" customHeight="true" x14ac:dyDescent="0.45">
      <c r="B83" s="597"/>
      <c r="C83" s="570"/>
      <c r="D83" s="190"/>
      <c r="E83" s="478" t="s">
        <v>1238</v>
      </c>
      <c r="F83" s="479" t="s">
        <v>1240</v>
      </c>
      <c r="G83" s="480" t="s">
        <v>1253</v>
      </c>
      <c r="H83" s="481" t="s">
        <v>1254</v>
      </c>
      <c r="I83" s="480" t="s">
        <v>1255</v>
      </c>
      <c r="J83" s="482" t="s">
        <v>1256</v>
      </c>
      <c r="K83" s="483" t="s">
        <v>1257</v>
      </c>
      <c r="L83" s="484" t="s">
        <v>1242</v>
      </c>
      <c r="M83" s="485" t="s">
        <v>1333</v>
      </c>
      <c r="N83" s="1214" t="s">
        <v>1258</v>
      </c>
      <c r="O83" s="486" t="s">
        <v>1259</v>
      </c>
      <c r="P83" s="487" t="s">
        <v>1242</v>
      </c>
      <c r="Q83" s="488" t="s">
        <v>1333</v>
      </c>
      <c r="R83" s="489" t="s">
        <v>1258</v>
      </c>
      <c r="S83" s="490" t="s">
        <v>1259</v>
      </c>
      <c r="T83" s="491" t="s">
        <v>1242</v>
      </c>
      <c r="U83" s="492" t="s">
        <v>1333</v>
      </c>
      <c r="V83" s="493" t="s">
        <v>1242</v>
      </c>
      <c r="W83" s="494" t="s">
        <v>1333</v>
      </c>
      <c r="X83" s="570"/>
      <c r="Y83" s="570"/>
      <c r="Z83" s="570"/>
      <c r="AA83" s="570"/>
      <c r="AB83" s="570"/>
      <c r="AC83" s="570"/>
      <c r="AD83" s="570"/>
      <c r="AE83" s="570"/>
      <c r="AF83" s="570"/>
      <c r="AG83" s="570"/>
      <c r="AH83" s="570"/>
      <c r="AI83" s="570"/>
      <c r="AJ83" s="570"/>
      <c r="AK83" s="570"/>
      <c r="AL83" s="570"/>
      <c r="AM83" s="570"/>
      <c r="AN83" s="570"/>
      <c r="AO83" s="588"/>
    </row>
    <row r="84" ht="20.4" x14ac:dyDescent="0.25">
      <c r="B84" s="597"/>
      <c r="C84" s="570"/>
      <c r="D84" s="190"/>
      <c r="E84" s="495">
        <v>0</v>
      </c>
      <c r="F84" s="202">
        <f>IF(E84=0,-$G$56,IF(E84=$G$60,-($G$70+$G$71),IF(E84=$G$57+$G$60,$G$75+$G$71,0)))</f>
        <v>0</v>
      </c>
      <c r="G84" s="186">
        <f>IF(E84&lt;($G$60+1),0,G$74)</f>
        <v>0</v>
      </c>
      <c r="H84" s="202">
        <f>IF(E84&lt;($G$60+1),$G$70,IF(H83-G84&gt;0,H83-G84,0))</f>
        <v>0</v>
      </c>
      <c r="I84" s="202">
        <f>IF(E84&lt;($G$60+1),0,G$65)</f>
        <v>0</v>
      </c>
      <c r="J84" s="202">
        <f>IF(E84&lt;($G$60+1),0,G$73)</f>
        <v>0</v>
      </c>
      <c r="K84" s="1370">
        <f>IF(E84&lt;($G$60+1),0,(I84-J84-G84)*(1-$G$58)+G84)</f>
        <v>0</v>
      </c>
      <c r="L84" s="484">
        <f t="shared" ref="L84:L95" si="6">F84+K84</f>
        <v>0</v>
      </c>
      <c r="M84" s="1371">
        <f>L84</f>
        <v>0</v>
      </c>
      <c r="N84" s="202" t="str">
        <f>IF(L84&gt;0,L84,"")</f>
        <v/>
      </c>
      <c r="O84" s="1370" t="str">
        <f>IF(L84&lt;0,L84,"")</f>
        <v/>
      </c>
      <c r="P84" s="185">
        <f>F84</f>
        <v>0</v>
      </c>
      <c r="Q84" s="186">
        <f>P84</f>
        <v>0</v>
      </c>
      <c r="R84" s="202" t="str">
        <f>IF(P84&gt;0,P84,"")</f>
        <v/>
      </c>
      <c r="S84" s="1370" t="str">
        <f>IF(P84&lt;0,P84,"")</f>
        <v/>
      </c>
      <c r="T84" s="495">
        <f>F84</f>
        <v>0</v>
      </c>
      <c r="U84" s="186">
        <f>T84</f>
        <v>0</v>
      </c>
      <c r="V84" s="202">
        <f>F84</f>
        <v>0</v>
      </c>
      <c r="W84" s="187">
        <f>V84</f>
        <v>0</v>
      </c>
      <c r="X84" s="570"/>
      <c r="Y84" s="570"/>
      <c r="Z84" s="570"/>
      <c r="AA84" s="570"/>
      <c r="AB84" s="570"/>
      <c r="AC84" s="570"/>
      <c r="AD84" s="570"/>
      <c r="AE84" s="570"/>
      <c r="AF84" s="570"/>
      <c r="AG84" s="570"/>
      <c r="AH84" s="570"/>
      <c r="AI84" s="570"/>
      <c r="AJ84" s="570"/>
      <c r="AK84" s="570"/>
      <c r="AL84" s="570"/>
      <c r="AM84" s="570"/>
      <c r="AN84" s="570"/>
      <c r="AO84" s="588"/>
    </row>
    <row r="85" ht="20.4" x14ac:dyDescent="0.25">
      <c r="B85" s="597"/>
      <c r="C85" s="570"/>
      <c r="D85" s="190"/>
      <c r="E85" s="495">
        <v>1</v>
      </c>
      <c r="F85" s="202">
        <f t="shared" ref="F85:F95" si="7">IF(E85=0,-$G$56,IF(E85=$G$60,-($G$70+$G$71),IF(E85=$G$57+$G$60,$G$75+$G$71,0)))</f>
        <v>0</v>
      </c>
      <c r="G85" s="186">
        <f>IF(E85&lt;($G$60+1),0,G$74)</f>
        <v>0</v>
      </c>
      <c r="H85" s="202">
        <f>IF(E85&lt;($G$60+1),$G$70,IF(H84-G85&gt;0,H84-G85,0))</f>
        <v>0</v>
      </c>
      <c r="I85" s="202">
        <f>IF(E85&lt;($G$60+1),0,G$65)</f>
        <v>0</v>
      </c>
      <c r="J85" s="202">
        <f t="shared" ref="J85:J95" si="8">IF(E85&lt;($G$60+1),0,G$73)</f>
        <v>0</v>
      </c>
      <c r="K85" s="1370">
        <f>IF(E85&lt;($G$60+1),0,(I85-J85-G85)*(1-$G$58)+G85)</f>
        <v>0</v>
      </c>
      <c r="L85" s="484">
        <f t="shared" si="6"/>
        <v>0</v>
      </c>
      <c r="M85" s="1371">
        <f t="shared" ref="M85:M95" si="9">L85+M84</f>
        <v>0</v>
      </c>
      <c r="N85" s="202" t="str">
        <f t="shared" ref="N85:N95" si="10">IF(L85&gt;0,L85,"")</f>
        <v/>
      </c>
      <c r="O85" s="1370" t="str">
        <f t="shared" ref="O85:O95" si="11">IF(L85&lt;0,L85,"")</f>
        <v/>
      </c>
      <c r="P85" s="185">
        <f>L85/(1+'VII. Economic'!$G$76)^E85</f>
        <v>0</v>
      </c>
      <c r="Q85" s="186">
        <f t="shared" ref="Q85:Q95" si="12">Q84+P85</f>
        <v>0</v>
      </c>
      <c r="R85" s="202" t="str">
        <f t="shared" ref="R85:R95" si="13">IF(P85&gt;0,P85,"")</f>
        <v/>
      </c>
      <c r="S85" s="1370" t="str">
        <f t="shared" ref="S85:S95" si="14">IF(P85&lt;0,P85,"")</f>
        <v/>
      </c>
      <c r="T85" s="495">
        <f>L85/(1+$U$81)^E85</f>
        <v>0</v>
      </c>
      <c r="U85" s="186">
        <f>T85+U84</f>
        <v>0</v>
      </c>
      <c r="V85" s="202">
        <f>L85/(1+$W$81)^E85</f>
        <v>0</v>
      </c>
      <c r="W85" s="187">
        <f>V85+W84</f>
        <v>0</v>
      </c>
      <c r="X85" s="570"/>
      <c r="Y85" s="570"/>
      <c r="Z85" s="570"/>
      <c r="AA85" s="570"/>
      <c r="AB85" s="570"/>
      <c r="AC85" s="570"/>
      <c r="AD85" s="570"/>
      <c r="AE85" s="570"/>
      <c r="AF85" s="570"/>
      <c r="AG85" s="570"/>
      <c r="AH85" s="570"/>
      <c r="AI85" s="570"/>
      <c r="AJ85" s="570"/>
      <c r="AK85" s="570"/>
      <c r="AL85" s="570"/>
      <c r="AM85" s="570"/>
      <c r="AN85" s="570"/>
      <c r="AO85" s="588"/>
    </row>
    <row r="86" ht="20.4" x14ac:dyDescent="0.25">
      <c r="B86" s="597"/>
      <c r="C86" s="570"/>
      <c r="D86" s="190"/>
      <c r="E86" s="495">
        <v>2</v>
      </c>
      <c r="F86" s="202">
        <f t="shared" si="7"/>
        <v>0</v>
      </c>
      <c r="G86" s="186">
        <f>IF(E86&lt;($G$60+1),0,G$74)</f>
        <v>0</v>
      </c>
      <c r="H86" s="202">
        <f>IF(E86&lt;($G$60+1),$G$70,IF(H85-G86&gt;0,H85-G86,0))</f>
        <v>0</v>
      </c>
      <c r="I86" s="202">
        <f t="shared" ref="I86:I95" si="15">IF(E86&lt;($G$60+1),0,G$65)</f>
        <v>39552324.545503646</v>
      </c>
      <c r="J86" s="202">
        <f t="shared" si="8"/>
        <v>38675345.6936263</v>
      </c>
      <c r="K86" s="1370">
        <f>IF(E86&lt;($G$60+1),0,(I86-J86-G86)*(1-$G$58)+G86)</f>
        <v>613885.19631414255</v>
      </c>
      <c r="L86" s="484">
        <f t="shared" si="6"/>
        <v>613885.19631414255</v>
      </c>
      <c r="M86" s="1371">
        <f t="shared" si="9"/>
        <v>613885.19631414255</v>
      </c>
      <c r="N86" s="202">
        <f t="shared" si="10"/>
        <v>613885.19631414255</v>
      </c>
      <c r="O86" s="1370" t="str">
        <f t="shared" si="11"/>
        <v/>
      </c>
      <c r="P86" s="185">
        <f>L86/(1+'VII. Economic'!$G$76)^E86</f>
        <v>507343.13744970452</v>
      </c>
      <c r="Q86" s="186">
        <f t="shared" si="12"/>
        <v>507343.13744970452</v>
      </c>
      <c r="R86" s="202">
        <f t="shared" si="13"/>
        <v>507343.13744970452</v>
      </c>
      <c r="S86" s="1370" t="str">
        <f t="shared" si="14"/>
        <v/>
      </c>
      <c r="T86" s="495">
        <f t="shared" ref="T86:T95" si="16">L86/(1+$U$81)^E86</f>
        <v>613885.19631414255</v>
      </c>
      <c r="U86" s="186">
        <f t="shared" ref="U86:U95" si="17">T86+U85</f>
        <v>613885.19631414255</v>
      </c>
      <c r="V86" s="202">
        <f t="shared" ref="V86:V95" si="18">L86/(1+$W$81)^E86</f>
        <v>313206.73281333805</v>
      </c>
      <c r="W86" s="187">
        <f t="shared" ref="W86:W95" si="19">V86+W85</f>
        <v>313206.73281333805</v>
      </c>
      <c r="X86" s="570"/>
      <c r="Y86" s="570"/>
      <c r="Z86" s="570"/>
      <c r="AA86" s="570"/>
      <c r="AB86" s="570"/>
      <c r="AC86" s="570"/>
      <c r="AD86" s="570"/>
      <c r="AE86" s="570"/>
      <c r="AF86" s="570"/>
      <c r="AG86" s="570"/>
      <c r="AH86" s="570"/>
      <c r="AI86" s="570"/>
      <c r="AJ86" s="570"/>
      <c r="AK86" s="570"/>
      <c r="AL86" s="570"/>
      <c r="AM86" s="570"/>
      <c r="AN86" s="570"/>
      <c r="AO86" s="588"/>
    </row>
    <row r="87" ht="20.25" customHeight="true" x14ac:dyDescent="0.25">
      <c r="B87" s="597"/>
      <c r="C87" s="570"/>
      <c r="D87" s="190"/>
      <c r="E87" s="495">
        <v>3</v>
      </c>
      <c r="F87" s="202">
        <f t="shared" si="7"/>
        <v>0</v>
      </c>
      <c r="G87" s="186">
        <f t="shared" ref="G87:G95" si="20">IF(E87&lt;($G$60+1),0,G$74)</f>
        <v>0</v>
      </c>
      <c r="H87" s="202">
        <f t="shared" ref="H87:H95" si="21">IF(E87&lt;($G$60+1),$G$70,IF(H86-G87&gt;0,H86-G87,0))</f>
        <v>0</v>
      </c>
      <c r="I87" s="202">
        <f t="shared" si="15"/>
        <v>39552324.545503646</v>
      </c>
      <c r="J87" s="202">
        <f t="shared" si="8"/>
        <v>38675345.6936263</v>
      </c>
      <c r="K87" s="1370">
        <f t="shared" ref="K87:K95" si="22">IF(E87&lt;($G$60+1),0,(I87-J87-G87)*(1-$G$58)+G87)</f>
        <v>613885.19631414255</v>
      </c>
      <c r="L87" s="484">
        <f t="shared" si="6"/>
        <v>613885.19631414255</v>
      </c>
      <c r="M87" s="1371">
        <f t="shared" si="9"/>
        <v>1227770.3926282851</v>
      </c>
      <c r="N87" s="202">
        <f t="shared" si="10"/>
        <v>613885.19631414255</v>
      </c>
      <c r="O87" s="1370" t="str">
        <f t="shared" si="11"/>
        <v/>
      </c>
      <c r="P87" s="185">
        <f>L87/(1+'VII. Economic'!$G$76)^E87</f>
        <v>461221.03404518584</v>
      </c>
      <c r="Q87" s="186">
        <f t="shared" si="12"/>
        <v>968564.17149489035</v>
      </c>
      <c r="R87" s="202">
        <f t="shared" si="13"/>
        <v>461221.03404518584</v>
      </c>
      <c r="S87" s="1370" t="str">
        <f t="shared" si="14"/>
        <v/>
      </c>
      <c r="T87" s="495">
        <f t="shared" si="16"/>
        <v>613885.19631414255</v>
      </c>
      <c r="U87" s="186">
        <f t="shared" si="17"/>
        <v>1227770.3926282851</v>
      </c>
      <c r="V87" s="202">
        <f t="shared" si="18"/>
        <v>223719.09486667009</v>
      </c>
      <c r="W87" s="187">
        <f t="shared" si="19"/>
        <v>536925.82768000814</v>
      </c>
      <c r="X87" s="570"/>
      <c r="Y87" s="570"/>
      <c r="Z87" s="570"/>
      <c r="AA87" s="570"/>
      <c r="AB87" s="570"/>
      <c r="AC87" s="570"/>
      <c r="AD87" s="570"/>
      <c r="AE87" s="570"/>
      <c r="AF87" s="570"/>
      <c r="AG87" s="570"/>
      <c r="AH87" s="570"/>
      <c r="AI87" s="570"/>
      <c r="AJ87" s="570"/>
      <c r="AK87" s="570"/>
      <c r="AL87" s="570"/>
      <c r="AM87" s="570"/>
      <c r="AN87" s="570"/>
      <c r="AO87" s="588"/>
    </row>
    <row r="88" ht="20.25" customHeight="true" x14ac:dyDescent="0.25">
      <c r="B88" s="597"/>
      <c r="C88" s="570"/>
      <c r="D88" s="190"/>
      <c r="E88" s="495">
        <v>4</v>
      </c>
      <c r="F88" s="202">
        <f t="shared" si="7"/>
        <v>0</v>
      </c>
      <c r="G88" s="186">
        <f t="shared" si="20"/>
        <v>0</v>
      </c>
      <c r="H88" s="202">
        <f t="shared" si="21"/>
        <v>0</v>
      </c>
      <c r="I88" s="202">
        <f t="shared" si="15"/>
        <v>39552324.545503646</v>
      </c>
      <c r="J88" s="202">
        <f t="shared" si="8"/>
        <v>38675345.6936263</v>
      </c>
      <c r="K88" s="1370">
        <f t="shared" si="22"/>
        <v>613885.19631414255</v>
      </c>
      <c r="L88" s="484">
        <f t="shared" si="6"/>
        <v>613885.19631414255</v>
      </c>
      <c r="M88" s="1371">
        <f t="shared" si="9"/>
        <v>1841655.5889424277</v>
      </c>
      <c r="N88" s="202">
        <f t="shared" si="10"/>
        <v>613885.19631414255</v>
      </c>
      <c r="O88" s="1370" t="str">
        <f t="shared" si="11"/>
        <v/>
      </c>
      <c r="P88" s="185">
        <f>L88/(1+'VII. Economic'!$G$76)^E88</f>
        <v>419291.84913198714</v>
      </c>
      <c r="Q88" s="186">
        <f t="shared" si="12"/>
        <v>1387856.0206268774</v>
      </c>
      <c r="R88" s="202">
        <f t="shared" si="13"/>
        <v>419291.84913198714</v>
      </c>
      <c r="S88" s="1370" t="str">
        <f t="shared" si="14"/>
        <v/>
      </c>
      <c r="T88" s="495">
        <f t="shared" si="16"/>
        <v>613885.19631414255</v>
      </c>
      <c r="U88" s="186">
        <f t="shared" si="17"/>
        <v>1841655.5889424277</v>
      </c>
      <c r="V88" s="202">
        <f t="shared" si="18"/>
        <v>159799.35347619292</v>
      </c>
      <c r="W88" s="187">
        <f t="shared" si="19"/>
        <v>696725.18115620106</v>
      </c>
      <c r="X88" s="570"/>
      <c r="Y88" s="570"/>
      <c r="Z88" s="570"/>
      <c r="AA88" s="570"/>
      <c r="AB88" s="570"/>
      <c r="AC88" s="570"/>
      <c r="AD88" s="570"/>
      <c r="AE88" s="570"/>
      <c r="AF88" s="570"/>
      <c r="AG88" s="570"/>
      <c r="AH88" s="570"/>
      <c r="AI88" s="570"/>
      <c r="AJ88" s="570"/>
      <c r="AK88" s="570"/>
      <c r="AL88" s="570"/>
      <c r="AM88" s="570"/>
      <c r="AN88" s="570"/>
      <c r="AO88" s="588"/>
    </row>
    <row r="89" ht="20.4" x14ac:dyDescent="0.25">
      <c r="B89" s="597"/>
      <c r="C89" s="570"/>
      <c r="D89" s="190"/>
      <c r="E89" s="495">
        <v>5</v>
      </c>
      <c r="F89" s="202">
        <f t="shared" si="7"/>
        <v>0</v>
      </c>
      <c r="G89" s="186">
        <f t="shared" si="20"/>
        <v>0</v>
      </c>
      <c r="H89" s="202">
        <f t="shared" si="21"/>
        <v>0</v>
      </c>
      <c r="I89" s="202">
        <f t="shared" si="15"/>
        <v>39552324.545503646</v>
      </c>
      <c r="J89" s="202">
        <f t="shared" si="8"/>
        <v>38675345.6936263</v>
      </c>
      <c r="K89" s="1370">
        <f t="shared" si="22"/>
        <v>613885.19631414255</v>
      </c>
      <c r="L89" s="484">
        <f t="shared" si="6"/>
        <v>613885.19631414255</v>
      </c>
      <c r="M89" s="1371">
        <f t="shared" si="9"/>
        <v>2455540.7852565702</v>
      </c>
      <c r="N89" s="202">
        <f t="shared" si="10"/>
        <v>613885.19631414255</v>
      </c>
      <c r="O89" s="1370" t="str">
        <f t="shared" si="11"/>
        <v/>
      </c>
      <c r="P89" s="185">
        <f>L89/(1+'VII. Economic'!$G$76)^E89</f>
        <v>381174.40830180648</v>
      </c>
      <c r="Q89" s="186">
        <f t="shared" si="12"/>
        <v>1769030.428928684</v>
      </c>
      <c r="R89" s="202">
        <f t="shared" si="13"/>
        <v>381174.40830180648</v>
      </c>
      <c r="S89" s="1370" t="str">
        <f t="shared" si="14"/>
        <v/>
      </c>
      <c r="T89" s="495">
        <f t="shared" si="16"/>
        <v>613885.19631414255</v>
      </c>
      <c r="U89" s="186">
        <f t="shared" si="17"/>
        <v>2455540.7852565702</v>
      </c>
      <c r="V89" s="202">
        <f t="shared" si="18"/>
        <v>114142.39534013781</v>
      </c>
      <c r="W89" s="187">
        <f t="shared" si="19"/>
        <v>810867.57649633882</v>
      </c>
      <c r="X89" s="570"/>
      <c r="Y89" s="570"/>
      <c r="Z89" s="570"/>
      <c r="AA89" s="570"/>
      <c r="AB89" s="570"/>
      <c r="AC89" s="570"/>
      <c r="AD89" s="570"/>
      <c r="AE89" s="570"/>
      <c r="AF89" s="570"/>
      <c r="AG89" s="570"/>
      <c r="AH89" s="570"/>
      <c r="AI89" s="570"/>
      <c r="AJ89" s="570"/>
      <c r="AK89" s="570"/>
      <c r="AL89" s="570"/>
      <c r="AM89" s="570"/>
      <c r="AN89" s="570"/>
      <c r="AO89" s="588"/>
    </row>
    <row r="90" ht="20.25" customHeight="true" x14ac:dyDescent="0.25">
      <c r="B90" s="597"/>
      <c r="C90" s="570"/>
      <c r="D90" s="190"/>
      <c r="E90" s="495">
        <v>6</v>
      </c>
      <c r="F90" s="202">
        <f t="shared" si="7"/>
        <v>0</v>
      </c>
      <c r="G90" s="186">
        <f t="shared" si="20"/>
        <v>0</v>
      </c>
      <c r="H90" s="202">
        <f t="shared" si="21"/>
        <v>0</v>
      </c>
      <c r="I90" s="202">
        <f t="shared" si="15"/>
        <v>39552324.545503646</v>
      </c>
      <c r="J90" s="202">
        <f t="shared" si="8"/>
        <v>38675345.6936263</v>
      </c>
      <c r="K90" s="1370">
        <f t="shared" si="22"/>
        <v>613885.19631414255</v>
      </c>
      <c r="L90" s="484">
        <f t="shared" si="6"/>
        <v>613885.19631414255</v>
      </c>
      <c r="M90" s="1371">
        <f t="shared" si="9"/>
        <v>3069425.9815707128</v>
      </c>
      <c r="N90" s="202">
        <f t="shared" si="10"/>
        <v>613885.19631414255</v>
      </c>
      <c r="O90" s="1370" t="str">
        <f t="shared" si="11"/>
        <v/>
      </c>
      <c r="P90" s="185">
        <f>L90/(1+'VII. Economic'!$G$76)^E90</f>
        <v>346522.18936527858</v>
      </c>
      <c r="Q90" s="186">
        <f t="shared" si="12"/>
        <v>2115552.6182939624</v>
      </c>
      <c r="R90" s="202">
        <f t="shared" si="13"/>
        <v>346522.18936527858</v>
      </c>
      <c r="S90" s="1370" t="str">
        <f t="shared" si="14"/>
        <v/>
      </c>
      <c r="T90" s="495">
        <f t="shared" si="16"/>
        <v>613885.19631414255</v>
      </c>
      <c r="U90" s="186">
        <f t="shared" si="17"/>
        <v>3069425.9815707128</v>
      </c>
      <c r="V90" s="202">
        <f t="shared" si="18"/>
        <v>81530.282385812723</v>
      </c>
      <c r="W90" s="187">
        <f t="shared" si="19"/>
        <v>892397.85888215154</v>
      </c>
      <c r="X90" s="570"/>
      <c r="Y90" s="570"/>
      <c r="Z90" s="570"/>
      <c r="AA90" s="570"/>
      <c r="AB90" s="570"/>
      <c r="AC90" s="570"/>
      <c r="AD90" s="570"/>
      <c r="AE90" s="570"/>
      <c r="AF90" s="570"/>
      <c r="AG90" s="570"/>
      <c r="AH90" s="570"/>
      <c r="AI90" s="570"/>
      <c r="AJ90" s="570"/>
      <c r="AK90" s="570"/>
      <c r="AL90" s="570"/>
      <c r="AM90" s="570"/>
      <c r="AN90" s="570"/>
      <c r="AO90" s="588"/>
    </row>
    <row r="91" ht="20.25" customHeight="true" x14ac:dyDescent="0.25">
      <c r="B91" s="597"/>
      <c r="C91" s="570"/>
      <c r="D91" s="190"/>
      <c r="E91" s="495">
        <v>7</v>
      </c>
      <c r="F91" s="202">
        <f t="shared" si="7"/>
        <v>0</v>
      </c>
      <c r="G91" s="186">
        <f t="shared" si="20"/>
        <v>0</v>
      </c>
      <c r="H91" s="202">
        <f t="shared" si="21"/>
        <v>0</v>
      </c>
      <c r="I91" s="202">
        <f t="shared" si="15"/>
        <v>39552324.545503646</v>
      </c>
      <c r="J91" s="202">
        <f t="shared" si="8"/>
        <v>38675345.6936263</v>
      </c>
      <c r="K91" s="1370">
        <f t="shared" si="22"/>
        <v>613885.19631414255</v>
      </c>
      <c r="L91" s="484">
        <f t="shared" si="6"/>
        <v>613885.19631414255</v>
      </c>
      <c r="M91" s="1371">
        <f t="shared" si="9"/>
        <v>3683311.1778848553</v>
      </c>
      <c r="N91" s="202">
        <f t="shared" si="10"/>
        <v>613885.19631414255</v>
      </c>
      <c r="O91" s="1370" t="str">
        <f t="shared" si="11"/>
        <v/>
      </c>
      <c r="P91" s="185">
        <f>L91/(1+'VII. Economic'!$G$76)^E91</f>
        <v>315020.1721502532</v>
      </c>
      <c r="Q91" s="186">
        <f t="shared" si="12"/>
        <v>2430572.7904442158</v>
      </c>
      <c r="R91" s="202">
        <f t="shared" si="13"/>
        <v>315020.1721502532</v>
      </c>
      <c r="S91" s="1370" t="str">
        <f t="shared" si="14"/>
        <v/>
      </c>
      <c r="T91" s="495">
        <f t="shared" si="16"/>
        <v>613885.19631414255</v>
      </c>
      <c r="U91" s="186">
        <f t="shared" si="17"/>
        <v>3683311.1778848553</v>
      </c>
      <c r="V91" s="202">
        <f t="shared" si="18"/>
        <v>58235.915989866247</v>
      </c>
      <c r="W91" s="187">
        <f t="shared" si="19"/>
        <v>950633.77487201779</v>
      </c>
      <c r="X91" s="570"/>
      <c r="Y91" s="570"/>
      <c r="Z91" s="570"/>
      <c r="AA91" s="570"/>
      <c r="AB91" s="570"/>
      <c r="AC91" s="570"/>
      <c r="AD91" s="570"/>
      <c r="AE91" s="570"/>
      <c r="AF91" s="570"/>
      <c r="AG91" s="570"/>
      <c r="AH91" s="570"/>
      <c r="AI91" s="570"/>
      <c r="AJ91" s="570"/>
      <c r="AK91" s="570"/>
      <c r="AL91" s="570"/>
      <c r="AM91" s="570"/>
      <c r="AN91" s="570"/>
      <c r="AO91" s="588"/>
    </row>
    <row r="92" ht="20.25" customHeight="true" x14ac:dyDescent="0.25">
      <c r="B92" s="597"/>
      <c r="C92" s="570"/>
      <c r="D92" s="190"/>
      <c r="E92" s="495">
        <v>8</v>
      </c>
      <c r="F92" s="202">
        <f t="shared" si="7"/>
        <v>0</v>
      </c>
      <c r="G92" s="186">
        <f t="shared" si="20"/>
        <v>0</v>
      </c>
      <c r="H92" s="202">
        <f>IF(E92&lt;($G$60+1),$G$70,IF(H91-G92&gt;0,H91-G92,0))</f>
        <v>0</v>
      </c>
      <c r="I92" s="202">
        <f t="shared" si="15"/>
        <v>39552324.545503646</v>
      </c>
      <c r="J92" s="202">
        <f t="shared" si="8"/>
        <v>38675345.6936263</v>
      </c>
      <c r="K92" s="1370">
        <f t="shared" si="22"/>
        <v>613885.19631414255</v>
      </c>
      <c r="L92" s="484">
        <f t="shared" si="6"/>
        <v>613885.19631414255</v>
      </c>
      <c r="M92" s="1371">
        <f t="shared" si="9"/>
        <v>4297196.3741989974</v>
      </c>
      <c r="N92" s="202">
        <f t="shared" si="10"/>
        <v>613885.19631414255</v>
      </c>
      <c r="O92" s="1370" t="str">
        <f t="shared" si="11"/>
        <v/>
      </c>
      <c r="P92" s="185">
        <f>L92/(1+'VII. Economic'!$G$76)^E92</f>
        <v>286381.97468204837</v>
      </c>
      <c r="Q92" s="186">
        <f t="shared" si="12"/>
        <v>2716954.7651262642</v>
      </c>
      <c r="R92" s="202">
        <f t="shared" si="13"/>
        <v>286381.97468204837</v>
      </c>
      <c r="S92" s="1370" t="str">
        <f t="shared" si="14"/>
        <v/>
      </c>
      <c r="T92" s="495">
        <f t="shared" si="16"/>
        <v>613885.19631414255</v>
      </c>
      <c r="U92" s="186">
        <f t="shared" si="17"/>
        <v>4297196.3741989974</v>
      </c>
      <c r="V92" s="202">
        <f t="shared" si="18"/>
        <v>41597.082849904458</v>
      </c>
      <c r="W92" s="187">
        <f t="shared" si="19"/>
        <v>992230.85772192222</v>
      </c>
      <c r="X92" s="570"/>
      <c r="Y92" s="570"/>
      <c r="Z92" s="570"/>
      <c r="AA92" s="570"/>
      <c r="AB92" s="570"/>
      <c r="AC92" s="570"/>
      <c r="AD92" s="570"/>
      <c r="AE92" s="570"/>
      <c r="AF92" s="570"/>
      <c r="AG92" s="570"/>
      <c r="AH92" s="570"/>
      <c r="AI92" s="570"/>
      <c r="AJ92" s="570"/>
      <c r="AK92" s="570"/>
      <c r="AL92" s="570"/>
      <c r="AM92" s="570"/>
      <c r="AN92" s="570"/>
      <c r="AO92" s="588"/>
    </row>
    <row r="93" ht="20.4" x14ac:dyDescent="0.25">
      <c r="B93" s="597"/>
      <c r="C93" s="570"/>
      <c r="D93" s="190"/>
      <c r="E93" s="495">
        <v>9</v>
      </c>
      <c r="F93" s="202">
        <f t="shared" si="7"/>
        <v>0</v>
      </c>
      <c r="G93" s="186">
        <f t="shared" si="20"/>
        <v>0</v>
      </c>
      <c r="H93" s="202">
        <f t="shared" si="21"/>
        <v>0</v>
      </c>
      <c r="I93" s="202">
        <f t="shared" si="15"/>
        <v>39552324.545503646</v>
      </c>
      <c r="J93" s="202">
        <f t="shared" si="8"/>
        <v>38675345.6936263</v>
      </c>
      <c r="K93" s="1370">
        <f t="shared" si="22"/>
        <v>613885.19631414255</v>
      </c>
      <c r="L93" s="484">
        <f t="shared" si="6"/>
        <v>613885.19631414255</v>
      </c>
      <c r="M93" s="1371">
        <f t="shared" si="9"/>
        <v>4911081.5705131404</v>
      </c>
      <c r="N93" s="202">
        <f t="shared" si="10"/>
        <v>613885.19631414255</v>
      </c>
      <c r="O93" s="1370" t="str">
        <f t="shared" si="11"/>
        <v/>
      </c>
      <c r="P93" s="185">
        <f>L93/(1+'VII. Economic'!$G$76)^E93</f>
        <v>260347.24971095307</v>
      </c>
      <c r="Q93" s="186">
        <f t="shared" si="12"/>
        <v>2977302.0148372171</v>
      </c>
      <c r="R93" s="202">
        <f t="shared" si="13"/>
        <v>260347.24971095307</v>
      </c>
      <c r="S93" s="1370" t="str">
        <f t="shared" si="14"/>
        <v/>
      </c>
      <c r="T93" s="495">
        <f t="shared" si="16"/>
        <v>613885.19631414255</v>
      </c>
      <c r="U93" s="186">
        <f t="shared" si="17"/>
        <v>4911081.5705131404</v>
      </c>
      <c r="V93" s="202">
        <f t="shared" si="18"/>
        <v>29712.202035646045</v>
      </c>
      <c r="W93" s="187">
        <f t="shared" si="19"/>
        <v>1021943.0597575683</v>
      </c>
      <c r="X93" s="570"/>
      <c r="Y93" s="570"/>
      <c r="Z93" s="570"/>
      <c r="AA93" s="570"/>
      <c r="AB93" s="570"/>
      <c r="AC93" s="570"/>
      <c r="AD93" s="570"/>
      <c r="AE93" s="570"/>
      <c r="AF93" s="570"/>
      <c r="AG93" s="570"/>
      <c r="AH93" s="570"/>
      <c r="AI93" s="570"/>
      <c r="AJ93" s="570"/>
      <c r="AK93" s="570"/>
      <c r="AL93" s="570"/>
      <c r="AM93" s="570"/>
      <c r="AN93" s="570"/>
      <c r="AO93" s="588"/>
    </row>
    <row r="94" ht="20.25" customHeight="true" x14ac:dyDescent="0.25">
      <c r="B94" s="597"/>
      <c r="C94" s="570"/>
      <c r="D94" s="190"/>
      <c r="E94" s="495">
        <v>10</v>
      </c>
      <c r="F94" s="202">
        <f t="shared" si="7"/>
        <v>0</v>
      </c>
      <c r="G94" s="186">
        <f t="shared" si="20"/>
        <v>0</v>
      </c>
      <c r="H94" s="202">
        <f t="shared" si="21"/>
        <v>0</v>
      </c>
      <c r="I94" s="202">
        <f t="shared" si="15"/>
        <v>39552324.545503646</v>
      </c>
      <c r="J94" s="202">
        <f t="shared" si="8"/>
        <v>38675345.6936263</v>
      </c>
      <c r="K94" s="1370">
        <f t="shared" si="22"/>
        <v>613885.19631414255</v>
      </c>
      <c r="L94" s="484">
        <f t="shared" si="6"/>
        <v>613885.19631414255</v>
      </c>
      <c r="M94" s="1371">
        <f t="shared" si="9"/>
        <v>5524966.7668272834</v>
      </c>
      <c r="N94" s="202">
        <f t="shared" si="10"/>
        <v>613885.19631414255</v>
      </c>
      <c r="O94" s="1370" t="str">
        <f t="shared" si="11"/>
        <v/>
      </c>
      <c r="P94" s="185">
        <f>L94/(1+'VII. Economic'!$G$76)^E94</f>
        <v>236679.31791904822</v>
      </c>
      <c r="Q94" s="186">
        <f t="shared" si="12"/>
        <v>3213981.3327562651</v>
      </c>
      <c r="R94" s="202">
        <f t="shared" si="13"/>
        <v>236679.31791904822</v>
      </c>
      <c r="S94" s="1370" t="str">
        <f t="shared" si="14"/>
        <v/>
      </c>
      <c r="T94" s="495">
        <f t="shared" si="16"/>
        <v>613885.19631414255</v>
      </c>
      <c r="U94" s="186">
        <f t="shared" si="17"/>
        <v>5524966.7668272834</v>
      </c>
      <c r="V94" s="202">
        <f t="shared" si="18"/>
        <v>21223.001454032888</v>
      </c>
      <c r="W94" s="187">
        <f t="shared" si="19"/>
        <v>1043166.0612116011</v>
      </c>
      <c r="X94" s="570"/>
      <c r="Y94" s="570"/>
      <c r="Z94" s="570"/>
      <c r="AA94" s="570"/>
      <c r="AB94" s="570"/>
      <c r="AC94" s="570"/>
      <c r="AD94" s="570"/>
      <c r="AE94" s="570"/>
      <c r="AF94" s="570"/>
      <c r="AG94" s="570"/>
      <c r="AH94" s="570"/>
      <c r="AI94" s="570"/>
      <c r="AJ94" s="570"/>
      <c r="AK94" s="570"/>
      <c r="AL94" s="570"/>
      <c r="AM94" s="570"/>
      <c r="AN94" s="570"/>
      <c r="AO94" s="588"/>
    </row>
    <row r="95" ht="21" customHeight="true" thickBot="true" x14ac:dyDescent="0.3">
      <c r="B95" s="597"/>
      <c r="C95" s="570"/>
      <c r="D95" s="190"/>
      <c r="E95" s="496">
        <v>11</v>
      </c>
      <c r="F95" s="202">
        <f t="shared" si="7"/>
        <v>0</v>
      </c>
      <c r="G95" s="186">
        <f t="shared" si="20"/>
        <v>0</v>
      </c>
      <c r="H95" s="202">
        <f t="shared" si="21"/>
        <v>0</v>
      </c>
      <c r="I95" s="202">
        <f t="shared" si="15"/>
        <v>39552324.545503646</v>
      </c>
      <c r="J95" s="202">
        <f t="shared" si="8"/>
        <v>38675345.6936263</v>
      </c>
      <c r="K95" s="1370">
        <f t="shared" si="22"/>
        <v>613885.19631414255</v>
      </c>
      <c r="L95" s="1372">
        <f t="shared" si="6"/>
        <v>613885.19631414255</v>
      </c>
      <c r="M95" s="1373">
        <f t="shared" si="9"/>
        <v>6138851.9631414264</v>
      </c>
      <c r="N95" s="263">
        <f t="shared" si="10"/>
        <v>613885.19631414255</v>
      </c>
      <c r="O95" s="1370" t="str">
        <f t="shared" si="11"/>
        <v/>
      </c>
      <c r="P95" s="185">
        <f>L95/(1+'VII. Economic'!$G$76)^E95</f>
        <v>215163.0162900438</v>
      </c>
      <c r="Q95" s="1247">
        <f t="shared" si="12"/>
        <v>3429144.349046309</v>
      </c>
      <c r="R95" s="263">
        <f t="shared" si="13"/>
        <v>215163.0162900438</v>
      </c>
      <c r="S95" s="1370" t="str">
        <f t="shared" si="14"/>
        <v/>
      </c>
      <c r="T95" s="496">
        <f t="shared" si="16"/>
        <v>613885.19631414255</v>
      </c>
      <c r="U95" s="1374">
        <f t="shared" si="17"/>
        <v>6138851.9631414264</v>
      </c>
      <c r="V95" s="263">
        <f t="shared" si="18"/>
        <v>15159.286752880636</v>
      </c>
      <c r="W95" s="1375">
        <f t="shared" si="19"/>
        <v>1058325.3479644817</v>
      </c>
      <c r="X95" s="570"/>
      <c r="Y95" s="570"/>
      <c r="Z95" s="570"/>
      <c r="AA95" s="570"/>
      <c r="AB95" s="570"/>
      <c r="AC95" s="570"/>
      <c r="AD95" s="570"/>
      <c r="AE95" s="570"/>
      <c r="AF95" s="570"/>
      <c r="AG95" s="570"/>
      <c r="AH95" s="570"/>
      <c r="AI95" s="570"/>
      <c r="AJ95" s="570"/>
      <c r="AK95" s="570"/>
      <c r="AL95" s="570"/>
      <c r="AM95" s="570"/>
      <c r="AN95" s="570"/>
      <c r="AO95" s="588"/>
    </row>
    <row r="96" ht="20.4" x14ac:dyDescent="0.25">
      <c r="B96" s="597"/>
      <c r="C96" s="570"/>
      <c r="D96" s="190"/>
      <c r="E96" s="570"/>
      <c r="F96" s="570"/>
      <c r="G96" s="172"/>
      <c r="H96" s="570"/>
      <c r="I96" s="570"/>
      <c r="J96" s="172"/>
      <c r="K96" s="172"/>
      <c r="L96" s="825"/>
      <c r="M96" s="826"/>
      <c r="N96" s="172"/>
      <c r="O96" s="172"/>
      <c r="P96" s="172"/>
      <c r="Q96" s="611"/>
      <c r="R96" s="570"/>
      <c r="S96" s="570"/>
      <c r="T96" s="570"/>
      <c r="U96" s="570"/>
      <c r="V96" s="570"/>
      <c r="W96" s="570"/>
      <c r="X96" s="570"/>
      <c r="Y96" s="570"/>
      <c r="Z96" s="570"/>
      <c r="AA96" s="570"/>
      <c r="AB96" s="570"/>
      <c r="AC96" s="570"/>
      <c r="AD96" s="570"/>
      <c r="AE96" s="570"/>
      <c r="AF96" s="570"/>
      <c r="AG96" s="570"/>
      <c r="AH96" s="570"/>
      <c r="AI96" s="570"/>
      <c r="AJ96" s="570"/>
      <c r="AK96" s="570"/>
      <c r="AL96" s="570"/>
      <c r="AM96" s="570"/>
      <c r="AN96" s="570"/>
      <c r="AO96" s="588"/>
    </row>
    <row r="97" ht="20.4" x14ac:dyDescent="0.25">
      <c r="B97" s="597"/>
      <c r="C97" s="570"/>
      <c r="D97" s="820"/>
      <c r="E97" s="190"/>
      <c r="F97" s="570"/>
      <c r="G97" s="570"/>
      <c r="H97" s="172"/>
      <c r="I97" s="570"/>
      <c r="J97" s="570"/>
      <c r="K97" s="172"/>
      <c r="L97" s="825"/>
      <c r="M97" s="826"/>
      <c r="N97" s="172"/>
      <c r="O97" s="172"/>
      <c r="P97" s="172"/>
      <c r="Q97" s="611"/>
      <c r="R97" s="570"/>
      <c r="S97" s="570"/>
      <c r="T97" s="570"/>
      <c r="U97" s="570"/>
      <c r="V97" s="570"/>
      <c r="W97" s="570"/>
      <c r="X97" s="570"/>
      <c r="Y97" s="570"/>
      <c r="Z97" s="570"/>
      <c r="AA97" s="570"/>
      <c r="AB97" s="570"/>
      <c r="AC97" s="570"/>
      <c r="AD97" s="570"/>
      <c r="AE97" s="570"/>
      <c r="AF97" s="570"/>
      <c r="AG97" s="570"/>
      <c r="AH97" s="570"/>
      <c r="AI97" s="570"/>
      <c r="AJ97" s="570"/>
      <c r="AK97" s="570"/>
      <c r="AL97" s="570"/>
      <c r="AM97" s="570"/>
      <c r="AN97" s="570"/>
      <c r="AO97" s="588"/>
    </row>
    <row r="98" ht="21" customHeight="true" thickBot="true" x14ac:dyDescent="0.35">
      <c r="B98" s="597"/>
      <c r="C98" s="570"/>
      <c r="D98" s="820"/>
      <c r="E98" s="1921" t="s">
        <v>1260</v>
      </c>
      <c r="F98" s="1921"/>
      <c r="G98" s="570"/>
      <c r="H98" s="626"/>
      <c r="I98" s="532"/>
      <c r="J98" s="570"/>
      <c r="K98" s="287"/>
      <c r="L98" s="532"/>
      <c r="M98" s="610"/>
      <c r="N98" s="570"/>
      <c r="O98" s="570"/>
      <c r="P98" s="297"/>
      <c r="Q98" s="611"/>
      <c r="R98" s="570"/>
      <c r="S98" s="570"/>
      <c r="T98" s="570"/>
      <c r="U98" s="570"/>
      <c r="V98" s="570"/>
      <c r="W98" s="570"/>
      <c r="X98" s="570"/>
      <c r="Y98" s="570"/>
      <c r="Z98" s="570"/>
      <c r="AA98" s="570"/>
      <c r="AB98" s="570"/>
      <c r="AC98" s="570"/>
      <c r="AD98" s="570"/>
      <c r="AE98" s="570"/>
      <c r="AF98" s="570"/>
      <c r="AG98" s="570"/>
      <c r="AH98" s="570"/>
      <c r="AI98" s="570"/>
      <c r="AJ98" s="570"/>
      <c r="AK98" s="570"/>
      <c r="AL98" s="570"/>
      <c r="AM98" s="570"/>
      <c r="AN98" s="570"/>
      <c r="AO98" s="588"/>
    </row>
    <row r="99" ht="21" customHeight="true" x14ac:dyDescent="0.3">
      <c r="B99" s="597"/>
      <c r="C99" s="570"/>
      <c r="D99" s="820"/>
      <c r="E99" s="341" t="s">
        <v>1246</v>
      </c>
      <c r="F99" s="1376">
        <f>G76</f>
        <v>0.1</v>
      </c>
      <c r="G99" s="570"/>
      <c r="H99" s="626"/>
      <c r="I99" s="532"/>
      <c r="J99" s="570"/>
      <c r="K99" s="287"/>
      <c r="L99" s="827"/>
      <c r="M99" s="610"/>
      <c r="N99" s="570"/>
      <c r="O99" s="570"/>
      <c r="P99" s="297"/>
      <c r="Q99" s="611"/>
      <c r="R99" s="570"/>
      <c r="S99" s="570"/>
      <c r="T99" s="570"/>
      <c r="U99" s="570"/>
      <c r="V99" s="570"/>
      <c r="W99" s="570"/>
      <c r="X99" s="570"/>
      <c r="Y99" s="570"/>
      <c r="Z99" s="570"/>
      <c r="AA99" s="570"/>
      <c r="AB99" s="570"/>
      <c r="AC99" s="570"/>
      <c r="AD99" s="570"/>
      <c r="AE99" s="570"/>
      <c r="AF99" s="570"/>
      <c r="AG99" s="570"/>
      <c r="AH99" s="570"/>
      <c r="AI99" s="570"/>
      <c r="AJ99" s="570"/>
      <c r="AK99" s="570"/>
      <c r="AL99" s="570"/>
      <c r="AM99" s="570"/>
      <c r="AN99" s="570"/>
      <c r="AO99" s="588"/>
    </row>
    <row r="100" ht="21.75" customHeight="true" x14ac:dyDescent="0.3">
      <c r="B100" s="597"/>
      <c r="C100" s="570"/>
      <c r="D100" s="820"/>
      <c r="E100" s="1170" t="s">
        <v>1262</v>
      </c>
      <c r="F100" s="1377">
        <f>G56</f>
        <v>0</v>
      </c>
      <c r="G100" s="570"/>
      <c r="H100" s="626"/>
      <c r="I100" s="532"/>
      <c r="J100" s="570"/>
      <c r="K100" s="287"/>
      <c r="L100" s="827"/>
      <c r="M100" s="610"/>
      <c r="N100" s="570"/>
      <c r="O100" s="570"/>
      <c r="P100" s="297"/>
      <c r="Q100" s="611"/>
      <c r="R100" s="570"/>
      <c r="S100" s="570"/>
      <c r="T100" s="570"/>
      <c r="U100" s="570"/>
      <c r="V100" s="570"/>
      <c r="W100" s="570"/>
      <c r="X100" s="570"/>
      <c r="Y100" s="570"/>
      <c r="Z100" s="570"/>
      <c r="AA100" s="570"/>
      <c r="AB100" s="570"/>
      <c r="AC100" s="570"/>
      <c r="AD100" s="570"/>
      <c r="AE100" s="570"/>
      <c r="AF100" s="570"/>
      <c r="AG100" s="570"/>
      <c r="AH100" s="570"/>
      <c r="AI100" s="570"/>
      <c r="AJ100" s="570"/>
      <c r="AK100" s="570"/>
      <c r="AL100" s="570"/>
      <c r="AM100" s="570"/>
      <c r="AN100" s="570"/>
      <c r="AO100" s="588"/>
    </row>
    <row r="101" ht="21.75" customHeight="true" x14ac:dyDescent="0.3">
      <c r="B101" s="597"/>
      <c r="C101" s="570"/>
      <c r="D101" s="820"/>
      <c r="E101" s="1170" t="s">
        <v>1261</v>
      </c>
      <c r="F101" s="1377">
        <f>F100/(1+F99)^E84</f>
        <v>0</v>
      </c>
      <c r="G101" s="570"/>
      <c r="H101" s="626"/>
      <c r="I101" s="532"/>
      <c r="J101" s="570"/>
      <c r="K101" s="287"/>
      <c r="L101" s="827"/>
      <c r="M101" s="610"/>
      <c r="N101" s="570"/>
      <c r="O101" s="570"/>
      <c r="P101" s="297"/>
      <c r="Q101" s="611"/>
      <c r="R101" s="570"/>
      <c r="S101" s="570"/>
      <c r="T101" s="570"/>
      <c r="U101" s="570"/>
      <c r="V101" s="570"/>
      <c r="W101" s="570"/>
      <c r="X101" s="570"/>
      <c r="Y101" s="570"/>
      <c r="Z101" s="570"/>
      <c r="AA101" s="570"/>
      <c r="AB101" s="570"/>
      <c r="AC101" s="570"/>
      <c r="AD101" s="570"/>
      <c r="AE101" s="570"/>
      <c r="AF101" s="570"/>
      <c r="AG101" s="570"/>
      <c r="AH101" s="570"/>
      <c r="AI101" s="570"/>
      <c r="AJ101" s="570"/>
      <c r="AK101" s="570"/>
      <c r="AL101" s="570"/>
      <c r="AM101" s="570"/>
      <c r="AN101" s="570"/>
      <c r="AO101" s="588"/>
    </row>
    <row r="102" x14ac:dyDescent="0.3">
      <c r="B102" s="597"/>
      <c r="C102" s="570"/>
      <c r="D102" s="820"/>
      <c r="E102" s="1170" t="s">
        <v>1263</v>
      </c>
      <c r="F102" s="1378">
        <f>G71</f>
        <v>0</v>
      </c>
      <c r="G102" s="570"/>
      <c r="H102" s="626"/>
      <c r="I102" s="532"/>
      <c r="J102" s="292"/>
      <c r="K102" s="287"/>
      <c r="L102" s="827"/>
      <c r="M102" s="610"/>
      <c r="N102" s="570"/>
      <c r="O102" s="570"/>
      <c r="P102" s="297"/>
      <c r="Q102" s="611"/>
      <c r="R102" s="570"/>
      <c r="S102" s="570"/>
      <c r="T102" s="570"/>
      <c r="U102" s="570"/>
      <c r="V102" s="570"/>
      <c r="W102" s="570"/>
      <c r="X102" s="570"/>
      <c r="Y102" s="570"/>
      <c r="Z102" s="570"/>
      <c r="AA102" s="570"/>
      <c r="AB102" s="570"/>
      <c r="AC102" s="570"/>
      <c r="AD102" s="570"/>
      <c r="AE102" s="570"/>
      <c r="AF102" s="570"/>
      <c r="AG102" s="570"/>
      <c r="AH102" s="570"/>
      <c r="AI102" s="570"/>
      <c r="AJ102" s="570"/>
      <c r="AK102" s="570"/>
      <c r="AL102" s="570"/>
      <c r="AM102" s="570"/>
      <c r="AN102" s="570"/>
      <c r="AO102" s="588"/>
    </row>
    <row r="103" x14ac:dyDescent="0.3">
      <c r="B103" s="597"/>
      <c r="C103" s="570"/>
      <c r="D103" s="820"/>
      <c r="E103" s="1170" t="s">
        <v>1264</v>
      </c>
      <c r="F103" s="1377">
        <f>F102/(1+F99)^G61</f>
        <v>0</v>
      </c>
      <c r="G103" s="570"/>
      <c r="H103" s="626"/>
      <c r="I103" s="532"/>
      <c r="J103" s="292"/>
      <c r="K103" s="287"/>
      <c r="L103" s="827"/>
      <c r="M103" s="610"/>
      <c r="N103" s="570"/>
      <c r="O103" s="570"/>
      <c r="P103" s="297"/>
      <c r="Q103" s="611"/>
      <c r="R103" s="570"/>
      <c r="S103" s="570"/>
      <c r="T103" s="570"/>
      <c r="U103" s="570"/>
      <c r="V103" s="570"/>
      <c r="W103" s="570"/>
      <c r="X103" s="570"/>
      <c r="Y103" s="570"/>
      <c r="Z103" s="570"/>
      <c r="AA103" s="570"/>
      <c r="AB103" s="570"/>
      <c r="AC103" s="570"/>
      <c r="AD103" s="570"/>
      <c r="AE103" s="570"/>
      <c r="AF103" s="570"/>
      <c r="AG103" s="570"/>
      <c r="AH103" s="570"/>
      <c r="AI103" s="570"/>
      <c r="AJ103" s="570"/>
      <c r="AK103" s="570"/>
      <c r="AL103" s="570"/>
      <c r="AM103" s="570"/>
      <c r="AN103" s="570"/>
      <c r="AO103" s="588"/>
    </row>
    <row r="104" ht="36" customHeight="true" thickBot="true" x14ac:dyDescent="0.35">
      <c r="B104" s="597"/>
      <c r="C104" s="570"/>
      <c r="D104" s="820"/>
      <c r="E104" s="497" t="s">
        <v>1265</v>
      </c>
      <c r="F104" s="1379">
        <f>-(F101+F103)</f>
        <v>0</v>
      </c>
      <c r="G104" s="570"/>
      <c r="H104" s="626"/>
      <c r="I104" s="532"/>
      <c r="J104" s="292"/>
      <c r="K104" s="287"/>
      <c r="L104" s="827"/>
      <c r="M104" s="610"/>
      <c r="N104" s="570"/>
      <c r="O104" s="570"/>
      <c r="P104" s="297"/>
      <c r="Q104" s="611"/>
      <c r="R104" s="570"/>
      <c r="S104" s="570"/>
      <c r="T104" s="570"/>
      <c r="U104" s="570"/>
      <c r="V104" s="570"/>
      <c r="W104" s="570"/>
      <c r="X104" s="570"/>
      <c r="Y104" s="570"/>
      <c r="Z104" s="570"/>
      <c r="AA104" s="570"/>
      <c r="AB104" s="570"/>
      <c r="AC104" s="570"/>
      <c r="AD104" s="570"/>
      <c r="AE104" s="570"/>
      <c r="AF104" s="570"/>
      <c r="AG104" s="570"/>
      <c r="AH104" s="570"/>
      <c r="AI104" s="570"/>
      <c r="AJ104" s="570"/>
      <c r="AK104" s="570"/>
      <c r="AL104" s="570"/>
      <c r="AM104" s="570"/>
      <c r="AN104" s="570"/>
      <c r="AO104" s="588"/>
    </row>
    <row r="105" x14ac:dyDescent="0.3">
      <c r="B105" s="597"/>
      <c r="C105" s="570"/>
      <c r="D105" s="820"/>
      <c r="E105" s="625"/>
      <c r="F105" s="611"/>
      <c r="G105" s="570"/>
      <c r="H105" s="1380" t="str">
        <f>Q83</f>
        <v>Cumulative Cash Flow</v>
      </c>
      <c r="I105" s="1381" t="str">
        <f>E83</f>
        <v>End of year, m</v>
      </c>
      <c r="J105" s="292"/>
      <c r="K105" s="287"/>
      <c r="L105" s="827"/>
      <c r="M105" s="610"/>
      <c r="N105" s="570"/>
      <c r="O105" s="570"/>
      <c r="P105" s="297"/>
      <c r="Q105" s="611"/>
      <c r="R105" s="570"/>
      <c r="S105" s="570"/>
      <c r="T105" s="570"/>
      <c r="U105" s="570"/>
      <c r="V105" s="570"/>
      <c r="W105" s="570"/>
      <c r="X105" s="570"/>
      <c r="Y105" s="570"/>
      <c r="Z105" s="570"/>
      <c r="AA105" s="570"/>
      <c r="AB105" s="570"/>
      <c r="AC105" s="570"/>
      <c r="AD105" s="570"/>
      <c r="AE105" s="570"/>
      <c r="AF105" s="570"/>
      <c r="AG105" s="570"/>
      <c r="AH105" s="570"/>
      <c r="AI105" s="570"/>
      <c r="AJ105" s="570"/>
      <c r="AK105" s="570"/>
      <c r="AL105" s="570"/>
      <c r="AM105" s="570"/>
      <c r="AN105" s="570"/>
      <c r="AO105" s="588"/>
    </row>
    <row r="106" ht="21.6" thickBot="true" x14ac:dyDescent="0.35">
      <c r="B106" s="597"/>
      <c r="C106" s="570"/>
      <c r="D106" s="820"/>
      <c r="E106" s="1921" t="s">
        <v>1269</v>
      </c>
      <c r="F106" s="1921"/>
      <c r="G106" s="570"/>
      <c r="H106" s="1382">
        <f t="shared" ref="H106:H116" si="23">Q85</f>
        <v>0</v>
      </c>
      <c r="I106" s="1383">
        <f t="shared" ref="I106:I116" si="24">E85</f>
        <v>1</v>
      </c>
      <c r="J106" s="292"/>
      <c r="K106" s="287"/>
      <c r="L106" s="827"/>
      <c r="M106" s="610"/>
      <c r="N106" s="570"/>
      <c r="O106" s="570"/>
      <c r="P106" s="297"/>
      <c r="Q106" s="611"/>
      <c r="R106" s="570"/>
      <c r="S106" s="570"/>
      <c r="T106" s="570"/>
      <c r="U106" s="570"/>
      <c r="V106" s="570"/>
      <c r="W106" s="570"/>
      <c r="X106" s="570"/>
      <c r="Y106" s="570"/>
      <c r="Z106" s="570"/>
      <c r="AA106" s="570"/>
      <c r="AB106" s="570"/>
      <c r="AC106" s="570"/>
      <c r="AD106" s="570"/>
      <c r="AE106" s="570"/>
      <c r="AF106" s="570"/>
      <c r="AG106" s="570"/>
      <c r="AH106" s="570"/>
      <c r="AI106" s="570"/>
      <c r="AJ106" s="570"/>
      <c r="AK106" s="570"/>
      <c r="AL106" s="570"/>
      <c r="AM106" s="570"/>
      <c r="AN106" s="570"/>
      <c r="AO106" s="588"/>
    </row>
    <row r="107" x14ac:dyDescent="0.3">
      <c r="B107" s="597"/>
      <c r="C107" s="570"/>
      <c r="D107" s="820"/>
      <c r="E107" s="341" t="s">
        <v>1267</v>
      </c>
      <c r="F107" s="1178">
        <f>VLOOKUP(F104,H106:I116,1,TRUE)</f>
        <v>0</v>
      </c>
      <c r="G107" s="1384">
        <f>INDEX(H106:H116,F108+1)</f>
        <v>507343.13744970452</v>
      </c>
      <c r="H107" s="1382">
        <f t="shared" si="23"/>
        <v>507343.13744970452</v>
      </c>
      <c r="I107" s="1383">
        <f t="shared" si="24"/>
        <v>2</v>
      </c>
      <c r="J107" s="292"/>
      <c r="K107" s="287"/>
      <c r="L107" s="827"/>
      <c r="M107" s="610"/>
      <c r="N107" s="570"/>
      <c r="O107" s="570"/>
      <c r="P107" s="297"/>
      <c r="Q107" s="611"/>
      <c r="R107" s="570"/>
      <c r="S107" s="570"/>
      <c r="T107" s="570"/>
      <c r="U107" s="570"/>
      <c r="V107" s="570"/>
      <c r="W107" s="570"/>
      <c r="X107" s="570"/>
      <c r="Y107" s="570"/>
      <c r="Z107" s="570"/>
      <c r="AA107" s="570"/>
      <c r="AB107" s="570"/>
      <c r="AC107" s="570"/>
      <c r="AD107" s="570"/>
      <c r="AE107" s="570"/>
      <c r="AF107" s="570"/>
      <c r="AG107" s="570"/>
      <c r="AH107" s="570"/>
      <c r="AI107" s="570"/>
      <c r="AJ107" s="570"/>
      <c r="AK107" s="570"/>
      <c r="AL107" s="570"/>
      <c r="AM107" s="570"/>
      <c r="AN107" s="570"/>
      <c r="AO107" s="588"/>
    </row>
    <row r="108" ht="21.6" thickBot="true" x14ac:dyDescent="0.35">
      <c r="B108" s="597"/>
      <c r="C108" s="570"/>
      <c r="D108" s="820"/>
      <c r="E108" s="344" t="s">
        <v>1266</v>
      </c>
      <c r="F108" s="1225">
        <f>VLOOKUP(F104,H106:I116,2,TRUE)</f>
        <v>1</v>
      </c>
      <c r="G108" s="1385">
        <f>F108+1</f>
        <v>2</v>
      </c>
      <c r="H108" s="1382">
        <f t="shared" si="23"/>
        <v>968564.17149489035</v>
      </c>
      <c r="I108" s="1383">
        <f t="shared" si="24"/>
        <v>3</v>
      </c>
      <c r="J108" s="292"/>
      <c r="K108" s="287"/>
      <c r="L108" s="827"/>
      <c r="M108" s="610"/>
      <c r="N108" s="570"/>
      <c r="O108" s="570"/>
      <c r="P108" s="297"/>
      <c r="Q108" s="611"/>
      <c r="R108" s="570"/>
      <c r="S108" s="570"/>
      <c r="T108" s="570"/>
      <c r="U108" s="570"/>
      <c r="V108" s="570"/>
      <c r="W108" s="570"/>
      <c r="X108" s="570"/>
      <c r="Y108" s="570"/>
      <c r="Z108" s="570"/>
      <c r="AA108" s="570"/>
      <c r="AB108" s="570"/>
      <c r="AC108" s="570"/>
      <c r="AD108" s="570"/>
      <c r="AE108" s="570"/>
      <c r="AF108" s="570"/>
      <c r="AG108" s="570"/>
      <c r="AH108" s="570"/>
      <c r="AI108" s="570"/>
      <c r="AJ108" s="570"/>
      <c r="AK108" s="570"/>
      <c r="AL108" s="570"/>
      <c r="AM108" s="570"/>
      <c r="AN108" s="570"/>
      <c r="AO108" s="588"/>
    </row>
    <row r="109" ht="21.6" thickBot="true" x14ac:dyDescent="0.35">
      <c r="B109" s="597"/>
      <c r="C109" s="570"/>
      <c r="D109" s="820"/>
      <c r="E109" s="625"/>
      <c r="F109" s="611"/>
      <c r="G109" s="570"/>
      <c r="H109" s="1382">
        <f t="shared" si="23"/>
        <v>1387856.0206268774</v>
      </c>
      <c r="I109" s="1383">
        <f t="shared" si="24"/>
        <v>4</v>
      </c>
      <c r="J109" s="292"/>
      <c r="K109" s="287"/>
      <c r="L109" s="827"/>
      <c r="M109" s="610"/>
      <c r="N109" s="570"/>
      <c r="O109" s="570"/>
      <c r="P109" s="297"/>
      <c r="Q109" s="611"/>
      <c r="R109" s="570"/>
      <c r="S109" s="570"/>
      <c r="T109" s="570"/>
      <c r="U109" s="570"/>
      <c r="V109" s="570"/>
      <c r="W109" s="570"/>
      <c r="X109" s="570"/>
      <c r="Y109" s="570"/>
      <c r="Z109" s="570"/>
      <c r="AA109" s="570"/>
      <c r="AB109" s="570"/>
      <c r="AC109" s="570"/>
      <c r="AD109" s="570"/>
      <c r="AE109" s="570"/>
      <c r="AF109" s="570"/>
      <c r="AG109" s="570"/>
      <c r="AH109" s="570"/>
      <c r="AI109" s="570"/>
      <c r="AJ109" s="570"/>
      <c r="AK109" s="570"/>
      <c r="AL109" s="570"/>
      <c r="AM109" s="570"/>
      <c r="AN109" s="570"/>
      <c r="AO109" s="588"/>
    </row>
    <row r="110" ht="21.6" thickBot="true" x14ac:dyDescent="0.35">
      <c r="B110" s="597"/>
      <c r="C110" s="570"/>
      <c r="D110" s="820"/>
      <c r="E110" s="498" t="s">
        <v>1268</v>
      </c>
      <c r="F110" s="1386">
        <f>ROUND(TREND(F108:G108,F107:G107,F104),2)</f>
        <v>1</v>
      </c>
      <c r="G110" s="570"/>
      <c r="H110" s="1382">
        <f t="shared" si="23"/>
        <v>1769030.428928684</v>
      </c>
      <c r="I110" s="1383">
        <f t="shared" si="24"/>
        <v>5</v>
      </c>
      <c r="J110" s="292"/>
      <c r="K110" s="287"/>
      <c r="L110" s="827"/>
      <c r="M110" s="610"/>
      <c r="N110" s="570"/>
      <c r="O110" s="570"/>
      <c r="P110" s="297"/>
      <c r="Q110" s="611"/>
      <c r="R110" s="570"/>
      <c r="S110" s="570"/>
      <c r="T110" s="570"/>
      <c r="U110" s="570"/>
      <c r="V110" s="570"/>
      <c r="W110" s="570"/>
      <c r="X110" s="570"/>
      <c r="Y110" s="570"/>
      <c r="Z110" s="570"/>
      <c r="AA110" s="570"/>
      <c r="AB110" s="570"/>
      <c r="AC110" s="570"/>
      <c r="AD110" s="570"/>
      <c r="AE110" s="570"/>
      <c r="AF110" s="570"/>
      <c r="AG110" s="570"/>
      <c r="AH110" s="570"/>
      <c r="AI110" s="570"/>
      <c r="AJ110" s="570"/>
      <c r="AK110" s="570"/>
      <c r="AL110" s="570"/>
      <c r="AM110" s="570"/>
      <c r="AN110" s="570"/>
      <c r="AO110" s="588"/>
    </row>
    <row r="111" x14ac:dyDescent="0.3">
      <c r="B111" s="597"/>
      <c r="C111" s="570"/>
      <c r="D111" s="820"/>
      <c r="E111" s="625"/>
      <c r="F111" s="611"/>
      <c r="G111" s="570"/>
      <c r="H111" s="1382">
        <f t="shared" si="23"/>
        <v>2115552.6182939624</v>
      </c>
      <c r="I111" s="1383">
        <f t="shared" si="24"/>
        <v>6</v>
      </c>
      <c r="J111" s="292"/>
      <c r="K111" s="287"/>
      <c r="L111" s="532"/>
      <c r="M111" s="610"/>
      <c r="N111" s="570"/>
      <c r="O111" s="570"/>
      <c r="P111" s="297"/>
      <c r="Q111" s="611"/>
      <c r="R111" s="570"/>
      <c r="S111" s="570"/>
      <c r="T111" s="570"/>
      <c r="U111" s="570"/>
      <c r="V111" s="570"/>
      <c r="W111" s="570"/>
      <c r="X111" s="570"/>
      <c r="Y111" s="570"/>
      <c r="Z111" s="570"/>
      <c r="AA111" s="570"/>
      <c r="AB111" s="570"/>
      <c r="AC111" s="570"/>
      <c r="AD111" s="570"/>
      <c r="AE111" s="570"/>
      <c r="AF111" s="570"/>
      <c r="AG111" s="570"/>
      <c r="AH111" s="570"/>
      <c r="AI111" s="570"/>
      <c r="AJ111" s="570"/>
      <c r="AK111" s="570"/>
      <c r="AL111" s="570"/>
      <c r="AM111" s="570"/>
      <c r="AN111" s="570"/>
      <c r="AO111" s="588"/>
    </row>
    <row r="112" x14ac:dyDescent="0.3">
      <c r="B112" s="597"/>
      <c r="C112" s="570"/>
      <c r="D112" s="820"/>
      <c r="E112" s="625"/>
      <c r="F112" s="611"/>
      <c r="G112" s="570"/>
      <c r="H112" s="1382">
        <f t="shared" si="23"/>
        <v>2430572.7904442158</v>
      </c>
      <c r="I112" s="1383">
        <f t="shared" si="24"/>
        <v>7</v>
      </c>
      <c r="J112" s="292"/>
      <c r="K112" s="287"/>
      <c r="L112" s="532"/>
      <c r="M112" s="610"/>
      <c r="N112" s="570"/>
      <c r="O112" s="570"/>
      <c r="P112" s="297"/>
      <c r="Q112" s="611"/>
      <c r="R112" s="570"/>
      <c r="S112" s="570"/>
      <c r="T112" s="570"/>
      <c r="U112" s="570"/>
      <c r="V112" s="570"/>
      <c r="W112" s="570"/>
      <c r="X112" s="570"/>
      <c r="Y112" s="570"/>
      <c r="Z112" s="570"/>
      <c r="AA112" s="570"/>
      <c r="AB112" s="570"/>
      <c r="AC112" s="570"/>
      <c r="AD112" s="570"/>
      <c r="AE112" s="570"/>
      <c r="AF112" s="570"/>
      <c r="AG112" s="570"/>
      <c r="AH112" s="570"/>
      <c r="AI112" s="570"/>
      <c r="AJ112" s="570"/>
      <c r="AK112" s="570"/>
      <c r="AL112" s="570"/>
      <c r="AM112" s="570"/>
      <c r="AN112" s="570"/>
      <c r="AO112" s="588"/>
    </row>
    <row r="113" x14ac:dyDescent="0.3">
      <c r="B113" s="597"/>
      <c r="C113" s="570"/>
      <c r="D113" s="820"/>
      <c r="E113" s="625"/>
      <c r="F113" s="611"/>
      <c r="G113" s="570"/>
      <c r="H113" s="1382">
        <f t="shared" si="23"/>
        <v>2716954.7651262642</v>
      </c>
      <c r="I113" s="1383">
        <f t="shared" si="24"/>
        <v>8</v>
      </c>
      <c r="J113" s="292"/>
      <c r="K113" s="287"/>
      <c r="L113" s="532"/>
      <c r="M113" s="610"/>
      <c r="N113" s="570"/>
      <c r="O113" s="570"/>
      <c r="P113" s="297"/>
      <c r="Q113" s="611"/>
      <c r="R113" s="570"/>
      <c r="S113" s="570"/>
      <c r="T113" s="570"/>
      <c r="U113" s="570"/>
      <c r="V113" s="570"/>
      <c r="W113" s="570"/>
      <c r="X113" s="570"/>
      <c r="Y113" s="570"/>
      <c r="Z113" s="570"/>
      <c r="AA113" s="570"/>
      <c r="AB113" s="570"/>
      <c r="AC113" s="570"/>
      <c r="AD113" s="570"/>
      <c r="AE113" s="570"/>
      <c r="AF113" s="570"/>
      <c r="AG113" s="570"/>
      <c r="AH113" s="570"/>
      <c r="AI113" s="570"/>
      <c r="AJ113" s="570"/>
      <c r="AK113" s="570"/>
      <c r="AL113" s="570"/>
      <c r="AM113" s="570"/>
      <c r="AN113" s="570"/>
      <c r="AO113" s="588"/>
    </row>
    <row r="114" x14ac:dyDescent="0.3">
      <c r="B114" s="597"/>
      <c r="C114" s="570"/>
      <c r="D114" s="820"/>
      <c r="E114" s="625"/>
      <c r="F114" s="611"/>
      <c r="G114" s="570"/>
      <c r="H114" s="1382">
        <f t="shared" si="23"/>
        <v>2977302.0148372171</v>
      </c>
      <c r="I114" s="1383">
        <f t="shared" si="24"/>
        <v>9</v>
      </c>
      <c r="J114" s="292"/>
      <c r="K114" s="287"/>
      <c r="L114" s="532"/>
      <c r="M114" s="610"/>
      <c r="N114" s="570"/>
      <c r="O114" s="570"/>
      <c r="P114" s="297"/>
      <c r="Q114" s="611"/>
      <c r="R114" s="570"/>
      <c r="S114" s="570"/>
      <c r="T114" s="570"/>
      <c r="U114" s="570"/>
      <c r="V114" s="570"/>
      <c r="W114" s="570"/>
      <c r="X114" s="570"/>
      <c r="Y114" s="570"/>
      <c r="Z114" s="570"/>
      <c r="AA114" s="570"/>
      <c r="AB114" s="570"/>
      <c r="AC114" s="570"/>
      <c r="AD114" s="570"/>
      <c r="AE114" s="570"/>
      <c r="AF114" s="570"/>
      <c r="AG114" s="570"/>
      <c r="AH114" s="570"/>
      <c r="AI114" s="570"/>
      <c r="AJ114" s="570"/>
      <c r="AK114" s="570"/>
      <c r="AL114" s="570"/>
      <c r="AM114" s="570"/>
      <c r="AN114" s="570"/>
      <c r="AO114" s="588"/>
    </row>
    <row r="115" x14ac:dyDescent="0.3">
      <c r="B115" s="597"/>
      <c r="C115" s="570"/>
      <c r="D115" s="820"/>
      <c r="E115" s="625"/>
      <c r="F115" s="611"/>
      <c r="G115" s="570"/>
      <c r="H115" s="1382">
        <f t="shared" si="23"/>
        <v>3213981.3327562651</v>
      </c>
      <c r="I115" s="1383">
        <f t="shared" si="24"/>
        <v>10</v>
      </c>
      <c r="J115" s="292"/>
      <c r="K115" s="287"/>
      <c r="L115" s="532"/>
      <c r="M115" s="610"/>
      <c r="N115" s="570"/>
      <c r="O115" s="570"/>
      <c r="P115" s="297"/>
      <c r="Q115" s="611"/>
      <c r="R115" s="570"/>
      <c r="S115" s="570"/>
      <c r="T115" s="570"/>
      <c r="U115" s="570"/>
      <c r="V115" s="570"/>
      <c r="W115" s="570"/>
      <c r="X115" s="570"/>
      <c r="Y115" s="570"/>
      <c r="Z115" s="570"/>
      <c r="AA115" s="570"/>
      <c r="AB115" s="570"/>
      <c r="AC115" s="570"/>
      <c r="AD115" s="570"/>
      <c r="AE115" s="570"/>
      <c r="AF115" s="570"/>
      <c r="AG115" s="570"/>
      <c r="AH115" s="570"/>
      <c r="AI115" s="570"/>
      <c r="AJ115" s="570"/>
      <c r="AK115" s="570"/>
      <c r="AL115" s="570"/>
      <c r="AM115" s="570"/>
      <c r="AN115" s="570"/>
      <c r="AO115" s="588"/>
    </row>
    <row r="116" ht="21.6" thickBot="true" x14ac:dyDescent="0.35">
      <c r="B116" s="597"/>
      <c r="C116" s="570"/>
      <c r="D116" s="820"/>
      <c r="E116" s="625"/>
      <c r="F116" s="611"/>
      <c r="G116" s="570"/>
      <c r="H116" s="1387">
        <f t="shared" si="23"/>
        <v>3429144.349046309</v>
      </c>
      <c r="I116" s="1388">
        <f t="shared" si="24"/>
        <v>11</v>
      </c>
      <c r="J116" s="292"/>
      <c r="K116" s="287"/>
      <c r="L116" s="532"/>
      <c r="M116" s="610"/>
      <c r="N116" s="570"/>
      <c r="O116" s="570"/>
      <c r="P116" s="297"/>
      <c r="Q116" s="611"/>
      <c r="R116" s="570"/>
      <c r="S116" s="570"/>
      <c r="T116" s="570"/>
      <c r="U116" s="570"/>
      <c r="V116" s="570"/>
      <c r="W116" s="570"/>
      <c r="X116" s="570"/>
      <c r="Y116" s="570"/>
      <c r="Z116" s="570"/>
      <c r="AA116" s="570"/>
      <c r="AB116" s="570"/>
      <c r="AC116" s="570"/>
      <c r="AD116" s="570"/>
      <c r="AE116" s="570"/>
      <c r="AF116" s="570"/>
      <c r="AG116" s="570"/>
      <c r="AH116" s="570"/>
      <c r="AI116" s="570"/>
      <c r="AJ116" s="570"/>
      <c r="AK116" s="570"/>
      <c r="AL116" s="570"/>
      <c r="AM116" s="570"/>
      <c r="AN116" s="570"/>
      <c r="AO116" s="588"/>
    </row>
    <row r="117" x14ac:dyDescent="0.3">
      <c r="B117" s="597"/>
      <c r="C117" s="570"/>
      <c r="D117" s="820"/>
      <c r="E117" s="625"/>
      <c r="F117" s="611"/>
      <c r="G117" s="570"/>
      <c r="H117" s="626"/>
      <c r="I117" s="532"/>
      <c r="J117" s="292"/>
      <c r="K117" s="287"/>
      <c r="L117" s="532"/>
      <c r="M117" s="610"/>
      <c r="N117" s="570"/>
      <c r="O117" s="570"/>
      <c r="P117" s="297"/>
      <c r="Q117" s="611"/>
      <c r="R117" s="570"/>
      <c r="S117" s="570"/>
      <c r="T117" s="570"/>
      <c r="U117" s="570"/>
      <c r="V117" s="570"/>
      <c r="W117" s="570"/>
      <c r="X117" s="570"/>
      <c r="Y117" s="570"/>
      <c r="Z117" s="570"/>
      <c r="AA117" s="570"/>
      <c r="AB117" s="570"/>
      <c r="AC117" s="570"/>
      <c r="AD117" s="570"/>
      <c r="AE117" s="570"/>
      <c r="AF117" s="570"/>
      <c r="AG117" s="570"/>
      <c r="AH117" s="570"/>
      <c r="AI117" s="570"/>
      <c r="AJ117" s="570"/>
      <c r="AK117" s="570"/>
      <c r="AL117" s="570"/>
      <c r="AM117" s="570"/>
      <c r="AN117" s="570"/>
      <c r="AO117" s="588"/>
    </row>
    <row r="118" x14ac:dyDescent="0.3">
      <c r="B118" s="597"/>
      <c r="C118" s="570"/>
      <c r="D118" s="820"/>
      <c r="E118" s="625"/>
      <c r="F118" s="611"/>
      <c r="G118" s="570"/>
      <c r="H118" s="626"/>
      <c r="I118" s="532"/>
      <c r="J118" s="292"/>
      <c r="K118" s="287"/>
      <c r="L118" s="532"/>
      <c r="M118" s="610"/>
      <c r="N118" s="570"/>
      <c r="O118" s="570"/>
      <c r="P118" s="297"/>
      <c r="Q118" s="611"/>
      <c r="R118" s="570"/>
      <c r="S118" s="570"/>
      <c r="T118" s="570"/>
      <c r="U118" s="570"/>
      <c r="V118" s="570"/>
      <c r="W118" s="570"/>
      <c r="X118" s="570"/>
      <c r="Y118" s="570"/>
      <c r="Z118" s="570"/>
      <c r="AA118" s="570"/>
      <c r="AB118" s="570"/>
      <c r="AC118" s="570"/>
      <c r="AD118" s="570"/>
      <c r="AE118" s="570"/>
      <c r="AF118" s="570"/>
      <c r="AG118" s="570"/>
      <c r="AH118" s="570"/>
      <c r="AI118" s="570"/>
      <c r="AJ118" s="570"/>
      <c r="AK118" s="570"/>
      <c r="AL118" s="570"/>
      <c r="AM118" s="570"/>
      <c r="AN118" s="570"/>
      <c r="AO118" s="588"/>
    </row>
    <row r="119" x14ac:dyDescent="0.3">
      <c r="B119" s="597"/>
      <c r="C119" s="570"/>
      <c r="D119" s="820"/>
      <c r="E119" s="625"/>
      <c r="F119" s="611"/>
      <c r="G119" s="570"/>
      <c r="H119" s="626"/>
      <c r="I119" s="532"/>
      <c r="J119" s="292"/>
      <c r="K119" s="287"/>
      <c r="L119" s="532"/>
      <c r="M119" s="610"/>
      <c r="N119" s="570"/>
      <c r="O119" s="570"/>
      <c r="P119" s="297"/>
      <c r="Q119" s="611"/>
      <c r="R119" s="570"/>
      <c r="S119" s="570"/>
      <c r="T119" s="570"/>
      <c r="U119" s="570"/>
      <c r="V119" s="570"/>
      <c r="W119" s="570"/>
      <c r="X119" s="570"/>
      <c r="Y119" s="570"/>
      <c r="Z119" s="570"/>
      <c r="AA119" s="570"/>
      <c r="AB119" s="570"/>
      <c r="AC119" s="570"/>
      <c r="AD119" s="570"/>
      <c r="AE119" s="570"/>
      <c r="AF119" s="570"/>
      <c r="AG119" s="570"/>
      <c r="AH119" s="570"/>
      <c r="AI119" s="570"/>
      <c r="AJ119" s="570"/>
      <c r="AK119" s="570"/>
      <c r="AL119" s="570"/>
      <c r="AM119" s="570"/>
      <c r="AN119" s="570"/>
      <c r="AO119" s="588"/>
    </row>
    <row r="120" x14ac:dyDescent="0.3">
      <c r="B120" s="597"/>
      <c r="C120" s="570"/>
      <c r="D120" s="820"/>
      <c r="E120" s="625"/>
      <c r="F120" s="611"/>
      <c r="G120" s="570"/>
      <c r="H120" s="626"/>
      <c r="I120" s="532"/>
      <c r="J120" s="292"/>
      <c r="K120" s="287"/>
      <c r="L120" s="532"/>
      <c r="M120" s="610"/>
      <c r="N120" s="570"/>
      <c r="O120" s="570"/>
      <c r="P120" s="297"/>
      <c r="Q120" s="611"/>
      <c r="R120" s="570"/>
      <c r="S120" s="570"/>
      <c r="T120" s="570"/>
      <c r="U120" s="570"/>
      <c r="V120" s="570"/>
      <c r="W120" s="570"/>
      <c r="X120" s="570"/>
      <c r="Y120" s="570"/>
      <c r="Z120" s="570"/>
      <c r="AA120" s="570"/>
      <c r="AB120" s="570"/>
      <c r="AC120" s="570"/>
      <c r="AD120" s="570"/>
      <c r="AE120" s="570"/>
      <c r="AF120" s="570"/>
      <c r="AG120" s="570"/>
      <c r="AH120" s="570"/>
      <c r="AI120" s="570"/>
      <c r="AJ120" s="570"/>
      <c r="AK120" s="570"/>
      <c r="AL120" s="570"/>
      <c r="AM120" s="570"/>
      <c r="AN120" s="570"/>
      <c r="AO120" s="588"/>
    </row>
    <row r="121" x14ac:dyDescent="0.3">
      <c r="B121" s="597"/>
      <c r="C121" s="570"/>
      <c r="D121" s="820"/>
      <c r="E121" s="625"/>
      <c r="F121" s="611"/>
      <c r="G121" s="570"/>
      <c r="H121" s="626"/>
      <c r="I121" s="532"/>
      <c r="J121" s="292"/>
      <c r="K121" s="287"/>
      <c r="L121" s="532"/>
      <c r="M121" s="610"/>
      <c r="N121" s="570"/>
      <c r="O121" s="570"/>
      <c r="P121" s="297"/>
      <c r="Q121" s="611"/>
      <c r="R121" s="570"/>
      <c r="S121" s="570"/>
      <c r="T121" s="570"/>
      <c r="U121" s="570"/>
      <c r="V121" s="570"/>
      <c r="W121" s="570"/>
      <c r="X121" s="570"/>
      <c r="Y121" s="570"/>
      <c r="Z121" s="570"/>
      <c r="AA121" s="570"/>
      <c r="AB121" s="570"/>
      <c r="AC121" s="570"/>
      <c r="AD121" s="570"/>
      <c r="AE121" s="570"/>
      <c r="AF121" s="570"/>
      <c r="AG121" s="570"/>
      <c r="AH121" s="570"/>
      <c r="AI121" s="570"/>
      <c r="AJ121" s="570"/>
      <c r="AK121" s="570"/>
      <c r="AL121" s="570"/>
      <c r="AM121" s="570"/>
      <c r="AN121" s="570"/>
      <c r="AO121" s="588"/>
    </row>
    <row r="122" x14ac:dyDescent="0.3">
      <c r="B122" s="597"/>
      <c r="C122" s="570"/>
      <c r="D122" s="820"/>
      <c r="E122" s="625"/>
      <c r="F122" s="611"/>
      <c r="G122" s="570"/>
      <c r="H122" s="626"/>
      <c r="I122" s="532"/>
      <c r="J122" s="292"/>
      <c r="K122" s="287"/>
      <c r="L122" s="532"/>
      <c r="M122" s="610"/>
      <c r="N122" s="570"/>
      <c r="O122" s="570"/>
      <c r="P122" s="297"/>
      <c r="Q122" s="611"/>
      <c r="R122" s="570"/>
      <c r="S122" s="570"/>
      <c r="T122" s="570"/>
      <c r="U122" s="570"/>
      <c r="V122" s="570"/>
      <c r="W122" s="570"/>
      <c r="X122" s="570"/>
      <c r="Y122" s="570"/>
      <c r="Z122" s="570"/>
      <c r="AA122" s="570"/>
      <c r="AB122" s="570"/>
      <c r="AC122" s="570"/>
      <c r="AD122" s="570"/>
      <c r="AE122" s="570"/>
      <c r="AF122" s="570"/>
      <c r="AG122" s="570"/>
      <c r="AH122" s="570"/>
      <c r="AI122" s="570"/>
      <c r="AJ122" s="570"/>
      <c r="AK122" s="570"/>
      <c r="AL122" s="570"/>
      <c r="AM122" s="570"/>
      <c r="AN122" s="570"/>
      <c r="AO122" s="588"/>
    </row>
    <row r="123" x14ac:dyDescent="0.3">
      <c r="B123" s="597"/>
      <c r="C123" s="570"/>
      <c r="D123" s="820"/>
      <c r="E123" s="625"/>
      <c r="F123" s="611"/>
      <c r="G123" s="570"/>
      <c r="H123" s="626"/>
      <c r="I123" s="532"/>
      <c r="J123" s="292"/>
      <c r="K123" s="287"/>
      <c r="L123" s="532"/>
      <c r="M123" s="610"/>
      <c r="N123" s="570"/>
      <c r="O123" s="570"/>
      <c r="P123" s="297"/>
      <c r="Q123" s="611"/>
      <c r="R123" s="570"/>
      <c r="S123" s="570"/>
      <c r="T123" s="570"/>
      <c r="U123" s="570"/>
      <c r="V123" s="570"/>
      <c r="W123" s="570"/>
      <c r="X123" s="570"/>
      <c r="Y123" s="570"/>
      <c r="Z123" s="570"/>
      <c r="AA123" s="570"/>
      <c r="AB123" s="570"/>
      <c r="AC123" s="570"/>
      <c r="AD123" s="570"/>
      <c r="AE123" s="570"/>
      <c r="AF123" s="570"/>
      <c r="AG123" s="570"/>
      <c r="AH123" s="570"/>
      <c r="AI123" s="570"/>
      <c r="AJ123" s="570"/>
      <c r="AK123" s="570"/>
      <c r="AL123" s="570"/>
      <c r="AM123" s="570"/>
      <c r="AN123" s="570"/>
      <c r="AO123" s="588"/>
    </row>
    <row r="124" x14ac:dyDescent="0.3">
      <c r="B124" s="597"/>
      <c r="C124" s="570"/>
      <c r="D124" s="820"/>
      <c r="E124" s="625"/>
      <c r="F124" s="611"/>
      <c r="G124" s="570"/>
      <c r="H124" s="626"/>
      <c r="I124" s="532"/>
      <c r="J124" s="292"/>
      <c r="K124" s="287"/>
      <c r="L124" s="532"/>
      <c r="M124" s="610"/>
      <c r="N124" s="570"/>
      <c r="O124" s="570"/>
      <c r="P124" s="297"/>
      <c r="Q124" s="611"/>
      <c r="R124" s="570"/>
      <c r="S124" s="570"/>
      <c r="T124" s="570"/>
      <c r="U124" s="570"/>
      <c r="V124" s="570"/>
      <c r="W124" s="570"/>
      <c r="X124" s="570"/>
      <c r="Y124" s="570"/>
      <c r="Z124" s="570"/>
      <c r="AA124" s="570"/>
      <c r="AB124" s="570"/>
      <c r="AC124" s="570"/>
      <c r="AD124" s="570"/>
      <c r="AE124" s="570"/>
      <c r="AF124" s="570"/>
      <c r="AG124" s="570"/>
      <c r="AH124" s="570"/>
      <c r="AI124" s="570"/>
      <c r="AJ124" s="570"/>
      <c r="AK124" s="570"/>
      <c r="AL124" s="570"/>
      <c r="AM124" s="570"/>
      <c r="AN124" s="570"/>
      <c r="AO124" s="588"/>
    </row>
    <row r="125" x14ac:dyDescent="0.3">
      <c r="B125" s="597"/>
      <c r="C125" s="570"/>
      <c r="D125" s="820"/>
      <c r="E125" s="625"/>
      <c r="F125" s="611"/>
      <c r="G125" s="570"/>
      <c r="H125" s="626"/>
      <c r="I125" s="532"/>
      <c r="J125" s="292"/>
      <c r="K125" s="287"/>
      <c r="L125" s="532"/>
      <c r="M125" s="610"/>
      <c r="N125" s="570"/>
      <c r="O125" s="570"/>
      <c r="P125" s="297"/>
      <c r="Q125" s="611"/>
      <c r="R125" s="570"/>
      <c r="S125" s="570"/>
      <c r="T125" s="570"/>
      <c r="U125" s="570"/>
      <c r="V125" s="570"/>
      <c r="W125" s="570"/>
      <c r="X125" s="570"/>
      <c r="Y125" s="570"/>
      <c r="Z125" s="570"/>
      <c r="AA125" s="570"/>
      <c r="AB125" s="570"/>
      <c r="AC125" s="570"/>
      <c r="AD125" s="570"/>
      <c r="AE125" s="570"/>
      <c r="AF125" s="570"/>
      <c r="AG125" s="570"/>
      <c r="AH125" s="570"/>
      <c r="AI125" s="570"/>
      <c r="AJ125" s="570"/>
      <c r="AK125" s="570"/>
      <c r="AL125" s="570"/>
      <c r="AM125" s="570"/>
      <c r="AN125" s="570"/>
      <c r="AO125" s="588"/>
    </row>
    <row r="126" x14ac:dyDescent="0.3">
      <c r="B126" s="597"/>
      <c r="C126" s="570"/>
      <c r="D126" s="820"/>
      <c r="E126" s="625"/>
      <c r="F126" s="611"/>
      <c r="G126" s="570"/>
      <c r="H126" s="626"/>
      <c r="I126" s="532"/>
      <c r="J126" s="292"/>
      <c r="K126" s="287"/>
      <c r="L126" s="532"/>
      <c r="M126" s="610"/>
      <c r="N126" s="570"/>
      <c r="O126" s="570"/>
      <c r="P126" s="297"/>
      <c r="Q126" s="611"/>
      <c r="R126" s="570"/>
      <c r="S126" s="570"/>
      <c r="T126" s="570"/>
      <c r="U126" s="570"/>
      <c r="V126" s="570"/>
      <c r="W126" s="570"/>
      <c r="X126" s="570"/>
      <c r="Y126" s="570"/>
      <c r="Z126" s="570"/>
      <c r="AA126" s="570"/>
      <c r="AB126" s="570"/>
      <c r="AC126" s="570"/>
      <c r="AD126" s="570"/>
      <c r="AE126" s="570"/>
      <c r="AF126" s="570"/>
      <c r="AG126" s="570"/>
      <c r="AH126" s="570"/>
      <c r="AI126" s="570"/>
      <c r="AJ126" s="570"/>
      <c r="AK126" s="570"/>
      <c r="AL126" s="570"/>
      <c r="AM126" s="570"/>
      <c r="AN126" s="570"/>
      <c r="AO126" s="588"/>
    </row>
    <row r="127" x14ac:dyDescent="0.3">
      <c r="B127" s="597"/>
      <c r="C127" s="570"/>
      <c r="D127" s="820"/>
      <c r="E127" s="625"/>
      <c r="F127" s="611"/>
      <c r="G127" s="570"/>
      <c r="H127" s="626"/>
      <c r="I127" s="532"/>
      <c r="J127" s="292"/>
      <c r="K127" s="287"/>
      <c r="L127" s="532"/>
      <c r="M127" s="610"/>
      <c r="N127" s="570"/>
      <c r="O127" s="570"/>
      <c r="P127" s="297"/>
      <c r="Q127" s="611"/>
      <c r="R127" s="570"/>
      <c r="S127" s="570"/>
      <c r="T127" s="570"/>
      <c r="U127" s="570"/>
      <c r="V127" s="570"/>
      <c r="W127" s="570"/>
      <c r="X127" s="570"/>
      <c r="Y127" s="570"/>
      <c r="Z127" s="570"/>
      <c r="AA127" s="570"/>
      <c r="AB127" s="570"/>
      <c r="AC127" s="570"/>
      <c r="AD127" s="570"/>
      <c r="AE127" s="570"/>
      <c r="AF127" s="570"/>
      <c r="AG127" s="570"/>
      <c r="AH127" s="570"/>
      <c r="AI127" s="570"/>
      <c r="AJ127" s="570"/>
      <c r="AK127" s="570"/>
      <c r="AL127" s="570"/>
      <c r="AM127" s="570"/>
      <c r="AN127" s="570"/>
      <c r="AO127" s="588"/>
    </row>
    <row r="128" x14ac:dyDescent="0.3">
      <c r="B128" s="597"/>
      <c r="C128" s="570"/>
      <c r="D128" s="820"/>
      <c r="E128" s="625"/>
      <c r="F128" s="611"/>
      <c r="G128" s="570"/>
      <c r="H128" s="626"/>
      <c r="I128" s="532"/>
      <c r="J128" s="292"/>
      <c r="K128" s="287"/>
      <c r="L128" s="532"/>
      <c r="M128" s="610"/>
      <c r="N128" s="570"/>
      <c r="O128" s="570"/>
      <c r="P128" s="297"/>
      <c r="Q128" s="611"/>
      <c r="R128" s="570"/>
      <c r="S128" s="570"/>
      <c r="T128" s="570"/>
      <c r="U128" s="570"/>
      <c r="V128" s="570"/>
      <c r="W128" s="570"/>
      <c r="X128" s="570"/>
      <c r="Y128" s="570"/>
      <c r="Z128" s="570"/>
      <c r="AA128" s="570"/>
      <c r="AB128" s="570"/>
      <c r="AC128" s="570"/>
      <c r="AD128" s="570"/>
      <c r="AE128" s="570"/>
      <c r="AF128" s="570"/>
      <c r="AG128" s="570"/>
      <c r="AH128" s="570"/>
      <c r="AI128" s="570"/>
      <c r="AJ128" s="570"/>
      <c r="AK128" s="570"/>
      <c r="AL128" s="570"/>
      <c r="AM128" s="570"/>
      <c r="AN128" s="570"/>
      <c r="AO128" s="588"/>
    </row>
    <row r="129" x14ac:dyDescent="0.3">
      <c r="B129" s="597"/>
      <c r="C129" s="570"/>
      <c r="D129" s="820"/>
      <c r="E129" s="625"/>
      <c r="F129" s="611"/>
      <c r="G129" s="570"/>
      <c r="H129" s="626"/>
      <c r="I129" s="532"/>
      <c r="J129" s="292"/>
      <c r="K129" s="287"/>
      <c r="L129" s="532"/>
      <c r="M129" s="610"/>
      <c r="N129" s="570"/>
      <c r="O129" s="570"/>
      <c r="P129" s="297"/>
      <c r="Q129" s="611"/>
      <c r="R129" s="570"/>
      <c r="S129" s="570"/>
      <c r="T129" s="570"/>
      <c r="U129" s="570"/>
      <c r="V129" s="570"/>
      <c r="W129" s="570"/>
      <c r="X129" s="570"/>
      <c r="Y129" s="570"/>
      <c r="Z129" s="570"/>
      <c r="AA129" s="570"/>
      <c r="AB129" s="570"/>
      <c r="AC129" s="570"/>
      <c r="AD129" s="570"/>
      <c r="AE129" s="570"/>
      <c r="AF129" s="570"/>
      <c r="AG129" s="570"/>
      <c r="AH129" s="570"/>
      <c r="AI129" s="570"/>
      <c r="AJ129" s="570"/>
      <c r="AK129" s="570"/>
      <c r="AL129" s="570"/>
      <c r="AM129" s="570"/>
      <c r="AN129" s="570"/>
      <c r="AO129" s="588"/>
    </row>
    <row r="130" x14ac:dyDescent="0.3">
      <c r="B130" s="597"/>
      <c r="C130" s="570"/>
      <c r="D130" s="820"/>
      <c r="E130" s="625"/>
      <c r="F130" s="611"/>
      <c r="G130" s="570"/>
      <c r="H130" s="626"/>
      <c r="I130" s="532"/>
      <c r="J130" s="292"/>
      <c r="K130" s="287"/>
      <c r="L130" s="532"/>
      <c r="M130" s="610"/>
      <c r="N130" s="570"/>
      <c r="O130" s="570"/>
      <c r="P130" s="297"/>
      <c r="Q130" s="611"/>
      <c r="R130" s="570"/>
      <c r="S130" s="570"/>
      <c r="T130" s="570"/>
      <c r="U130" s="570"/>
      <c r="V130" s="570"/>
      <c r="W130" s="570"/>
      <c r="X130" s="570"/>
      <c r="Y130" s="570"/>
      <c r="Z130" s="570"/>
      <c r="AA130" s="570"/>
      <c r="AB130" s="570"/>
      <c r="AC130" s="570"/>
      <c r="AD130" s="570"/>
      <c r="AE130" s="570"/>
      <c r="AF130" s="570"/>
      <c r="AG130" s="570"/>
      <c r="AH130" s="570"/>
      <c r="AI130" s="570"/>
      <c r="AJ130" s="570"/>
      <c r="AK130" s="570"/>
      <c r="AL130" s="570"/>
      <c r="AM130" s="570"/>
      <c r="AN130" s="570"/>
      <c r="AO130" s="588"/>
    </row>
    <row r="131" x14ac:dyDescent="0.3">
      <c r="B131" s="597"/>
      <c r="C131" s="570"/>
      <c r="D131" s="820"/>
      <c r="E131" s="625"/>
      <c r="F131" s="611"/>
      <c r="G131" s="570"/>
      <c r="H131" s="626"/>
      <c r="I131" s="532"/>
      <c r="J131" s="292"/>
      <c r="K131" s="287"/>
      <c r="L131" s="532"/>
      <c r="M131" s="610"/>
      <c r="N131" s="570"/>
      <c r="O131" s="570"/>
      <c r="P131" s="297"/>
      <c r="Q131" s="611"/>
      <c r="R131" s="570"/>
      <c r="S131" s="570"/>
      <c r="T131" s="570"/>
      <c r="U131" s="570"/>
      <c r="V131" s="570"/>
      <c r="W131" s="570"/>
      <c r="X131" s="570"/>
      <c r="Y131" s="570"/>
      <c r="Z131" s="570"/>
      <c r="AA131" s="570"/>
      <c r="AB131" s="570"/>
      <c r="AC131" s="570"/>
      <c r="AD131" s="570"/>
      <c r="AE131" s="570"/>
      <c r="AF131" s="570"/>
      <c r="AG131" s="570"/>
      <c r="AH131" s="570"/>
      <c r="AI131" s="570"/>
      <c r="AJ131" s="570"/>
      <c r="AK131" s="570"/>
      <c r="AL131" s="570"/>
      <c r="AM131" s="570"/>
      <c r="AN131" s="570"/>
      <c r="AO131" s="588"/>
    </row>
    <row r="132" x14ac:dyDescent="0.3">
      <c r="B132" s="597"/>
      <c r="C132" s="570"/>
      <c r="D132" s="820"/>
      <c r="E132" s="625"/>
      <c r="F132" s="611"/>
      <c r="G132" s="570"/>
      <c r="H132" s="626"/>
      <c r="I132" s="532"/>
      <c r="J132" s="292"/>
      <c r="K132" s="287"/>
      <c r="L132" s="532"/>
      <c r="M132" s="610"/>
      <c r="N132" s="570"/>
      <c r="O132" s="570"/>
      <c r="P132" s="297"/>
      <c r="Q132" s="611"/>
      <c r="R132" s="570"/>
      <c r="S132" s="570"/>
      <c r="T132" s="570"/>
      <c r="U132" s="570"/>
      <c r="V132" s="570"/>
      <c r="W132" s="570"/>
      <c r="X132" s="570"/>
      <c r="Y132" s="570"/>
      <c r="Z132" s="570"/>
      <c r="AA132" s="570"/>
      <c r="AB132" s="570"/>
      <c r="AC132" s="570"/>
      <c r="AD132" s="570"/>
      <c r="AE132" s="570"/>
      <c r="AF132" s="570"/>
      <c r="AG132" s="570"/>
      <c r="AH132" s="570"/>
      <c r="AI132" s="570"/>
      <c r="AJ132" s="570"/>
      <c r="AK132" s="570"/>
      <c r="AL132" s="570"/>
      <c r="AM132" s="570"/>
      <c r="AN132" s="570"/>
      <c r="AO132" s="588"/>
    </row>
    <row r="133" x14ac:dyDescent="0.3">
      <c r="B133" s="597"/>
      <c r="C133" s="570"/>
      <c r="D133" s="820"/>
      <c r="E133" s="625"/>
      <c r="F133" s="611"/>
      <c r="G133" s="570"/>
      <c r="H133" s="626"/>
      <c r="I133" s="532"/>
      <c r="J133" s="292"/>
      <c r="K133" s="287"/>
      <c r="L133" s="532"/>
      <c r="M133" s="610"/>
      <c r="N133" s="570"/>
      <c r="O133" s="570"/>
      <c r="P133" s="297"/>
      <c r="Q133" s="611"/>
      <c r="R133" s="570"/>
      <c r="S133" s="570"/>
      <c r="T133" s="570"/>
      <c r="U133" s="570"/>
      <c r="V133" s="570"/>
      <c r="W133" s="570"/>
      <c r="X133" s="570"/>
      <c r="Y133" s="570"/>
      <c r="Z133" s="570"/>
      <c r="AA133" s="570"/>
      <c r="AB133" s="570"/>
      <c r="AC133" s="570"/>
      <c r="AD133" s="570"/>
      <c r="AE133" s="570"/>
      <c r="AF133" s="570"/>
      <c r="AG133" s="570"/>
      <c r="AH133" s="570"/>
      <c r="AI133" s="570"/>
      <c r="AJ133" s="570"/>
      <c r="AK133" s="570"/>
      <c r="AL133" s="570"/>
      <c r="AM133" s="570"/>
      <c r="AN133" s="570"/>
      <c r="AO133" s="588"/>
    </row>
    <row r="134" x14ac:dyDescent="0.3">
      <c r="B134" s="597"/>
      <c r="C134" s="570"/>
      <c r="D134" s="820"/>
      <c r="E134" s="625"/>
      <c r="F134" s="611"/>
      <c r="G134" s="570"/>
      <c r="H134" s="626"/>
      <c r="I134" s="532"/>
      <c r="J134" s="292"/>
      <c r="K134" s="287"/>
      <c r="L134" s="532"/>
      <c r="M134" s="610"/>
      <c r="N134" s="570"/>
      <c r="O134" s="570"/>
      <c r="P134" s="297"/>
      <c r="Q134" s="611"/>
      <c r="R134" s="570"/>
      <c r="S134" s="570"/>
      <c r="T134" s="570"/>
      <c r="U134" s="570"/>
      <c r="V134" s="570"/>
      <c r="W134" s="570"/>
      <c r="X134" s="570"/>
      <c r="Y134" s="570"/>
      <c r="Z134" s="570"/>
      <c r="AA134" s="570"/>
      <c r="AB134" s="570"/>
      <c r="AC134" s="570"/>
      <c r="AD134" s="570"/>
      <c r="AE134" s="570"/>
      <c r="AF134" s="570"/>
      <c r="AG134" s="570"/>
      <c r="AH134" s="570"/>
      <c r="AI134" s="570"/>
      <c r="AJ134" s="570"/>
      <c r="AK134" s="570"/>
      <c r="AL134" s="570"/>
      <c r="AM134" s="570"/>
      <c r="AN134" s="570"/>
      <c r="AO134" s="588"/>
    </row>
    <row r="135" x14ac:dyDescent="0.3">
      <c r="B135" s="597"/>
      <c r="C135" s="570"/>
      <c r="D135" s="820"/>
      <c r="E135" s="625"/>
      <c r="F135" s="611"/>
      <c r="G135" s="570"/>
      <c r="H135" s="626"/>
      <c r="I135" s="532"/>
      <c r="J135" s="292"/>
      <c r="K135" s="287"/>
      <c r="L135" s="532"/>
      <c r="M135" s="610"/>
      <c r="N135" s="570"/>
      <c r="O135" s="570"/>
      <c r="P135" s="297"/>
      <c r="Q135" s="611"/>
      <c r="R135" s="570"/>
      <c r="S135" s="570"/>
      <c r="T135" s="570"/>
      <c r="U135" s="570"/>
      <c r="V135" s="570"/>
      <c r="W135" s="570"/>
      <c r="X135" s="570"/>
      <c r="Y135" s="570"/>
      <c r="Z135" s="570"/>
      <c r="AA135" s="570"/>
      <c r="AB135" s="570"/>
      <c r="AC135" s="570"/>
      <c r="AD135" s="570"/>
      <c r="AE135" s="570"/>
      <c r="AF135" s="570"/>
      <c r="AG135" s="570"/>
      <c r="AH135" s="570"/>
      <c r="AI135" s="570"/>
      <c r="AJ135" s="570"/>
      <c r="AK135" s="570"/>
      <c r="AL135" s="570"/>
      <c r="AM135" s="570"/>
      <c r="AN135" s="570"/>
      <c r="AO135" s="588"/>
    </row>
    <row r="136" x14ac:dyDescent="0.3">
      <c r="B136" s="597"/>
      <c r="C136" s="570"/>
      <c r="D136" s="820"/>
      <c r="E136" s="625"/>
      <c r="F136" s="611"/>
      <c r="G136" s="570"/>
      <c r="H136" s="626"/>
      <c r="I136" s="532"/>
      <c r="J136" s="292"/>
      <c r="K136" s="287"/>
      <c r="L136" s="532"/>
      <c r="M136" s="610"/>
      <c r="N136" s="570"/>
      <c r="O136" s="570"/>
      <c r="P136" s="297"/>
      <c r="Q136" s="611"/>
      <c r="R136" s="570"/>
      <c r="S136" s="570"/>
      <c r="T136" s="570"/>
      <c r="U136" s="570"/>
      <c r="V136" s="570"/>
      <c r="W136" s="570"/>
      <c r="X136" s="570"/>
      <c r="Y136" s="570"/>
      <c r="Z136" s="570"/>
      <c r="AA136" s="570"/>
      <c r="AB136" s="570"/>
      <c r="AC136" s="570"/>
      <c r="AD136" s="570"/>
      <c r="AE136" s="570"/>
      <c r="AF136" s="570"/>
      <c r="AG136" s="570"/>
      <c r="AH136" s="570"/>
      <c r="AI136" s="570"/>
      <c r="AJ136" s="570"/>
      <c r="AK136" s="570"/>
      <c r="AL136" s="570"/>
      <c r="AM136" s="570"/>
      <c r="AN136" s="570"/>
      <c r="AO136" s="588"/>
    </row>
    <row r="137" x14ac:dyDescent="0.3">
      <c r="B137" s="597"/>
      <c r="C137" s="570"/>
      <c r="D137" s="820"/>
      <c r="E137" s="625"/>
      <c r="F137" s="611"/>
      <c r="G137" s="570"/>
      <c r="H137" s="626"/>
      <c r="I137" s="532"/>
      <c r="J137" s="292"/>
      <c r="K137" s="287"/>
      <c r="L137" s="532"/>
      <c r="M137" s="610"/>
      <c r="N137" s="570"/>
      <c r="O137" s="570"/>
      <c r="P137" s="297"/>
      <c r="Q137" s="611"/>
      <c r="R137" s="570"/>
      <c r="S137" s="570"/>
      <c r="T137" s="570"/>
      <c r="U137" s="570"/>
      <c r="V137" s="570"/>
      <c r="W137" s="570"/>
      <c r="X137" s="570"/>
      <c r="Y137" s="570"/>
      <c r="Z137" s="570"/>
      <c r="AA137" s="570"/>
      <c r="AB137" s="570"/>
      <c r="AC137" s="570"/>
      <c r="AD137" s="570"/>
      <c r="AE137" s="570"/>
      <c r="AF137" s="570"/>
      <c r="AG137" s="570"/>
      <c r="AH137" s="570"/>
      <c r="AI137" s="570"/>
      <c r="AJ137" s="570"/>
      <c r="AK137" s="570"/>
      <c r="AL137" s="570"/>
      <c r="AM137" s="570"/>
      <c r="AN137" s="570"/>
      <c r="AO137" s="588"/>
    </row>
    <row r="138" x14ac:dyDescent="0.3">
      <c r="B138" s="597"/>
      <c r="C138" s="570"/>
      <c r="D138" s="820"/>
      <c r="E138" s="625"/>
      <c r="F138" s="611"/>
      <c r="G138" s="570"/>
      <c r="H138" s="626"/>
      <c r="I138" s="532"/>
      <c r="J138" s="292"/>
      <c r="K138" s="287"/>
      <c r="L138" s="532"/>
      <c r="M138" s="610"/>
      <c r="N138" s="570"/>
      <c r="O138" s="570"/>
      <c r="P138" s="297"/>
      <c r="Q138" s="611"/>
      <c r="R138" s="570"/>
      <c r="S138" s="570"/>
      <c r="T138" s="570"/>
      <c r="U138" s="570"/>
      <c r="V138" s="570"/>
      <c r="W138" s="570"/>
      <c r="X138" s="570"/>
      <c r="Y138" s="570"/>
      <c r="Z138" s="570"/>
      <c r="AA138" s="570"/>
      <c r="AB138" s="570"/>
      <c r="AC138" s="570"/>
      <c r="AD138" s="570"/>
      <c r="AE138" s="570"/>
      <c r="AF138" s="570"/>
      <c r="AG138" s="570"/>
      <c r="AH138" s="570"/>
      <c r="AI138" s="570"/>
      <c r="AJ138" s="570"/>
      <c r="AK138" s="570"/>
      <c r="AL138" s="570"/>
      <c r="AM138" s="570"/>
      <c r="AN138" s="570"/>
      <c r="AO138" s="588"/>
    </row>
    <row r="139" ht="21.6" thickBot="true" x14ac:dyDescent="0.35">
      <c r="B139" s="597"/>
      <c r="C139" s="570"/>
      <c r="D139" s="820"/>
      <c r="E139" s="1921" t="s">
        <v>1270</v>
      </c>
      <c r="F139" s="1921"/>
      <c r="G139" s="570"/>
      <c r="H139" s="626"/>
      <c r="I139" s="532"/>
      <c r="J139" s="292"/>
      <c r="K139" s="287"/>
      <c r="L139" s="532"/>
      <c r="M139" s="610"/>
      <c r="N139" s="570"/>
      <c r="O139" s="570"/>
      <c r="P139" s="297"/>
      <c r="Q139" s="611"/>
      <c r="R139" s="570"/>
      <c r="S139" s="570"/>
      <c r="T139" s="570"/>
      <c r="U139" s="570"/>
      <c r="V139" s="570"/>
      <c r="W139" s="570"/>
      <c r="X139" s="570"/>
      <c r="Y139" s="570"/>
      <c r="Z139" s="570"/>
      <c r="AA139" s="570"/>
      <c r="AB139" s="570"/>
      <c r="AC139" s="570"/>
      <c r="AD139" s="570"/>
      <c r="AE139" s="570"/>
      <c r="AF139" s="570"/>
      <c r="AG139" s="570"/>
      <c r="AH139" s="570"/>
      <c r="AI139" s="570"/>
      <c r="AJ139" s="570"/>
      <c r="AK139" s="570"/>
      <c r="AL139" s="570"/>
      <c r="AM139" s="570"/>
      <c r="AN139" s="570"/>
      <c r="AO139" s="588"/>
    </row>
    <row r="140" ht="24" thickBot="true" x14ac:dyDescent="0.35">
      <c r="B140" s="597"/>
      <c r="C140" s="570"/>
      <c r="D140" s="820"/>
      <c r="E140" s="341" t="s">
        <v>1271</v>
      </c>
      <c r="F140" s="1376">
        <f>G76</f>
        <v>0.1</v>
      </c>
      <c r="G140" s="570"/>
      <c r="H140" s="1982" t="s">
        <v>1276</v>
      </c>
      <c r="I140" s="1983"/>
      <c r="J140" s="1984"/>
      <c r="K140" s="1980" t="s">
        <v>1277</v>
      </c>
      <c r="L140" s="1981"/>
      <c r="M140" s="610"/>
      <c r="N140" s="570"/>
      <c r="O140" s="570"/>
      <c r="P140" s="297"/>
      <c r="Q140" s="611"/>
      <c r="R140" s="570"/>
      <c r="S140" s="570"/>
      <c r="T140" s="570"/>
      <c r="U140" s="570"/>
      <c r="V140" s="570"/>
      <c r="W140" s="570"/>
      <c r="X140" s="570"/>
      <c r="Y140" s="570"/>
      <c r="Z140" s="570"/>
      <c r="AA140" s="570"/>
      <c r="AB140" s="570"/>
      <c r="AC140" s="570"/>
      <c r="AD140" s="570"/>
      <c r="AE140" s="570"/>
      <c r="AF140" s="570"/>
      <c r="AG140" s="570"/>
      <c r="AH140" s="570"/>
      <c r="AI140" s="570"/>
      <c r="AJ140" s="570"/>
      <c r="AK140" s="570"/>
      <c r="AL140" s="570"/>
      <c r="AM140" s="570"/>
      <c r="AN140" s="570"/>
      <c r="AO140" s="588"/>
    </row>
    <row r="141" ht="32.25" customHeight="true" x14ac:dyDescent="0.3">
      <c r="B141" s="597"/>
      <c r="C141" s="570"/>
      <c r="D141" s="820"/>
      <c r="E141" s="499" t="s">
        <v>1274</v>
      </c>
      <c r="F141" s="1377">
        <f>J153</f>
        <v>3429144.349046309</v>
      </c>
      <c r="G141" s="500" t="s">
        <v>1238</v>
      </c>
      <c r="H141" s="501" t="s">
        <v>1272</v>
      </c>
      <c r="I141" s="502" t="s">
        <v>1273</v>
      </c>
      <c r="J141" s="503" t="s">
        <v>1334</v>
      </c>
      <c r="K141" s="504" t="s">
        <v>1275</v>
      </c>
      <c r="L141" s="505" t="s">
        <v>1335</v>
      </c>
      <c r="M141" s="610"/>
      <c r="N141" s="570"/>
      <c r="O141" s="570"/>
      <c r="P141" s="297"/>
      <c r="Q141" s="611"/>
      <c r="R141" s="570"/>
      <c r="S141" s="570"/>
      <c r="T141" s="570"/>
      <c r="U141" s="570"/>
      <c r="V141" s="570"/>
      <c r="W141" s="570"/>
      <c r="X141" s="570"/>
      <c r="Y141" s="570"/>
      <c r="Z141" s="570"/>
      <c r="AA141" s="570"/>
      <c r="AB141" s="570"/>
      <c r="AC141" s="570"/>
      <c r="AD141" s="570"/>
      <c r="AE141" s="570"/>
      <c r="AF141" s="570"/>
      <c r="AG141" s="570"/>
      <c r="AH141" s="570"/>
      <c r="AI141" s="570"/>
      <c r="AJ141" s="570"/>
      <c r="AK141" s="570"/>
      <c r="AL141" s="570"/>
      <c r="AM141" s="570"/>
      <c r="AN141" s="570"/>
      <c r="AO141" s="588"/>
    </row>
    <row r="142" thickBot="true" x14ac:dyDescent="0.35">
      <c r="B142" s="597"/>
      <c r="C142" s="570"/>
      <c r="D142" s="820"/>
      <c r="E142" s="344" t="s">
        <v>1871</v>
      </c>
      <c r="F142" s="1389">
        <f>ROUND(I9,2)</f>
        <v>0.67</v>
      </c>
      <c r="G142" s="1390">
        <f>E84</f>
        <v>0</v>
      </c>
      <c r="H142" s="1391">
        <f t="shared" ref="H142:H153" si="25">L84</f>
        <v>0</v>
      </c>
      <c r="I142" s="1392">
        <f>P84</f>
        <v>0</v>
      </c>
      <c r="J142" s="1393">
        <f>I142</f>
        <v>0</v>
      </c>
      <c r="K142" s="1391">
        <f>P84</f>
        <v>0</v>
      </c>
      <c r="L142" s="1394">
        <f>I142</f>
        <v>0</v>
      </c>
      <c r="M142" s="610"/>
      <c r="N142" s="570"/>
      <c r="O142" s="570"/>
      <c r="P142" s="297"/>
      <c r="Q142" s="611"/>
      <c r="R142" s="570"/>
      <c r="S142" s="570"/>
      <c r="T142" s="570"/>
      <c r="U142" s="570"/>
      <c r="V142" s="570"/>
      <c r="W142" s="570"/>
      <c r="X142" s="570"/>
      <c r="Y142" s="570"/>
      <c r="Z142" s="570"/>
      <c r="AA142" s="570"/>
      <c r="AB142" s="570"/>
      <c r="AC142" s="570"/>
      <c r="AD142" s="570"/>
      <c r="AE142" s="570"/>
      <c r="AF142" s="570"/>
      <c r="AG142" s="570"/>
      <c r="AH142" s="570"/>
      <c r="AI142" s="570"/>
      <c r="AJ142" s="570"/>
      <c r="AK142" s="570"/>
      <c r="AL142" s="570"/>
      <c r="AM142" s="570"/>
      <c r="AN142" s="570"/>
      <c r="AO142" s="588"/>
    </row>
    <row r="143" x14ac:dyDescent="0.3">
      <c r="B143" s="597"/>
      <c r="C143" s="570"/>
      <c r="D143" s="820"/>
      <c r="E143" s="625"/>
      <c r="F143" s="611"/>
      <c r="G143" s="1390">
        <f t="shared" ref="G143:G153" si="26">E85</f>
        <v>1</v>
      </c>
      <c r="H143" s="1391">
        <f t="shared" si="25"/>
        <v>0</v>
      </c>
      <c r="I143" s="1392">
        <f>H143/(1+$F$140)^G143</f>
        <v>0</v>
      </c>
      <c r="J143" s="1393">
        <f>J142+I143</f>
        <v>0</v>
      </c>
      <c r="K143" s="1391">
        <f t="shared" ref="K143:K153" si="27">H143/(1+$I$9)^G143</f>
        <v>0</v>
      </c>
      <c r="L143" s="1394">
        <f>L142+K143</f>
        <v>0</v>
      </c>
      <c r="M143" s="610"/>
      <c r="N143" s="570"/>
      <c r="O143" s="570"/>
      <c r="P143" s="297"/>
      <c r="Q143" s="611"/>
      <c r="R143" s="570"/>
      <c r="S143" s="570"/>
      <c r="T143" s="570"/>
      <c r="U143" s="570"/>
      <c r="V143" s="570"/>
      <c r="W143" s="570"/>
      <c r="X143" s="570"/>
      <c r="Y143" s="570"/>
      <c r="Z143" s="570"/>
      <c r="AA143" s="570"/>
      <c r="AB143" s="570"/>
      <c r="AC143" s="570"/>
      <c r="AD143" s="570"/>
      <c r="AE143" s="570"/>
      <c r="AF143" s="570"/>
      <c r="AG143" s="570"/>
      <c r="AH143" s="570"/>
      <c r="AI143" s="570"/>
      <c r="AJ143" s="570"/>
      <c r="AK143" s="570"/>
      <c r="AL143" s="570"/>
      <c r="AM143" s="570"/>
      <c r="AN143" s="570"/>
      <c r="AO143" s="588"/>
    </row>
    <row r="144" ht="20.4" x14ac:dyDescent="0.3">
      <c r="B144" s="597"/>
      <c r="C144" s="570"/>
      <c r="D144" s="820"/>
      <c r="E144" s="195"/>
      <c r="F144" s="611"/>
      <c r="G144" s="1390">
        <f t="shared" si="26"/>
        <v>2</v>
      </c>
      <c r="H144" s="1391">
        <f>L86</f>
        <v>613885.19631414255</v>
      </c>
      <c r="I144" s="1392">
        <f t="shared" ref="I144:I153" si="28">H144/(1+$F$140)^G144</f>
        <v>507343.13744970452</v>
      </c>
      <c r="J144" s="1393">
        <f t="shared" ref="J144:J153" si="29">J143+I144</f>
        <v>507343.13744970452</v>
      </c>
      <c r="K144" s="1391">
        <f t="shared" si="27"/>
        <v>220749.00648634194</v>
      </c>
      <c r="L144" s="1394">
        <f t="shared" ref="L144:L153" si="30">L143+K144</f>
        <v>220749.00648634194</v>
      </c>
      <c r="M144" s="610"/>
      <c r="N144" s="570"/>
      <c r="O144" s="570"/>
      <c r="P144" s="297"/>
      <c r="Q144" s="611"/>
      <c r="R144" s="570"/>
      <c r="S144" s="570"/>
      <c r="T144" s="570"/>
      <c r="U144" s="570"/>
      <c r="V144" s="570"/>
      <c r="W144" s="570"/>
      <c r="X144" s="570"/>
      <c r="Y144" s="570"/>
      <c r="Z144" s="570"/>
      <c r="AA144" s="570"/>
      <c r="AB144" s="570"/>
      <c r="AC144" s="570"/>
      <c r="AD144" s="570"/>
      <c r="AE144" s="570"/>
      <c r="AF144" s="570"/>
      <c r="AG144" s="570"/>
      <c r="AH144" s="570"/>
      <c r="AI144" s="570"/>
      <c r="AJ144" s="570"/>
      <c r="AK144" s="570"/>
      <c r="AL144" s="570"/>
      <c r="AM144" s="570"/>
      <c r="AN144" s="570"/>
      <c r="AO144" s="588"/>
    </row>
    <row r="145" x14ac:dyDescent="0.3">
      <c r="B145" s="597"/>
      <c r="C145" s="570"/>
      <c r="D145" s="820"/>
      <c r="E145" s="625"/>
      <c r="F145" s="611"/>
      <c r="G145" s="1390">
        <f t="shared" si="26"/>
        <v>3</v>
      </c>
      <c r="H145" s="1391">
        <f t="shared" si="25"/>
        <v>613885.19631414255</v>
      </c>
      <c r="I145" s="1392">
        <f t="shared" si="28"/>
        <v>461221.03404518584</v>
      </c>
      <c r="J145" s="1393">
        <f t="shared" si="29"/>
        <v>968564.17149489035</v>
      </c>
      <c r="K145" s="1391">
        <f t="shared" si="27"/>
        <v>132374.5681085067</v>
      </c>
      <c r="L145" s="1394">
        <f t="shared" si="30"/>
        <v>353123.57459484867</v>
      </c>
      <c r="M145" s="610"/>
      <c r="N145" s="570"/>
      <c r="O145" s="570"/>
      <c r="P145" s="297"/>
      <c r="Q145" s="611"/>
      <c r="R145" s="570"/>
      <c r="S145" s="570"/>
      <c r="T145" s="570"/>
      <c r="U145" s="570"/>
      <c r="V145" s="570"/>
      <c r="W145" s="570"/>
      <c r="X145" s="570"/>
      <c r="Y145" s="570"/>
      <c r="Z145" s="570"/>
      <c r="AA145" s="570"/>
      <c r="AB145" s="570"/>
      <c r="AC145" s="570"/>
      <c r="AD145" s="570"/>
      <c r="AE145" s="570"/>
      <c r="AF145" s="570"/>
      <c r="AG145" s="570"/>
      <c r="AH145" s="570"/>
      <c r="AI145" s="570"/>
      <c r="AJ145" s="570"/>
      <c r="AK145" s="570"/>
      <c r="AL145" s="570"/>
      <c r="AM145" s="570"/>
      <c r="AN145" s="570"/>
      <c r="AO145" s="588"/>
    </row>
    <row r="146" x14ac:dyDescent="0.3">
      <c r="B146" s="597"/>
      <c r="C146" s="570"/>
      <c r="D146" s="820"/>
      <c r="E146" s="625"/>
      <c r="F146" s="611"/>
      <c r="G146" s="1390">
        <f t="shared" si="26"/>
        <v>4</v>
      </c>
      <c r="H146" s="1391">
        <f t="shared" si="25"/>
        <v>613885.19631414255</v>
      </c>
      <c r="I146" s="1392">
        <f t="shared" si="28"/>
        <v>419291.84913198714</v>
      </c>
      <c r="J146" s="1393">
        <f t="shared" si="29"/>
        <v>1387856.0206268774</v>
      </c>
      <c r="K146" s="1391">
        <f t="shared" si="27"/>
        <v>79379.864765089471</v>
      </c>
      <c r="L146" s="1394">
        <f t="shared" si="30"/>
        <v>432503.43935993814</v>
      </c>
      <c r="M146" s="610"/>
      <c r="N146" s="570"/>
      <c r="O146" s="570"/>
      <c r="P146" s="297"/>
      <c r="Q146" s="611"/>
      <c r="R146" s="570"/>
      <c r="S146" s="570"/>
      <c r="T146" s="570"/>
      <c r="U146" s="570"/>
      <c r="V146" s="570"/>
      <c r="W146" s="570"/>
      <c r="X146" s="570"/>
      <c r="Y146" s="570"/>
      <c r="Z146" s="570"/>
      <c r="AA146" s="570"/>
      <c r="AB146" s="570"/>
      <c r="AC146" s="570"/>
      <c r="AD146" s="570"/>
      <c r="AE146" s="570"/>
      <c r="AF146" s="570"/>
      <c r="AG146" s="570"/>
      <c r="AH146" s="570"/>
      <c r="AI146" s="570"/>
      <c r="AJ146" s="570"/>
      <c r="AK146" s="570"/>
      <c r="AL146" s="570"/>
      <c r="AM146" s="570"/>
      <c r="AN146" s="570"/>
      <c r="AO146" s="588"/>
    </row>
    <row r="147" x14ac:dyDescent="0.3">
      <c r="B147" s="597"/>
      <c r="C147" s="570"/>
      <c r="D147" s="820"/>
      <c r="E147" s="625"/>
      <c r="F147" s="611"/>
      <c r="G147" s="1390">
        <f t="shared" si="26"/>
        <v>5</v>
      </c>
      <c r="H147" s="1391">
        <f t="shared" si="25"/>
        <v>613885.19631414255</v>
      </c>
      <c r="I147" s="1392">
        <f t="shared" si="28"/>
        <v>381174.40830180648</v>
      </c>
      <c r="J147" s="1393">
        <f t="shared" si="29"/>
        <v>1769030.428928684</v>
      </c>
      <c r="K147" s="1391">
        <f t="shared" si="27"/>
        <v>47601.008412423027</v>
      </c>
      <c r="L147" s="1394">
        <f t="shared" si="30"/>
        <v>480104.44777236116</v>
      </c>
      <c r="M147" s="610"/>
      <c r="N147" s="570"/>
      <c r="O147" s="570"/>
      <c r="P147" s="297"/>
      <c r="Q147" s="611"/>
      <c r="R147" s="570"/>
      <c r="S147" s="570"/>
      <c r="T147" s="570"/>
      <c r="U147" s="570"/>
      <c r="V147" s="570"/>
      <c r="W147" s="570"/>
      <c r="X147" s="570"/>
      <c r="Y147" s="570"/>
      <c r="Z147" s="570"/>
      <c r="AA147" s="570"/>
      <c r="AB147" s="570"/>
      <c r="AC147" s="570"/>
      <c r="AD147" s="570"/>
      <c r="AE147" s="570"/>
      <c r="AF147" s="570"/>
      <c r="AG147" s="570"/>
      <c r="AH147" s="570"/>
      <c r="AI147" s="570"/>
      <c r="AJ147" s="570"/>
      <c r="AK147" s="570"/>
      <c r="AL147" s="570"/>
      <c r="AM147" s="570"/>
      <c r="AN147" s="570"/>
      <c r="AO147" s="588"/>
    </row>
    <row r="148" x14ac:dyDescent="0.3">
      <c r="B148" s="597"/>
      <c r="C148" s="570"/>
      <c r="D148" s="820"/>
      <c r="E148" s="625"/>
      <c r="F148" s="611"/>
      <c r="G148" s="1390">
        <f t="shared" si="26"/>
        <v>6</v>
      </c>
      <c r="H148" s="1391">
        <f t="shared" si="25"/>
        <v>613885.19631414255</v>
      </c>
      <c r="I148" s="1392">
        <f t="shared" si="28"/>
        <v>346522.18936527858</v>
      </c>
      <c r="J148" s="1393">
        <f t="shared" si="29"/>
        <v>2115552.6182939624</v>
      </c>
      <c r="K148" s="1391">
        <f t="shared" si="27"/>
        <v>28544.467902344804</v>
      </c>
      <c r="L148" s="1394">
        <f t="shared" si="30"/>
        <v>508648.91567470599</v>
      </c>
      <c r="M148" s="610"/>
      <c r="N148" s="570"/>
      <c r="O148" s="570"/>
      <c r="P148" s="297"/>
      <c r="Q148" s="611"/>
      <c r="R148" s="570"/>
      <c r="S148" s="570"/>
      <c r="T148" s="570"/>
      <c r="U148" s="570"/>
      <c r="V148" s="570"/>
      <c r="W148" s="570"/>
      <c r="X148" s="570"/>
      <c r="Y148" s="570"/>
      <c r="Z148" s="570"/>
      <c r="AA148" s="570"/>
      <c r="AB148" s="570"/>
      <c r="AC148" s="570"/>
      <c r="AD148" s="570"/>
      <c r="AE148" s="570"/>
      <c r="AF148" s="570"/>
      <c r="AG148" s="570"/>
      <c r="AH148" s="570"/>
      <c r="AI148" s="570"/>
      <c r="AJ148" s="570"/>
      <c r="AK148" s="570"/>
      <c r="AL148" s="570"/>
      <c r="AM148" s="570"/>
      <c r="AN148" s="570"/>
      <c r="AO148" s="588"/>
    </row>
    <row r="149" x14ac:dyDescent="0.3">
      <c r="B149" s="597"/>
      <c r="C149" s="570"/>
      <c r="D149" s="820"/>
      <c r="E149" s="625"/>
      <c r="F149" s="611"/>
      <c r="G149" s="1390">
        <f t="shared" si="26"/>
        <v>7</v>
      </c>
      <c r="H149" s="1391">
        <f t="shared" si="25"/>
        <v>613885.19631414255</v>
      </c>
      <c r="I149" s="1392">
        <f t="shared" si="28"/>
        <v>315020.1721502532</v>
      </c>
      <c r="J149" s="1393">
        <f t="shared" si="29"/>
        <v>2430572.7904442158</v>
      </c>
      <c r="K149" s="1391">
        <f t="shared" si="27"/>
        <v>17117.003924970377</v>
      </c>
      <c r="L149" s="1394">
        <f t="shared" si="30"/>
        <v>525765.91959967639</v>
      </c>
      <c r="M149" s="610"/>
      <c r="N149" s="570"/>
      <c r="O149" s="570"/>
      <c r="P149" s="297"/>
      <c r="Q149" s="611"/>
      <c r="R149" s="570"/>
      <c r="S149" s="570"/>
      <c r="T149" s="570"/>
      <c r="U149" s="570"/>
      <c r="V149" s="570"/>
      <c r="W149" s="570"/>
      <c r="X149" s="570"/>
      <c r="Y149" s="570"/>
      <c r="Z149" s="570"/>
      <c r="AA149" s="570"/>
      <c r="AB149" s="570"/>
      <c r="AC149" s="570"/>
      <c r="AD149" s="570"/>
      <c r="AE149" s="570"/>
      <c r="AF149" s="570"/>
      <c r="AG149" s="570"/>
      <c r="AH149" s="570"/>
      <c r="AI149" s="570"/>
      <c r="AJ149" s="570"/>
      <c r="AK149" s="570"/>
      <c r="AL149" s="570"/>
      <c r="AM149" s="570"/>
      <c r="AN149" s="570"/>
      <c r="AO149" s="588"/>
    </row>
    <row r="150" x14ac:dyDescent="0.3">
      <c r="B150" s="597"/>
      <c r="C150" s="570"/>
      <c r="D150" s="820"/>
      <c r="E150" s="625"/>
      <c r="F150" s="611"/>
      <c r="G150" s="1390">
        <f t="shared" si="26"/>
        <v>8</v>
      </c>
      <c r="H150" s="1391">
        <f t="shared" si="25"/>
        <v>613885.19631414255</v>
      </c>
      <c r="I150" s="1392">
        <f t="shared" si="28"/>
        <v>286381.97468204837</v>
      </c>
      <c r="J150" s="1393">
        <f t="shared" si="29"/>
        <v>2716954.7651262642</v>
      </c>
      <c r="K150" s="1391">
        <f t="shared" si="27"/>
        <v>10264.399545643071</v>
      </c>
      <c r="L150" s="1394">
        <f t="shared" si="30"/>
        <v>536030.31914531952</v>
      </c>
      <c r="M150" s="610"/>
      <c r="N150" s="570"/>
      <c r="O150" s="570"/>
      <c r="P150" s="297"/>
      <c r="Q150" s="611"/>
      <c r="R150" s="570"/>
      <c r="S150" s="570"/>
      <c r="T150" s="570"/>
      <c r="U150" s="570"/>
      <c r="V150" s="570"/>
      <c r="W150" s="570"/>
      <c r="X150" s="570"/>
      <c r="Y150" s="570"/>
      <c r="Z150" s="570"/>
      <c r="AA150" s="570"/>
      <c r="AB150" s="570"/>
      <c r="AC150" s="570"/>
      <c r="AD150" s="570"/>
      <c r="AE150" s="570"/>
      <c r="AF150" s="570"/>
      <c r="AG150" s="570"/>
      <c r="AH150" s="570"/>
      <c r="AI150" s="570"/>
      <c r="AJ150" s="570"/>
      <c r="AK150" s="570"/>
      <c r="AL150" s="570"/>
      <c r="AM150" s="570"/>
      <c r="AN150" s="570"/>
      <c r="AO150" s="588"/>
    </row>
    <row r="151" x14ac:dyDescent="0.3">
      <c r="B151" s="597"/>
      <c r="C151" s="570"/>
      <c r="D151" s="820"/>
      <c r="E151" s="625"/>
      <c r="F151" s="611"/>
      <c r="G151" s="1390">
        <f t="shared" si="26"/>
        <v>9</v>
      </c>
      <c r="H151" s="1391">
        <f t="shared" si="25"/>
        <v>613885.19631414255</v>
      </c>
      <c r="I151" s="1392">
        <f t="shared" si="28"/>
        <v>260347.24971095307</v>
      </c>
      <c r="J151" s="1393">
        <f t="shared" si="29"/>
        <v>2977302.0148372171</v>
      </c>
      <c r="K151" s="1391">
        <f t="shared" si="27"/>
        <v>6155.1600089838748</v>
      </c>
      <c r="L151" s="1394">
        <f t="shared" si="30"/>
        <v>542185.47915430344</v>
      </c>
      <c r="M151" s="610"/>
      <c r="N151" s="570"/>
      <c r="O151" s="570"/>
      <c r="P151" s="297"/>
      <c r="Q151" s="611"/>
      <c r="R151" s="570"/>
      <c r="S151" s="570"/>
      <c r="T151" s="570"/>
      <c r="U151" s="570"/>
      <c r="V151" s="570"/>
      <c r="W151" s="570"/>
      <c r="X151" s="570"/>
      <c r="Y151" s="570"/>
      <c r="Z151" s="570"/>
      <c r="AA151" s="570"/>
      <c r="AB151" s="570"/>
      <c r="AC151" s="570"/>
      <c r="AD151" s="570"/>
      <c r="AE151" s="570"/>
      <c r="AF151" s="570"/>
      <c r="AG151" s="570"/>
      <c r="AH151" s="570"/>
      <c r="AI151" s="570"/>
      <c r="AJ151" s="570"/>
      <c r="AK151" s="570"/>
      <c r="AL151" s="570"/>
      <c r="AM151" s="570"/>
      <c r="AN151" s="570"/>
      <c r="AO151" s="588"/>
    </row>
    <row r="152" x14ac:dyDescent="0.3">
      <c r="B152" s="597"/>
      <c r="C152" s="570"/>
      <c r="D152" s="820"/>
      <c r="E152" s="625"/>
      <c r="F152" s="611"/>
      <c r="G152" s="1390">
        <f t="shared" si="26"/>
        <v>10</v>
      </c>
      <c r="H152" s="1391">
        <f t="shared" si="25"/>
        <v>613885.19631414255</v>
      </c>
      <c r="I152" s="1392">
        <f t="shared" si="28"/>
        <v>236679.31791904822</v>
      </c>
      <c r="J152" s="1393">
        <f t="shared" si="29"/>
        <v>3213981.3327562651</v>
      </c>
      <c r="K152" s="1391">
        <f t="shared" si="27"/>
        <v>3691.0093540031621</v>
      </c>
      <c r="L152" s="1394">
        <f t="shared" si="30"/>
        <v>545876.48850830656</v>
      </c>
      <c r="M152" s="610"/>
      <c r="N152" s="570"/>
      <c r="O152" s="570"/>
      <c r="P152" s="297"/>
      <c r="Q152" s="611"/>
      <c r="R152" s="570"/>
      <c r="S152" s="570"/>
      <c r="T152" s="570"/>
      <c r="U152" s="570"/>
      <c r="V152" s="570"/>
      <c r="W152" s="570"/>
      <c r="X152" s="570"/>
      <c r="Y152" s="570"/>
      <c r="Z152" s="570"/>
      <c r="AA152" s="570"/>
      <c r="AB152" s="570"/>
      <c r="AC152" s="570"/>
      <c r="AD152" s="570"/>
      <c r="AE152" s="570"/>
      <c r="AF152" s="570"/>
      <c r="AG152" s="570"/>
      <c r="AH152" s="570"/>
      <c r="AI152" s="570"/>
      <c r="AJ152" s="570"/>
      <c r="AK152" s="570"/>
      <c r="AL152" s="570"/>
      <c r="AM152" s="570"/>
      <c r="AN152" s="570"/>
      <c r="AO152" s="588"/>
    </row>
    <row r="153" ht="21.6" thickBot="true" x14ac:dyDescent="0.35">
      <c r="B153" s="597"/>
      <c r="C153" s="570"/>
      <c r="D153" s="820"/>
      <c r="E153" s="625"/>
      <c r="F153" s="611"/>
      <c r="G153" s="1395">
        <f t="shared" si="26"/>
        <v>11</v>
      </c>
      <c r="H153" s="1396">
        <f t="shared" si="25"/>
        <v>613885.19631414255</v>
      </c>
      <c r="I153" s="1397">
        <f t="shared" si="28"/>
        <v>215163.0162900438</v>
      </c>
      <c r="J153" s="1398">
        <f t="shared" si="29"/>
        <v>3429144.349046309</v>
      </c>
      <c r="K153" s="1396">
        <f t="shared" si="27"/>
        <v>2213.3543289620966</v>
      </c>
      <c r="L153" s="1399">
        <f t="shared" si="30"/>
        <v>548089.8428372686</v>
      </c>
      <c r="M153" s="610"/>
      <c r="N153" s="570"/>
      <c r="O153" s="570"/>
      <c r="P153" s="297"/>
      <c r="Q153" s="611"/>
      <c r="R153" s="570"/>
      <c r="S153" s="570"/>
      <c r="T153" s="570"/>
      <c r="U153" s="570"/>
      <c r="V153" s="570"/>
      <c r="W153" s="570"/>
      <c r="X153" s="570"/>
      <c r="Y153" s="570"/>
      <c r="Z153" s="570"/>
      <c r="AA153" s="570"/>
      <c r="AB153" s="570"/>
      <c r="AC153" s="570"/>
      <c r="AD153" s="570"/>
      <c r="AE153" s="570"/>
      <c r="AF153" s="570"/>
      <c r="AG153" s="570"/>
      <c r="AH153" s="570"/>
      <c r="AI153" s="570"/>
      <c r="AJ153" s="570"/>
      <c r="AK153" s="570"/>
      <c r="AL153" s="570"/>
      <c r="AM153" s="570"/>
      <c r="AN153" s="570"/>
      <c r="AO153" s="588"/>
    </row>
    <row r="154" x14ac:dyDescent="0.3">
      <c r="B154" s="597"/>
      <c r="C154" s="570"/>
      <c r="D154" s="820"/>
      <c r="E154" s="625"/>
      <c r="F154" s="611"/>
      <c r="G154" s="570"/>
      <c r="H154" s="626"/>
      <c r="I154" s="532"/>
      <c r="J154" s="292"/>
      <c r="K154" s="287"/>
      <c r="L154" s="532"/>
      <c r="M154" s="610"/>
      <c r="N154" s="570"/>
      <c r="O154" s="570"/>
      <c r="P154" s="297"/>
      <c r="Q154" s="611"/>
      <c r="R154" s="570"/>
      <c r="S154" s="570"/>
      <c r="T154" s="570"/>
      <c r="U154" s="570"/>
      <c r="V154" s="570"/>
      <c r="W154" s="570"/>
      <c r="X154" s="570"/>
      <c r="Y154" s="570"/>
      <c r="Z154" s="570"/>
      <c r="AA154" s="570"/>
      <c r="AB154" s="570"/>
      <c r="AC154" s="570"/>
      <c r="AD154" s="570"/>
      <c r="AE154" s="570"/>
      <c r="AF154" s="570"/>
      <c r="AG154" s="570"/>
      <c r="AH154" s="570"/>
      <c r="AI154" s="570"/>
      <c r="AJ154" s="570"/>
      <c r="AK154" s="570"/>
      <c r="AL154" s="570"/>
      <c r="AM154" s="570"/>
      <c r="AN154" s="570"/>
      <c r="AO154" s="588"/>
    </row>
    <row r="155" x14ac:dyDescent="0.3">
      <c r="B155" s="597"/>
      <c r="C155" s="570"/>
      <c r="D155" s="820"/>
      <c r="E155" s="625"/>
      <c r="F155" s="611"/>
      <c r="G155" s="570"/>
      <c r="H155" s="626"/>
      <c r="I155" s="532"/>
      <c r="J155" s="292"/>
      <c r="K155" s="287"/>
      <c r="L155" s="532"/>
      <c r="M155" s="610"/>
      <c r="N155" s="570"/>
      <c r="O155" s="570"/>
      <c r="P155" s="297"/>
      <c r="Q155" s="611"/>
      <c r="R155" s="570"/>
      <c r="S155" s="570"/>
      <c r="T155" s="570"/>
      <c r="U155" s="570"/>
      <c r="V155" s="570"/>
      <c r="W155" s="570"/>
      <c r="X155" s="570"/>
      <c r="Y155" s="570"/>
      <c r="Z155" s="570"/>
      <c r="AA155" s="570"/>
      <c r="AB155" s="570"/>
      <c r="AC155" s="570"/>
      <c r="AD155" s="570"/>
      <c r="AE155" s="570"/>
      <c r="AF155" s="570"/>
      <c r="AG155" s="570"/>
      <c r="AH155" s="570"/>
      <c r="AI155" s="570"/>
      <c r="AJ155" s="570"/>
      <c r="AK155" s="570"/>
      <c r="AL155" s="570"/>
      <c r="AM155" s="570"/>
      <c r="AN155" s="570"/>
      <c r="AO155" s="588"/>
    </row>
    <row r="156" ht="21.6" thickBot="true" x14ac:dyDescent="0.35">
      <c r="B156" s="597"/>
      <c r="C156" s="570"/>
      <c r="D156" s="820"/>
      <c r="E156" s="625"/>
      <c r="F156" s="611"/>
      <c r="G156" s="570"/>
      <c r="H156" s="626"/>
      <c r="I156" s="532"/>
      <c r="J156" s="292"/>
      <c r="K156" s="287"/>
      <c r="L156" s="828"/>
      <c r="M156" s="610"/>
      <c r="N156" s="570"/>
      <c r="O156" s="570"/>
      <c r="P156" s="297"/>
      <c r="Q156" s="611"/>
      <c r="R156" s="570"/>
      <c r="S156" s="570"/>
      <c r="T156" s="570"/>
      <c r="U156" s="570"/>
      <c r="V156" s="570"/>
      <c r="W156" s="570"/>
      <c r="X156" s="570"/>
      <c r="Y156" s="570"/>
      <c r="Z156" s="570"/>
      <c r="AA156" s="570"/>
      <c r="AB156" s="570"/>
      <c r="AC156" s="570"/>
      <c r="AD156" s="570"/>
      <c r="AE156" s="570"/>
      <c r="AF156" s="570"/>
      <c r="AG156" s="570"/>
      <c r="AH156" s="570"/>
      <c r="AI156" s="570"/>
      <c r="AJ156" s="570"/>
      <c r="AK156" s="570"/>
      <c r="AL156" s="570"/>
      <c r="AM156" s="570"/>
      <c r="AN156" s="570"/>
      <c r="AO156" s="588"/>
    </row>
    <row r="157" ht="21.6" thickBot="true" x14ac:dyDescent="0.35">
      <c r="B157" s="597"/>
      <c r="C157" s="570"/>
      <c r="D157" s="820"/>
      <c r="E157" s="1921" t="s">
        <v>1278</v>
      </c>
      <c r="F157" s="1921"/>
      <c r="G157" s="570"/>
      <c r="H157" s="626"/>
      <c r="I157" s="532"/>
      <c r="J157" s="292"/>
      <c r="K157" s="506" t="s">
        <v>1325</v>
      </c>
      <c r="L157" s="532"/>
      <c r="M157" s="610"/>
      <c r="N157" s="570"/>
      <c r="O157" s="570"/>
      <c r="P157" s="297"/>
      <c r="Q157" s="611"/>
      <c r="R157" s="570"/>
      <c r="S157" s="570"/>
      <c r="T157" s="570"/>
      <c r="U157" s="570"/>
      <c r="V157" s="570"/>
      <c r="W157" s="570"/>
      <c r="X157" s="570"/>
      <c r="Y157" s="570"/>
      <c r="Z157" s="570"/>
      <c r="AA157" s="570"/>
      <c r="AB157" s="570"/>
      <c r="AC157" s="570"/>
      <c r="AD157" s="570"/>
      <c r="AE157" s="570"/>
      <c r="AF157" s="570"/>
      <c r="AG157" s="570"/>
      <c r="AH157" s="570"/>
      <c r="AI157" s="570"/>
      <c r="AJ157" s="570"/>
      <c r="AK157" s="570"/>
      <c r="AL157" s="570"/>
      <c r="AM157" s="570"/>
      <c r="AN157" s="570"/>
      <c r="AO157" s="588"/>
    </row>
    <row r="158" ht="20.4" x14ac:dyDescent="0.45">
      <c r="B158" s="597"/>
      <c r="C158" s="570"/>
      <c r="D158" s="820"/>
      <c r="E158" s="341" t="s">
        <v>1281</v>
      </c>
      <c r="F158" s="1400">
        <f>G72</f>
        <v>0</v>
      </c>
      <c r="G158" s="507" t="s">
        <v>1238</v>
      </c>
      <c r="H158" s="480" t="s">
        <v>1255</v>
      </c>
      <c r="I158" s="482" t="s">
        <v>1256</v>
      </c>
      <c r="J158" s="480" t="s">
        <v>1279</v>
      </c>
      <c r="K158" s="508" t="s">
        <v>1279</v>
      </c>
      <c r="L158" s="532"/>
      <c r="M158" s="610"/>
      <c r="N158" s="570"/>
      <c r="O158" s="570"/>
      <c r="P158" s="297"/>
      <c r="Q158" s="611"/>
      <c r="R158" s="570"/>
      <c r="S158" s="570"/>
      <c r="T158" s="570"/>
      <c r="U158" s="570"/>
      <c r="V158" s="570"/>
      <c r="W158" s="570"/>
      <c r="X158" s="570"/>
      <c r="Y158" s="570"/>
      <c r="Z158" s="570"/>
      <c r="AA158" s="570"/>
      <c r="AB158" s="570"/>
      <c r="AC158" s="570"/>
      <c r="AD158" s="570"/>
      <c r="AE158" s="570"/>
      <c r="AF158" s="570"/>
      <c r="AG158" s="570"/>
      <c r="AH158" s="570"/>
      <c r="AI158" s="570"/>
      <c r="AJ158" s="570"/>
      <c r="AK158" s="570"/>
      <c r="AL158" s="570"/>
      <c r="AM158" s="570"/>
      <c r="AN158" s="570"/>
      <c r="AO158" s="588"/>
    </row>
    <row r="159" ht="20.4" x14ac:dyDescent="0.3">
      <c r="B159" s="597"/>
      <c r="C159" s="570"/>
      <c r="D159" s="820"/>
      <c r="E159" s="1192" t="s">
        <v>1282</v>
      </c>
      <c r="F159" s="1401" t="e">
        <f>SUM(J161:J170)</f>
        <v>#DIV/0!</v>
      </c>
      <c r="G159" s="1402">
        <f>E84</f>
        <v>0</v>
      </c>
      <c r="H159" s="1403">
        <f>I84</f>
        <v>0</v>
      </c>
      <c r="I159" s="202">
        <f>J84</f>
        <v>0</v>
      </c>
      <c r="J159" s="1404">
        <f>IF(G159&lt;($G$60+1),0,(H159-I159)/$F$158/(1+$G$76)^G159)</f>
        <v>0</v>
      </c>
      <c r="K159" s="1405">
        <f>IF(G159&lt;($G$60+1),0,(H159-I159)/$F$158/(1+$F$164)^G159)</f>
        <v>0</v>
      </c>
      <c r="L159" s="532"/>
      <c r="M159" s="610"/>
      <c r="N159" s="570"/>
      <c r="O159" s="570"/>
      <c r="P159" s="297"/>
      <c r="Q159" s="611"/>
      <c r="R159" s="570"/>
      <c r="S159" s="570"/>
      <c r="T159" s="570"/>
      <c r="U159" s="570"/>
      <c r="V159" s="570"/>
      <c r="W159" s="570"/>
      <c r="X159" s="570"/>
      <c r="Y159" s="570"/>
      <c r="Z159" s="570"/>
      <c r="AA159" s="570"/>
      <c r="AB159" s="570"/>
      <c r="AC159" s="570"/>
      <c r="AD159" s="570"/>
      <c r="AE159" s="570"/>
      <c r="AF159" s="570"/>
      <c r="AG159" s="570"/>
      <c r="AH159" s="570"/>
      <c r="AI159" s="570"/>
      <c r="AJ159" s="570"/>
      <c r="AK159" s="570"/>
      <c r="AL159" s="570"/>
      <c r="AM159" s="570"/>
      <c r="AN159" s="570"/>
      <c r="AO159" s="588"/>
    </row>
    <row r="160" ht="21" customHeight="true" x14ac:dyDescent="0.3">
      <c r="B160" s="597"/>
      <c r="C160" s="570"/>
      <c r="D160" s="820"/>
      <c r="E160" s="474" t="s">
        <v>1249</v>
      </c>
      <c r="F160" s="1406">
        <f>G57</f>
        <v>10</v>
      </c>
      <c r="G160" s="1402">
        <f t="shared" ref="G160:G169" si="31">E85</f>
        <v>1</v>
      </c>
      <c r="H160" s="1403">
        <f t="shared" ref="H160:I170" si="32">I85</f>
        <v>0</v>
      </c>
      <c r="I160" s="202">
        <f t="shared" si="32"/>
        <v>0</v>
      </c>
      <c r="J160" s="1404">
        <f>IF(G160&lt;($G$60+1),0,(H160-I160)/$F$158/(1+$G$76)^G160)</f>
        <v>0</v>
      </c>
      <c r="K160" s="1405">
        <f>IF(G160&lt;($G$60+1),0,(H160-I160)/$F$158/(1+$F$164)^G160)</f>
        <v>0</v>
      </c>
      <c r="L160" s="532"/>
      <c r="M160" s="610"/>
      <c r="N160" s="570"/>
      <c r="O160" s="570"/>
      <c r="P160" s="297"/>
      <c r="Q160" s="611"/>
      <c r="R160" s="570"/>
      <c r="S160" s="570"/>
      <c r="T160" s="570"/>
      <c r="U160" s="570"/>
      <c r="V160" s="570"/>
      <c r="W160" s="570"/>
      <c r="X160" s="570"/>
      <c r="Y160" s="570"/>
      <c r="Z160" s="570"/>
      <c r="AA160" s="570"/>
      <c r="AB160" s="570"/>
      <c r="AC160" s="570"/>
      <c r="AD160" s="570"/>
      <c r="AE160" s="570"/>
      <c r="AF160" s="570"/>
      <c r="AG160" s="570"/>
      <c r="AH160" s="570"/>
      <c r="AI160" s="570"/>
      <c r="AJ160" s="570"/>
      <c r="AK160" s="570"/>
      <c r="AL160" s="570"/>
      <c r="AM160" s="570"/>
      <c r="AN160" s="570"/>
      <c r="AO160" s="588"/>
    </row>
    <row r="161" thickBot="true" x14ac:dyDescent="0.35">
      <c r="B161" s="597"/>
      <c r="C161" s="570"/>
      <c r="D161" s="820"/>
      <c r="E161" s="344" t="s">
        <v>1280</v>
      </c>
      <c r="F161" s="1385" t="e">
        <f>F159/F160</f>
        <v>#DIV/0!</v>
      </c>
      <c r="G161" s="1402">
        <f t="shared" si="31"/>
        <v>2</v>
      </c>
      <c r="H161" s="1403">
        <f t="shared" si="32"/>
        <v>39552324.545503646</v>
      </c>
      <c r="I161" s="202">
        <f t="shared" si="32"/>
        <v>38675345.6936263</v>
      </c>
      <c r="J161" s="1404" t="e">
        <f>IF(G161&lt;($G$60+1),0,(H161-I161)/$F$158/(1+$G$76)^G161)</f>
        <v>#DIV/0!</v>
      </c>
      <c r="K161" s="1297" t="e">
        <f>IF(G161&lt;($G$60+1),0,(H161-I161)/$F$158/(1+$F$164)^G161)</f>
        <v>#DIV/0!</v>
      </c>
      <c r="L161" s="532"/>
      <c r="M161" s="610"/>
      <c r="N161" s="570"/>
      <c r="O161" s="570"/>
      <c r="P161" s="297"/>
      <c r="Q161" s="611"/>
      <c r="R161" s="570"/>
      <c r="S161" s="570"/>
      <c r="T161" s="570"/>
      <c r="U161" s="570"/>
      <c r="V161" s="570"/>
      <c r="W161" s="570"/>
      <c r="X161" s="570"/>
      <c r="Y161" s="570"/>
      <c r="Z161" s="570"/>
      <c r="AA161" s="570"/>
      <c r="AB161" s="570"/>
      <c r="AC161" s="570"/>
      <c r="AD161" s="570"/>
      <c r="AE161" s="570"/>
      <c r="AF161" s="570"/>
      <c r="AG161" s="570"/>
      <c r="AH161" s="570"/>
      <c r="AI161" s="570"/>
      <c r="AJ161" s="570"/>
      <c r="AK161" s="570"/>
      <c r="AL161" s="570"/>
      <c r="AM161" s="570"/>
      <c r="AN161" s="570"/>
      <c r="AO161" s="588"/>
    </row>
    <row r="162" x14ac:dyDescent="0.3">
      <c r="B162" s="597"/>
      <c r="C162" s="570"/>
      <c r="D162" s="820"/>
      <c r="E162" s="625"/>
      <c r="F162" s="611"/>
      <c r="G162" s="1402">
        <f t="shared" si="31"/>
        <v>3</v>
      </c>
      <c r="H162" s="1403">
        <f t="shared" si="32"/>
        <v>39552324.545503646</v>
      </c>
      <c r="I162" s="202">
        <f t="shared" si="32"/>
        <v>38675345.6936263</v>
      </c>
      <c r="J162" s="1404" t="e">
        <f t="shared" ref="J162:J170" si="33">IF(G162&lt;($G$60+1),0,(H162-I162)/$F$158/(1+$G$76)^G162)</f>
        <v>#DIV/0!</v>
      </c>
      <c r="K162" s="1297" t="e">
        <f t="shared" ref="K162:K170" si="34">IF(G162&lt;($G$60+1),0,(H162-I162)/$F$158/(1+$F$164)^G162)</f>
        <v>#DIV/0!</v>
      </c>
      <c r="L162" s="532"/>
      <c r="M162" s="610"/>
      <c r="N162" s="570"/>
      <c r="O162" s="570"/>
      <c r="P162" s="297"/>
      <c r="Q162" s="611"/>
      <c r="R162" s="570"/>
      <c r="S162" s="570"/>
      <c r="T162" s="570"/>
      <c r="U162" s="570"/>
      <c r="V162" s="570"/>
      <c r="W162" s="570"/>
      <c r="X162" s="570"/>
      <c r="Y162" s="570"/>
      <c r="Z162" s="570"/>
      <c r="AA162" s="570"/>
      <c r="AB162" s="570"/>
      <c r="AC162" s="570"/>
      <c r="AD162" s="570"/>
      <c r="AE162" s="570"/>
      <c r="AF162" s="570"/>
      <c r="AG162" s="570"/>
      <c r="AH162" s="570"/>
      <c r="AI162" s="570"/>
      <c r="AJ162" s="570"/>
      <c r="AK162" s="570"/>
      <c r="AL162" s="570"/>
      <c r="AM162" s="570"/>
      <c r="AN162" s="570"/>
      <c r="AO162" s="588"/>
    </row>
    <row r="163" ht="21.6" thickBot="true" x14ac:dyDescent="0.35">
      <c r="B163" s="597"/>
      <c r="C163" s="570"/>
      <c r="D163" s="820"/>
      <c r="E163" s="1921" t="s">
        <v>1327</v>
      </c>
      <c r="F163" s="2009"/>
      <c r="G163" s="1402">
        <f t="shared" si="31"/>
        <v>4</v>
      </c>
      <c r="H163" s="1403">
        <f t="shared" si="32"/>
        <v>39552324.545503646</v>
      </c>
      <c r="I163" s="202">
        <f t="shared" si="32"/>
        <v>38675345.6936263</v>
      </c>
      <c r="J163" s="1404" t="e">
        <f t="shared" si="33"/>
        <v>#DIV/0!</v>
      </c>
      <c r="K163" s="1297" t="e">
        <f t="shared" si="34"/>
        <v>#DIV/0!</v>
      </c>
      <c r="L163" s="532"/>
      <c r="M163" s="610"/>
      <c r="N163" s="570"/>
      <c r="O163" s="570"/>
      <c r="P163" s="297"/>
      <c r="Q163" s="611"/>
      <c r="R163" s="570"/>
      <c r="S163" s="570"/>
      <c r="T163" s="570"/>
      <c r="U163" s="570"/>
      <c r="V163" s="570"/>
      <c r="W163" s="570"/>
      <c r="X163" s="570"/>
      <c r="Y163" s="570"/>
      <c r="Z163" s="570"/>
      <c r="AA163" s="570"/>
      <c r="AB163" s="570"/>
      <c r="AC163" s="570"/>
      <c r="AD163" s="570"/>
      <c r="AE163" s="570"/>
      <c r="AF163" s="570"/>
      <c r="AG163" s="570"/>
      <c r="AH163" s="570"/>
      <c r="AI163" s="570"/>
      <c r="AJ163" s="570"/>
      <c r="AK163" s="570"/>
      <c r="AL163" s="570"/>
      <c r="AM163" s="570"/>
      <c r="AN163" s="570"/>
      <c r="AO163" s="588"/>
    </row>
    <row r="164" thickBot="true" x14ac:dyDescent="0.35">
      <c r="B164" s="597"/>
      <c r="C164" s="570"/>
      <c r="D164" s="820"/>
      <c r="E164" s="476" t="s">
        <v>1326</v>
      </c>
      <c r="F164" s="1407">
        <f>U81</f>
        <v>0</v>
      </c>
      <c r="G164" s="1402">
        <f t="shared" si="31"/>
        <v>5</v>
      </c>
      <c r="H164" s="1403">
        <f t="shared" si="32"/>
        <v>39552324.545503646</v>
      </c>
      <c r="I164" s="202">
        <f t="shared" ref="I164:I170" si="35">J89</f>
        <v>38675345.6936263</v>
      </c>
      <c r="J164" s="1404" t="e">
        <f t="shared" si="33"/>
        <v>#DIV/0!</v>
      </c>
      <c r="K164" s="1297" t="e">
        <f t="shared" si="34"/>
        <v>#DIV/0!</v>
      </c>
      <c r="L164" s="532"/>
      <c r="M164" s="610"/>
      <c r="N164" s="570"/>
      <c r="O164" s="570"/>
      <c r="P164" s="297"/>
      <c r="Q164" s="611"/>
      <c r="R164" s="570"/>
      <c r="S164" s="570"/>
      <c r="T164" s="570"/>
      <c r="U164" s="570"/>
      <c r="V164" s="570"/>
      <c r="W164" s="570"/>
      <c r="X164" s="570"/>
      <c r="Y164" s="570"/>
      <c r="Z164" s="570"/>
      <c r="AA164" s="570"/>
      <c r="AB164" s="570"/>
      <c r="AC164" s="570"/>
      <c r="AD164" s="570"/>
      <c r="AE164" s="570"/>
      <c r="AF164" s="570"/>
      <c r="AG164" s="570"/>
      <c r="AH164" s="570"/>
      <c r="AI164" s="570"/>
      <c r="AJ164" s="570"/>
      <c r="AK164" s="570"/>
      <c r="AL164" s="570"/>
      <c r="AM164" s="570"/>
      <c r="AN164" s="570"/>
      <c r="AO164" s="588"/>
    </row>
    <row r="165" ht="20.4" x14ac:dyDescent="0.3">
      <c r="B165" s="597"/>
      <c r="C165" s="570"/>
      <c r="D165" s="820"/>
      <c r="E165" s="509" t="s">
        <v>1282</v>
      </c>
      <c r="F165" s="1384" t="e">
        <f>SUM(K161:K170)</f>
        <v>#DIV/0!</v>
      </c>
      <c r="G165" s="1402">
        <f t="shared" si="31"/>
        <v>6</v>
      </c>
      <c r="H165" s="1403">
        <f t="shared" si="32"/>
        <v>39552324.545503646</v>
      </c>
      <c r="I165" s="202">
        <f t="shared" si="35"/>
        <v>38675345.6936263</v>
      </c>
      <c r="J165" s="1404" t="e">
        <f t="shared" si="33"/>
        <v>#DIV/0!</v>
      </c>
      <c r="K165" s="1297" t="e">
        <f t="shared" si="34"/>
        <v>#DIV/0!</v>
      </c>
      <c r="L165" s="532"/>
      <c r="M165" s="610"/>
      <c r="N165" s="570"/>
      <c r="O165" s="570"/>
      <c r="P165" s="297"/>
      <c r="Q165" s="611"/>
      <c r="R165" s="570"/>
      <c r="S165" s="570"/>
      <c r="T165" s="570"/>
      <c r="U165" s="570"/>
      <c r="V165" s="570"/>
      <c r="W165" s="570"/>
      <c r="X165" s="570"/>
      <c r="Y165" s="570"/>
      <c r="Z165" s="570"/>
      <c r="AA165" s="570"/>
      <c r="AB165" s="570"/>
      <c r="AC165" s="570"/>
      <c r="AD165" s="570"/>
      <c r="AE165" s="570"/>
      <c r="AF165" s="570"/>
      <c r="AG165" s="570"/>
      <c r="AH165" s="570"/>
      <c r="AI165" s="570"/>
      <c r="AJ165" s="570"/>
      <c r="AK165" s="570"/>
      <c r="AL165" s="570"/>
      <c r="AM165" s="570"/>
      <c r="AN165" s="570"/>
      <c r="AO165" s="588"/>
    </row>
    <row r="166" thickBot="true" x14ac:dyDescent="0.35">
      <c r="B166" s="597"/>
      <c r="C166" s="570"/>
      <c r="D166" s="820"/>
      <c r="E166" s="344" t="s">
        <v>1280</v>
      </c>
      <c r="F166" s="1385" t="e">
        <f>F165/F160</f>
        <v>#DIV/0!</v>
      </c>
      <c r="G166" s="1402">
        <f t="shared" si="31"/>
        <v>7</v>
      </c>
      <c r="H166" s="1403">
        <f t="shared" si="32"/>
        <v>39552324.545503646</v>
      </c>
      <c r="I166" s="202">
        <f t="shared" si="35"/>
        <v>38675345.6936263</v>
      </c>
      <c r="J166" s="1404" t="e">
        <f t="shared" si="33"/>
        <v>#DIV/0!</v>
      </c>
      <c r="K166" s="1297" t="e">
        <f t="shared" si="34"/>
        <v>#DIV/0!</v>
      </c>
      <c r="L166" s="532"/>
      <c r="M166" s="610"/>
      <c r="N166" s="570"/>
      <c r="O166" s="570"/>
      <c r="P166" s="297"/>
      <c r="Q166" s="611"/>
      <c r="R166" s="570"/>
      <c r="S166" s="570"/>
      <c r="T166" s="570"/>
      <c r="U166" s="570"/>
      <c r="V166" s="570"/>
      <c r="W166" s="570"/>
      <c r="X166" s="570"/>
      <c r="Y166" s="570"/>
      <c r="Z166" s="570"/>
      <c r="AA166" s="570"/>
      <c r="AB166" s="570"/>
      <c r="AC166" s="570"/>
      <c r="AD166" s="570"/>
      <c r="AE166" s="570"/>
      <c r="AF166" s="570"/>
      <c r="AG166" s="570"/>
      <c r="AH166" s="570"/>
      <c r="AI166" s="570"/>
      <c r="AJ166" s="570"/>
      <c r="AK166" s="570"/>
      <c r="AL166" s="570"/>
      <c r="AM166" s="570"/>
      <c r="AN166" s="570"/>
      <c r="AO166" s="588"/>
    </row>
    <row r="167" x14ac:dyDescent="0.3">
      <c r="B167" s="597"/>
      <c r="C167" s="570"/>
      <c r="D167" s="820"/>
      <c r="E167" s="625"/>
      <c r="F167" s="611"/>
      <c r="G167" s="1402">
        <f>E92</f>
        <v>8</v>
      </c>
      <c r="H167" s="1403">
        <f t="shared" si="32"/>
        <v>39552324.545503646</v>
      </c>
      <c r="I167" s="202">
        <f t="shared" si="35"/>
        <v>38675345.6936263</v>
      </c>
      <c r="J167" s="1404" t="e">
        <f t="shared" si="33"/>
        <v>#DIV/0!</v>
      </c>
      <c r="K167" s="1297" t="e">
        <f t="shared" si="34"/>
        <v>#DIV/0!</v>
      </c>
      <c r="L167" s="532"/>
      <c r="M167" s="610"/>
      <c r="N167" s="570"/>
      <c r="O167" s="570"/>
      <c r="P167" s="297"/>
      <c r="Q167" s="611"/>
      <c r="R167" s="570"/>
      <c r="S167" s="570"/>
      <c r="T167" s="570"/>
      <c r="U167" s="570"/>
      <c r="V167" s="570"/>
      <c r="W167" s="570"/>
      <c r="X167" s="570"/>
      <c r="Y167" s="570"/>
      <c r="Z167" s="570"/>
      <c r="AA167" s="570"/>
      <c r="AB167" s="570"/>
      <c r="AC167" s="570"/>
      <c r="AD167" s="570"/>
      <c r="AE167" s="570"/>
      <c r="AF167" s="570"/>
      <c r="AG167" s="570"/>
      <c r="AH167" s="570"/>
      <c r="AI167" s="570"/>
      <c r="AJ167" s="570"/>
      <c r="AK167" s="570"/>
      <c r="AL167" s="570"/>
      <c r="AM167" s="570"/>
      <c r="AN167" s="570"/>
      <c r="AO167" s="588"/>
    </row>
    <row r="168" x14ac:dyDescent="0.3">
      <c r="B168" s="597"/>
      <c r="C168" s="570"/>
      <c r="D168" s="820"/>
      <c r="E168" s="625"/>
      <c r="F168" s="611"/>
      <c r="G168" s="1402">
        <f t="shared" si="31"/>
        <v>9</v>
      </c>
      <c r="H168" s="1403">
        <f t="shared" si="32"/>
        <v>39552324.545503646</v>
      </c>
      <c r="I168" s="202">
        <f t="shared" si="35"/>
        <v>38675345.6936263</v>
      </c>
      <c r="J168" s="1404" t="e">
        <f t="shared" si="33"/>
        <v>#DIV/0!</v>
      </c>
      <c r="K168" s="1297" t="e">
        <f t="shared" si="34"/>
        <v>#DIV/0!</v>
      </c>
      <c r="L168" s="532"/>
      <c r="M168" s="610"/>
      <c r="N168" s="570"/>
      <c r="O168" s="570"/>
      <c r="P168" s="297"/>
      <c r="Q168" s="611"/>
      <c r="R168" s="570"/>
      <c r="S168" s="570"/>
      <c r="T168" s="570"/>
      <c r="U168" s="570"/>
      <c r="V168" s="570"/>
      <c r="W168" s="570"/>
      <c r="X168" s="570"/>
      <c r="Y168" s="570"/>
      <c r="Z168" s="570"/>
      <c r="AA168" s="570"/>
      <c r="AB168" s="570"/>
      <c r="AC168" s="570"/>
      <c r="AD168" s="570"/>
      <c r="AE168" s="570"/>
      <c r="AF168" s="570"/>
      <c r="AG168" s="570"/>
      <c r="AH168" s="570"/>
      <c r="AI168" s="570"/>
      <c r="AJ168" s="570"/>
      <c r="AK168" s="570"/>
      <c r="AL168" s="570"/>
      <c r="AM168" s="570"/>
      <c r="AN168" s="570"/>
      <c r="AO168" s="588"/>
    </row>
    <row r="169" x14ac:dyDescent="0.3">
      <c r="B169" s="597"/>
      <c r="C169" s="570"/>
      <c r="D169" s="820"/>
      <c r="E169" s="625"/>
      <c r="F169" s="611"/>
      <c r="G169" s="1402">
        <f t="shared" si="31"/>
        <v>10</v>
      </c>
      <c r="H169" s="1403">
        <f t="shared" si="32"/>
        <v>39552324.545503646</v>
      </c>
      <c r="I169" s="202">
        <f t="shared" si="35"/>
        <v>38675345.6936263</v>
      </c>
      <c r="J169" s="1404" t="e">
        <f t="shared" si="33"/>
        <v>#DIV/0!</v>
      </c>
      <c r="K169" s="1297" t="e">
        <f t="shared" si="34"/>
        <v>#DIV/0!</v>
      </c>
      <c r="L169" s="532"/>
      <c r="M169" s="610"/>
      <c r="N169" s="570"/>
      <c r="O169" s="570"/>
      <c r="P169" s="297"/>
      <c r="Q169" s="611"/>
      <c r="R169" s="570"/>
      <c r="S169" s="570"/>
      <c r="T169" s="570"/>
      <c r="U169" s="570"/>
      <c r="V169" s="570"/>
      <c r="W169" s="570"/>
      <c r="X169" s="570"/>
      <c r="Y169" s="570"/>
      <c r="Z169" s="570"/>
      <c r="AA169" s="570"/>
      <c r="AB169" s="570"/>
      <c r="AC169" s="570"/>
      <c r="AD169" s="570"/>
      <c r="AE169" s="570"/>
      <c r="AF169" s="570"/>
      <c r="AG169" s="570"/>
      <c r="AH169" s="570"/>
      <c r="AI169" s="570"/>
      <c r="AJ169" s="570"/>
      <c r="AK169" s="570"/>
      <c r="AL169" s="570"/>
      <c r="AM169" s="570"/>
      <c r="AN169" s="570"/>
      <c r="AO169" s="588"/>
    </row>
    <row r="170" ht="21.6" thickBot="true" x14ac:dyDescent="0.35">
      <c r="B170" s="597"/>
      <c r="C170" s="570"/>
      <c r="D170" s="820"/>
      <c r="E170" s="625"/>
      <c r="F170" s="611"/>
      <c r="G170" s="1408">
        <f>E95</f>
        <v>11</v>
      </c>
      <c r="H170" s="1409">
        <f t="shared" si="32"/>
        <v>39552324.545503646</v>
      </c>
      <c r="I170" s="263">
        <f t="shared" si="35"/>
        <v>38675345.6936263</v>
      </c>
      <c r="J170" s="1410" t="e">
        <f t="shared" si="33"/>
        <v>#DIV/0!</v>
      </c>
      <c r="K170" s="1304" t="e">
        <f t="shared" si="34"/>
        <v>#DIV/0!</v>
      </c>
      <c r="L170" s="532"/>
      <c r="M170" s="610"/>
      <c r="N170" s="570"/>
      <c r="O170" s="570"/>
      <c r="P170" s="297"/>
      <c r="Q170" s="611"/>
      <c r="R170" s="570"/>
      <c r="S170" s="570"/>
      <c r="T170" s="570"/>
      <c r="U170" s="570"/>
      <c r="V170" s="570"/>
      <c r="W170" s="570"/>
      <c r="X170" s="570"/>
      <c r="Y170" s="570"/>
      <c r="Z170" s="570"/>
      <c r="AA170" s="570"/>
      <c r="AB170" s="570"/>
      <c r="AC170" s="570"/>
      <c r="AD170" s="570"/>
      <c r="AE170" s="570"/>
      <c r="AF170" s="570"/>
      <c r="AG170" s="570"/>
      <c r="AH170" s="570"/>
      <c r="AI170" s="570"/>
      <c r="AJ170" s="570"/>
      <c r="AK170" s="570"/>
      <c r="AL170" s="570"/>
      <c r="AM170" s="570"/>
      <c r="AN170" s="570"/>
      <c r="AO170" s="588"/>
    </row>
    <row r="171" x14ac:dyDescent="0.3">
      <c r="B171" s="597"/>
      <c r="C171" s="570"/>
      <c r="D171" s="820"/>
      <c r="E171" s="625"/>
      <c r="F171" s="611"/>
      <c r="G171" s="570"/>
      <c r="H171" s="626"/>
      <c r="I171" s="532"/>
      <c r="J171" s="287"/>
      <c r="K171" s="287"/>
      <c r="L171" s="532"/>
      <c r="M171" s="610"/>
      <c r="N171" s="570"/>
      <c r="O171" s="570"/>
      <c r="P171" s="297"/>
      <c r="Q171" s="611"/>
      <c r="R171" s="570"/>
      <c r="S171" s="570"/>
      <c r="T171" s="570"/>
      <c r="U171" s="570"/>
      <c r="V171" s="570"/>
      <c r="W171" s="570"/>
      <c r="X171" s="570"/>
      <c r="Y171" s="570"/>
      <c r="Z171" s="570"/>
      <c r="AA171" s="570"/>
      <c r="AB171" s="570"/>
      <c r="AC171" s="570"/>
      <c r="AD171" s="570"/>
      <c r="AE171" s="570"/>
      <c r="AF171" s="570"/>
      <c r="AG171" s="570"/>
      <c r="AH171" s="570"/>
      <c r="AI171" s="570"/>
      <c r="AJ171" s="570"/>
      <c r="AK171" s="570"/>
      <c r="AL171" s="570"/>
      <c r="AM171" s="570"/>
      <c r="AN171" s="570"/>
      <c r="AO171" s="588"/>
    </row>
    <row r="172" x14ac:dyDescent="0.3">
      <c r="B172" s="597"/>
      <c r="C172" s="570"/>
      <c r="D172" s="820"/>
      <c r="E172" s="625"/>
      <c r="F172" s="829"/>
      <c r="G172" s="172"/>
      <c r="H172" s="626"/>
      <c r="I172" s="532"/>
      <c r="J172" s="292"/>
      <c r="K172" s="287"/>
      <c r="L172" s="532"/>
      <c r="M172" s="610"/>
      <c r="N172" s="570"/>
      <c r="O172" s="570"/>
      <c r="P172" s="297"/>
      <c r="Q172" s="611"/>
      <c r="R172" s="570"/>
      <c r="S172" s="570"/>
      <c r="T172" s="570"/>
      <c r="U172" s="570"/>
      <c r="V172" s="570"/>
      <c r="W172" s="570"/>
      <c r="X172" s="570"/>
      <c r="Y172" s="570"/>
      <c r="Z172" s="570"/>
      <c r="AA172" s="570"/>
      <c r="AB172" s="570"/>
      <c r="AC172" s="570"/>
      <c r="AD172" s="570"/>
      <c r="AE172" s="570"/>
      <c r="AF172" s="570"/>
      <c r="AG172" s="570"/>
      <c r="AH172" s="570"/>
      <c r="AI172" s="570"/>
      <c r="AJ172" s="570"/>
      <c r="AK172" s="570"/>
      <c r="AL172" s="570"/>
      <c r="AM172" s="570"/>
      <c r="AN172" s="570"/>
      <c r="AO172" s="588"/>
    </row>
    <row r="173" ht="21.6" thickBot="true" x14ac:dyDescent="0.35">
      <c r="B173" s="597"/>
      <c r="C173" s="570"/>
      <c r="D173" s="820"/>
      <c r="E173" s="625"/>
      <c r="F173" s="611"/>
      <c r="G173" s="570"/>
      <c r="H173" s="626"/>
      <c r="I173" s="532"/>
      <c r="J173" s="292"/>
      <c r="K173" s="287"/>
      <c r="L173" s="532"/>
      <c r="M173" s="610"/>
      <c r="N173" s="570"/>
      <c r="O173" s="570"/>
      <c r="P173" s="297"/>
      <c r="Q173" s="611"/>
      <c r="R173" s="570"/>
      <c r="S173" s="570"/>
      <c r="T173" s="570"/>
      <c r="U173" s="570"/>
      <c r="V173" s="570"/>
      <c r="W173" s="570"/>
      <c r="X173" s="570"/>
      <c r="Y173" s="570"/>
      <c r="Z173" s="570"/>
      <c r="AA173" s="570"/>
      <c r="AB173" s="570"/>
      <c r="AC173" s="570"/>
      <c r="AD173" s="570"/>
      <c r="AE173" s="570"/>
      <c r="AF173" s="570"/>
      <c r="AG173" s="570"/>
      <c r="AH173" s="570"/>
      <c r="AI173" s="570"/>
      <c r="AJ173" s="570"/>
      <c r="AK173" s="570"/>
      <c r="AL173" s="570"/>
      <c r="AM173" s="570"/>
      <c r="AN173" s="570"/>
      <c r="AO173" s="588"/>
    </row>
    <row r="174" ht="24" thickBot="true" x14ac:dyDescent="0.35">
      <c r="B174" s="597"/>
      <c r="C174" s="570"/>
      <c r="D174" s="820"/>
      <c r="E174" s="1921" t="s">
        <v>1284</v>
      </c>
      <c r="F174" s="2009"/>
      <c r="G174" s="507" t="s">
        <v>1238</v>
      </c>
      <c r="H174" s="480" t="s">
        <v>1255</v>
      </c>
      <c r="I174" s="510" t="s">
        <v>1285</v>
      </c>
      <c r="J174" s="510" t="s">
        <v>1286</v>
      </c>
      <c r="K174" s="508" t="s">
        <v>1289</v>
      </c>
      <c r="L174" s="532"/>
      <c r="M174" s="610"/>
      <c r="N174" s="570"/>
      <c r="O174" s="570"/>
      <c r="P174" s="297"/>
      <c r="Q174" s="611"/>
      <c r="R174" s="570"/>
      <c r="S174" s="570"/>
      <c r="T174" s="570"/>
      <c r="U174" s="570"/>
      <c r="V174" s="570"/>
      <c r="W174" s="570"/>
      <c r="X174" s="570"/>
      <c r="Y174" s="570"/>
      <c r="Z174" s="570"/>
      <c r="AA174" s="570"/>
      <c r="AB174" s="570"/>
      <c r="AC174" s="570"/>
      <c r="AD174" s="570"/>
      <c r="AE174" s="570"/>
      <c r="AF174" s="570"/>
      <c r="AG174" s="570"/>
      <c r="AH174" s="570"/>
      <c r="AI174" s="570"/>
      <c r="AJ174" s="570"/>
      <c r="AK174" s="570"/>
      <c r="AL174" s="570"/>
      <c r="AM174" s="570"/>
      <c r="AN174" s="570"/>
      <c r="AO174" s="588"/>
    </row>
    <row r="175" ht="25.5" customHeight="true" x14ac:dyDescent="0.3">
      <c r="B175" s="597"/>
      <c r="C175" s="570"/>
      <c r="D175" s="820"/>
      <c r="E175" s="511" t="s">
        <v>1287</v>
      </c>
      <c r="F175" s="1400">
        <f>G70</f>
        <v>0</v>
      </c>
      <c r="G175" s="1402">
        <f>E84</f>
        <v>0</v>
      </c>
      <c r="H175" s="1404">
        <f>I84</f>
        <v>0</v>
      </c>
      <c r="I175" s="202">
        <f>IF(G175&lt;($G$60+1),0,'VII. Economic'!$G$64)</f>
        <v>0</v>
      </c>
      <c r="J175" s="1404">
        <f>IF(G175&lt;($G$60+1),0,'VII. Economic'!$G$62)</f>
        <v>0</v>
      </c>
      <c r="K175" s="1405">
        <f>IF(G175&lt;($G$60+1),0,(H175-I175-J175)/(1+'VII. Economic'!$G$76)^G175)</f>
        <v>0</v>
      </c>
      <c r="L175" s="532"/>
      <c r="M175" s="610"/>
      <c r="N175" s="570"/>
      <c r="O175" s="570"/>
      <c r="P175" s="297"/>
      <c r="Q175" s="611"/>
      <c r="R175" s="570"/>
      <c r="S175" s="570"/>
      <c r="T175" s="570"/>
      <c r="U175" s="570"/>
      <c r="V175" s="570"/>
      <c r="W175" s="570"/>
      <c r="X175" s="570"/>
      <c r="Y175" s="570"/>
      <c r="Z175" s="570"/>
      <c r="AA175" s="570"/>
      <c r="AB175" s="570"/>
      <c r="AC175" s="570"/>
      <c r="AD175" s="570"/>
      <c r="AE175" s="570"/>
      <c r="AF175" s="570"/>
      <c r="AG175" s="570"/>
      <c r="AH175" s="570"/>
      <c r="AI175" s="570"/>
      <c r="AJ175" s="570"/>
      <c r="AK175" s="570"/>
      <c r="AL175" s="570"/>
      <c r="AM175" s="570"/>
      <c r="AN175" s="570"/>
      <c r="AO175" s="588"/>
    </row>
    <row r="176" ht="20.4" x14ac:dyDescent="0.3">
      <c r="B176" s="597"/>
      <c r="C176" s="570"/>
      <c r="D176" s="820"/>
      <c r="E176" s="512" t="s">
        <v>1283</v>
      </c>
      <c r="F176" s="1401">
        <f>F52</f>
        <v>39552324.545503646</v>
      </c>
      <c r="G176" s="1402">
        <f t="shared" ref="G176:G185" si="36">E85</f>
        <v>1</v>
      </c>
      <c r="H176" s="1404">
        <f t="shared" ref="H176:H186" si="37">I85</f>
        <v>0</v>
      </c>
      <c r="I176" s="202">
        <f>IF(G176&lt;($G$60+1),0,'VII. Economic'!$G$64)</f>
        <v>0</v>
      </c>
      <c r="J176" s="1404">
        <f>IF(G176&lt;($G$60+1),0,'VII. Economic'!$G$62)</f>
        <v>0</v>
      </c>
      <c r="K176" s="1405">
        <f>IF(G176&lt;($G$60+1),0,(H176-I176-J176)/(1+'VII. Economic'!$G$76)^G176)</f>
        <v>0</v>
      </c>
      <c r="L176" s="532"/>
      <c r="M176" s="610"/>
      <c r="N176" s="570"/>
      <c r="O176" s="570"/>
      <c r="P176" s="297"/>
      <c r="Q176" s="611"/>
      <c r="R176" s="570"/>
      <c r="S176" s="570"/>
      <c r="T176" s="570"/>
      <c r="U176" s="570"/>
      <c r="V176" s="570"/>
      <c r="W176" s="570"/>
      <c r="X176" s="570"/>
      <c r="Y176" s="570"/>
      <c r="Z176" s="570"/>
      <c r="AA176" s="570"/>
      <c r="AB176" s="570"/>
      <c r="AC176" s="570"/>
      <c r="AD176" s="570"/>
      <c r="AE176" s="570"/>
      <c r="AF176" s="570"/>
      <c r="AG176" s="570"/>
      <c r="AH176" s="570"/>
      <c r="AI176" s="570"/>
      <c r="AJ176" s="570"/>
      <c r="AK176" s="570"/>
      <c r="AL176" s="570"/>
      <c r="AM176" s="570"/>
      <c r="AN176" s="570"/>
      <c r="AO176" s="588"/>
    </row>
    <row r="177" ht="20.4" x14ac:dyDescent="0.3">
      <c r="B177" s="597"/>
      <c r="C177" s="570"/>
      <c r="D177" s="820"/>
      <c r="E177" s="513" t="s">
        <v>1291</v>
      </c>
      <c r="F177" s="1401">
        <f>SUM(K177:K186)</f>
        <v>54971170.368545979</v>
      </c>
      <c r="G177" s="1402">
        <f t="shared" si="36"/>
        <v>2</v>
      </c>
      <c r="H177" s="202">
        <f t="shared" si="37"/>
        <v>39552324.545503646</v>
      </c>
      <c r="I177" s="202">
        <f>IF(G177&lt;($G$60+1),0,'VII. Economic'!$G$64)</f>
        <v>29711389.233842522</v>
      </c>
      <c r="J177" s="1242">
        <f>IF(G177&lt;($G$60+1),0,'VII. Economic'!$G$62)</f>
        <v>0</v>
      </c>
      <c r="K177" s="1297">
        <f>IF(G177&lt;($G$60+1),0,(H177-I177-J177)/(1+'VII. Economic'!$G$76)^G177)</f>
        <v>8133004.3898025807</v>
      </c>
      <c r="L177" s="532"/>
      <c r="M177" s="610"/>
      <c r="N177" s="570"/>
      <c r="O177" s="570"/>
      <c r="P177" s="297"/>
      <c r="Q177" s="611"/>
      <c r="R177" s="570"/>
      <c r="S177" s="570"/>
      <c r="T177" s="570"/>
      <c r="U177" s="570"/>
      <c r="V177" s="570"/>
      <c r="W177" s="570"/>
      <c r="X177" s="570"/>
      <c r="Y177" s="570"/>
      <c r="Z177" s="570"/>
      <c r="AA177" s="570"/>
      <c r="AB177" s="570"/>
      <c r="AC177" s="570"/>
      <c r="AD177" s="570"/>
      <c r="AE177" s="570"/>
      <c r="AF177" s="570"/>
      <c r="AG177" s="570"/>
      <c r="AH177" s="570"/>
      <c r="AI177" s="570"/>
      <c r="AJ177" s="570"/>
      <c r="AK177" s="570"/>
      <c r="AL177" s="570"/>
      <c r="AM177" s="570"/>
      <c r="AN177" s="570"/>
      <c r="AO177" s="588"/>
    </row>
    <row r="178" ht="20.4" x14ac:dyDescent="0.35">
      <c r="B178" s="597"/>
      <c r="C178" s="570"/>
      <c r="D178" s="820"/>
      <c r="E178" s="514" t="s">
        <v>1292</v>
      </c>
      <c r="F178" s="1406">
        <f>G57</f>
        <v>10</v>
      </c>
      <c r="G178" s="1402">
        <f t="shared" si="36"/>
        <v>3</v>
      </c>
      <c r="H178" s="202">
        <f t="shared" si="37"/>
        <v>39552324.545503646</v>
      </c>
      <c r="I178" s="202">
        <f>IF(G178&lt;($G$60+1),0,'VII. Economic'!$G$64)</f>
        <v>29711389.233842522</v>
      </c>
      <c r="J178" s="1242">
        <f>IF(G178&lt;($G$60+1),0,'VII. Economic'!$G$62)</f>
        <v>0</v>
      </c>
      <c r="K178" s="1297">
        <f>IF(G178&lt;($G$60+1),0,(H178-I178-J178)/(1+'VII. Economic'!$G$76)^G178)</f>
        <v>7393640.3543659812</v>
      </c>
      <c r="L178" s="532"/>
      <c r="M178" s="610"/>
      <c r="N178" s="570"/>
      <c r="O178" s="570"/>
      <c r="P178" s="297"/>
      <c r="Q178" s="611"/>
      <c r="R178" s="570"/>
      <c r="S178" s="570"/>
      <c r="T178" s="570"/>
      <c r="U178" s="570"/>
      <c r="V178" s="570"/>
      <c r="W178" s="570"/>
      <c r="X178" s="570"/>
      <c r="Y178" s="570"/>
      <c r="Z178" s="570"/>
      <c r="AA178" s="570"/>
      <c r="AB178" s="570"/>
      <c r="AC178" s="570"/>
      <c r="AD178" s="570"/>
      <c r="AE178" s="570"/>
      <c r="AF178" s="570"/>
      <c r="AG178" s="570"/>
      <c r="AH178" s="570"/>
      <c r="AI178" s="570"/>
      <c r="AJ178" s="570"/>
      <c r="AK178" s="570"/>
      <c r="AL178" s="570"/>
      <c r="AM178" s="570"/>
      <c r="AN178" s="570"/>
      <c r="AO178" s="588"/>
    </row>
    <row r="179" ht="20.4" x14ac:dyDescent="0.3">
      <c r="B179" s="597"/>
      <c r="C179" s="570"/>
      <c r="D179" s="820"/>
      <c r="E179" s="515" t="s">
        <v>1288</v>
      </c>
      <c r="F179" s="1401">
        <f>(F177/F178-F175)/F176</f>
        <v>0.13898341248010204</v>
      </c>
      <c r="G179" s="1402">
        <f t="shared" si="36"/>
        <v>4</v>
      </c>
      <c r="H179" s="202">
        <f t="shared" si="37"/>
        <v>39552324.545503646</v>
      </c>
      <c r="I179" s="202">
        <f>IF(G179&lt;($G$60+1),0,'VII. Economic'!$G$64)</f>
        <v>29711389.233842522</v>
      </c>
      <c r="J179" s="1242">
        <f>IF(G179&lt;($G$60+1),0,'VII. Economic'!$G$62)</f>
        <v>0</v>
      </c>
      <c r="K179" s="1297">
        <f>IF(G179&lt;($G$60+1),0,(H179-I179-J179)/(1+'VII. Economic'!$G$76)^G179)</f>
        <v>6721491.2312418018</v>
      </c>
      <c r="L179" s="532"/>
      <c r="M179" s="610"/>
      <c r="N179" s="570"/>
      <c r="O179" s="570"/>
      <c r="P179" s="297"/>
      <c r="Q179" s="611"/>
      <c r="R179" s="570"/>
      <c r="S179" s="570"/>
      <c r="T179" s="570"/>
      <c r="U179" s="570"/>
      <c r="V179" s="570"/>
      <c r="W179" s="570"/>
      <c r="X179" s="570"/>
      <c r="Y179" s="570"/>
      <c r="Z179" s="570"/>
      <c r="AA179" s="570"/>
      <c r="AB179" s="570"/>
      <c r="AC179" s="570"/>
      <c r="AD179" s="570"/>
      <c r="AE179" s="570"/>
      <c r="AF179" s="570"/>
      <c r="AG179" s="570"/>
      <c r="AH179" s="570"/>
      <c r="AI179" s="570"/>
      <c r="AJ179" s="570"/>
      <c r="AK179" s="570"/>
      <c r="AL179" s="570"/>
      <c r="AM179" s="570"/>
      <c r="AN179" s="570"/>
      <c r="AO179" s="588"/>
    </row>
    <row r="180" ht="20.4" x14ac:dyDescent="0.3">
      <c r="B180" s="597"/>
      <c r="C180" s="570"/>
      <c r="D180" s="820"/>
      <c r="E180" s="515" t="s">
        <v>1293</v>
      </c>
      <c r="F180" s="1406">
        <f>((G65-G64-G62)/(1+$G$76)^(2)-G70)/F52</f>
        <v>0.20562645769266549</v>
      </c>
      <c r="G180" s="1402">
        <f t="shared" si="36"/>
        <v>5</v>
      </c>
      <c r="H180" s="202">
        <f t="shared" si="37"/>
        <v>39552324.545503646</v>
      </c>
      <c r="I180" s="202">
        <f>IF(G180&lt;($G$60+1),0,'VII. Economic'!$G$64)</f>
        <v>29711389.233842522</v>
      </c>
      <c r="J180" s="1242">
        <f>IF(G180&lt;($G$60+1),0,'VII. Economic'!$G$62)</f>
        <v>0</v>
      </c>
      <c r="K180" s="1297">
        <f>IF(G180&lt;($G$60+1),0,(H180-I180-J180)/(1+'VII. Economic'!$G$76)^G180)</f>
        <v>6110446.5738561824</v>
      </c>
      <c r="L180" s="532"/>
      <c r="M180" s="610"/>
      <c r="N180" s="570"/>
      <c r="O180" s="570"/>
      <c r="P180" s="297"/>
      <c r="Q180" s="611"/>
      <c r="R180" s="570"/>
      <c r="S180" s="570"/>
      <c r="T180" s="570"/>
      <c r="U180" s="570"/>
      <c r="V180" s="570"/>
      <c r="W180" s="570"/>
      <c r="X180" s="570"/>
      <c r="Y180" s="570"/>
      <c r="Z180" s="570"/>
      <c r="AA180" s="570"/>
      <c r="AB180" s="570"/>
      <c r="AC180" s="570"/>
      <c r="AD180" s="570"/>
      <c r="AE180" s="570"/>
      <c r="AF180" s="570"/>
      <c r="AG180" s="570"/>
      <c r="AH180" s="570"/>
      <c r="AI180" s="570"/>
      <c r="AJ180" s="570"/>
      <c r="AK180" s="570"/>
      <c r="AL180" s="570"/>
      <c r="AM180" s="570"/>
      <c r="AN180" s="570"/>
      <c r="AO180" s="588"/>
    </row>
    <row r="181" thickBot="true" x14ac:dyDescent="0.35">
      <c r="B181" s="597"/>
      <c r="C181" s="570"/>
      <c r="D181" s="820"/>
      <c r="E181" s="516" t="s">
        <v>1290</v>
      </c>
      <c r="F181" s="1385">
        <f>(G65-G64-G62-F175)/F52</f>
        <v>0.24880801380812528</v>
      </c>
      <c r="G181" s="1402">
        <f t="shared" si="36"/>
        <v>6</v>
      </c>
      <c r="H181" s="202">
        <f t="shared" si="37"/>
        <v>39552324.545503646</v>
      </c>
      <c r="I181" s="202">
        <f>IF(G181&lt;($G$60+1),0,'VII. Economic'!$G$64)</f>
        <v>29711389.233842522</v>
      </c>
      <c r="J181" s="1242">
        <f>IF(G181&lt;($G$60+1),0,'VII. Economic'!$G$62)</f>
        <v>0</v>
      </c>
      <c r="K181" s="1297">
        <f>IF(G181&lt;($G$60+1),0,(H181-I181-J181)/(1+'VII. Economic'!$G$76)^G181)</f>
        <v>5554951.430778347</v>
      </c>
      <c r="L181" s="532"/>
      <c r="M181" s="610"/>
      <c r="N181" s="570"/>
      <c r="O181" s="570"/>
      <c r="P181" s="297"/>
      <c r="Q181" s="611"/>
      <c r="R181" s="570"/>
      <c r="S181" s="570"/>
      <c r="T181" s="570"/>
      <c r="U181" s="570"/>
      <c r="V181" s="570"/>
      <c r="W181" s="570"/>
      <c r="X181" s="570"/>
      <c r="Y181" s="570"/>
      <c r="Z181" s="570"/>
      <c r="AA181" s="570"/>
      <c r="AB181" s="570"/>
      <c r="AC181" s="570"/>
      <c r="AD181" s="570"/>
      <c r="AE181" s="570"/>
      <c r="AF181" s="570"/>
      <c r="AG181" s="570"/>
      <c r="AH181" s="570"/>
      <c r="AI181" s="570"/>
      <c r="AJ181" s="570"/>
      <c r="AK181" s="570"/>
      <c r="AL181" s="570"/>
      <c r="AM181" s="570"/>
      <c r="AN181" s="570"/>
      <c r="AO181" s="588"/>
    </row>
    <row r="182" x14ac:dyDescent="0.3">
      <c r="B182" s="597"/>
      <c r="C182" s="570"/>
      <c r="D182" s="820"/>
      <c r="E182" s="625"/>
      <c r="F182" s="611"/>
      <c r="G182" s="1402">
        <f t="shared" si="36"/>
        <v>7</v>
      </c>
      <c r="H182" s="202">
        <f t="shared" si="37"/>
        <v>39552324.545503646</v>
      </c>
      <c r="I182" s="202">
        <f>IF(G182&lt;($G$60+1),0,'VII. Economic'!$G$64)</f>
        <v>29711389.233842522</v>
      </c>
      <c r="J182" s="1242">
        <f>IF(G182&lt;($G$60+1),0,'VII. Economic'!$G$62)</f>
        <v>0</v>
      </c>
      <c r="K182" s="1297">
        <f>IF(G182&lt;($G$60+1),0,(H182-I182-J182)/(1+'VII. Economic'!$G$76)^G182)</f>
        <v>5049955.8461621329</v>
      </c>
      <c r="L182" s="532"/>
      <c r="M182" s="610"/>
      <c r="N182" s="570"/>
      <c r="O182" s="570"/>
      <c r="P182" s="297"/>
      <c r="Q182" s="611"/>
      <c r="R182" s="570"/>
      <c r="S182" s="570"/>
      <c r="T182" s="570"/>
      <c r="U182" s="570"/>
      <c r="V182" s="570"/>
      <c r="W182" s="570"/>
      <c r="X182" s="570"/>
      <c r="Y182" s="570"/>
      <c r="Z182" s="570"/>
      <c r="AA182" s="570"/>
      <c r="AB182" s="570"/>
      <c r="AC182" s="570"/>
      <c r="AD182" s="570"/>
      <c r="AE182" s="570"/>
      <c r="AF182" s="570"/>
      <c r="AG182" s="570"/>
      <c r="AH182" s="570"/>
      <c r="AI182" s="570"/>
      <c r="AJ182" s="570"/>
      <c r="AK182" s="570"/>
      <c r="AL182" s="570"/>
      <c r="AM182" s="570"/>
      <c r="AN182" s="570"/>
      <c r="AO182" s="588"/>
    </row>
    <row r="183" x14ac:dyDescent="0.3">
      <c r="B183" s="597"/>
      <c r="C183" s="570"/>
      <c r="D183" s="820"/>
      <c r="E183" s="625"/>
      <c r="F183" s="611"/>
      <c r="G183" s="1402">
        <f t="shared" si="36"/>
        <v>8</v>
      </c>
      <c r="H183" s="202">
        <f t="shared" si="37"/>
        <v>39552324.545503646</v>
      </c>
      <c r="I183" s="202">
        <f>IF(G183&lt;($G$60+1),0,'VII. Economic'!$G$64)</f>
        <v>29711389.233842522</v>
      </c>
      <c r="J183" s="1242">
        <f>IF(G183&lt;($G$60+1),0,'VII. Economic'!$G$62)</f>
        <v>0</v>
      </c>
      <c r="K183" s="1297">
        <f>IF(G183&lt;($G$60+1),0,(H183-I183-J183)/(1+'VII. Economic'!$G$76)^G183)</f>
        <v>4590868.9510564851</v>
      </c>
      <c r="L183" s="532"/>
      <c r="M183" s="610"/>
      <c r="N183" s="570"/>
      <c r="O183" s="570"/>
      <c r="P183" s="297"/>
      <c r="Q183" s="611"/>
      <c r="R183" s="570"/>
      <c r="S183" s="570"/>
      <c r="T183" s="570"/>
      <c r="U183" s="570"/>
      <c r="V183" s="570"/>
      <c r="W183" s="570"/>
      <c r="X183" s="570"/>
      <c r="Y183" s="570"/>
      <c r="Z183" s="570"/>
      <c r="AA183" s="570"/>
      <c r="AB183" s="570"/>
      <c r="AC183" s="570"/>
      <c r="AD183" s="570"/>
      <c r="AE183" s="570"/>
      <c r="AF183" s="570"/>
      <c r="AG183" s="570"/>
      <c r="AH183" s="570"/>
      <c r="AI183" s="570"/>
      <c r="AJ183" s="570"/>
      <c r="AK183" s="570"/>
      <c r="AL183" s="570"/>
      <c r="AM183" s="570"/>
      <c r="AN183" s="570"/>
      <c r="AO183" s="588"/>
    </row>
    <row r="184" x14ac:dyDescent="0.3">
      <c r="B184" s="597"/>
      <c r="C184" s="570"/>
      <c r="D184" s="820"/>
      <c r="E184" s="625"/>
      <c r="F184" s="611"/>
      <c r="G184" s="1402">
        <f>E93</f>
        <v>9</v>
      </c>
      <c r="H184" s="202">
        <f t="shared" si="37"/>
        <v>39552324.545503646</v>
      </c>
      <c r="I184" s="202">
        <f>IF(G184&lt;($G$60+1),0,'VII. Economic'!$G$64)</f>
        <v>29711389.233842522</v>
      </c>
      <c r="J184" s="1242">
        <f>IF(G184&lt;($G$60+1),0,'VII. Economic'!$G$62)</f>
        <v>0</v>
      </c>
      <c r="K184" s="1297">
        <f>IF(G184&lt;($G$60+1),0,(H184-I184-J184)/(1+'VII. Economic'!$G$76)^G184)</f>
        <v>4173517.2282331679</v>
      </c>
      <c r="L184" s="532"/>
      <c r="M184" s="610"/>
      <c r="N184" s="570"/>
      <c r="O184" s="570"/>
      <c r="P184" s="297"/>
      <c r="Q184" s="611"/>
      <c r="R184" s="570"/>
      <c r="S184" s="570"/>
      <c r="T184" s="570"/>
      <c r="U184" s="570"/>
      <c r="V184" s="570"/>
      <c r="W184" s="570"/>
      <c r="X184" s="570"/>
      <c r="Y184" s="570"/>
      <c r="Z184" s="570"/>
      <c r="AA184" s="570"/>
      <c r="AB184" s="570"/>
      <c r="AC184" s="570"/>
      <c r="AD184" s="570"/>
      <c r="AE184" s="570"/>
      <c r="AF184" s="570"/>
      <c r="AG184" s="570"/>
      <c r="AH184" s="570"/>
      <c r="AI184" s="570"/>
      <c r="AJ184" s="570"/>
      <c r="AK184" s="570"/>
      <c r="AL184" s="570"/>
      <c r="AM184" s="570"/>
      <c r="AN184" s="570"/>
      <c r="AO184" s="588"/>
    </row>
    <row r="185" x14ac:dyDescent="0.3">
      <c r="B185" s="597"/>
      <c r="C185" s="570"/>
      <c r="D185" s="820"/>
      <c r="E185" s="625"/>
      <c r="F185" s="611"/>
      <c r="G185" s="1402">
        <f t="shared" si="36"/>
        <v>10</v>
      </c>
      <c r="H185" s="202">
        <f t="shared" si="37"/>
        <v>39552324.545503646</v>
      </c>
      <c r="I185" s="202">
        <f>IF(G185&lt;($G$60+1),0,'VII. Economic'!$G$64)</f>
        <v>29711389.233842522</v>
      </c>
      <c r="J185" s="1242">
        <f>IF(G185&lt;($G$60+1),0,'VII. Economic'!$G$62)</f>
        <v>0</v>
      </c>
      <c r="K185" s="1297">
        <f>IF(G185&lt;($G$60+1),0,(H185-I185-J185)/(1+'VII. Economic'!$G$76)^G185)</f>
        <v>3794106.5711210612</v>
      </c>
      <c r="L185" s="532"/>
      <c r="M185" s="610"/>
      <c r="N185" s="570"/>
      <c r="O185" s="570"/>
      <c r="P185" s="297"/>
      <c r="Q185" s="611"/>
      <c r="R185" s="570"/>
      <c r="S185" s="570"/>
      <c r="T185" s="570"/>
      <c r="U185" s="570"/>
      <c r="V185" s="570"/>
      <c r="W185" s="570"/>
      <c r="X185" s="570"/>
      <c r="Y185" s="570"/>
      <c r="Z185" s="570"/>
      <c r="AA185" s="570"/>
      <c r="AB185" s="570"/>
      <c r="AC185" s="570"/>
      <c r="AD185" s="570"/>
      <c r="AE185" s="570"/>
      <c r="AF185" s="570"/>
      <c r="AG185" s="570"/>
      <c r="AH185" s="570"/>
      <c r="AI185" s="570"/>
      <c r="AJ185" s="570"/>
      <c r="AK185" s="570"/>
      <c r="AL185" s="570"/>
      <c r="AM185" s="570"/>
      <c r="AN185" s="570"/>
      <c r="AO185" s="588"/>
    </row>
    <row r="186" ht="21.6" thickBot="true" x14ac:dyDescent="0.35">
      <c r="B186" s="597"/>
      <c r="C186" s="570"/>
      <c r="D186" s="820"/>
      <c r="E186" s="625"/>
      <c r="F186" s="611"/>
      <c r="G186" s="1408">
        <f>E95</f>
        <v>11</v>
      </c>
      <c r="H186" s="263">
        <f t="shared" si="37"/>
        <v>39552324.545503646</v>
      </c>
      <c r="I186" s="263">
        <f>IF(G186&lt;($G$60+1),0,'VII. Economic'!$G$64)</f>
        <v>29711389.233842522</v>
      </c>
      <c r="J186" s="1210">
        <f>IF(G186&lt;($G$60+1),0,'VII. Economic'!$G$62)</f>
        <v>0</v>
      </c>
      <c r="K186" s="1304">
        <f>IF(G186&lt;($G$60+1),0,(H186-I186-J186)/(1+'VII. Economic'!$G$76)^G186)</f>
        <v>3449187.7919282368</v>
      </c>
      <c r="L186" s="532"/>
      <c r="M186" s="610"/>
      <c r="N186" s="570"/>
      <c r="O186" s="570"/>
      <c r="P186" s="297"/>
      <c r="Q186" s="611"/>
      <c r="R186" s="570"/>
      <c r="S186" s="570"/>
      <c r="T186" s="570"/>
      <c r="U186" s="570"/>
      <c r="V186" s="570"/>
      <c r="W186" s="570"/>
      <c r="X186" s="570"/>
      <c r="Y186" s="570"/>
      <c r="Z186" s="570"/>
      <c r="AA186" s="570"/>
      <c r="AB186" s="570"/>
      <c r="AC186" s="570"/>
      <c r="AD186" s="570"/>
      <c r="AE186" s="570"/>
      <c r="AF186" s="570"/>
      <c r="AG186" s="570"/>
      <c r="AH186" s="570"/>
      <c r="AI186" s="570"/>
      <c r="AJ186" s="570"/>
      <c r="AK186" s="570"/>
      <c r="AL186" s="570"/>
      <c r="AM186" s="570"/>
      <c r="AN186" s="570"/>
      <c r="AO186" s="588"/>
    </row>
    <row r="187" x14ac:dyDescent="0.3">
      <c r="B187" s="597"/>
      <c r="C187" s="570"/>
      <c r="D187" s="820"/>
      <c r="E187" s="625"/>
      <c r="F187" s="611"/>
      <c r="G187" s="570"/>
      <c r="H187" s="626"/>
      <c r="I187" s="532"/>
      <c r="J187" s="292"/>
      <c r="K187" s="287"/>
      <c r="L187" s="532"/>
      <c r="M187" s="610"/>
      <c r="N187" s="570"/>
      <c r="O187" s="570"/>
      <c r="P187" s="297"/>
      <c r="Q187" s="611"/>
      <c r="R187" s="570"/>
      <c r="S187" s="570"/>
      <c r="T187" s="570"/>
      <c r="U187" s="570"/>
      <c r="V187" s="570"/>
      <c r="W187" s="570"/>
      <c r="X187" s="570"/>
      <c r="Y187" s="570"/>
      <c r="Z187" s="570"/>
      <c r="AA187" s="570"/>
      <c r="AB187" s="570"/>
      <c r="AC187" s="570"/>
      <c r="AD187" s="570"/>
      <c r="AE187" s="570"/>
      <c r="AF187" s="570"/>
      <c r="AG187" s="570"/>
      <c r="AH187" s="570"/>
      <c r="AI187" s="570"/>
      <c r="AJ187" s="570"/>
      <c r="AK187" s="570"/>
      <c r="AL187" s="570"/>
      <c r="AM187" s="570"/>
      <c r="AN187" s="570"/>
      <c r="AO187" s="588"/>
    </row>
    <row r="188" x14ac:dyDescent="0.3">
      <c r="B188" s="597"/>
      <c r="C188" s="570"/>
      <c r="D188" s="820"/>
      <c r="E188" s="625"/>
      <c r="F188" s="611"/>
      <c r="G188" s="570"/>
      <c r="H188" s="626"/>
      <c r="I188" s="532"/>
      <c r="J188" s="292"/>
      <c r="K188" s="287"/>
      <c r="L188" s="532"/>
      <c r="M188" s="610"/>
      <c r="N188" s="570"/>
      <c r="O188" s="570"/>
      <c r="P188" s="297"/>
      <c r="Q188" s="611"/>
      <c r="R188" s="570"/>
      <c r="S188" s="570"/>
      <c r="T188" s="570"/>
      <c r="U188" s="570"/>
      <c r="V188" s="570"/>
      <c r="W188" s="570"/>
      <c r="X188" s="570"/>
      <c r="Y188" s="570"/>
      <c r="Z188" s="570"/>
      <c r="AA188" s="570"/>
      <c r="AB188" s="570"/>
      <c r="AC188" s="570"/>
      <c r="AD188" s="570"/>
      <c r="AE188" s="570"/>
      <c r="AF188" s="570"/>
      <c r="AG188" s="570"/>
      <c r="AH188" s="570"/>
      <c r="AI188" s="570"/>
      <c r="AJ188" s="570"/>
      <c r="AK188" s="570"/>
      <c r="AL188" s="570"/>
      <c r="AM188" s="570"/>
      <c r="AN188" s="570"/>
      <c r="AO188" s="588"/>
    </row>
    <row r="189" x14ac:dyDescent="0.3">
      <c r="B189" s="597"/>
      <c r="C189" s="570"/>
      <c r="D189" s="820"/>
      <c r="E189" s="625"/>
      <c r="F189" s="611"/>
      <c r="G189" s="570"/>
      <c r="H189" s="626"/>
      <c r="I189" s="532"/>
      <c r="J189" s="292"/>
      <c r="K189" s="287"/>
      <c r="L189" s="532"/>
      <c r="M189" s="610"/>
      <c r="N189" s="570"/>
      <c r="O189" s="570"/>
      <c r="P189" s="297"/>
      <c r="Q189" s="611"/>
      <c r="R189" s="570"/>
      <c r="S189" s="570"/>
      <c r="T189" s="570"/>
      <c r="U189" s="570"/>
      <c r="V189" s="570"/>
      <c r="W189" s="570"/>
      <c r="X189" s="570"/>
      <c r="Y189" s="570"/>
      <c r="Z189" s="570"/>
      <c r="AA189" s="570"/>
      <c r="AB189" s="570"/>
      <c r="AC189" s="570"/>
      <c r="AD189" s="570"/>
      <c r="AE189" s="570"/>
      <c r="AF189" s="570"/>
      <c r="AG189" s="570"/>
      <c r="AH189" s="570"/>
      <c r="AI189" s="570"/>
      <c r="AJ189" s="570"/>
      <c r="AK189" s="570"/>
      <c r="AL189" s="570"/>
      <c r="AM189" s="570"/>
      <c r="AN189" s="570"/>
      <c r="AO189" s="588"/>
    </row>
    <row r="190" x14ac:dyDescent="0.3">
      <c r="B190" s="597"/>
      <c r="C190" s="570"/>
      <c r="D190" s="820"/>
      <c r="E190" s="625"/>
      <c r="F190" s="611"/>
      <c r="G190" s="570"/>
      <c r="H190" s="626"/>
      <c r="I190" s="532"/>
      <c r="J190" s="292"/>
      <c r="K190" s="287"/>
      <c r="L190" s="532"/>
      <c r="M190" s="610"/>
      <c r="N190" s="570"/>
      <c r="O190" s="570"/>
      <c r="P190" s="297"/>
      <c r="Q190" s="611"/>
      <c r="R190" s="570"/>
      <c r="S190" s="570"/>
      <c r="T190" s="570"/>
      <c r="U190" s="570"/>
      <c r="V190" s="570"/>
      <c r="W190" s="570"/>
      <c r="X190" s="570"/>
      <c r="Y190" s="570"/>
      <c r="Z190" s="570"/>
      <c r="AA190" s="570"/>
      <c r="AB190" s="570"/>
      <c r="AC190" s="570"/>
      <c r="AD190" s="570"/>
      <c r="AE190" s="570"/>
      <c r="AF190" s="570"/>
      <c r="AG190" s="570"/>
      <c r="AH190" s="570"/>
      <c r="AI190" s="570"/>
      <c r="AJ190" s="570"/>
      <c r="AK190" s="570"/>
      <c r="AL190" s="570"/>
      <c r="AM190" s="570"/>
      <c r="AN190" s="570"/>
      <c r="AO190" s="588"/>
    </row>
    <row r="191" ht="21.6" thickBot="true" x14ac:dyDescent="0.35">
      <c r="B191" s="597"/>
      <c r="C191" s="570"/>
      <c r="D191" s="820"/>
      <c r="E191" s="1921" t="s">
        <v>1295</v>
      </c>
      <c r="F191" s="1921"/>
      <c r="G191" s="570"/>
      <c r="H191" s="626"/>
      <c r="I191" s="532"/>
      <c r="J191" s="292"/>
      <c r="K191" s="287"/>
      <c r="L191" s="532"/>
      <c r="M191" s="610"/>
      <c r="N191" s="570"/>
      <c r="O191" s="570"/>
      <c r="P191" s="297"/>
      <c r="Q191" s="611"/>
      <c r="R191" s="570"/>
      <c r="S191" s="570"/>
      <c r="T191" s="570"/>
      <c r="U191" s="570"/>
      <c r="V191" s="570"/>
      <c r="W191" s="570"/>
      <c r="X191" s="570"/>
      <c r="Y191" s="570"/>
      <c r="Z191" s="570"/>
      <c r="AA191" s="570"/>
      <c r="AB191" s="570"/>
      <c r="AC191" s="570"/>
      <c r="AD191" s="570"/>
      <c r="AE191" s="570"/>
      <c r="AF191" s="570"/>
      <c r="AG191" s="570"/>
      <c r="AH191" s="570"/>
      <c r="AI191" s="570"/>
      <c r="AJ191" s="570"/>
      <c r="AK191" s="570"/>
      <c r="AL191" s="570"/>
      <c r="AM191" s="570"/>
      <c r="AN191" s="570"/>
      <c r="AO191" s="588"/>
    </row>
    <row r="192" ht="20.4" x14ac:dyDescent="0.3">
      <c r="B192" s="597"/>
      <c r="C192" s="570"/>
      <c r="D192" s="820"/>
      <c r="E192" s="341" t="s">
        <v>1246</v>
      </c>
      <c r="F192" s="1376">
        <f>G76</f>
        <v>0.1</v>
      </c>
      <c r="G192" s="570"/>
      <c r="H192" s="626"/>
      <c r="I192" s="532"/>
      <c r="J192" s="292"/>
      <c r="K192" s="287"/>
      <c r="L192" s="532"/>
      <c r="M192" s="610"/>
      <c r="N192" s="570"/>
      <c r="O192" s="570"/>
      <c r="P192" s="297"/>
      <c r="Q192" s="611"/>
      <c r="R192" s="570"/>
      <c r="S192" s="570"/>
      <c r="T192" s="570"/>
      <c r="U192" s="570"/>
      <c r="V192" s="570"/>
      <c r="W192" s="570"/>
      <c r="X192" s="570"/>
      <c r="Y192" s="570"/>
      <c r="Z192" s="570"/>
      <c r="AA192" s="570"/>
      <c r="AB192" s="570"/>
      <c r="AC192" s="570"/>
      <c r="AD192" s="570"/>
      <c r="AE192" s="570"/>
      <c r="AF192" s="570"/>
      <c r="AG192" s="570"/>
      <c r="AH192" s="570"/>
      <c r="AI192" s="570"/>
      <c r="AJ192" s="570"/>
      <c r="AK192" s="570"/>
      <c r="AL192" s="570"/>
      <c r="AM192" s="570"/>
      <c r="AN192" s="570"/>
      <c r="AO192" s="588"/>
    </row>
    <row r="193" ht="20.4" x14ac:dyDescent="0.3">
      <c r="B193" s="597"/>
      <c r="C193" s="570"/>
      <c r="D193" s="820"/>
      <c r="E193" s="1170" t="s">
        <v>1262</v>
      </c>
      <c r="F193" s="1377">
        <f>G56</f>
        <v>0</v>
      </c>
      <c r="G193" s="570"/>
      <c r="H193" s="626"/>
      <c r="I193" s="532"/>
      <c r="J193" s="292"/>
      <c r="K193" s="287"/>
      <c r="L193" s="532"/>
      <c r="M193" s="610"/>
      <c r="N193" s="570"/>
      <c r="O193" s="570"/>
      <c r="P193" s="297"/>
      <c r="Q193" s="611"/>
      <c r="R193" s="570"/>
      <c r="S193" s="570"/>
      <c r="T193" s="570"/>
      <c r="U193" s="570"/>
      <c r="V193" s="570"/>
      <c r="W193" s="570"/>
      <c r="X193" s="570"/>
      <c r="Y193" s="570"/>
      <c r="Z193" s="570"/>
      <c r="AA193" s="570"/>
      <c r="AB193" s="570"/>
      <c r="AC193" s="570"/>
      <c r="AD193" s="570"/>
      <c r="AE193" s="570"/>
      <c r="AF193" s="570"/>
      <c r="AG193" s="570"/>
      <c r="AH193" s="570"/>
      <c r="AI193" s="570"/>
      <c r="AJ193" s="570"/>
      <c r="AK193" s="570"/>
      <c r="AL193" s="570"/>
      <c r="AM193" s="570"/>
      <c r="AN193" s="570"/>
      <c r="AO193" s="588"/>
    </row>
    <row r="194" ht="20.4" x14ac:dyDescent="0.3">
      <c r="B194" s="597"/>
      <c r="C194" s="570"/>
      <c r="D194" s="820"/>
      <c r="E194" s="1170" t="s">
        <v>1294</v>
      </c>
      <c r="F194" s="1378">
        <f>G71</f>
        <v>0</v>
      </c>
      <c r="G194" s="570"/>
      <c r="H194" s="626"/>
      <c r="I194" s="532"/>
      <c r="J194" s="292"/>
      <c r="K194" s="287"/>
      <c r="L194" s="532"/>
      <c r="M194" s="610"/>
      <c r="N194" s="570"/>
      <c r="O194" s="570"/>
      <c r="P194" s="297"/>
      <c r="Q194" s="611"/>
      <c r="R194" s="570"/>
      <c r="S194" s="570"/>
      <c r="T194" s="570"/>
      <c r="U194" s="570"/>
      <c r="V194" s="570"/>
      <c r="W194" s="570"/>
      <c r="X194" s="570"/>
      <c r="Y194" s="570"/>
      <c r="Z194" s="570"/>
      <c r="AA194" s="570"/>
      <c r="AB194" s="570"/>
      <c r="AC194" s="570"/>
      <c r="AD194" s="570"/>
      <c r="AE194" s="570"/>
      <c r="AF194" s="570"/>
      <c r="AG194" s="570"/>
      <c r="AH194" s="570"/>
      <c r="AI194" s="570"/>
      <c r="AJ194" s="570"/>
      <c r="AK194" s="570"/>
      <c r="AL194" s="570"/>
      <c r="AM194" s="570"/>
      <c r="AN194" s="570"/>
      <c r="AO194" s="588"/>
    </row>
    <row r="195" ht="31.8" thickBot="true" x14ac:dyDescent="0.35">
      <c r="B195" s="597"/>
      <c r="C195" s="570"/>
      <c r="D195" s="820"/>
      <c r="E195" s="497" t="s">
        <v>1265</v>
      </c>
      <c r="F195" s="1379">
        <f>-(F193+F194)</f>
        <v>0</v>
      </c>
      <c r="G195" s="570"/>
      <c r="H195" s="626"/>
      <c r="I195" s="532"/>
      <c r="J195" s="292"/>
      <c r="K195" s="287"/>
      <c r="L195" s="532"/>
      <c r="M195" s="610"/>
      <c r="N195" s="570"/>
      <c r="O195" s="570"/>
      <c r="P195" s="297"/>
      <c r="Q195" s="611"/>
      <c r="R195" s="570"/>
      <c r="S195" s="570"/>
      <c r="T195" s="570"/>
      <c r="U195" s="570"/>
      <c r="V195" s="570"/>
      <c r="W195" s="570"/>
      <c r="X195" s="570"/>
      <c r="Y195" s="570"/>
      <c r="Z195" s="570"/>
      <c r="AA195" s="570"/>
      <c r="AB195" s="570"/>
      <c r="AC195" s="570"/>
      <c r="AD195" s="570"/>
      <c r="AE195" s="570"/>
      <c r="AF195" s="570"/>
      <c r="AG195" s="570"/>
      <c r="AH195" s="570"/>
      <c r="AI195" s="570"/>
      <c r="AJ195" s="570"/>
      <c r="AK195" s="570"/>
      <c r="AL195" s="570"/>
      <c r="AM195" s="570"/>
      <c r="AN195" s="570"/>
      <c r="AO195" s="588"/>
    </row>
    <row r="196" x14ac:dyDescent="0.3">
      <c r="B196" s="597"/>
      <c r="C196" s="570"/>
      <c r="D196" s="820"/>
      <c r="E196" s="625"/>
      <c r="F196" s="611"/>
      <c r="G196" s="570"/>
      <c r="H196" s="626"/>
      <c r="I196" s="532"/>
      <c r="J196" s="292"/>
      <c r="K196" s="287"/>
      <c r="L196" s="532"/>
      <c r="M196" s="610"/>
      <c r="N196" s="570"/>
      <c r="O196" s="570"/>
      <c r="P196" s="297"/>
      <c r="Q196" s="611"/>
      <c r="R196" s="570"/>
      <c r="S196" s="570"/>
      <c r="T196" s="570"/>
      <c r="U196" s="570"/>
      <c r="V196" s="570"/>
      <c r="W196" s="570"/>
      <c r="X196" s="570"/>
      <c r="Y196" s="570"/>
      <c r="Z196" s="570"/>
      <c r="AA196" s="570"/>
      <c r="AB196" s="570"/>
      <c r="AC196" s="570"/>
      <c r="AD196" s="570"/>
      <c r="AE196" s="570"/>
      <c r="AF196" s="570"/>
      <c r="AG196" s="570"/>
      <c r="AH196" s="570"/>
      <c r="AI196" s="570"/>
      <c r="AJ196" s="570"/>
      <c r="AK196" s="570"/>
      <c r="AL196" s="570"/>
      <c r="AM196" s="570"/>
      <c r="AN196" s="570"/>
      <c r="AO196" s="588"/>
    </row>
    <row r="197" ht="21.6" thickBot="true" x14ac:dyDescent="0.35">
      <c r="B197" s="597"/>
      <c r="C197" s="570"/>
      <c r="D197" s="820"/>
      <c r="E197" s="625"/>
      <c r="F197" s="611"/>
      <c r="G197" s="570"/>
      <c r="H197" s="626"/>
      <c r="I197" s="532"/>
      <c r="J197" s="292"/>
      <c r="K197" s="287"/>
      <c r="L197" s="532"/>
      <c r="M197" s="610"/>
      <c r="N197" s="570"/>
      <c r="O197" s="570"/>
      <c r="P197" s="297"/>
      <c r="Q197" s="611"/>
      <c r="R197" s="570"/>
      <c r="S197" s="570"/>
      <c r="T197" s="570"/>
      <c r="U197" s="570"/>
      <c r="V197" s="570"/>
      <c r="W197" s="570"/>
      <c r="X197" s="570"/>
      <c r="Y197" s="570"/>
      <c r="Z197" s="570"/>
      <c r="AA197" s="570"/>
      <c r="AB197" s="570"/>
      <c r="AC197" s="570"/>
      <c r="AD197" s="570"/>
      <c r="AE197" s="570"/>
      <c r="AF197" s="570"/>
      <c r="AG197" s="570"/>
      <c r="AH197" s="570"/>
      <c r="AI197" s="570"/>
      <c r="AJ197" s="570"/>
      <c r="AK197" s="570"/>
      <c r="AL197" s="570"/>
      <c r="AM197" s="570"/>
      <c r="AN197" s="570"/>
      <c r="AO197" s="588"/>
    </row>
    <row r="198" x14ac:dyDescent="0.3">
      <c r="B198" s="597"/>
      <c r="C198" s="570"/>
      <c r="D198" s="820"/>
      <c r="E198" s="625"/>
      <c r="F198" s="611"/>
      <c r="G198" s="570"/>
      <c r="H198" s="1380" t="str">
        <f>M83</f>
        <v>Cumulative Cash Flow</v>
      </c>
      <c r="I198" s="1381" t="str">
        <f>E83</f>
        <v>End of year, m</v>
      </c>
      <c r="J198" s="292"/>
      <c r="K198" s="287"/>
      <c r="L198" s="532"/>
      <c r="M198" s="610"/>
      <c r="N198" s="570"/>
      <c r="O198" s="570"/>
      <c r="P198" s="297"/>
      <c r="Q198" s="611"/>
      <c r="R198" s="570"/>
      <c r="S198" s="570"/>
      <c r="T198" s="570"/>
      <c r="U198" s="570"/>
      <c r="V198" s="570"/>
      <c r="W198" s="570"/>
      <c r="X198" s="570"/>
      <c r="Y198" s="570"/>
      <c r="Z198" s="570"/>
      <c r="AA198" s="570"/>
      <c r="AB198" s="570"/>
      <c r="AC198" s="570"/>
      <c r="AD198" s="570"/>
      <c r="AE198" s="570"/>
      <c r="AF198" s="570"/>
      <c r="AG198" s="570"/>
      <c r="AH198" s="570"/>
      <c r="AI198" s="570"/>
      <c r="AJ198" s="570"/>
      <c r="AK198" s="570"/>
      <c r="AL198" s="570"/>
      <c r="AM198" s="570"/>
      <c r="AN198" s="570"/>
      <c r="AO198" s="588"/>
    </row>
    <row r="199" ht="21.6" thickBot="true" x14ac:dyDescent="0.35">
      <c r="B199" s="597"/>
      <c r="C199" s="570"/>
      <c r="D199" s="820"/>
      <c r="E199" s="1921" t="s">
        <v>1269</v>
      </c>
      <c r="F199" s="1921"/>
      <c r="G199" s="570"/>
      <c r="H199" s="1382">
        <f>M85</f>
        <v>0</v>
      </c>
      <c r="I199" s="1383">
        <f>E85</f>
        <v>1</v>
      </c>
      <c r="J199" s="292"/>
      <c r="K199" s="287"/>
      <c r="L199" s="532"/>
      <c r="M199" s="610"/>
      <c r="N199" s="570"/>
      <c r="O199" s="570"/>
      <c r="P199" s="297"/>
      <c r="Q199" s="611"/>
      <c r="R199" s="570"/>
      <c r="S199" s="570"/>
      <c r="T199" s="570"/>
      <c r="U199" s="570"/>
      <c r="V199" s="570"/>
      <c r="W199" s="570"/>
      <c r="X199" s="570"/>
      <c r="Y199" s="570"/>
      <c r="Z199" s="570"/>
      <c r="AA199" s="570"/>
      <c r="AB199" s="570"/>
      <c r="AC199" s="570"/>
      <c r="AD199" s="570"/>
      <c r="AE199" s="570"/>
      <c r="AF199" s="570"/>
      <c r="AG199" s="570"/>
      <c r="AH199" s="570"/>
      <c r="AI199" s="570"/>
      <c r="AJ199" s="570"/>
      <c r="AK199" s="570"/>
      <c r="AL199" s="570"/>
      <c r="AM199" s="570"/>
      <c r="AN199" s="570"/>
      <c r="AO199" s="588"/>
    </row>
    <row r="200" ht="20.4" x14ac:dyDescent="0.3">
      <c r="B200" s="597"/>
      <c r="C200" s="570"/>
      <c r="D200" s="820"/>
      <c r="E200" s="341" t="s">
        <v>1267</v>
      </c>
      <c r="F200" s="1178">
        <f>VLOOKUP(F195,H199:I209,1,TRUE)</f>
        <v>0</v>
      </c>
      <c r="G200" s="1384">
        <f>INDEX(H199:H209,F201+1)</f>
        <v>613885.19631414255</v>
      </c>
      <c r="H200" s="1382">
        <f t="shared" ref="H200:H209" si="38">M86</f>
        <v>613885.19631414255</v>
      </c>
      <c r="I200" s="1383">
        <f t="shared" ref="I200:I209" si="39">E86</f>
        <v>2</v>
      </c>
      <c r="J200" s="292"/>
      <c r="K200" s="287"/>
      <c r="L200" s="532"/>
      <c r="M200" s="610"/>
      <c r="N200" s="570"/>
      <c r="O200" s="570"/>
      <c r="P200" s="297"/>
      <c r="Q200" s="611"/>
      <c r="R200" s="570"/>
      <c r="S200" s="570"/>
      <c r="T200" s="570"/>
      <c r="U200" s="570"/>
      <c r="V200" s="570"/>
      <c r="W200" s="570"/>
      <c r="X200" s="570"/>
      <c r="Y200" s="570"/>
      <c r="Z200" s="570"/>
      <c r="AA200" s="570"/>
      <c r="AB200" s="570"/>
      <c r="AC200" s="570"/>
      <c r="AD200" s="570"/>
      <c r="AE200" s="570"/>
      <c r="AF200" s="570"/>
      <c r="AG200" s="570"/>
      <c r="AH200" s="570"/>
      <c r="AI200" s="570"/>
      <c r="AJ200" s="570"/>
      <c r="AK200" s="570"/>
      <c r="AL200" s="570"/>
      <c r="AM200" s="570"/>
      <c r="AN200" s="570"/>
      <c r="AO200" s="588"/>
    </row>
    <row r="201" thickBot="true" x14ac:dyDescent="0.35">
      <c r="B201" s="597"/>
      <c r="C201" s="570"/>
      <c r="D201" s="820"/>
      <c r="E201" s="344" t="s">
        <v>1266</v>
      </c>
      <c r="F201" s="1225">
        <f>VLOOKUP(F195,H199:I209,2,TRUE)</f>
        <v>1</v>
      </c>
      <c r="G201" s="1385">
        <f>F201+1</f>
        <v>2</v>
      </c>
      <c r="H201" s="1382">
        <f t="shared" si="38"/>
        <v>1227770.3926282851</v>
      </c>
      <c r="I201" s="1383">
        <f t="shared" si="39"/>
        <v>3</v>
      </c>
      <c r="J201" s="292"/>
      <c r="K201" s="287"/>
      <c r="L201" s="532"/>
      <c r="M201" s="610"/>
      <c r="N201" s="570"/>
      <c r="O201" s="570"/>
      <c r="P201" s="297"/>
      <c r="Q201" s="611"/>
      <c r="R201" s="570"/>
      <c r="S201" s="570"/>
      <c r="T201" s="570"/>
      <c r="U201" s="570"/>
      <c r="V201" s="570"/>
      <c r="W201" s="570"/>
      <c r="X201" s="570"/>
      <c r="Y201" s="570"/>
      <c r="Z201" s="570"/>
      <c r="AA201" s="570"/>
      <c r="AB201" s="570"/>
      <c r="AC201" s="570"/>
      <c r="AD201" s="570"/>
      <c r="AE201" s="570"/>
      <c r="AF201" s="570"/>
      <c r="AG201" s="570"/>
      <c r="AH201" s="570"/>
      <c r="AI201" s="570"/>
      <c r="AJ201" s="570"/>
      <c r="AK201" s="570"/>
      <c r="AL201" s="570"/>
      <c r="AM201" s="570"/>
      <c r="AN201" s="570"/>
      <c r="AO201" s="588"/>
    </row>
    <row r="202" ht="21.6" thickBot="true" x14ac:dyDescent="0.35">
      <c r="B202" s="597"/>
      <c r="C202" s="570"/>
      <c r="D202" s="820"/>
      <c r="E202" s="625"/>
      <c r="F202" s="611"/>
      <c r="G202" s="570"/>
      <c r="H202" s="1382">
        <f t="shared" si="38"/>
        <v>1841655.5889424277</v>
      </c>
      <c r="I202" s="1383">
        <f t="shared" si="39"/>
        <v>4</v>
      </c>
      <c r="J202" s="292"/>
      <c r="K202" s="287"/>
      <c r="L202" s="532"/>
      <c r="M202" s="610"/>
      <c r="N202" s="570"/>
      <c r="O202" s="570"/>
      <c r="P202" s="297"/>
      <c r="Q202" s="611"/>
      <c r="R202" s="570"/>
      <c r="S202" s="570"/>
      <c r="T202" s="570"/>
      <c r="U202" s="570"/>
      <c r="V202" s="570"/>
      <c r="W202" s="570"/>
      <c r="X202" s="570"/>
      <c r="Y202" s="570"/>
      <c r="Z202" s="570"/>
      <c r="AA202" s="570"/>
      <c r="AB202" s="570"/>
      <c r="AC202" s="570"/>
      <c r="AD202" s="570"/>
      <c r="AE202" s="570"/>
      <c r="AF202" s="570"/>
      <c r="AG202" s="570"/>
      <c r="AH202" s="570"/>
      <c r="AI202" s="570"/>
      <c r="AJ202" s="570"/>
      <c r="AK202" s="570"/>
      <c r="AL202" s="570"/>
      <c r="AM202" s="570"/>
      <c r="AN202" s="570"/>
      <c r="AO202" s="588"/>
    </row>
    <row r="203" thickBot="true" x14ac:dyDescent="0.35">
      <c r="B203" s="597"/>
      <c r="C203" s="570"/>
      <c r="D203" s="820"/>
      <c r="E203" s="498" t="s">
        <v>1268</v>
      </c>
      <c r="F203" s="1386">
        <f>ROUND(TREND(F201:G201,F200:G200,F195),2)</f>
        <v>1</v>
      </c>
      <c r="G203" s="570"/>
      <c r="H203" s="1382">
        <f t="shared" si="38"/>
        <v>2455540.7852565702</v>
      </c>
      <c r="I203" s="1383">
        <f t="shared" si="39"/>
        <v>5</v>
      </c>
      <c r="J203" s="292"/>
      <c r="K203" s="287"/>
      <c r="L203" s="532"/>
      <c r="M203" s="610"/>
      <c r="N203" s="570"/>
      <c r="O203" s="570"/>
      <c r="P203" s="297"/>
      <c r="Q203" s="611"/>
      <c r="R203" s="570"/>
      <c r="S203" s="570"/>
      <c r="T203" s="570"/>
      <c r="U203" s="570"/>
      <c r="V203" s="570"/>
      <c r="W203" s="570"/>
      <c r="X203" s="570"/>
      <c r="Y203" s="570"/>
      <c r="Z203" s="570"/>
      <c r="AA203" s="570"/>
      <c r="AB203" s="570"/>
      <c r="AC203" s="570"/>
      <c r="AD203" s="570"/>
      <c r="AE203" s="570"/>
      <c r="AF203" s="570"/>
      <c r="AG203" s="570"/>
      <c r="AH203" s="570"/>
      <c r="AI203" s="570"/>
      <c r="AJ203" s="570"/>
      <c r="AK203" s="570"/>
      <c r="AL203" s="570"/>
      <c r="AM203" s="570"/>
      <c r="AN203" s="570"/>
      <c r="AO203" s="588"/>
    </row>
    <row r="204" x14ac:dyDescent="0.3">
      <c r="B204" s="597"/>
      <c r="C204" s="570"/>
      <c r="D204" s="820"/>
      <c r="E204" s="625"/>
      <c r="F204" s="611"/>
      <c r="G204" s="570"/>
      <c r="H204" s="1382">
        <f t="shared" si="38"/>
        <v>3069425.9815707128</v>
      </c>
      <c r="I204" s="1383">
        <f t="shared" si="39"/>
        <v>6</v>
      </c>
      <c r="J204" s="292"/>
      <c r="K204" s="287"/>
      <c r="L204" s="532"/>
      <c r="M204" s="610"/>
      <c r="N204" s="570"/>
      <c r="O204" s="570"/>
      <c r="P204" s="297"/>
      <c r="Q204" s="611"/>
      <c r="R204" s="570"/>
      <c r="S204" s="570"/>
      <c r="T204" s="570"/>
      <c r="U204" s="570"/>
      <c r="V204" s="570"/>
      <c r="W204" s="570"/>
      <c r="X204" s="570"/>
      <c r="Y204" s="570"/>
      <c r="Z204" s="570"/>
      <c r="AA204" s="570"/>
      <c r="AB204" s="570"/>
      <c r="AC204" s="570"/>
      <c r="AD204" s="570"/>
      <c r="AE204" s="570"/>
      <c r="AF204" s="570"/>
      <c r="AG204" s="570"/>
      <c r="AH204" s="570"/>
      <c r="AI204" s="570"/>
      <c r="AJ204" s="570"/>
      <c r="AK204" s="570"/>
      <c r="AL204" s="570"/>
      <c r="AM204" s="570"/>
      <c r="AN204" s="570"/>
      <c r="AO204" s="588"/>
    </row>
    <row r="205" x14ac:dyDescent="0.3">
      <c r="B205" s="597"/>
      <c r="C205" s="570"/>
      <c r="D205" s="820"/>
      <c r="E205" s="625"/>
      <c r="F205" s="611"/>
      <c r="G205" s="570"/>
      <c r="H205" s="1382">
        <f t="shared" si="38"/>
        <v>3683311.1778848553</v>
      </c>
      <c r="I205" s="1383">
        <f t="shared" si="39"/>
        <v>7</v>
      </c>
      <c r="J205" s="292"/>
      <c r="K205" s="287"/>
      <c r="L205" s="532"/>
      <c r="M205" s="610"/>
      <c r="N205" s="570"/>
      <c r="O205" s="570"/>
      <c r="P205" s="297"/>
      <c r="Q205" s="611"/>
      <c r="R205" s="570"/>
      <c r="S205" s="570"/>
      <c r="T205" s="570"/>
      <c r="U205" s="570"/>
      <c r="V205" s="570"/>
      <c r="W205" s="570"/>
      <c r="X205" s="570"/>
      <c r="Y205" s="570"/>
      <c r="Z205" s="570"/>
      <c r="AA205" s="570"/>
      <c r="AB205" s="570"/>
      <c r="AC205" s="570"/>
      <c r="AD205" s="570"/>
      <c r="AE205" s="570"/>
      <c r="AF205" s="570"/>
      <c r="AG205" s="570"/>
      <c r="AH205" s="570"/>
      <c r="AI205" s="570"/>
      <c r="AJ205" s="570"/>
      <c r="AK205" s="570"/>
      <c r="AL205" s="570"/>
      <c r="AM205" s="570"/>
      <c r="AN205" s="570"/>
      <c r="AO205" s="588"/>
    </row>
    <row r="206" x14ac:dyDescent="0.3">
      <c r="B206" s="597"/>
      <c r="C206" s="570"/>
      <c r="D206" s="820"/>
      <c r="E206" s="625"/>
      <c r="F206" s="611"/>
      <c r="G206" s="570"/>
      <c r="H206" s="1382">
        <f t="shared" si="38"/>
        <v>4297196.3741989974</v>
      </c>
      <c r="I206" s="1383">
        <f t="shared" si="39"/>
        <v>8</v>
      </c>
      <c r="J206" s="292"/>
      <c r="K206" s="287"/>
      <c r="L206" s="532"/>
      <c r="M206" s="610"/>
      <c r="N206" s="570"/>
      <c r="O206" s="570"/>
      <c r="P206" s="297"/>
      <c r="Q206" s="611"/>
      <c r="R206" s="570"/>
      <c r="S206" s="570"/>
      <c r="T206" s="570"/>
      <c r="U206" s="570"/>
      <c r="V206" s="570"/>
      <c r="W206" s="570"/>
      <c r="X206" s="570"/>
      <c r="Y206" s="570"/>
      <c r="Z206" s="570"/>
      <c r="AA206" s="570"/>
      <c r="AB206" s="570"/>
      <c r="AC206" s="570"/>
      <c r="AD206" s="570"/>
      <c r="AE206" s="570"/>
      <c r="AF206" s="570"/>
      <c r="AG206" s="570"/>
      <c r="AH206" s="570"/>
      <c r="AI206" s="570"/>
      <c r="AJ206" s="570"/>
      <c r="AK206" s="570"/>
      <c r="AL206" s="570"/>
      <c r="AM206" s="570"/>
      <c r="AN206" s="570"/>
      <c r="AO206" s="588"/>
    </row>
    <row r="207" x14ac:dyDescent="0.3">
      <c r="B207" s="597"/>
      <c r="C207" s="570"/>
      <c r="D207" s="820"/>
      <c r="E207" s="625"/>
      <c r="F207" s="611"/>
      <c r="G207" s="570"/>
      <c r="H207" s="1382">
        <f t="shared" si="38"/>
        <v>4911081.5705131404</v>
      </c>
      <c r="I207" s="1383">
        <f t="shared" si="39"/>
        <v>9</v>
      </c>
      <c r="J207" s="292"/>
      <c r="K207" s="287"/>
      <c r="L207" s="532"/>
      <c r="M207" s="610"/>
      <c r="N207" s="570"/>
      <c r="O207" s="570"/>
      <c r="P207" s="297"/>
      <c r="Q207" s="611"/>
      <c r="R207" s="570"/>
      <c r="S207" s="570"/>
      <c r="T207" s="570"/>
      <c r="U207" s="570"/>
      <c r="V207" s="570"/>
      <c r="W207" s="570"/>
      <c r="X207" s="570"/>
      <c r="Y207" s="570"/>
      <c r="Z207" s="570"/>
      <c r="AA207" s="570"/>
      <c r="AB207" s="570"/>
      <c r="AC207" s="570"/>
      <c r="AD207" s="570"/>
      <c r="AE207" s="570"/>
      <c r="AF207" s="570"/>
      <c r="AG207" s="570"/>
      <c r="AH207" s="570"/>
      <c r="AI207" s="570"/>
      <c r="AJ207" s="570"/>
      <c r="AK207" s="570"/>
      <c r="AL207" s="570"/>
      <c r="AM207" s="570"/>
      <c r="AN207" s="570"/>
      <c r="AO207" s="588"/>
    </row>
    <row r="208" x14ac:dyDescent="0.3">
      <c r="B208" s="597"/>
      <c r="C208" s="570"/>
      <c r="D208" s="820"/>
      <c r="E208" s="625"/>
      <c r="F208" s="611"/>
      <c r="G208" s="570"/>
      <c r="H208" s="1382">
        <f t="shared" si="38"/>
        <v>5524966.7668272834</v>
      </c>
      <c r="I208" s="1383">
        <f t="shared" si="39"/>
        <v>10</v>
      </c>
      <c r="J208" s="292"/>
      <c r="K208" s="287"/>
      <c r="L208" s="532"/>
      <c r="M208" s="610"/>
      <c r="N208" s="570"/>
      <c r="O208" s="570"/>
      <c r="P208" s="297"/>
      <c r="Q208" s="611"/>
      <c r="R208" s="570"/>
      <c r="S208" s="570"/>
      <c r="T208" s="570"/>
      <c r="U208" s="570"/>
      <c r="V208" s="570"/>
      <c r="W208" s="570"/>
      <c r="X208" s="570"/>
      <c r="Y208" s="570"/>
      <c r="Z208" s="570"/>
      <c r="AA208" s="570"/>
      <c r="AB208" s="570"/>
      <c r="AC208" s="570"/>
      <c r="AD208" s="570"/>
      <c r="AE208" s="570"/>
      <c r="AF208" s="570"/>
      <c r="AG208" s="570"/>
      <c r="AH208" s="570"/>
      <c r="AI208" s="570"/>
      <c r="AJ208" s="570"/>
      <c r="AK208" s="570"/>
      <c r="AL208" s="570"/>
      <c r="AM208" s="570"/>
      <c r="AN208" s="570"/>
      <c r="AO208" s="588"/>
    </row>
    <row r="209" ht="21.6" thickBot="true" x14ac:dyDescent="0.35">
      <c r="B209" s="597"/>
      <c r="C209" s="570"/>
      <c r="D209" s="820"/>
      <c r="E209" s="625"/>
      <c r="F209" s="611"/>
      <c r="G209" s="570"/>
      <c r="H209" s="1387">
        <f t="shared" si="38"/>
        <v>6138851.9631414264</v>
      </c>
      <c r="I209" s="1388">
        <f t="shared" si="39"/>
        <v>11</v>
      </c>
      <c r="J209" s="292"/>
      <c r="K209" s="287"/>
      <c r="L209" s="532"/>
      <c r="M209" s="610"/>
      <c r="N209" s="570"/>
      <c r="O209" s="570"/>
      <c r="P209" s="297"/>
      <c r="Q209" s="611"/>
      <c r="R209" s="570"/>
      <c r="S209" s="570"/>
      <c r="T209" s="570"/>
      <c r="U209" s="570"/>
      <c r="V209" s="570"/>
      <c r="W209" s="570"/>
      <c r="X209" s="570"/>
      <c r="Y209" s="570"/>
      <c r="Z209" s="570"/>
      <c r="AA209" s="570"/>
      <c r="AB209" s="570"/>
      <c r="AC209" s="570"/>
      <c r="AD209" s="570"/>
      <c r="AE209" s="570"/>
      <c r="AF209" s="570"/>
      <c r="AG209" s="570"/>
      <c r="AH209" s="570"/>
      <c r="AI209" s="570"/>
      <c r="AJ209" s="570"/>
      <c r="AK209" s="570"/>
      <c r="AL209" s="570"/>
      <c r="AM209" s="570"/>
      <c r="AN209" s="570"/>
      <c r="AO209" s="588"/>
    </row>
    <row r="210" x14ac:dyDescent="0.3">
      <c r="B210" s="597"/>
      <c r="C210" s="570"/>
      <c r="D210" s="820"/>
      <c r="E210" s="625"/>
      <c r="F210" s="611"/>
      <c r="G210" s="570"/>
      <c r="H210" s="626"/>
      <c r="I210" s="532"/>
      <c r="J210" s="292"/>
      <c r="K210" s="287"/>
      <c r="L210" s="532"/>
      <c r="M210" s="610"/>
      <c r="N210" s="570"/>
      <c r="O210" s="570"/>
      <c r="P210" s="297"/>
      <c r="Q210" s="611"/>
      <c r="R210" s="570"/>
      <c r="S210" s="570"/>
      <c r="T210" s="570"/>
      <c r="U210" s="570"/>
      <c r="V210" s="570"/>
      <c r="W210" s="570"/>
      <c r="X210" s="570"/>
      <c r="Y210" s="570"/>
      <c r="Z210" s="570"/>
      <c r="AA210" s="570"/>
      <c r="AB210" s="570"/>
      <c r="AC210" s="570"/>
      <c r="AD210" s="570"/>
      <c r="AE210" s="570"/>
      <c r="AF210" s="570"/>
      <c r="AG210" s="570"/>
      <c r="AH210" s="570"/>
      <c r="AI210" s="570"/>
      <c r="AJ210" s="570"/>
      <c r="AK210" s="570"/>
      <c r="AL210" s="570"/>
      <c r="AM210" s="570"/>
      <c r="AN210" s="570"/>
      <c r="AO210" s="588"/>
    </row>
    <row r="211" x14ac:dyDescent="0.3">
      <c r="B211" s="597"/>
      <c r="C211" s="570"/>
      <c r="D211" s="820"/>
      <c r="E211" s="625"/>
      <c r="F211" s="611"/>
      <c r="G211" s="570"/>
      <c r="H211" s="626"/>
      <c r="I211" s="532"/>
      <c r="J211" s="292"/>
      <c r="K211" s="287"/>
      <c r="L211" s="532"/>
      <c r="M211" s="610"/>
      <c r="N211" s="570"/>
      <c r="O211" s="570"/>
      <c r="P211" s="297"/>
      <c r="Q211" s="611"/>
      <c r="R211" s="570"/>
      <c r="S211" s="570"/>
      <c r="T211" s="570"/>
      <c r="U211" s="570"/>
      <c r="V211" s="570"/>
      <c r="W211" s="570"/>
      <c r="X211" s="570"/>
      <c r="Y211" s="570"/>
      <c r="Z211" s="570"/>
      <c r="AA211" s="570"/>
      <c r="AB211" s="570"/>
      <c r="AC211" s="570"/>
      <c r="AD211" s="570"/>
      <c r="AE211" s="570"/>
      <c r="AF211" s="570"/>
      <c r="AG211" s="570"/>
      <c r="AH211" s="570"/>
      <c r="AI211" s="570"/>
      <c r="AJ211" s="570"/>
      <c r="AK211" s="570"/>
      <c r="AL211" s="570"/>
      <c r="AM211" s="570"/>
      <c r="AN211" s="570"/>
      <c r="AO211" s="588"/>
    </row>
    <row r="212" ht="21.6" thickBot="true" x14ac:dyDescent="0.35">
      <c r="B212" s="597"/>
      <c r="C212" s="570"/>
      <c r="D212" s="820"/>
      <c r="E212" s="1921" t="s">
        <v>1299</v>
      </c>
      <c r="F212" s="1921"/>
      <c r="G212" s="570"/>
      <c r="H212" s="626"/>
      <c r="I212" s="532"/>
      <c r="J212" s="292"/>
      <c r="K212" s="287"/>
      <c r="L212" s="532"/>
      <c r="M212" s="610"/>
      <c r="N212" s="570"/>
      <c r="O212" s="570"/>
      <c r="P212" s="297"/>
      <c r="Q212" s="611"/>
      <c r="R212" s="570"/>
      <c r="S212" s="570"/>
      <c r="T212" s="570"/>
      <c r="U212" s="570"/>
      <c r="V212" s="570"/>
      <c r="W212" s="570"/>
      <c r="X212" s="570"/>
      <c r="Y212" s="570"/>
      <c r="Z212" s="570"/>
      <c r="AA212" s="570"/>
      <c r="AB212" s="570"/>
      <c r="AC212" s="570"/>
      <c r="AD212" s="570"/>
      <c r="AE212" s="570"/>
      <c r="AF212" s="570"/>
      <c r="AG212" s="570"/>
      <c r="AH212" s="570"/>
      <c r="AI212" s="570"/>
      <c r="AJ212" s="570"/>
      <c r="AK212" s="570"/>
      <c r="AL212" s="570"/>
      <c r="AM212" s="570"/>
      <c r="AN212" s="570"/>
      <c r="AO212" s="588"/>
    </row>
    <row r="213" ht="20.4" x14ac:dyDescent="0.35">
      <c r="B213" s="597"/>
      <c r="C213" s="570"/>
      <c r="D213" s="820"/>
      <c r="E213" s="473" t="s">
        <v>1249</v>
      </c>
      <c r="F213" s="1411">
        <f>G57</f>
        <v>10</v>
      </c>
      <c r="G213" s="517" t="s">
        <v>1297</v>
      </c>
      <c r="H213" s="269" t="s">
        <v>1238</v>
      </c>
      <c r="I213" s="532"/>
      <c r="J213" s="292"/>
      <c r="K213" s="287"/>
      <c r="L213" s="532"/>
      <c r="M213" s="610"/>
      <c r="N213" s="570"/>
      <c r="O213" s="570"/>
      <c r="P213" s="297"/>
      <c r="Q213" s="611"/>
      <c r="R213" s="570"/>
      <c r="S213" s="570"/>
      <c r="T213" s="570"/>
      <c r="U213" s="570"/>
      <c r="V213" s="570"/>
      <c r="W213" s="570"/>
      <c r="X213" s="570"/>
      <c r="Y213" s="570"/>
      <c r="Z213" s="570"/>
      <c r="AA213" s="570"/>
      <c r="AB213" s="570"/>
      <c r="AC213" s="570"/>
      <c r="AD213" s="570"/>
      <c r="AE213" s="570"/>
      <c r="AF213" s="570"/>
      <c r="AG213" s="570"/>
      <c r="AH213" s="570"/>
      <c r="AI213" s="570"/>
      <c r="AJ213" s="570"/>
      <c r="AK213" s="570"/>
      <c r="AL213" s="570"/>
      <c r="AM213" s="570"/>
      <c r="AN213" s="570"/>
      <c r="AO213" s="588"/>
    </row>
    <row r="214" ht="20.4" x14ac:dyDescent="0.35">
      <c r="B214" s="597"/>
      <c r="C214" s="570"/>
      <c r="D214" s="820"/>
      <c r="E214" s="1170" t="s">
        <v>1234</v>
      </c>
      <c r="F214" s="1412">
        <f>G72</f>
        <v>0</v>
      </c>
      <c r="G214" s="1413">
        <f>K84-G84</f>
        <v>0</v>
      </c>
      <c r="H214" s="1414">
        <f>E84</f>
        <v>0</v>
      </c>
      <c r="I214" s="532"/>
      <c r="J214" s="292"/>
      <c r="K214" s="287"/>
      <c r="L214" s="532"/>
      <c r="M214" s="610"/>
      <c r="N214" s="570"/>
      <c r="O214" s="570"/>
      <c r="P214" s="297"/>
      <c r="Q214" s="611"/>
      <c r="R214" s="570"/>
      <c r="S214" s="570"/>
      <c r="T214" s="570"/>
      <c r="U214" s="570"/>
      <c r="V214" s="570"/>
      <c r="W214" s="570"/>
      <c r="X214" s="570"/>
      <c r="Y214" s="570"/>
      <c r="Z214" s="570"/>
      <c r="AA214" s="570"/>
      <c r="AB214" s="570"/>
      <c r="AC214" s="570"/>
      <c r="AD214" s="570"/>
      <c r="AE214" s="570"/>
      <c r="AF214" s="570"/>
      <c r="AG214" s="570"/>
      <c r="AH214" s="570"/>
      <c r="AI214" s="570"/>
      <c r="AJ214" s="570"/>
      <c r="AK214" s="570"/>
      <c r="AL214" s="570"/>
      <c r="AM214" s="570"/>
      <c r="AN214" s="570"/>
      <c r="AO214" s="588"/>
    </row>
    <row r="215" ht="20.4" x14ac:dyDescent="0.35">
      <c r="B215" s="597"/>
      <c r="C215" s="570"/>
      <c r="D215" s="820"/>
      <c r="E215" s="1172" t="s">
        <v>1296</v>
      </c>
      <c r="F215" s="1415">
        <f>G79</f>
        <v>0.16</v>
      </c>
      <c r="G215" s="1413">
        <f t="shared" ref="G215:G225" si="40">K85-G85</f>
        <v>0</v>
      </c>
      <c r="H215" s="1414">
        <f t="shared" ref="H215:H225" si="41">E85</f>
        <v>1</v>
      </c>
      <c r="I215" s="532"/>
      <c r="J215" s="292"/>
      <c r="K215" s="287"/>
      <c r="L215" s="532"/>
      <c r="M215" s="610"/>
      <c r="N215" s="570"/>
      <c r="O215" s="570"/>
      <c r="P215" s="297"/>
      <c r="Q215" s="611"/>
      <c r="R215" s="570"/>
      <c r="S215" s="570"/>
      <c r="T215" s="570"/>
      <c r="U215" s="570"/>
      <c r="V215" s="570"/>
      <c r="W215" s="570"/>
      <c r="X215" s="570"/>
      <c r="Y215" s="570"/>
      <c r="Z215" s="570"/>
      <c r="AA215" s="570"/>
      <c r="AB215" s="570"/>
      <c r="AC215" s="570"/>
      <c r="AD215" s="570"/>
      <c r="AE215" s="570"/>
      <c r="AF215" s="570"/>
      <c r="AG215" s="570"/>
      <c r="AH215" s="570"/>
      <c r="AI215" s="570"/>
      <c r="AJ215" s="570"/>
      <c r="AK215" s="570"/>
      <c r="AL215" s="570"/>
      <c r="AM215" s="570"/>
      <c r="AN215" s="570"/>
      <c r="AO215" s="588"/>
    </row>
    <row r="216" ht="20.4" x14ac:dyDescent="0.35">
      <c r="B216" s="597"/>
      <c r="C216" s="570"/>
      <c r="D216" s="820"/>
      <c r="E216" s="518" t="s">
        <v>1298</v>
      </c>
      <c r="F216" s="1235">
        <f>SUM(G214:G225)</f>
        <v>6138851.9631414264</v>
      </c>
      <c r="G216" s="1413">
        <f t="shared" si="40"/>
        <v>613885.19631414255</v>
      </c>
      <c r="H216" s="1414">
        <f t="shared" si="41"/>
        <v>2</v>
      </c>
      <c r="I216" s="532"/>
      <c r="J216" s="292"/>
      <c r="K216" s="287"/>
      <c r="L216" s="532"/>
      <c r="M216" s="610"/>
      <c r="N216" s="570"/>
      <c r="O216" s="570"/>
      <c r="P216" s="297"/>
      <c r="Q216" s="611"/>
      <c r="R216" s="570"/>
      <c r="S216" s="570"/>
      <c r="T216" s="570"/>
      <c r="U216" s="570"/>
      <c r="V216" s="570"/>
      <c r="W216" s="570"/>
      <c r="X216" s="570"/>
      <c r="Y216" s="570"/>
      <c r="Z216" s="570"/>
      <c r="AA216" s="570"/>
      <c r="AB216" s="570"/>
      <c r="AC216" s="570"/>
      <c r="AD216" s="570"/>
      <c r="AE216" s="570"/>
      <c r="AF216" s="570"/>
      <c r="AG216" s="570"/>
      <c r="AH216" s="570"/>
      <c r="AI216" s="570"/>
      <c r="AJ216" s="570"/>
      <c r="AK216" s="570"/>
      <c r="AL216" s="570"/>
      <c r="AM216" s="570"/>
      <c r="AN216" s="570"/>
      <c r="AO216" s="588"/>
    </row>
    <row r="217" thickBot="true" x14ac:dyDescent="0.4">
      <c r="B217" s="597"/>
      <c r="C217" s="570"/>
      <c r="D217" s="820"/>
      <c r="E217" s="344" t="s">
        <v>1299</v>
      </c>
      <c r="F217" s="1237">
        <f>F216-F215*F213*F214</f>
        <v>6138851.9631414264</v>
      </c>
      <c r="G217" s="1413">
        <f t="shared" si="40"/>
        <v>613885.19631414255</v>
      </c>
      <c r="H217" s="1414">
        <f t="shared" si="41"/>
        <v>3</v>
      </c>
      <c r="I217" s="532"/>
      <c r="J217" s="292"/>
      <c r="K217" s="287"/>
      <c r="L217" s="532"/>
      <c r="M217" s="610"/>
      <c r="N217" s="570"/>
      <c r="O217" s="570"/>
      <c r="P217" s="297"/>
      <c r="Q217" s="611"/>
      <c r="R217" s="570"/>
      <c r="S217" s="570"/>
      <c r="T217" s="570"/>
      <c r="U217" s="570"/>
      <c r="V217" s="570"/>
      <c r="W217" s="570"/>
      <c r="X217" s="570"/>
      <c r="Y217" s="570"/>
      <c r="Z217" s="570"/>
      <c r="AA217" s="570"/>
      <c r="AB217" s="570"/>
      <c r="AC217" s="570"/>
      <c r="AD217" s="570"/>
      <c r="AE217" s="570"/>
      <c r="AF217" s="570"/>
      <c r="AG217" s="570"/>
      <c r="AH217" s="570"/>
      <c r="AI217" s="570"/>
      <c r="AJ217" s="570"/>
      <c r="AK217" s="570"/>
      <c r="AL217" s="570"/>
      <c r="AM217" s="570"/>
      <c r="AN217" s="570"/>
      <c r="AO217" s="588"/>
    </row>
    <row r="218" x14ac:dyDescent="0.35">
      <c r="B218" s="597"/>
      <c r="C218" s="570"/>
      <c r="D218" s="820"/>
      <c r="E218" s="625"/>
      <c r="F218" s="611"/>
      <c r="G218" s="1416">
        <f t="shared" si="40"/>
        <v>613885.19631414255</v>
      </c>
      <c r="H218" s="1414">
        <f t="shared" si="41"/>
        <v>4</v>
      </c>
      <c r="I218" s="532"/>
      <c r="J218" s="292"/>
      <c r="K218" s="287"/>
      <c r="L218" s="532"/>
      <c r="M218" s="610"/>
      <c r="N218" s="570"/>
      <c r="O218" s="570"/>
      <c r="P218" s="297"/>
      <c r="Q218" s="611"/>
      <c r="R218" s="570"/>
      <c r="S218" s="570"/>
      <c r="T218" s="570"/>
      <c r="U218" s="570"/>
      <c r="V218" s="570"/>
      <c r="W218" s="570"/>
      <c r="X218" s="570"/>
      <c r="Y218" s="570"/>
      <c r="Z218" s="570"/>
      <c r="AA218" s="570"/>
      <c r="AB218" s="570"/>
      <c r="AC218" s="570"/>
      <c r="AD218" s="570"/>
      <c r="AE218" s="570"/>
      <c r="AF218" s="570"/>
      <c r="AG218" s="570"/>
      <c r="AH218" s="570"/>
      <c r="AI218" s="570"/>
      <c r="AJ218" s="570"/>
      <c r="AK218" s="570"/>
      <c r="AL218" s="570"/>
      <c r="AM218" s="570"/>
      <c r="AN218" s="570"/>
      <c r="AO218" s="588"/>
    </row>
    <row r="219" x14ac:dyDescent="0.35">
      <c r="B219" s="597"/>
      <c r="C219" s="570"/>
      <c r="D219" s="820"/>
      <c r="E219" s="625"/>
      <c r="F219" s="611"/>
      <c r="G219" s="1416">
        <f t="shared" si="40"/>
        <v>613885.19631414255</v>
      </c>
      <c r="H219" s="1414">
        <f t="shared" si="41"/>
        <v>5</v>
      </c>
      <c r="I219" s="532"/>
      <c r="J219" s="292"/>
      <c r="K219" s="287"/>
      <c r="L219" s="532"/>
      <c r="M219" s="610"/>
      <c r="N219" s="570"/>
      <c r="O219" s="570"/>
      <c r="P219" s="297"/>
      <c r="Q219" s="611"/>
      <c r="R219" s="570"/>
      <c r="S219" s="570"/>
      <c r="T219" s="570"/>
      <c r="U219" s="570"/>
      <c r="V219" s="570"/>
      <c r="W219" s="570"/>
      <c r="X219" s="570"/>
      <c r="Y219" s="570"/>
      <c r="Z219" s="570"/>
      <c r="AA219" s="570"/>
      <c r="AB219" s="570"/>
      <c r="AC219" s="570"/>
      <c r="AD219" s="570"/>
      <c r="AE219" s="570"/>
      <c r="AF219" s="570"/>
      <c r="AG219" s="570"/>
      <c r="AH219" s="570"/>
      <c r="AI219" s="570"/>
      <c r="AJ219" s="570"/>
      <c r="AK219" s="570"/>
      <c r="AL219" s="570"/>
      <c r="AM219" s="570"/>
      <c r="AN219" s="570"/>
      <c r="AO219" s="588"/>
    </row>
    <row r="220" x14ac:dyDescent="0.35">
      <c r="B220" s="597"/>
      <c r="C220" s="570"/>
      <c r="D220" s="820"/>
      <c r="E220" s="625"/>
      <c r="F220" s="611"/>
      <c r="G220" s="1416">
        <f t="shared" si="40"/>
        <v>613885.19631414255</v>
      </c>
      <c r="H220" s="1414">
        <f t="shared" si="41"/>
        <v>6</v>
      </c>
      <c r="I220" s="532"/>
      <c r="J220" s="292"/>
      <c r="K220" s="287"/>
      <c r="L220" s="532"/>
      <c r="M220" s="610"/>
      <c r="N220" s="570"/>
      <c r="O220" s="570"/>
      <c r="P220" s="297"/>
      <c r="Q220" s="611"/>
      <c r="R220" s="570"/>
      <c r="S220" s="570"/>
      <c r="T220" s="570"/>
      <c r="U220" s="570"/>
      <c r="V220" s="570"/>
      <c r="W220" s="570"/>
      <c r="X220" s="570"/>
      <c r="Y220" s="570"/>
      <c r="Z220" s="570"/>
      <c r="AA220" s="570"/>
      <c r="AB220" s="570"/>
      <c r="AC220" s="570"/>
      <c r="AD220" s="570"/>
      <c r="AE220" s="570"/>
      <c r="AF220" s="570"/>
      <c r="AG220" s="570"/>
      <c r="AH220" s="570"/>
      <c r="AI220" s="570"/>
      <c r="AJ220" s="570"/>
      <c r="AK220" s="570"/>
      <c r="AL220" s="570"/>
      <c r="AM220" s="570"/>
      <c r="AN220" s="570"/>
      <c r="AO220" s="588"/>
    </row>
    <row r="221" x14ac:dyDescent="0.35">
      <c r="B221" s="597"/>
      <c r="C221" s="570"/>
      <c r="D221" s="820"/>
      <c r="E221" s="625"/>
      <c r="F221" s="611"/>
      <c r="G221" s="1416">
        <f t="shared" si="40"/>
        <v>613885.19631414255</v>
      </c>
      <c r="H221" s="1414">
        <f t="shared" si="41"/>
        <v>7</v>
      </c>
      <c r="I221" s="532"/>
      <c r="J221" s="292"/>
      <c r="K221" s="287"/>
      <c r="L221" s="532"/>
      <c r="M221" s="610"/>
      <c r="N221" s="570"/>
      <c r="O221" s="570"/>
      <c r="P221" s="297"/>
      <c r="Q221" s="611"/>
      <c r="R221" s="570"/>
      <c r="S221" s="570"/>
      <c r="T221" s="570"/>
      <c r="U221" s="570"/>
      <c r="V221" s="570"/>
      <c r="W221" s="570"/>
      <c r="X221" s="570"/>
      <c r="Y221" s="570"/>
      <c r="Z221" s="570"/>
      <c r="AA221" s="570"/>
      <c r="AB221" s="570"/>
      <c r="AC221" s="570"/>
      <c r="AD221" s="570"/>
      <c r="AE221" s="570"/>
      <c r="AF221" s="570"/>
      <c r="AG221" s="570"/>
      <c r="AH221" s="570"/>
      <c r="AI221" s="570"/>
      <c r="AJ221" s="570"/>
      <c r="AK221" s="570"/>
      <c r="AL221" s="570"/>
      <c r="AM221" s="570"/>
      <c r="AN221" s="570"/>
      <c r="AO221" s="588"/>
    </row>
    <row r="222" x14ac:dyDescent="0.35">
      <c r="B222" s="597"/>
      <c r="C222" s="570"/>
      <c r="D222" s="820"/>
      <c r="E222" s="625"/>
      <c r="F222" s="611"/>
      <c r="G222" s="1416">
        <f t="shared" si="40"/>
        <v>613885.19631414255</v>
      </c>
      <c r="H222" s="1414">
        <f t="shared" si="41"/>
        <v>8</v>
      </c>
      <c r="I222" s="532"/>
      <c r="J222" s="292"/>
      <c r="K222" s="287"/>
      <c r="L222" s="532"/>
      <c r="M222" s="610"/>
      <c r="N222" s="570"/>
      <c r="O222" s="570"/>
      <c r="P222" s="297"/>
      <c r="Q222" s="611"/>
      <c r="R222" s="570"/>
      <c r="S222" s="570"/>
      <c r="T222" s="570"/>
      <c r="U222" s="570"/>
      <c r="V222" s="570"/>
      <c r="W222" s="570"/>
      <c r="X222" s="570"/>
      <c r="Y222" s="570"/>
      <c r="Z222" s="570"/>
      <c r="AA222" s="570"/>
      <c r="AB222" s="570"/>
      <c r="AC222" s="570"/>
      <c r="AD222" s="570"/>
      <c r="AE222" s="570"/>
      <c r="AF222" s="570"/>
      <c r="AG222" s="570"/>
      <c r="AH222" s="570"/>
      <c r="AI222" s="570"/>
      <c r="AJ222" s="570"/>
      <c r="AK222" s="570"/>
      <c r="AL222" s="570"/>
      <c r="AM222" s="570"/>
      <c r="AN222" s="570"/>
      <c r="AO222" s="588"/>
    </row>
    <row r="223" x14ac:dyDescent="0.35">
      <c r="B223" s="597"/>
      <c r="C223" s="570"/>
      <c r="D223" s="820"/>
      <c r="E223" s="625"/>
      <c r="F223" s="611"/>
      <c r="G223" s="1416">
        <f t="shared" si="40"/>
        <v>613885.19631414255</v>
      </c>
      <c r="H223" s="1414">
        <f t="shared" si="41"/>
        <v>9</v>
      </c>
      <c r="I223" s="532"/>
      <c r="J223" s="292"/>
      <c r="K223" s="287"/>
      <c r="L223" s="532"/>
      <c r="M223" s="610"/>
      <c r="N223" s="570"/>
      <c r="O223" s="570"/>
      <c r="P223" s="297"/>
      <c r="Q223" s="611"/>
      <c r="R223" s="570"/>
      <c r="S223" s="570"/>
      <c r="T223" s="570"/>
      <c r="U223" s="570"/>
      <c r="V223" s="570"/>
      <c r="W223" s="570"/>
      <c r="X223" s="570"/>
      <c r="Y223" s="570"/>
      <c r="Z223" s="570"/>
      <c r="AA223" s="570"/>
      <c r="AB223" s="570"/>
      <c r="AC223" s="570"/>
      <c r="AD223" s="570"/>
      <c r="AE223" s="570"/>
      <c r="AF223" s="570"/>
      <c r="AG223" s="570"/>
      <c r="AH223" s="570"/>
      <c r="AI223" s="570"/>
      <c r="AJ223" s="570"/>
      <c r="AK223" s="570"/>
      <c r="AL223" s="570"/>
      <c r="AM223" s="570"/>
      <c r="AN223" s="570"/>
      <c r="AO223" s="588"/>
    </row>
    <row r="224" x14ac:dyDescent="0.35">
      <c r="B224" s="597"/>
      <c r="C224" s="570"/>
      <c r="D224" s="820"/>
      <c r="E224" s="625"/>
      <c r="F224" s="611"/>
      <c r="G224" s="1416">
        <f t="shared" si="40"/>
        <v>613885.19631414255</v>
      </c>
      <c r="H224" s="1414">
        <f t="shared" si="41"/>
        <v>10</v>
      </c>
      <c r="I224" s="532"/>
      <c r="J224" s="292"/>
      <c r="K224" s="287"/>
      <c r="L224" s="532"/>
      <c r="M224" s="610"/>
      <c r="N224" s="570"/>
      <c r="O224" s="570"/>
      <c r="P224" s="297"/>
      <c r="Q224" s="611"/>
      <c r="R224" s="570"/>
      <c r="S224" s="570"/>
      <c r="T224" s="570"/>
      <c r="U224" s="570"/>
      <c r="V224" s="570"/>
      <c r="W224" s="570"/>
      <c r="X224" s="570"/>
      <c r="Y224" s="570"/>
      <c r="Z224" s="570"/>
      <c r="AA224" s="570"/>
      <c r="AB224" s="570"/>
      <c r="AC224" s="570"/>
      <c r="AD224" s="570"/>
      <c r="AE224" s="570"/>
      <c r="AF224" s="570"/>
      <c r="AG224" s="570"/>
      <c r="AH224" s="570"/>
      <c r="AI224" s="570"/>
      <c r="AJ224" s="570"/>
      <c r="AK224" s="570"/>
      <c r="AL224" s="570"/>
      <c r="AM224" s="570"/>
      <c r="AN224" s="570"/>
      <c r="AO224" s="588"/>
    </row>
    <row r="225" ht="21.6" thickBot="true" x14ac:dyDescent="0.4">
      <c r="B225" s="597"/>
      <c r="C225" s="570"/>
      <c r="D225" s="820"/>
      <c r="E225" s="625"/>
      <c r="F225" s="611"/>
      <c r="G225" s="1417">
        <f t="shared" si="40"/>
        <v>613885.19631414255</v>
      </c>
      <c r="H225" s="1418">
        <f t="shared" si="41"/>
        <v>11</v>
      </c>
      <c r="I225" s="532"/>
      <c r="J225" s="292"/>
      <c r="K225" s="287"/>
      <c r="L225" s="532"/>
      <c r="M225" s="610"/>
      <c r="N225" s="570"/>
      <c r="O225" s="570"/>
      <c r="P225" s="297"/>
      <c r="Q225" s="611"/>
      <c r="R225" s="570"/>
      <c r="S225" s="570"/>
      <c r="T225" s="570"/>
      <c r="U225" s="570"/>
      <c r="V225" s="570"/>
      <c r="W225" s="570"/>
      <c r="X225" s="570"/>
      <c r="Y225" s="570"/>
      <c r="Z225" s="570"/>
      <c r="AA225" s="570"/>
      <c r="AB225" s="570"/>
      <c r="AC225" s="570"/>
      <c r="AD225" s="570"/>
      <c r="AE225" s="570"/>
      <c r="AF225" s="570"/>
      <c r="AG225" s="570"/>
      <c r="AH225" s="570"/>
      <c r="AI225" s="570"/>
      <c r="AJ225" s="570"/>
      <c r="AK225" s="570"/>
      <c r="AL225" s="570"/>
      <c r="AM225" s="570"/>
      <c r="AN225" s="570"/>
      <c r="AO225" s="588"/>
    </row>
    <row r="226" x14ac:dyDescent="0.35">
      <c r="B226" s="597"/>
      <c r="C226" s="570"/>
      <c r="D226" s="820"/>
      <c r="E226" s="625"/>
      <c r="F226" s="611"/>
      <c r="G226" s="830"/>
      <c r="H226" s="626"/>
      <c r="I226" s="532"/>
      <c r="J226" s="292"/>
      <c r="K226" s="287"/>
      <c r="L226" s="532"/>
      <c r="M226" s="610"/>
      <c r="N226" s="570"/>
      <c r="O226" s="570"/>
      <c r="P226" s="297"/>
      <c r="Q226" s="611"/>
      <c r="R226" s="570"/>
      <c r="S226" s="570"/>
      <c r="T226" s="570"/>
      <c r="U226" s="570"/>
      <c r="V226" s="570"/>
      <c r="W226" s="570"/>
      <c r="X226" s="570"/>
      <c r="Y226" s="570"/>
      <c r="Z226" s="570"/>
      <c r="AA226" s="570"/>
      <c r="AB226" s="570"/>
      <c r="AC226" s="570"/>
      <c r="AD226" s="570"/>
      <c r="AE226" s="570"/>
      <c r="AF226" s="570"/>
      <c r="AG226" s="570"/>
      <c r="AH226" s="570"/>
      <c r="AI226" s="570"/>
      <c r="AJ226" s="570"/>
      <c r="AK226" s="570"/>
      <c r="AL226" s="570"/>
      <c r="AM226" s="570"/>
      <c r="AN226" s="570"/>
      <c r="AO226" s="588"/>
    </row>
    <row r="227" x14ac:dyDescent="0.3">
      <c r="B227" s="597"/>
      <c r="C227" s="570"/>
      <c r="D227" s="820"/>
      <c r="E227" s="625"/>
      <c r="F227" s="611"/>
      <c r="G227" s="570"/>
      <c r="H227" s="626"/>
      <c r="I227" s="532"/>
      <c r="J227" s="292"/>
      <c r="K227" s="287"/>
      <c r="L227" s="532"/>
      <c r="M227" s="610"/>
      <c r="N227" s="570"/>
      <c r="O227" s="570"/>
      <c r="P227" s="297"/>
      <c r="Q227" s="611"/>
      <c r="R227" s="570"/>
      <c r="S227" s="570"/>
      <c r="T227" s="570"/>
      <c r="U227" s="570"/>
      <c r="V227" s="570"/>
      <c r="W227" s="570"/>
      <c r="X227" s="570"/>
      <c r="Y227" s="570"/>
      <c r="Z227" s="570"/>
      <c r="AA227" s="570"/>
      <c r="AB227" s="570"/>
      <c r="AC227" s="570"/>
      <c r="AD227" s="570"/>
      <c r="AE227" s="570"/>
      <c r="AF227" s="570"/>
      <c r="AG227" s="570"/>
      <c r="AH227" s="570"/>
      <c r="AI227" s="570"/>
      <c r="AJ227" s="570"/>
      <c r="AK227" s="570"/>
      <c r="AL227" s="570"/>
      <c r="AM227" s="570"/>
      <c r="AN227" s="570"/>
      <c r="AO227" s="588"/>
    </row>
    <row r="228" x14ac:dyDescent="0.3">
      <c r="B228" s="597"/>
      <c r="C228" s="570"/>
      <c r="D228" s="820"/>
      <c r="E228" s="625"/>
      <c r="F228" s="611"/>
      <c r="G228" s="570"/>
      <c r="H228" s="626"/>
      <c r="I228" s="532"/>
      <c r="J228" s="292"/>
      <c r="K228" s="287"/>
      <c r="L228" s="532"/>
      <c r="M228" s="610"/>
      <c r="N228" s="570"/>
      <c r="O228" s="570"/>
      <c r="P228" s="297"/>
      <c r="Q228" s="611"/>
      <c r="R228" s="570"/>
      <c r="S228" s="570"/>
      <c r="T228" s="570"/>
      <c r="U228" s="570"/>
      <c r="V228" s="570"/>
      <c r="W228" s="570"/>
      <c r="X228" s="570"/>
      <c r="Y228" s="570"/>
      <c r="Z228" s="570"/>
      <c r="AA228" s="570"/>
      <c r="AB228" s="570"/>
      <c r="AC228" s="570"/>
      <c r="AD228" s="570"/>
      <c r="AE228" s="570"/>
      <c r="AF228" s="570"/>
      <c r="AG228" s="570"/>
      <c r="AH228" s="570"/>
      <c r="AI228" s="570"/>
      <c r="AJ228" s="570"/>
      <c r="AK228" s="570"/>
      <c r="AL228" s="570"/>
      <c r="AM228" s="570"/>
      <c r="AN228" s="570"/>
      <c r="AO228" s="588"/>
    </row>
    <row r="229" x14ac:dyDescent="0.3">
      <c r="B229" s="597"/>
      <c r="C229" s="570"/>
      <c r="D229" s="820"/>
      <c r="E229" s="625"/>
      <c r="F229" s="611"/>
      <c r="G229" s="570"/>
      <c r="H229" s="626"/>
      <c r="I229" s="532"/>
      <c r="J229" s="292"/>
      <c r="K229" s="287"/>
      <c r="L229" s="532"/>
      <c r="M229" s="610"/>
      <c r="N229" s="570"/>
      <c r="O229" s="570"/>
      <c r="P229" s="297"/>
      <c r="Q229" s="611"/>
      <c r="R229" s="570"/>
      <c r="S229" s="570"/>
      <c r="T229" s="570"/>
      <c r="U229" s="570"/>
      <c r="V229" s="570"/>
      <c r="W229" s="570"/>
      <c r="X229" s="570"/>
      <c r="Y229" s="570"/>
      <c r="Z229" s="570"/>
      <c r="AA229" s="570"/>
      <c r="AB229" s="570"/>
      <c r="AC229" s="570"/>
      <c r="AD229" s="570"/>
      <c r="AE229" s="570"/>
      <c r="AF229" s="570"/>
      <c r="AG229" s="570"/>
      <c r="AH229" s="570"/>
      <c r="AI229" s="570"/>
      <c r="AJ229" s="570"/>
      <c r="AK229" s="570"/>
      <c r="AL229" s="570"/>
      <c r="AM229" s="570"/>
      <c r="AN229" s="570"/>
      <c r="AO229" s="588"/>
    </row>
    <row r="230" ht="21.6" thickBot="true" x14ac:dyDescent="0.35">
      <c r="B230" s="597"/>
      <c r="C230" s="570"/>
      <c r="D230" s="820"/>
      <c r="E230" s="1921" t="s">
        <v>1300</v>
      </c>
      <c r="F230" s="1921"/>
      <c r="G230" s="570"/>
      <c r="H230" s="626"/>
      <c r="I230" s="532"/>
      <c r="J230" s="292"/>
      <c r="K230" s="287"/>
      <c r="L230" s="532"/>
      <c r="M230" s="610"/>
      <c r="N230" s="570"/>
      <c r="O230" s="570"/>
      <c r="P230" s="297"/>
      <c r="Q230" s="611"/>
      <c r="R230" s="570"/>
      <c r="S230" s="570"/>
      <c r="T230" s="570"/>
      <c r="U230" s="570"/>
      <c r="V230" s="570"/>
      <c r="W230" s="570"/>
      <c r="X230" s="570"/>
      <c r="Y230" s="570"/>
      <c r="Z230" s="570"/>
      <c r="AA230" s="570"/>
      <c r="AB230" s="570"/>
      <c r="AC230" s="570"/>
      <c r="AD230" s="570"/>
      <c r="AE230" s="570"/>
      <c r="AF230" s="570"/>
      <c r="AG230" s="570"/>
      <c r="AH230" s="570"/>
      <c r="AI230" s="570"/>
      <c r="AJ230" s="570"/>
      <c r="AK230" s="570"/>
      <c r="AL230" s="570"/>
      <c r="AM230" s="570"/>
      <c r="AN230" s="570"/>
      <c r="AO230" s="588"/>
    </row>
    <row r="231" ht="21.6" thickBot="true" x14ac:dyDescent="0.35">
      <c r="B231" s="597"/>
      <c r="C231" s="570"/>
      <c r="D231" s="820"/>
      <c r="E231" s="519" t="s">
        <v>1116</v>
      </c>
      <c r="F231" s="1419">
        <f t="array" ref="F231">SUM(IF($I$232:$I$241=1,$H$232:$H$241,0))</f>
        <v>0</v>
      </c>
      <c r="G231" s="520" t="s">
        <v>1769</v>
      </c>
      <c r="H231" s="521" t="s">
        <v>1302</v>
      </c>
      <c r="I231" s="189" t="s">
        <v>1303</v>
      </c>
      <c r="J231" s="292"/>
      <c r="K231" s="287"/>
      <c r="L231" s="532"/>
      <c r="M231" s="610"/>
      <c r="N231" s="570"/>
      <c r="O231" s="570"/>
      <c r="P231" s="297"/>
      <c r="Q231" s="611"/>
      <c r="R231" s="570"/>
      <c r="S231" s="570"/>
      <c r="T231" s="570"/>
      <c r="U231" s="570"/>
      <c r="V231" s="570"/>
      <c r="W231" s="570"/>
      <c r="X231" s="570"/>
      <c r="Y231" s="570"/>
      <c r="Z231" s="570"/>
      <c r="AA231" s="570"/>
      <c r="AB231" s="570"/>
      <c r="AC231" s="570"/>
      <c r="AD231" s="570"/>
      <c r="AE231" s="570"/>
      <c r="AF231" s="570"/>
      <c r="AG231" s="570"/>
      <c r="AH231" s="570"/>
      <c r="AI231" s="570"/>
      <c r="AJ231" s="570"/>
      <c r="AK231" s="570"/>
      <c r="AL231" s="570"/>
      <c r="AM231" s="570"/>
      <c r="AN231" s="570"/>
      <c r="AO231" s="588"/>
    </row>
    <row r="232" x14ac:dyDescent="0.3">
      <c r="B232" s="597"/>
      <c r="C232" s="570"/>
      <c r="D232" s="820"/>
      <c r="E232" s="625"/>
      <c r="F232" s="611"/>
      <c r="G232" s="1420" t="str">
        <f>'II. Equipment &amp; Cost Data'!F255</f>
        <v>CaO</v>
      </c>
      <c r="H232" s="1421">
        <f>'II. Equipment &amp; Cost Data'!I255</f>
        <v>39552324.545503646</v>
      </c>
      <c r="I232" s="1422">
        <f>'II. Equipment &amp; Cost Data'!K255</f>
        <v>0</v>
      </c>
      <c r="J232" s="292"/>
      <c r="K232" s="287"/>
      <c r="L232" s="532"/>
      <c r="M232" s="610"/>
      <c r="N232" s="570"/>
      <c r="O232" s="570"/>
      <c r="P232" s="297"/>
      <c r="Q232" s="611"/>
      <c r="R232" s="570"/>
      <c r="S232" s="570"/>
      <c r="T232" s="570"/>
      <c r="U232" s="570"/>
      <c r="V232" s="570"/>
      <c r="W232" s="570"/>
      <c r="X232" s="570"/>
      <c r="Y232" s="570"/>
      <c r="Z232" s="570"/>
      <c r="AA232" s="570"/>
      <c r="AB232" s="570"/>
      <c r="AC232" s="570"/>
      <c r="AD232" s="570"/>
      <c r="AE232" s="570"/>
      <c r="AF232" s="570"/>
      <c r="AG232" s="570"/>
      <c r="AH232" s="570"/>
      <c r="AI232" s="570"/>
      <c r="AJ232" s="570"/>
      <c r="AK232" s="570"/>
      <c r="AL232" s="570"/>
      <c r="AM232" s="570"/>
      <c r="AN232" s="570"/>
      <c r="AO232" s="588"/>
    </row>
    <row r="233" x14ac:dyDescent="0.3">
      <c r="B233" s="597"/>
      <c r="C233" s="570"/>
      <c r="D233" s="820"/>
      <c r="E233" s="625"/>
      <c r="F233" s="611"/>
      <c r="G233" s="1420" t="str">
        <f>'II. Equipment &amp; Cost Data'!F256</f>
        <v/>
      </c>
      <c r="H233" s="1421" t="str">
        <f>'II. Equipment &amp; Cost Data'!I256</f>
        <v/>
      </c>
      <c r="I233" s="1422" t="str">
        <f>'II. Equipment &amp; Cost Data'!K256</f>
        <v/>
      </c>
      <c r="J233" s="292"/>
      <c r="K233" s="287"/>
      <c r="L233" s="532"/>
      <c r="M233" s="610"/>
      <c r="N233" s="570"/>
      <c r="O233" s="570"/>
      <c r="P233" s="297"/>
      <c r="Q233" s="611"/>
      <c r="R233" s="570"/>
      <c r="S233" s="570"/>
      <c r="T233" s="570"/>
      <c r="U233" s="570"/>
      <c r="V233" s="570"/>
      <c r="W233" s="570"/>
      <c r="X233" s="570"/>
      <c r="Y233" s="570"/>
      <c r="Z233" s="570"/>
      <c r="AA233" s="570"/>
      <c r="AB233" s="570"/>
      <c r="AC233" s="570"/>
      <c r="AD233" s="570"/>
      <c r="AE233" s="570"/>
      <c r="AF233" s="570"/>
      <c r="AG233" s="570"/>
      <c r="AH233" s="570"/>
      <c r="AI233" s="570"/>
      <c r="AJ233" s="570"/>
      <c r="AK233" s="570"/>
      <c r="AL233" s="570"/>
      <c r="AM233" s="570"/>
      <c r="AN233" s="570"/>
      <c r="AO233" s="588"/>
    </row>
    <row r="234" x14ac:dyDescent="0.3">
      <c r="B234" s="597"/>
      <c r="C234" s="570"/>
      <c r="D234" s="820"/>
      <c r="E234" s="625"/>
      <c r="F234" s="611"/>
      <c r="G234" s="1420" t="str">
        <f>'II. Equipment &amp; Cost Data'!F257</f>
        <v/>
      </c>
      <c r="H234" s="1421" t="str">
        <f>'II. Equipment &amp; Cost Data'!I257</f>
        <v/>
      </c>
      <c r="I234" s="1422" t="str">
        <f>'II. Equipment &amp; Cost Data'!K257</f>
        <v/>
      </c>
      <c r="J234" s="292"/>
      <c r="K234" s="287"/>
      <c r="L234" s="532"/>
      <c r="M234" s="610"/>
      <c r="N234" s="570"/>
      <c r="O234" s="570"/>
      <c r="P234" s="297"/>
      <c r="Q234" s="611"/>
      <c r="R234" s="570"/>
      <c r="S234" s="570"/>
      <c r="T234" s="570"/>
      <c r="U234" s="570"/>
      <c r="V234" s="570"/>
      <c r="W234" s="570"/>
      <c r="X234" s="570"/>
      <c r="Y234" s="570"/>
      <c r="Z234" s="570"/>
      <c r="AA234" s="570"/>
      <c r="AB234" s="570"/>
      <c r="AC234" s="570"/>
      <c r="AD234" s="570"/>
      <c r="AE234" s="570"/>
      <c r="AF234" s="570"/>
      <c r="AG234" s="570"/>
      <c r="AH234" s="570"/>
      <c r="AI234" s="570"/>
      <c r="AJ234" s="570"/>
      <c r="AK234" s="570"/>
      <c r="AL234" s="570"/>
      <c r="AM234" s="570"/>
      <c r="AN234" s="570"/>
      <c r="AO234" s="588"/>
    </row>
    <row r="235" x14ac:dyDescent="0.3">
      <c r="B235" s="597"/>
      <c r="C235" s="570"/>
      <c r="D235" s="820"/>
      <c r="E235" s="625"/>
      <c r="F235" s="611"/>
      <c r="G235" s="1420" t="str">
        <f>'II. Equipment &amp; Cost Data'!F258</f>
        <v/>
      </c>
      <c r="H235" s="1421" t="str">
        <f>'II. Equipment &amp; Cost Data'!I258</f>
        <v/>
      </c>
      <c r="I235" s="1422" t="str">
        <f>'II. Equipment &amp; Cost Data'!K258</f>
        <v/>
      </c>
      <c r="J235" s="292"/>
      <c r="K235" s="287"/>
      <c r="L235" s="532"/>
      <c r="M235" s="610"/>
      <c r="N235" s="570"/>
      <c r="O235" s="570"/>
      <c r="P235" s="297"/>
      <c r="Q235" s="611"/>
      <c r="R235" s="570"/>
      <c r="S235" s="570"/>
      <c r="T235" s="570"/>
      <c r="U235" s="570"/>
      <c r="V235" s="570"/>
      <c r="W235" s="570"/>
      <c r="X235" s="570"/>
      <c r="Y235" s="570"/>
      <c r="Z235" s="570"/>
      <c r="AA235" s="570"/>
      <c r="AB235" s="570"/>
      <c r="AC235" s="570"/>
      <c r="AD235" s="570"/>
      <c r="AE235" s="570"/>
      <c r="AF235" s="570"/>
      <c r="AG235" s="570"/>
      <c r="AH235" s="570"/>
      <c r="AI235" s="570"/>
      <c r="AJ235" s="570"/>
      <c r="AK235" s="570"/>
      <c r="AL235" s="570"/>
      <c r="AM235" s="570"/>
      <c r="AN235" s="570"/>
      <c r="AO235" s="588"/>
    </row>
    <row r="236" x14ac:dyDescent="0.3">
      <c r="B236" s="597"/>
      <c r="C236" s="570"/>
      <c r="D236" s="820"/>
      <c r="E236" s="625"/>
      <c r="F236" s="611"/>
      <c r="G236" s="1420" t="str">
        <f>'II. Equipment &amp; Cost Data'!F259</f>
        <v/>
      </c>
      <c r="H236" s="1421" t="str">
        <f>'II. Equipment &amp; Cost Data'!I259</f>
        <v/>
      </c>
      <c r="I236" s="1422" t="str">
        <f>'II. Equipment &amp; Cost Data'!K259</f>
        <v/>
      </c>
      <c r="J236" s="292"/>
      <c r="K236" s="287"/>
      <c r="L236" s="532"/>
      <c r="M236" s="610"/>
      <c r="N236" s="570"/>
      <c r="O236" s="570"/>
      <c r="P236" s="297"/>
      <c r="Q236" s="611"/>
      <c r="R236" s="570"/>
      <c r="S236" s="570"/>
      <c r="T236" s="570"/>
      <c r="U236" s="570"/>
      <c r="V236" s="570"/>
      <c r="W236" s="570"/>
      <c r="X236" s="570"/>
      <c r="Y236" s="570"/>
      <c r="Z236" s="570"/>
      <c r="AA236" s="570"/>
      <c r="AB236" s="570"/>
      <c r="AC236" s="570"/>
      <c r="AD236" s="570"/>
      <c r="AE236" s="570"/>
      <c r="AF236" s="570"/>
      <c r="AG236" s="570"/>
      <c r="AH236" s="570"/>
      <c r="AI236" s="570"/>
      <c r="AJ236" s="570"/>
      <c r="AK236" s="570"/>
      <c r="AL236" s="570"/>
      <c r="AM236" s="570"/>
      <c r="AN236" s="570"/>
      <c r="AO236" s="588"/>
    </row>
    <row r="237" x14ac:dyDescent="0.3">
      <c r="B237" s="597"/>
      <c r="C237" s="570"/>
      <c r="D237" s="820"/>
      <c r="E237" s="625"/>
      <c r="F237" s="611"/>
      <c r="G237" s="1420" t="str">
        <f>'II. Equipment &amp; Cost Data'!F260</f>
        <v/>
      </c>
      <c r="H237" s="1421" t="str">
        <f>'II. Equipment &amp; Cost Data'!I260</f>
        <v/>
      </c>
      <c r="I237" s="1422" t="str">
        <f>'II. Equipment &amp; Cost Data'!K260</f>
        <v/>
      </c>
      <c r="J237" s="292"/>
      <c r="K237" s="287"/>
      <c r="L237" s="532"/>
      <c r="M237" s="610"/>
      <c r="N237" s="570"/>
      <c r="O237" s="570"/>
      <c r="P237" s="297"/>
      <c r="Q237" s="611"/>
      <c r="R237" s="570"/>
      <c r="S237" s="570"/>
      <c r="T237" s="570"/>
      <c r="U237" s="570"/>
      <c r="V237" s="570"/>
      <c r="W237" s="570"/>
      <c r="X237" s="570"/>
      <c r="Y237" s="570"/>
      <c r="Z237" s="570"/>
      <c r="AA237" s="570"/>
      <c r="AB237" s="570"/>
      <c r="AC237" s="570"/>
      <c r="AD237" s="570"/>
      <c r="AE237" s="570"/>
      <c r="AF237" s="570"/>
      <c r="AG237" s="570"/>
      <c r="AH237" s="570"/>
      <c r="AI237" s="570"/>
      <c r="AJ237" s="570"/>
      <c r="AK237" s="570"/>
      <c r="AL237" s="570"/>
      <c r="AM237" s="570"/>
      <c r="AN237" s="570"/>
      <c r="AO237" s="588"/>
    </row>
    <row r="238" x14ac:dyDescent="0.3">
      <c r="B238" s="597"/>
      <c r="C238" s="570"/>
      <c r="D238" s="820"/>
      <c r="E238" s="625"/>
      <c r="F238" s="611"/>
      <c r="G238" s="1420" t="str">
        <f>'II. Equipment &amp; Cost Data'!F261</f>
        <v/>
      </c>
      <c r="H238" s="1421" t="str">
        <f>'II. Equipment &amp; Cost Data'!I261</f>
        <v/>
      </c>
      <c r="I238" s="1422" t="str">
        <f>'II. Equipment &amp; Cost Data'!K261</f>
        <v/>
      </c>
      <c r="J238" s="292"/>
      <c r="K238" s="287"/>
      <c r="L238" s="532"/>
      <c r="M238" s="610"/>
      <c r="N238" s="570"/>
      <c r="O238" s="570"/>
      <c r="P238" s="297"/>
      <c r="Q238" s="611"/>
      <c r="R238" s="570"/>
      <c r="S238" s="570"/>
      <c r="T238" s="570"/>
      <c r="U238" s="570"/>
      <c r="V238" s="570"/>
      <c r="W238" s="570"/>
      <c r="X238" s="570"/>
      <c r="Y238" s="570"/>
      <c r="Z238" s="570"/>
      <c r="AA238" s="570"/>
      <c r="AB238" s="570"/>
      <c r="AC238" s="570"/>
      <c r="AD238" s="570"/>
      <c r="AE238" s="570"/>
      <c r="AF238" s="570"/>
      <c r="AG238" s="570"/>
      <c r="AH238" s="570"/>
      <c r="AI238" s="570"/>
      <c r="AJ238" s="570"/>
      <c r="AK238" s="570"/>
      <c r="AL238" s="570"/>
      <c r="AM238" s="570"/>
      <c r="AN238" s="570"/>
      <c r="AO238" s="588"/>
    </row>
    <row r="239" x14ac:dyDescent="0.3">
      <c r="B239" s="597"/>
      <c r="C239" s="570"/>
      <c r="D239" s="820"/>
      <c r="E239" s="625"/>
      <c r="F239" s="611"/>
      <c r="G239" s="1420" t="str">
        <f>'II. Equipment &amp; Cost Data'!F262</f>
        <v/>
      </c>
      <c r="H239" s="1421" t="str">
        <f>'II. Equipment &amp; Cost Data'!I262</f>
        <v/>
      </c>
      <c r="I239" s="1422" t="str">
        <f>'II. Equipment &amp; Cost Data'!K262</f>
        <v/>
      </c>
      <c r="J239" s="292"/>
      <c r="K239" s="287"/>
      <c r="L239" s="532"/>
      <c r="M239" s="610"/>
      <c r="N239" s="570"/>
      <c r="O239" s="570"/>
      <c r="P239" s="297"/>
      <c r="Q239" s="611"/>
      <c r="R239" s="570"/>
      <c r="S239" s="570"/>
      <c r="T239" s="570"/>
      <c r="U239" s="570"/>
      <c r="V239" s="570"/>
      <c r="W239" s="570"/>
      <c r="X239" s="570"/>
      <c r="Y239" s="570"/>
      <c r="Z239" s="570"/>
      <c r="AA239" s="570"/>
      <c r="AB239" s="570"/>
      <c r="AC239" s="570"/>
      <c r="AD239" s="570"/>
      <c r="AE239" s="570"/>
      <c r="AF239" s="570"/>
      <c r="AG239" s="570"/>
      <c r="AH239" s="570"/>
      <c r="AI239" s="570"/>
      <c r="AJ239" s="570"/>
      <c r="AK239" s="570"/>
      <c r="AL239" s="570"/>
      <c r="AM239" s="570"/>
      <c r="AN239" s="570"/>
      <c r="AO239" s="588"/>
    </row>
    <row r="240" x14ac:dyDescent="0.3">
      <c r="B240" s="597"/>
      <c r="C240" s="570"/>
      <c r="D240" s="820"/>
      <c r="E240" s="625"/>
      <c r="F240" s="611"/>
      <c r="G240" s="1420" t="str">
        <f>'II. Equipment &amp; Cost Data'!F263</f>
        <v/>
      </c>
      <c r="H240" s="1421" t="str">
        <f>'II. Equipment &amp; Cost Data'!I263</f>
        <v/>
      </c>
      <c r="I240" s="1422" t="str">
        <f>'II. Equipment &amp; Cost Data'!K263</f>
        <v/>
      </c>
      <c r="J240" s="292"/>
      <c r="K240" s="287"/>
      <c r="L240" s="532"/>
      <c r="M240" s="610"/>
      <c r="N240" s="570"/>
      <c r="O240" s="570"/>
      <c r="P240" s="297"/>
      <c r="Q240" s="611"/>
      <c r="R240" s="570"/>
      <c r="S240" s="570"/>
      <c r="T240" s="570"/>
      <c r="U240" s="570"/>
      <c r="V240" s="570"/>
      <c r="W240" s="570"/>
      <c r="X240" s="570"/>
      <c r="Y240" s="570"/>
      <c r="Z240" s="570"/>
      <c r="AA240" s="570"/>
      <c r="AB240" s="570"/>
      <c r="AC240" s="570"/>
      <c r="AD240" s="570"/>
      <c r="AE240" s="570"/>
      <c r="AF240" s="570"/>
      <c r="AG240" s="570"/>
      <c r="AH240" s="570"/>
      <c r="AI240" s="570"/>
      <c r="AJ240" s="570"/>
      <c r="AK240" s="570"/>
      <c r="AL240" s="570"/>
      <c r="AM240" s="570"/>
      <c r="AN240" s="570"/>
      <c r="AO240" s="588"/>
    </row>
    <row r="241" ht="21.6" thickBot="true" x14ac:dyDescent="0.35">
      <c r="B241" s="597"/>
      <c r="C241" s="570"/>
      <c r="D241" s="820"/>
      <c r="E241" s="625"/>
      <c r="F241" s="611"/>
      <c r="G241" s="1423" t="str">
        <f>'II. Equipment &amp; Cost Data'!F264</f>
        <v/>
      </c>
      <c r="H241" s="1424" t="str">
        <f>'II. Equipment &amp; Cost Data'!I264</f>
        <v/>
      </c>
      <c r="I241" s="1422" t="str">
        <f>'II. Equipment &amp; Cost Data'!K264</f>
        <v/>
      </c>
      <c r="J241" s="292"/>
      <c r="K241" s="287"/>
      <c r="L241" s="532"/>
      <c r="M241" s="610"/>
      <c r="N241" s="570"/>
      <c r="O241" s="570"/>
      <c r="P241" s="297"/>
      <c r="Q241" s="611"/>
      <c r="R241" s="570"/>
      <c r="S241" s="570"/>
      <c r="T241" s="570"/>
      <c r="U241" s="570"/>
      <c r="V241" s="570"/>
      <c r="W241" s="570"/>
      <c r="X241" s="570"/>
      <c r="Y241" s="570"/>
      <c r="Z241" s="570"/>
      <c r="AA241" s="570"/>
      <c r="AB241" s="570"/>
      <c r="AC241" s="570"/>
      <c r="AD241" s="570"/>
      <c r="AE241" s="570"/>
      <c r="AF241" s="570"/>
      <c r="AG241" s="570"/>
      <c r="AH241" s="570"/>
      <c r="AI241" s="570"/>
      <c r="AJ241" s="570"/>
      <c r="AK241" s="570"/>
      <c r="AL241" s="570"/>
      <c r="AM241" s="570"/>
      <c r="AN241" s="570"/>
      <c r="AO241" s="588"/>
    </row>
    <row r="242" x14ac:dyDescent="0.3">
      <c r="B242" s="597"/>
      <c r="C242" s="570"/>
      <c r="D242" s="820"/>
      <c r="E242" s="625"/>
      <c r="F242" s="611"/>
      <c r="G242" s="570"/>
      <c r="H242" s="626"/>
      <c r="I242" s="532"/>
      <c r="J242" s="292"/>
      <c r="K242" s="287"/>
      <c r="L242" s="532"/>
      <c r="M242" s="610"/>
      <c r="N242" s="570"/>
      <c r="O242" s="570"/>
      <c r="P242" s="297"/>
      <c r="Q242" s="611"/>
      <c r="R242" s="570"/>
      <c r="S242" s="570"/>
      <c r="T242" s="570"/>
      <c r="U242" s="570"/>
      <c r="V242" s="570"/>
      <c r="W242" s="570"/>
      <c r="X242" s="570"/>
      <c r="Y242" s="570"/>
      <c r="Z242" s="570"/>
      <c r="AA242" s="570"/>
      <c r="AB242" s="570"/>
      <c r="AC242" s="570"/>
      <c r="AD242" s="570"/>
      <c r="AE242" s="570"/>
      <c r="AF242" s="570"/>
      <c r="AG242" s="570"/>
      <c r="AH242" s="570"/>
      <c r="AI242" s="570"/>
      <c r="AJ242" s="570"/>
      <c r="AK242" s="570"/>
      <c r="AL242" s="570"/>
      <c r="AM242" s="570"/>
      <c r="AN242" s="570"/>
      <c r="AO242" s="588"/>
    </row>
    <row r="243" x14ac:dyDescent="0.3">
      <c r="B243" s="597"/>
      <c r="C243" s="570"/>
      <c r="D243" s="820"/>
      <c r="E243" s="625"/>
      <c r="F243" s="611"/>
      <c r="G243" s="570"/>
      <c r="H243" s="626"/>
      <c r="I243" s="532"/>
      <c r="J243" s="292"/>
      <c r="K243" s="287"/>
      <c r="L243" s="532"/>
      <c r="M243" s="610"/>
      <c r="N243" s="570"/>
      <c r="O243" s="570"/>
      <c r="P243" s="297"/>
      <c r="Q243" s="611"/>
      <c r="R243" s="570"/>
      <c r="S243" s="570"/>
      <c r="T243" s="570"/>
      <c r="U243" s="570"/>
      <c r="V243" s="570"/>
      <c r="W243" s="570"/>
      <c r="X243" s="570"/>
      <c r="Y243" s="570"/>
      <c r="Z243" s="570"/>
      <c r="AA243" s="570"/>
      <c r="AB243" s="570"/>
      <c r="AC243" s="570"/>
      <c r="AD243" s="570"/>
      <c r="AE243" s="570"/>
      <c r="AF243" s="570"/>
      <c r="AG243" s="570"/>
      <c r="AH243" s="570"/>
      <c r="AI243" s="570"/>
      <c r="AJ243" s="570"/>
      <c r="AK243" s="570"/>
      <c r="AL243" s="570"/>
      <c r="AM243" s="570"/>
      <c r="AN243" s="570"/>
      <c r="AO243" s="588"/>
    </row>
    <row r="244" ht="21.6" thickBot="true" x14ac:dyDescent="0.35">
      <c r="B244" s="597"/>
      <c r="C244" s="570"/>
      <c r="D244" s="820"/>
      <c r="E244" s="1921" t="s">
        <v>1304</v>
      </c>
      <c r="F244" s="1921"/>
      <c r="G244" s="570"/>
      <c r="H244" s="626"/>
      <c r="I244" s="532"/>
      <c r="J244" s="292"/>
      <c r="K244" s="287"/>
      <c r="L244" s="532"/>
      <c r="M244" s="610"/>
      <c r="N244" s="570"/>
      <c r="O244" s="570"/>
      <c r="P244" s="297"/>
      <c r="Q244" s="611"/>
      <c r="R244" s="570"/>
      <c r="S244" s="570"/>
      <c r="T244" s="570"/>
      <c r="U244" s="570"/>
      <c r="V244" s="570"/>
      <c r="W244" s="570"/>
      <c r="X244" s="570"/>
      <c r="Y244" s="570"/>
      <c r="Z244" s="570"/>
      <c r="AA244" s="570"/>
      <c r="AB244" s="570"/>
      <c r="AC244" s="570"/>
      <c r="AD244" s="570"/>
      <c r="AE244" s="570"/>
      <c r="AF244" s="570"/>
      <c r="AG244" s="570"/>
      <c r="AH244" s="570"/>
      <c r="AI244" s="570"/>
      <c r="AJ244" s="570"/>
      <c r="AK244" s="570"/>
      <c r="AL244" s="570"/>
      <c r="AM244" s="570"/>
      <c r="AN244" s="570"/>
      <c r="AO244" s="588"/>
    </row>
    <row r="245" ht="20.4" x14ac:dyDescent="0.3">
      <c r="B245" s="597"/>
      <c r="C245" s="570"/>
      <c r="D245" s="820"/>
      <c r="E245" s="473" t="s">
        <v>1249</v>
      </c>
      <c r="F245" s="1425">
        <f>G57</f>
        <v>10</v>
      </c>
      <c r="G245" s="570"/>
      <c r="H245" s="626"/>
      <c r="I245" s="532"/>
      <c r="J245" s="292"/>
      <c r="K245" s="287"/>
      <c r="L245" s="532"/>
      <c r="M245" s="610"/>
      <c r="N245" s="570"/>
      <c r="O245" s="570"/>
      <c r="P245" s="297"/>
      <c r="Q245" s="611"/>
      <c r="R245" s="570"/>
      <c r="S245" s="570"/>
      <c r="T245" s="570"/>
      <c r="U245" s="570"/>
      <c r="V245" s="570"/>
      <c r="W245" s="570"/>
      <c r="X245" s="570"/>
      <c r="Y245" s="570"/>
      <c r="Z245" s="570"/>
      <c r="AA245" s="570"/>
      <c r="AB245" s="570"/>
      <c r="AC245" s="570"/>
      <c r="AD245" s="570"/>
      <c r="AE245" s="570"/>
      <c r="AF245" s="570"/>
      <c r="AG245" s="570"/>
      <c r="AH245" s="570"/>
      <c r="AI245" s="570"/>
      <c r="AJ245" s="570"/>
      <c r="AK245" s="570"/>
      <c r="AL245" s="570"/>
      <c r="AM245" s="570"/>
      <c r="AN245" s="570"/>
      <c r="AO245" s="588"/>
    </row>
    <row r="246" ht="20.4" x14ac:dyDescent="0.3">
      <c r="B246" s="597"/>
      <c r="C246" s="570"/>
      <c r="D246" s="820"/>
      <c r="E246" s="1170" t="s">
        <v>1234</v>
      </c>
      <c r="F246" s="1378">
        <f>G72</f>
        <v>0</v>
      </c>
      <c r="G246" s="570"/>
      <c r="H246" s="626"/>
      <c r="I246" s="532"/>
      <c r="J246" s="292"/>
      <c r="K246" s="287"/>
      <c r="L246" s="532"/>
      <c r="M246" s="610"/>
      <c r="N246" s="570"/>
      <c r="O246" s="570"/>
      <c r="P246" s="297"/>
      <c r="Q246" s="611"/>
      <c r="R246" s="570"/>
      <c r="S246" s="570"/>
      <c r="T246" s="570"/>
      <c r="U246" s="570"/>
      <c r="V246" s="570"/>
      <c r="W246" s="570"/>
      <c r="X246" s="570"/>
      <c r="Y246" s="570"/>
      <c r="Z246" s="570"/>
      <c r="AA246" s="570"/>
      <c r="AB246" s="570"/>
      <c r="AC246" s="570"/>
      <c r="AD246" s="570"/>
      <c r="AE246" s="570"/>
      <c r="AF246" s="570"/>
      <c r="AG246" s="570"/>
      <c r="AH246" s="570"/>
      <c r="AI246" s="570"/>
      <c r="AJ246" s="570"/>
      <c r="AK246" s="570"/>
      <c r="AL246" s="570"/>
      <c r="AM246" s="570"/>
      <c r="AN246" s="570"/>
      <c r="AO246" s="588"/>
    </row>
    <row r="247" ht="32.25" customHeight="true" x14ac:dyDescent="0.3">
      <c r="B247" s="597"/>
      <c r="C247" s="570"/>
      <c r="D247" s="820"/>
      <c r="E247" s="1179" t="s">
        <v>2316</v>
      </c>
      <c r="F247" s="1378">
        <f>G73</f>
        <v>38675345.6936263</v>
      </c>
      <c r="G247" s="570"/>
      <c r="H247" s="626"/>
      <c r="I247" s="532"/>
      <c r="J247" s="292"/>
      <c r="K247" s="287"/>
      <c r="L247" s="532"/>
      <c r="M247" s="610"/>
      <c r="N247" s="570"/>
      <c r="O247" s="570"/>
      <c r="P247" s="297"/>
      <c r="Q247" s="611"/>
      <c r="R247" s="570"/>
      <c r="S247" s="570"/>
      <c r="T247" s="570"/>
      <c r="U247" s="570"/>
      <c r="V247" s="570"/>
      <c r="W247" s="570"/>
      <c r="X247" s="570"/>
      <c r="Y247" s="570"/>
      <c r="Z247" s="570"/>
      <c r="AA247" s="570"/>
      <c r="AB247" s="570"/>
      <c r="AC247" s="570"/>
      <c r="AD247" s="570"/>
      <c r="AE247" s="570"/>
      <c r="AF247" s="570"/>
      <c r="AG247" s="570"/>
      <c r="AH247" s="570"/>
      <c r="AI247" s="570"/>
      <c r="AJ247" s="570"/>
      <c r="AK247" s="570"/>
      <c r="AL247" s="570"/>
      <c r="AM247" s="570"/>
      <c r="AN247" s="570"/>
      <c r="AO247" s="588"/>
    </row>
    <row r="248" ht="20.4" x14ac:dyDescent="0.3">
      <c r="B248" s="597"/>
      <c r="C248" s="570"/>
      <c r="D248" s="820"/>
      <c r="E248" s="1170" t="s">
        <v>1246</v>
      </c>
      <c r="F248" s="1378">
        <f>G76</f>
        <v>0.1</v>
      </c>
      <c r="G248" s="570"/>
      <c r="H248" s="626"/>
      <c r="I248" s="532"/>
      <c r="J248" s="292"/>
      <c r="K248" s="287"/>
      <c r="L248" s="532"/>
      <c r="M248" s="610"/>
      <c r="N248" s="570"/>
      <c r="O248" s="570"/>
      <c r="P248" s="297"/>
      <c r="Q248" s="611"/>
      <c r="R248" s="570"/>
      <c r="S248" s="570"/>
      <c r="T248" s="570"/>
      <c r="U248" s="570"/>
      <c r="V248" s="570"/>
      <c r="W248" s="570"/>
      <c r="X248" s="570"/>
      <c r="Y248" s="570"/>
      <c r="Z248" s="570"/>
      <c r="AA248" s="570"/>
      <c r="AB248" s="570"/>
      <c r="AC248" s="570"/>
      <c r="AD248" s="570"/>
      <c r="AE248" s="570"/>
      <c r="AF248" s="570"/>
      <c r="AG248" s="570"/>
      <c r="AH248" s="570"/>
      <c r="AI248" s="570"/>
      <c r="AJ248" s="570"/>
      <c r="AK248" s="570"/>
      <c r="AL248" s="570"/>
      <c r="AM248" s="570"/>
      <c r="AN248" s="570"/>
      <c r="AO248" s="588"/>
    </row>
    <row r="249" ht="20.4" x14ac:dyDescent="0.3">
      <c r="B249" s="597"/>
      <c r="C249" s="570"/>
      <c r="D249" s="820"/>
      <c r="E249" s="1179" t="s">
        <v>1305</v>
      </c>
      <c r="F249" s="1377">
        <f>F246*((F248*(1+F248)^F245)/((1+F248)^F245-1))</f>
        <v>0</v>
      </c>
      <c r="G249" s="570"/>
      <c r="H249" s="626"/>
      <c r="I249" s="532"/>
      <c r="J249" s="292"/>
      <c r="K249" s="287"/>
      <c r="L249" s="532"/>
      <c r="M249" s="610"/>
      <c r="N249" s="570"/>
      <c r="O249" s="570"/>
      <c r="P249" s="297"/>
      <c r="Q249" s="611"/>
      <c r="R249" s="570"/>
      <c r="S249" s="570"/>
      <c r="T249" s="570"/>
      <c r="U249" s="570"/>
      <c r="V249" s="570"/>
      <c r="W249" s="570"/>
      <c r="X249" s="570"/>
      <c r="Y249" s="570"/>
      <c r="Z249" s="570"/>
      <c r="AA249" s="570"/>
      <c r="AB249" s="570"/>
      <c r="AC249" s="570"/>
      <c r="AD249" s="570"/>
      <c r="AE249" s="570"/>
      <c r="AF249" s="570"/>
      <c r="AG249" s="570"/>
      <c r="AH249" s="570"/>
      <c r="AI249" s="570"/>
      <c r="AJ249" s="570"/>
      <c r="AK249" s="570"/>
      <c r="AL249" s="570"/>
      <c r="AM249" s="570"/>
      <c r="AN249" s="570"/>
      <c r="AO249" s="588"/>
    </row>
    <row r="250" ht="20.4" x14ac:dyDescent="0.3">
      <c r="B250" s="597"/>
      <c r="C250" s="570"/>
      <c r="D250" s="820"/>
      <c r="E250" s="522" t="s">
        <v>1306</v>
      </c>
      <c r="F250" s="1377">
        <f>F247+F249</f>
        <v>38675345.6936263</v>
      </c>
      <c r="G250" s="570"/>
      <c r="H250" s="626"/>
      <c r="I250" s="532"/>
      <c r="J250" s="292"/>
      <c r="K250" s="287"/>
      <c r="L250" s="532"/>
      <c r="M250" s="610"/>
      <c r="N250" s="570"/>
      <c r="O250" s="570"/>
      <c r="P250" s="297"/>
      <c r="Q250" s="611"/>
      <c r="R250" s="570"/>
      <c r="S250" s="570"/>
      <c r="T250" s="570"/>
      <c r="U250" s="570"/>
      <c r="V250" s="570"/>
      <c r="W250" s="570"/>
      <c r="X250" s="570"/>
      <c r="Y250" s="570"/>
      <c r="Z250" s="570"/>
      <c r="AA250" s="570"/>
      <c r="AB250" s="570"/>
      <c r="AC250" s="570"/>
      <c r="AD250" s="570"/>
      <c r="AE250" s="570"/>
      <c r="AF250" s="570"/>
      <c r="AG250" s="570"/>
      <c r="AH250" s="570"/>
      <c r="AI250" s="570"/>
      <c r="AJ250" s="570"/>
      <c r="AK250" s="570"/>
      <c r="AL250" s="570"/>
      <c r="AM250" s="570"/>
      <c r="AN250" s="570"/>
      <c r="AO250" s="588"/>
    </row>
    <row r="251" ht="20.4" x14ac:dyDescent="0.3">
      <c r="B251" s="597"/>
      <c r="C251" s="570"/>
      <c r="D251" s="820"/>
      <c r="E251" s="522" t="s">
        <v>1257</v>
      </c>
      <c r="F251" s="1377">
        <f>K86</f>
        <v>613885.19631414255</v>
      </c>
      <c r="G251" s="570"/>
      <c r="H251" s="626"/>
      <c r="I251" s="532"/>
      <c r="J251" s="292"/>
      <c r="K251" s="287"/>
      <c r="L251" s="532"/>
      <c r="M251" s="610"/>
      <c r="N251" s="570"/>
      <c r="O251" s="570"/>
      <c r="P251" s="297"/>
      <c r="Q251" s="611"/>
      <c r="R251" s="570"/>
      <c r="S251" s="570"/>
      <c r="T251" s="570"/>
      <c r="U251" s="570"/>
      <c r="V251" s="570"/>
      <c r="W251" s="570"/>
      <c r="X251" s="570"/>
      <c r="Y251" s="570"/>
      <c r="Z251" s="570"/>
      <c r="AA251" s="570"/>
      <c r="AB251" s="570"/>
      <c r="AC251" s="570"/>
      <c r="AD251" s="570"/>
      <c r="AE251" s="570"/>
      <c r="AF251" s="570"/>
      <c r="AG251" s="570"/>
      <c r="AH251" s="570"/>
      <c r="AI251" s="570"/>
      <c r="AJ251" s="570"/>
      <c r="AK251" s="570"/>
      <c r="AL251" s="570"/>
      <c r="AM251" s="570"/>
      <c r="AN251" s="570"/>
      <c r="AO251" s="588"/>
    </row>
    <row r="252" ht="36.6" thickBot="true" x14ac:dyDescent="0.35">
      <c r="B252" s="597"/>
      <c r="C252" s="570"/>
      <c r="D252" s="820"/>
      <c r="E252" s="523" t="s">
        <v>1307</v>
      </c>
      <c r="F252" s="1270">
        <f>F251-F249</f>
        <v>613885.19631414255</v>
      </c>
      <c r="G252" s="570"/>
      <c r="H252" s="626"/>
      <c r="I252" s="532"/>
      <c r="J252" s="292"/>
      <c r="K252" s="287"/>
      <c r="L252" s="532"/>
      <c r="M252" s="610"/>
      <c r="N252" s="570"/>
      <c r="O252" s="570"/>
      <c r="P252" s="297"/>
      <c r="Q252" s="611"/>
      <c r="R252" s="570"/>
      <c r="S252" s="570"/>
      <c r="T252" s="570"/>
      <c r="U252" s="570"/>
      <c r="V252" s="570"/>
      <c r="W252" s="570"/>
      <c r="X252" s="570"/>
      <c r="Y252" s="570"/>
      <c r="Z252" s="570"/>
      <c r="AA252" s="570"/>
      <c r="AB252" s="570"/>
      <c r="AC252" s="570"/>
      <c r="AD252" s="570"/>
      <c r="AE252" s="570"/>
      <c r="AF252" s="570"/>
      <c r="AG252" s="570"/>
      <c r="AH252" s="570"/>
      <c r="AI252" s="570"/>
      <c r="AJ252" s="570"/>
      <c r="AK252" s="570"/>
      <c r="AL252" s="570"/>
      <c r="AM252" s="570"/>
      <c r="AN252" s="570"/>
      <c r="AO252" s="588"/>
    </row>
    <row r="253" x14ac:dyDescent="0.3">
      <c r="B253" s="597"/>
      <c r="C253" s="570"/>
      <c r="D253" s="820"/>
      <c r="E253" s="625"/>
      <c r="F253" s="611"/>
      <c r="G253" s="570"/>
      <c r="H253" s="626"/>
      <c r="I253" s="532"/>
      <c r="J253" s="292"/>
      <c r="K253" s="287"/>
      <c r="L253" s="532"/>
      <c r="M253" s="610"/>
      <c r="N253" s="570"/>
      <c r="O253" s="570"/>
      <c r="P253" s="297"/>
      <c r="Q253" s="611"/>
      <c r="R253" s="570"/>
      <c r="S253" s="570"/>
      <c r="T253" s="570"/>
      <c r="U253" s="570"/>
      <c r="V253" s="570"/>
      <c r="W253" s="570"/>
      <c r="X253" s="570"/>
      <c r="Y253" s="570"/>
      <c r="Z253" s="570"/>
      <c r="AA253" s="570"/>
      <c r="AB253" s="570"/>
      <c r="AC253" s="570"/>
      <c r="AD253" s="570"/>
      <c r="AE253" s="570"/>
      <c r="AF253" s="570"/>
      <c r="AG253" s="570"/>
      <c r="AH253" s="570"/>
      <c r="AI253" s="570"/>
      <c r="AJ253" s="570"/>
      <c r="AK253" s="570"/>
      <c r="AL253" s="570"/>
      <c r="AM253" s="570"/>
      <c r="AN253" s="570"/>
      <c r="AO253" s="588"/>
    </row>
    <row r="254" x14ac:dyDescent="0.3">
      <c r="B254" s="597"/>
      <c r="C254" s="570"/>
      <c r="D254" s="820"/>
      <c r="E254" s="625"/>
      <c r="F254" s="611"/>
      <c r="G254" s="570"/>
      <c r="H254" s="626"/>
      <c r="I254" s="532"/>
      <c r="J254" s="292"/>
      <c r="K254" s="287"/>
      <c r="L254" s="532"/>
      <c r="M254" s="610"/>
      <c r="N254" s="570"/>
      <c r="O254" s="570"/>
      <c r="P254" s="297"/>
      <c r="Q254" s="611"/>
      <c r="R254" s="570"/>
      <c r="S254" s="570"/>
      <c r="T254" s="570"/>
      <c r="U254" s="570"/>
      <c r="V254" s="570"/>
      <c r="W254" s="570"/>
      <c r="X254" s="570"/>
      <c r="Y254" s="570"/>
      <c r="Z254" s="570"/>
      <c r="AA254" s="570"/>
      <c r="AB254" s="570"/>
      <c r="AC254" s="570"/>
      <c r="AD254" s="570"/>
      <c r="AE254" s="570"/>
      <c r="AF254" s="570"/>
      <c r="AG254" s="570"/>
      <c r="AH254" s="570"/>
      <c r="AI254" s="570"/>
      <c r="AJ254" s="570"/>
      <c r="AK254" s="570"/>
      <c r="AL254" s="570"/>
      <c r="AM254" s="570"/>
      <c r="AN254" s="570"/>
      <c r="AO254" s="588"/>
    </row>
    <row r="255" x14ac:dyDescent="0.3">
      <c r="B255" s="597"/>
      <c r="C255" s="570"/>
      <c r="D255" s="820"/>
      <c r="E255" s="625"/>
      <c r="F255" s="611"/>
      <c r="G255" s="570"/>
      <c r="H255" s="626"/>
      <c r="I255" s="532"/>
      <c r="J255" s="292"/>
      <c r="K255" s="287"/>
      <c r="L255" s="532"/>
      <c r="M255" s="610"/>
      <c r="N255" s="570"/>
      <c r="O255" s="570"/>
      <c r="P255" s="297"/>
      <c r="Q255" s="611"/>
      <c r="R255" s="570"/>
      <c r="S255" s="570"/>
      <c r="T255" s="570"/>
      <c r="U255" s="570"/>
      <c r="V255" s="570"/>
      <c r="W255" s="570"/>
      <c r="X255" s="570"/>
      <c r="Y255" s="570"/>
      <c r="Z255" s="570"/>
      <c r="AA255" s="570"/>
      <c r="AB255" s="570"/>
      <c r="AC255" s="570"/>
      <c r="AD255" s="570"/>
      <c r="AE255" s="570"/>
      <c r="AF255" s="570"/>
      <c r="AG255" s="570"/>
      <c r="AH255" s="570"/>
      <c r="AI255" s="570"/>
      <c r="AJ255" s="570"/>
      <c r="AK255" s="570"/>
      <c r="AL255" s="570"/>
      <c r="AM255" s="570"/>
      <c r="AN255" s="570"/>
      <c r="AO255" s="588"/>
    </row>
    <row r="256" ht="24" thickBot="true" x14ac:dyDescent="0.35">
      <c r="B256" s="597"/>
      <c r="C256" s="570"/>
      <c r="D256" s="820"/>
      <c r="E256" s="1921" t="s">
        <v>1308</v>
      </c>
      <c r="F256" s="1921"/>
      <c r="G256" s="570"/>
      <c r="H256" s="626"/>
      <c r="I256" s="532"/>
      <c r="J256" s="292"/>
      <c r="K256" s="287"/>
      <c r="L256" s="532"/>
      <c r="M256" s="610"/>
      <c r="N256" s="570"/>
      <c r="O256" s="570"/>
      <c r="P256" s="297"/>
      <c r="Q256" s="611"/>
      <c r="R256" s="570"/>
      <c r="S256" s="570"/>
      <c r="T256" s="570"/>
      <c r="U256" s="570"/>
      <c r="V256" s="570"/>
      <c r="W256" s="570"/>
      <c r="X256" s="570"/>
      <c r="Y256" s="570"/>
      <c r="Z256" s="570"/>
      <c r="AA256" s="570"/>
      <c r="AB256" s="570"/>
      <c r="AC256" s="570"/>
      <c r="AD256" s="570"/>
      <c r="AE256" s="570"/>
      <c r="AF256" s="570"/>
      <c r="AG256" s="570"/>
      <c r="AH256" s="570"/>
      <c r="AI256" s="570"/>
      <c r="AJ256" s="570"/>
      <c r="AK256" s="570"/>
      <c r="AL256" s="570"/>
      <c r="AM256" s="570"/>
      <c r="AN256" s="570"/>
      <c r="AO256" s="588"/>
    </row>
    <row r="257" ht="20.4" x14ac:dyDescent="0.3">
      <c r="B257" s="597"/>
      <c r="C257" s="570"/>
      <c r="D257" s="820"/>
      <c r="E257" s="341" t="s">
        <v>1311</v>
      </c>
      <c r="F257" s="1425">
        <f>G64</f>
        <v>29711389.233842522</v>
      </c>
      <c r="G257" s="528"/>
      <c r="H257" s="831"/>
      <c r="I257" s="528"/>
      <c r="J257" s="831"/>
      <c r="K257" s="287"/>
      <c r="L257" s="532"/>
      <c r="M257" s="610"/>
      <c r="N257" s="570"/>
      <c r="O257" s="570"/>
      <c r="P257" s="297"/>
      <c r="Q257" s="611"/>
      <c r="R257" s="570"/>
      <c r="S257" s="570"/>
      <c r="T257" s="570"/>
      <c r="U257" s="570"/>
      <c r="V257" s="570"/>
      <c r="W257" s="570"/>
      <c r="X257" s="570"/>
      <c r="Y257" s="570"/>
      <c r="Z257" s="570"/>
      <c r="AA257" s="570"/>
      <c r="AB257" s="570"/>
      <c r="AC257" s="570"/>
      <c r="AD257" s="570"/>
      <c r="AE257" s="570"/>
      <c r="AF257" s="570"/>
      <c r="AG257" s="570"/>
      <c r="AH257" s="570"/>
      <c r="AI257" s="570"/>
      <c r="AJ257" s="570"/>
      <c r="AK257" s="570"/>
      <c r="AL257" s="570"/>
      <c r="AM257" s="570"/>
      <c r="AN257" s="570"/>
      <c r="AO257" s="588"/>
    </row>
    <row r="258" ht="20.4" x14ac:dyDescent="0.3">
      <c r="B258" s="597"/>
      <c r="C258" s="570"/>
      <c r="D258" s="820"/>
      <c r="E258" s="1170" t="s">
        <v>1312</v>
      </c>
      <c r="F258" s="1377">
        <f>F52</f>
        <v>39552324.545503646</v>
      </c>
      <c r="G258" s="528"/>
      <c r="H258" s="831"/>
      <c r="I258" s="528"/>
      <c r="J258" s="528"/>
      <c r="K258" s="287"/>
      <c r="L258" s="532"/>
      <c r="M258" s="610"/>
      <c r="N258" s="570"/>
      <c r="O258" s="570"/>
      <c r="P258" s="297"/>
      <c r="Q258" s="611"/>
      <c r="R258" s="570"/>
      <c r="S258" s="570"/>
      <c r="T258" s="570"/>
      <c r="U258" s="570"/>
      <c r="V258" s="570"/>
      <c r="W258" s="570"/>
      <c r="X258" s="570"/>
      <c r="Y258" s="570"/>
      <c r="Z258" s="570"/>
      <c r="AA258" s="570"/>
      <c r="AB258" s="570"/>
      <c r="AC258" s="570"/>
      <c r="AD258" s="570"/>
      <c r="AE258" s="570"/>
      <c r="AF258" s="570"/>
      <c r="AG258" s="570"/>
      <c r="AH258" s="570"/>
      <c r="AI258" s="570"/>
      <c r="AJ258" s="570"/>
      <c r="AK258" s="570"/>
      <c r="AL258" s="570"/>
      <c r="AM258" s="570"/>
      <c r="AN258" s="570"/>
      <c r="AO258" s="588"/>
    </row>
    <row r="259" thickBot="true" x14ac:dyDescent="0.35">
      <c r="B259" s="597"/>
      <c r="C259" s="570"/>
      <c r="D259" s="820"/>
      <c r="E259" s="344" t="s">
        <v>1313</v>
      </c>
      <c r="F259" s="1379">
        <f>F257/F258</f>
        <v>0.75119198619187466</v>
      </c>
      <c r="G259" s="528"/>
      <c r="H259" s="831"/>
      <c r="I259" s="528"/>
      <c r="J259" s="528"/>
      <c r="K259" s="287"/>
      <c r="L259" s="532"/>
      <c r="M259" s="610"/>
      <c r="N259" s="570"/>
      <c r="O259" s="570"/>
      <c r="P259" s="297"/>
      <c r="Q259" s="611"/>
      <c r="R259" s="570"/>
      <c r="S259" s="570"/>
      <c r="T259" s="570"/>
      <c r="U259" s="570"/>
      <c r="V259" s="570"/>
      <c r="W259" s="570"/>
      <c r="X259" s="570"/>
      <c r="Y259" s="570"/>
      <c r="Z259" s="570"/>
      <c r="AA259" s="570"/>
      <c r="AB259" s="570"/>
      <c r="AC259" s="570"/>
      <c r="AD259" s="570"/>
      <c r="AE259" s="570"/>
      <c r="AF259" s="570"/>
      <c r="AG259" s="570"/>
      <c r="AH259" s="570"/>
      <c r="AI259" s="570"/>
      <c r="AJ259" s="570"/>
      <c r="AK259" s="570"/>
      <c r="AL259" s="570"/>
      <c r="AM259" s="570"/>
      <c r="AN259" s="570"/>
      <c r="AO259" s="588"/>
    </row>
    <row r="260" x14ac:dyDescent="0.3">
      <c r="B260" s="597"/>
      <c r="C260" s="570"/>
      <c r="D260" s="820"/>
      <c r="E260" s="625"/>
      <c r="F260" s="611"/>
      <c r="G260" s="528"/>
      <c r="H260" s="831"/>
      <c r="I260" s="528"/>
      <c r="J260" s="528"/>
      <c r="K260" s="287"/>
      <c r="L260" s="532"/>
      <c r="M260" s="610"/>
      <c r="N260" s="570"/>
      <c r="O260" s="570"/>
      <c r="P260" s="297"/>
      <c r="Q260" s="611"/>
      <c r="R260" s="570"/>
      <c r="S260" s="570"/>
      <c r="T260" s="570"/>
      <c r="U260" s="570"/>
      <c r="V260" s="570"/>
      <c r="W260" s="570"/>
      <c r="X260" s="570"/>
      <c r="Y260" s="570"/>
      <c r="Z260" s="570"/>
      <c r="AA260" s="570"/>
      <c r="AB260" s="570"/>
      <c r="AC260" s="570"/>
      <c r="AD260" s="570"/>
      <c r="AE260" s="570"/>
      <c r="AF260" s="570"/>
      <c r="AG260" s="570"/>
      <c r="AH260" s="570"/>
      <c r="AI260" s="570"/>
      <c r="AJ260" s="570"/>
      <c r="AK260" s="570"/>
      <c r="AL260" s="570"/>
      <c r="AM260" s="570"/>
      <c r="AN260" s="570"/>
      <c r="AO260" s="588"/>
    </row>
    <row r="261" x14ac:dyDescent="0.3">
      <c r="B261" s="597"/>
      <c r="C261" s="570"/>
      <c r="D261" s="820"/>
      <c r="E261" s="625"/>
      <c r="F261" s="611"/>
      <c r="G261" s="528"/>
      <c r="H261" s="831"/>
      <c r="I261" s="528"/>
      <c r="J261" s="528"/>
      <c r="K261" s="287"/>
      <c r="L261" s="532"/>
      <c r="M261" s="610"/>
      <c r="N261" s="570"/>
      <c r="O261" s="570"/>
      <c r="P261" s="297"/>
      <c r="Q261" s="611"/>
      <c r="R261" s="570"/>
      <c r="S261" s="570"/>
      <c r="T261" s="570"/>
      <c r="U261" s="570"/>
      <c r="V261" s="570"/>
      <c r="W261" s="570"/>
      <c r="X261" s="570"/>
      <c r="Y261" s="570"/>
      <c r="Z261" s="570"/>
      <c r="AA261" s="570"/>
      <c r="AB261" s="570"/>
      <c r="AC261" s="570"/>
      <c r="AD261" s="570"/>
      <c r="AE261" s="570"/>
      <c r="AF261" s="570"/>
      <c r="AG261" s="570"/>
      <c r="AH261" s="570"/>
      <c r="AI261" s="570"/>
      <c r="AJ261" s="570"/>
      <c r="AK261" s="570"/>
      <c r="AL261" s="570"/>
      <c r="AM261" s="570"/>
      <c r="AN261" s="570"/>
      <c r="AO261" s="588"/>
    </row>
    <row r="262" x14ac:dyDescent="0.3">
      <c r="B262" s="597"/>
      <c r="C262" s="570"/>
      <c r="D262" s="820"/>
      <c r="E262" s="625"/>
      <c r="F262" s="611"/>
      <c r="G262" s="528"/>
      <c r="H262" s="831"/>
      <c r="I262" s="528"/>
      <c r="J262" s="528"/>
      <c r="K262" s="287"/>
      <c r="L262" s="532"/>
      <c r="M262" s="610"/>
      <c r="N262" s="570"/>
      <c r="O262" s="570"/>
      <c r="P262" s="297"/>
      <c r="Q262" s="611"/>
      <c r="R262" s="570"/>
      <c r="S262" s="570"/>
      <c r="T262" s="570"/>
      <c r="U262" s="570"/>
      <c r="V262" s="570"/>
      <c r="W262" s="570"/>
      <c r="X262" s="570"/>
      <c r="Y262" s="570"/>
      <c r="Z262" s="570"/>
      <c r="AA262" s="570"/>
      <c r="AB262" s="570"/>
      <c r="AC262" s="570"/>
      <c r="AD262" s="570"/>
      <c r="AE262" s="570"/>
      <c r="AF262" s="570"/>
      <c r="AG262" s="570"/>
      <c r="AH262" s="570"/>
      <c r="AI262" s="570"/>
      <c r="AJ262" s="570"/>
      <c r="AK262" s="570"/>
      <c r="AL262" s="570"/>
      <c r="AM262" s="570"/>
      <c r="AN262" s="570"/>
      <c r="AO262" s="588"/>
    </row>
    <row r="263" x14ac:dyDescent="0.3">
      <c r="B263" s="597"/>
      <c r="C263" s="570"/>
      <c r="D263" s="820"/>
      <c r="E263" s="625"/>
      <c r="F263" s="611"/>
      <c r="G263" s="528"/>
      <c r="H263" s="831"/>
      <c r="I263" s="528"/>
      <c r="J263" s="528"/>
      <c r="K263" s="287"/>
      <c r="L263" s="532"/>
      <c r="M263" s="610"/>
      <c r="N263" s="570"/>
      <c r="O263" s="570"/>
      <c r="P263" s="297"/>
      <c r="Q263" s="611"/>
      <c r="R263" s="570"/>
      <c r="S263" s="570"/>
      <c r="T263" s="570"/>
      <c r="U263" s="570"/>
      <c r="V263" s="570"/>
      <c r="W263" s="570"/>
      <c r="X263" s="570"/>
      <c r="Y263" s="570"/>
      <c r="Z263" s="570"/>
      <c r="AA263" s="570"/>
      <c r="AB263" s="570"/>
      <c r="AC263" s="570"/>
      <c r="AD263" s="570"/>
      <c r="AE263" s="570"/>
      <c r="AF263" s="570"/>
      <c r="AG263" s="570"/>
      <c r="AH263" s="570"/>
      <c r="AI263" s="570"/>
      <c r="AJ263" s="570"/>
      <c r="AK263" s="570"/>
      <c r="AL263" s="570"/>
      <c r="AM263" s="570"/>
      <c r="AN263" s="570"/>
      <c r="AO263" s="588"/>
    </row>
    <row r="264" x14ac:dyDescent="0.3">
      <c r="B264" s="597"/>
      <c r="C264" s="570"/>
      <c r="D264" s="820"/>
      <c r="E264" s="625"/>
      <c r="F264" s="611"/>
      <c r="G264" s="528"/>
      <c r="H264" s="831"/>
      <c r="I264" s="528"/>
      <c r="J264" s="528"/>
      <c r="K264" s="287"/>
      <c r="L264" s="532"/>
      <c r="M264" s="610"/>
      <c r="N264" s="570"/>
      <c r="O264" s="570"/>
      <c r="P264" s="297"/>
      <c r="Q264" s="611"/>
      <c r="R264" s="570"/>
      <c r="S264" s="570"/>
      <c r="T264" s="570"/>
      <c r="U264" s="570"/>
      <c r="V264" s="570"/>
      <c r="W264" s="570"/>
      <c r="X264" s="570"/>
      <c r="Y264" s="570"/>
      <c r="Z264" s="570"/>
      <c r="AA264" s="570"/>
      <c r="AB264" s="570"/>
      <c r="AC264" s="570"/>
      <c r="AD264" s="570"/>
      <c r="AE264" s="570"/>
      <c r="AF264" s="570"/>
      <c r="AG264" s="570"/>
      <c r="AH264" s="570"/>
      <c r="AI264" s="570"/>
      <c r="AJ264" s="570"/>
      <c r="AK264" s="570"/>
      <c r="AL264" s="570"/>
      <c r="AM264" s="570"/>
      <c r="AN264" s="570"/>
      <c r="AO264" s="588"/>
    </row>
    <row r="265" x14ac:dyDescent="0.3">
      <c r="B265" s="597"/>
      <c r="C265" s="570"/>
      <c r="D265" s="820"/>
      <c r="E265" s="625"/>
      <c r="F265" s="611"/>
      <c r="G265" s="528"/>
      <c r="H265" s="831"/>
      <c r="I265" s="528"/>
      <c r="J265" s="528"/>
      <c r="K265" s="287"/>
      <c r="L265" s="532"/>
      <c r="M265" s="610"/>
      <c r="N265" s="570"/>
      <c r="O265" s="570"/>
      <c r="P265" s="297"/>
      <c r="Q265" s="611"/>
      <c r="R265" s="570"/>
      <c r="S265" s="570"/>
      <c r="T265" s="570"/>
      <c r="U265" s="570"/>
      <c r="V265" s="570"/>
      <c r="W265" s="570"/>
      <c r="X265" s="570"/>
      <c r="Y265" s="570"/>
      <c r="Z265" s="570"/>
      <c r="AA265" s="570"/>
      <c r="AB265" s="570"/>
      <c r="AC265" s="570"/>
      <c r="AD265" s="570"/>
      <c r="AE265" s="570"/>
      <c r="AF265" s="570"/>
      <c r="AG265" s="570"/>
      <c r="AH265" s="570"/>
      <c r="AI265" s="570"/>
      <c r="AJ265" s="570"/>
      <c r="AK265" s="570"/>
      <c r="AL265" s="570"/>
      <c r="AM265" s="570"/>
      <c r="AN265" s="570"/>
      <c r="AO265" s="588"/>
    </row>
    <row r="266" x14ac:dyDescent="0.3">
      <c r="B266" s="597"/>
      <c r="C266" s="570"/>
      <c r="D266" s="820"/>
      <c r="E266" s="625"/>
      <c r="F266" s="611"/>
      <c r="G266" s="528"/>
      <c r="H266" s="528"/>
      <c r="I266" s="626"/>
      <c r="J266" s="528"/>
      <c r="K266" s="287"/>
      <c r="L266" s="532"/>
      <c r="M266" s="610"/>
      <c r="N266" s="570"/>
      <c r="O266" s="570"/>
      <c r="P266" s="297"/>
      <c r="Q266" s="611"/>
      <c r="R266" s="570"/>
      <c r="S266" s="570"/>
      <c r="T266" s="570"/>
      <c r="U266" s="570"/>
      <c r="V266" s="570"/>
      <c r="W266" s="570"/>
      <c r="X266" s="570"/>
      <c r="Y266" s="570"/>
      <c r="Z266" s="570"/>
      <c r="AA266" s="570"/>
      <c r="AB266" s="570"/>
      <c r="AC266" s="570"/>
      <c r="AD266" s="570"/>
      <c r="AE266" s="570"/>
      <c r="AF266" s="570"/>
      <c r="AG266" s="570"/>
      <c r="AH266" s="570"/>
      <c r="AI266" s="570"/>
      <c r="AJ266" s="570"/>
      <c r="AK266" s="570"/>
      <c r="AL266" s="570"/>
      <c r="AM266" s="570"/>
      <c r="AN266" s="570"/>
      <c r="AO266" s="588"/>
    </row>
    <row r="267" x14ac:dyDescent="0.3">
      <c r="B267" s="597"/>
      <c r="C267" s="570"/>
      <c r="D267" s="820"/>
      <c r="E267" s="625"/>
      <c r="F267" s="611"/>
      <c r="G267" s="570"/>
      <c r="H267" s="626"/>
      <c r="I267" s="532"/>
      <c r="J267" s="292"/>
      <c r="K267" s="287"/>
      <c r="L267" s="532"/>
      <c r="M267" s="610"/>
      <c r="N267" s="570"/>
      <c r="O267" s="570"/>
      <c r="P267" s="297"/>
      <c r="Q267" s="611"/>
      <c r="R267" s="570"/>
      <c r="S267" s="570"/>
      <c r="T267" s="570"/>
      <c r="U267" s="570"/>
      <c r="V267" s="570"/>
      <c r="W267" s="570"/>
      <c r="X267" s="570"/>
      <c r="Y267" s="570"/>
      <c r="Z267" s="570"/>
      <c r="AA267" s="570"/>
      <c r="AB267" s="570"/>
      <c r="AC267" s="570"/>
      <c r="AD267" s="570"/>
      <c r="AE267" s="570"/>
      <c r="AF267" s="570"/>
      <c r="AG267" s="570"/>
      <c r="AH267" s="570"/>
      <c r="AI267" s="570"/>
      <c r="AJ267" s="570"/>
      <c r="AK267" s="570"/>
      <c r="AL267" s="570"/>
      <c r="AM267" s="570"/>
      <c r="AN267" s="570"/>
      <c r="AO267" s="588"/>
    </row>
    <row r="268" x14ac:dyDescent="0.3">
      <c r="B268" s="597"/>
      <c r="C268" s="570"/>
      <c r="D268" s="820"/>
      <c r="E268" s="625"/>
      <c r="F268" s="611"/>
      <c r="G268" s="570"/>
      <c r="H268" s="626"/>
      <c r="I268" s="532"/>
      <c r="J268" s="292"/>
      <c r="K268" s="287"/>
      <c r="L268" s="532"/>
      <c r="M268" s="610"/>
      <c r="N268" s="570"/>
      <c r="O268" s="570"/>
      <c r="P268" s="297"/>
      <c r="Q268" s="611"/>
      <c r="R268" s="570"/>
      <c r="S268" s="570"/>
      <c r="T268" s="570"/>
      <c r="U268" s="570"/>
      <c r="V268" s="570"/>
      <c r="W268" s="570"/>
      <c r="X268" s="570"/>
      <c r="Y268" s="570"/>
      <c r="Z268" s="570"/>
      <c r="AA268" s="570"/>
      <c r="AB268" s="570"/>
      <c r="AC268" s="570"/>
      <c r="AD268" s="570"/>
      <c r="AE268" s="570"/>
      <c r="AF268" s="570"/>
      <c r="AG268" s="570"/>
      <c r="AH268" s="570"/>
      <c r="AI268" s="570"/>
      <c r="AJ268" s="570"/>
      <c r="AK268" s="570"/>
      <c r="AL268" s="570"/>
      <c r="AM268" s="570"/>
      <c r="AN268" s="570"/>
      <c r="AO268" s="588"/>
    </row>
    <row r="269" x14ac:dyDescent="0.3">
      <c r="B269" s="597"/>
      <c r="C269" s="570"/>
      <c r="D269" s="820"/>
      <c r="E269" s="625"/>
      <c r="F269" s="611"/>
      <c r="G269" s="570"/>
      <c r="H269" s="626"/>
      <c r="I269" s="532"/>
      <c r="J269" s="292"/>
      <c r="K269" s="287"/>
      <c r="L269" s="532"/>
      <c r="M269" s="610"/>
      <c r="N269" s="570"/>
      <c r="O269" s="570"/>
      <c r="P269" s="297"/>
      <c r="Q269" s="611"/>
      <c r="R269" s="570"/>
      <c r="S269" s="570"/>
      <c r="T269" s="570"/>
      <c r="U269" s="570"/>
      <c r="V269" s="570"/>
      <c r="W269" s="570"/>
      <c r="X269" s="570"/>
      <c r="Y269" s="570"/>
      <c r="Z269" s="570"/>
      <c r="AA269" s="570"/>
      <c r="AB269" s="570"/>
      <c r="AC269" s="570"/>
      <c r="AD269" s="570"/>
      <c r="AE269" s="570"/>
      <c r="AF269" s="570"/>
      <c r="AG269" s="570"/>
      <c r="AH269" s="570"/>
      <c r="AI269" s="570"/>
      <c r="AJ269" s="570"/>
      <c r="AK269" s="570"/>
      <c r="AL269" s="570"/>
      <c r="AM269" s="570"/>
      <c r="AN269" s="570"/>
      <c r="AO269" s="588"/>
    </row>
    <row r="270" thickBot="true" x14ac:dyDescent="0.35">
      <c r="B270" s="597"/>
      <c r="C270" s="570"/>
      <c r="D270" s="820"/>
      <c r="E270" s="524" t="s">
        <v>1314</v>
      </c>
      <c r="F270" s="611"/>
      <c r="G270" s="570"/>
      <c r="H270" s="626"/>
      <c r="I270" s="532"/>
      <c r="J270" s="292"/>
      <c r="K270" s="287"/>
      <c r="L270" s="532"/>
      <c r="M270" s="610"/>
      <c r="N270" s="570"/>
      <c r="O270" s="570"/>
      <c r="P270" s="297"/>
      <c r="Q270" s="611"/>
      <c r="R270" s="570"/>
      <c r="S270" s="570"/>
      <c r="T270" s="570"/>
      <c r="U270" s="570"/>
      <c r="V270" s="570"/>
      <c r="W270" s="570"/>
      <c r="X270" s="570"/>
      <c r="Y270" s="570"/>
      <c r="Z270" s="570"/>
      <c r="AA270" s="570"/>
      <c r="AB270" s="570"/>
      <c r="AC270" s="570"/>
      <c r="AD270" s="570"/>
      <c r="AE270" s="570"/>
      <c r="AF270" s="570"/>
      <c r="AG270" s="570"/>
      <c r="AH270" s="570"/>
      <c r="AI270" s="570"/>
      <c r="AJ270" s="570"/>
      <c r="AK270" s="570"/>
      <c r="AL270" s="570"/>
      <c r="AM270" s="570"/>
      <c r="AN270" s="570"/>
      <c r="AO270" s="588"/>
    </row>
    <row r="271" thickBot="true" x14ac:dyDescent="0.35">
      <c r="B271" s="597"/>
      <c r="C271" s="570"/>
      <c r="D271" s="820"/>
      <c r="E271" s="525" t="s">
        <v>1316</v>
      </c>
      <c r="F271" s="1426">
        <f>H287</f>
        <v>0</v>
      </c>
      <c r="G271" s="526" t="s">
        <v>1315</v>
      </c>
      <c r="H271" s="527" t="s">
        <v>1310</v>
      </c>
      <c r="I271" s="532"/>
      <c r="J271" s="292"/>
      <c r="K271" s="287"/>
      <c r="L271" s="532"/>
      <c r="M271" s="610"/>
      <c r="N271" s="570"/>
      <c r="O271" s="570"/>
      <c r="P271" s="297"/>
      <c r="Q271" s="611"/>
      <c r="R271" s="570"/>
      <c r="S271" s="570"/>
      <c r="T271" s="570"/>
      <c r="U271" s="570"/>
      <c r="V271" s="570"/>
      <c r="W271" s="570"/>
      <c r="X271" s="570"/>
      <c r="Y271" s="570"/>
      <c r="Z271" s="570"/>
      <c r="AA271" s="570"/>
      <c r="AB271" s="570"/>
      <c r="AC271" s="570"/>
      <c r="AD271" s="570"/>
      <c r="AE271" s="570"/>
      <c r="AF271" s="570"/>
      <c r="AG271" s="570"/>
      <c r="AH271" s="570"/>
      <c r="AI271" s="570"/>
      <c r="AJ271" s="570"/>
      <c r="AK271" s="570"/>
      <c r="AL271" s="570"/>
      <c r="AM271" s="570"/>
      <c r="AN271" s="570"/>
      <c r="AO271" s="588"/>
    </row>
    <row r="272" x14ac:dyDescent="0.3">
      <c r="B272" s="597"/>
      <c r="C272" s="570"/>
      <c r="D272" s="820"/>
      <c r="E272" s="625"/>
      <c r="F272" s="611"/>
      <c r="G272" s="1427" t="str">
        <f>IF('III. Utility Data'!H10&lt;&gt;"",'III. Utility Data'!E10,"")</f>
        <v>Medium pressure steam @10 barg 184°C, 1/kg</v>
      </c>
      <c r="H272" s="1428">
        <f>IF('III. Utility Data'!H10&lt;&gt;"",'III. Utility Data'!M10,"")</f>
        <v>0</v>
      </c>
      <c r="I272" s="532"/>
      <c r="J272" s="292"/>
      <c r="K272" s="287"/>
      <c r="L272" s="532"/>
      <c r="M272" s="610"/>
      <c r="N272" s="570"/>
      <c r="O272" s="570"/>
      <c r="P272" s="297"/>
      <c r="Q272" s="611"/>
      <c r="R272" s="570"/>
      <c r="S272" s="570"/>
      <c r="T272" s="570"/>
      <c r="U272" s="570"/>
      <c r="V272" s="570"/>
      <c r="W272" s="570"/>
      <c r="X272" s="570"/>
      <c r="Y272" s="570"/>
      <c r="Z272" s="570"/>
      <c r="AA272" s="570"/>
      <c r="AB272" s="570"/>
      <c r="AC272" s="570"/>
      <c r="AD272" s="570"/>
      <c r="AE272" s="570"/>
      <c r="AF272" s="570"/>
      <c r="AG272" s="570"/>
      <c r="AH272" s="570"/>
      <c r="AI272" s="570"/>
      <c r="AJ272" s="570"/>
      <c r="AK272" s="570"/>
      <c r="AL272" s="570"/>
      <c r="AM272" s="570"/>
      <c r="AN272" s="570"/>
      <c r="AO272" s="588"/>
    </row>
    <row r="273" x14ac:dyDescent="0.3">
      <c r="B273" s="597"/>
      <c r="C273" s="570"/>
      <c r="D273" s="820"/>
      <c r="E273" s="625"/>
      <c r="F273" s="611"/>
      <c r="G273" s="1427" t="str">
        <f>IF('III. Utility Data'!H11&lt;&gt;"",'III. Utility Data'!E11,"")</f>
        <v>Moderately low T Refrigerated water, Tin = 5 °C Tout = 15°C, 1/kg</v>
      </c>
      <c r="H273" s="1428">
        <f>IF('III. Utility Data'!H11&lt;&gt;"",'III. Utility Data'!M11,"")</f>
        <v>0</v>
      </c>
      <c r="I273" s="532"/>
      <c r="J273" s="292"/>
      <c r="K273" s="287"/>
      <c r="L273" s="532"/>
      <c r="M273" s="610"/>
      <c r="N273" s="570"/>
      <c r="O273" s="570"/>
      <c r="P273" s="297"/>
      <c r="Q273" s="611"/>
      <c r="R273" s="570"/>
      <c r="S273" s="570"/>
      <c r="T273" s="570"/>
      <c r="U273" s="570"/>
      <c r="V273" s="570"/>
      <c r="W273" s="570"/>
      <c r="X273" s="570"/>
      <c r="Y273" s="570"/>
      <c r="Z273" s="570"/>
      <c r="AA273" s="570"/>
      <c r="AB273" s="570"/>
      <c r="AC273" s="570"/>
      <c r="AD273" s="570"/>
      <c r="AE273" s="570"/>
      <c r="AF273" s="570"/>
      <c r="AG273" s="570"/>
      <c r="AH273" s="570"/>
      <c r="AI273" s="570"/>
      <c r="AJ273" s="570"/>
      <c r="AK273" s="570"/>
      <c r="AL273" s="570"/>
      <c r="AM273" s="570"/>
      <c r="AN273" s="570"/>
      <c r="AO273" s="588"/>
    </row>
    <row r="274" x14ac:dyDescent="0.3">
      <c r="B274" s="597"/>
      <c r="C274" s="570"/>
      <c r="D274" s="820"/>
      <c r="E274" s="625"/>
      <c r="F274" s="611"/>
      <c r="G274" s="1427"/>
      <c r="H274" s="1428"/>
      <c r="I274" s="532"/>
      <c r="J274" s="292"/>
      <c r="K274" s="287"/>
      <c r="L274" s="532"/>
      <c r="M274" s="610"/>
      <c r="N274" s="570"/>
      <c r="O274" s="570"/>
      <c r="P274" s="297"/>
      <c r="Q274" s="611"/>
      <c r="R274" s="570"/>
      <c r="S274" s="570"/>
      <c r="T274" s="570"/>
      <c r="U274" s="570"/>
      <c r="V274" s="570"/>
      <c r="W274" s="570"/>
      <c r="X274" s="570"/>
      <c r="Y274" s="570"/>
      <c r="Z274" s="570"/>
      <c r="AA274" s="570"/>
      <c r="AB274" s="570"/>
      <c r="AC274" s="570"/>
      <c r="AD274" s="570"/>
      <c r="AE274" s="570"/>
      <c r="AF274" s="570"/>
      <c r="AG274" s="570"/>
      <c r="AH274" s="570"/>
      <c r="AI274" s="570"/>
      <c r="AJ274" s="570"/>
      <c r="AK274" s="570"/>
      <c r="AL274" s="570"/>
      <c r="AM274" s="570"/>
      <c r="AN274" s="570"/>
      <c r="AO274" s="588"/>
    </row>
    <row r="275" x14ac:dyDescent="0.3">
      <c r="B275" s="597"/>
      <c r="C275" s="570"/>
      <c r="D275" s="820"/>
      <c r="E275" s="625"/>
      <c r="F275" s="611"/>
      <c r="G275" s="1427"/>
      <c r="H275" s="1428"/>
      <c r="I275" s="532"/>
      <c r="J275" s="292"/>
      <c r="K275" s="287"/>
      <c r="L275" s="532"/>
      <c r="M275" s="610"/>
      <c r="N275" s="570"/>
      <c r="O275" s="570"/>
      <c r="P275" s="297"/>
      <c r="Q275" s="611"/>
      <c r="R275" s="570"/>
      <c r="S275" s="570"/>
      <c r="T275" s="570"/>
      <c r="U275" s="570"/>
      <c r="V275" s="570"/>
      <c r="W275" s="570"/>
      <c r="X275" s="570"/>
      <c r="Y275" s="570"/>
      <c r="Z275" s="570"/>
      <c r="AA275" s="570"/>
      <c r="AB275" s="570"/>
      <c r="AC275" s="570"/>
      <c r="AD275" s="570"/>
      <c r="AE275" s="570"/>
      <c r="AF275" s="570"/>
      <c r="AG275" s="570"/>
      <c r="AH275" s="570"/>
      <c r="AI275" s="570"/>
      <c r="AJ275" s="570"/>
      <c r="AK275" s="570"/>
      <c r="AL275" s="570"/>
      <c r="AM275" s="570"/>
      <c r="AN275" s="570"/>
      <c r="AO275" s="588"/>
    </row>
    <row r="276" x14ac:dyDescent="0.3">
      <c r="B276" s="597"/>
      <c r="C276" s="570"/>
      <c r="D276" s="820"/>
      <c r="E276" s="625"/>
      <c r="F276" s="611"/>
      <c r="G276" s="1427"/>
      <c r="H276" s="1428"/>
      <c r="I276" s="532"/>
      <c r="J276" s="292"/>
      <c r="K276" s="287"/>
      <c r="L276" s="532"/>
      <c r="M276" s="610"/>
      <c r="N276" s="570"/>
      <c r="O276" s="570"/>
      <c r="P276" s="297"/>
      <c r="Q276" s="611"/>
      <c r="R276" s="570"/>
      <c r="S276" s="570"/>
      <c r="T276" s="570"/>
      <c r="U276" s="570"/>
      <c r="V276" s="570"/>
      <c r="W276" s="570"/>
      <c r="X276" s="570"/>
      <c r="Y276" s="570"/>
      <c r="Z276" s="570"/>
      <c r="AA276" s="570"/>
      <c r="AB276" s="570"/>
      <c r="AC276" s="570"/>
      <c r="AD276" s="570"/>
      <c r="AE276" s="570"/>
      <c r="AF276" s="570"/>
      <c r="AG276" s="570"/>
      <c r="AH276" s="570"/>
      <c r="AI276" s="570"/>
      <c r="AJ276" s="570"/>
      <c r="AK276" s="570"/>
      <c r="AL276" s="570"/>
      <c r="AM276" s="570"/>
      <c r="AN276" s="570"/>
      <c r="AO276" s="588"/>
    </row>
    <row r="277" x14ac:dyDescent="0.3">
      <c r="B277" s="597"/>
      <c r="C277" s="570"/>
      <c r="D277" s="820"/>
      <c r="E277" s="625"/>
      <c r="F277" s="611"/>
      <c r="G277" s="1427"/>
      <c r="H277" s="1428"/>
      <c r="I277" s="532"/>
      <c r="J277" s="292"/>
      <c r="K277" s="287"/>
      <c r="L277" s="532"/>
      <c r="M277" s="610"/>
      <c r="N277" s="570"/>
      <c r="O277" s="570"/>
      <c r="P277" s="297"/>
      <c r="Q277" s="611"/>
      <c r="R277" s="570"/>
      <c r="S277" s="570"/>
      <c r="T277" s="570"/>
      <c r="U277" s="570"/>
      <c r="V277" s="570"/>
      <c r="W277" s="570"/>
      <c r="X277" s="570"/>
      <c r="Y277" s="570"/>
      <c r="Z277" s="570"/>
      <c r="AA277" s="570"/>
      <c r="AB277" s="570"/>
      <c r="AC277" s="570"/>
      <c r="AD277" s="570"/>
      <c r="AE277" s="570"/>
      <c r="AF277" s="570"/>
      <c r="AG277" s="570"/>
      <c r="AH277" s="570"/>
      <c r="AI277" s="570"/>
      <c r="AJ277" s="570"/>
      <c r="AK277" s="570"/>
      <c r="AL277" s="570"/>
      <c r="AM277" s="570"/>
      <c r="AN277" s="570"/>
      <c r="AO277" s="588"/>
    </row>
    <row r="278" x14ac:dyDescent="0.3">
      <c r="B278" s="597"/>
      <c r="C278" s="570"/>
      <c r="D278" s="820"/>
      <c r="E278" s="625"/>
      <c r="F278" s="611"/>
      <c r="G278" s="1427" t="str">
        <f>IF('III. Utility Data'!H16&lt;&gt;"",'III. Utility Data'!E16,"")</f>
        <v>Electricity (kWh/h)</v>
      </c>
      <c r="H278" s="1428">
        <f>IF('III. Utility Data'!H16&lt;&gt;"",'III. Utility Data'!M16,"")</f>
        <v>0</v>
      </c>
      <c r="I278" s="532"/>
      <c r="J278" s="292"/>
      <c r="K278" s="287"/>
      <c r="L278" s="532"/>
      <c r="M278" s="610"/>
      <c r="N278" s="570"/>
      <c r="O278" s="570"/>
      <c r="P278" s="297"/>
      <c r="Q278" s="611"/>
      <c r="R278" s="570"/>
      <c r="S278" s="570"/>
      <c r="T278" s="570"/>
      <c r="U278" s="570"/>
      <c r="V278" s="570"/>
      <c r="W278" s="570"/>
      <c r="X278" s="570"/>
      <c r="Y278" s="570"/>
      <c r="Z278" s="570"/>
      <c r="AA278" s="570"/>
      <c r="AB278" s="570"/>
      <c r="AC278" s="570"/>
      <c r="AD278" s="570"/>
      <c r="AE278" s="570"/>
      <c r="AF278" s="570"/>
      <c r="AG278" s="570"/>
      <c r="AH278" s="570"/>
      <c r="AI278" s="570"/>
      <c r="AJ278" s="570"/>
      <c r="AK278" s="570"/>
      <c r="AL278" s="570"/>
      <c r="AM278" s="570"/>
      <c r="AN278" s="570"/>
      <c r="AO278" s="588"/>
    </row>
    <row r="279" x14ac:dyDescent="0.3">
      <c r="B279" s="597"/>
      <c r="C279" s="570"/>
      <c r="D279" s="820"/>
      <c r="E279" s="625"/>
      <c r="F279" s="611"/>
      <c r="G279" s="1427"/>
      <c r="H279" s="1428"/>
      <c r="I279" s="532"/>
      <c r="J279" s="292"/>
      <c r="K279" s="287"/>
      <c r="L279" s="532"/>
      <c r="M279" s="610"/>
      <c r="N279" s="570"/>
      <c r="O279" s="570"/>
      <c r="P279" s="297"/>
      <c r="Q279" s="611"/>
      <c r="R279" s="570"/>
      <c r="S279" s="570"/>
      <c r="T279" s="570"/>
      <c r="U279" s="570"/>
      <c r="V279" s="570"/>
      <c r="W279" s="570"/>
      <c r="X279" s="570"/>
      <c r="Y279" s="570"/>
      <c r="Z279" s="570"/>
      <c r="AA279" s="570"/>
      <c r="AB279" s="570"/>
      <c r="AC279" s="570"/>
      <c r="AD279" s="570"/>
      <c r="AE279" s="570"/>
      <c r="AF279" s="570"/>
      <c r="AG279" s="570"/>
      <c r="AH279" s="570"/>
      <c r="AI279" s="570"/>
      <c r="AJ279" s="570"/>
      <c r="AK279" s="570"/>
      <c r="AL279" s="570"/>
      <c r="AM279" s="570"/>
      <c r="AN279" s="570"/>
      <c r="AO279" s="588"/>
    </row>
    <row r="280" x14ac:dyDescent="0.3">
      <c r="B280" s="597"/>
      <c r="C280" s="570"/>
      <c r="D280" s="820"/>
      <c r="E280" s="625"/>
      <c r="F280" s="611"/>
      <c r="G280" s="1427"/>
      <c r="H280" s="1428"/>
      <c r="I280" s="532"/>
      <c r="J280" s="292"/>
      <c r="K280" s="287"/>
      <c r="L280" s="532"/>
      <c r="M280" s="610"/>
      <c r="N280" s="570"/>
      <c r="O280" s="570"/>
      <c r="P280" s="297"/>
      <c r="Q280" s="611"/>
      <c r="R280" s="570"/>
      <c r="S280" s="570"/>
      <c r="T280" s="570"/>
      <c r="U280" s="570"/>
      <c r="V280" s="570"/>
      <c r="W280" s="570"/>
      <c r="X280" s="570"/>
      <c r="Y280" s="570"/>
      <c r="Z280" s="570"/>
      <c r="AA280" s="570"/>
      <c r="AB280" s="570"/>
      <c r="AC280" s="570"/>
      <c r="AD280" s="570"/>
      <c r="AE280" s="570"/>
      <c r="AF280" s="570"/>
      <c r="AG280" s="570"/>
      <c r="AH280" s="570"/>
      <c r="AI280" s="570"/>
      <c r="AJ280" s="570"/>
      <c r="AK280" s="570"/>
      <c r="AL280" s="570"/>
      <c r="AM280" s="570"/>
      <c r="AN280" s="570"/>
      <c r="AO280" s="588"/>
    </row>
    <row r="281" x14ac:dyDescent="0.3">
      <c r="B281" s="597"/>
      <c r="C281" s="570"/>
      <c r="D281" s="820"/>
      <c r="E281" s="625"/>
      <c r="F281" s="611"/>
      <c r="G281" s="1427"/>
      <c r="H281" s="1428"/>
      <c r="I281" s="532"/>
      <c r="J281" s="292"/>
      <c r="K281" s="287"/>
      <c r="L281" s="532"/>
      <c r="M281" s="610"/>
      <c r="N281" s="570"/>
      <c r="O281" s="570"/>
      <c r="P281" s="297"/>
      <c r="Q281" s="611"/>
      <c r="R281" s="570"/>
      <c r="S281" s="570"/>
      <c r="T281" s="570"/>
      <c r="U281" s="570"/>
      <c r="V281" s="570"/>
      <c r="W281" s="570"/>
      <c r="X281" s="570"/>
      <c r="Y281" s="570"/>
      <c r="Z281" s="570"/>
      <c r="AA281" s="570"/>
      <c r="AB281" s="570"/>
      <c r="AC281" s="570"/>
      <c r="AD281" s="570"/>
      <c r="AE281" s="570"/>
      <c r="AF281" s="570"/>
      <c r="AG281" s="570"/>
      <c r="AH281" s="570"/>
      <c r="AI281" s="570"/>
      <c r="AJ281" s="570"/>
      <c r="AK281" s="570"/>
      <c r="AL281" s="570"/>
      <c r="AM281" s="570"/>
      <c r="AN281" s="570"/>
      <c r="AO281" s="588"/>
    </row>
    <row r="282" x14ac:dyDescent="0.3">
      <c r="B282" s="597"/>
      <c r="C282" s="570"/>
      <c r="D282" s="820"/>
      <c r="E282" s="625"/>
      <c r="F282" s="611"/>
      <c r="G282" s="1427"/>
      <c r="H282" s="1428"/>
      <c r="I282" s="532"/>
      <c r="J282" s="292"/>
      <c r="K282" s="287"/>
      <c r="L282" s="532"/>
      <c r="M282" s="610"/>
      <c r="N282" s="570"/>
      <c r="O282" s="570"/>
      <c r="P282" s="297"/>
      <c r="Q282" s="611"/>
      <c r="R282" s="570"/>
      <c r="S282" s="570"/>
      <c r="T282" s="570"/>
      <c r="U282" s="570"/>
      <c r="V282" s="570"/>
      <c r="W282" s="570"/>
      <c r="X282" s="570"/>
      <c r="Y282" s="570"/>
      <c r="Z282" s="570"/>
      <c r="AA282" s="570"/>
      <c r="AB282" s="570"/>
      <c r="AC282" s="570"/>
      <c r="AD282" s="570"/>
      <c r="AE282" s="570"/>
      <c r="AF282" s="570"/>
      <c r="AG282" s="570"/>
      <c r="AH282" s="570"/>
      <c r="AI282" s="570"/>
      <c r="AJ282" s="570"/>
      <c r="AK282" s="570"/>
      <c r="AL282" s="570"/>
      <c r="AM282" s="570"/>
      <c r="AN282" s="570"/>
      <c r="AO282" s="588"/>
    </row>
    <row r="283" x14ac:dyDescent="0.3">
      <c r="B283" s="597"/>
      <c r="C283" s="570"/>
      <c r="D283" s="820"/>
      <c r="E283" s="625"/>
      <c r="F283" s="611"/>
      <c r="G283" s="1427"/>
      <c r="H283" s="1428"/>
      <c r="I283" s="532"/>
      <c r="J283" s="292"/>
      <c r="K283" s="287"/>
      <c r="L283" s="532"/>
      <c r="M283" s="610"/>
      <c r="N283" s="570"/>
      <c r="O283" s="570"/>
      <c r="P283" s="297"/>
      <c r="Q283" s="611"/>
      <c r="R283" s="570"/>
      <c r="S283" s="570"/>
      <c r="T283" s="570"/>
      <c r="U283" s="570"/>
      <c r="V283" s="570"/>
      <c r="W283" s="570"/>
      <c r="X283" s="570"/>
      <c r="Y283" s="570"/>
      <c r="Z283" s="570"/>
      <c r="AA283" s="570"/>
      <c r="AB283" s="570"/>
      <c r="AC283" s="570"/>
      <c r="AD283" s="570"/>
      <c r="AE283" s="570"/>
      <c r="AF283" s="570"/>
      <c r="AG283" s="570"/>
      <c r="AH283" s="570"/>
      <c r="AI283" s="570"/>
      <c r="AJ283" s="570"/>
      <c r="AK283" s="570"/>
      <c r="AL283" s="570"/>
      <c r="AM283" s="570"/>
      <c r="AN283" s="570"/>
      <c r="AO283" s="588"/>
    </row>
    <row r="284" x14ac:dyDescent="0.3">
      <c r="B284" s="597"/>
      <c r="C284" s="570"/>
      <c r="D284" s="820"/>
      <c r="E284" s="625"/>
      <c r="F284" s="611"/>
      <c r="G284" s="1427"/>
      <c r="H284" s="1428"/>
      <c r="I284" s="532"/>
      <c r="J284" s="292"/>
      <c r="K284" s="287"/>
      <c r="L284" s="532"/>
      <c r="M284" s="610"/>
      <c r="N284" s="570"/>
      <c r="O284" s="570"/>
      <c r="P284" s="297"/>
      <c r="Q284" s="611"/>
      <c r="R284" s="570"/>
      <c r="S284" s="570"/>
      <c r="T284" s="570"/>
      <c r="U284" s="570"/>
      <c r="V284" s="570"/>
      <c r="W284" s="570"/>
      <c r="X284" s="570"/>
      <c r="Y284" s="570"/>
      <c r="Z284" s="570"/>
      <c r="AA284" s="570"/>
      <c r="AB284" s="570"/>
      <c r="AC284" s="570"/>
      <c r="AD284" s="570"/>
      <c r="AE284" s="570"/>
      <c r="AF284" s="570"/>
      <c r="AG284" s="570"/>
      <c r="AH284" s="570"/>
      <c r="AI284" s="570"/>
      <c r="AJ284" s="570"/>
      <c r="AK284" s="570"/>
      <c r="AL284" s="570"/>
      <c r="AM284" s="570"/>
      <c r="AN284" s="570"/>
      <c r="AO284" s="588"/>
    </row>
    <row r="285" x14ac:dyDescent="0.3">
      <c r="B285" s="597"/>
      <c r="C285" s="570"/>
      <c r="D285" s="820"/>
      <c r="E285" s="625"/>
      <c r="F285" s="611"/>
      <c r="G285" s="1427"/>
      <c r="H285" s="1428"/>
      <c r="I285" s="532"/>
      <c r="J285" s="292"/>
      <c r="K285" s="287"/>
      <c r="L285" s="532"/>
      <c r="M285" s="610"/>
      <c r="N285" s="570"/>
      <c r="O285" s="570"/>
      <c r="P285" s="297"/>
      <c r="Q285" s="611"/>
      <c r="R285" s="570"/>
      <c r="S285" s="570"/>
      <c r="T285" s="570"/>
      <c r="U285" s="570"/>
      <c r="V285" s="570"/>
      <c r="W285" s="570"/>
      <c r="X285" s="570"/>
      <c r="Y285" s="570"/>
      <c r="Z285" s="570"/>
      <c r="AA285" s="570"/>
      <c r="AB285" s="570"/>
      <c r="AC285" s="570"/>
      <c r="AD285" s="570"/>
      <c r="AE285" s="570"/>
      <c r="AF285" s="570"/>
      <c r="AG285" s="570"/>
      <c r="AH285" s="570"/>
      <c r="AI285" s="570"/>
      <c r="AJ285" s="570"/>
      <c r="AK285" s="570"/>
      <c r="AL285" s="570"/>
      <c r="AM285" s="570"/>
      <c r="AN285" s="570"/>
      <c r="AO285" s="588"/>
    </row>
    <row r="286" ht="21.6" thickBot="true" x14ac:dyDescent="0.35">
      <c r="B286" s="597"/>
      <c r="C286" s="570"/>
      <c r="D286" s="820"/>
      <c r="E286" s="625"/>
      <c r="F286" s="611"/>
      <c r="G286" s="1429"/>
      <c r="H286" s="1430"/>
      <c r="I286" s="532"/>
      <c r="J286" s="292"/>
      <c r="K286" s="287"/>
      <c r="L286" s="532"/>
      <c r="M286" s="610"/>
      <c r="N286" s="570"/>
      <c r="O286" s="570"/>
      <c r="P286" s="297"/>
      <c r="Q286" s="611"/>
      <c r="R286" s="570"/>
      <c r="S286" s="570"/>
      <c r="T286" s="570"/>
      <c r="U286" s="570"/>
      <c r="V286" s="570"/>
      <c r="W286" s="570"/>
      <c r="X286" s="570"/>
      <c r="Y286" s="570"/>
      <c r="Z286" s="570"/>
      <c r="AA286" s="570"/>
      <c r="AB286" s="570"/>
      <c r="AC286" s="570"/>
      <c r="AD286" s="570"/>
      <c r="AE286" s="570"/>
      <c r="AF286" s="570"/>
      <c r="AG286" s="570"/>
      <c r="AH286" s="570"/>
      <c r="AI286" s="570"/>
      <c r="AJ286" s="570"/>
      <c r="AK286" s="570"/>
      <c r="AL286" s="570"/>
      <c r="AM286" s="570"/>
      <c r="AN286" s="570"/>
      <c r="AO286" s="588"/>
    </row>
    <row r="287" ht="21.6" thickBot="true" x14ac:dyDescent="0.35">
      <c r="B287" s="597"/>
      <c r="C287" s="570"/>
      <c r="D287" s="820"/>
      <c r="E287" s="625"/>
      <c r="F287" s="611"/>
      <c r="G287" s="528" t="s">
        <v>88</v>
      </c>
      <c r="H287" s="1431">
        <f>SUM(H272:H273)+H278</f>
        <v>0</v>
      </c>
      <c r="I287" s="532"/>
      <c r="J287" s="292"/>
      <c r="K287" s="287"/>
      <c r="L287" s="532"/>
      <c r="M287" s="610"/>
      <c r="N287" s="570"/>
      <c r="O287" s="570"/>
      <c r="P287" s="297"/>
      <c r="Q287" s="611"/>
      <c r="R287" s="570"/>
      <c r="S287" s="570"/>
      <c r="T287" s="570"/>
      <c r="U287" s="570"/>
      <c r="V287" s="570"/>
      <c r="W287" s="570"/>
      <c r="X287" s="570"/>
      <c r="Y287" s="570"/>
      <c r="Z287" s="570"/>
      <c r="AA287" s="570"/>
      <c r="AB287" s="570"/>
      <c r="AC287" s="570"/>
      <c r="AD287" s="570"/>
      <c r="AE287" s="570"/>
      <c r="AF287" s="570"/>
      <c r="AG287" s="570"/>
      <c r="AH287" s="570"/>
      <c r="AI287" s="570"/>
      <c r="AJ287" s="570"/>
      <c r="AK287" s="570"/>
      <c r="AL287" s="570"/>
      <c r="AM287" s="570"/>
      <c r="AN287" s="570"/>
      <c r="AO287" s="588"/>
    </row>
    <row r="288" ht="24.75" customHeight="true" x14ac:dyDescent="0.3">
      <c r="B288" s="597"/>
      <c r="C288" s="570"/>
      <c r="D288" s="820"/>
      <c r="E288" s="625"/>
      <c r="F288" s="611"/>
      <c r="G288" s="570"/>
      <c r="H288" s="626"/>
      <c r="I288" s="532"/>
      <c r="J288" s="292"/>
      <c r="K288" s="287"/>
      <c r="L288" s="532"/>
      <c r="M288" s="610"/>
      <c r="N288" s="570"/>
      <c r="O288" s="570"/>
      <c r="P288" s="297"/>
      <c r="Q288" s="611"/>
      <c r="R288" s="570"/>
      <c r="S288" s="570"/>
      <c r="T288" s="570"/>
      <c r="U288" s="570"/>
      <c r="V288" s="570"/>
      <c r="W288" s="570"/>
      <c r="X288" s="570"/>
      <c r="Y288" s="570"/>
      <c r="Z288" s="570"/>
      <c r="AA288" s="570"/>
      <c r="AB288" s="570"/>
      <c r="AC288" s="570"/>
      <c r="AD288" s="570"/>
      <c r="AE288" s="570"/>
      <c r="AF288" s="570"/>
      <c r="AG288" s="570"/>
      <c r="AH288" s="570"/>
      <c r="AI288" s="570"/>
      <c r="AJ288" s="570"/>
      <c r="AK288" s="570"/>
      <c r="AL288" s="570"/>
      <c r="AM288" s="570"/>
      <c r="AN288" s="570"/>
      <c r="AO288" s="588"/>
    </row>
    <row r="289" ht="24.75" customHeight="true" x14ac:dyDescent="0.3">
      <c r="B289" s="597"/>
      <c r="C289" s="570"/>
      <c r="D289" s="820"/>
      <c r="E289" s="625"/>
      <c r="F289" s="611"/>
      <c r="G289" s="570"/>
      <c r="H289" s="626"/>
      <c r="I289" s="532"/>
      <c r="J289" s="292"/>
      <c r="K289" s="287"/>
      <c r="L289" s="532"/>
      <c r="M289" s="610"/>
      <c r="N289" s="570"/>
      <c r="O289" s="570"/>
      <c r="P289" s="297"/>
      <c r="Q289" s="611"/>
      <c r="R289" s="570"/>
      <c r="S289" s="570"/>
      <c r="T289" s="570"/>
      <c r="U289" s="570"/>
      <c r="V289" s="570"/>
      <c r="W289" s="570"/>
      <c r="X289" s="570"/>
      <c r="Y289" s="570"/>
      <c r="Z289" s="570"/>
      <c r="AA289" s="570"/>
      <c r="AB289" s="570"/>
      <c r="AC289" s="570"/>
      <c r="AD289" s="570"/>
      <c r="AE289" s="570"/>
      <c r="AF289" s="570"/>
      <c r="AG289" s="570"/>
      <c r="AH289" s="570"/>
      <c r="AI289" s="570"/>
      <c r="AJ289" s="570"/>
      <c r="AK289" s="570"/>
      <c r="AL289" s="570"/>
      <c r="AM289" s="570"/>
      <c r="AN289" s="570"/>
      <c r="AO289" s="588"/>
    </row>
    <row r="290" ht="25.5" customHeight="true" x14ac:dyDescent="0.3">
      <c r="B290" s="597"/>
      <c r="C290" s="570"/>
      <c r="D290" s="820"/>
      <c r="E290" s="625"/>
      <c r="F290" s="611"/>
      <c r="G290" s="570"/>
      <c r="H290" s="626"/>
      <c r="I290" s="532"/>
      <c r="J290" s="292"/>
      <c r="K290" s="287"/>
      <c r="L290" s="532"/>
      <c r="M290" s="610"/>
      <c r="N290" s="570"/>
      <c r="O290" s="570"/>
      <c r="P290" s="297"/>
      <c r="Q290" s="611"/>
      <c r="R290" s="570"/>
      <c r="S290" s="570"/>
      <c r="T290" s="570"/>
      <c r="U290" s="570"/>
      <c r="V290" s="570"/>
      <c r="W290" s="570"/>
      <c r="X290" s="570"/>
      <c r="Y290" s="570"/>
      <c r="Z290" s="570"/>
      <c r="AA290" s="570"/>
      <c r="AB290" s="570"/>
      <c r="AC290" s="570"/>
      <c r="AD290" s="570"/>
      <c r="AE290" s="570"/>
      <c r="AF290" s="570"/>
      <c r="AG290" s="570"/>
      <c r="AH290" s="570"/>
      <c r="AI290" s="570"/>
      <c r="AJ290" s="570"/>
      <c r="AK290" s="570"/>
      <c r="AL290" s="570"/>
      <c r="AM290" s="570"/>
      <c r="AN290" s="570"/>
      <c r="AO290" s="588"/>
    </row>
    <row r="291" x14ac:dyDescent="0.3">
      <c r="B291" s="597"/>
      <c r="C291" s="570"/>
      <c r="D291" s="820"/>
      <c r="E291" s="625"/>
      <c r="F291" s="611"/>
      <c r="G291" s="570"/>
      <c r="H291" s="626"/>
      <c r="I291" s="532"/>
      <c r="J291" s="292"/>
      <c r="K291" s="287"/>
      <c r="L291" s="532"/>
      <c r="M291" s="610"/>
      <c r="N291" s="570"/>
      <c r="O291" s="570"/>
      <c r="P291" s="297"/>
      <c r="Q291" s="611"/>
      <c r="R291" s="570"/>
      <c r="S291" s="570"/>
      <c r="T291" s="570"/>
      <c r="U291" s="570"/>
      <c r="V291" s="570"/>
      <c r="W291" s="570"/>
      <c r="X291" s="570"/>
      <c r="Y291" s="570"/>
      <c r="Z291" s="570"/>
      <c r="AA291" s="570"/>
      <c r="AB291" s="570"/>
      <c r="AC291" s="570"/>
      <c r="AD291" s="570"/>
      <c r="AE291" s="570"/>
      <c r="AF291" s="570"/>
      <c r="AG291" s="570"/>
      <c r="AH291" s="570"/>
      <c r="AI291" s="570"/>
      <c r="AJ291" s="570"/>
      <c r="AK291" s="570"/>
      <c r="AL291" s="570"/>
      <c r="AM291" s="570"/>
      <c r="AN291" s="570"/>
      <c r="AO291" s="588"/>
    </row>
    <row r="292" x14ac:dyDescent="0.3">
      <c r="B292" s="597"/>
      <c r="C292" s="570"/>
      <c r="D292" s="820"/>
      <c r="E292" s="625"/>
      <c r="F292" s="611"/>
      <c r="G292" s="570"/>
      <c r="H292" s="626"/>
      <c r="I292" s="532"/>
      <c r="J292" s="292"/>
      <c r="K292" s="287"/>
      <c r="L292" s="532"/>
      <c r="M292" s="610"/>
      <c r="N292" s="570"/>
      <c r="O292" s="570"/>
      <c r="P292" s="297"/>
      <c r="Q292" s="611"/>
      <c r="R292" s="570"/>
      <c r="S292" s="570"/>
      <c r="T292" s="570"/>
      <c r="U292" s="570"/>
      <c r="V292" s="570"/>
      <c r="W292" s="570"/>
      <c r="X292" s="570"/>
      <c r="Y292" s="570"/>
      <c r="Z292" s="570"/>
      <c r="AA292" s="570"/>
      <c r="AB292" s="570"/>
      <c r="AC292" s="570"/>
      <c r="AD292" s="570"/>
      <c r="AE292" s="570"/>
      <c r="AF292" s="570"/>
      <c r="AG292" s="570"/>
      <c r="AH292" s="570"/>
      <c r="AI292" s="570"/>
      <c r="AJ292" s="570"/>
      <c r="AK292" s="570"/>
      <c r="AL292" s="570"/>
      <c r="AM292" s="570"/>
      <c r="AN292" s="570"/>
      <c r="AO292" s="588"/>
    </row>
    <row r="293" x14ac:dyDescent="0.3">
      <c r="B293" s="597"/>
      <c r="C293" s="570"/>
      <c r="D293" s="820"/>
      <c r="E293" s="625"/>
      <c r="F293" s="611"/>
      <c r="G293" s="570"/>
      <c r="H293" s="626"/>
      <c r="I293" s="532"/>
      <c r="J293" s="292"/>
      <c r="K293" s="287"/>
      <c r="L293" s="532"/>
      <c r="M293" s="610"/>
      <c r="N293" s="570"/>
      <c r="O293" s="570"/>
      <c r="P293" s="297"/>
      <c r="Q293" s="611"/>
      <c r="R293" s="570"/>
      <c r="S293" s="570"/>
      <c r="T293" s="570"/>
      <c r="U293" s="570"/>
      <c r="V293" s="570"/>
      <c r="W293" s="570"/>
      <c r="X293" s="570"/>
      <c r="Y293" s="570"/>
      <c r="Z293" s="570"/>
      <c r="AA293" s="570"/>
      <c r="AB293" s="570"/>
      <c r="AC293" s="570"/>
      <c r="AD293" s="570"/>
      <c r="AE293" s="570"/>
      <c r="AF293" s="570"/>
      <c r="AG293" s="570"/>
      <c r="AH293" s="570"/>
      <c r="AI293" s="570"/>
      <c r="AJ293" s="570"/>
      <c r="AK293" s="570"/>
      <c r="AL293" s="570"/>
      <c r="AM293" s="570"/>
      <c r="AN293" s="570"/>
      <c r="AO293" s="588"/>
    </row>
    <row r="294" x14ac:dyDescent="0.3">
      <c r="B294" s="597"/>
      <c r="C294" s="570"/>
      <c r="D294" s="820"/>
      <c r="E294" s="625"/>
      <c r="F294" s="611"/>
      <c r="G294" s="570"/>
      <c r="H294" s="626"/>
      <c r="I294" s="532"/>
      <c r="J294" s="292"/>
      <c r="K294" s="287"/>
      <c r="L294" s="532"/>
      <c r="M294" s="610"/>
      <c r="N294" s="570"/>
      <c r="O294" s="570"/>
      <c r="P294" s="297"/>
      <c r="Q294" s="611"/>
      <c r="R294" s="570"/>
      <c r="S294" s="570"/>
      <c r="T294" s="570"/>
      <c r="U294" s="570"/>
      <c r="V294" s="570"/>
      <c r="W294" s="570"/>
      <c r="X294" s="570"/>
      <c r="Y294" s="570"/>
      <c r="Z294" s="570"/>
      <c r="AA294" s="570"/>
      <c r="AB294" s="570"/>
      <c r="AC294" s="570"/>
      <c r="AD294" s="570"/>
      <c r="AE294" s="570"/>
      <c r="AF294" s="570"/>
      <c r="AG294" s="570"/>
      <c r="AH294" s="570"/>
      <c r="AI294" s="570"/>
      <c r="AJ294" s="570"/>
      <c r="AK294" s="570"/>
      <c r="AL294" s="570"/>
      <c r="AM294" s="570"/>
      <c r="AN294" s="570"/>
      <c r="AO294" s="588"/>
    </row>
    <row r="295" x14ac:dyDescent="0.3">
      <c r="B295" s="597"/>
      <c r="C295" s="570"/>
      <c r="D295" s="820"/>
      <c r="E295" s="625"/>
      <c r="F295" s="611"/>
      <c r="G295" s="570"/>
      <c r="H295" s="626"/>
      <c r="I295" s="532"/>
      <c r="J295" s="292"/>
      <c r="K295" s="287"/>
      <c r="L295" s="532"/>
      <c r="M295" s="610"/>
      <c r="N295" s="570"/>
      <c r="O295" s="570"/>
      <c r="P295" s="297"/>
      <c r="Q295" s="611"/>
      <c r="R295" s="570"/>
      <c r="S295" s="570"/>
      <c r="T295" s="570"/>
      <c r="U295" s="570"/>
      <c r="V295" s="570"/>
      <c r="W295" s="570"/>
      <c r="X295" s="570"/>
      <c r="Y295" s="570"/>
      <c r="Z295" s="570"/>
      <c r="AA295" s="570"/>
      <c r="AB295" s="570"/>
      <c r="AC295" s="570"/>
      <c r="AD295" s="570"/>
      <c r="AE295" s="570"/>
      <c r="AF295" s="570"/>
      <c r="AG295" s="570"/>
      <c r="AH295" s="570"/>
      <c r="AI295" s="570"/>
      <c r="AJ295" s="570"/>
      <c r="AK295" s="570"/>
      <c r="AL295" s="570"/>
      <c r="AM295" s="570"/>
      <c r="AN295" s="570"/>
      <c r="AO295" s="588"/>
    </row>
    <row r="296" x14ac:dyDescent="0.3">
      <c r="B296" s="597"/>
      <c r="C296" s="570"/>
      <c r="D296" s="820"/>
      <c r="E296" s="625"/>
      <c r="F296" s="611"/>
      <c r="G296" s="570"/>
      <c r="H296" s="626"/>
      <c r="I296" s="532"/>
      <c r="J296" s="292"/>
      <c r="K296" s="287"/>
      <c r="L296" s="532"/>
      <c r="M296" s="610"/>
      <c r="N296" s="570"/>
      <c r="O296" s="570"/>
      <c r="P296" s="297"/>
      <c r="Q296" s="611"/>
      <c r="R296" s="570"/>
      <c r="S296" s="570"/>
      <c r="T296" s="570"/>
      <c r="U296" s="570"/>
      <c r="V296" s="570"/>
      <c r="W296" s="570"/>
      <c r="X296" s="570"/>
      <c r="Y296" s="570"/>
      <c r="Z296" s="570"/>
      <c r="AA296" s="570"/>
      <c r="AB296" s="570"/>
      <c r="AC296" s="570"/>
      <c r="AD296" s="570"/>
      <c r="AE296" s="570"/>
      <c r="AF296" s="570"/>
      <c r="AG296" s="570"/>
      <c r="AH296" s="570"/>
      <c r="AI296" s="570"/>
      <c r="AJ296" s="570"/>
      <c r="AK296" s="570"/>
      <c r="AL296" s="570"/>
      <c r="AM296" s="570"/>
      <c r="AN296" s="570"/>
      <c r="AO296" s="588"/>
    </row>
    <row r="297" x14ac:dyDescent="0.3">
      <c r="B297" s="597"/>
      <c r="C297" s="570"/>
      <c r="D297" s="820"/>
      <c r="E297" s="625"/>
      <c r="F297" s="611"/>
      <c r="G297" s="570"/>
      <c r="H297" s="626"/>
      <c r="I297" s="532"/>
      <c r="J297" s="292"/>
      <c r="K297" s="287"/>
      <c r="L297" s="532"/>
      <c r="M297" s="610"/>
      <c r="N297" s="570"/>
      <c r="O297" s="570"/>
      <c r="P297" s="297"/>
      <c r="Q297" s="611"/>
      <c r="R297" s="570"/>
      <c r="S297" s="570"/>
      <c r="T297" s="570"/>
      <c r="U297" s="570"/>
      <c r="V297" s="570"/>
      <c r="W297" s="570"/>
      <c r="X297" s="570"/>
      <c r="Y297" s="570"/>
      <c r="Z297" s="570"/>
      <c r="AA297" s="570"/>
      <c r="AB297" s="570"/>
      <c r="AC297" s="570"/>
      <c r="AD297" s="570"/>
      <c r="AE297" s="570"/>
      <c r="AF297" s="570"/>
      <c r="AG297" s="570"/>
      <c r="AH297" s="570"/>
      <c r="AI297" s="570"/>
      <c r="AJ297" s="570"/>
      <c r="AK297" s="570"/>
      <c r="AL297" s="570"/>
      <c r="AM297" s="570"/>
      <c r="AN297" s="570"/>
      <c r="AO297" s="588"/>
    </row>
    <row r="298" x14ac:dyDescent="0.3">
      <c r="B298" s="597"/>
      <c r="C298" s="570"/>
      <c r="D298" s="820"/>
      <c r="E298" s="625"/>
      <c r="F298" s="611"/>
      <c r="G298" s="570"/>
      <c r="H298" s="626"/>
      <c r="I298" s="532"/>
      <c r="J298" s="292"/>
      <c r="K298" s="287"/>
      <c r="L298" s="532"/>
      <c r="M298" s="610"/>
      <c r="N298" s="570"/>
      <c r="O298" s="570"/>
      <c r="P298" s="297"/>
      <c r="Q298" s="611"/>
      <c r="R298" s="570"/>
      <c r="S298" s="570"/>
      <c r="T298" s="570"/>
      <c r="U298" s="570"/>
      <c r="V298" s="570"/>
      <c r="W298" s="570"/>
      <c r="X298" s="570"/>
      <c r="Y298" s="570"/>
      <c r="Z298" s="570"/>
      <c r="AA298" s="570"/>
      <c r="AB298" s="570"/>
      <c r="AC298" s="570"/>
      <c r="AD298" s="570"/>
      <c r="AE298" s="570"/>
      <c r="AF298" s="570"/>
      <c r="AG298" s="570"/>
      <c r="AH298" s="570"/>
      <c r="AI298" s="570"/>
      <c r="AJ298" s="570"/>
      <c r="AK298" s="570"/>
      <c r="AL298" s="570"/>
      <c r="AM298" s="570"/>
      <c r="AN298" s="570"/>
      <c r="AO298" s="588"/>
    </row>
    <row r="299" x14ac:dyDescent="0.3">
      <c r="B299" s="597"/>
      <c r="C299" s="570"/>
      <c r="D299" s="820"/>
      <c r="E299" s="625"/>
      <c r="F299" s="611"/>
      <c r="G299" s="570"/>
      <c r="H299" s="626"/>
      <c r="I299" s="532"/>
      <c r="J299" s="292"/>
      <c r="K299" s="287"/>
      <c r="L299" s="532"/>
      <c r="M299" s="610"/>
      <c r="N299" s="570"/>
      <c r="O299" s="570"/>
      <c r="P299" s="297"/>
      <c r="Q299" s="611"/>
      <c r="R299" s="570"/>
      <c r="S299" s="570"/>
      <c r="T299" s="570"/>
      <c r="U299" s="570"/>
      <c r="V299" s="570"/>
      <c r="W299" s="570"/>
      <c r="X299" s="570"/>
      <c r="Y299" s="570"/>
      <c r="Z299" s="570"/>
      <c r="AA299" s="570"/>
      <c r="AB299" s="570"/>
      <c r="AC299" s="570"/>
      <c r="AD299" s="570"/>
      <c r="AE299" s="570"/>
      <c r="AF299" s="570"/>
      <c r="AG299" s="570"/>
      <c r="AH299" s="570"/>
      <c r="AI299" s="570"/>
      <c r="AJ299" s="570"/>
      <c r="AK299" s="570"/>
      <c r="AL299" s="570"/>
      <c r="AM299" s="570"/>
      <c r="AN299" s="570"/>
      <c r="AO299" s="588"/>
    </row>
    <row r="300" x14ac:dyDescent="0.3">
      <c r="B300" s="597"/>
      <c r="C300" s="570"/>
      <c r="D300" s="820"/>
      <c r="E300" s="625"/>
      <c r="F300" s="611"/>
      <c r="G300" s="570"/>
      <c r="H300" s="626"/>
      <c r="I300" s="532"/>
      <c r="J300" s="292"/>
      <c r="K300" s="287"/>
      <c r="L300" s="532"/>
      <c r="M300" s="610"/>
      <c r="N300" s="570"/>
      <c r="O300" s="570"/>
      <c r="P300" s="297"/>
      <c r="Q300" s="611"/>
      <c r="R300" s="570"/>
      <c r="S300" s="570"/>
      <c r="T300" s="570"/>
      <c r="U300" s="570"/>
      <c r="V300" s="570"/>
      <c r="W300" s="570"/>
      <c r="X300" s="570"/>
      <c r="Y300" s="570"/>
      <c r="Z300" s="570"/>
      <c r="AA300" s="570"/>
      <c r="AB300" s="570"/>
      <c r="AC300" s="570"/>
      <c r="AD300" s="570"/>
      <c r="AE300" s="570"/>
      <c r="AF300" s="570"/>
      <c r="AG300" s="570"/>
      <c r="AH300" s="570"/>
      <c r="AI300" s="570"/>
      <c r="AJ300" s="570"/>
      <c r="AK300" s="570"/>
      <c r="AL300" s="570"/>
      <c r="AM300" s="570"/>
      <c r="AN300" s="570"/>
      <c r="AO300" s="588"/>
    </row>
    <row r="301" x14ac:dyDescent="0.3">
      <c r="B301" s="597"/>
      <c r="C301" s="570"/>
      <c r="D301" s="820"/>
      <c r="E301" s="625"/>
      <c r="F301" s="611"/>
      <c r="G301" s="570"/>
      <c r="H301" s="626"/>
      <c r="I301" s="532"/>
      <c r="J301" s="292"/>
      <c r="K301" s="287"/>
      <c r="L301" s="532"/>
      <c r="M301" s="610"/>
      <c r="N301" s="570"/>
      <c r="O301" s="570"/>
      <c r="P301" s="297"/>
      <c r="Q301" s="611"/>
      <c r="R301" s="570"/>
      <c r="S301" s="570"/>
      <c r="T301" s="570"/>
      <c r="U301" s="570"/>
      <c r="V301" s="570"/>
      <c r="W301" s="570"/>
      <c r="X301" s="570"/>
      <c r="Y301" s="570"/>
      <c r="Z301" s="570"/>
      <c r="AA301" s="570"/>
      <c r="AB301" s="570"/>
      <c r="AC301" s="570"/>
      <c r="AD301" s="570"/>
      <c r="AE301" s="570"/>
      <c r="AF301" s="570"/>
      <c r="AG301" s="570"/>
      <c r="AH301" s="570"/>
      <c r="AI301" s="570"/>
      <c r="AJ301" s="570"/>
      <c r="AK301" s="570"/>
      <c r="AL301" s="570"/>
      <c r="AM301" s="570"/>
      <c r="AN301" s="570"/>
      <c r="AO301" s="588"/>
    </row>
    <row r="302" x14ac:dyDescent="0.3">
      <c r="B302" s="597"/>
      <c r="C302" s="570"/>
      <c r="D302" s="820"/>
      <c r="E302" s="625"/>
      <c r="F302" s="611"/>
      <c r="G302" s="570"/>
      <c r="H302" s="626"/>
      <c r="I302" s="532"/>
      <c r="J302" s="292"/>
      <c r="K302" s="287"/>
      <c r="L302" s="532"/>
      <c r="M302" s="610"/>
      <c r="N302" s="570"/>
      <c r="O302" s="570"/>
      <c r="P302" s="297"/>
      <c r="Q302" s="611"/>
      <c r="R302" s="570"/>
      <c r="S302" s="570"/>
      <c r="T302" s="570"/>
      <c r="U302" s="570"/>
      <c r="V302" s="570"/>
      <c r="W302" s="570"/>
      <c r="X302" s="570"/>
      <c r="Y302" s="570"/>
      <c r="Z302" s="570"/>
      <c r="AA302" s="570"/>
      <c r="AB302" s="570"/>
      <c r="AC302" s="570"/>
      <c r="AD302" s="570"/>
      <c r="AE302" s="570"/>
      <c r="AF302" s="570"/>
      <c r="AG302" s="570"/>
      <c r="AH302" s="570"/>
      <c r="AI302" s="570"/>
      <c r="AJ302" s="570"/>
      <c r="AK302" s="570"/>
      <c r="AL302" s="570"/>
      <c r="AM302" s="570"/>
      <c r="AN302" s="570"/>
      <c r="AO302" s="588"/>
    </row>
    <row r="303" x14ac:dyDescent="0.3">
      <c r="B303" s="597"/>
      <c r="C303" s="570"/>
      <c r="D303" s="820"/>
      <c r="E303" s="625"/>
      <c r="F303" s="611"/>
      <c r="G303" s="570"/>
      <c r="H303" s="626"/>
      <c r="I303" s="532"/>
      <c r="J303" s="292"/>
      <c r="K303" s="287"/>
      <c r="L303" s="532"/>
      <c r="M303" s="610"/>
      <c r="N303" s="570"/>
      <c r="O303" s="570"/>
      <c r="P303" s="297"/>
      <c r="Q303" s="611"/>
      <c r="R303" s="570"/>
      <c r="S303" s="570"/>
      <c r="T303" s="570"/>
      <c r="U303" s="570"/>
      <c r="V303" s="570"/>
      <c r="W303" s="570"/>
      <c r="X303" s="570"/>
      <c r="Y303" s="570"/>
      <c r="Z303" s="570"/>
      <c r="AA303" s="570"/>
      <c r="AB303" s="570"/>
      <c r="AC303" s="570"/>
      <c r="AD303" s="570"/>
      <c r="AE303" s="570"/>
      <c r="AF303" s="570"/>
      <c r="AG303" s="570"/>
      <c r="AH303" s="570"/>
      <c r="AI303" s="570"/>
      <c r="AJ303" s="570"/>
      <c r="AK303" s="570"/>
      <c r="AL303" s="570"/>
      <c r="AM303" s="570"/>
      <c r="AN303" s="570"/>
      <c r="AO303" s="588"/>
    </row>
    <row r="304" x14ac:dyDescent="0.3">
      <c r="B304" s="597"/>
      <c r="C304" s="570"/>
      <c r="D304" s="820"/>
      <c r="E304" s="625"/>
      <c r="F304" s="611"/>
      <c r="G304" s="570"/>
      <c r="H304" s="626"/>
      <c r="I304" s="532"/>
      <c r="J304" s="292"/>
      <c r="K304" s="287"/>
      <c r="L304" s="532"/>
      <c r="M304" s="610"/>
      <c r="N304" s="570"/>
      <c r="O304" s="570"/>
      <c r="P304" s="297"/>
      <c r="Q304" s="611"/>
      <c r="R304" s="570"/>
      <c r="S304" s="570"/>
      <c r="T304" s="570"/>
      <c r="U304" s="570"/>
      <c r="V304" s="570"/>
      <c r="W304" s="570"/>
      <c r="X304" s="570"/>
      <c r="Y304" s="570"/>
      <c r="Z304" s="570"/>
      <c r="AA304" s="570"/>
      <c r="AB304" s="570"/>
      <c r="AC304" s="570"/>
      <c r="AD304" s="570"/>
      <c r="AE304" s="570"/>
      <c r="AF304" s="570"/>
      <c r="AG304" s="570"/>
      <c r="AH304" s="570"/>
      <c r="AI304" s="570"/>
      <c r="AJ304" s="570"/>
      <c r="AK304" s="570"/>
      <c r="AL304" s="570"/>
      <c r="AM304" s="570"/>
      <c r="AN304" s="570"/>
      <c r="AO304" s="588"/>
    </row>
    <row r="305" x14ac:dyDescent="0.3">
      <c r="B305" s="597"/>
      <c r="C305" s="570"/>
      <c r="D305" s="820"/>
      <c r="E305" s="625"/>
      <c r="F305" s="611"/>
      <c r="G305" s="570"/>
      <c r="H305" s="626"/>
      <c r="I305" s="532"/>
      <c r="J305" s="292"/>
      <c r="K305" s="287"/>
      <c r="L305" s="532"/>
      <c r="M305" s="610"/>
      <c r="N305" s="570"/>
      <c r="O305" s="570"/>
      <c r="P305" s="297"/>
      <c r="Q305" s="611"/>
      <c r="R305" s="570"/>
      <c r="S305" s="570"/>
      <c r="T305" s="570"/>
      <c r="U305" s="570"/>
      <c r="V305" s="570"/>
      <c r="W305" s="570"/>
      <c r="X305" s="570"/>
      <c r="Y305" s="570"/>
      <c r="Z305" s="570"/>
      <c r="AA305" s="570"/>
      <c r="AB305" s="570"/>
      <c r="AC305" s="570"/>
      <c r="AD305" s="570"/>
      <c r="AE305" s="570"/>
      <c r="AF305" s="570"/>
      <c r="AG305" s="570"/>
      <c r="AH305" s="570"/>
      <c r="AI305" s="570"/>
      <c r="AJ305" s="570"/>
      <c r="AK305" s="570"/>
      <c r="AL305" s="570"/>
      <c r="AM305" s="570"/>
      <c r="AN305" s="570"/>
      <c r="AO305" s="588"/>
    </row>
    <row r="306" x14ac:dyDescent="0.3">
      <c r="B306" s="597"/>
      <c r="C306" s="570"/>
      <c r="D306" s="820"/>
      <c r="E306" s="625"/>
      <c r="F306" s="611"/>
      <c r="G306" s="570"/>
      <c r="H306" s="626"/>
      <c r="I306" s="532"/>
      <c r="J306" s="292"/>
      <c r="K306" s="287"/>
      <c r="L306" s="532"/>
      <c r="M306" s="610"/>
      <c r="N306" s="570"/>
      <c r="O306" s="570"/>
      <c r="P306" s="297"/>
      <c r="Q306" s="611"/>
      <c r="R306" s="570"/>
      <c r="S306" s="570"/>
      <c r="T306" s="570"/>
      <c r="U306" s="570"/>
      <c r="V306" s="570"/>
      <c r="W306" s="570"/>
      <c r="X306" s="570"/>
      <c r="Y306" s="570"/>
      <c r="Z306" s="570"/>
      <c r="AA306" s="570"/>
      <c r="AB306" s="570"/>
      <c r="AC306" s="570"/>
      <c r="AD306" s="570"/>
      <c r="AE306" s="570"/>
      <c r="AF306" s="570"/>
      <c r="AG306" s="570"/>
      <c r="AH306" s="570"/>
      <c r="AI306" s="570"/>
      <c r="AJ306" s="570"/>
      <c r="AK306" s="570"/>
      <c r="AL306" s="570"/>
      <c r="AM306" s="570"/>
      <c r="AN306" s="570"/>
      <c r="AO306" s="588"/>
    </row>
    <row r="307" thickBot="true" x14ac:dyDescent="0.35">
      <c r="B307" s="597"/>
      <c r="C307" s="570"/>
      <c r="D307" s="820"/>
      <c r="E307" s="1922" t="s">
        <v>1317</v>
      </c>
      <c r="F307" s="1922"/>
      <c r="G307" s="570"/>
      <c r="H307" s="626"/>
      <c r="I307" s="532"/>
      <c r="J307" s="292"/>
      <c r="K307" s="287"/>
      <c r="L307" s="532"/>
      <c r="M307" s="610"/>
      <c r="N307" s="570"/>
      <c r="O307" s="570"/>
      <c r="P307" s="297"/>
      <c r="Q307" s="611"/>
      <c r="R307" s="570"/>
      <c r="S307" s="570"/>
      <c r="T307" s="570"/>
      <c r="U307" s="570"/>
      <c r="V307" s="570"/>
      <c r="W307" s="570"/>
      <c r="X307" s="570"/>
      <c r="Y307" s="570"/>
      <c r="Z307" s="570"/>
      <c r="AA307" s="570"/>
      <c r="AB307" s="570"/>
      <c r="AC307" s="570"/>
      <c r="AD307" s="570"/>
      <c r="AE307" s="570"/>
      <c r="AF307" s="570"/>
      <c r="AG307" s="570"/>
      <c r="AH307" s="570"/>
      <c r="AI307" s="570"/>
      <c r="AJ307" s="570"/>
      <c r="AK307" s="570"/>
      <c r="AL307" s="570"/>
      <c r="AM307" s="570"/>
      <c r="AN307" s="570"/>
      <c r="AO307" s="588"/>
    </row>
    <row r="308" ht="20.4" x14ac:dyDescent="0.3">
      <c r="B308" s="597"/>
      <c r="C308" s="570"/>
      <c r="D308" s="820"/>
      <c r="E308" s="529" t="s">
        <v>1767</v>
      </c>
      <c r="F308" s="1384">
        <f>IF(ISNA(VLOOKUP("water",'II. Equipment &amp; Cost Data'!F209:K248,3,FALSE))=TRUE,0,VLOOKUP("water",'II. Equipment &amp; Cost Data'!F209:K248,3,FALSE))</f>
        <v>0</v>
      </c>
      <c r="G308" s="526" t="s">
        <v>1318</v>
      </c>
      <c r="H308" s="521" t="s">
        <v>1310</v>
      </c>
      <c r="I308" s="527" t="s">
        <v>1321</v>
      </c>
      <c r="J308" s="292"/>
      <c r="K308" s="287"/>
      <c r="L308" s="532"/>
      <c r="M308" s="610"/>
      <c r="N308" s="570"/>
      <c r="O308" s="570"/>
      <c r="P308" s="297"/>
      <c r="Q308" s="611"/>
      <c r="R308" s="570"/>
      <c r="S308" s="570"/>
      <c r="T308" s="570"/>
      <c r="U308" s="570"/>
      <c r="V308" s="570"/>
      <c r="W308" s="570"/>
      <c r="X308" s="570"/>
      <c r="Y308" s="570"/>
      <c r="Z308" s="570"/>
      <c r="AA308" s="570"/>
      <c r="AB308" s="570"/>
      <c r="AC308" s="570"/>
      <c r="AD308" s="570"/>
      <c r="AE308" s="570"/>
      <c r="AF308" s="570"/>
      <c r="AG308" s="570"/>
      <c r="AH308" s="570"/>
      <c r="AI308" s="570"/>
      <c r="AJ308" s="570"/>
      <c r="AK308" s="570"/>
      <c r="AL308" s="570"/>
      <c r="AM308" s="570"/>
      <c r="AN308" s="570"/>
      <c r="AO308" s="588"/>
    </row>
    <row r="309" ht="20.4" x14ac:dyDescent="0.3">
      <c r="B309" s="597"/>
      <c r="C309" s="570"/>
      <c r="D309" s="820"/>
      <c r="E309" s="530" t="s">
        <v>1768</v>
      </c>
      <c r="F309" s="1401">
        <f>'III. Utility Data'!G12</f>
        <v>6.7000000000000002E-5</v>
      </c>
      <c r="G309" s="1427"/>
      <c r="H309" s="1421"/>
      <c r="I309" s="1383"/>
      <c r="J309" s="292"/>
      <c r="K309" s="287"/>
      <c r="L309" s="532"/>
      <c r="M309" s="610"/>
      <c r="N309" s="570"/>
      <c r="O309" s="570"/>
      <c r="P309" s="297"/>
      <c r="Q309" s="611"/>
      <c r="R309" s="570"/>
      <c r="S309" s="570"/>
      <c r="T309" s="570"/>
      <c r="U309" s="570"/>
      <c r="V309" s="570"/>
      <c r="W309" s="570"/>
      <c r="X309" s="570"/>
      <c r="Y309" s="570"/>
      <c r="Z309" s="570"/>
      <c r="AA309" s="570"/>
      <c r="AB309" s="570"/>
      <c r="AC309" s="570"/>
      <c r="AD309" s="570"/>
      <c r="AE309" s="570"/>
      <c r="AF309" s="570"/>
      <c r="AG309" s="570"/>
      <c r="AH309" s="570"/>
      <c r="AI309" s="570"/>
      <c r="AJ309" s="570"/>
      <c r="AK309" s="570"/>
      <c r="AL309" s="570"/>
      <c r="AM309" s="570"/>
      <c r="AN309" s="570"/>
      <c r="AO309" s="588"/>
    </row>
    <row r="310" ht="20.4" x14ac:dyDescent="0.3">
      <c r="B310" s="597"/>
      <c r="C310" s="570"/>
      <c r="D310" s="820"/>
      <c r="E310" s="530" t="s">
        <v>1320</v>
      </c>
      <c r="F310" s="1401">
        <f>F308*F309*8766</f>
        <v>0</v>
      </c>
      <c r="G310" s="1427" t="str">
        <f>IF('III. Utility Data'!N11="yes",'III. Utility Data'!E11,"")</f>
        <v/>
      </c>
      <c r="H310" s="1421" t="str">
        <f>IF('III. Utility Data'!N11="yes",'III. Utility Data'!M11,"")</f>
        <v/>
      </c>
      <c r="I310" s="1383" t="str">
        <f>IF('III. Utility Data'!N11="yes",'III. Utility Data'!J11*8766/1000,"")</f>
        <v/>
      </c>
      <c r="J310" s="292"/>
      <c r="K310" s="287"/>
      <c r="L310" s="532"/>
      <c r="M310" s="610"/>
      <c r="N310" s="570"/>
      <c r="O310" s="570"/>
      <c r="P310" s="297"/>
      <c r="Q310" s="611"/>
      <c r="R310" s="570"/>
      <c r="S310" s="570"/>
      <c r="T310" s="570"/>
      <c r="U310" s="570"/>
      <c r="V310" s="570"/>
      <c r="W310" s="570"/>
      <c r="X310" s="570"/>
      <c r="Y310" s="570"/>
      <c r="Z310" s="570"/>
      <c r="AA310" s="570"/>
      <c r="AB310" s="570"/>
      <c r="AC310" s="570"/>
      <c r="AD310" s="570"/>
      <c r="AE310" s="570"/>
      <c r="AF310" s="570"/>
      <c r="AG310" s="570"/>
      <c r="AH310" s="570"/>
      <c r="AI310" s="570"/>
      <c r="AJ310" s="570"/>
      <c r="AK310" s="570"/>
      <c r="AL310" s="570"/>
      <c r="AM310" s="570"/>
      <c r="AN310" s="570"/>
      <c r="AO310" s="588"/>
    </row>
    <row r="311" ht="20.4" x14ac:dyDescent="0.3">
      <c r="B311" s="597"/>
      <c r="C311" s="570"/>
      <c r="D311" s="820"/>
      <c r="E311" s="530" t="s">
        <v>1322</v>
      </c>
      <c r="F311" s="1401">
        <f>F308*8766/1000</f>
        <v>0</v>
      </c>
      <c r="G311" s="1427" t="str">
        <f>IF('III. Utility Data'!N12="yes",'III. Utility Data'!E12,"")</f>
        <v/>
      </c>
      <c r="H311" s="1421" t="str">
        <f>IF('III. Utility Data'!N12="yes",'III. Utility Data'!M12,"")</f>
        <v/>
      </c>
      <c r="I311" s="1383" t="str">
        <f>IF('III. Utility Data'!N12="yes",'III. Utility Data'!J12*8766/1000,"")</f>
        <v/>
      </c>
      <c r="J311" s="292"/>
      <c r="K311" s="287"/>
      <c r="L311" s="532"/>
      <c r="M311" s="610"/>
      <c r="N311" s="570"/>
      <c r="O311" s="570"/>
      <c r="P311" s="297"/>
      <c r="Q311" s="611"/>
      <c r="R311" s="570"/>
      <c r="S311" s="570"/>
      <c r="T311" s="570"/>
      <c r="U311" s="570"/>
      <c r="V311" s="570"/>
      <c r="W311" s="570"/>
      <c r="X311" s="570"/>
      <c r="Y311" s="570"/>
      <c r="Z311" s="570"/>
      <c r="AA311" s="570"/>
      <c r="AB311" s="570"/>
      <c r="AC311" s="570"/>
      <c r="AD311" s="570"/>
      <c r="AE311" s="570"/>
      <c r="AF311" s="570"/>
      <c r="AG311" s="570"/>
      <c r="AH311" s="570"/>
      <c r="AI311" s="570"/>
      <c r="AJ311" s="570"/>
      <c r="AK311" s="570"/>
      <c r="AL311" s="570"/>
      <c r="AM311" s="570"/>
      <c r="AN311" s="570"/>
      <c r="AO311" s="588"/>
    </row>
    <row r="312" ht="20.4" x14ac:dyDescent="0.3">
      <c r="B312" s="597"/>
      <c r="C312" s="570"/>
      <c r="D312" s="820"/>
      <c r="E312" s="530" t="s">
        <v>1443</v>
      </c>
      <c r="F312" s="1401">
        <f>H324</f>
        <v>0</v>
      </c>
      <c r="G312" s="1427" t="str">
        <f>IF('III. Utility Data'!N13="yes",'III. Utility Data'!E13,"")</f>
        <v/>
      </c>
      <c r="H312" s="1421" t="str">
        <f>IF('III. Utility Data'!N13="yes",'III. Utility Data'!M13,"")</f>
        <v/>
      </c>
      <c r="I312" s="1383" t="str">
        <f>IF('III. Utility Data'!N13="yes",'III. Utility Data'!J13*8766/1000,"")</f>
        <v/>
      </c>
      <c r="J312" s="292"/>
      <c r="K312" s="287"/>
      <c r="L312" s="532"/>
      <c r="M312" s="610"/>
      <c r="N312" s="570"/>
      <c r="O312" s="570"/>
      <c r="P312" s="297"/>
      <c r="Q312" s="611"/>
      <c r="R312" s="570"/>
      <c r="S312" s="570"/>
      <c r="T312" s="570"/>
      <c r="U312" s="570"/>
      <c r="V312" s="570"/>
      <c r="W312" s="570"/>
      <c r="X312" s="570"/>
      <c r="Y312" s="570"/>
      <c r="Z312" s="570"/>
      <c r="AA312" s="570"/>
      <c r="AB312" s="570"/>
      <c r="AC312" s="570"/>
      <c r="AD312" s="570"/>
      <c r="AE312" s="570"/>
      <c r="AF312" s="570"/>
      <c r="AG312" s="570"/>
      <c r="AH312" s="570"/>
      <c r="AI312" s="570"/>
      <c r="AJ312" s="570"/>
      <c r="AK312" s="570"/>
      <c r="AL312" s="570"/>
      <c r="AM312" s="570"/>
      <c r="AN312" s="570"/>
      <c r="AO312" s="588"/>
    </row>
    <row r="313" ht="20.4" x14ac:dyDescent="0.3">
      <c r="B313" s="597"/>
      <c r="C313" s="570"/>
      <c r="D313" s="820"/>
      <c r="E313" s="530" t="s">
        <v>1442</v>
      </c>
      <c r="F313" s="1401">
        <f>I324</f>
        <v>0</v>
      </c>
      <c r="G313" s="1427" t="str">
        <f>IF('III. Utility Data'!N14="yes",'III. Utility Data'!E14,"")</f>
        <v/>
      </c>
      <c r="H313" s="1421" t="str">
        <f>IF('III. Utility Data'!N14="yes",'III. Utility Data'!M14,"")</f>
        <v/>
      </c>
      <c r="I313" s="1383" t="str">
        <f>IF('III. Utility Data'!N14="yes",'III. Utility Data'!J14*8766/1000,"")</f>
        <v/>
      </c>
      <c r="J313" s="292"/>
      <c r="K313" s="287"/>
      <c r="L313" s="532"/>
      <c r="M313" s="610"/>
      <c r="N313" s="570"/>
      <c r="O313" s="570"/>
      <c r="P313" s="297"/>
      <c r="Q313" s="611"/>
      <c r="R313" s="570"/>
      <c r="S313" s="570"/>
      <c r="T313" s="570"/>
      <c r="U313" s="570"/>
      <c r="V313" s="570"/>
      <c r="W313" s="570"/>
      <c r="X313" s="570"/>
      <c r="Y313" s="570"/>
      <c r="Z313" s="570"/>
      <c r="AA313" s="570"/>
      <c r="AB313" s="570"/>
      <c r="AC313" s="570"/>
      <c r="AD313" s="570"/>
      <c r="AE313" s="570"/>
      <c r="AF313" s="570"/>
      <c r="AG313" s="570"/>
      <c r="AH313" s="570"/>
      <c r="AI313" s="570"/>
      <c r="AJ313" s="570"/>
      <c r="AK313" s="570"/>
      <c r="AL313" s="570"/>
      <c r="AM313" s="570"/>
      <c r="AN313" s="570"/>
      <c r="AO313" s="588"/>
    </row>
    <row r="314" ht="20.4" x14ac:dyDescent="0.3">
      <c r="B314" s="597"/>
      <c r="C314" s="570"/>
      <c r="D314" s="820"/>
      <c r="E314" s="530" t="s">
        <v>1323</v>
      </c>
      <c r="F314" s="1401">
        <f>F311+F313</f>
        <v>0</v>
      </c>
      <c r="G314" s="1427" t="str">
        <f>IF('III. Utility Data'!N15="yes",'III. Utility Data'!E15,"")</f>
        <v/>
      </c>
      <c r="H314" s="1421" t="str">
        <f>IF('III. Utility Data'!N15="yes",'III. Utility Data'!M15,"")</f>
        <v/>
      </c>
      <c r="I314" s="1383" t="str">
        <f>IF('III. Utility Data'!N15="yes",'III. Utility Data'!J15*8766/1000,"")</f>
        <v/>
      </c>
      <c r="J314" s="292"/>
      <c r="K314" s="287"/>
      <c r="L314" s="532"/>
      <c r="M314" s="610"/>
      <c r="N314" s="570"/>
      <c r="O314" s="570"/>
      <c r="P314" s="297"/>
      <c r="Q314" s="611"/>
      <c r="R314" s="570"/>
      <c r="S314" s="570"/>
      <c r="T314" s="570"/>
      <c r="U314" s="570"/>
      <c r="V314" s="570"/>
      <c r="W314" s="570"/>
      <c r="X314" s="570"/>
      <c r="Y314" s="570"/>
      <c r="Z314" s="570"/>
      <c r="AA314" s="570"/>
      <c r="AB314" s="570"/>
      <c r="AC314" s="570"/>
      <c r="AD314" s="570"/>
      <c r="AE314" s="570"/>
      <c r="AF314" s="570"/>
      <c r="AG314" s="570"/>
      <c r="AH314" s="570"/>
      <c r="AI314" s="570"/>
      <c r="AJ314" s="570"/>
      <c r="AK314" s="570"/>
      <c r="AL314" s="570"/>
      <c r="AM314" s="570"/>
      <c r="AN314" s="570"/>
      <c r="AO314" s="588"/>
    </row>
    <row r="315" thickBot="true" x14ac:dyDescent="0.35">
      <c r="B315" s="597"/>
      <c r="C315" s="570"/>
      <c r="D315" s="820"/>
      <c r="E315" s="531" t="s">
        <v>1319</v>
      </c>
      <c r="F315" s="1385">
        <f>F310+F312</f>
        <v>0</v>
      </c>
      <c r="G315" s="1427"/>
      <c r="H315" s="1421"/>
      <c r="I315" s="1383"/>
      <c r="J315" s="292"/>
      <c r="K315" s="287"/>
      <c r="L315" s="532"/>
      <c r="M315" s="610"/>
      <c r="N315" s="570"/>
      <c r="O315" s="570"/>
      <c r="P315" s="297"/>
      <c r="Q315" s="611"/>
      <c r="R315" s="570"/>
      <c r="S315" s="570"/>
      <c r="T315" s="570"/>
      <c r="U315" s="570"/>
      <c r="V315" s="570"/>
      <c r="W315" s="570"/>
      <c r="X315" s="570"/>
      <c r="Y315" s="570"/>
      <c r="Z315" s="570"/>
      <c r="AA315" s="570"/>
      <c r="AB315" s="570"/>
      <c r="AC315" s="570"/>
      <c r="AD315" s="570"/>
      <c r="AE315" s="570"/>
      <c r="AF315" s="570"/>
      <c r="AG315" s="570"/>
      <c r="AH315" s="570"/>
      <c r="AI315" s="570"/>
      <c r="AJ315" s="570"/>
      <c r="AK315" s="570"/>
      <c r="AL315" s="570"/>
      <c r="AM315" s="570"/>
      <c r="AN315" s="570"/>
      <c r="AO315" s="588"/>
    </row>
    <row r="316" x14ac:dyDescent="0.3">
      <c r="B316" s="597"/>
      <c r="C316" s="570"/>
      <c r="D316" s="820"/>
      <c r="E316" s="625"/>
      <c r="F316" s="611"/>
      <c r="G316" s="1427"/>
      <c r="H316" s="1421"/>
      <c r="I316" s="1383"/>
      <c r="J316" s="292"/>
      <c r="K316" s="287"/>
      <c r="L316" s="532"/>
      <c r="M316" s="610"/>
      <c r="N316" s="570"/>
      <c r="O316" s="570"/>
      <c r="P316" s="297"/>
      <c r="Q316" s="611"/>
      <c r="R316" s="570"/>
      <c r="S316" s="570"/>
      <c r="T316" s="570"/>
      <c r="U316" s="570"/>
      <c r="V316" s="570"/>
      <c r="W316" s="570"/>
      <c r="X316" s="570"/>
      <c r="Y316" s="570"/>
      <c r="Z316" s="570"/>
      <c r="AA316" s="570"/>
      <c r="AB316" s="570"/>
      <c r="AC316" s="570"/>
      <c r="AD316" s="570"/>
      <c r="AE316" s="570"/>
      <c r="AF316" s="570"/>
      <c r="AG316" s="570"/>
      <c r="AH316" s="570"/>
      <c r="AI316" s="570"/>
      <c r="AJ316" s="570"/>
      <c r="AK316" s="570"/>
      <c r="AL316" s="570"/>
      <c r="AM316" s="570"/>
      <c r="AN316" s="570"/>
      <c r="AO316" s="588"/>
    </row>
    <row r="317" x14ac:dyDescent="0.3">
      <c r="B317" s="597"/>
      <c r="C317" s="570"/>
      <c r="D317" s="820"/>
      <c r="E317" s="625"/>
      <c r="F317" s="611"/>
      <c r="G317" s="1427"/>
      <c r="H317" s="1421"/>
      <c r="I317" s="1383"/>
      <c r="J317" s="292"/>
      <c r="K317" s="287"/>
      <c r="L317" s="532"/>
      <c r="M317" s="610"/>
      <c r="N317" s="570"/>
      <c r="O317" s="570"/>
      <c r="P317" s="297"/>
      <c r="Q317" s="611"/>
      <c r="R317" s="570"/>
      <c r="S317" s="570"/>
      <c r="T317" s="570"/>
      <c r="U317" s="570"/>
      <c r="V317" s="570"/>
      <c r="W317" s="570"/>
      <c r="X317" s="570"/>
      <c r="Y317" s="570"/>
      <c r="Z317" s="570"/>
      <c r="AA317" s="570"/>
      <c r="AB317" s="570"/>
      <c r="AC317" s="570"/>
      <c r="AD317" s="570"/>
      <c r="AE317" s="570"/>
      <c r="AF317" s="570"/>
      <c r="AG317" s="570"/>
      <c r="AH317" s="570"/>
      <c r="AI317" s="570"/>
      <c r="AJ317" s="570"/>
      <c r="AK317" s="570"/>
      <c r="AL317" s="570"/>
      <c r="AM317" s="570"/>
      <c r="AN317" s="570"/>
      <c r="AO317" s="588"/>
    </row>
    <row r="318" x14ac:dyDescent="0.3">
      <c r="B318" s="597"/>
      <c r="C318" s="570"/>
      <c r="D318" s="820"/>
      <c r="E318" s="625"/>
      <c r="F318" s="611"/>
      <c r="G318" s="1427"/>
      <c r="H318" s="1421"/>
      <c r="I318" s="1383"/>
      <c r="J318" s="292"/>
      <c r="K318" s="287"/>
      <c r="L318" s="532"/>
      <c r="M318" s="610"/>
      <c r="N318" s="570"/>
      <c r="O318" s="570"/>
      <c r="P318" s="297"/>
      <c r="Q318" s="611"/>
      <c r="R318" s="570"/>
      <c r="S318" s="570"/>
      <c r="T318" s="570"/>
      <c r="U318" s="570"/>
      <c r="V318" s="570"/>
      <c r="W318" s="570"/>
      <c r="X318" s="570"/>
      <c r="Y318" s="570"/>
      <c r="Z318" s="570"/>
      <c r="AA318" s="570"/>
      <c r="AB318" s="570"/>
      <c r="AC318" s="570"/>
      <c r="AD318" s="570"/>
      <c r="AE318" s="570"/>
      <c r="AF318" s="570"/>
      <c r="AG318" s="570"/>
      <c r="AH318" s="570"/>
      <c r="AI318" s="570"/>
      <c r="AJ318" s="570"/>
      <c r="AK318" s="570"/>
      <c r="AL318" s="570"/>
      <c r="AM318" s="570"/>
      <c r="AN318" s="570"/>
      <c r="AO318" s="588"/>
    </row>
    <row r="319" x14ac:dyDescent="0.3">
      <c r="B319" s="597"/>
      <c r="C319" s="570"/>
      <c r="D319" s="820"/>
      <c r="E319" s="625"/>
      <c r="F319" s="611"/>
      <c r="G319" s="1427"/>
      <c r="H319" s="1421"/>
      <c r="I319" s="1383"/>
      <c r="J319" s="292"/>
      <c r="K319" s="287"/>
      <c r="L319" s="532"/>
      <c r="M319" s="610"/>
      <c r="N319" s="570"/>
      <c r="O319" s="570"/>
      <c r="P319" s="297"/>
      <c r="Q319" s="611"/>
      <c r="R319" s="570"/>
      <c r="S319" s="570"/>
      <c r="T319" s="570"/>
      <c r="U319" s="570"/>
      <c r="V319" s="570"/>
      <c r="W319" s="570"/>
      <c r="X319" s="570"/>
      <c r="Y319" s="570"/>
      <c r="Z319" s="570"/>
      <c r="AA319" s="570"/>
      <c r="AB319" s="570"/>
      <c r="AC319" s="570"/>
      <c r="AD319" s="570"/>
      <c r="AE319" s="570"/>
      <c r="AF319" s="570"/>
      <c r="AG319" s="570"/>
      <c r="AH319" s="570"/>
      <c r="AI319" s="570"/>
      <c r="AJ319" s="570"/>
      <c r="AK319" s="570"/>
      <c r="AL319" s="570"/>
      <c r="AM319" s="570"/>
      <c r="AN319" s="570"/>
      <c r="AO319" s="588"/>
    </row>
    <row r="320" x14ac:dyDescent="0.3">
      <c r="B320" s="597"/>
      <c r="C320" s="570"/>
      <c r="D320" s="820"/>
      <c r="E320" s="625"/>
      <c r="F320" s="611"/>
      <c r="G320" s="1427"/>
      <c r="H320" s="1421"/>
      <c r="I320" s="1383"/>
      <c r="J320" s="292"/>
      <c r="K320" s="287"/>
      <c r="L320" s="532"/>
      <c r="M320" s="610"/>
      <c r="N320" s="570"/>
      <c r="O320" s="570"/>
      <c r="P320" s="297"/>
      <c r="Q320" s="611"/>
      <c r="R320" s="570"/>
      <c r="S320" s="570"/>
      <c r="T320" s="570"/>
      <c r="U320" s="570"/>
      <c r="V320" s="570"/>
      <c r="W320" s="570"/>
      <c r="X320" s="570"/>
      <c r="Y320" s="570"/>
      <c r="Z320" s="570"/>
      <c r="AA320" s="570"/>
      <c r="AB320" s="570"/>
      <c r="AC320" s="570"/>
      <c r="AD320" s="570"/>
      <c r="AE320" s="570"/>
      <c r="AF320" s="570"/>
      <c r="AG320" s="570"/>
      <c r="AH320" s="570"/>
      <c r="AI320" s="570"/>
      <c r="AJ320" s="570"/>
      <c r="AK320" s="570"/>
      <c r="AL320" s="570"/>
      <c r="AM320" s="570"/>
      <c r="AN320" s="570"/>
      <c r="AO320" s="588"/>
    </row>
    <row r="321" x14ac:dyDescent="0.3">
      <c r="B321" s="597"/>
      <c r="C321" s="570"/>
      <c r="D321" s="820"/>
      <c r="E321" s="625"/>
      <c r="F321" s="611"/>
      <c r="G321" s="1427"/>
      <c r="H321" s="1421"/>
      <c r="I321" s="1383"/>
      <c r="J321" s="292"/>
      <c r="K321" s="287"/>
      <c r="L321" s="532"/>
      <c r="M321" s="610"/>
      <c r="N321" s="570"/>
      <c r="O321" s="570"/>
      <c r="P321" s="297"/>
      <c r="Q321" s="611"/>
      <c r="R321" s="570"/>
      <c r="S321" s="570"/>
      <c r="T321" s="570"/>
      <c r="U321" s="570"/>
      <c r="V321" s="570"/>
      <c r="W321" s="570"/>
      <c r="X321" s="570"/>
      <c r="Y321" s="570"/>
      <c r="Z321" s="570"/>
      <c r="AA321" s="570"/>
      <c r="AB321" s="570"/>
      <c r="AC321" s="570"/>
      <c r="AD321" s="570"/>
      <c r="AE321" s="570"/>
      <c r="AF321" s="570"/>
      <c r="AG321" s="570"/>
      <c r="AH321" s="570"/>
      <c r="AI321" s="570"/>
      <c r="AJ321" s="570"/>
      <c r="AK321" s="570"/>
      <c r="AL321" s="570"/>
      <c r="AM321" s="570"/>
      <c r="AN321" s="570"/>
      <c r="AO321" s="588"/>
    </row>
    <row r="322" x14ac:dyDescent="0.3">
      <c r="B322" s="597"/>
      <c r="C322" s="570"/>
      <c r="D322" s="820"/>
      <c r="E322" s="625"/>
      <c r="F322" s="611"/>
      <c r="G322" s="1427"/>
      <c r="H322" s="1421"/>
      <c r="I322" s="1383"/>
      <c r="J322" s="292"/>
      <c r="K322" s="287"/>
      <c r="L322" s="532"/>
      <c r="M322" s="610"/>
      <c r="N322" s="570"/>
      <c r="O322" s="570"/>
      <c r="P322" s="297"/>
      <c r="Q322" s="611"/>
      <c r="R322" s="570"/>
      <c r="S322" s="570"/>
      <c r="T322" s="570"/>
      <c r="U322" s="570"/>
      <c r="V322" s="570"/>
      <c r="W322" s="570"/>
      <c r="X322" s="570"/>
      <c r="Y322" s="570"/>
      <c r="Z322" s="570"/>
      <c r="AA322" s="570"/>
      <c r="AB322" s="570"/>
      <c r="AC322" s="570"/>
      <c r="AD322" s="570"/>
      <c r="AE322" s="570"/>
      <c r="AF322" s="570"/>
      <c r="AG322" s="570"/>
      <c r="AH322" s="570"/>
      <c r="AI322" s="570"/>
      <c r="AJ322" s="570"/>
      <c r="AK322" s="570"/>
      <c r="AL322" s="570"/>
      <c r="AM322" s="570"/>
      <c r="AN322" s="570"/>
      <c r="AO322" s="588"/>
    </row>
    <row r="323" ht="21.6" thickBot="true" x14ac:dyDescent="0.35">
      <c r="B323" s="597"/>
      <c r="C323" s="570"/>
      <c r="D323" s="820"/>
      <c r="E323" s="625"/>
      <c r="F323" s="611"/>
      <c r="G323" s="1429"/>
      <c r="H323" s="1432"/>
      <c r="I323" s="1433"/>
      <c r="J323" s="292"/>
      <c r="K323" s="287"/>
      <c r="L323" s="532"/>
      <c r="M323" s="610"/>
      <c r="N323" s="570"/>
      <c r="O323" s="570"/>
      <c r="P323" s="297"/>
      <c r="Q323" s="611"/>
      <c r="R323" s="570"/>
      <c r="S323" s="570"/>
      <c r="T323" s="570"/>
      <c r="U323" s="570"/>
      <c r="V323" s="570"/>
      <c r="W323" s="570"/>
      <c r="X323" s="570"/>
      <c r="Y323" s="570"/>
      <c r="Z323" s="570"/>
      <c r="AA323" s="570"/>
      <c r="AB323" s="570"/>
      <c r="AC323" s="570"/>
      <c r="AD323" s="570"/>
      <c r="AE323" s="570"/>
      <c r="AF323" s="570"/>
      <c r="AG323" s="570"/>
      <c r="AH323" s="570"/>
      <c r="AI323" s="570"/>
      <c r="AJ323" s="570"/>
      <c r="AK323" s="570"/>
      <c r="AL323" s="570"/>
      <c r="AM323" s="570"/>
      <c r="AN323" s="570"/>
      <c r="AO323" s="588"/>
    </row>
    <row r="324" ht="21.6" thickBot="true" x14ac:dyDescent="0.35">
      <c r="B324" s="597"/>
      <c r="C324" s="570"/>
      <c r="D324" s="820"/>
      <c r="E324" s="625"/>
      <c r="F324" s="611"/>
      <c r="G324" s="528" t="s">
        <v>88</v>
      </c>
      <c r="H324" s="1434">
        <f>SUM(H310:H314)</f>
        <v>0</v>
      </c>
      <c r="I324" s="1435">
        <f>SUM(I310:I314)</f>
        <v>0</v>
      </c>
      <c r="J324" s="292"/>
      <c r="K324" s="287"/>
      <c r="L324" s="532"/>
      <c r="M324" s="610"/>
      <c r="N324" s="570"/>
      <c r="O324" s="570"/>
      <c r="P324" s="297"/>
      <c r="Q324" s="611"/>
      <c r="R324" s="570"/>
      <c r="S324" s="570"/>
      <c r="T324" s="570"/>
      <c r="U324" s="570"/>
      <c r="V324" s="570"/>
      <c r="W324" s="570"/>
      <c r="X324" s="570"/>
      <c r="Y324" s="570"/>
      <c r="Z324" s="570"/>
      <c r="AA324" s="570"/>
      <c r="AB324" s="570"/>
      <c r="AC324" s="570"/>
      <c r="AD324" s="570"/>
      <c r="AE324" s="570"/>
      <c r="AF324" s="570"/>
      <c r="AG324" s="570"/>
      <c r="AH324" s="570"/>
      <c r="AI324" s="570"/>
      <c r="AJ324" s="570"/>
      <c r="AK324" s="570"/>
      <c r="AL324" s="570"/>
      <c r="AM324" s="570"/>
      <c r="AN324" s="570"/>
      <c r="AO324" s="588"/>
    </row>
    <row r="325" x14ac:dyDescent="0.3">
      <c r="B325" s="597"/>
      <c r="C325" s="570"/>
      <c r="D325" s="820"/>
      <c r="E325" s="625"/>
      <c r="F325" s="611"/>
      <c r="G325" s="570"/>
      <c r="H325" s="626"/>
      <c r="I325" s="532"/>
      <c r="J325" s="292"/>
      <c r="K325" s="287"/>
      <c r="L325" s="532"/>
      <c r="M325" s="610"/>
      <c r="N325" s="570"/>
      <c r="O325" s="570"/>
      <c r="P325" s="297"/>
      <c r="Q325" s="611"/>
      <c r="R325" s="570"/>
      <c r="S325" s="570"/>
      <c r="T325" s="570"/>
      <c r="U325" s="570"/>
      <c r="V325" s="570"/>
      <c r="W325" s="570"/>
      <c r="X325" s="570"/>
      <c r="Y325" s="570"/>
      <c r="Z325" s="570"/>
      <c r="AA325" s="570"/>
      <c r="AB325" s="570"/>
      <c r="AC325" s="570"/>
      <c r="AD325" s="570"/>
      <c r="AE325" s="570"/>
      <c r="AF325" s="570"/>
      <c r="AG325" s="570"/>
      <c r="AH325" s="570"/>
      <c r="AI325" s="570"/>
      <c r="AJ325" s="570"/>
      <c r="AK325" s="570"/>
      <c r="AL325" s="570"/>
      <c r="AM325" s="570"/>
      <c r="AN325" s="570"/>
      <c r="AO325" s="588"/>
    </row>
    <row r="326" ht="21.6" thickBot="true" x14ac:dyDescent="0.35">
      <c r="B326" s="605"/>
      <c r="C326" s="591"/>
      <c r="D326" s="832"/>
      <c r="E326" s="833"/>
      <c r="F326" s="724"/>
      <c r="G326" s="591"/>
      <c r="H326" s="720"/>
      <c r="I326" s="834"/>
      <c r="J326" s="719"/>
      <c r="K326" s="375"/>
      <c r="L326" s="834"/>
      <c r="M326" s="835"/>
      <c r="N326" s="591"/>
      <c r="O326" s="591"/>
      <c r="P326" s="723"/>
      <c r="Q326" s="724"/>
      <c r="R326" s="591"/>
      <c r="S326" s="591"/>
      <c r="T326" s="591"/>
      <c r="U326" s="591"/>
      <c r="V326" s="591"/>
      <c r="W326" s="591"/>
      <c r="X326" s="591"/>
      <c r="Y326" s="591"/>
      <c r="Z326" s="591"/>
      <c r="AA326" s="591"/>
      <c r="AB326" s="591"/>
      <c r="AC326" s="591"/>
      <c r="AD326" s="591"/>
      <c r="AE326" s="591"/>
      <c r="AF326" s="591"/>
      <c r="AG326" s="591"/>
      <c r="AH326" s="591"/>
      <c r="AI326" s="591"/>
      <c r="AJ326" s="591"/>
      <c r="AK326" s="591"/>
      <c r="AL326" s="591"/>
      <c r="AM326" s="591"/>
      <c r="AN326" s="591"/>
      <c r="AO326" s="606"/>
      <c r="AP326" s="819"/>
    </row>
  </sheetData>
  <sheetProtection sheet="true" objects="true" scenarios="true"/>
  <scenarios current="0" show="0">
    <scenario name="solution for NPV=0" count="1" user="ctsuser" comment="Created by ctsuser on 5/21/2012">
      <inputCells r="I9" val="0.415957737606071"/>
    </scenario>
  </scenarios>
  <mergeCells count="50">
    <mergeCell ref="E157:F157"/>
    <mergeCell ref="E230:F230"/>
    <mergeCell ref="E256:F256"/>
    <mergeCell ref="E244:F244"/>
    <mergeCell ref="E307:F307"/>
    <mergeCell ref="E163:F163"/>
    <mergeCell ref="E174:F174"/>
    <mergeCell ref="E191:F191"/>
    <mergeCell ref="E199:F199"/>
    <mergeCell ref="E212:F212"/>
    <mergeCell ref="E63:F63"/>
    <mergeCell ref="E64:F64"/>
    <mergeCell ref="E65:F65"/>
    <mergeCell ref="E66:F66"/>
    <mergeCell ref="E82:G82"/>
    <mergeCell ref="E67:F67"/>
    <mergeCell ref="E79:F79"/>
    <mergeCell ref="E73:F73"/>
    <mergeCell ref="E74:F74"/>
    <mergeCell ref="G77:G78"/>
    <mergeCell ref="E75:F75"/>
    <mergeCell ref="E76:F76"/>
    <mergeCell ref="E77:F78"/>
    <mergeCell ref="E68:F68"/>
    <mergeCell ref="E69:F69"/>
    <mergeCell ref="E70:F70"/>
    <mergeCell ref="V82:W82"/>
    <mergeCell ref="L4:O4"/>
    <mergeCell ref="B47:I47"/>
    <mergeCell ref="S5:AJ5"/>
    <mergeCell ref="D5:E5"/>
    <mergeCell ref="L82:O82"/>
    <mergeCell ref="P82:S82"/>
    <mergeCell ref="E54:F54"/>
    <mergeCell ref="E55:F55"/>
    <mergeCell ref="E56:F56"/>
    <mergeCell ref="E57:F57"/>
    <mergeCell ref="E58:F58"/>
    <mergeCell ref="E59:F59"/>
    <mergeCell ref="E60:F60"/>
    <mergeCell ref="E61:F61"/>
    <mergeCell ref="E62:F62"/>
    <mergeCell ref="E71:F71"/>
    <mergeCell ref="E72:F72"/>
    <mergeCell ref="K140:L140"/>
    <mergeCell ref="H140:J140"/>
    <mergeCell ref="T82:U82"/>
    <mergeCell ref="E98:F98"/>
    <mergeCell ref="E106:F106"/>
    <mergeCell ref="E139:F139"/>
  </mergeCells>
  <phoneticPr fontId="32" type="noConversion"/>
  <conditionalFormatting sqref="P6:P38">
    <cfRule type="colorScale" priority="2">
      <colorScale>
        <cfvo type="num" val="0"/>
        <cfvo type="num" val="100"/>
        <color rgb="FFFF0000"/>
        <color rgb="FF21FF85"/>
      </colorScale>
    </cfRule>
  </conditionalFormatting>
  <pageMargins left="0.75" right="0.75" top="1" bottom="1" header="0.5" footer="0.5"/>
  <pageSetup orientation="portrait" r:id="rId1"/>
  <headerFooter alignWithMargins="false"/>
  <drawing r:id="rId2"/>
  <legacyDrawing r:id="rId3"/>
  <oleObjects>
    <mc:AlternateContent xmlns:mc="http://schemas.openxmlformats.org/markup-compatibility/2006">
      <mc:Choice Requires="x14">
        <oleObject progId="Equation.DSMT4" shapeId="5278" r:id="rId4">
          <objectPr defaultSize="0" autoPict="0" r:id="rId5">
            <anchor moveWithCells="1" sizeWithCells="1">
              <from>
                <xdr:col>7</xdr:col>
                <xdr:colOff>228600</xdr:colOff>
                <xdr:row>5</xdr:row>
                <xdr:rowOff>137160</xdr:rowOff>
              </from>
              <to>
                <xdr:col>7</xdr:col>
                <xdr:colOff>5966460</xdr:colOff>
                <xdr:row>5</xdr:row>
                <xdr:rowOff>3878580</xdr:rowOff>
              </to>
            </anchor>
          </objectPr>
        </oleObject>
      </mc:Choice>
      <mc:Fallback>
        <oleObject progId="Equation.DSMT4" shapeId="5278" r:id="rId4"/>
      </mc:Fallback>
    </mc:AlternateContent>
  </oleObjec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C3:L260"/>
  <sheetViews>
    <sheetView topLeftCell="G220" zoomScale="70" zoomScaleNormal="70" workbookViewId="0">
      <selection activeCell="N22" sqref="N22"/>
    </sheetView>
  </sheetViews>
  <sheetFormatPr defaultColWidth="9.109375" defaultRowHeight="15" x14ac:dyDescent="0.25"/>
  <cols>
    <col min="1" max="5" width="9.109375" style="62"/>
    <col min="6" max="6" width="11.88671875" style="62" customWidth="true"/>
    <col min="7" max="7" width="21.88671875" style="62" customWidth="true"/>
    <col min="8" max="8" width="9.109375" style="62" customWidth="true"/>
    <col min="9" max="9" width="18.44140625" style="62" customWidth="true"/>
    <col min="10" max="11" width="16.33203125" style="62" customWidth="true"/>
    <col min="12" max="12" width="20.44140625" style="62" customWidth="true"/>
    <col min="13" max="16384" width="9.109375" style="62"/>
  </cols>
  <sheetData>
    <row r="3" ht="24.6" x14ac:dyDescent="0.4">
      <c r="C3" s="2017" t="s">
        <v>2223</v>
      </c>
      <c r="D3" s="2017"/>
      <c r="E3" s="2017"/>
      <c r="F3" s="2017"/>
      <c r="G3" s="2017"/>
    </row>
    <row r="4" ht="16.2" thickBot="true" x14ac:dyDescent="0.35">
      <c r="D4" s="2018"/>
      <c r="E4" s="2018"/>
      <c r="F4" s="2018"/>
      <c r="G4" s="887"/>
      <c r="H4" s="887"/>
      <c r="I4" s="887"/>
      <c r="J4" s="887"/>
      <c r="K4" s="887"/>
      <c r="L4" s="887"/>
    </row>
    <row r="5" ht="15.6" x14ac:dyDescent="0.3">
      <c r="C5" s="48"/>
      <c r="D5" s="2015" t="s">
        <v>24</v>
      </c>
      <c r="E5" s="2015"/>
      <c r="F5" s="2015"/>
      <c r="G5" s="49" t="s">
        <v>44</v>
      </c>
      <c r="H5" s="49" t="s">
        <v>29</v>
      </c>
      <c r="I5" s="49" t="s">
        <v>31</v>
      </c>
      <c r="J5" s="49" t="s">
        <v>73</v>
      </c>
      <c r="K5" s="49" t="s">
        <v>74</v>
      </c>
      <c r="L5" s="50" t="s">
        <v>97</v>
      </c>
    </row>
    <row r="6" ht="29.25" customHeight="true" x14ac:dyDescent="0.25">
      <c r="C6" s="1">
        <f>'IV. Material Efficiency'!D6</f>
        <v>1</v>
      </c>
      <c r="D6" s="2019" t="str">
        <f>'IV. Material Efficiency'!E6</f>
        <v>Reaction yield</v>
      </c>
      <c r="E6" s="2019"/>
      <c r="F6" s="2019"/>
      <c r="G6" s="55" t="str">
        <f>'IV. Material Efficiency'!H6</f>
        <v>1. ε</v>
      </c>
      <c r="H6" s="55">
        <f>'IV. Material Efficiency'!K6</f>
        <v>0.76</v>
      </c>
      <c r="I6" s="535" t="str">
        <f>'IV. Material Efficiency'!M6</f>
        <v>kg/kg</v>
      </c>
      <c r="J6" s="55">
        <f>'IV. Material Efficiency'!N6</f>
        <v>1</v>
      </c>
      <c r="K6" s="55">
        <f>'IV. Material Efficiency'!P6</f>
        <v>0</v>
      </c>
      <c r="L6" s="51">
        <f>'IV. Material Efficiency'!R6</f>
        <v>76</v>
      </c>
    </row>
    <row r="7" ht="29.25" customHeight="true" x14ac:dyDescent="0.25">
      <c r="C7" s="1">
        <f>'IV. Material Efficiency'!D7</f>
        <v>2</v>
      </c>
      <c r="D7" s="2019" t="str">
        <f>'IV. Material Efficiency'!E7</f>
        <v>Atom Economy</v>
      </c>
      <c r="E7" s="2019"/>
      <c r="F7" s="2019"/>
      <c r="G7" s="55" t="str">
        <f>'IV. Material Efficiency'!H7</f>
        <v>2. AEi</v>
      </c>
      <c r="H7" s="55">
        <f>'IV. Material Efficiency'!K7</f>
        <v>0.56000000000000005</v>
      </c>
      <c r="I7" s="535" t="str">
        <f>'IV. Material Efficiency'!M7</f>
        <v>kg/kmol / kg/kmol</v>
      </c>
      <c r="J7" s="55">
        <f>'IV. Material Efficiency'!N7</f>
        <v>1</v>
      </c>
      <c r="K7" s="55">
        <f>'IV. Material Efficiency'!P7</f>
        <v>0</v>
      </c>
      <c r="L7" s="51">
        <f>'IV. Material Efficiency'!R7</f>
        <v>56</v>
      </c>
    </row>
    <row r="8" ht="29.25" customHeight="true" x14ac:dyDescent="0.25">
      <c r="C8" s="1">
        <f>'IV. Material Efficiency'!D8</f>
        <v>3</v>
      </c>
      <c r="D8" s="2019" t="str">
        <f>'IV. Material Efficiency'!E8</f>
        <v>Actual Atom Economy</v>
      </c>
      <c r="E8" s="2019"/>
      <c r="F8" s="2019"/>
      <c r="G8" s="55" t="str">
        <f>'IV. Material Efficiency'!H8</f>
        <v>3. AAE</v>
      </c>
      <c r="H8" s="55">
        <f>'IV. Material Efficiency'!K8</f>
        <v>0.42599999999999999</v>
      </c>
      <c r="I8" s="535" t="str">
        <f>'IV. Material Efficiency'!M8</f>
        <v>kg/kmol / kg/kmol</v>
      </c>
      <c r="J8" s="55">
        <f>'IV. Material Efficiency'!N8</f>
        <v>1</v>
      </c>
      <c r="K8" s="55">
        <f>'IV. Material Efficiency'!P8</f>
        <v>0</v>
      </c>
      <c r="L8" s="51">
        <f>'IV. Material Efficiency'!R8</f>
        <v>42.6</v>
      </c>
    </row>
    <row r="9" ht="29.25" customHeight="true" x14ac:dyDescent="0.25">
      <c r="C9" s="1">
        <f>'IV. Material Efficiency'!D9</f>
        <v>4</v>
      </c>
      <c r="D9" s="2019" t="str">
        <f>'IV. Material Efficiency'!E9</f>
        <v>Stoichiometric Factor</v>
      </c>
      <c r="E9" s="2019"/>
      <c r="F9" s="2019"/>
      <c r="G9" s="55" t="str">
        <f>'IV. Material Efficiency'!H9</f>
        <v>4. SF</v>
      </c>
      <c r="H9" s="55">
        <f>'IV. Material Efficiency'!K9</f>
        <v>1</v>
      </c>
      <c r="I9" s="535" t="str">
        <f>'IV. Material Efficiency'!M9</f>
        <v>kg/kg</v>
      </c>
      <c r="J9" s="55">
        <f>'IV. Material Efficiency'!N9</f>
        <v>1</v>
      </c>
      <c r="K9" s="55">
        <f>'IV. Material Efficiency'!P9</f>
        <v>41</v>
      </c>
      <c r="L9" s="51">
        <f>'IV. Material Efficiency'!R9</f>
        <v>100</v>
      </c>
    </row>
    <row r="10" ht="29.25" customHeight="true" x14ac:dyDescent="0.25">
      <c r="C10" s="1">
        <f>'IV. Material Efficiency'!D10</f>
        <v>5</v>
      </c>
      <c r="D10" s="2019" t="str">
        <f>'IV. Material Efficiency'!E10</f>
        <v>Reaction Mass Efficiency</v>
      </c>
      <c r="E10" s="2019"/>
      <c r="F10" s="2019"/>
      <c r="G10" s="55" t="str">
        <f>'IV. Material Efficiency'!H10</f>
        <v>5. RME</v>
      </c>
      <c r="H10" s="55">
        <f>'IV. Material Efficiency'!K10</f>
        <v>0.42599999999999999</v>
      </c>
      <c r="I10" s="535" t="str">
        <f>'IV. Material Efficiency'!M10</f>
        <v>kg/kg</v>
      </c>
      <c r="J10" s="55">
        <f>'IV. Material Efficiency'!N10</f>
        <v>1</v>
      </c>
      <c r="K10" s="55">
        <f>'IV. Material Efficiency'!P10</f>
        <v>0</v>
      </c>
      <c r="L10" s="51">
        <f>'IV. Material Efficiency'!R10</f>
        <v>42.6</v>
      </c>
    </row>
    <row r="11" ht="29.25" customHeight="true" x14ac:dyDescent="0.25">
      <c r="C11" s="1">
        <f>'IV. Material Efficiency'!D11</f>
        <v>6</v>
      </c>
      <c r="D11" s="2019" t="str">
        <f>'IV. Material Efficiency'!E11</f>
        <v>Total material consumption</v>
      </c>
      <c r="E11" s="2019"/>
      <c r="F11" s="2019"/>
      <c r="G11" s="55" t="str">
        <f>'IV. Material Efficiency'!H11</f>
        <v>6. mmat tot</v>
      </c>
      <c r="H11" s="55">
        <f>'IV. Material Efficiency'!K11</f>
        <v>6778.7792000553327</v>
      </c>
      <c r="I11" s="535" t="str">
        <f>'IV. Material Efficiency'!M11</f>
        <v>kg/h</v>
      </c>
      <c r="J11" s="55">
        <f>'IV. Material Efficiency'!N11</f>
        <v>4512.0151204088124</v>
      </c>
      <c r="K11" s="55">
        <f>'IV. Material Efficiency'!P11</f>
        <v>180480.60481635248</v>
      </c>
      <c r="L11" s="51">
        <f>'IV. Material Efficiency'!R11</f>
        <v>98.71</v>
      </c>
    </row>
    <row r="12" ht="29.25" customHeight="true" x14ac:dyDescent="0.25">
      <c r="C12" s="1">
        <f>'IV. Material Efficiency'!D12</f>
        <v>7</v>
      </c>
      <c r="D12" s="2019" t="str">
        <f>'IV. Material Efficiency'!E12</f>
        <v>Mass intensity</v>
      </c>
      <c r="E12" s="2019"/>
      <c r="F12" s="2019"/>
      <c r="G12" s="55" t="str">
        <f>'IV. Material Efficiency'!H12</f>
        <v>7. MI</v>
      </c>
      <c r="H12" s="55">
        <f>'IV. Material Efficiency'!K12</f>
        <v>1.502</v>
      </c>
      <c r="I12" s="535" t="str">
        <f>'IV. Material Efficiency'!M12</f>
        <v>kg/kg </v>
      </c>
      <c r="J12" s="55">
        <f>'IV. Material Efficiency'!N12</f>
        <v>1</v>
      </c>
      <c r="K12" s="55">
        <f>'IV. Material Efficiency'!P12</f>
        <v>40</v>
      </c>
      <c r="L12" s="51">
        <f>'IV. Material Efficiency'!R12</f>
        <v>98.71</v>
      </c>
    </row>
    <row r="13" ht="29.25" customHeight="true" x14ac:dyDescent="0.25">
      <c r="C13" s="1">
        <f>'IV. Material Efficiency'!D13</f>
        <v>8</v>
      </c>
      <c r="D13" s="2019" t="str">
        <f>'IV. Material Efficiency'!E13</f>
        <v>Value mass intensity</v>
      </c>
      <c r="E13" s="2019"/>
      <c r="F13" s="2019"/>
      <c r="G13" s="55" t="str">
        <f>'IV. Material Efficiency'!H13</f>
        <v>8. MIv</v>
      </c>
      <c r="H13" s="55">
        <f>'IV. Material Efficiency'!K13</f>
        <v>1.502</v>
      </c>
      <c r="I13" s="535" t="str">
        <f>'IV. Material Efficiency'!M13</f>
        <v>kg/$</v>
      </c>
      <c r="J13" s="55">
        <f>'IV. Material Efficiency'!N13</f>
        <v>0</v>
      </c>
      <c r="K13" s="55">
        <f>'IV. Material Efficiency'!P13</f>
        <v>52</v>
      </c>
      <c r="L13" s="51">
        <f>'IV. Material Efficiency'!R13</f>
        <v>97.11</v>
      </c>
    </row>
    <row r="14" ht="29.25" customHeight="true" x14ac:dyDescent="0.25">
      <c r="C14" s="1">
        <f>'IV. Material Efficiency'!D14</f>
        <v>9</v>
      </c>
      <c r="D14" s="2019" t="str">
        <f>'IV. Material Efficiency'!E14</f>
        <v>Mass Productivity</v>
      </c>
      <c r="E14" s="2019"/>
      <c r="F14" s="2019"/>
      <c r="G14" s="55" t="str">
        <f>'IV. Material Efficiency'!H14</f>
        <v>9. MP</v>
      </c>
      <c r="H14" s="55">
        <f>'IV. Material Efficiency'!K14</f>
        <v>0.66600000000000004</v>
      </c>
      <c r="I14" s="535" t="str">
        <f>'IV. Material Efficiency'!M14</f>
        <v>kg/kg</v>
      </c>
      <c r="J14" s="55">
        <f>'IV. Material Efficiency'!N14</f>
        <v>1</v>
      </c>
      <c r="K14" s="55">
        <f>'IV. Material Efficiency'!P14</f>
        <v>0</v>
      </c>
      <c r="L14" s="51">
        <f>'IV. Material Efficiency'!R14</f>
        <v>66.599999999999994</v>
      </c>
    </row>
    <row r="15" ht="29.25" customHeight="true" x14ac:dyDescent="0.25">
      <c r="C15" s="1">
        <f>'IV. Material Efficiency'!D15</f>
        <v>10</v>
      </c>
      <c r="D15" s="2019" t="str">
        <f>'IV. Material Efficiency'!E15</f>
        <v>Environmental Factor</v>
      </c>
      <c r="E15" s="2019"/>
      <c r="F15" s="2019"/>
      <c r="G15" s="55" t="str">
        <f>'IV. Material Efficiency'!H15</f>
        <v>10. E</v>
      </c>
      <c r="H15" s="55">
        <f>'IV. Material Efficiency'!K15</f>
        <v>0.502</v>
      </c>
      <c r="I15" s="535" t="str">
        <f>'IV. Material Efficiency'!M15</f>
        <v>kg/kg</v>
      </c>
      <c r="J15" s="55">
        <f>'IV. Material Efficiency'!N15</f>
        <v>0</v>
      </c>
      <c r="K15" s="55">
        <f>'IV. Material Efficiency'!P15</f>
        <v>39</v>
      </c>
      <c r="L15" s="51">
        <f>'IV. Material Efficiency'!R15</f>
        <v>98.71</v>
      </c>
    </row>
    <row r="16" ht="29.25" customHeight="true" x14ac:dyDescent="0.25">
      <c r="C16" s="1">
        <f>'IV. Material Efficiency'!D16</f>
        <v>11</v>
      </c>
      <c r="D16" s="2019" t="str">
        <f>'IV. Material Efficiency'!E16</f>
        <v>Mass Loss Index</v>
      </c>
      <c r="E16" s="2019"/>
      <c r="F16" s="2019"/>
      <c r="G16" s="55" t="str">
        <f>'IV. Material Efficiency'!H16</f>
        <v>11. MLI</v>
      </c>
      <c r="H16" s="55">
        <f>'IV. Material Efficiency'!K16</f>
        <v>0.502</v>
      </c>
      <c r="I16" s="535" t="str">
        <f>'IV. Material Efficiency'!M16</f>
        <v>kg/kg</v>
      </c>
      <c r="J16" s="55">
        <f>'IV. Material Efficiency'!N16</f>
        <v>0</v>
      </c>
      <c r="K16" s="55">
        <f>'IV. Material Efficiency'!P16</f>
        <v>100</v>
      </c>
      <c r="L16" s="51">
        <f>'IV. Material Efficiency'!R16</f>
        <v>99.5</v>
      </c>
    </row>
    <row r="17" ht="29.25" customHeight="true" x14ac:dyDescent="0.25">
      <c r="C17" s="1">
        <f>'IV. Material Efficiency'!D17</f>
        <v>12</v>
      </c>
      <c r="D17" s="2019" t="str">
        <f>'IV. Material Efficiency'!E17</f>
        <v>Environmental Factor based on molecular weight</v>
      </c>
      <c r="E17" s="2019"/>
      <c r="F17" s="2019"/>
      <c r="G17" s="55" t="str">
        <f>'IV. Material Efficiency'!H17</f>
        <v>12. Emw</v>
      </c>
      <c r="H17" s="55">
        <f>'IV. Material Efficiency'!K17</f>
        <v>0.78500000000000003</v>
      </c>
      <c r="I17" s="535" t="str">
        <f>'IV. Material Efficiency'!M17</f>
        <v>kg/kmol / kg/kmol</v>
      </c>
      <c r="J17" s="55">
        <f>'IV. Material Efficiency'!N17</f>
        <v>0</v>
      </c>
      <c r="K17" s="55">
        <f>'IV. Material Efficiency'!P17</f>
        <v>100</v>
      </c>
      <c r="L17" s="51">
        <f>'IV. Material Efficiency'!R17</f>
        <v>99.22</v>
      </c>
    </row>
    <row r="18" ht="29.25" customHeight="true" x14ac:dyDescent="0.25">
      <c r="C18" s="1">
        <f>'IV. Material Efficiency'!D18</f>
        <v>13</v>
      </c>
      <c r="D18" s="2019" t="str">
        <f>'IV. Material Efficiency'!E18</f>
        <v>Effective Mass Yield</v>
      </c>
      <c r="E18" s="2019"/>
      <c r="F18" s="2019"/>
      <c r="G18" s="55" t="str">
        <f>'IV. Material Efficiency'!H18</f>
        <v>13. EMY</v>
      </c>
      <c r="H18" s="55">
        <f>'IV. Material Efficiency'!K18</f>
        <v>0</v>
      </c>
      <c r="I18" s="535" t="str">
        <f>'IV. Material Efficiency'!M18</f>
        <v>kg/kg</v>
      </c>
      <c r="J18" s="55">
        <f>'IV. Material Efficiency'!N18</f>
        <v>0</v>
      </c>
      <c r="K18" s="55">
        <f>'IV. Material Efficiency'!P18</f>
        <v>40</v>
      </c>
      <c r="L18" s="51">
        <f>'IV. Material Efficiency'!R18</f>
        <v>100</v>
      </c>
    </row>
    <row r="19" ht="29.25" customHeight="true" x14ac:dyDescent="0.25">
      <c r="C19" s="1">
        <f>'IV. Material Efficiency'!D19</f>
        <v>14</v>
      </c>
      <c r="D19" s="2019" t="str">
        <f>'IV. Material Efficiency'!E19</f>
        <v>Carbon Efficiency</v>
      </c>
      <c r="E19" s="2019"/>
      <c r="F19" s="2019"/>
      <c r="G19" s="55" t="str">
        <f>'IV. Material Efficiency'!H19</f>
        <v>14. CE</v>
      </c>
      <c r="H19" s="55">
        <f>'IV. Material Efficiency'!K19</f>
        <v>0</v>
      </c>
      <c r="I19" s="535" t="str">
        <f>'IV. Material Efficiency'!M19</f>
        <v>kmol/kmol</v>
      </c>
      <c r="J19" s="55">
        <f>'IV. Material Efficiency'!N19</f>
        <v>1</v>
      </c>
      <c r="K19" s="55">
        <f>'IV. Material Efficiency'!P19</f>
        <v>0</v>
      </c>
      <c r="L19" s="51">
        <f>'IV. Material Efficiency'!R19</f>
        <v>0</v>
      </c>
    </row>
    <row r="20" ht="29.25" customHeight="true" x14ac:dyDescent="0.25">
      <c r="C20" s="1">
        <f>'IV. Material Efficiency'!D20</f>
        <v>15</v>
      </c>
      <c r="D20" s="2019" t="str">
        <f>'IV. Material Efficiency'!E20</f>
        <v>Material Recovery Parameter</v>
      </c>
      <c r="E20" s="2019"/>
      <c r="F20" s="2019"/>
      <c r="G20" s="55" t="str">
        <f>'IV. Material Efficiency'!H20</f>
        <v>15. MRP</v>
      </c>
      <c r="H20" s="55" t="str">
        <f>'IV. Material Efficiency'!K20</f>
        <v>miss. data</v>
      </c>
      <c r="I20" s="535" t="str">
        <f>'IV. Material Efficiency'!M20</f>
        <v>kg/kg</v>
      </c>
      <c r="J20" s="55">
        <f>'IV. Material Efficiency'!N20</f>
        <v>1</v>
      </c>
      <c r="K20" s="55">
        <f>'IV. Material Efficiency'!P20</f>
        <v>0</v>
      </c>
      <c r="L20" s="51" t="str">
        <f>'IV. Material Efficiency'!R20</f>
        <v/>
      </c>
    </row>
    <row r="21" ht="29.25" customHeight="true" x14ac:dyDescent="0.25">
      <c r="C21" s="1">
        <f>'IV. Material Efficiency'!D21</f>
        <v>16</v>
      </c>
      <c r="D21" s="2019" t="str">
        <f>'IV. Material Efficiency'!E21</f>
        <v>Solvent and Catalyst Environmental impact Parameter</v>
      </c>
      <c r="E21" s="2019"/>
      <c r="F21" s="2019"/>
      <c r="G21" s="55" t="str">
        <f>'IV. Material Efficiency'!H21</f>
        <v>16. f</v>
      </c>
      <c r="H21" s="55">
        <f>'IV. Material Efficiency'!K21</f>
        <v>0</v>
      </c>
      <c r="I21" s="535" t="str">
        <f>'IV. Material Efficiency'!M21</f>
        <v>kg/kg</v>
      </c>
      <c r="J21" s="55">
        <f>'IV. Material Efficiency'!N21</f>
        <v>0</v>
      </c>
      <c r="K21" s="55">
        <f>'IV. Material Efficiency'!P21</f>
        <v>62</v>
      </c>
      <c r="L21" s="51">
        <f>'IV. Material Efficiency'!R21</f>
        <v>100</v>
      </c>
    </row>
    <row r="22" ht="29.25" customHeight="true" x14ac:dyDescent="0.25">
      <c r="C22" s="1">
        <f>'IV. Material Efficiency'!D22</f>
        <v>17</v>
      </c>
      <c r="D22" s="2019" t="str">
        <f>'IV. Material Efficiency'!E22</f>
        <v>Physical Return on Investment</v>
      </c>
      <c r="E22" s="2019"/>
      <c r="F22" s="2019"/>
      <c r="G22" s="55" t="str">
        <f>'IV. Material Efficiency'!H22</f>
        <v>17. pROIM</v>
      </c>
      <c r="H22" s="55">
        <f>'IV. Material Efficiency'!K22</f>
        <v>1.9910000000000001</v>
      </c>
      <c r="I22" s="535" t="str">
        <f>'IV. Material Efficiency'!M22</f>
        <v>kg/kg</v>
      </c>
      <c r="J22" s="55">
        <f>'IV. Material Efficiency'!N22</f>
        <v>0</v>
      </c>
      <c r="K22" s="55">
        <f>'IV. Material Efficiency'!P22</f>
        <v>40</v>
      </c>
      <c r="L22" s="51">
        <f>'IV. Material Efficiency'!R22</f>
        <v>95.02</v>
      </c>
    </row>
    <row r="23" ht="29.25" customHeight="true" x14ac:dyDescent="0.25">
      <c r="C23" s="1">
        <f>'IV. Material Efficiency'!D23</f>
        <v>18</v>
      </c>
      <c r="D23" s="2019" t="str">
        <f>'IV. Material Efficiency'!E23</f>
        <v>Renewability-Material Index</v>
      </c>
      <c r="E23" s="2019"/>
      <c r="F23" s="2019"/>
      <c r="G23" s="55" t="str">
        <f>'IV. Material Efficiency'!H23</f>
        <v>18. RIM</v>
      </c>
      <c r="H23" s="55">
        <f>'IV. Material Efficiency'!K23</f>
        <v>0</v>
      </c>
      <c r="I23" s="535" t="str">
        <f>'IV. Material Efficiency'!M23</f>
        <v>kg/kg</v>
      </c>
      <c r="J23" s="55">
        <f>'IV. Material Efficiency'!N23</f>
        <v>1</v>
      </c>
      <c r="K23" s="55">
        <f>'IV. Material Efficiency'!P23</f>
        <v>0</v>
      </c>
      <c r="L23" s="51">
        <f>'IV. Material Efficiency'!R23</f>
        <v>0</v>
      </c>
    </row>
    <row r="24" ht="29.25" customHeight="true" x14ac:dyDescent="0.25">
      <c r="C24" s="1">
        <f>'IV. Material Efficiency'!D24</f>
        <v>19</v>
      </c>
      <c r="D24" s="2019" t="str">
        <f>'IV. Material Efficiency'!E24</f>
        <v>Breeding-material factor</v>
      </c>
      <c r="E24" s="2019"/>
      <c r="F24" s="2019"/>
      <c r="G24" s="55" t="str">
        <f>'IV. Material Efficiency'!H24</f>
        <v>19. BFM</v>
      </c>
      <c r="H24" s="55">
        <f>'IV. Material Efficiency'!K24</f>
        <v>1</v>
      </c>
      <c r="I24" s="535" t="str">
        <f>'IV. Material Efficiency'!M24</f>
        <v>kg/kg</v>
      </c>
      <c r="J24" s="55">
        <f>'IV. Material Efficiency'!N24</f>
        <v>10</v>
      </c>
      <c r="K24" s="55">
        <f>'IV. Material Efficiency'!P24</f>
        <v>0</v>
      </c>
      <c r="L24" s="51">
        <f>'IV. Material Efficiency'!R24</f>
        <v>10</v>
      </c>
    </row>
    <row r="25" ht="29.25" customHeight="true" x14ac:dyDescent="0.25">
      <c r="C25" s="1">
        <f>'IV. Material Efficiency'!D25</f>
        <v>20</v>
      </c>
      <c r="D25" s="2019" t="str">
        <f>'IV. Material Efficiency'!E25</f>
        <v>Recycled material fraction</v>
      </c>
      <c r="E25" s="2019"/>
      <c r="F25" s="2019"/>
      <c r="G25" s="55" t="str">
        <f>'IV. Material Efficiency'!H25</f>
        <v>20. wrecycl. mat.</v>
      </c>
      <c r="H25" s="55">
        <f>'IV. Material Efficiency'!K25</f>
        <v>0</v>
      </c>
      <c r="I25" s="535" t="str">
        <f>'IV. Material Efficiency'!M25</f>
        <v>kg/kg</v>
      </c>
      <c r="J25" s="55">
        <f>'IV. Material Efficiency'!N25</f>
        <v>1</v>
      </c>
      <c r="K25" s="55">
        <f>'IV. Material Efficiency'!P25</f>
        <v>0</v>
      </c>
      <c r="L25" s="51">
        <f>'IV. Material Efficiency'!R25</f>
        <v>0</v>
      </c>
    </row>
    <row r="26" ht="29.25" customHeight="true" x14ac:dyDescent="0.25">
      <c r="C26" s="1">
        <f>'IV. Material Efficiency'!D26</f>
        <v>21</v>
      </c>
      <c r="D26" s="2019" t="str">
        <f>'IV. Material Efficiency'!E26</f>
        <v>Mass fraction of products from recyclable materials</v>
      </c>
      <c r="E26" s="2019"/>
      <c r="F26" s="2019"/>
      <c r="G26" s="55" t="str">
        <f>'IV. Material Efficiency'!H26</f>
        <v>21. wrecycl. prod.</v>
      </c>
      <c r="H26" s="55">
        <f>'IV. Material Efficiency'!K26</f>
        <v>0</v>
      </c>
      <c r="I26" s="535" t="str">
        <f>'IV. Material Efficiency'!M26</f>
        <v>kg/kg</v>
      </c>
      <c r="J26" s="55">
        <f>'IV. Material Efficiency'!N26</f>
        <v>1</v>
      </c>
      <c r="K26" s="55">
        <f>'IV. Material Efficiency'!P26</f>
        <v>0</v>
      </c>
      <c r="L26" s="51">
        <f>'IV. Material Efficiency'!R26</f>
        <v>0</v>
      </c>
    </row>
    <row r="27" ht="29.25" customHeight="true" x14ac:dyDescent="0.25">
      <c r="C27" s="1">
        <f>'IV. Material Efficiency'!D27</f>
        <v>22</v>
      </c>
      <c r="D27" s="2019" t="str">
        <f>'IV. Material Efficiency'!E27</f>
        <v>Mass fraction of products designed for disassembly, reuse or recycling</v>
      </c>
      <c r="E27" s="2019"/>
      <c r="F27" s="2019"/>
      <c r="G27" s="55" t="str">
        <f>'IV. Material Efficiency'!H27</f>
        <v>22. wrecov. prod.</v>
      </c>
      <c r="H27" s="55">
        <f>'IV. Material Efficiency'!K27</f>
        <v>0</v>
      </c>
      <c r="I27" s="535" t="str">
        <f>'IV. Material Efficiency'!M27</f>
        <v>kg/kg</v>
      </c>
      <c r="J27" s="55">
        <f>'IV. Material Efficiency'!N27</f>
        <v>1</v>
      </c>
      <c r="K27" s="55">
        <f>'IV. Material Efficiency'!P27</f>
        <v>0</v>
      </c>
      <c r="L27" s="51">
        <f>'IV. Material Efficiency'!R27</f>
        <v>0</v>
      </c>
    </row>
    <row r="28" ht="29.25" customHeight="true" x14ac:dyDescent="0.25">
      <c r="C28" s="1">
        <f>'IV. Material Efficiency'!D28</f>
        <v>23</v>
      </c>
      <c r="D28" s="2019" t="str">
        <f>'IV. Material Efficiency'!E28</f>
        <v>Total water consumption</v>
      </c>
      <c r="E28" s="2019"/>
      <c r="F28" s="2019"/>
      <c r="G28" s="55" t="str">
        <f>'IV. Material Efficiency'!H28</f>
        <v>23. Vwater, tot.</v>
      </c>
      <c r="H28" s="55">
        <f>'IV. Material Efficiency'!K28</f>
        <v>0</v>
      </c>
      <c r="I28" s="535" t="str">
        <f>'IV. Material Efficiency'!M28</f>
        <v>m3/h</v>
      </c>
      <c r="J28" s="55">
        <f>'IV. Material Efficiency'!N28</f>
        <v>0</v>
      </c>
      <c r="K28" s="55">
        <f>'IV. Material Efficiency'!P28</f>
        <v>0</v>
      </c>
      <c r="L28" s="51" t="str">
        <f>'IV. Material Efficiency'!R28</f>
        <v/>
      </c>
    </row>
    <row r="29" ht="29.25" customHeight="true" x14ac:dyDescent="0.25">
      <c r="C29" s="1">
        <f>'IV. Material Efficiency'!D29</f>
        <v>24</v>
      </c>
      <c r="D29" s="2019" t="str">
        <f>'IV. Material Efficiency'!E29</f>
        <v>Fractional water consumption</v>
      </c>
      <c r="E29" s="2019"/>
      <c r="F29" s="2019"/>
      <c r="G29" s="55" t="str">
        <f>'IV. Material Efficiency'!H29</f>
        <v>24. FWC</v>
      </c>
      <c r="H29" s="55">
        <f>'IV. Material Efficiency'!K29</f>
        <v>0</v>
      </c>
      <c r="I29" s="535" t="str">
        <f>'IV. Material Efficiency'!M29</f>
        <v>m3/kg </v>
      </c>
      <c r="J29" s="55">
        <f>'IV. Material Efficiency'!N29</f>
        <v>0</v>
      </c>
      <c r="K29" s="55">
        <f>'IV. Material Efficiency'!P29</f>
        <v>2.95</v>
      </c>
      <c r="L29" s="51">
        <f>'IV. Material Efficiency'!R29</f>
        <v>100</v>
      </c>
    </row>
    <row r="30" ht="29.25" customHeight="true" x14ac:dyDescent="0.25">
      <c r="C30" s="1">
        <f>'IV. Material Efficiency'!D30</f>
        <v>25</v>
      </c>
      <c r="D30" s="2019" t="str">
        <f>'IV. Material Efficiency'!E30</f>
        <v>Water intensity</v>
      </c>
      <c r="E30" s="2019"/>
      <c r="F30" s="2019"/>
      <c r="G30" s="55" t="str">
        <f>'IV. Material Efficiency'!H30</f>
        <v>25. WI</v>
      </c>
      <c r="H30" s="55">
        <f>'IV. Material Efficiency'!K30</f>
        <v>0</v>
      </c>
      <c r="I30" s="535" t="str">
        <f>'IV. Material Efficiency'!M30</f>
        <v>m3/$</v>
      </c>
      <c r="J30" s="55">
        <f>'IV. Material Efficiency'!N30</f>
        <v>0</v>
      </c>
      <c r="K30" s="55">
        <f>'IV. Material Efficiency'!P30</f>
        <v>1.55</v>
      </c>
      <c r="L30" s="51">
        <f>'IV. Material Efficiency'!R30</f>
        <v>100</v>
      </c>
    </row>
    <row r="31" ht="29.25" customHeight="true" thickBot="true" x14ac:dyDescent="0.3">
      <c r="C31" s="4">
        <f>'IV. Material Efficiency'!D31</f>
        <v>26</v>
      </c>
      <c r="D31" s="2020" t="str">
        <f>'IV. Material Efficiency'!E31</f>
        <v>Volume fraction of water type</v>
      </c>
      <c r="E31" s="2020"/>
      <c r="F31" s="2020"/>
      <c r="G31" s="3" t="str">
        <f>'IV. Material Efficiency'!H31</f>
        <v>26. Fwater type</v>
      </c>
      <c r="H31" s="3" t="str">
        <f>'IV. Material Efficiency'!K31</f>
        <v>miss. data</v>
      </c>
      <c r="I31" s="536" t="str">
        <f>'IV. Material Efficiency'!M31</f>
        <v>kg/ m3</v>
      </c>
      <c r="J31" s="3">
        <f>'IV. Material Efficiency'!N31</f>
        <v>0</v>
      </c>
      <c r="K31" s="3">
        <f>'IV. Material Efficiency'!P31</f>
        <v>1</v>
      </c>
      <c r="L31" s="52" t="str">
        <f>'IV. Material Efficiency'!R31</f>
        <v/>
      </c>
    </row>
    <row r="41" ht="24.6" x14ac:dyDescent="0.4">
      <c r="C41" s="2017" t="s">
        <v>2224</v>
      </c>
      <c r="D41" s="2017"/>
      <c r="E41" s="2017"/>
      <c r="F41" s="2017"/>
      <c r="G41" s="2017"/>
    </row>
    <row r="42" ht="16.2" thickBot="true" x14ac:dyDescent="0.35">
      <c r="D42" s="2018"/>
      <c r="E42" s="2018"/>
      <c r="F42" s="2018"/>
      <c r="G42" s="887"/>
      <c r="H42" s="887"/>
      <c r="I42" s="887"/>
      <c r="J42" s="887"/>
      <c r="K42" s="887"/>
      <c r="L42" s="887"/>
    </row>
    <row r="43" ht="15.6" x14ac:dyDescent="0.3">
      <c r="C43" s="48"/>
      <c r="D43" s="2015" t="s">
        <v>24</v>
      </c>
      <c r="E43" s="2015"/>
      <c r="F43" s="2015"/>
      <c r="G43" s="49" t="s">
        <v>44</v>
      </c>
      <c r="H43" s="49" t="s">
        <v>29</v>
      </c>
      <c r="I43" s="49" t="s">
        <v>31</v>
      </c>
      <c r="J43" s="49" t="s">
        <v>73</v>
      </c>
      <c r="K43" s="49" t="s">
        <v>74</v>
      </c>
      <c r="L43" s="50" t="s">
        <v>97</v>
      </c>
    </row>
    <row r="44" ht="38.25" customHeight="true" x14ac:dyDescent="0.25">
      <c r="C44" s="1">
        <f>'V. Environmental'!D6</f>
        <v>1</v>
      </c>
      <c r="D44" s="1742" t="str">
        <f>'V. Environmental'!E6</f>
        <v>Number of hazardous materials input</v>
      </c>
      <c r="E44" s="1742"/>
      <c r="F44" s="1742"/>
      <c r="G44" s="53" t="str">
        <f>'V. Environmental'!H6</f>
        <v>1. Nhaz. mat.</v>
      </c>
      <c r="H44" s="55">
        <f>'V. Environmental'!K6</f>
        <v>0</v>
      </c>
      <c r="I44" s="533" t="str">
        <f>'V. Environmental'!M6</f>
        <v>dimensionless</v>
      </c>
      <c r="J44" s="55">
        <f>'V. Environmental'!N6</f>
        <v>0</v>
      </c>
      <c r="K44" s="55">
        <f>'V. Environmental'!P6</f>
        <v>2</v>
      </c>
      <c r="L44" s="51">
        <f>'V. Environmental'!R6</f>
        <v>100</v>
      </c>
    </row>
    <row r="45" ht="38.25" customHeight="true" x14ac:dyDescent="0.25">
      <c r="C45" s="1">
        <f>'V. Environmental'!D7</f>
        <v>2</v>
      </c>
      <c r="D45" s="1742" t="str">
        <f>'V. Environmental'!E7</f>
        <v>Mass of hazardous materials input</v>
      </c>
      <c r="E45" s="1742"/>
      <c r="F45" s="1742"/>
      <c r="G45" s="53" t="str">
        <f>'V. Environmental'!H7</f>
        <v>2. mhaz. mat.</v>
      </c>
      <c r="H45" s="55">
        <f>'V. Environmental'!K7</f>
        <v>0</v>
      </c>
      <c r="I45" s="533" t="str">
        <f>'V. Environmental'!M7</f>
        <v>kg/h</v>
      </c>
      <c r="J45" s="55">
        <f>'V. Environmental'!N7</f>
        <v>0</v>
      </c>
      <c r="K45" s="55">
        <f>'V. Environmental'!P7</f>
        <v>6778.7792000553327</v>
      </c>
      <c r="L45" s="51">
        <f>'V. Environmental'!R7</f>
        <v>100</v>
      </c>
    </row>
    <row r="46" ht="38.25" customHeight="true" x14ac:dyDescent="0.25">
      <c r="C46" s="1">
        <f>'V. Environmental'!D8</f>
        <v>3</v>
      </c>
      <c r="D46" s="1742" t="str">
        <f>'V. Environmental'!E8</f>
        <v>Specific hazardous raw materials input</v>
      </c>
      <c r="E46" s="1742"/>
      <c r="F46" s="1742"/>
      <c r="G46" s="53" t="str">
        <f>'V. Environmental'!H8</f>
        <v>3. mhaz. mat. spec.</v>
      </c>
      <c r="H46" s="55">
        <f>'V. Environmental'!K8</f>
        <v>0</v>
      </c>
      <c r="I46" s="533" t="str">
        <f>'V. Environmental'!M8</f>
        <v>kg hazardous input/kg product</v>
      </c>
      <c r="J46" s="55">
        <f>'V. Environmental'!N8</f>
        <v>0</v>
      </c>
      <c r="K46" s="55">
        <f>'V. Environmental'!P8</f>
        <v>1.5024</v>
      </c>
      <c r="L46" s="51">
        <f>'V. Environmental'!R8</f>
        <v>100</v>
      </c>
    </row>
    <row r="47" ht="46.5" customHeight="true" x14ac:dyDescent="0.25">
      <c r="C47" s="1">
        <f>'V. Environmental'!D9</f>
        <v>4</v>
      </c>
      <c r="D47" s="1742" t="str">
        <f>'V. Environmental'!E9</f>
        <v>Total mass of persistent, bio-accumulative and toxic chemicals used</v>
      </c>
      <c r="E47" s="1742"/>
      <c r="F47" s="1742"/>
      <c r="G47" s="53" t="str">
        <f>'V. Environmental'!H9</f>
        <v>4. mPBT mat.</v>
      </c>
      <c r="H47" s="55">
        <f>'V. Environmental'!K9</f>
        <v>0</v>
      </c>
      <c r="I47" s="533" t="str">
        <f>'V. Environmental'!M9</f>
        <v>kg/h</v>
      </c>
      <c r="J47" s="55">
        <f>'V. Environmental'!N9</f>
        <v>0</v>
      </c>
      <c r="K47" s="55">
        <f>'V. Environmental'!P9</f>
        <v>6778.7792000553327</v>
      </c>
      <c r="L47" s="51">
        <f>'V. Environmental'!R9</f>
        <v>100</v>
      </c>
    </row>
    <row r="48" ht="38.25" customHeight="true" x14ac:dyDescent="0.25">
      <c r="C48" s="1">
        <f>'V. Environmental'!D10</f>
        <v>5</v>
      </c>
      <c r="D48" s="1742" t="str">
        <f>'V. Environmental'!E10</f>
        <v>Chemical Exposure Index</v>
      </c>
      <c r="E48" s="1742"/>
      <c r="F48" s="1742"/>
      <c r="G48" s="53" t="str">
        <f>'V. Environmental'!H10</f>
        <v>5. CEI</v>
      </c>
      <c r="H48" s="55" t="str">
        <f>'V. Environmental'!K10</f>
        <v>missing data</v>
      </c>
      <c r="I48" s="533" t="str">
        <f>'V. Environmental'!M10</f>
        <v>dimensionless</v>
      </c>
      <c r="J48" s="55">
        <f>'V. Environmental'!N10</f>
        <v>0</v>
      </c>
      <c r="K48" s="55">
        <f>'V. Environmental'!P10</f>
        <v>1000</v>
      </c>
      <c r="L48" s="51" t="str">
        <f>'V. Environmental'!R10</f>
        <v/>
      </c>
    </row>
    <row r="49" ht="38.25" customHeight="true" x14ac:dyDescent="0.25">
      <c r="C49" s="1">
        <f>'V. Environmental'!D11</f>
        <v>6</v>
      </c>
      <c r="D49" s="1742" t="str">
        <f>'V. Environmental'!E11</f>
        <v>Health hazard, irritation factor</v>
      </c>
      <c r="E49" s="1742"/>
      <c r="F49" s="1742"/>
      <c r="G49" s="53" t="str">
        <f>'V. Environmental'!H11</f>
        <v>6. HHirritation</v>
      </c>
      <c r="H49" s="55">
        <f>'V. Environmental'!K11</f>
        <v>47509.55332715674</v>
      </c>
      <c r="I49" s="533" t="str">
        <f>'V. Environmental'!M11</f>
        <v>m^3/kg</v>
      </c>
      <c r="J49" s="55">
        <f>'V. Environmental'!N11</f>
        <v>0</v>
      </c>
      <c r="K49" s="55">
        <f>'V. Environmental'!P11</f>
        <v>1000000</v>
      </c>
      <c r="L49" s="51">
        <f>'V. Environmental'!R11</f>
        <v>95.25</v>
      </c>
    </row>
    <row r="50" ht="38.25" customHeight="true" x14ac:dyDescent="0.25">
      <c r="C50" s="1">
        <f>'V. Environmental'!D12</f>
        <v>7</v>
      </c>
      <c r="D50" s="1742" t="str">
        <f>'V. Environmental'!E12</f>
        <v>Health hazard, chronic toxicity factor</v>
      </c>
      <c r="E50" s="1742"/>
      <c r="F50" s="1742"/>
      <c r="G50" s="53" t="str">
        <f>'V. Environmental'!H12</f>
        <v>7. HHchronic toxicity</v>
      </c>
      <c r="H50" s="55">
        <f>'V. Environmental'!K12</f>
        <v>640214.916489303</v>
      </c>
      <c r="I50" s="533" t="str">
        <f>'V. Environmental'!M12</f>
        <v>m^3/kg</v>
      </c>
      <c r="J50" s="55">
        <f>'V. Environmental'!N12</f>
        <v>0</v>
      </c>
      <c r="K50" s="55">
        <f>'V. Environmental'!P12</f>
        <v>10000000</v>
      </c>
      <c r="L50" s="51">
        <f>'V. Environmental'!R12</f>
        <v>93.6</v>
      </c>
    </row>
    <row r="51" ht="38.25" customHeight="true" x14ac:dyDescent="0.25">
      <c r="C51" s="1">
        <f>'V. Environmental'!D13</f>
        <v>8</v>
      </c>
      <c r="D51" s="1742" t="str">
        <f>'V. Environmental'!E13</f>
        <v>Safety hazard, mobility</v>
      </c>
      <c r="E51" s="1742"/>
      <c r="F51" s="1742"/>
      <c r="G51" s="53" t="str">
        <f>'V. Environmental'!H13</f>
        <v>8. SHmobility</v>
      </c>
      <c r="H51" s="55">
        <f>'V. Environmental'!K13</f>
        <v>6.6062511327088114</v>
      </c>
      <c r="I51" s="533" t="str">
        <f>'V. Environmental'!M13</f>
        <v>kg/kg prod</v>
      </c>
      <c r="J51" s="55">
        <f>'V. Environmental'!N13</f>
        <v>1E-4</v>
      </c>
      <c r="K51" s="55">
        <f>'V. Environmental'!P13</f>
        <v>10</v>
      </c>
      <c r="L51" s="51">
        <f>'V. Environmental'!R13</f>
        <v>33.94</v>
      </c>
    </row>
    <row r="52" ht="38.25" customHeight="true" x14ac:dyDescent="0.25">
      <c r="C52" s="1">
        <f>'V. Environmental'!D14</f>
        <v>9</v>
      </c>
      <c r="D52" s="1742" t="str">
        <f>'V. Environmental'!E14</f>
        <v>Safety hazard, fire/explosion</v>
      </c>
      <c r="E52" s="1742"/>
      <c r="F52" s="1742"/>
      <c r="G52" s="53" t="str">
        <f>'V. Environmental'!H14</f>
        <v>9. SHfire/explosion</v>
      </c>
      <c r="H52" s="55">
        <f>'V. Environmental'!K14</f>
        <v>0</v>
      </c>
      <c r="I52" s="533" t="str">
        <f>'V. Environmental'!M14</f>
        <v>kJ/kg prod</v>
      </c>
      <c r="J52" s="55">
        <f>'V. Environmental'!N14</f>
        <v>0</v>
      </c>
      <c r="K52" s="55">
        <f>'V. Environmental'!P14</f>
        <v>0</v>
      </c>
      <c r="L52" s="51" t="str">
        <f>'V. Environmental'!R14</f>
        <v/>
      </c>
    </row>
    <row r="53" ht="38.25" customHeight="true" x14ac:dyDescent="0.25">
      <c r="C53" s="1">
        <f>'V. Environmental'!D15</f>
        <v>10</v>
      </c>
      <c r="D53" s="1742" t="str">
        <f>'V. Environmental'!E15</f>
        <v>Safety hazard, reaction / decomposition I</v>
      </c>
      <c r="E53" s="1742"/>
      <c r="F53" s="1742"/>
      <c r="G53" s="53" t="str">
        <f>'V. Environmental'!H15</f>
        <v>10. SHreac/dec I</v>
      </c>
      <c r="H53" s="55">
        <f>'V. Environmental'!K15</f>
        <v>0.15</v>
      </c>
      <c r="I53" s="533">
        <f>'V. Environmental'!M15</f>
        <v>1</v>
      </c>
      <c r="J53" s="55">
        <f>'V. Environmental'!N15</f>
        <v>0</v>
      </c>
      <c r="K53" s="55">
        <f>'V. Environmental'!P15</f>
        <v>1</v>
      </c>
      <c r="L53" s="51">
        <f>'V. Environmental'!R15</f>
        <v>85</v>
      </c>
    </row>
    <row r="54" ht="38.25" customHeight="true" x14ac:dyDescent="0.25">
      <c r="C54" s="1">
        <f>'V. Environmental'!D16</f>
        <v>11</v>
      </c>
      <c r="D54" s="1742" t="str">
        <f>'V. Environmental'!E16</f>
        <v>Safety hazard, reaction / decomposition II</v>
      </c>
      <c r="E54" s="1742"/>
      <c r="F54" s="1742"/>
      <c r="G54" s="53" t="str">
        <f>'V. Environmental'!H16</f>
        <v>11. SHreac/dec II</v>
      </c>
      <c r="H54" s="55">
        <f>'V. Environmental'!K16</f>
        <v>0</v>
      </c>
      <c r="I54" s="533" t="str">
        <f>'V. Environmental'!M16</f>
        <v>kJ/kg prod</v>
      </c>
      <c r="J54" s="55">
        <f>'V. Environmental'!N16</f>
        <v>0</v>
      </c>
      <c r="K54" s="55">
        <f>'V. Environmental'!P16</f>
        <v>0</v>
      </c>
      <c r="L54" s="51" t="str">
        <f>'V. Environmental'!R16</f>
        <v/>
      </c>
    </row>
    <row r="55" ht="38.25" customHeight="true" x14ac:dyDescent="0.25">
      <c r="C55" s="1">
        <f>'V. Environmental'!D17</f>
        <v>12</v>
      </c>
      <c r="D55" s="1742" t="str">
        <f>'V. Environmental'!E17</f>
        <v>Safety hazard, acute toxicity</v>
      </c>
      <c r="E55" s="1742"/>
      <c r="F55" s="1742"/>
      <c r="G55" s="53" t="str">
        <f>'V. Environmental'!H17</f>
        <v>12. SHacute tox.</v>
      </c>
      <c r="H55" s="55">
        <f>'V. Environmental'!K17</f>
        <v>25250.920142013423</v>
      </c>
      <c r="I55" s="533" t="str">
        <f>'V. Environmental'!M17</f>
        <v>m^3/kg</v>
      </c>
      <c r="J55" s="55">
        <f>'V. Environmental'!N17</f>
        <v>0</v>
      </c>
      <c r="K55" s="55">
        <f>'V. Environmental'!P17</f>
        <v>100000</v>
      </c>
      <c r="L55" s="51">
        <f>'V. Environmental'!R17</f>
        <v>74.75</v>
      </c>
    </row>
    <row r="56" ht="38.25" customHeight="true" x14ac:dyDescent="0.25">
      <c r="C56" s="1">
        <f>'V. Environmental'!D18</f>
        <v>13</v>
      </c>
      <c r="D56" s="1742" t="str">
        <f>'V. Environmental'!E18</f>
        <v>Fault tree assessment</v>
      </c>
      <c r="E56" s="1742"/>
      <c r="F56" s="1742"/>
      <c r="G56" s="53" t="str">
        <f>'V. Environmental'!H18</f>
        <v>13. FTA</v>
      </c>
      <c r="H56" s="55">
        <f>'V. Environmental'!K18</f>
        <v>0.5</v>
      </c>
      <c r="I56" s="533">
        <f>'V. Environmental'!M18</f>
        <v>0</v>
      </c>
      <c r="J56" s="55">
        <f>'V. Environmental'!N18</f>
        <v>0</v>
      </c>
      <c r="K56" s="55">
        <f>'V. Environmental'!P18</f>
        <v>1</v>
      </c>
      <c r="L56" s="51">
        <f>'V. Environmental'!R18</f>
        <v>50</v>
      </c>
    </row>
    <row r="57" ht="38.25" customHeight="true" x14ac:dyDescent="0.25">
      <c r="C57" s="1">
        <f>'V. Environmental'!D19</f>
        <v>14</v>
      </c>
      <c r="D57" s="1742" t="str">
        <f>'V. Environmental'!E19</f>
        <v>Specific toxic release</v>
      </c>
      <c r="E57" s="1742"/>
      <c r="F57" s="1742"/>
      <c r="G57" s="53" t="str">
        <f>'V. Environmental'!H19</f>
        <v>14. TRs</v>
      </c>
      <c r="H57" s="55">
        <f>'V. Environmental'!K19</f>
        <v>0</v>
      </c>
      <c r="I57" s="533" t="str">
        <f>'V. Environmental'!M19</f>
        <v>kg/kg prod</v>
      </c>
      <c r="J57" s="55">
        <f>'V. Environmental'!N19</f>
        <v>0</v>
      </c>
      <c r="K57" s="55">
        <f>'V. Environmental'!P19</f>
        <v>0.66062510303155364</v>
      </c>
      <c r="L57" s="51">
        <f>'V. Environmental'!R19</f>
        <v>100</v>
      </c>
    </row>
    <row r="58" ht="38.25" customHeight="true" x14ac:dyDescent="0.25">
      <c r="C58" s="1">
        <f>'V. Environmental'!D20</f>
        <v>15</v>
      </c>
      <c r="D58" s="1742" t="str">
        <f>'V. Environmental'!E20</f>
        <v>Toxic release intensity</v>
      </c>
      <c r="E58" s="1742"/>
      <c r="F58" s="1742"/>
      <c r="G58" s="53" t="str">
        <f>'V. Environmental'!H20</f>
        <v>15. TR</v>
      </c>
      <c r="H58" s="55">
        <f>'V. Environmental'!K20</f>
        <v>0</v>
      </c>
      <c r="I58" s="533" t="str">
        <f>'V. Environmental'!M20</f>
        <v>kg/$</v>
      </c>
      <c r="J58" s="55">
        <f>'V. Environmental'!N20</f>
        <v>0</v>
      </c>
      <c r="K58" s="55">
        <f>'V. Environmental'!P20</f>
        <v>0.66059999999999997</v>
      </c>
      <c r="L58" s="51">
        <f>'V. Environmental'!R20</f>
        <v>100</v>
      </c>
    </row>
    <row r="59" ht="38.25" customHeight="true" x14ac:dyDescent="0.25">
      <c r="C59" s="1">
        <f>'V. Environmental'!D21</f>
        <v>16</v>
      </c>
      <c r="D59" s="1742" t="str">
        <f>'V. Environmental'!E21</f>
        <v>Environmental quotient</v>
      </c>
      <c r="E59" s="1742"/>
      <c r="F59" s="1742"/>
      <c r="G59" s="53" t="str">
        <f>'V. Environmental'!H21</f>
        <v>16. EQ</v>
      </c>
      <c r="H59" s="55">
        <f>'V. Environmental'!K21</f>
        <v>330.31255151577682</v>
      </c>
      <c r="I59" s="533" t="str">
        <f>'V. Environmental'!M21</f>
        <v>m3/kg</v>
      </c>
      <c r="J59" s="55">
        <f>'V. Environmental'!N21</f>
        <v>0</v>
      </c>
      <c r="K59" s="55">
        <f>'V. Environmental'!P21</f>
        <v>19500</v>
      </c>
      <c r="L59" s="51">
        <f>'V. Environmental'!R21</f>
        <v>98.31</v>
      </c>
    </row>
    <row r="60" ht="38.25" customHeight="true" x14ac:dyDescent="0.25">
      <c r="C60" s="1">
        <f>'V. Environmental'!D22</f>
        <v>17</v>
      </c>
      <c r="D60" s="1742" t="str">
        <f>'V. Environmental'!E22</f>
        <v>Human health burden, cancer effects</v>
      </c>
      <c r="E60" s="1742"/>
      <c r="F60" s="1742"/>
      <c r="G60" s="53" t="str">
        <f>'V. Environmental'!H22</f>
        <v>17. EBcancer eff.</v>
      </c>
      <c r="H60" s="55">
        <f>'V. Environmental'!K22</f>
        <v>0</v>
      </c>
      <c r="I60" s="533" t="str">
        <f>'V. Environmental'!M22</f>
        <v>kg/$</v>
      </c>
      <c r="J60" s="55">
        <f>'V. Environmental'!N22</f>
        <v>0</v>
      </c>
      <c r="K60" s="55">
        <f>'V. Environmental'!P22</f>
        <v>0.66059999999999997</v>
      </c>
      <c r="L60" s="51">
        <f>'V. Environmental'!R22</f>
        <v>100</v>
      </c>
    </row>
    <row r="61" ht="44.25" customHeight="true" x14ac:dyDescent="0.25">
      <c r="C61" s="1">
        <f>'V. Environmental'!D23</f>
        <v>18</v>
      </c>
      <c r="D61" s="1742" t="str">
        <f>'V. Environmental'!E23</f>
        <v>Environmental hazard, persistency of organic substances</v>
      </c>
      <c r="E61" s="1742"/>
      <c r="F61" s="1742"/>
      <c r="G61" s="53" t="str">
        <f>'V. Environmental'!H23</f>
        <v>18. EHdegradation</v>
      </c>
      <c r="H61" s="55">
        <f>'V. Environmental'!K23</f>
        <v>0.66062510303155364</v>
      </c>
      <c r="I61" s="533" t="str">
        <f>'V. Environmental'!M23</f>
        <v>kg/kg prod</v>
      </c>
      <c r="J61" s="55">
        <f>'V. Environmental'!N23</f>
        <v>0</v>
      </c>
      <c r="K61" s="55">
        <f>'V. Environmental'!P23</f>
        <v>1</v>
      </c>
      <c r="L61" s="51">
        <f>'V. Environmental'!R23</f>
        <v>33.94</v>
      </c>
    </row>
    <row r="62" ht="38.25" customHeight="true" x14ac:dyDescent="0.25">
      <c r="C62" s="1">
        <f>'V. Environmental'!D24</f>
        <v>19</v>
      </c>
      <c r="D62" s="1742" t="str">
        <f>'V. Environmental'!E24</f>
        <v>Environmental hazard, air hazard</v>
      </c>
      <c r="E62" s="1742"/>
      <c r="F62" s="1742"/>
      <c r="G62" s="53" t="str">
        <f>'V. Environmental'!H24</f>
        <v>19. EHair</v>
      </c>
      <c r="H62" s="55">
        <f>'V. Environmental'!K24</f>
        <v>640214.916489303</v>
      </c>
      <c r="I62" s="533" t="str">
        <f>'V. Environmental'!M24</f>
        <v>m^3/kg</v>
      </c>
      <c r="J62" s="55">
        <f>'V. Environmental'!N24</f>
        <v>0</v>
      </c>
      <c r="K62" s="55">
        <f>'V. Environmental'!P24</f>
        <v>10000000</v>
      </c>
      <c r="L62" s="51">
        <f>'V. Environmental'!R24</f>
        <v>93.6</v>
      </c>
    </row>
    <row r="63" ht="38.25" customHeight="true" x14ac:dyDescent="0.25">
      <c r="C63" s="1">
        <f>'V. Environmental'!D25</f>
        <v>20</v>
      </c>
      <c r="D63" s="1742" t="str">
        <f>'V. Environmental'!E25</f>
        <v>Environmental hazard, water hazard</v>
      </c>
      <c r="E63" s="1742"/>
      <c r="F63" s="1742"/>
      <c r="G63" s="53" t="str">
        <f>'V. Environmental'!H25</f>
        <v>20. EHwater</v>
      </c>
      <c r="H63" s="55">
        <f>'V. Environmental'!K25</f>
        <v>18363.483639116592</v>
      </c>
      <c r="I63" s="533" t="str">
        <f>'V. Environmental'!M25</f>
        <v>kg/kg prod</v>
      </c>
      <c r="J63" s="55">
        <f>'V. Environmental'!N25</f>
        <v>0</v>
      </c>
      <c r="K63" s="55">
        <f>'V. Environmental'!P25</f>
        <v>100000</v>
      </c>
      <c r="L63" s="51">
        <f>'V. Environmental'!R25</f>
        <v>81.64</v>
      </c>
    </row>
    <row r="64" ht="38.25" customHeight="true" x14ac:dyDescent="0.25">
      <c r="C64" s="1">
        <f>'V. Environmental'!D26</f>
        <v>21</v>
      </c>
      <c r="D64" s="1742" t="str">
        <f>'V. Environmental'!E26</f>
        <v>Environmental hazard, solid waste (inorganic pollutants)</v>
      </c>
      <c r="E64" s="1742"/>
      <c r="F64" s="1742"/>
      <c r="G64" s="53" t="str">
        <f>'V. Environmental'!H26</f>
        <v>21. EHsolid</v>
      </c>
      <c r="H64" s="55">
        <f>'V. Environmental'!K26</f>
        <v>0</v>
      </c>
      <c r="I64" s="533" t="str">
        <f>'V. Environmental'!M26</f>
        <v>kg/kg prod</v>
      </c>
      <c r="J64" s="55">
        <f>'V. Environmental'!N26</f>
        <v>0</v>
      </c>
      <c r="K64" s="55">
        <f>'V. Environmental'!P26</f>
        <v>1</v>
      </c>
      <c r="L64" s="51">
        <f>'V. Environmental'!R26</f>
        <v>100</v>
      </c>
    </row>
    <row r="65" ht="48" customHeight="true" x14ac:dyDescent="0.25">
      <c r="C65" s="1">
        <f>'V. Environmental'!D27</f>
        <v>22</v>
      </c>
      <c r="D65" s="1742" t="str">
        <f>'V. Environmental'!E27</f>
        <v>Environmental hazard, bioaccumulation (the food chain or in soil)</v>
      </c>
      <c r="E65" s="1742"/>
      <c r="F65" s="1742"/>
      <c r="G65" s="53" t="str">
        <f>'V. Environmental'!H27</f>
        <v>22. EHbioacc.</v>
      </c>
      <c r="H65" s="55" t="str">
        <f>'V. Environmental'!K27</f>
        <v>missing data</v>
      </c>
      <c r="I65" s="533" t="str">
        <f>'V. Environmental'!M27</f>
        <v>kg/kg prod</v>
      </c>
      <c r="J65" s="55">
        <f>'V. Environmental'!N27</f>
        <v>0</v>
      </c>
      <c r="K65" s="55">
        <f>'V. Environmental'!P27</f>
        <v>100</v>
      </c>
      <c r="L65" s="51" t="str">
        <f>'V. Environmental'!R27</f>
        <v/>
      </c>
    </row>
    <row r="66" ht="38.25" customHeight="true" x14ac:dyDescent="0.25">
      <c r="C66" s="1">
        <f>'V. Environmental'!D28</f>
        <v>23</v>
      </c>
      <c r="D66" s="1742" t="str">
        <f>'V. Environmental'!E28</f>
        <v>Global warming potential</v>
      </c>
      <c r="E66" s="1742"/>
      <c r="F66" s="1742"/>
      <c r="G66" s="53" t="str">
        <f>'V. Environmental'!H28</f>
        <v>23. GWP</v>
      </c>
      <c r="H66" s="55">
        <f>'V. Environmental'!K28</f>
        <v>0.66062510303155364</v>
      </c>
      <c r="I66" s="533" t="str">
        <f>'V. Environmental'!M28</f>
        <v>kg CO2 equivalent/kg prod</v>
      </c>
      <c r="J66" s="55">
        <f>'V. Environmental'!N28</f>
        <v>0</v>
      </c>
      <c r="K66" s="55">
        <f>'V. Environmental'!P28</f>
        <v>0.66062510303155364</v>
      </c>
      <c r="L66" s="51">
        <f>'V. Environmental'!R28</f>
        <v>0</v>
      </c>
    </row>
    <row r="67" ht="38.25" customHeight="true" x14ac:dyDescent="0.25">
      <c r="C67" s="1">
        <f>'V. Environmental'!D29</f>
        <v>24</v>
      </c>
      <c r="D67" s="1742" t="str">
        <f>'V. Environmental'!E29</f>
        <v>Global warming intensity</v>
      </c>
      <c r="E67" s="1742"/>
      <c r="F67" s="1742"/>
      <c r="G67" s="53" t="str">
        <f>'V. Environmental'!H29</f>
        <v>24. GWI</v>
      </c>
      <c r="H67" s="55">
        <f>'V. Environmental'!K29</f>
        <v>0.66059999999999997</v>
      </c>
      <c r="I67" s="533" t="str">
        <f>'V. Environmental'!M29</f>
        <v>kg CO2 equivalent/$</v>
      </c>
      <c r="J67" s="55">
        <f>'V. Environmental'!N29</f>
        <v>0</v>
      </c>
      <c r="K67" s="55">
        <f>'V. Environmental'!P29</f>
        <v>0.66059999999999997</v>
      </c>
      <c r="L67" s="51">
        <f>'V. Environmental'!R29</f>
        <v>0</v>
      </c>
    </row>
    <row r="68" ht="38.25" customHeight="true" x14ac:dyDescent="0.25">
      <c r="C68" s="1">
        <f>'V. Environmental'!D30</f>
        <v>25</v>
      </c>
      <c r="D68" s="1742" t="str">
        <f>'V. Environmental'!E30</f>
        <v>Stratospheric ozone-depletion potential</v>
      </c>
      <c r="E68" s="1742"/>
      <c r="F68" s="1742"/>
      <c r="G68" s="53" t="str">
        <f>'V. Environmental'!H30</f>
        <v>25. ODP</v>
      </c>
      <c r="H68" s="55">
        <f>'V. Environmental'!K30</f>
        <v>0</v>
      </c>
      <c r="I68" s="533" t="str">
        <f>'V. Environmental'!M30</f>
        <v>kg CFC-11 equivalent/kg prod</v>
      </c>
      <c r="J68" s="55">
        <f>'V. Environmental'!N30</f>
        <v>0</v>
      </c>
      <c r="K68" s="55">
        <f>'V. Environmental'!P30</f>
        <v>0.66062510303155364</v>
      </c>
      <c r="L68" s="51">
        <f>'V. Environmental'!R30</f>
        <v>100</v>
      </c>
    </row>
    <row r="69" ht="38.25" customHeight="true" x14ac:dyDescent="0.25">
      <c r="C69" s="1">
        <f>'V. Environmental'!D31</f>
        <v>26</v>
      </c>
      <c r="D69" s="1742" t="str">
        <f>'V. Environmental'!E31</f>
        <v>Stratospheric ozone-depletion intensity</v>
      </c>
      <c r="E69" s="1742"/>
      <c r="F69" s="1742"/>
      <c r="G69" s="53" t="str">
        <f>'V. Environmental'!H31</f>
        <v>26. ODI</v>
      </c>
      <c r="H69" s="55">
        <f>'V. Environmental'!K31</f>
        <v>0</v>
      </c>
      <c r="I69" s="533" t="str">
        <f>'V. Environmental'!M31</f>
        <v>kg CFC-11 equivalent/$</v>
      </c>
      <c r="J69" s="55">
        <f>'V. Environmental'!N31</f>
        <v>0</v>
      </c>
      <c r="K69" s="55">
        <f>'V. Environmental'!P31</f>
        <v>0.66059999999999997</v>
      </c>
      <c r="L69" s="51">
        <f>'V. Environmental'!R31</f>
        <v>100</v>
      </c>
    </row>
    <row r="70" ht="38.25" customHeight="true" x14ac:dyDescent="0.25">
      <c r="C70" s="1">
        <f>'V. Environmental'!D32</f>
        <v>27</v>
      </c>
      <c r="D70" s="1742" t="str">
        <f>'V. Environmental'!E32</f>
        <v>Photochemical oxidation (smog) potential</v>
      </c>
      <c r="E70" s="1742"/>
      <c r="F70" s="1742"/>
      <c r="G70" s="53" t="str">
        <f>'V. Environmental'!H32</f>
        <v>27. PCOP</v>
      </c>
      <c r="H70" s="55">
        <f>'V. Environmental'!K32</f>
        <v>0</v>
      </c>
      <c r="I70" s="533" t="str">
        <f>'V. Environmental'!M32</f>
        <v>kg Ethylene equivalent/kg prod</v>
      </c>
      <c r="J70" s="55">
        <f>'V. Environmental'!N32</f>
        <v>0</v>
      </c>
      <c r="K70" s="55">
        <f>'V. Environmental'!P32</f>
        <v>0.66062510303155364</v>
      </c>
      <c r="L70" s="51">
        <f>'V. Environmental'!R32</f>
        <v>100</v>
      </c>
    </row>
    <row r="71" ht="38.25" customHeight="true" x14ac:dyDescent="0.25">
      <c r="C71" s="1">
        <f>'V. Environmental'!D33</f>
        <v>28</v>
      </c>
      <c r="D71" s="1742" t="str">
        <f>'V. Environmental'!E33</f>
        <v>Photochemical oxidation (smog) intensity</v>
      </c>
      <c r="E71" s="1742"/>
      <c r="F71" s="1742"/>
      <c r="G71" s="53" t="str">
        <f>'V. Environmental'!H33</f>
        <v>28. PCOI</v>
      </c>
      <c r="H71" s="55">
        <f>'V. Environmental'!K33</f>
        <v>0</v>
      </c>
      <c r="I71" s="533" t="str">
        <f>'V. Environmental'!M33</f>
        <v>kg Ethylene equivalent/$</v>
      </c>
      <c r="J71" s="55">
        <f>'V. Environmental'!N33</f>
        <v>0</v>
      </c>
      <c r="K71" s="55">
        <f>'V. Environmental'!P33</f>
        <v>0.66059999999999997</v>
      </c>
      <c r="L71" s="51">
        <f>'V. Environmental'!R33</f>
        <v>100</v>
      </c>
    </row>
    <row r="72" ht="38.25" customHeight="true" x14ac:dyDescent="0.25">
      <c r="C72" s="1">
        <f>'V. Environmental'!D34</f>
        <v>29</v>
      </c>
      <c r="D72" s="1742" t="str">
        <f>'V. Environmental'!E34</f>
        <v>Atmospheric acidification potential</v>
      </c>
      <c r="E72" s="1742"/>
      <c r="F72" s="1742"/>
      <c r="G72" s="53" t="str">
        <f>'V. Environmental'!H34</f>
        <v>29. AP</v>
      </c>
      <c r="H72" s="55">
        <f>'V. Environmental'!K34</f>
        <v>0</v>
      </c>
      <c r="I72" s="533" t="str">
        <f>'V. Environmental'!M34</f>
        <v>kg SO2 equivalent/time</v>
      </c>
      <c r="J72" s="55">
        <f>'V. Environmental'!N34</f>
        <v>0</v>
      </c>
      <c r="K72" s="55">
        <f>'V. Environmental'!P34</f>
        <v>0.66062510303155364</v>
      </c>
      <c r="L72" s="51">
        <f>'V. Environmental'!R34</f>
        <v>100</v>
      </c>
    </row>
    <row r="73" ht="38.25" customHeight="true" x14ac:dyDescent="0.25">
      <c r="C73" s="1">
        <f>'V. Environmental'!D35</f>
        <v>30</v>
      </c>
      <c r="D73" s="1742" t="str">
        <f>'V. Environmental'!E35</f>
        <v>Atmospheric acidification intensity</v>
      </c>
      <c r="E73" s="1742"/>
      <c r="F73" s="1742"/>
      <c r="G73" s="53" t="str">
        <f>'V. Environmental'!H35</f>
        <v>30. API</v>
      </c>
      <c r="H73" s="55">
        <f>'V. Environmental'!K35</f>
        <v>0</v>
      </c>
      <c r="I73" s="533" t="str">
        <f>'V. Environmental'!M35</f>
        <v>kg SO2 equivalent/$</v>
      </c>
      <c r="J73" s="55">
        <f>'V. Environmental'!N35</f>
        <v>0</v>
      </c>
      <c r="K73" s="55">
        <f>'V. Environmental'!P35</f>
        <v>0.66059999999999997</v>
      </c>
      <c r="L73" s="51">
        <f>'V. Environmental'!R35</f>
        <v>100</v>
      </c>
    </row>
    <row r="74" ht="38.25" customHeight="true" x14ac:dyDescent="0.25">
      <c r="C74" s="1">
        <f>'V. Environmental'!D36</f>
        <v>31</v>
      </c>
      <c r="D74" s="1742" t="str">
        <f>'V. Environmental'!E36</f>
        <v>Aquatic acidification potential</v>
      </c>
      <c r="E74" s="1742"/>
      <c r="F74" s="1742"/>
      <c r="G74" s="53" t="str">
        <f>'V. Environmental'!H36</f>
        <v>31. WPacid. water</v>
      </c>
      <c r="H74" s="55">
        <f>'V. Environmental'!K36</f>
        <v>0</v>
      </c>
      <c r="I74" s="533" t="str">
        <f>'V. Environmental'!M36</f>
        <v>kg H+ equivalent/time</v>
      </c>
      <c r="J74" s="55">
        <f>'V. Environmental'!N36</f>
        <v>0</v>
      </c>
      <c r="K74" s="55">
        <f>'V. Environmental'!P36</f>
        <v>0.66062510303155364</v>
      </c>
      <c r="L74" s="51">
        <f>'V. Environmental'!R36</f>
        <v>100</v>
      </c>
    </row>
    <row r="75" ht="38.25" customHeight="true" x14ac:dyDescent="0.25">
      <c r="C75" s="1">
        <f>'V. Environmental'!D37</f>
        <v>32</v>
      </c>
      <c r="D75" s="1742" t="str">
        <f>'V. Environmental'!E37</f>
        <v>Aquatic acidification intensity</v>
      </c>
      <c r="E75" s="1742"/>
      <c r="F75" s="1742"/>
      <c r="G75" s="53" t="str">
        <f>'V. Environmental'!H37</f>
        <v>32. WPIacid. water</v>
      </c>
      <c r="H75" s="55">
        <f>'V. Environmental'!K37</f>
        <v>0</v>
      </c>
      <c r="I75" s="533" t="str">
        <f>'V. Environmental'!M37</f>
        <v>kg H+ equivalent/$</v>
      </c>
      <c r="J75" s="55">
        <f>'V. Environmental'!N37</f>
        <v>0</v>
      </c>
      <c r="K75" s="55">
        <f>'V. Environmental'!P37</f>
        <v>0.66059999999999997</v>
      </c>
      <c r="L75" s="51">
        <f>'V. Environmental'!R37</f>
        <v>100</v>
      </c>
    </row>
    <row r="76" ht="38.25" customHeight="true" x14ac:dyDescent="0.25">
      <c r="C76" s="1">
        <f>'V. Environmental'!D38</f>
        <v>33</v>
      </c>
      <c r="D76" s="1742" t="str">
        <f>'V. Environmental'!E38</f>
        <v>Aquatic basification potential</v>
      </c>
      <c r="E76" s="1742"/>
      <c r="F76" s="1742"/>
      <c r="G76" s="53" t="str">
        <f>'V. Environmental'!H38</f>
        <v>33. WPbasi. water</v>
      </c>
      <c r="H76" s="55">
        <f>'V. Environmental'!K38</f>
        <v>0</v>
      </c>
      <c r="I76" s="533" t="str">
        <f>'V. Environmental'!M38</f>
        <v>kg OH- released/time</v>
      </c>
      <c r="J76" s="55">
        <f>'V. Environmental'!N38</f>
        <v>0</v>
      </c>
      <c r="K76" s="55">
        <f>'V. Environmental'!P38</f>
        <v>0.66062510303155364</v>
      </c>
      <c r="L76" s="51">
        <f>'V. Environmental'!R38</f>
        <v>100</v>
      </c>
    </row>
    <row r="77" ht="38.25" customHeight="true" x14ac:dyDescent="0.25">
      <c r="C77" s="1">
        <f>'V. Environmental'!D39</f>
        <v>34</v>
      </c>
      <c r="D77" s="1742" t="str">
        <f>'V. Environmental'!E39</f>
        <v>Aquatic basification intensity</v>
      </c>
      <c r="E77" s="1742"/>
      <c r="F77" s="1742"/>
      <c r="G77" s="53" t="str">
        <f>'V. Environmental'!H39</f>
        <v>34. WPIbasi. water</v>
      </c>
      <c r="H77" s="55">
        <f>'V. Environmental'!K39</f>
        <v>0</v>
      </c>
      <c r="I77" s="533" t="str">
        <f>'V. Environmental'!M39</f>
        <v>kg OH- released/$</v>
      </c>
      <c r="J77" s="55">
        <f>'V. Environmental'!N39</f>
        <v>0</v>
      </c>
      <c r="K77" s="55">
        <f>'V. Environmental'!P39</f>
        <v>0.66059999999999997</v>
      </c>
      <c r="L77" s="51">
        <f>'V. Environmental'!R39</f>
        <v>100</v>
      </c>
    </row>
    <row r="78" ht="38.25" customHeight="true" x14ac:dyDescent="0.25">
      <c r="C78" s="1">
        <f>'V. Environmental'!D40</f>
        <v>35</v>
      </c>
      <c r="D78" s="1742" t="str">
        <f>'V. Environmental'!E40</f>
        <v>Aquatic salinization potential</v>
      </c>
      <c r="E78" s="1742"/>
      <c r="F78" s="1742"/>
      <c r="G78" s="53" t="str">
        <f>'V. Environmental'!H40</f>
        <v>35. WPsalinity</v>
      </c>
      <c r="H78" s="55">
        <f>'V. Environmental'!K40</f>
        <v>0</v>
      </c>
      <c r="I78" s="533" t="str">
        <f>'V. Environmental'!M40</f>
        <v>kg  Salt-forming ion equivalent/time</v>
      </c>
      <c r="J78" s="55">
        <f>'V. Environmental'!N40</f>
        <v>0</v>
      </c>
      <c r="K78" s="55">
        <f>'V. Environmental'!P40</f>
        <v>0.66062510303155364</v>
      </c>
      <c r="L78" s="51">
        <f>'V. Environmental'!R40</f>
        <v>100</v>
      </c>
    </row>
    <row r="79" ht="38.25" customHeight="true" x14ac:dyDescent="0.25">
      <c r="C79" s="1">
        <f>'V. Environmental'!D41</f>
        <v>36</v>
      </c>
      <c r="D79" s="1742" t="str">
        <f>'V. Environmental'!E41</f>
        <v>Aquatic salinization intensity</v>
      </c>
      <c r="E79" s="1742"/>
      <c r="F79" s="1742"/>
      <c r="G79" s="53" t="str">
        <f>'V. Environmental'!H41</f>
        <v>36. WPIsalinity</v>
      </c>
      <c r="H79" s="55">
        <f>'V. Environmental'!K41</f>
        <v>0</v>
      </c>
      <c r="I79" s="533" t="str">
        <f>'V. Environmental'!M41</f>
        <v>kg  Salt-forming ion equivalent/$</v>
      </c>
      <c r="J79" s="55">
        <f>'V. Environmental'!N41</f>
        <v>0</v>
      </c>
      <c r="K79" s="55">
        <f>'V. Environmental'!P41</f>
        <v>0.66059999999999997</v>
      </c>
      <c r="L79" s="51">
        <f>'V. Environmental'!R41</f>
        <v>100</v>
      </c>
    </row>
    <row r="80" ht="38.25" customHeight="true" x14ac:dyDescent="0.25">
      <c r="C80" s="1">
        <f>'V. Environmental'!D42</f>
        <v>37</v>
      </c>
      <c r="D80" s="1742" t="str">
        <f>'V. Environmental'!E42</f>
        <v>Aquatic oxygen demand potential</v>
      </c>
      <c r="E80" s="1742"/>
      <c r="F80" s="1742"/>
      <c r="G80" s="53" t="str">
        <f>'V. Environmental'!H42</f>
        <v>37. WPO2 dem.</v>
      </c>
      <c r="H80" s="55">
        <f>'V. Environmental'!K42</f>
        <v>0</v>
      </c>
      <c r="I80" s="533" t="str">
        <f>'V. Environmental'!M42</f>
        <v>kg O2 equivalent/time</v>
      </c>
      <c r="J80" s="55">
        <f>'V. Environmental'!N42</f>
        <v>0</v>
      </c>
      <c r="K80" s="55">
        <f>'V. Environmental'!P42</f>
        <v>0.66062510303155364</v>
      </c>
      <c r="L80" s="51">
        <f>'V. Environmental'!R42</f>
        <v>100</v>
      </c>
    </row>
    <row r="81" ht="38.25" customHeight="true" x14ac:dyDescent="0.25">
      <c r="C81" s="1">
        <f>'V. Environmental'!D43</f>
        <v>38</v>
      </c>
      <c r="D81" s="1742" t="str">
        <f>'V. Environmental'!E43</f>
        <v>Aquatic oxygen demand intensity</v>
      </c>
      <c r="E81" s="1742"/>
      <c r="F81" s="1742"/>
      <c r="G81" s="53" t="str">
        <f>'V. Environmental'!H43</f>
        <v>38. WPIO2 dem.</v>
      </c>
      <c r="H81" s="55">
        <f>'V. Environmental'!K43</f>
        <v>0</v>
      </c>
      <c r="I81" s="533" t="str">
        <f>'V. Environmental'!M43</f>
        <v>kg O2 equivalent/$</v>
      </c>
      <c r="J81" s="55">
        <f>'V. Environmental'!N43</f>
        <v>0</v>
      </c>
      <c r="K81" s="55">
        <f>'V. Environmental'!P43</f>
        <v>0.66059999999999997</v>
      </c>
      <c r="L81" s="51">
        <f>'V. Environmental'!R43</f>
        <v>100</v>
      </c>
    </row>
    <row r="82" ht="38.25" customHeight="true" x14ac:dyDescent="0.25">
      <c r="C82" s="1">
        <f>'V. Environmental'!D44</f>
        <v>39</v>
      </c>
      <c r="D82" s="1742" t="str">
        <f>'V. Environmental'!E44</f>
        <v>Ecotoxicity to aquatic life potential</v>
      </c>
      <c r="E82" s="1742"/>
      <c r="F82" s="1742"/>
      <c r="G82" s="53" t="str">
        <f>'V. Environmental'!H44</f>
        <v>39. WPtox. other</v>
      </c>
      <c r="H82" s="55">
        <f>'V. Environmental'!K44</f>
        <v>0</v>
      </c>
      <c r="I82" s="533" t="str">
        <f>'V. Environmental'!M44</f>
        <v>kg formaldehyde equivalent/time</v>
      </c>
      <c r="J82" s="55">
        <f>'V. Environmental'!N44</f>
        <v>0</v>
      </c>
      <c r="K82" s="55">
        <f>'V. Environmental'!P44</f>
        <v>0.66062510303155364</v>
      </c>
      <c r="L82" s="51">
        <f>'V. Environmental'!R44</f>
        <v>100</v>
      </c>
    </row>
    <row r="83" ht="38.25" customHeight="true" x14ac:dyDescent="0.25">
      <c r="C83" s="1">
        <f>'V. Environmental'!D45</f>
        <v>40</v>
      </c>
      <c r="D83" s="1742" t="str">
        <f>'V. Environmental'!E45</f>
        <v>Ecotoxicity to aquatic life intensity</v>
      </c>
      <c r="E83" s="1742"/>
      <c r="F83" s="1742"/>
      <c r="G83" s="53" t="str">
        <f>'V. Environmental'!H45</f>
        <v>40. WPItox. other</v>
      </c>
      <c r="H83" s="55">
        <f>'V. Environmental'!K45</f>
        <v>0</v>
      </c>
      <c r="I83" s="533" t="str">
        <f>'V. Environmental'!M45</f>
        <v>kg formaldehyde equivalent/$</v>
      </c>
      <c r="J83" s="55">
        <f>'V. Environmental'!N45</f>
        <v>0</v>
      </c>
      <c r="K83" s="55">
        <f>'V. Environmental'!P45</f>
        <v>0.66059999999999997</v>
      </c>
      <c r="L83" s="51">
        <f>'V. Environmental'!R45</f>
        <v>100</v>
      </c>
    </row>
    <row r="84" ht="38.25" customHeight="true" x14ac:dyDescent="0.25">
      <c r="C84" s="1">
        <f>'V. Environmental'!D46</f>
        <v>41</v>
      </c>
      <c r="D84" s="1742" t="str">
        <f>'V. Environmental'!E46</f>
        <v>Ecotoxicity to aquatic life potential by metals</v>
      </c>
      <c r="E84" s="1742"/>
      <c r="F84" s="1742"/>
      <c r="G84" s="53" t="str">
        <f>'V. Environmental'!H46</f>
        <v>41. WPtox. metal</v>
      </c>
      <c r="H84" s="55">
        <f>'V. Environmental'!K46</f>
        <v>0</v>
      </c>
      <c r="I84" s="533" t="str">
        <f>'V. Environmental'!M46</f>
        <v>kg Cu equivalent/time</v>
      </c>
      <c r="J84" s="55">
        <f>'V. Environmental'!N46</f>
        <v>0</v>
      </c>
      <c r="K84" s="55">
        <f>'V. Environmental'!P46</f>
        <v>0.66062510303155364</v>
      </c>
      <c r="L84" s="51">
        <f>'V. Environmental'!R46</f>
        <v>100</v>
      </c>
    </row>
    <row r="85" ht="38.25" customHeight="true" x14ac:dyDescent="0.25">
      <c r="C85" s="1">
        <f>'V. Environmental'!D47</f>
        <v>42</v>
      </c>
      <c r="D85" s="1742" t="str">
        <f>'V. Environmental'!E47</f>
        <v>Ecotoxicity to aquatic life intensity by metals</v>
      </c>
      <c r="E85" s="1742"/>
      <c r="F85" s="1742"/>
      <c r="G85" s="53" t="str">
        <f>'V. Environmental'!H47</f>
        <v>42. WPItox. metal</v>
      </c>
      <c r="H85" s="55">
        <f>'V. Environmental'!K47</f>
        <v>0</v>
      </c>
      <c r="I85" s="533" t="str">
        <f>'V. Environmental'!M47</f>
        <v>kg Cu equivalent/time</v>
      </c>
      <c r="J85" s="55">
        <f>'V. Environmental'!N47</f>
        <v>0</v>
      </c>
      <c r="K85" s="55">
        <f>'V. Environmental'!P47</f>
        <v>0.66059999999999997</v>
      </c>
      <c r="L85" s="51">
        <f>'V. Environmental'!R47</f>
        <v>100</v>
      </c>
    </row>
    <row r="86" ht="38.25" customHeight="true" x14ac:dyDescent="0.25">
      <c r="C86" s="1">
        <f>'V. Environmental'!D48</f>
        <v>43</v>
      </c>
      <c r="D86" s="1742" t="str">
        <f>'V. Environmental'!E48</f>
        <v>Eutrophication potential</v>
      </c>
      <c r="E86" s="1742"/>
      <c r="F86" s="1742"/>
      <c r="G86" s="53" t="str">
        <f>'V. Environmental'!H48</f>
        <v>43. EP</v>
      </c>
      <c r="H86" s="55">
        <f>'V. Environmental'!K48</f>
        <v>0</v>
      </c>
      <c r="I86" s="533" t="str">
        <f>'V. Environmental'!M48</f>
        <v>kg PO43+ equivalent/time</v>
      </c>
      <c r="J86" s="55">
        <f>'V. Environmental'!N48</f>
        <v>0</v>
      </c>
      <c r="K86" s="55">
        <f>'V. Environmental'!P48</f>
        <v>0.66062510303155364</v>
      </c>
      <c r="L86" s="51">
        <f>'V. Environmental'!R48</f>
        <v>100</v>
      </c>
    </row>
    <row r="87" ht="38.25" customHeight="true" x14ac:dyDescent="0.25">
      <c r="C87" s="1">
        <f>'V. Environmental'!D49</f>
        <v>44</v>
      </c>
      <c r="D87" s="1742" t="str">
        <f>'V. Environmental'!E49</f>
        <v>Eutrophication potential intensity</v>
      </c>
      <c r="E87" s="1742"/>
      <c r="F87" s="1742"/>
      <c r="G87" s="53" t="str">
        <f>'V. Environmental'!H49</f>
        <v>44. EPI</v>
      </c>
      <c r="H87" s="55">
        <f>'V. Environmental'!K49</f>
        <v>0</v>
      </c>
      <c r="I87" s="533" t="str">
        <f>'V. Environmental'!M49</f>
        <v>kg PO43+ equivalent/$</v>
      </c>
      <c r="J87" s="55">
        <f>'V. Environmental'!N49</f>
        <v>0</v>
      </c>
      <c r="K87" s="55">
        <f>'V. Environmental'!P49</f>
        <v>0.66059999999999997</v>
      </c>
      <c r="L87" s="51">
        <f>'V. Environmental'!R49</f>
        <v>100</v>
      </c>
    </row>
    <row r="88" ht="38.25" customHeight="true" x14ac:dyDescent="0.25">
      <c r="C88" s="1">
        <f>'V. Environmental'!D50</f>
        <v>45</v>
      </c>
      <c r="D88" s="1742" t="str">
        <f>'V. Environmental'!E50</f>
        <v>Specific emergy intensity</v>
      </c>
      <c r="E88" s="1742"/>
      <c r="F88" s="1742"/>
      <c r="G88" s="53" t="str">
        <f>'V. Environmental'!H50</f>
        <v>45. SMIM</v>
      </c>
      <c r="H88" s="55">
        <f>'V. Environmental'!K50</f>
        <v>24971.628894592726</v>
      </c>
      <c r="I88" s="533" t="str">
        <f>'V. Environmental'!M50</f>
        <v>MseJ/kg of prod</v>
      </c>
      <c r="J88" s="55">
        <f>'V. Environmental'!N50</f>
        <v>0</v>
      </c>
      <c r="K88" s="55">
        <f>'V. Environmental'!P50</f>
        <v>0</v>
      </c>
      <c r="L88" s="51" t="str">
        <f>'V. Environmental'!R50</f>
        <v/>
      </c>
    </row>
    <row r="89" ht="38.25" customHeight="true" x14ac:dyDescent="0.25">
      <c r="C89" s="1">
        <f>'V. Environmental'!D51</f>
        <v>46</v>
      </c>
      <c r="D89" s="1742" t="str">
        <f>'V. Environmental'!E51</f>
        <v>Emergy intensity</v>
      </c>
      <c r="E89" s="1742"/>
      <c r="F89" s="1742"/>
      <c r="G89" s="53" t="str">
        <f>'V. Environmental'!H51</f>
        <v>46. MIM</v>
      </c>
      <c r="H89" s="55">
        <f>'V. Environmental'!K51</f>
        <v>24971.628894592726</v>
      </c>
      <c r="I89" s="533" t="str">
        <f>'V. Environmental'!M51</f>
        <v>MseJ/ $US</v>
      </c>
      <c r="J89" s="55">
        <f>'V. Environmental'!N51</f>
        <v>0</v>
      </c>
      <c r="K89" s="55">
        <f>'V. Environmental'!P51</f>
        <v>0</v>
      </c>
      <c r="L89" s="51" t="str">
        <f>'V. Environmental'!R51</f>
        <v/>
      </c>
    </row>
    <row r="90" ht="38.25" customHeight="true" x14ac:dyDescent="0.25">
      <c r="C90" s="1">
        <f>'V. Environmental'!D52</f>
        <v>47</v>
      </c>
      <c r="D90" s="1742" t="str">
        <f>'V. Environmental'!E52</f>
        <v>Environmental loading ratio</v>
      </c>
      <c r="E90" s="1742"/>
      <c r="F90" s="1742"/>
      <c r="G90" s="53" t="str">
        <f>'V. Environmental'!H52</f>
        <v>47. ELR</v>
      </c>
      <c r="H90" s="55" t="str">
        <f>'V. Environmental'!K52</f>
        <v>missing data</v>
      </c>
      <c r="I90" s="533" t="str">
        <f>'V. Environmental'!M52</f>
        <v>MseJ/MseJ</v>
      </c>
      <c r="J90" s="55">
        <f>'V. Environmental'!N52</f>
        <v>2</v>
      </c>
      <c r="K90" s="55">
        <f>'V. Environmental'!P52</f>
        <v>10</v>
      </c>
      <c r="L90" s="51" t="str">
        <f>'V. Environmental'!R52</f>
        <v/>
      </c>
    </row>
    <row r="91" ht="38.25" customHeight="true" x14ac:dyDescent="0.25">
      <c r="C91" s="1">
        <f>'V. Environmental'!D53</f>
        <v>48</v>
      </c>
      <c r="D91" s="1742" t="str">
        <f>'V. Environmental'!E53</f>
        <v>Emergy yield ratio </v>
      </c>
      <c r="E91" s="1742"/>
      <c r="F91" s="1742"/>
      <c r="G91" s="53" t="str">
        <f>'V. Environmental'!H53</f>
        <v>48. EYR</v>
      </c>
      <c r="H91" s="55" t="str">
        <f>'V. Environmental'!K53</f>
        <v>missing data</v>
      </c>
      <c r="I91" s="533" t="str">
        <f>'V. Environmental'!M53</f>
        <v>scalar, 0 to ∞+</v>
      </c>
      <c r="J91" s="55">
        <f>'V. Environmental'!N53</f>
        <v>1</v>
      </c>
      <c r="K91" s="55">
        <f>'V. Environmental'!P53</f>
        <v>0</v>
      </c>
      <c r="L91" s="51" t="str">
        <f>'V. Environmental'!R53</f>
        <v/>
      </c>
    </row>
    <row r="92" ht="38.25" customHeight="true" x14ac:dyDescent="0.25">
      <c r="C92" s="1">
        <f>'V. Environmental'!D54</f>
        <v>49</v>
      </c>
      <c r="D92" s="1742" t="str">
        <f>'V. Environmental'!E54</f>
        <v>Emergy sustainability Index</v>
      </c>
      <c r="E92" s="1742"/>
      <c r="F92" s="1742"/>
      <c r="G92" s="53" t="str">
        <f>'V. Environmental'!H54</f>
        <v>49. ESI</v>
      </c>
      <c r="H92" s="55" t="str">
        <f>'V. Environmental'!K54</f>
        <v>missing data</v>
      </c>
      <c r="I92" s="533" t="str">
        <f>'V. Environmental'!M54</f>
        <v>scalar</v>
      </c>
      <c r="J92" s="55">
        <f>'V. Environmental'!N54</f>
        <v>5</v>
      </c>
      <c r="K92" s="55">
        <f>'V. Environmental'!P54</f>
        <v>1</v>
      </c>
      <c r="L92" s="51" t="str">
        <f>'V. Environmental'!R54</f>
        <v/>
      </c>
    </row>
    <row r="93" ht="38.25" customHeight="true" x14ac:dyDescent="0.25">
      <c r="C93" s="1">
        <f>'V. Environmental'!D55</f>
        <v>50</v>
      </c>
      <c r="D93" s="1742" t="str">
        <f>'V. Environmental'!E55</f>
        <v>Breeding factor</v>
      </c>
      <c r="E93" s="1742"/>
      <c r="F93" s="1742"/>
      <c r="G93" s="53" t="str">
        <f>'V. Environmental'!H55</f>
        <v>50. BFM</v>
      </c>
      <c r="H93" s="55" t="str">
        <f>'V. Environmental'!K55</f>
        <v>missing data</v>
      </c>
      <c r="I93" s="533" t="str">
        <f>'V. Environmental'!M55</f>
        <v>fraction</v>
      </c>
      <c r="J93" s="55">
        <f>'V. Environmental'!N55</f>
        <v>10</v>
      </c>
      <c r="K93" s="55">
        <f>'V. Environmental'!P55</f>
        <v>0</v>
      </c>
      <c r="L93" s="51" t="str">
        <f>'V. Environmental'!R55</f>
        <v/>
      </c>
    </row>
    <row r="94" ht="38.25" customHeight="true" x14ac:dyDescent="0.25">
      <c r="C94" s="1">
        <f>'V. Environmental'!D56</f>
        <v>51</v>
      </c>
      <c r="D94" s="1742" t="str">
        <f>'V. Environmental'!E56</f>
        <v>Renewability index</v>
      </c>
      <c r="E94" s="1742"/>
      <c r="F94" s="1742"/>
      <c r="G94" s="53" t="str">
        <f>'V. Environmental'!H56</f>
        <v>51. RI</v>
      </c>
      <c r="H94" s="55" t="str">
        <f>'V. Environmental'!K56</f>
        <v>missing data</v>
      </c>
      <c r="I94" s="533" t="str">
        <f>'V. Environmental'!M56</f>
        <v>fraction</v>
      </c>
      <c r="J94" s="55">
        <f>'V. Environmental'!N56</f>
        <v>1</v>
      </c>
      <c r="K94" s="55">
        <f>'V. Environmental'!P56</f>
        <v>0</v>
      </c>
      <c r="L94" s="51" t="str">
        <f>'V. Environmental'!R56</f>
        <v/>
      </c>
    </row>
    <row r="95" ht="38.25" customHeight="true" x14ac:dyDescent="0.25">
      <c r="C95" s="1">
        <f>'V. Environmental'!D57</f>
        <v>52</v>
      </c>
      <c r="D95" s="1742" t="str">
        <f>'V. Environmental'!E57</f>
        <v>Total solid waste mass</v>
      </c>
      <c r="E95" s="1742"/>
      <c r="F95" s="1742"/>
      <c r="G95" s="53" t="str">
        <f>'V. Environmental'!H57</f>
        <v>52. ms, tot.</v>
      </c>
      <c r="H95" s="55">
        <f>'V. Environmental'!K57</f>
        <v>0</v>
      </c>
      <c r="I95" s="533" t="str">
        <f>'V. Environmental'!M57</f>
        <v>kg</v>
      </c>
      <c r="J95" s="55">
        <f>'V. Environmental'!N57</f>
        <v>0</v>
      </c>
      <c r="K95" s="55">
        <f>'V. Environmental'!P57</f>
        <v>0</v>
      </c>
      <c r="L95" s="51" t="str">
        <f>'V. Environmental'!R57</f>
        <v/>
      </c>
    </row>
    <row r="96" ht="38.25" customHeight="true" x14ac:dyDescent="0.25">
      <c r="C96" s="1">
        <f>'V. Environmental'!D58</f>
        <v>53</v>
      </c>
      <c r="D96" s="1742" t="str">
        <f>'V. Environmental'!E58</f>
        <v>Specific solid waste mass</v>
      </c>
      <c r="E96" s="1742"/>
      <c r="F96" s="1742"/>
      <c r="G96" s="53" t="str">
        <f>'V. Environmental'!H58</f>
        <v>53. ms, spec.</v>
      </c>
      <c r="H96" s="55">
        <f>'V. Environmental'!K58</f>
        <v>0</v>
      </c>
      <c r="I96" s="533" t="str">
        <f>'V. Environmental'!M58</f>
        <v>kg/kg prod</v>
      </c>
      <c r="J96" s="55">
        <f>'V. Environmental'!N58</f>
        <v>0</v>
      </c>
      <c r="K96" s="55">
        <f>'V. Environmental'!P58</f>
        <v>0</v>
      </c>
      <c r="L96" s="51" t="str">
        <f>'V. Environmental'!R58</f>
        <v/>
      </c>
    </row>
    <row r="97" ht="38.25" customHeight="true" x14ac:dyDescent="0.25">
      <c r="C97" s="1">
        <f>'V. Environmental'!D59</f>
        <v>54</v>
      </c>
      <c r="D97" s="1742" t="str">
        <f>'V. Environmental'!E59</f>
        <v>Solid waste mass for recovery</v>
      </c>
      <c r="E97" s="1742"/>
      <c r="F97" s="1742"/>
      <c r="G97" s="53" t="str">
        <f>'V. Environmental'!H59</f>
        <v>54. ms, recov.</v>
      </c>
      <c r="H97" s="55">
        <f>'V. Environmental'!K59</f>
        <v>0</v>
      </c>
      <c r="I97" s="533" t="str">
        <f>'V. Environmental'!M59</f>
        <v>kg</v>
      </c>
      <c r="J97" s="55">
        <f>'V. Environmental'!N59</f>
        <v>0</v>
      </c>
      <c r="K97" s="55">
        <f>'V. Environmental'!P59</f>
        <v>0</v>
      </c>
      <c r="L97" s="51" t="str">
        <f>'V. Environmental'!R59</f>
        <v/>
      </c>
    </row>
    <row r="98" ht="38.25" customHeight="true" x14ac:dyDescent="0.25">
      <c r="C98" s="1">
        <f>'V. Environmental'!D60</f>
        <v>55</v>
      </c>
      <c r="D98" s="1742" t="str">
        <f>'V. Environmental'!E60</f>
        <v>Solid waste mass for disposal</v>
      </c>
      <c r="E98" s="1742"/>
      <c r="F98" s="1742"/>
      <c r="G98" s="53" t="str">
        <f>'V. Environmental'!H60</f>
        <v>55. ms, disp.</v>
      </c>
      <c r="H98" s="55">
        <f>'V. Environmental'!K60</f>
        <v>0</v>
      </c>
      <c r="I98" s="533" t="str">
        <f>'V. Environmental'!M60</f>
        <v>kg</v>
      </c>
      <c r="J98" s="55">
        <f>'V. Environmental'!N60</f>
        <v>0</v>
      </c>
      <c r="K98" s="55">
        <f>'V. Environmental'!P60</f>
        <v>0</v>
      </c>
      <c r="L98" s="51" t="str">
        <f>'V. Environmental'!R60</f>
        <v/>
      </c>
    </row>
    <row r="99" ht="38.25" customHeight="true" x14ac:dyDescent="0.25">
      <c r="C99" s="1">
        <f>'V. Environmental'!D61</f>
        <v>56</v>
      </c>
      <c r="D99" s="1742" t="str">
        <f>'V. Environmental'!E61</f>
        <v>Recycling mass fraction</v>
      </c>
      <c r="E99" s="1742"/>
      <c r="F99" s="1742"/>
      <c r="G99" s="53" t="str">
        <f>'V. Environmental'!H61</f>
        <v>56. ws, recycl. </v>
      </c>
      <c r="H99" s="55" t="str">
        <f>'V. Environmental'!K61</f>
        <v>missing data</v>
      </c>
      <c r="I99" s="533" t="str">
        <f>'V. Environmental'!M61</f>
        <v>kg/kg solid releases</v>
      </c>
      <c r="J99" s="55">
        <f>'V. Environmental'!N61</f>
        <v>1</v>
      </c>
      <c r="K99" s="55">
        <f>'V. Environmental'!P61</f>
        <v>0</v>
      </c>
      <c r="L99" s="51" t="str">
        <f>'V. Environmental'!R61</f>
        <v/>
      </c>
    </row>
    <row r="100" ht="38.25" customHeight="true" x14ac:dyDescent="0.25">
      <c r="C100" s="1">
        <f>'V. Environmental'!D62</f>
        <v>57</v>
      </c>
      <c r="D100" s="1742" t="str">
        <f>'V. Environmental'!E62</f>
        <v>Disposal mass fraction</v>
      </c>
      <c r="E100" s="1742"/>
      <c r="F100" s="1742"/>
      <c r="G100" s="53" t="str">
        <f>'V. Environmental'!H62</f>
        <v>57. ws, non-recycl.</v>
      </c>
      <c r="H100" s="55" t="str">
        <f>'V. Environmental'!K62</f>
        <v>missing data</v>
      </c>
      <c r="I100" s="533" t="str">
        <f>'V. Environmental'!M62</f>
        <v>kg/kg solid releases</v>
      </c>
      <c r="J100" s="55">
        <f>'V. Environmental'!N62</f>
        <v>0</v>
      </c>
      <c r="K100" s="55">
        <f>'V. Environmental'!P62</f>
        <v>1</v>
      </c>
      <c r="L100" s="51" t="str">
        <f>'V. Environmental'!R62</f>
        <v/>
      </c>
    </row>
    <row r="101" ht="38.25" customHeight="true" x14ac:dyDescent="0.25">
      <c r="C101" s="1">
        <f>'V. Environmental'!D63</f>
        <v>58</v>
      </c>
      <c r="D101" s="1742" t="str">
        <f>'V. Environmental'!E63</f>
        <v>Hazardous solid waste mass fraction</v>
      </c>
      <c r="E101" s="1742"/>
      <c r="F101" s="1742"/>
      <c r="G101" s="53" t="str">
        <f>'V. Environmental'!H63</f>
        <v>58. ws, haz.</v>
      </c>
      <c r="H101" s="55" t="str">
        <f>'V. Environmental'!K63</f>
        <v>missing data</v>
      </c>
      <c r="I101" s="533" t="str">
        <f>'V. Environmental'!M63</f>
        <v>kg hazard solid/kg solid releases</v>
      </c>
      <c r="J101" s="55">
        <f>'V. Environmental'!N63</f>
        <v>0</v>
      </c>
      <c r="K101" s="55">
        <f>'V. Environmental'!P63</f>
        <v>1</v>
      </c>
      <c r="L101" s="51" t="str">
        <f>'V. Environmental'!R63</f>
        <v/>
      </c>
    </row>
    <row r="102" ht="38.25" customHeight="true" x14ac:dyDescent="0.25">
      <c r="C102" s="1">
        <f>'V. Environmental'!D64</f>
        <v>59</v>
      </c>
      <c r="D102" s="1742" t="str">
        <f>'V. Environmental'!E64</f>
        <v>Total hazardous solid waste disposal</v>
      </c>
      <c r="E102" s="1742"/>
      <c r="F102" s="1742"/>
      <c r="G102" s="53" t="str">
        <f>'V. Environmental'!H64</f>
        <v>59. ms, haz.</v>
      </c>
      <c r="H102" s="55">
        <f>'V. Environmental'!K64</f>
        <v>0</v>
      </c>
      <c r="I102" s="533" t="str">
        <f>'V. Environmental'!M64</f>
        <v>kg hazardous solid releases</v>
      </c>
      <c r="J102" s="55">
        <f>'V. Environmental'!N64</f>
        <v>0</v>
      </c>
      <c r="K102" s="55">
        <f>'V. Environmental'!P64</f>
        <v>0</v>
      </c>
      <c r="L102" s="51" t="str">
        <f>'V. Environmental'!R64</f>
        <v/>
      </c>
    </row>
    <row r="103" ht="38.25" customHeight="true" x14ac:dyDescent="0.25">
      <c r="C103" s="1">
        <f>'V. Environmental'!D65</f>
        <v>60</v>
      </c>
      <c r="D103" s="1742" t="str">
        <f>'V. Environmental'!E65</f>
        <v>Specific hazardous solid waste</v>
      </c>
      <c r="E103" s="1742"/>
      <c r="F103" s="1742"/>
      <c r="G103" s="53" t="str">
        <f>'V. Environmental'!H65</f>
        <v>60. ms, haz. spec.</v>
      </c>
      <c r="H103" s="55">
        <f>'V. Environmental'!K65</f>
        <v>0</v>
      </c>
      <c r="I103" s="533" t="str">
        <f>'V. Environmental'!M65</f>
        <v>kg non-hazard solid/kg prod</v>
      </c>
      <c r="J103" s="55">
        <f>'V. Environmental'!N65</f>
        <v>0</v>
      </c>
      <c r="K103" s="55">
        <f>'V. Environmental'!P65</f>
        <v>0</v>
      </c>
      <c r="L103" s="51" t="str">
        <f>'V. Environmental'!R65</f>
        <v/>
      </c>
    </row>
    <row r="104" ht="38.25" customHeight="true" x14ac:dyDescent="0.25">
      <c r="C104" s="1">
        <f>'V. Environmental'!D66</f>
        <v>61</v>
      </c>
      <c r="D104" s="1742" t="str">
        <f>'V. Environmental'!E66</f>
        <v>Total non-hazardous solid waste disposal</v>
      </c>
      <c r="E104" s="1742"/>
      <c r="F104" s="1742"/>
      <c r="G104" s="53" t="str">
        <f>'V. Environmental'!H66</f>
        <v>61. ms,n-haz.</v>
      </c>
      <c r="H104" s="55">
        <f>'V. Environmental'!K66</f>
        <v>0</v>
      </c>
      <c r="I104" s="533" t="str">
        <f>'V. Environmental'!M66</f>
        <v>kg non-hazardous solid</v>
      </c>
      <c r="J104" s="55">
        <f>'V. Environmental'!N66</f>
        <v>0</v>
      </c>
      <c r="K104" s="55">
        <f>'V. Environmental'!P66</f>
        <v>0</v>
      </c>
      <c r="L104" s="51" t="str">
        <f>'V. Environmental'!R66</f>
        <v/>
      </c>
    </row>
    <row r="105" ht="38.25" customHeight="true" x14ac:dyDescent="0.25">
      <c r="C105" s="1">
        <f>'V. Environmental'!D67</f>
        <v>62</v>
      </c>
      <c r="D105" s="1742" t="str">
        <f>'V. Environmental'!E67</f>
        <v>Non-hazardous solid waste intensity</v>
      </c>
      <c r="E105" s="1742"/>
      <c r="F105" s="1742"/>
      <c r="G105" s="53" t="str">
        <f>'V. Environmental'!H67</f>
        <v>62. ms, n-haz.spec. </v>
      </c>
      <c r="H105" s="55">
        <f>'V. Environmental'!K67</f>
        <v>0</v>
      </c>
      <c r="I105" s="533" t="str">
        <f>'V. Environmental'!M67</f>
        <v>kg non-hazardous solid/$</v>
      </c>
      <c r="J105" s="55">
        <f>'V. Environmental'!N67</f>
        <v>0</v>
      </c>
      <c r="K105" s="55">
        <f>'V. Environmental'!P67</f>
        <v>0</v>
      </c>
      <c r="L105" s="51" t="str">
        <f>'V. Environmental'!R67</f>
        <v/>
      </c>
    </row>
    <row r="106" ht="38.25" customHeight="true" x14ac:dyDescent="0.25">
      <c r="C106" s="1">
        <f>'V. Environmental'!D68</f>
        <v>63</v>
      </c>
      <c r="D106" s="1742" t="str">
        <f>'V. Environmental'!E68</f>
        <v>Total volume of liquid waste</v>
      </c>
      <c r="E106" s="1742"/>
      <c r="F106" s="1742"/>
      <c r="G106" s="53" t="str">
        <f>'V. Environmental'!H68</f>
        <v>63. Vl, tot.</v>
      </c>
      <c r="H106" s="55">
        <f>'V. Environmental'!K68</f>
        <v>0</v>
      </c>
      <c r="I106" s="533" t="str">
        <f>'V. Environmental'!M68</f>
        <v>m^3/h</v>
      </c>
      <c r="J106" s="55">
        <f>'V. Environmental'!N68</f>
        <v>0</v>
      </c>
      <c r="K106" s="55">
        <f>'V. Environmental'!P68</f>
        <v>1656.8929704280156</v>
      </c>
      <c r="L106" s="51">
        <f>'V. Environmental'!R68</f>
        <v>100</v>
      </c>
    </row>
    <row r="107" ht="38.25" customHeight="true" x14ac:dyDescent="0.25">
      <c r="C107" s="1">
        <f>'V. Environmental'!D69</f>
        <v>64</v>
      </c>
      <c r="D107" s="1742" t="str">
        <f>'V. Environmental'!E69</f>
        <v>Specific liquid waste volume</v>
      </c>
      <c r="E107" s="1742"/>
      <c r="F107" s="1742"/>
      <c r="G107" s="53" t="str">
        <f>'V. Environmental'!H69</f>
        <v>64. Vl, spec. </v>
      </c>
      <c r="H107" s="55">
        <f>'V. Environmental'!K69</f>
        <v>0</v>
      </c>
      <c r="I107" s="533" t="str">
        <f>'V. Environmental'!M69</f>
        <v>m^3/kg prod</v>
      </c>
      <c r="J107" s="55">
        <f>'V. Environmental'!N69</f>
        <v>0</v>
      </c>
      <c r="K107" s="55">
        <f>'V. Environmental'!P69</f>
        <v>0.36721795610425445</v>
      </c>
      <c r="L107" s="51">
        <f>'V. Environmental'!R69</f>
        <v>100</v>
      </c>
    </row>
    <row r="108" ht="38.25" customHeight="true" x14ac:dyDescent="0.25">
      <c r="C108" s="1">
        <f>'V. Environmental'!D70</f>
        <v>65</v>
      </c>
      <c r="D108" s="1742" t="str">
        <f>'V. Environmental'!E70</f>
        <v>Non-polluted  liquid waste volume</v>
      </c>
      <c r="E108" s="1742"/>
      <c r="F108" s="1742"/>
      <c r="G108" s="53" t="str">
        <f>'V. Environmental'!H70</f>
        <v>65. Vl, non-poll.</v>
      </c>
      <c r="H108" s="55">
        <f>'V. Environmental'!K70</f>
        <v>0</v>
      </c>
      <c r="I108" s="533" t="str">
        <f>'V. Environmental'!M70</f>
        <v>m^3</v>
      </c>
      <c r="J108" s="55">
        <f>'V. Environmental'!N70</f>
        <v>0</v>
      </c>
      <c r="K108" s="55">
        <f>'V. Environmental'!P70</f>
        <v>0</v>
      </c>
      <c r="L108" s="51" t="str">
        <f>'V. Environmental'!R70</f>
        <v/>
      </c>
    </row>
    <row r="109" ht="38.25" customHeight="true" thickBot="true" x14ac:dyDescent="0.3">
      <c r="C109" s="4">
        <f>'V. Environmental'!D71</f>
        <v>66</v>
      </c>
      <c r="D109" s="2016" t="str">
        <f>'V. Environmental'!E71</f>
        <v>Polluted  liquid waste volume</v>
      </c>
      <c r="E109" s="2016"/>
      <c r="F109" s="2016"/>
      <c r="G109" s="54" t="str">
        <f>'V. Environmental'!H71</f>
        <v>66. Vl, poll.</v>
      </c>
      <c r="H109" s="3">
        <f>'V. Environmental'!K71</f>
        <v>0</v>
      </c>
      <c r="I109" s="534" t="str">
        <f>'V. Environmental'!M71</f>
        <v>m^3</v>
      </c>
      <c r="J109" s="3">
        <f>'V. Environmental'!N71</f>
        <v>0</v>
      </c>
      <c r="K109" s="3">
        <f>'V. Environmental'!P71</f>
        <v>0</v>
      </c>
      <c r="L109" s="52" t="str">
        <f>'V. Environmental'!R71</f>
        <v/>
      </c>
    </row>
    <row r="184" ht="24.6" x14ac:dyDescent="0.4">
      <c r="C184" s="2017" t="s">
        <v>2225</v>
      </c>
      <c r="D184" s="2017"/>
      <c r="E184" s="2017"/>
      <c r="F184" s="2017"/>
      <c r="G184" s="2017"/>
    </row>
    <row r="185" ht="16.2" thickBot="true" x14ac:dyDescent="0.35">
      <c r="D185" s="2018"/>
      <c r="E185" s="2018"/>
      <c r="F185" s="2018"/>
      <c r="G185" s="887"/>
      <c r="H185" s="887"/>
      <c r="I185" s="887"/>
      <c r="J185" s="887"/>
      <c r="K185" s="887"/>
      <c r="L185" s="887"/>
    </row>
    <row r="186" ht="15.6" x14ac:dyDescent="0.3">
      <c r="C186" s="48"/>
      <c r="D186" s="2015" t="s">
        <v>24</v>
      </c>
      <c r="E186" s="2015"/>
      <c r="F186" s="2015"/>
      <c r="G186" s="49" t="s">
        <v>44</v>
      </c>
      <c r="H186" s="49" t="s">
        <v>29</v>
      </c>
      <c r="I186" s="49" t="s">
        <v>31</v>
      </c>
      <c r="J186" s="49" t="s">
        <v>73</v>
      </c>
      <c r="K186" s="49" t="s">
        <v>74</v>
      </c>
      <c r="L186" s="50" t="s">
        <v>97</v>
      </c>
    </row>
    <row r="187" ht="24" customHeight="true" x14ac:dyDescent="0.25">
      <c r="C187" s="1">
        <f>'VI. Energy'!D6</f>
        <v>1</v>
      </c>
      <c r="D187" s="1742" t="str">
        <f>'VI. Energy'!E6</f>
        <v>Total energy consumption</v>
      </c>
      <c r="E187" s="1742"/>
      <c r="F187" s="1742"/>
      <c r="G187" s="55" t="str">
        <f>'VI. Energy'!F6</f>
        <v>1. Etotal</v>
      </c>
      <c r="H187" s="55">
        <f>'VI. Energy'!I6</f>
        <v>0</v>
      </c>
      <c r="I187" s="533" t="str">
        <f>'VI. Energy'!K6</f>
        <v>MJ/h</v>
      </c>
      <c r="J187" s="533">
        <f>'VI. Energy'!L6</f>
        <v>4916954.2417169847</v>
      </c>
      <c r="K187" s="533">
        <f>'VI. Energy'!N6</f>
        <v>49169542.417169847</v>
      </c>
      <c r="L187" s="56">
        <f>'VI. Energy'!P6</f>
        <v>100</v>
      </c>
    </row>
    <row r="188" ht="24" customHeight="true" x14ac:dyDescent="0.25">
      <c r="C188" s="1">
        <f>'VI. Energy'!D7</f>
        <v>2</v>
      </c>
      <c r="D188" s="1742" t="str">
        <f>'VI. Energy'!E7</f>
        <v>Specific energy intensity</v>
      </c>
      <c r="E188" s="1742"/>
      <c r="F188" s="1742"/>
      <c r="G188" s="55" t="str">
        <f>'VI. Energy'!F7</f>
        <v>2. RSEI</v>
      </c>
      <c r="H188" s="55">
        <f>'VI. Energy'!I7</f>
        <v>0</v>
      </c>
      <c r="I188" s="533" t="str">
        <f>'VI. Energy'!K7</f>
        <v>MJ/kg </v>
      </c>
      <c r="J188" s="533">
        <f>'VI. Energy'!L7</f>
        <v>0</v>
      </c>
      <c r="K188" s="533">
        <f>'VI. Energy'!N7</f>
        <v>1949</v>
      </c>
      <c r="L188" s="56">
        <f>'VI. Energy'!P7</f>
        <v>100</v>
      </c>
    </row>
    <row r="189" ht="24" customHeight="true" x14ac:dyDescent="0.25">
      <c r="C189" s="1">
        <f>'VI. Energy'!D8</f>
        <v>3</v>
      </c>
      <c r="D189" s="1742" t="str">
        <f>'VI. Energy'!E8</f>
        <v>Energy intensity</v>
      </c>
      <c r="E189" s="1742"/>
      <c r="F189" s="1742"/>
      <c r="G189" s="55" t="str">
        <f>'VI. Energy'!F8</f>
        <v>3. REI</v>
      </c>
      <c r="H189" s="55">
        <f>'VI. Energy'!I8</f>
        <v>0</v>
      </c>
      <c r="I189" s="533" t="str">
        <f>'VI. Energy'!K8</f>
        <v>MJ/$</v>
      </c>
      <c r="J189" s="533">
        <f>'VI. Energy'!L8</f>
        <v>0</v>
      </c>
      <c r="K189" s="533">
        <f>'VI. Energy'!N8</f>
        <v>37.299999999999997</v>
      </c>
      <c r="L189" s="56">
        <f>'VI. Energy'!P8</f>
        <v>100</v>
      </c>
    </row>
    <row r="190" ht="24" customHeight="true" x14ac:dyDescent="0.25">
      <c r="C190" s="1">
        <f>'VI. Energy'!D9</f>
        <v>4</v>
      </c>
      <c r="D190" s="1742" t="str">
        <f>'VI. Energy'!E9</f>
        <v>Waste treatment energy</v>
      </c>
      <c r="E190" s="1742"/>
      <c r="F190" s="1742"/>
      <c r="G190" s="55" t="str">
        <f>'VI. Energy'!F9</f>
        <v>4. WTE</v>
      </c>
      <c r="H190" s="55">
        <f>'VI. Energy'!I9</f>
        <v>0</v>
      </c>
      <c r="I190" s="533" t="str">
        <f>'VI. Energy'!K9</f>
        <v>MJ/kg </v>
      </c>
      <c r="J190" s="533">
        <f>'VI. Energy'!L9</f>
        <v>0</v>
      </c>
      <c r="K190" s="533">
        <f>'VI. Energy'!N9</f>
        <v>0</v>
      </c>
      <c r="L190" s="56" t="str">
        <f>'VI. Energy'!P9</f>
        <v/>
      </c>
    </row>
    <row r="191" ht="24" customHeight="true" x14ac:dyDescent="0.25">
      <c r="C191" s="1">
        <f>'VI. Energy'!D10</f>
        <v>5</v>
      </c>
      <c r="D191" s="1742" t="str">
        <f>'VI. Energy'!E10</f>
        <v>Solvent recovery energy</v>
      </c>
      <c r="E191" s="1742"/>
      <c r="F191" s="1742"/>
      <c r="G191" s="55" t="str">
        <f>'VI. Energy'!F10</f>
        <v>5. SRE</v>
      </c>
      <c r="H191" s="55">
        <f>'VI. Energy'!I10</f>
        <v>0</v>
      </c>
      <c r="I191" s="533" t="str">
        <f>'VI. Energy'!K10</f>
        <v>MJ/kg </v>
      </c>
      <c r="J191" s="533">
        <f>'VI. Energy'!L10</f>
        <v>0</v>
      </c>
      <c r="K191" s="533">
        <f>'VI. Energy'!N10</f>
        <v>0</v>
      </c>
      <c r="L191" s="56" t="str">
        <f>'VI. Energy'!P10</f>
        <v/>
      </c>
    </row>
    <row r="192" ht="24" customHeight="true" x14ac:dyDescent="0.25">
      <c r="C192" s="1">
        <f>'VI. Energy'!D11</f>
        <v>6</v>
      </c>
      <c r="D192" s="1742" t="str">
        <f>'VI. Energy'!E11</f>
        <v>Resource-energy efficiency</v>
      </c>
      <c r="E192" s="1742"/>
      <c r="F192" s="1742"/>
      <c r="G192" s="55" t="str">
        <f>'VI. Energy'!F11</f>
        <v>6. ηE</v>
      </c>
      <c r="H192" s="55">
        <f>'VI. Energy'!I11</f>
        <v>0.60076270670767318</v>
      </c>
      <c r="I192" s="533" t="str">
        <f>'VI. Energy'!K11</f>
        <v>fraction</v>
      </c>
      <c r="J192" s="533">
        <f>'VI. Energy'!L11</f>
        <v>1</v>
      </c>
      <c r="K192" s="533">
        <f>'VI. Energy'!N11</f>
        <v>0</v>
      </c>
      <c r="L192" s="56">
        <f>'VI. Energy'!P11</f>
        <v>60.08</v>
      </c>
    </row>
    <row r="193" ht="24" customHeight="true" x14ac:dyDescent="0.25">
      <c r="C193" s="1">
        <f>'VI. Energy'!D12</f>
        <v>7</v>
      </c>
      <c r="D193" s="1742" t="str">
        <f>'VI. Energy'!E12</f>
        <v>Renewability-energy index</v>
      </c>
      <c r="E193" s="1742"/>
      <c r="F193" s="1742"/>
      <c r="G193" s="55" t="str">
        <f>'VI. Energy'!F12</f>
        <v>7. RIE</v>
      </c>
      <c r="H193" s="55" t="str">
        <f>'VI. Energy'!I12</f>
        <v>missing data</v>
      </c>
      <c r="I193" s="533" t="str">
        <f>'VI. Energy'!K12</f>
        <v>fraction</v>
      </c>
      <c r="J193" s="533">
        <f>'VI. Energy'!L12</f>
        <v>1</v>
      </c>
      <c r="K193" s="533">
        <f>'VI. Energy'!N12</f>
        <v>0</v>
      </c>
      <c r="L193" s="56" t="str">
        <f>'VI. Energy'!P12</f>
        <v/>
      </c>
    </row>
    <row r="194" ht="24" customHeight="true" x14ac:dyDescent="0.25">
      <c r="C194" s="1">
        <f>'VI. Energy'!D13</f>
        <v>8</v>
      </c>
      <c r="D194" s="1742" t="str">
        <f>'VI. Energy'!E13</f>
        <v>Breeding-energy factor</v>
      </c>
      <c r="E194" s="1742"/>
      <c r="F194" s="1742"/>
      <c r="G194" s="55" t="str">
        <f>'VI. Energy'!F13</f>
        <v>8. BFE</v>
      </c>
      <c r="H194" s="55">
        <f>'VI. Energy'!I13</f>
        <v>0.60076270670767318</v>
      </c>
      <c r="I194" s="533" t="str">
        <f>'VI. Energy'!K13</f>
        <v>scalar</v>
      </c>
      <c r="J194" s="533">
        <f>'VI. Energy'!L13</f>
        <v>10</v>
      </c>
      <c r="K194" s="533">
        <f>'VI. Energy'!N13</f>
        <v>0</v>
      </c>
      <c r="L194" s="56">
        <f>'VI. Energy'!P13</f>
        <v>6.01</v>
      </c>
    </row>
    <row r="195" ht="24" customHeight="true" x14ac:dyDescent="0.25">
      <c r="C195" s="1">
        <f>'VI. Energy'!D14</f>
        <v>9</v>
      </c>
      <c r="D195" s="1742" t="str">
        <f>'VI. Energy'!E14</f>
        <v>Energy for recycling</v>
      </c>
      <c r="E195" s="1742"/>
      <c r="F195" s="1742"/>
      <c r="G195" s="55" t="str">
        <f>'VI. Energy'!F14</f>
        <v>9. Erecycl.</v>
      </c>
      <c r="H195" s="55">
        <f>'VI. Energy'!I14</f>
        <v>0</v>
      </c>
      <c r="I195" s="533" t="str">
        <f>'VI. Energy'!K14</f>
        <v>MJ/kg </v>
      </c>
      <c r="J195" s="533">
        <f>'VI. Energy'!L14</f>
        <v>0</v>
      </c>
      <c r="K195" s="533">
        <f>'VI. Energy'!N14</f>
        <v>0</v>
      </c>
      <c r="L195" s="56" t="str">
        <f>'VI. Energy'!P14</f>
        <v/>
      </c>
    </row>
    <row r="196" ht="24" customHeight="true" x14ac:dyDescent="0.25">
      <c r="C196" s="1">
        <f>'VI. Energy'!D15</f>
        <v>10</v>
      </c>
      <c r="D196" s="1742" t="str">
        <f>'VI. Energy'!E15</f>
        <v>Exergy consumption</v>
      </c>
      <c r="E196" s="1742"/>
      <c r="F196" s="1742"/>
      <c r="G196" s="55" t="str">
        <f>'VI. Energy'!F15</f>
        <v>10. Extotal</v>
      </c>
      <c r="H196" s="55">
        <f>'VI. Energy'!I15</f>
        <v>-2394498.0436379523</v>
      </c>
      <c r="I196" s="533" t="str">
        <f>'VI. Energy'!K15</f>
        <v>MJ/h</v>
      </c>
      <c r="J196" s="533">
        <f>'VI. Energy'!L15</f>
        <v>0</v>
      </c>
      <c r="K196" s="533">
        <f>'VI. Energy'!N15</f>
        <v>-3827942.2684964458</v>
      </c>
      <c r="L196" s="56">
        <f>'VI. Energy'!P15</f>
        <v>37.450000000000003</v>
      </c>
    </row>
    <row r="197" ht="24" customHeight="true" x14ac:dyDescent="0.25">
      <c r="C197" s="1">
        <f>'VI. Energy'!D16</f>
        <v>11</v>
      </c>
      <c r="D197" s="1742" t="str">
        <f>'VI. Energy'!E16</f>
        <v>Exergy intensity</v>
      </c>
      <c r="E197" s="1742"/>
      <c r="F197" s="1742"/>
      <c r="G197" s="55" t="str">
        <f>'VI. Energy'!F16</f>
        <v>11. REx</v>
      </c>
      <c r="H197" s="55">
        <f>'VI. Energy'!I16</f>
        <v>-1379.08232709349</v>
      </c>
      <c r="I197" s="533" t="str">
        <f>'VI. Energy'!K16</f>
        <v>MJ/kg </v>
      </c>
      <c r="J197" s="533">
        <f>'VI. Energy'!L16</f>
        <v>-848.38861713513359</v>
      </c>
      <c r="K197" s="533">
        <f>'VI. Energy'!N16</f>
        <v>-4241.943085675668</v>
      </c>
      <c r="L197" s="56">
        <f>'VI. Energy'!P16</f>
        <v>84.36</v>
      </c>
    </row>
    <row r="198" ht="24" customHeight="true" x14ac:dyDescent="0.25">
      <c r="C198" s="1">
        <f>'VI. Energy'!D17</f>
        <v>12</v>
      </c>
      <c r="D198" s="1742" t="str">
        <f>'VI. Energy'!E17</f>
        <v>Resource-exergy efficiency</v>
      </c>
      <c r="E198" s="1742"/>
      <c r="F198" s="1742"/>
      <c r="G198" s="55" t="str">
        <f>'VI. Energy'!F17</f>
        <v>12. ηEx</v>
      </c>
      <c r="H198" s="55">
        <f>'VI. Energy'!I17</f>
        <v>0.61518344515600498</v>
      </c>
      <c r="I198" s="533" t="str">
        <f>'VI. Energy'!K17</f>
        <v>fraction</v>
      </c>
      <c r="J198" s="533">
        <f>'VI. Energy'!L17</f>
        <v>1</v>
      </c>
      <c r="K198" s="533">
        <f>'VI. Energy'!N17</f>
        <v>0</v>
      </c>
      <c r="L198" s="56">
        <f>'VI. Energy'!P17</f>
        <v>61.52</v>
      </c>
    </row>
    <row r="199" ht="24" customHeight="true" x14ac:dyDescent="0.25">
      <c r="C199" s="1">
        <f>'VI. Energy'!D18</f>
        <v>13</v>
      </c>
      <c r="D199" s="1742" t="str">
        <f>'VI. Energy'!E18</f>
        <v>Renewability-exergy index</v>
      </c>
      <c r="E199" s="1742"/>
      <c r="F199" s="1742"/>
      <c r="G199" s="55" t="str">
        <f>'VI. Energy'!F18</f>
        <v>13. RIEx</v>
      </c>
      <c r="H199" s="55">
        <f>'VI. Energy'!I18</f>
        <v>0</v>
      </c>
      <c r="I199" s="533" t="str">
        <f>'VI. Energy'!K18</f>
        <v>scalar</v>
      </c>
      <c r="J199" s="533">
        <f>'VI. Energy'!L18</f>
        <v>1</v>
      </c>
      <c r="K199" s="533">
        <f>'VI. Energy'!N18</f>
        <v>0</v>
      </c>
      <c r="L199" s="56">
        <f>'VI. Energy'!P18</f>
        <v>0</v>
      </c>
    </row>
    <row r="200" ht="24" customHeight="true" thickBot="true" x14ac:dyDescent="0.3">
      <c r="C200" s="4">
        <f>'VI. Energy'!D19</f>
        <v>14</v>
      </c>
      <c r="D200" s="2016" t="str">
        <f>'VI. Energy'!E19</f>
        <v>Breeding-exergy factor</v>
      </c>
      <c r="E200" s="2016"/>
      <c r="F200" s="2016"/>
      <c r="G200" s="3" t="str">
        <f>'VI. Energy'!F19</f>
        <v>14. BFEx</v>
      </c>
      <c r="H200" s="3">
        <f>'VI. Energy'!I19</f>
        <v>0.61518344515600498</v>
      </c>
      <c r="I200" s="534" t="str">
        <f>'VI. Energy'!K19</f>
        <v>fraction</v>
      </c>
      <c r="J200" s="534">
        <f>'VI. Energy'!L19</f>
        <v>10</v>
      </c>
      <c r="K200" s="534">
        <f>'VI. Energy'!N19</f>
        <v>0</v>
      </c>
      <c r="L200" s="57">
        <f>'VI. Energy'!P19</f>
        <v>6.15</v>
      </c>
    </row>
    <row r="225" ht="24.6" x14ac:dyDescent="0.4">
      <c r="C225" s="2017" t="s">
        <v>2226</v>
      </c>
      <c r="D225" s="2017"/>
      <c r="E225" s="2017"/>
      <c r="F225" s="2017"/>
      <c r="G225" s="2017"/>
    </row>
    <row r="226" ht="16.2" thickBot="true" x14ac:dyDescent="0.35">
      <c r="D226" s="2018"/>
      <c r="E226" s="2018"/>
      <c r="F226" s="2018"/>
      <c r="G226" s="887"/>
      <c r="H226" s="887"/>
      <c r="I226" s="887"/>
      <c r="J226" s="887"/>
      <c r="K226" s="887"/>
      <c r="L226" s="887"/>
    </row>
    <row r="227" ht="15.6" x14ac:dyDescent="0.3">
      <c r="C227" s="48"/>
      <c r="D227" s="2015" t="s">
        <v>24</v>
      </c>
      <c r="E227" s="2015"/>
      <c r="F227" s="2015"/>
      <c r="G227" s="49" t="s">
        <v>44</v>
      </c>
      <c r="H227" s="49" t="s">
        <v>29</v>
      </c>
      <c r="I227" s="49" t="s">
        <v>31</v>
      </c>
      <c r="J227" s="49" t="s">
        <v>73</v>
      </c>
      <c r="K227" s="49" t="s">
        <v>74</v>
      </c>
      <c r="L227" s="50" t="s">
        <v>97</v>
      </c>
    </row>
    <row r="228" ht="31.5" customHeight="true" x14ac:dyDescent="0.25">
      <c r="C228" s="1">
        <f>'VII. Economic'!D6</f>
        <v>1</v>
      </c>
      <c r="D228" s="1743" t="str">
        <f>'VII. Economic'!E6</f>
        <v>Net present value (worth)</v>
      </c>
      <c r="E228" s="2010"/>
      <c r="F228" s="2011"/>
      <c r="G228" s="53" t="str">
        <f>'VII. Economic'!F6</f>
        <v>1. NPV</v>
      </c>
      <c r="H228" s="55">
        <f>'VII. Economic'!I6</f>
        <v>3.4291443490463092</v>
      </c>
      <c r="I228" s="533" t="str">
        <f>'VII. Economic'!K6</f>
        <v>1x106US $</v>
      </c>
      <c r="J228" s="533">
        <f>'VII. Economic'!L6</f>
        <v>6.138851963141426</v>
      </c>
      <c r="K228" s="533">
        <f>'VII. Economic'!N6</f>
        <v>1.0583253479644816</v>
      </c>
      <c r="L228" s="56">
        <f>'VII. Economic'!P6</f>
        <v>46.66</v>
      </c>
    </row>
    <row r="229" ht="31.5" customHeight="true" x14ac:dyDescent="0.25">
      <c r="C229" s="1">
        <f>'VII. Economic'!D7</f>
        <v>2</v>
      </c>
      <c r="D229" s="1743" t="str">
        <f>'VII. Economic'!E7</f>
        <v>Present value ratio</v>
      </c>
      <c r="E229" s="2010"/>
      <c r="F229" s="2011"/>
      <c r="G229" s="53" t="str">
        <f>'VII. Economic'!F7</f>
        <v>2. PVR</v>
      </c>
      <c r="H229" s="55" t="str">
        <f>'VII. Economic'!I7</f>
        <v>missing data</v>
      </c>
      <c r="I229" s="533" t="str">
        <f>'VII. Economic'!K7</f>
        <v>$/$</v>
      </c>
      <c r="J229" s="533" t="e">
        <f>'VII. Economic'!L7</f>
        <v>#DIV/0!</v>
      </c>
      <c r="K229" s="533">
        <f>'VII. Economic'!N7</f>
        <v>1</v>
      </c>
      <c r="L229" s="56" t="str">
        <f>'VII. Economic'!P7</f>
        <v/>
      </c>
    </row>
    <row r="230" ht="31.5" customHeight="true" x14ac:dyDescent="0.25">
      <c r="C230" s="1">
        <f>'VII. Economic'!D8</f>
        <v>3</v>
      </c>
      <c r="D230" s="1743" t="str">
        <f>'VII. Economic'!E8</f>
        <v>Discounted payback period</v>
      </c>
      <c r="E230" s="2010"/>
      <c r="F230" s="2011"/>
      <c r="G230" s="53" t="str">
        <f>'VII. Economic'!F8</f>
        <v>3. DPBP</v>
      </c>
      <c r="H230" s="55">
        <f>'VII. Economic'!I8</f>
        <v>1</v>
      </c>
      <c r="I230" s="533" t="str">
        <f>'VII. Economic'!K8</f>
        <v>yr</v>
      </c>
      <c r="J230" s="533">
        <f>'VII. Economic'!L8</f>
        <v>1</v>
      </c>
      <c r="K230" s="533">
        <f>'VII. Economic'!N8</f>
        <v>11</v>
      </c>
      <c r="L230" s="56">
        <f>'VII. Economic'!P8</f>
        <v>100</v>
      </c>
    </row>
    <row r="231" ht="31.5" customHeight="true" x14ac:dyDescent="0.25">
      <c r="C231" s="1">
        <f>'VII. Economic'!D9</f>
        <v>4</v>
      </c>
      <c r="D231" s="1743" t="str">
        <f>'VII. Economic'!E9</f>
        <v>Discounted cash flow rate of return</v>
      </c>
      <c r="E231" s="2010"/>
      <c r="F231" s="2011"/>
      <c r="G231" s="53" t="str">
        <f>'VII. Economic'!F9</f>
        <v>4. DCFROR</v>
      </c>
      <c r="H231" s="55">
        <f>'VII. Economic'!I9</f>
        <v>0.66760888923463901</v>
      </c>
      <c r="I231" s="533" t="str">
        <f>'VII. Economic'!K9</f>
        <v>fraction or %</v>
      </c>
      <c r="J231" s="533">
        <f>'VII. Economic'!L9</f>
        <v>0.4</v>
      </c>
      <c r="K231" s="533">
        <f>'VII. Economic'!N9</f>
        <v>0</v>
      </c>
      <c r="L231" s="56">
        <f>'VII. Economic'!P9</f>
        <v>100</v>
      </c>
    </row>
    <row r="232" ht="31.5" customHeight="true" x14ac:dyDescent="0.25">
      <c r="C232" s="1">
        <f>'VII. Economic'!D10</f>
        <v>5</v>
      </c>
      <c r="D232" s="1743" t="str">
        <f>'VII. Economic'!E10</f>
        <v>Capital charge factors</v>
      </c>
      <c r="E232" s="2010"/>
      <c r="F232" s="2011"/>
      <c r="G232" s="53" t="str">
        <f>'VII. Economic'!F10</f>
        <v>5. CCF</v>
      </c>
      <c r="H232" s="55" t="str">
        <f>'VII. Economic'!I10</f>
        <v>missing data</v>
      </c>
      <c r="I232" s="533" t="str">
        <f>'VII. Economic'!K10</f>
        <v>1/yr</v>
      </c>
      <c r="J232" s="533">
        <f>'VII. Economic'!L10</f>
        <v>1</v>
      </c>
      <c r="K232" s="533">
        <f>'VII. Economic'!N10</f>
        <v>0</v>
      </c>
      <c r="L232" s="56" t="str">
        <f>'VII. Economic'!P10</f>
        <v/>
      </c>
    </row>
    <row r="233" ht="31.5" customHeight="true" x14ac:dyDescent="0.25">
      <c r="C233" s="1">
        <f>'VII. Economic'!D11</f>
        <v>6</v>
      </c>
      <c r="D233" s="1743" t="str">
        <f>'VII. Economic'!E11</f>
        <v>(Specific) Economic potential</v>
      </c>
      <c r="E233" s="2010"/>
      <c r="F233" s="2011"/>
      <c r="G233" s="53" t="str">
        <f>'VII. Economic'!F11</f>
        <v>6. EP</v>
      </c>
      <c r="H233" s="55">
        <f>'VII. Economic'!I11</f>
        <v>0.20562645769266549</v>
      </c>
      <c r="I233" s="533" t="str">
        <f>'VII. Economic'!K11</f>
        <v>$/kg product</v>
      </c>
      <c r="J233" s="533">
        <f>'VII. Economic'!L11</f>
        <v>1</v>
      </c>
      <c r="K233" s="533">
        <f>'VII. Economic'!N11</f>
        <v>0</v>
      </c>
      <c r="L233" s="56">
        <f>'VII. Economic'!P11</f>
        <v>20.56</v>
      </c>
    </row>
    <row r="234" ht="31.5" customHeight="true" x14ac:dyDescent="0.25">
      <c r="C234" s="1">
        <f>'VII. Economic'!D12</f>
        <v>7</v>
      </c>
      <c r="D234" s="1743" t="str">
        <f>'VII. Economic'!E12</f>
        <v>Rate of return on investment</v>
      </c>
      <c r="E234" s="2010"/>
      <c r="F234" s="2011"/>
      <c r="G234" s="53" t="str">
        <f>'VII. Economic'!F12</f>
        <v>7. ROI</v>
      </c>
      <c r="H234" s="55" t="str">
        <f>'VII. Economic'!I12</f>
        <v>missing data</v>
      </c>
      <c r="I234" s="533" t="str">
        <f>'VII. Economic'!K12</f>
        <v>fraction or %</v>
      </c>
      <c r="J234" s="533">
        <f>'VII. Economic'!L12</f>
        <v>0.4</v>
      </c>
      <c r="K234" s="533">
        <f>'VII. Economic'!N12</f>
        <v>0</v>
      </c>
      <c r="L234" s="56" t="str">
        <f>'VII. Economic'!P12</f>
        <v/>
      </c>
    </row>
    <row r="235" ht="31.5" customHeight="true" x14ac:dyDescent="0.25">
      <c r="C235" s="1">
        <f>'VII. Economic'!D13</f>
        <v>8</v>
      </c>
      <c r="D235" s="1743" t="str">
        <f>'VII. Economic'!E13</f>
        <v>Payback period</v>
      </c>
      <c r="E235" s="2010"/>
      <c r="F235" s="2011"/>
      <c r="G235" s="53" t="str">
        <f>'VII. Economic'!F13</f>
        <v>8. PBP</v>
      </c>
      <c r="H235" s="55">
        <f>'VII. Economic'!I13</f>
        <v>1</v>
      </c>
      <c r="I235" s="533" t="str">
        <f>'VII. Economic'!K13</f>
        <v>yr</v>
      </c>
      <c r="J235" s="533">
        <f>'VII. Economic'!L13</f>
        <v>1</v>
      </c>
      <c r="K235" s="533">
        <f>'VII. Economic'!N13</f>
        <v>11</v>
      </c>
      <c r="L235" s="56">
        <f>'VII. Economic'!P13</f>
        <v>100</v>
      </c>
    </row>
    <row r="236" ht="31.5" customHeight="true" x14ac:dyDescent="0.25">
      <c r="C236" s="1">
        <f>'VII. Economic'!D14</f>
        <v>9</v>
      </c>
      <c r="D236" s="1743" t="str">
        <f>'VII. Economic'!E14</f>
        <v>Turnover ratio</v>
      </c>
      <c r="E236" s="2010"/>
      <c r="F236" s="2011"/>
      <c r="G236" s="53" t="str">
        <f>'VII. Economic'!F14</f>
        <v>9. TR</v>
      </c>
      <c r="H236" s="55" t="str">
        <f>'VII. Economic'!I14</f>
        <v>missing data</v>
      </c>
      <c r="I236" s="533" t="str">
        <f>'VII. Economic'!K14</f>
        <v>$/$</v>
      </c>
      <c r="J236" s="533">
        <f>'VII. Economic'!L14</f>
        <v>4</v>
      </c>
      <c r="K236" s="533">
        <f>'VII. Economic'!N14</f>
        <v>0.2</v>
      </c>
      <c r="L236" s="56" t="str">
        <f>'VII. Economic'!P14</f>
        <v/>
      </c>
    </row>
    <row r="237" ht="31.5" customHeight="true" x14ac:dyDescent="0.25">
      <c r="C237" s="1">
        <f>'VII. Economic'!D15</f>
        <v>10</v>
      </c>
      <c r="D237" s="1743" t="str">
        <f>'VII. Economic'!E15</f>
        <v>Cumulative cash position</v>
      </c>
      <c r="E237" s="2010"/>
      <c r="F237" s="2011"/>
      <c r="G237" s="53" t="str">
        <f>'VII. Economic'!F15</f>
        <v>10. CCP</v>
      </c>
      <c r="H237" s="55">
        <f>'VII. Economic'!I15</f>
        <v>6.138851963141426</v>
      </c>
      <c r="I237" s="533" t="str">
        <f>'VII. Economic'!K15</f>
        <v>1x106US $</v>
      </c>
      <c r="J237" s="533">
        <f>'VII. Economic'!L15</f>
        <v>0</v>
      </c>
      <c r="K237" s="533">
        <f>'VII. Economic'!N15</f>
        <v>0</v>
      </c>
      <c r="L237" s="56" t="str">
        <f>'VII. Economic'!P15</f>
        <v/>
      </c>
    </row>
    <row r="238" ht="31.5" customHeight="true" x14ac:dyDescent="0.25">
      <c r="C238" s="1">
        <f>'VII. Economic'!D16</f>
        <v>11</v>
      </c>
      <c r="D238" s="1743" t="str">
        <f>'VII. Economic'!E16</f>
        <v>Cumulative cash ratio</v>
      </c>
      <c r="E238" s="2010"/>
      <c r="F238" s="2011"/>
      <c r="G238" s="53" t="str">
        <f>'VII. Economic'!F16</f>
        <v>11. CCR</v>
      </c>
      <c r="H238" s="55" t="str">
        <f>'VII. Economic'!I16</f>
        <v>missing data</v>
      </c>
      <c r="I238" s="533" t="str">
        <f>'VII. Economic'!K16</f>
        <v>$/$</v>
      </c>
      <c r="J238" s="533" t="e">
        <f>'VII. Economic'!L16</f>
        <v>#DIV/0!</v>
      </c>
      <c r="K238" s="533">
        <f>'VII. Economic'!N16</f>
        <v>0</v>
      </c>
      <c r="L238" s="56" t="str">
        <f>'VII. Economic'!P16</f>
        <v/>
      </c>
    </row>
    <row r="239" ht="31.5" customHeight="true" x14ac:dyDescent="0.25">
      <c r="C239" s="1">
        <f>'VII. Economic'!D17</f>
        <v>12</v>
      </c>
      <c r="D239" s="1743" t="str">
        <f>'VII. Economic'!E17</f>
        <v>Net return</v>
      </c>
      <c r="E239" s="2010"/>
      <c r="F239" s="2011"/>
      <c r="G239" s="53" t="str">
        <f>'VII. Economic'!F17</f>
        <v>12. Rn</v>
      </c>
      <c r="H239" s="55">
        <f>'VII. Economic'!I17</f>
        <v>6.138851963141426</v>
      </c>
      <c r="I239" s="533" t="str">
        <f>'VII. Economic'!K17</f>
        <v>1x106US $/yr</v>
      </c>
      <c r="J239" s="533">
        <f>'VII. Economic'!L17</f>
        <v>148.27074738721802</v>
      </c>
      <c r="K239" s="533">
        <f>'VII. Economic'!N17</f>
        <v>0</v>
      </c>
      <c r="L239" s="56">
        <f>'VII. Economic'!P17</f>
        <v>4.1399999999999997</v>
      </c>
    </row>
    <row r="240" ht="31.5" customHeight="true" x14ac:dyDescent="0.25">
      <c r="C240" s="1">
        <f>'VII. Economic'!D18</f>
        <v>13</v>
      </c>
      <c r="D240" s="1743" t="str">
        <f>'VII. Economic'!E18</f>
        <v>Revenues from eco-products</v>
      </c>
      <c r="E240" s="2010"/>
      <c r="F240" s="2011"/>
      <c r="G240" s="53" t="str">
        <f>'VII. Economic'!F18</f>
        <v>13. REV</v>
      </c>
      <c r="H240" s="55">
        <f>'VII. Economic'!I18</f>
        <v>0</v>
      </c>
      <c r="I240" s="533" t="str">
        <f>'VII. Economic'!K18</f>
        <v>1x106US $/yr</v>
      </c>
      <c r="J240" s="533">
        <f>'VII. Economic'!L18</f>
        <v>39.552324545503645</v>
      </c>
      <c r="K240" s="533">
        <f>'VII. Economic'!N18</f>
        <v>0</v>
      </c>
      <c r="L240" s="56">
        <f>'VII. Economic'!P18</f>
        <v>0</v>
      </c>
    </row>
    <row r="241" ht="31.5" customHeight="true" x14ac:dyDescent="0.25">
      <c r="C241" s="1">
        <f>'VII. Economic'!D19</f>
        <v>14</v>
      </c>
      <c r="D241" s="1743" t="str">
        <f>'VII. Economic'!E19</f>
        <v>Revenue fraction of eco-products</v>
      </c>
      <c r="E241" s="2010"/>
      <c r="F241" s="2011"/>
      <c r="G241" s="53" t="str">
        <f>'VII. Economic'!F19</f>
        <v>14. REVeco-prod</v>
      </c>
      <c r="H241" s="55">
        <f>'VII. Economic'!I19</f>
        <v>0</v>
      </c>
      <c r="I241" s="533" t="str">
        <f>'VII. Economic'!K19</f>
        <v>$/$</v>
      </c>
      <c r="J241" s="533">
        <f>'VII. Economic'!L19</f>
        <v>1</v>
      </c>
      <c r="K241" s="533">
        <f>'VII. Economic'!N19</f>
        <v>0</v>
      </c>
      <c r="L241" s="56">
        <f>'VII. Economic'!P19</f>
        <v>0</v>
      </c>
    </row>
    <row r="242" ht="31.5" customHeight="true" x14ac:dyDescent="0.25">
      <c r="C242" s="1">
        <f>'VII. Economic'!D20</f>
        <v>15</v>
      </c>
      <c r="D242" s="1743" t="str">
        <f>'VII. Economic'!E20</f>
        <v>Equivalent annual cost</v>
      </c>
      <c r="E242" s="2010"/>
      <c r="F242" s="2011"/>
      <c r="G242" s="53" t="str">
        <f>'VII. Economic'!F20</f>
        <v>15. Ceq</v>
      </c>
      <c r="H242" s="55">
        <f>'VII. Economic'!I20</f>
        <v>38.675345693626298</v>
      </c>
      <c r="I242" s="533" t="str">
        <f>'VII. Economic'!K20</f>
        <v>1x106US $</v>
      </c>
      <c r="J242" s="533">
        <f>'VII. Economic'!L20</f>
        <v>18.370789204472494</v>
      </c>
      <c r="K242" s="533">
        <f>'VII. Economic'!N20</f>
        <v>81.701667777785545</v>
      </c>
      <c r="L242" s="56">
        <f>'VII. Economic'!P20</f>
        <v>67.94</v>
      </c>
    </row>
    <row r="243" ht="31.5" customHeight="true" x14ac:dyDescent="0.25">
      <c r="C243" s="1">
        <f>'VII. Economic'!D21</f>
        <v>16</v>
      </c>
      <c r="D243" s="1743" t="str">
        <f>'VII. Economic'!E21</f>
        <v>Total product cost</v>
      </c>
      <c r="E243" s="2010"/>
      <c r="F243" s="2011"/>
      <c r="G243" s="53" t="str">
        <f>'VII. Economic'!F21</f>
        <v>16. TPC</v>
      </c>
      <c r="H243" s="55">
        <f>'VII. Economic'!I21</f>
        <v>48.344182117032872</v>
      </c>
      <c r="I243" s="533" t="str">
        <f>'VII. Economic'!K21</f>
        <v>1x106US $/yr</v>
      </c>
      <c r="J243" s="533">
        <f>'VII. Economic'!L21</f>
        <v>25.622416522027425</v>
      </c>
      <c r="K243" s="533">
        <f>'VII. Economic'!N21</f>
        <v>93.787713307043774</v>
      </c>
      <c r="L243" s="56">
        <f>'VII. Economic'!P21</f>
        <v>66.67</v>
      </c>
    </row>
    <row r="244" ht="31.5" customHeight="true" x14ac:dyDescent="0.25">
      <c r="C244" s="1">
        <f>'VII. Economic'!D22</f>
        <v>17</v>
      </c>
      <c r="D244" s="1743" t="str">
        <f>'VII. Economic'!E22</f>
        <v>Production cost</v>
      </c>
      <c r="E244" s="2010"/>
      <c r="F244" s="2011"/>
      <c r="G244" s="53" t="str">
        <f>'VII. Economic'!F22</f>
        <v>17. Epc</v>
      </c>
      <c r="H244" s="55">
        <f>'VII. Economic'!I22</f>
        <v>30.491732433842522</v>
      </c>
      <c r="I244" s="533" t="str">
        <f>'VII. Economic'!K22</f>
        <v>1x106US $/yr</v>
      </c>
      <c r="J244" s="533">
        <f>'VII. Economic'!L22</f>
        <v>9.9589015161087726</v>
      </c>
      <c r="K244" s="533">
        <f>'VII. Economic'!N22</f>
        <v>76.19043101644381</v>
      </c>
      <c r="L244" s="56">
        <f>'VII. Economic'!P22</f>
        <v>69</v>
      </c>
    </row>
    <row r="245" ht="31.5" customHeight="true" x14ac:dyDescent="0.25">
      <c r="C245" s="1">
        <f>'VII. Economic'!D23</f>
        <v>18</v>
      </c>
      <c r="D245" s="1743" t="str">
        <f>'VII. Economic'!E23</f>
        <v>Capital cost</v>
      </c>
      <c r="E245" s="2010"/>
      <c r="F245" s="2011"/>
      <c r="G245" s="53" t="str">
        <f>'VII. Economic'!F23</f>
        <v>18. CTM</v>
      </c>
      <c r="H245" s="55">
        <f>'VII. Economic'!I23</f>
        <v>0</v>
      </c>
      <c r="I245" s="533" t="str">
        <f>'VII. Economic'!K23</f>
        <v>1x106US $/yr</v>
      </c>
      <c r="J245" s="533">
        <f>'VII. Economic'!L23</f>
        <v>0</v>
      </c>
      <c r="K245" s="533">
        <f>'VII. Economic'!N23</f>
        <v>0</v>
      </c>
      <c r="L245" s="56" t="str">
        <f>'VII. Economic'!P23</f>
        <v/>
      </c>
    </row>
    <row r="246" ht="31.5" customHeight="true" x14ac:dyDescent="0.25">
      <c r="C246" s="1">
        <f>'VII. Economic'!D24</f>
        <v>19</v>
      </c>
      <c r="D246" s="1743" t="str">
        <f>'VII. Economic'!E24</f>
        <v>Manufacturing cost</v>
      </c>
      <c r="E246" s="2010"/>
      <c r="F246" s="2011"/>
      <c r="G246" s="53" t="str">
        <f>'VII. Economic'!F24</f>
        <v>19. COM</v>
      </c>
      <c r="H246" s="55">
        <f>'VII. Economic'!I24</f>
        <v>38.675345693626298</v>
      </c>
      <c r="I246" s="533" t="str">
        <f>'VII. Economic'!K24</f>
        <v>1x106US $/yr</v>
      </c>
      <c r="J246" s="533">
        <f>'VII. Economic'!L24</f>
        <v>18.370789204472494</v>
      </c>
      <c r="K246" s="533">
        <f>'VII. Economic'!N24</f>
        <v>81.701667777785545</v>
      </c>
      <c r="L246" s="56">
        <f>'VII. Economic'!P24</f>
        <v>67.94</v>
      </c>
    </row>
    <row r="247" ht="31.5" customHeight="true" x14ac:dyDescent="0.25">
      <c r="C247" s="1">
        <f>'VII. Economic'!D25</f>
        <v>20</v>
      </c>
      <c r="D247" s="1743" t="str">
        <f>'VII. Economic'!E25</f>
        <v>Specific raw material cost</v>
      </c>
      <c r="E247" s="2010"/>
      <c r="F247" s="2011"/>
      <c r="G247" s="53" t="str">
        <f>'VII. Economic'!F25</f>
        <v>20. CSRM</v>
      </c>
      <c r="H247" s="55">
        <f>'VII. Economic'!I25</f>
        <v>0.75119198619187466</v>
      </c>
      <c r="I247" s="533" t="str">
        <f>'VII. Economic'!K25</f>
        <v>US $/ mass of product</v>
      </c>
      <c r="J247" s="533">
        <f>'VII. Economic'!L25</f>
        <v>0.12222842190075195</v>
      </c>
      <c r="K247" s="533">
        <f>'VII. Economic'!N25</f>
        <v>0.97782737520601559</v>
      </c>
      <c r="L247" s="56">
        <f>'VII. Economic'!P25</f>
        <v>26.49</v>
      </c>
    </row>
    <row r="248" ht="31.5" customHeight="true" x14ac:dyDescent="0.25">
      <c r="C248" s="1">
        <f>'VII. Economic'!D26</f>
        <v>21</v>
      </c>
      <c r="D248" s="1743" t="str">
        <f>'VII. Economic'!E26</f>
        <v>Total material cost</v>
      </c>
      <c r="E248" s="2010"/>
      <c r="F248" s="2011"/>
      <c r="G248" s="53" t="str">
        <f>'VII. Economic'!F26</f>
        <v>21. Cmat, tot.</v>
      </c>
      <c r="H248" s="55">
        <f>'VII. Economic'!I26</f>
        <v>29.711389233842521</v>
      </c>
      <c r="I248" s="533" t="str">
        <f>'VII. Economic'!K26</f>
        <v>1x106US $/ yr</v>
      </c>
      <c r="J248" s="533">
        <f>'VII. Economic'!L26</f>
        <v>4.8344182117032872</v>
      </c>
      <c r="K248" s="533">
        <f>'VII. Economic'!N26</f>
        <v>38.675345693626298</v>
      </c>
      <c r="L248" s="56">
        <f>'VII. Economic'!P26</f>
        <v>26.49</v>
      </c>
    </row>
    <row r="249" ht="31.5" customHeight="true" x14ac:dyDescent="0.25">
      <c r="C249" s="1">
        <f>'VII. Economic'!D27</f>
        <v>22</v>
      </c>
      <c r="D249" s="1743" t="str">
        <f>'VII. Economic'!E27</f>
        <v>Total energy cost</v>
      </c>
      <c r="E249" s="2010"/>
      <c r="F249" s="2011"/>
      <c r="G249" s="53" t="str">
        <f>'VII. Economic'!F27</f>
        <v>22. CE, tot.</v>
      </c>
      <c r="H249" s="55">
        <f>'VII. Economic'!I27</f>
        <v>0</v>
      </c>
      <c r="I249" s="533" t="str">
        <f>'VII. Economic'!K27</f>
        <v>1x106US $/ yr</v>
      </c>
      <c r="J249" s="533">
        <f>'VII. Economic'!L27</f>
        <v>74.135475918572666</v>
      </c>
      <c r="K249" s="533">
        <f>'VII. Economic'!N27</f>
        <v>7241.1395083257039</v>
      </c>
      <c r="L249" s="56">
        <f>'VII. Economic'!P27</f>
        <v>100</v>
      </c>
    </row>
    <row r="250" ht="31.5" customHeight="true" x14ac:dyDescent="0.25">
      <c r="C250" s="1">
        <f>'VII. Economic'!D28</f>
        <v>23</v>
      </c>
      <c r="D250" s="1743" t="str">
        <f>'VII. Economic'!E28</f>
        <v>Specific energy cost</v>
      </c>
      <c r="E250" s="2010"/>
      <c r="F250" s="2011"/>
      <c r="G250" s="53" t="str">
        <f>'VII. Economic'!F28</f>
        <v>23. CE, spec.</v>
      </c>
      <c r="H250" s="55">
        <f>'VII. Economic'!I28</f>
        <v>0</v>
      </c>
      <c r="I250" s="533" t="str">
        <f>'VII. Economic'!K28</f>
        <v>$/$</v>
      </c>
      <c r="J250" s="533">
        <f>'VII. Economic'!L28</f>
        <v>2.8933834501846802</v>
      </c>
      <c r="K250" s="533">
        <f>'VII. Economic'!N28</f>
        <v>77.207762648179099</v>
      </c>
      <c r="L250" s="56">
        <f>'VII. Economic'!P28</f>
        <v>100</v>
      </c>
    </row>
    <row r="251" ht="31.5" customHeight="true" x14ac:dyDescent="0.25">
      <c r="C251" s="1">
        <f>'VII. Economic'!D29</f>
        <v>24</v>
      </c>
      <c r="D251" s="1743" t="str">
        <f>'VII. Economic'!E29</f>
        <v>Average cost of energy source</v>
      </c>
      <c r="E251" s="2010"/>
      <c r="F251" s="2011"/>
      <c r="G251" s="53" t="str">
        <f>'VII. Economic'!F29</f>
        <v>24. CE, source</v>
      </c>
      <c r="H251" s="55" t="str">
        <f>'VII. Economic'!I29</f>
        <v>missing data</v>
      </c>
      <c r="I251" s="533" t="str">
        <f>'VII. Economic'!K29</f>
        <v>US $/ MJ</v>
      </c>
      <c r="J251" s="533">
        <f>'VII. Economic'!L29</f>
        <v>1.72E-3</v>
      </c>
      <c r="K251" s="533">
        <f>'VII. Economic'!N29</f>
        <v>1.6800000000000002E-2</v>
      </c>
      <c r="L251" s="56" t="str">
        <f>'VII. Economic'!P29</f>
        <v/>
      </c>
    </row>
    <row r="252" ht="31.5" customHeight="true" x14ac:dyDescent="0.25">
      <c r="C252" s="1">
        <f>'VII. Economic'!D30</f>
        <v>25</v>
      </c>
      <c r="D252" s="1743" t="str">
        <f>'VII. Economic'!E30</f>
        <v>Total water cost</v>
      </c>
      <c r="E252" s="2010"/>
      <c r="F252" s="2011"/>
      <c r="G252" s="53" t="str">
        <f>'VII. Economic'!F30</f>
        <v>25. Cwater tot.</v>
      </c>
      <c r="H252" s="55">
        <f>'VII. Economic'!I30</f>
        <v>0</v>
      </c>
      <c r="I252" s="533" t="str">
        <f>'VII. Economic'!K30</f>
        <v>US $/ yr</v>
      </c>
      <c r="J252" s="533">
        <f>'VII. Economic'!L30</f>
        <v>0</v>
      </c>
      <c r="K252" s="533">
        <f>'VII. Economic'!N30</f>
        <v>0</v>
      </c>
      <c r="L252" s="56" t="str">
        <f>'VII. Economic'!P30</f>
        <v/>
      </c>
    </row>
    <row r="253" ht="31.5" customHeight="true" x14ac:dyDescent="0.25">
      <c r="C253" s="1">
        <f>'VII. Economic'!D31</f>
        <v>26</v>
      </c>
      <c r="D253" s="1743" t="str">
        <f>'VII. Economic'!E31</f>
        <v>Water cost fraction</v>
      </c>
      <c r="E253" s="2010"/>
      <c r="F253" s="2011"/>
      <c r="G253" s="53" t="str">
        <f>'VII. Economic'!F31</f>
        <v>26. Cwater spec.</v>
      </c>
      <c r="H253" s="55">
        <f>'VII. Economic'!I31</f>
        <v>0</v>
      </c>
      <c r="I253" s="533" t="str">
        <f>'VII. Economic'!K31</f>
        <v>$/$</v>
      </c>
      <c r="J253" s="533">
        <f>'VII. Economic'!L31</f>
        <v>0</v>
      </c>
      <c r="K253" s="533">
        <f>'VII. Economic'!N31</f>
        <v>0</v>
      </c>
      <c r="L253" s="56" t="str">
        <f>'VII. Economic'!P31</f>
        <v/>
      </c>
    </row>
    <row r="254" ht="31.5" customHeight="true" x14ac:dyDescent="0.25">
      <c r="C254" s="1">
        <f>'VII. Economic'!D32</f>
        <v>27</v>
      </c>
      <c r="D254" s="1743" t="str">
        <f>'VII. Economic'!E32</f>
        <v>Average volume water type cost</v>
      </c>
      <c r="E254" s="2010"/>
      <c r="F254" s="2011"/>
      <c r="G254" s="53" t="str">
        <f>'VII. Economic'!F32</f>
        <v>27.Cwater type</v>
      </c>
      <c r="H254" s="55" t="str">
        <f>'VII. Economic'!I32</f>
        <v>missing data</v>
      </c>
      <c r="I254" s="533" t="str">
        <f>'VII. Economic'!K32</f>
        <v>US $/ m^3 water</v>
      </c>
      <c r="J254" s="533">
        <f>'VII. Economic'!L32</f>
        <v>6.7000000000000004E-2</v>
      </c>
      <c r="K254" s="533">
        <f>'VII. Economic'!N32</f>
        <v>1</v>
      </c>
      <c r="L254" s="56" t="str">
        <f>'VII. Economic'!P32</f>
        <v/>
      </c>
    </row>
    <row r="255" ht="31.5" customHeight="true" x14ac:dyDescent="0.25">
      <c r="C255" s="1">
        <f>'VII. Economic'!D33</f>
        <v>28</v>
      </c>
      <c r="D255" s="1743" t="str">
        <f>'VII. Economic'!E33</f>
        <v>Total solid waste cost</v>
      </c>
      <c r="E255" s="2010"/>
      <c r="F255" s="2011"/>
      <c r="G255" s="53" t="str">
        <f>'VII. Economic'!F33</f>
        <v>28. Cs tot.</v>
      </c>
      <c r="H255" s="55">
        <f>'VII. Economic'!I33</f>
        <v>0</v>
      </c>
      <c r="I255" s="533" t="str">
        <f>'VII. Economic'!K33</f>
        <v>1x106US $/ yr</v>
      </c>
      <c r="J255" s="533">
        <f>'VII. Economic'!L33</f>
        <v>0</v>
      </c>
      <c r="K255" s="533">
        <f>'VII. Economic'!N33</f>
        <v>0</v>
      </c>
      <c r="L255" s="56" t="str">
        <f>'VII. Economic'!P33</f>
        <v/>
      </c>
    </row>
    <row r="256" ht="31.5" customHeight="true" x14ac:dyDescent="0.25">
      <c r="C256" s="1">
        <f>'VII. Economic'!D34</f>
        <v>29</v>
      </c>
      <c r="D256" s="1743" t="str">
        <f>'VII. Economic'!E34</f>
        <v>Solid waste cost fraction</v>
      </c>
      <c r="E256" s="2010"/>
      <c r="F256" s="2011"/>
      <c r="G256" s="53" t="str">
        <f>'VII. Economic'!F34</f>
        <v>29. Cs, spec.</v>
      </c>
      <c r="H256" s="55">
        <f>'VII. Economic'!I34</f>
        <v>0</v>
      </c>
      <c r="I256" s="533" t="str">
        <f>'VII. Economic'!K34</f>
        <v>$/$</v>
      </c>
      <c r="J256" s="533">
        <f>'VII. Economic'!L34</f>
        <v>0</v>
      </c>
      <c r="K256" s="533">
        <f>'VII. Economic'!N34</f>
        <v>0</v>
      </c>
      <c r="L256" s="56" t="str">
        <f>'VII. Economic'!P34</f>
        <v/>
      </c>
    </row>
    <row r="257" ht="31.5" customHeight="true" x14ac:dyDescent="0.25">
      <c r="C257" s="1">
        <f>'VII. Economic'!D35</f>
        <v>30</v>
      </c>
      <c r="D257" s="1743" t="str">
        <f>'VII. Economic'!E35</f>
        <v>Total liquid waste cost</v>
      </c>
      <c r="E257" s="2010"/>
      <c r="F257" s="2011"/>
      <c r="G257" s="53" t="str">
        <f>'VII. Economic'!F35</f>
        <v>30. Cl tot.</v>
      </c>
      <c r="H257" s="55">
        <f>'VII. Economic'!I35</f>
        <v>0</v>
      </c>
      <c r="I257" s="533" t="str">
        <f>'VII. Economic'!K35</f>
        <v>1x106US $/ yr</v>
      </c>
      <c r="J257" s="533">
        <f>'VII. Economic'!L35</f>
        <v>0</v>
      </c>
      <c r="K257" s="533">
        <f>'VII. Economic'!N35</f>
        <v>0</v>
      </c>
      <c r="L257" s="56" t="str">
        <f>'VII. Economic'!P35</f>
        <v/>
      </c>
    </row>
    <row r="258" ht="31.5" customHeight="true" x14ac:dyDescent="0.25">
      <c r="C258" s="1">
        <f>'VII. Economic'!D36</f>
        <v>31</v>
      </c>
      <c r="D258" s="1743" t="str">
        <f>'VII. Economic'!E36</f>
        <v>Liquid waste cost fraction</v>
      </c>
      <c r="E258" s="2010"/>
      <c r="F258" s="2011"/>
      <c r="G258" s="53" t="str">
        <f>'VII. Economic'!F36</f>
        <v>31. Cl, spec.</v>
      </c>
      <c r="H258" s="55">
        <f>'VII. Economic'!I36</f>
        <v>0</v>
      </c>
      <c r="I258" s="533" t="str">
        <f>'VII. Economic'!K36</f>
        <v>$/$</v>
      </c>
      <c r="J258" s="533">
        <f>'VII. Economic'!L36</f>
        <v>0</v>
      </c>
      <c r="K258" s="533">
        <f>'VII. Economic'!N36</f>
        <v>0</v>
      </c>
      <c r="L258" s="56" t="str">
        <f>'VII. Economic'!P36</f>
        <v/>
      </c>
    </row>
    <row r="259" ht="31.5" customHeight="true" x14ac:dyDescent="0.25">
      <c r="C259" s="1">
        <f>'VII. Economic'!D37</f>
        <v>32</v>
      </c>
      <c r="D259" s="1743" t="str">
        <f>'VII. Economic'!E37</f>
        <v>Costs of purifying air</v>
      </c>
      <c r="E259" s="2010"/>
      <c r="F259" s="2011"/>
      <c r="G259" s="53" t="str">
        <f>'VII. Economic'!F37</f>
        <v>32. Cpur. air</v>
      </c>
      <c r="H259" s="55">
        <f>'VII. Economic'!I37</f>
        <v>0</v>
      </c>
      <c r="I259" s="533" t="str">
        <f>'VII. Economic'!K37</f>
        <v>1x106US $/ yr</v>
      </c>
      <c r="J259" s="533">
        <f>'VII. Economic'!L37</f>
        <v>0</v>
      </c>
      <c r="K259" s="533">
        <f>'VII. Economic'!N37</f>
        <v>0</v>
      </c>
      <c r="L259" s="56" t="str">
        <f>'VII. Economic'!P37</f>
        <v/>
      </c>
    </row>
    <row r="260" ht="31.5" customHeight="true" thickBot="true" x14ac:dyDescent="0.3">
      <c r="C260" s="4">
        <f>'VII. Economic'!D38</f>
        <v>33</v>
      </c>
      <c r="D260" s="2012" t="str">
        <f>'VII. Economic'!E38</f>
        <v>Fractional costs of purifying air</v>
      </c>
      <c r="E260" s="2013"/>
      <c r="F260" s="2014"/>
      <c r="G260" s="54" t="str">
        <f>'VII. Economic'!F38</f>
        <v>33. Cpur. air fract.</v>
      </c>
      <c r="H260" s="3">
        <f>'VII. Economic'!I38</f>
        <v>0</v>
      </c>
      <c r="I260" s="534" t="str">
        <f>'VII. Economic'!K38</f>
        <v>$/$</v>
      </c>
      <c r="J260" s="534">
        <f>'VII. Economic'!L38</f>
        <v>0</v>
      </c>
      <c r="K260" s="534">
        <f>'VII. Economic'!N38</f>
        <v>2.4E-2</v>
      </c>
      <c r="L260" s="57">
        <f>'VII. Economic'!P38</f>
        <v>100</v>
      </c>
    </row>
  </sheetData>
  <sheetProtection sheet="true" objects="true" scenarios="true"/>
  <mergeCells count="151">
    <mergeCell ref="C3:G3"/>
    <mergeCell ref="D5:F5"/>
    <mergeCell ref="C41:G41"/>
    <mergeCell ref="D42:F42"/>
    <mergeCell ref="D43:F43"/>
    <mergeCell ref="D10:F10"/>
    <mergeCell ref="D4:F4"/>
    <mergeCell ref="D6:F6"/>
    <mergeCell ref="D7:F7"/>
    <mergeCell ref="D8:F8"/>
    <mergeCell ref="D9:F9"/>
    <mergeCell ref="D22:F22"/>
    <mergeCell ref="D11:F11"/>
    <mergeCell ref="D12:F12"/>
    <mergeCell ref="D13:F13"/>
    <mergeCell ref="D14:F14"/>
    <mergeCell ref="D15:F15"/>
    <mergeCell ref="D16:F16"/>
    <mergeCell ref="D17:F17"/>
    <mergeCell ref="D18:F18"/>
    <mergeCell ref="D19:F19"/>
    <mergeCell ref="D20:F20"/>
    <mergeCell ref="D21:F21"/>
    <mergeCell ref="D29:F29"/>
    <mergeCell ref="D30:F30"/>
    <mergeCell ref="D31:F31"/>
    <mergeCell ref="D23:F23"/>
    <mergeCell ref="D24:F24"/>
    <mergeCell ref="D49:F49"/>
    <mergeCell ref="D25:F25"/>
    <mergeCell ref="D26:F26"/>
    <mergeCell ref="D27:F27"/>
    <mergeCell ref="D28:F28"/>
    <mergeCell ref="D50:F50"/>
    <mergeCell ref="D51:F51"/>
    <mergeCell ref="D52:F52"/>
    <mergeCell ref="D53:F53"/>
    <mergeCell ref="D44:F44"/>
    <mergeCell ref="D45:F45"/>
    <mergeCell ref="D46:F46"/>
    <mergeCell ref="D47:F47"/>
    <mergeCell ref="D48:F48"/>
    <mergeCell ref="D59:F59"/>
    <mergeCell ref="D60:F60"/>
    <mergeCell ref="D61:F61"/>
    <mergeCell ref="D62:F62"/>
    <mergeCell ref="D63:F63"/>
    <mergeCell ref="D54:F54"/>
    <mergeCell ref="D55:F55"/>
    <mergeCell ref="D56:F56"/>
    <mergeCell ref="D57:F57"/>
    <mergeCell ref="D58:F58"/>
    <mergeCell ref="D69:F69"/>
    <mergeCell ref="D70:F70"/>
    <mergeCell ref="D71:F71"/>
    <mergeCell ref="D72:F72"/>
    <mergeCell ref="D73:F73"/>
    <mergeCell ref="D64:F64"/>
    <mergeCell ref="D65:F65"/>
    <mergeCell ref="D66:F66"/>
    <mergeCell ref="D67:F67"/>
    <mergeCell ref="D68:F68"/>
    <mergeCell ref="D79:F79"/>
    <mergeCell ref="D80:F80"/>
    <mergeCell ref="D81:F81"/>
    <mergeCell ref="D82:F82"/>
    <mergeCell ref="D83:F83"/>
    <mergeCell ref="D74:F74"/>
    <mergeCell ref="D75:F75"/>
    <mergeCell ref="D76:F76"/>
    <mergeCell ref="D77:F77"/>
    <mergeCell ref="D78:F78"/>
    <mergeCell ref="D89:F89"/>
    <mergeCell ref="D90:F90"/>
    <mergeCell ref="D91:F91"/>
    <mergeCell ref="D92:F92"/>
    <mergeCell ref="D93:F93"/>
    <mergeCell ref="D84:F84"/>
    <mergeCell ref="D85:F85"/>
    <mergeCell ref="D86:F86"/>
    <mergeCell ref="D87:F87"/>
    <mergeCell ref="D88:F88"/>
    <mergeCell ref="D99:F99"/>
    <mergeCell ref="D100:F100"/>
    <mergeCell ref="D101:F101"/>
    <mergeCell ref="D102:F102"/>
    <mergeCell ref="D103:F103"/>
    <mergeCell ref="D94:F94"/>
    <mergeCell ref="D95:F95"/>
    <mergeCell ref="D96:F96"/>
    <mergeCell ref="D97:F97"/>
    <mergeCell ref="D98:F98"/>
    <mergeCell ref="D109:F109"/>
    <mergeCell ref="C184:G184"/>
    <mergeCell ref="D185:F185"/>
    <mergeCell ref="D186:F186"/>
    <mergeCell ref="D187:F187"/>
    <mergeCell ref="D104:F104"/>
    <mergeCell ref="D105:F105"/>
    <mergeCell ref="D106:F106"/>
    <mergeCell ref="D107:F107"/>
    <mergeCell ref="D108:F108"/>
    <mergeCell ref="D193:F193"/>
    <mergeCell ref="D194:F194"/>
    <mergeCell ref="D195:F195"/>
    <mergeCell ref="D196:F196"/>
    <mergeCell ref="D197:F197"/>
    <mergeCell ref="D188:F188"/>
    <mergeCell ref="D189:F189"/>
    <mergeCell ref="D190:F190"/>
    <mergeCell ref="D191:F191"/>
    <mergeCell ref="D192:F192"/>
    <mergeCell ref="D227:F227"/>
    <mergeCell ref="D228:F228"/>
    <mergeCell ref="D229:F229"/>
    <mergeCell ref="D230:F230"/>
    <mergeCell ref="D231:F231"/>
    <mergeCell ref="D198:F198"/>
    <mergeCell ref="D199:F199"/>
    <mergeCell ref="D200:F200"/>
    <mergeCell ref="C225:G225"/>
    <mergeCell ref="D226:F226"/>
    <mergeCell ref="D237:F237"/>
    <mergeCell ref="D238:F238"/>
    <mergeCell ref="D239:F239"/>
    <mergeCell ref="D240:F240"/>
    <mergeCell ref="D241:F241"/>
    <mergeCell ref="D232:F232"/>
    <mergeCell ref="D233:F233"/>
    <mergeCell ref="D234:F234"/>
    <mergeCell ref="D235:F235"/>
    <mergeCell ref="D236:F236"/>
    <mergeCell ref="D247:F247"/>
    <mergeCell ref="D248:F248"/>
    <mergeCell ref="D249:F249"/>
    <mergeCell ref="D250:F250"/>
    <mergeCell ref="D251:F251"/>
    <mergeCell ref="D242:F242"/>
    <mergeCell ref="D243:F243"/>
    <mergeCell ref="D244:F244"/>
    <mergeCell ref="D245:F245"/>
    <mergeCell ref="D246:F246"/>
    <mergeCell ref="D257:F257"/>
    <mergeCell ref="D258:F258"/>
    <mergeCell ref="D259:F259"/>
    <mergeCell ref="D260:F260"/>
    <mergeCell ref="D252:F252"/>
    <mergeCell ref="D253:F253"/>
    <mergeCell ref="D254:F254"/>
    <mergeCell ref="D255:F255"/>
    <mergeCell ref="D256:F256"/>
  </mergeCells>
  <pageMargins left="0.7" right="0.7" top="0.75" bottom="0.75" header="0.3" footer="0.3"/>
  <pageSetup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dimension ref="A5:J70"/>
  <sheetViews>
    <sheetView workbookViewId="0">
      <selection activeCell="K52" sqref="K52"/>
    </sheetView>
  </sheetViews>
  <sheetFormatPr defaultRowHeight="13.2" x14ac:dyDescent="0.25"/>
  <cols>
    <col min="2" max="2" width="21.44140625" customWidth="true"/>
    <col min="3" max="3" width="22.44140625" customWidth="true"/>
    <col min="4" max="4" width="18.6640625" customWidth="true"/>
    <col min="5" max="5" width="29.109375" customWidth="true"/>
    <col min="6" max="7" width="11.44140625" customWidth="true"/>
    <col min="8" max="9" width="15.44140625" customWidth="true"/>
  </cols>
  <sheetData>
    <row r="5" ht="13.8" thickBot="true" x14ac:dyDescent="0.3"/>
    <row r="6" x14ac:dyDescent="0.25">
      <c r="A6" s="998"/>
      <c r="B6" s="155"/>
      <c r="C6" s="155"/>
      <c r="D6" s="155"/>
      <c r="E6" s="155"/>
      <c r="F6" s="155"/>
      <c r="G6" s="155"/>
      <c r="H6" s="155"/>
      <c r="I6" s="155"/>
      <c r="J6" s="727"/>
    </row>
    <row r="7" ht="13.8" thickBot="true" x14ac:dyDescent="0.3">
      <c r="A7" s="656"/>
      <c r="B7" s="557"/>
      <c r="C7" s="557"/>
      <c r="D7" s="557"/>
      <c r="E7" s="557"/>
      <c r="F7" s="557"/>
      <c r="G7" s="557"/>
      <c r="H7" s="557"/>
      <c r="I7" s="557"/>
      <c r="J7" s="563"/>
    </row>
    <row r="8" ht="24" customHeight="true" x14ac:dyDescent="0.25">
      <c r="A8" s="656"/>
      <c r="B8" s="2037" t="s">
        <v>1469</v>
      </c>
      <c r="C8" s="2039" t="s">
        <v>2160</v>
      </c>
      <c r="D8" s="2031" t="s">
        <v>186</v>
      </c>
      <c r="E8" s="2041" t="s">
        <v>2317</v>
      </c>
      <c r="F8" s="2031" t="s">
        <v>36</v>
      </c>
      <c r="G8" s="2031"/>
      <c r="H8" s="2039" t="s">
        <v>1004</v>
      </c>
      <c r="I8" s="2029" t="s">
        <v>1022</v>
      </c>
      <c r="J8" s="563"/>
    </row>
    <row r="9" ht="57" customHeight="true" x14ac:dyDescent="0.25">
      <c r="A9" s="656"/>
      <c r="B9" s="2038"/>
      <c r="C9" s="2040"/>
      <c r="D9" s="2032"/>
      <c r="E9" s="2042"/>
      <c r="F9" s="996" t="s">
        <v>30</v>
      </c>
      <c r="G9" s="996" t="s">
        <v>94</v>
      </c>
      <c r="H9" s="2040"/>
      <c r="I9" s="2030"/>
      <c r="J9" s="563"/>
    </row>
    <row r="10" ht="15.6" x14ac:dyDescent="0.3">
      <c r="A10" s="656"/>
      <c r="B10" s="1008">
        <f>'I. Stream &amp; Compound Data'!F262</f>
        <v>1</v>
      </c>
      <c r="C10" s="997" t="str">
        <f>IF('I. Stream &amp; Compound Data'!G262="","",'I. Stream &amp; Compound Data'!G262)</f>
        <v>Carbon Dioxide</v>
      </c>
      <c r="D10" s="997" t="str">
        <f>IF('I. Stream &amp; Compound Data'!H262="","",'I. Stream &amp; Compound Data'!H262)</f>
        <v>124-38-9</v>
      </c>
      <c r="E10" s="1007">
        <f>IF(C10="","",'I. Stream &amp; Compound Data'!K262)</f>
        <v>1</v>
      </c>
      <c r="F10" s="1007">
        <f>IF(C10="","",'I. Stream &amp; Compound Data'!L262)</f>
        <v>0</v>
      </c>
      <c r="G10" s="1007">
        <f>IF(C10="","",'I. Stream &amp; Compound Data'!M262)</f>
        <v>2980.7504537999998</v>
      </c>
      <c r="H10" s="1007">
        <f>IF(C10="","",'I. Stream &amp; Compound Data'!P262)</f>
        <v>2980.7504537999998</v>
      </c>
      <c r="I10" s="1009">
        <f>IF(C10="","",'I. Stream &amp; Compound Data'!Q262)</f>
        <v>0</v>
      </c>
      <c r="J10" s="563"/>
    </row>
    <row r="11" ht="15.6" x14ac:dyDescent="0.3">
      <c r="A11" s="656"/>
      <c r="B11" s="1008">
        <f>'I. Stream &amp; Compound Data'!F263</f>
        <v>2</v>
      </c>
      <c r="C11" s="997" t="str">
        <f>IF('I. Stream &amp; Compound Data'!G263="","",'I. Stream &amp; Compound Data'!G263)</f>
        <v>Water</v>
      </c>
      <c r="D11" s="997" t="str">
        <f>IF('I. Stream &amp; Compound Data'!H263="","",'I. Stream &amp; Compound Data'!H263)</f>
        <v>7732-18-5</v>
      </c>
      <c r="E11" s="1007">
        <f>IF(C11="","",'I. Stream &amp; Compound Data'!K263)</f>
        <v>5</v>
      </c>
      <c r="F11" s="1007">
        <f>IF(C11="","",'I. Stream &amp; Compound Data'!L263)</f>
        <v>0</v>
      </c>
      <c r="G11" s="1007">
        <f>IF(C11="","",'I. Stream &amp; Compound Data'!M263)</f>
        <v>0</v>
      </c>
      <c r="H11" s="1007">
        <f>IF(C11="","",'I. Stream &amp; Compound Data'!P263)</f>
        <v>0</v>
      </c>
      <c r="I11" s="1009">
        <f>IF(C11="","",'I. Stream &amp; Compound Data'!Q263)</f>
        <v>0</v>
      </c>
      <c r="J11" s="563"/>
    </row>
    <row r="12" ht="15.6" x14ac:dyDescent="0.3">
      <c r="A12" s="656"/>
      <c r="B12" s="1008">
        <f>'I. Stream &amp; Compound Data'!F264</f>
        <v>3</v>
      </c>
      <c r="C12" s="997" t="str">
        <f>IF('I. Stream &amp; Compound Data'!G264="","",'I. Stream &amp; Compound Data'!G264)</f>
        <v>Calcium Oxide</v>
      </c>
      <c r="D12" s="997" t="str">
        <f>IF('I. Stream &amp; Compound Data'!H264="","",'I. Stream &amp; Compound Data'!H264)</f>
        <v>1305-78-8</v>
      </c>
      <c r="E12" s="1007">
        <f>IF(C12="","",'I. Stream &amp; Compound Data'!K264)</f>
        <v>1</v>
      </c>
      <c r="F12" s="1007">
        <f>IF(C12="","",'I. Stream &amp; Compound Data'!L264)</f>
        <v>0</v>
      </c>
      <c r="G12" s="1007">
        <f>IF(C12="","",'I. Stream &amp; Compound Data'!M264)</f>
        <v>2888.3362910273868</v>
      </c>
      <c r="H12" s="1007">
        <f>IF(C12="","",'I. Stream &amp; Compound Data'!P264)</f>
        <v>0</v>
      </c>
      <c r="I12" s="1009">
        <f>IF(C12="","",'I. Stream &amp; Compound Data'!Q264)</f>
        <v>2888.3362910273868</v>
      </c>
      <c r="J12" s="563"/>
    </row>
    <row r="13" ht="15.6" x14ac:dyDescent="0.3">
      <c r="A13" s="656"/>
      <c r="B13" s="1008">
        <f>'I. Stream &amp; Compound Data'!F265</f>
        <v>4</v>
      </c>
      <c r="C13" s="997" t="str">
        <f>IF('I. Stream &amp; Compound Data'!G265="","",'I. Stream &amp; Compound Data'!G265)</f>
        <v>Calcium Carbonate</v>
      </c>
      <c r="D13" s="997" t="str">
        <f>IF('I. Stream &amp; Compound Data'!H265="","",'I. Stream &amp; Compound Data'!H265)</f>
        <v>471-34-1</v>
      </c>
      <c r="E13" s="1007">
        <f>IF(C13="","",'I. Stream &amp; Compound Data'!K265)</f>
        <v>2</v>
      </c>
      <c r="F13" s="1007">
        <f>IF(C13="","",'I. Stream &amp; Compound Data'!L265)</f>
        <v>6778.7792000553327</v>
      </c>
      <c r="G13" s="1007">
        <f>IF(C13="","",'I. Stream &amp; Compound Data'!M265)</f>
        <v>1623.6788293814257</v>
      </c>
      <c r="H13" s="1007">
        <f>IF(C13="","",'I. Stream &amp; Compound Data'!P265)</f>
        <v>0</v>
      </c>
      <c r="I13" s="1009">
        <f>IF(C13="","",'I. Stream &amp; Compound Data'!Q265)</f>
        <v>1623.6788293814257</v>
      </c>
      <c r="J13" s="563"/>
    </row>
    <row r="14" ht="15.6" x14ac:dyDescent="0.3">
      <c r="A14" s="656"/>
      <c r="B14" s="1008">
        <f>'I. Stream &amp; Compound Data'!F266</f>
        <v>5</v>
      </c>
      <c r="C14" s="997" t="str">
        <f>IF('I. Stream &amp; Compound Data'!G266="","",'I. Stream &amp; Compound Data'!G266)</f>
        <v/>
      </c>
      <c r="D14" s="997" t="str">
        <f>IF('I. Stream &amp; Compound Data'!H266="","",'I. Stream &amp; Compound Data'!H266)</f>
        <v/>
      </c>
      <c r="E14" s="1007" t="str">
        <f>IF(C14="","",'I. Stream &amp; Compound Data'!K266)</f>
        <v/>
      </c>
      <c r="F14" s="1007" t="str">
        <f>IF(C14="","",'I. Stream &amp; Compound Data'!L266)</f>
        <v/>
      </c>
      <c r="G14" s="1007" t="str">
        <f>IF(C14="","",'I. Stream &amp; Compound Data'!M266)</f>
        <v/>
      </c>
      <c r="H14" s="1007" t="str">
        <f>IF(C14="","",'I. Stream &amp; Compound Data'!P266)</f>
        <v/>
      </c>
      <c r="I14" s="1009" t="str">
        <f>IF(C14="","",'I. Stream &amp; Compound Data'!Q266)</f>
        <v/>
      </c>
      <c r="J14" s="563"/>
    </row>
    <row r="15" ht="15.6" x14ac:dyDescent="0.3">
      <c r="A15" s="656"/>
      <c r="B15" s="1008">
        <f>'I. Stream &amp; Compound Data'!F267</f>
        <v>6</v>
      </c>
      <c r="C15" s="997" t="str">
        <f>IF('I. Stream &amp; Compound Data'!G267="","",'I. Stream &amp; Compound Data'!G267)</f>
        <v/>
      </c>
      <c r="D15" s="997" t="str">
        <f>IF('I. Stream &amp; Compound Data'!H267="","",'I. Stream &amp; Compound Data'!H267)</f>
        <v/>
      </c>
      <c r="E15" s="1007" t="str">
        <f>IF(C15="","",'I. Stream &amp; Compound Data'!K267)</f>
        <v/>
      </c>
      <c r="F15" s="1007" t="str">
        <f>IF(C15="","",'I. Stream &amp; Compound Data'!L267)</f>
        <v/>
      </c>
      <c r="G15" s="1007" t="str">
        <f>IF(C15="","",'I. Stream &amp; Compound Data'!M267)</f>
        <v/>
      </c>
      <c r="H15" s="1007" t="str">
        <f>IF(C15="","",'I. Stream &amp; Compound Data'!P267)</f>
        <v/>
      </c>
      <c r="I15" s="1009" t="str">
        <f>IF(C15="","",'I. Stream &amp; Compound Data'!Q267)</f>
        <v/>
      </c>
      <c r="J15" s="563"/>
    </row>
    <row r="16" ht="15.6" x14ac:dyDescent="0.3">
      <c r="A16" s="656"/>
      <c r="B16" s="1008">
        <f>'I. Stream &amp; Compound Data'!F268</f>
        <v>7</v>
      </c>
      <c r="C16" s="997" t="str">
        <f>IF('I. Stream &amp; Compound Data'!G268="","",'I. Stream &amp; Compound Data'!G268)</f>
        <v/>
      </c>
      <c r="D16" s="997" t="str">
        <f>IF('I. Stream &amp; Compound Data'!H268="","",'I. Stream &amp; Compound Data'!H268)</f>
        <v/>
      </c>
      <c r="E16" s="1007" t="str">
        <f>IF(C16="","",'I. Stream &amp; Compound Data'!K268)</f>
        <v/>
      </c>
      <c r="F16" s="1007" t="str">
        <f>IF(C16="","",'I. Stream &amp; Compound Data'!L268)</f>
        <v/>
      </c>
      <c r="G16" s="1007" t="str">
        <f>IF(C16="","",'I. Stream &amp; Compound Data'!M268)</f>
        <v/>
      </c>
      <c r="H16" s="1007" t="str">
        <f>IF(C16="","",'I. Stream &amp; Compound Data'!P268)</f>
        <v/>
      </c>
      <c r="I16" s="1009" t="str">
        <f>IF(C16="","",'I. Stream &amp; Compound Data'!Q268)</f>
        <v/>
      </c>
      <c r="J16" s="563"/>
    </row>
    <row r="17" ht="15.6" x14ac:dyDescent="0.3">
      <c r="A17" s="656"/>
      <c r="B17" s="1008">
        <f>'I. Stream &amp; Compound Data'!F269</f>
        <v>8</v>
      </c>
      <c r="C17" s="997" t="str">
        <f>IF('I. Stream &amp; Compound Data'!G269="","",'I. Stream &amp; Compound Data'!G269)</f>
        <v/>
      </c>
      <c r="D17" s="997" t="str">
        <f>IF('I. Stream &amp; Compound Data'!H269="","",'I. Stream &amp; Compound Data'!H269)</f>
        <v/>
      </c>
      <c r="E17" s="1007" t="str">
        <f>IF(C17="","",'I. Stream &amp; Compound Data'!K269)</f>
        <v/>
      </c>
      <c r="F17" s="1007" t="str">
        <f>IF(C17="","",'I. Stream &amp; Compound Data'!L269)</f>
        <v/>
      </c>
      <c r="G17" s="1007" t="str">
        <f>IF(C17="","",'I. Stream &amp; Compound Data'!M269)</f>
        <v/>
      </c>
      <c r="H17" s="1007" t="str">
        <f>IF(C17="","",'I. Stream &amp; Compound Data'!P269)</f>
        <v/>
      </c>
      <c r="I17" s="1009" t="str">
        <f>IF(C17="","",'I. Stream &amp; Compound Data'!Q269)</f>
        <v/>
      </c>
      <c r="J17" s="563"/>
    </row>
    <row r="18" ht="15.6" x14ac:dyDescent="0.3">
      <c r="A18" s="656"/>
      <c r="B18" s="1008">
        <f>'I. Stream &amp; Compound Data'!F270</f>
        <v>9</v>
      </c>
      <c r="C18" s="997" t="str">
        <f>IF('I. Stream &amp; Compound Data'!G270="","",'I. Stream &amp; Compound Data'!G270)</f>
        <v/>
      </c>
      <c r="D18" s="997" t="str">
        <f>IF('I. Stream &amp; Compound Data'!H270="","",'I. Stream &amp; Compound Data'!H270)</f>
        <v/>
      </c>
      <c r="E18" s="1007" t="str">
        <f>IF(C18="","",'I. Stream &amp; Compound Data'!K270)</f>
        <v/>
      </c>
      <c r="F18" s="1007" t="str">
        <f>IF(C18="","",'I. Stream &amp; Compound Data'!L270)</f>
        <v/>
      </c>
      <c r="G18" s="1007" t="str">
        <f>IF(C18="","",'I. Stream &amp; Compound Data'!M270)</f>
        <v/>
      </c>
      <c r="H18" s="1007" t="str">
        <f>IF(C18="","",'I. Stream &amp; Compound Data'!P270)</f>
        <v/>
      </c>
      <c r="I18" s="1009" t="str">
        <f>IF(C18="","",'I. Stream &amp; Compound Data'!Q270)</f>
        <v/>
      </c>
      <c r="J18" s="563"/>
    </row>
    <row r="19" ht="15.6" x14ac:dyDescent="0.3">
      <c r="A19" s="656"/>
      <c r="B19" s="1008">
        <f>'I. Stream &amp; Compound Data'!F271</f>
        <v>10</v>
      </c>
      <c r="C19" s="997" t="str">
        <f>IF('I. Stream &amp; Compound Data'!G271="","",'I. Stream &amp; Compound Data'!G271)</f>
        <v/>
      </c>
      <c r="D19" s="997" t="str">
        <f>IF('I. Stream &amp; Compound Data'!H271="","",'I. Stream &amp; Compound Data'!H271)</f>
        <v/>
      </c>
      <c r="E19" s="1007" t="str">
        <f>IF(C19="","",'I. Stream &amp; Compound Data'!K271)</f>
        <v/>
      </c>
      <c r="F19" s="1007" t="str">
        <f>IF(C19="","",'I. Stream &amp; Compound Data'!L271)</f>
        <v/>
      </c>
      <c r="G19" s="1007" t="str">
        <f>IF(C19="","",'I. Stream &amp; Compound Data'!M271)</f>
        <v/>
      </c>
      <c r="H19" s="1007" t="str">
        <f>IF(C19="","",'I. Stream &amp; Compound Data'!P271)</f>
        <v/>
      </c>
      <c r="I19" s="1009" t="str">
        <f>IF(C19="","",'I. Stream &amp; Compound Data'!Q271)</f>
        <v/>
      </c>
      <c r="J19" s="563"/>
    </row>
    <row r="20" ht="15.6" x14ac:dyDescent="0.3">
      <c r="A20" s="656"/>
      <c r="B20" s="1008">
        <f>'I. Stream &amp; Compound Data'!F272</f>
        <v>11</v>
      </c>
      <c r="C20" s="997" t="str">
        <f>IF('I. Stream &amp; Compound Data'!G272="","",'I. Stream &amp; Compound Data'!G272)</f>
        <v/>
      </c>
      <c r="D20" s="997" t="str">
        <f>IF('I. Stream &amp; Compound Data'!H272="","",'I. Stream &amp; Compound Data'!H272)</f>
        <v/>
      </c>
      <c r="E20" s="1007" t="str">
        <f>IF(C20="","",'I. Stream &amp; Compound Data'!K272)</f>
        <v/>
      </c>
      <c r="F20" s="1007" t="str">
        <f>IF(C20="","",'I. Stream &amp; Compound Data'!L272)</f>
        <v/>
      </c>
      <c r="G20" s="1007" t="str">
        <f>IF(C20="","",'I. Stream &amp; Compound Data'!M272)</f>
        <v/>
      </c>
      <c r="H20" s="1007" t="str">
        <f>IF(C20="","",'I. Stream &amp; Compound Data'!P272)</f>
        <v/>
      </c>
      <c r="I20" s="1009" t="str">
        <f>IF(C20="","",'I. Stream &amp; Compound Data'!Q272)</f>
        <v/>
      </c>
      <c r="J20" s="563"/>
    </row>
    <row r="21" ht="15.6" x14ac:dyDescent="0.3">
      <c r="A21" s="656"/>
      <c r="B21" s="1008">
        <f>'I. Stream &amp; Compound Data'!F273</f>
        <v>12</v>
      </c>
      <c r="C21" s="997" t="str">
        <f>IF('I. Stream &amp; Compound Data'!G273="","",'I. Stream &amp; Compound Data'!G273)</f>
        <v/>
      </c>
      <c r="D21" s="997" t="str">
        <f>IF('I. Stream &amp; Compound Data'!H273="","",'I. Stream &amp; Compound Data'!H273)</f>
        <v/>
      </c>
      <c r="E21" s="1007" t="str">
        <f>IF(C21="","",'I. Stream &amp; Compound Data'!K273)</f>
        <v/>
      </c>
      <c r="F21" s="1007" t="str">
        <f>IF(C21="","",'I. Stream &amp; Compound Data'!L273)</f>
        <v/>
      </c>
      <c r="G21" s="1007" t="str">
        <f>IF(C21="","",'I. Stream &amp; Compound Data'!M273)</f>
        <v/>
      </c>
      <c r="H21" s="1007" t="str">
        <f>IF(C21="","",'I. Stream &amp; Compound Data'!P273)</f>
        <v/>
      </c>
      <c r="I21" s="1009" t="str">
        <f>IF(C21="","",'I. Stream &amp; Compound Data'!Q273)</f>
        <v/>
      </c>
      <c r="J21" s="563"/>
    </row>
    <row r="22" ht="15.6" x14ac:dyDescent="0.3">
      <c r="A22" s="656"/>
      <c r="B22" s="1008">
        <f>'I. Stream &amp; Compound Data'!F274</f>
        <v>13</v>
      </c>
      <c r="C22" s="997" t="str">
        <f>IF('I. Stream &amp; Compound Data'!G274="","",'I. Stream &amp; Compound Data'!G274)</f>
        <v/>
      </c>
      <c r="D22" s="997" t="str">
        <f>IF('I. Stream &amp; Compound Data'!H274="","",'I. Stream &amp; Compound Data'!H274)</f>
        <v/>
      </c>
      <c r="E22" s="1007" t="str">
        <f>IF(C22="","",'I. Stream &amp; Compound Data'!K274)</f>
        <v/>
      </c>
      <c r="F22" s="1007" t="str">
        <f>IF(C22="","",'I. Stream &amp; Compound Data'!L274)</f>
        <v/>
      </c>
      <c r="G22" s="1007" t="str">
        <f>IF(C22="","",'I. Stream &amp; Compound Data'!M274)</f>
        <v/>
      </c>
      <c r="H22" s="1007" t="str">
        <f>IF(C22="","",'I. Stream &amp; Compound Data'!P274)</f>
        <v/>
      </c>
      <c r="I22" s="1009" t="str">
        <f>IF(C22="","",'I. Stream &amp; Compound Data'!Q274)</f>
        <v/>
      </c>
      <c r="J22" s="563"/>
    </row>
    <row r="23" ht="15.6" x14ac:dyDescent="0.3">
      <c r="A23" s="656"/>
      <c r="B23" s="1008">
        <f>'I. Stream &amp; Compound Data'!F275</f>
        <v>14</v>
      </c>
      <c r="C23" s="997" t="str">
        <f>IF('I. Stream &amp; Compound Data'!G275="","",'I. Stream &amp; Compound Data'!G275)</f>
        <v/>
      </c>
      <c r="D23" s="997" t="str">
        <f>IF('I. Stream &amp; Compound Data'!H275="","",'I. Stream &amp; Compound Data'!H275)</f>
        <v/>
      </c>
      <c r="E23" s="1007" t="str">
        <f>IF(C23="","",'I. Stream &amp; Compound Data'!K275)</f>
        <v/>
      </c>
      <c r="F23" s="1007" t="str">
        <f>IF(C23="","",'I. Stream &amp; Compound Data'!L275)</f>
        <v/>
      </c>
      <c r="G23" s="1007" t="str">
        <f>IF(C23="","",'I. Stream &amp; Compound Data'!M275)</f>
        <v/>
      </c>
      <c r="H23" s="1007" t="str">
        <f>IF(C23="","",'I. Stream &amp; Compound Data'!P275)</f>
        <v/>
      </c>
      <c r="I23" s="1009" t="str">
        <f>IF(C23="","",'I. Stream &amp; Compound Data'!Q275)</f>
        <v/>
      </c>
      <c r="J23" s="563"/>
    </row>
    <row r="24" ht="15.6" x14ac:dyDescent="0.3">
      <c r="A24" s="656"/>
      <c r="B24" s="1008">
        <f>'I. Stream &amp; Compound Data'!F276</f>
        <v>15</v>
      </c>
      <c r="C24" s="997" t="str">
        <f>IF('I. Stream &amp; Compound Data'!G276="","",'I. Stream &amp; Compound Data'!G276)</f>
        <v/>
      </c>
      <c r="D24" s="997" t="str">
        <f>IF('I. Stream &amp; Compound Data'!H276="","",'I. Stream &amp; Compound Data'!H276)</f>
        <v/>
      </c>
      <c r="E24" s="1007" t="str">
        <f>IF(C24="","",'I. Stream &amp; Compound Data'!K276)</f>
        <v/>
      </c>
      <c r="F24" s="1007" t="str">
        <f>IF(C24="","",'I. Stream &amp; Compound Data'!L276)</f>
        <v/>
      </c>
      <c r="G24" s="1007" t="str">
        <f>IF(C24="","",'I. Stream &amp; Compound Data'!M276)</f>
        <v/>
      </c>
      <c r="H24" s="1007" t="str">
        <f>IF(C24="","",'I. Stream &amp; Compound Data'!P276)</f>
        <v/>
      </c>
      <c r="I24" s="1009" t="str">
        <f>IF(C24="","",'I. Stream &amp; Compound Data'!Q276)</f>
        <v/>
      </c>
      <c r="J24" s="563"/>
    </row>
    <row r="25" ht="15.6" x14ac:dyDescent="0.3">
      <c r="A25" s="656"/>
      <c r="B25" s="1008">
        <f>'I. Stream &amp; Compound Data'!F277</f>
        <v>16</v>
      </c>
      <c r="C25" s="997" t="str">
        <f>IF('I. Stream &amp; Compound Data'!G277="","",'I. Stream &amp; Compound Data'!G277)</f>
        <v/>
      </c>
      <c r="D25" s="997" t="str">
        <f>IF('I. Stream &amp; Compound Data'!H277="","",'I. Stream &amp; Compound Data'!H277)</f>
        <v/>
      </c>
      <c r="E25" s="1007" t="str">
        <f>IF(C25="","",'I. Stream &amp; Compound Data'!K277)</f>
        <v/>
      </c>
      <c r="F25" s="1007" t="str">
        <f>IF(C25="","",'I. Stream &amp; Compound Data'!L277)</f>
        <v/>
      </c>
      <c r="G25" s="1007" t="str">
        <f>IF(C25="","",'I. Stream &amp; Compound Data'!M277)</f>
        <v/>
      </c>
      <c r="H25" s="1007" t="str">
        <f>IF(C25="","",'I. Stream &amp; Compound Data'!P277)</f>
        <v/>
      </c>
      <c r="I25" s="1009" t="str">
        <f>IF(C25="","",'I. Stream &amp; Compound Data'!Q277)</f>
        <v/>
      </c>
      <c r="J25" s="563"/>
    </row>
    <row r="26" ht="15.6" x14ac:dyDescent="0.3">
      <c r="A26" s="656"/>
      <c r="B26" s="1008">
        <f>'I. Stream &amp; Compound Data'!F278</f>
        <v>17</v>
      </c>
      <c r="C26" s="997" t="str">
        <f>IF('I. Stream &amp; Compound Data'!G278="","",'I. Stream &amp; Compound Data'!G278)</f>
        <v/>
      </c>
      <c r="D26" s="997" t="str">
        <f>IF('I. Stream &amp; Compound Data'!H278="","",'I. Stream &amp; Compound Data'!H278)</f>
        <v/>
      </c>
      <c r="E26" s="1007" t="str">
        <f>IF(C26="","",'I. Stream &amp; Compound Data'!K278)</f>
        <v/>
      </c>
      <c r="F26" s="1007" t="str">
        <f>IF(C26="","",'I. Stream &amp; Compound Data'!L278)</f>
        <v/>
      </c>
      <c r="G26" s="1007" t="str">
        <f>IF(C26="","",'I. Stream &amp; Compound Data'!M278)</f>
        <v/>
      </c>
      <c r="H26" s="1007" t="str">
        <f>IF(C26="","",'I. Stream &amp; Compound Data'!P278)</f>
        <v/>
      </c>
      <c r="I26" s="1009" t="str">
        <f>IF(C26="","",'I. Stream &amp; Compound Data'!Q278)</f>
        <v/>
      </c>
      <c r="J26" s="563"/>
    </row>
    <row r="27" ht="15.6" x14ac:dyDescent="0.3">
      <c r="A27" s="656"/>
      <c r="B27" s="1008">
        <f>'I. Stream &amp; Compound Data'!F279</f>
        <v>18</v>
      </c>
      <c r="C27" s="997" t="str">
        <f>IF('I. Stream &amp; Compound Data'!G279="","",'I. Stream &amp; Compound Data'!G279)</f>
        <v/>
      </c>
      <c r="D27" s="997" t="str">
        <f>IF('I. Stream &amp; Compound Data'!H279="","",'I. Stream &amp; Compound Data'!H279)</f>
        <v/>
      </c>
      <c r="E27" s="1007" t="str">
        <f>IF(C27="","",'I. Stream &amp; Compound Data'!K279)</f>
        <v/>
      </c>
      <c r="F27" s="1007" t="str">
        <f>IF(C27="","",'I. Stream &amp; Compound Data'!L279)</f>
        <v/>
      </c>
      <c r="G27" s="1007" t="str">
        <f>IF(C27="","",'I. Stream &amp; Compound Data'!M279)</f>
        <v/>
      </c>
      <c r="H27" s="1007" t="str">
        <f>IF(C27="","",'I. Stream &amp; Compound Data'!P279)</f>
        <v/>
      </c>
      <c r="I27" s="1009" t="str">
        <f>IF(C27="","",'I. Stream &amp; Compound Data'!Q279)</f>
        <v/>
      </c>
      <c r="J27" s="563"/>
    </row>
    <row r="28" ht="15.6" x14ac:dyDescent="0.3">
      <c r="A28" s="656"/>
      <c r="B28" s="1008">
        <f>'I. Stream &amp; Compound Data'!F280</f>
        <v>19</v>
      </c>
      <c r="C28" s="997" t="str">
        <f>IF('I. Stream &amp; Compound Data'!G280="","",'I. Stream &amp; Compound Data'!G280)</f>
        <v/>
      </c>
      <c r="D28" s="997" t="str">
        <f>IF('I. Stream &amp; Compound Data'!H280="","",'I. Stream &amp; Compound Data'!H280)</f>
        <v/>
      </c>
      <c r="E28" s="1007" t="str">
        <f>IF(C28="","",'I. Stream &amp; Compound Data'!K280)</f>
        <v/>
      </c>
      <c r="F28" s="1007" t="str">
        <f>IF(C28="","",'I. Stream &amp; Compound Data'!L280)</f>
        <v/>
      </c>
      <c r="G28" s="1007" t="str">
        <f>IF(C28="","",'I. Stream &amp; Compound Data'!M280)</f>
        <v/>
      </c>
      <c r="H28" s="1007" t="str">
        <f>IF(C28="","",'I. Stream &amp; Compound Data'!P280)</f>
        <v/>
      </c>
      <c r="I28" s="1009" t="str">
        <f>IF(C28="","",'I. Stream &amp; Compound Data'!Q280)</f>
        <v/>
      </c>
      <c r="J28" s="563"/>
    </row>
    <row r="29" ht="15.6" x14ac:dyDescent="0.3">
      <c r="A29" s="656"/>
      <c r="B29" s="1008">
        <f>'I. Stream &amp; Compound Data'!F281</f>
        <v>20</v>
      </c>
      <c r="C29" s="997" t="str">
        <f>IF('I. Stream &amp; Compound Data'!G281="","",'I. Stream &amp; Compound Data'!G281)</f>
        <v/>
      </c>
      <c r="D29" s="997" t="str">
        <f>IF('I. Stream &amp; Compound Data'!H281="","",'I. Stream &amp; Compound Data'!H281)</f>
        <v/>
      </c>
      <c r="E29" s="1007" t="str">
        <f>IF(C29="","",'I. Stream &amp; Compound Data'!K281)</f>
        <v/>
      </c>
      <c r="F29" s="1007" t="str">
        <f>IF(C29="","",'I. Stream &amp; Compound Data'!L281)</f>
        <v/>
      </c>
      <c r="G29" s="1007" t="str">
        <f>IF(C29="","",'I. Stream &amp; Compound Data'!M281)</f>
        <v/>
      </c>
      <c r="H29" s="1007" t="str">
        <f>IF(C29="","",'I. Stream &amp; Compound Data'!P281)</f>
        <v/>
      </c>
      <c r="I29" s="1009" t="str">
        <f>IF(C29="","",'I. Stream &amp; Compound Data'!Q281)</f>
        <v/>
      </c>
      <c r="J29" s="563"/>
    </row>
    <row r="30" ht="15.6" x14ac:dyDescent="0.3">
      <c r="A30" s="656"/>
      <c r="B30" s="1008">
        <f>'I. Stream &amp; Compound Data'!F282</f>
        <v>21</v>
      </c>
      <c r="C30" s="997" t="str">
        <f>IF('I. Stream &amp; Compound Data'!G282="","",'I. Stream &amp; Compound Data'!G282)</f>
        <v/>
      </c>
      <c r="D30" s="997" t="str">
        <f>IF('I. Stream &amp; Compound Data'!H282="","",'I. Stream &amp; Compound Data'!H282)</f>
        <v/>
      </c>
      <c r="E30" s="1007" t="str">
        <f>IF(C30="","",'I. Stream &amp; Compound Data'!K282)</f>
        <v/>
      </c>
      <c r="F30" s="1007" t="str">
        <f>IF(C30="","",'I. Stream &amp; Compound Data'!L282)</f>
        <v/>
      </c>
      <c r="G30" s="1007" t="str">
        <f>IF(C30="","",'I. Stream &amp; Compound Data'!M282)</f>
        <v/>
      </c>
      <c r="H30" s="1007" t="str">
        <f>IF(C30="","",'I. Stream &amp; Compound Data'!P282)</f>
        <v/>
      </c>
      <c r="I30" s="1009" t="str">
        <f>IF(C30="","",'I. Stream &amp; Compound Data'!Q282)</f>
        <v/>
      </c>
      <c r="J30" s="563"/>
    </row>
    <row r="31" ht="15.6" x14ac:dyDescent="0.3">
      <c r="A31" s="656"/>
      <c r="B31" s="1008">
        <f>'I. Stream &amp; Compound Data'!F283</f>
        <v>22</v>
      </c>
      <c r="C31" s="997" t="str">
        <f>IF('I. Stream &amp; Compound Data'!G283="","",'I. Stream &amp; Compound Data'!G283)</f>
        <v/>
      </c>
      <c r="D31" s="997" t="str">
        <f>IF('I. Stream &amp; Compound Data'!H283="","",'I. Stream &amp; Compound Data'!H283)</f>
        <v/>
      </c>
      <c r="E31" s="1007" t="str">
        <f>IF(C31="","",'I. Stream &amp; Compound Data'!K283)</f>
        <v/>
      </c>
      <c r="F31" s="1007" t="str">
        <f>IF(C31="","",'I. Stream &amp; Compound Data'!L283)</f>
        <v/>
      </c>
      <c r="G31" s="1007" t="str">
        <f>IF(C31="","",'I. Stream &amp; Compound Data'!M283)</f>
        <v/>
      </c>
      <c r="H31" s="1007" t="str">
        <f>IF(C31="","",'I. Stream &amp; Compound Data'!P283)</f>
        <v/>
      </c>
      <c r="I31" s="1009" t="str">
        <f>IF(C31="","",'I. Stream &amp; Compound Data'!Q283)</f>
        <v/>
      </c>
      <c r="J31" s="563"/>
    </row>
    <row r="32" ht="15.6" x14ac:dyDescent="0.3">
      <c r="A32" s="656"/>
      <c r="B32" s="1008">
        <f>'I. Stream &amp; Compound Data'!F284</f>
        <v>23</v>
      </c>
      <c r="C32" s="997" t="str">
        <f>IF('I. Stream &amp; Compound Data'!G284="","",'I. Stream &amp; Compound Data'!G284)</f>
        <v/>
      </c>
      <c r="D32" s="997" t="str">
        <f>IF('I. Stream &amp; Compound Data'!H284="","",'I. Stream &amp; Compound Data'!H284)</f>
        <v/>
      </c>
      <c r="E32" s="1007" t="str">
        <f>IF(C32="","",'I. Stream &amp; Compound Data'!K284)</f>
        <v/>
      </c>
      <c r="F32" s="1007" t="str">
        <f>IF(C32="","",'I. Stream &amp; Compound Data'!L284)</f>
        <v/>
      </c>
      <c r="G32" s="1007" t="str">
        <f>IF(C32="","",'I. Stream &amp; Compound Data'!M284)</f>
        <v/>
      </c>
      <c r="H32" s="1007" t="str">
        <f>IF(C32="","",'I. Stream &amp; Compound Data'!P284)</f>
        <v/>
      </c>
      <c r="I32" s="1009" t="str">
        <f>IF(C32="","",'I. Stream &amp; Compound Data'!Q284)</f>
        <v/>
      </c>
      <c r="J32" s="563"/>
    </row>
    <row r="33" ht="15.6" x14ac:dyDescent="0.3">
      <c r="A33" s="656"/>
      <c r="B33" s="1008">
        <f>'I. Stream &amp; Compound Data'!F285</f>
        <v>24</v>
      </c>
      <c r="C33" s="997" t="str">
        <f>IF('I. Stream &amp; Compound Data'!G285="","",'I. Stream &amp; Compound Data'!G285)</f>
        <v/>
      </c>
      <c r="D33" s="997" t="str">
        <f>IF('I. Stream &amp; Compound Data'!H285="","",'I. Stream &amp; Compound Data'!H285)</f>
        <v/>
      </c>
      <c r="E33" s="1007" t="str">
        <f>IF(C33="","",'I. Stream &amp; Compound Data'!K285)</f>
        <v/>
      </c>
      <c r="F33" s="1007" t="str">
        <f>IF(C33="","",'I. Stream &amp; Compound Data'!L285)</f>
        <v/>
      </c>
      <c r="G33" s="1007" t="str">
        <f>IF(C33="","",'I. Stream &amp; Compound Data'!M285)</f>
        <v/>
      </c>
      <c r="H33" s="1007" t="str">
        <f>IF(C33="","",'I. Stream &amp; Compound Data'!P285)</f>
        <v/>
      </c>
      <c r="I33" s="1009" t="str">
        <f>IF(C33="","",'I. Stream &amp; Compound Data'!Q285)</f>
        <v/>
      </c>
      <c r="J33" s="563"/>
    </row>
    <row r="34" ht="15.6" x14ac:dyDescent="0.3">
      <c r="A34" s="656"/>
      <c r="B34" s="1008">
        <f>'I. Stream &amp; Compound Data'!F286</f>
        <v>25</v>
      </c>
      <c r="C34" s="997" t="str">
        <f>IF('I. Stream &amp; Compound Data'!G286="","",'I. Stream &amp; Compound Data'!G286)</f>
        <v/>
      </c>
      <c r="D34" s="997" t="str">
        <f>IF('I. Stream &amp; Compound Data'!H286="","",'I. Stream &amp; Compound Data'!H286)</f>
        <v/>
      </c>
      <c r="E34" s="1007" t="str">
        <f>IF(C34="","",'I. Stream &amp; Compound Data'!K286)</f>
        <v/>
      </c>
      <c r="F34" s="1007" t="str">
        <f>IF(C34="","",'I. Stream &amp; Compound Data'!L286)</f>
        <v/>
      </c>
      <c r="G34" s="1007" t="str">
        <f>IF(C34="","",'I. Stream &amp; Compound Data'!M286)</f>
        <v/>
      </c>
      <c r="H34" s="1007" t="str">
        <f>IF(C34="","",'I. Stream &amp; Compound Data'!P286)</f>
        <v/>
      </c>
      <c r="I34" s="1009" t="str">
        <f>IF(C34="","",'I. Stream &amp; Compound Data'!Q286)</f>
        <v/>
      </c>
      <c r="J34" s="563"/>
    </row>
    <row r="35" ht="15.6" x14ac:dyDescent="0.3">
      <c r="A35" s="656"/>
      <c r="B35" s="1008">
        <f>'I. Stream &amp; Compound Data'!F287</f>
        <v>26</v>
      </c>
      <c r="C35" s="997" t="str">
        <f>IF('I. Stream &amp; Compound Data'!G287="","",'I. Stream &amp; Compound Data'!G287)</f>
        <v/>
      </c>
      <c r="D35" s="997" t="str">
        <f>IF('I. Stream &amp; Compound Data'!H287="","",'I. Stream &amp; Compound Data'!H287)</f>
        <v/>
      </c>
      <c r="E35" s="1007" t="str">
        <f>IF(C35="","",'I. Stream &amp; Compound Data'!K287)</f>
        <v/>
      </c>
      <c r="F35" s="1007" t="str">
        <f>IF(C35="","",'I. Stream &amp; Compound Data'!L287)</f>
        <v/>
      </c>
      <c r="G35" s="1007" t="str">
        <f>IF(C35="","",'I. Stream &amp; Compound Data'!M287)</f>
        <v/>
      </c>
      <c r="H35" s="1007" t="str">
        <f>IF(C35="","",'I. Stream &amp; Compound Data'!P287)</f>
        <v/>
      </c>
      <c r="I35" s="1009" t="str">
        <f>IF(C35="","",'I. Stream &amp; Compound Data'!Q287)</f>
        <v/>
      </c>
      <c r="J35" s="563"/>
    </row>
    <row r="36" ht="15.6" x14ac:dyDescent="0.3">
      <c r="A36" s="656"/>
      <c r="B36" s="1008">
        <f>'I. Stream &amp; Compound Data'!F288</f>
        <v>27</v>
      </c>
      <c r="C36" s="997" t="str">
        <f>IF('I. Stream &amp; Compound Data'!G288="","",'I. Stream &amp; Compound Data'!G288)</f>
        <v/>
      </c>
      <c r="D36" s="997" t="str">
        <f>IF('I. Stream &amp; Compound Data'!H288="","",'I. Stream &amp; Compound Data'!H288)</f>
        <v/>
      </c>
      <c r="E36" s="1007" t="str">
        <f>IF(C36="","",'I. Stream &amp; Compound Data'!K288)</f>
        <v/>
      </c>
      <c r="F36" s="1007" t="str">
        <f>IF(C36="","",'I. Stream &amp; Compound Data'!L288)</f>
        <v/>
      </c>
      <c r="G36" s="1007" t="str">
        <f>IF(C36="","",'I. Stream &amp; Compound Data'!M288)</f>
        <v/>
      </c>
      <c r="H36" s="1007" t="str">
        <f>IF(C36="","",'I. Stream &amp; Compound Data'!P288)</f>
        <v/>
      </c>
      <c r="I36" s="1009" t="str">
        <f>IF(C36="","",'I. Stream &amp; Compound Data'!Q288)</f>
        <v/>
      </c>
      <c r="J36" s="563"/>
    </row>
    <row r="37" ht="15.6" x14ac:dyDescent="0.3">
      <c r="A37" s="656"/>
      <c r="B37" s="1008">
        <f>'I. Stream &amp; Compound Data'!F289</f>
        <v>28</v>
      </c>
      <c r="C37" s="997" t="str">
        <f>IF('I. Stream &amp; Compound Data'!G289="","",'I. Stream &amp; Compound Data'!G289)</f>
        <v/>
      </c>
      <c r="D37" s="997" t="str">
        <f>IF('I. Stream &amp; Compound Data'!H289="","",'I. Stream &amp; Compound Data'!H289)</f>
        <v/>
      </c>
      <c r="E37" s="1007" t="str">
        <f>IF(C37="","",'I. Stream &amp; Compound Data'!K289)</f>
        <v/>
      </c>
      <c r="F37" s="1007" t="str">
        <f>IF(C37="","",'I. Stream &amp; Compound Data'!L289)</f>
        <v/>
      </c>
      <c r="G37" s="1007" t="str">
        <f>IF(C37="","",'I. Stream &amp; Compound Data'!M289)</f>
        <v/>
      </c>
      <c r="H37" s="1007" t="str">
        <f>IF(C37="","",'I. Stream &amp; Compound Data'!P289)</f>
        <v/>
      </c>
      <c r="I37" s="1009" t="str">
        <f>IF(C37="","",'I. Stream &amp; Compound Data'!Q289)</f>
        <v/>
      </c>
      <c r="J37" s="563"/>
    </row>
    <row r="38" ht="15.6" x14ac:dyDescent="0.3">
      <c r="A38" s="656"/>
      <c r="B38" s="1008">
        <f>'I. Stream &amp; Compound Data'!F290</f>
        <v>29</v>
      </c>
      <c r="C38" s="997" t="str">
        <f>IF('I. Stream &amp; Compound Data'!G290="","",'I. Stream &amp; Compound Data'!G290)</f>
        <v/>
      </c>
      <c r="D38" s="997" t="str">
        <f>IF('I. Stream &amp; Compound Data'!H290="","",'I. Stream &amp; Compound Data'!H290)</f>
        <v/>
      </c>
      <c r="E38" s="1007" t="str">
        <f>IF(C38="","",'I. Stream &amp; Compound Data'!K290)</f>
        <v/>
      </c>
      <c r="F38" s="1007" t="str">
        <f>IF(C38="","",'I. Stream &amp; Compound Data'!L290)</f>
        <v/>
      </c>
      <c r="G38" s="1007" t="str">
        <f>IF(C38="","",'I. Stream &amp; Compound Data'!M290)</f>
        <v/>
      </c>
      <c r="H38" s="1007" t="str">
        <f>IF(C38="","",'I. Stream &amp; Compound Data'!P290)</f>
        <v/>
      </c>
      <c r="I38" s="1009" t="str">
        <f>IF(C38="","",'I. Stream &amp; Compound Data'!Q290)</f>
        <v/>
      </c>
      <c r="J38" s="563"/>
    </row>
    <row r="39" ht="15.6" x14ac:dyDescent="0.3">
      <c r="A39" s="656"/>
      <c r="B39" s="1008">
        <f>'I. Stream &amp; Compound Data'!F291</f>
        <v>30</v>
      </c>
      <c r="C39" s="997" t="str">
        <f>IF('I. Stream &amp; Compound Data'!G291="","",'I. Stream &amp; Compound Data'!G291)</f>
        <v/>
      </c>
      <c r="D39" s="997" t="str">
        <f>IF('I. Stream &amp; Compound Data'!H291="","",'I. Stream &amp; Compound Data'!H291)</f>
        <v/>
      </c>
      <c r="E39" s="1007" t="str">
        <f>IF(C39="","",'I. Stream &amp; Compound Data'!K291)</f>
        <v/>
      </c>
      <c r="F39" s="1007" t="str">
        <f>IF(C39="","",'I. Stream &amp; Compound Data'!L291)</f>
        <v/>
      </c>
      <c r="G39" s="1007" t="str">
        <f>IF(C39="","",'I. Stream &amp; Compound Data'!M291)</f>
        <v/>
      </c>
      <c r="H39" s="1007" t="str">
        <f>IF(C39="","",'I. Stream &amp; Compound Data'!P291)</f>
        <v/>
      </c>
      <c r="I39" s="1009" t="str">
        <f>IF(C39="","",'I. Stream &amp; Compound Data'!Q291)</f>
        <v/>
      </c>
      <c r="J39" s="563"/>
    </row>
    <row r="40" ht="15.6" x14ac:dyDescent="0.3">
      <c r="A40" s="656"/>
      <c r="B40" s="1008">
        <f>'I. Stream &amp; Compound Data'!F292</f>
        <v>31</v>
      </c>
      <c r="C40" s="997" t="str">
        <f>IF('I. Stream &amp; Compound Data'!G292="","",'I. Stream &amp; Compound Data'!G292)</f>
        <v/>
      </c>
      <c r="D40" s="997" t="str">
        <f>IF('I. Stream &amp; Compound Data'!H292="","",'I. Stream &amp; Compound Data'!H292)</f>
        <v/>
      </c>
      <c r="E40" s="1007" t="str">
        <f>IF(C40="","",'I. Stream &amp; Compound Data'!K292)</f>
        <v/>
      </c>
      <c r="F40" s="1007" t="str">
        <f>IF(C40="","",'I. Stream &amp; Compound Data'!L292)</f>
        <v/>
      </c>
      <c r="G40" s="1007" t="str">
        <f>IF(C40="","",'I. Stream &amp; Compound Data'!M292)</f>
        <v/>
      </c>
      <c r="H40" s="1007" t="str">
        <f>IF(C40="","",'I. Stream &amp; Compound Data'!P292)</f>
        <v/>
      </c>
      <c r="I40" s="1009" t="str">
        <f>IF(C40="","",'I. Stream &amp; Compound Data'!Q292)</f>
        <v/>
      </c>
      <c r="J40" s="563"/>
    </row>
    <row r="41" ht="15.6" x14ac:dyDescent="0.3">
      <c r="A41" s="656"/>
      <c r="B41" s="1008">
        <f>'I. Stream &amp; Compound Data'!F293</f>
        <v>32</v>
      </c>
      <c r="C41" s="997" t="str">
        <f>IF('I. Stream &amp; Compound Data'!G293="","",'I. Stream &amp; Compound Data'!G293)</f>
        <v/>
      </c>
      <c r="D41" s="997" t="str">
        <f>IF('I. Stream &amp; Compound Data'!H293="","",'I. Stream &amp; Compound Data'!H293)</f>
        <v/>
      </c>
      <c r="E41" s="1007" t="str">
        <f>IF(C41="","",'I. Stream &amp; Compound Data'!K293)</f>
        <v/>
      </c>
      <c r="F41" s="1007" t="str">
        <f>IF(C41="","",'I. Stream &amp; Compound Data'!L293)</f>
        <v/>
      </c>
      <c r="G41" s="1007" t="str">
        <f>IF(C41="","",'I. Stream &amp; Compound Data'!M293)</f>
        <v/>
      </c>
      <c r="H41" s="1007" t="str">
        <f>IF(C41="","",'I. Stream &amp; Compound Data'!P293)</f>
        <v/>
      </c>
      <c r="I41" s="1009" t="str">
        <f>IF(C41="","",'I. Stream &amp; Compound Data'!Q293)</f>
        <v/>
      </c>
      <c r="J41" s="563"/>
    </row>
    <row r="42" ht="15.6" x14ac:dyDescent="0.3">
      <c r="A42" s="656"/>
      <c r="B42" s="1008">
        <f>'I. Stream &amp; Compound Data'!F294</f>
        <v>33</v>
      </c>
      <c r="C42" s="997" t="str">
        <f>IF('I. Stream &amp; Compound Data'!G294="","",'I. Stream &amp; Compound Data'!G294)</f>
        <v/>
      </c>
      <c r="D42" s="997" t="str">
        <f>IF('I. Stream &amp; Compound Data'!H294="","",'I. Stream &amp; Compound Data'!H294)</f>
        <v/>
      </c>
      <c r="E42" s="1007" t="str">
        <f>IF(C42="","",'I. Stream &amp; Compound Data'!K294)</f>
        <v/>
      </c>
      <c r="F42" s="1007" t="str">
        <f>IF(C42="","",'I. Stream &amp; Compound Data'!L294)</f>
        <v/>
      </c>
      <c r="G42" s="1007" t="str">
        <f>IF(C42="","",'I. Stream &amp; Compound Data'!M294)</f>
        <v/>
      </c>
      <c r="H42" s="1007" t="str">
        <f>IF(C42="","",'I. Stream &amp; Compound Data'!P294)</f>
        <v/>
      </c>
      <c r="I42" s="1009" t="str">
        <f>IF(C42="","",'I. Stream &amp; Compound Data'!Q294)</f>
        <v/>
      </c>
      <c r="J42" s="563"/>
    </row>
    <row r="43" ht="15.6" x14ac:dyDescent="0.3">
      <c r="A43" s="656"/>
      <c r="B43" s="1008">
        <f>'I. Stream &amp; Compound Data'!F295</f>
        <v>34</v>
      </c>
      <c r="C43" s="997" t="str">
        <f>IF('I. Stream &amp; Compound Data'!G295="","",'I. Stream &amp; Compound Data'!G295)</f>
        <v/>
      </c>
      <c r="D43" s="997" t="str">
        <f>IF('I. Stream &amp; Compound Data'!H295="","",'I. Stream &amp; Compound Data'!H295)</f>
        <v/>
      </c>
      <c r="E43" s="1007" t="str">
        <f>IF(C43="","",'I. Stream &amp; Compound Data'!K295)</f>
        <v/>
      </c>
      <c r="F43" s="1007" t="str">
        <f>IF(C43="","",'I. Stream &amp; Compound Data'!L295)</f>
        <v/>
      </c>
      <c r="G43" s="1007" t="str">
        <f>IF(C43="","",'I. Stream &amp; Compound Data'!M295)</f>
        <v/>
      </c>
      <c r="H43" s="1007" t="str">
        <f>IF(C43="","",'I. Stream &amp; Compound Data'!P295)</f>
        <v/>
      </c>
      <c r="I43" s="1009" t="str">
        <f>IF(C43="","",'I. Stream &amp; Compound Data'!Q295)</f>
        <v/>
      </c>
      <c r="J43" s="563"/>
    </row>
    <row r="44" ht="15.6" x14ac:dyDescent="0.3">
      <c r="A44" s="656"/>
      <c r="B44" s="1008">
        <f>'I. Stream &amp; Compound Data'!F296</f>
        <v>35</v>
      </c>
      <c r="C44" s="997" t="str">
        <f>IF('I. Stream &amp; Compound Data'!G296="","",'I. Stream &amp; Compound Data'!G296)</f>
        <v/>
      </c>
      <c r="D44" s="997" t="str">
        <f>IF('I. Stream &amp; Compound Data'!H296="","",'I. Stream &amp; Compound Data'!H296)</f>
        <v/>
      </c>
      <c r="E44" s="1007" t="str">
        <f>IF(C44="","",'I. Stream &amp; Compound Data'!K296)</f>
        <v/>
      </c>
      <c r="F44" s="1007" t="str">
        <f>IF(C44="","",'I. Stream &amp; Compound Data'!L296)</f>
        <v/>
      </c>
      <c r="G44" s="1007" t="str">
        <f>IF(C44="","",'I. Stream &amp; Compound Data'!M296)</f>
        <v/>
      </c>
      <c r="H44" s="1007" t="str">
        <f>IF(C44="","",'I. Stream &amp; Compound Data'!P296)</f>
        <v/>
      </c>
      <c r="I44" s="1009" t="str">
        <f>IF(C44="","",'I. Stream &amp; Compound Data'!Q296)</f>
        <v/>
      </c>
      <c r="J44" s="563"/>
    </row>
    <row r="45" ht="15.6" x14ac:dyDescent="0.3">
      <c r="A45" s="656"/>
      <c r="B45" s="1008">
        <f>'I. Stream &amp; Compound Data'!F297</f>
        <v>36</v>
      </c>
      <c r="C45" s="997" t="str">
        <f>IF('I. Stream &amp; Compound Data'!G297="","",'I. Stream &amp; Compound Data'!G297)</f>
        <v/>
      </c>
      <c r="D45" s="997" t="str">
        <f>IF('I. Stream &amp; Compound Data'!H297="","",'I. Stream &amp; Compound Data'!H297)</f>
        <v/>
      </c>
      <c r="E45" s="1007" t="str">
        <f>IF(C45="","",'I. Stream &amp; Compound Data'!K297)</f>
        <v/>
      </c>
      <c r="F45" s="1007" t="str">
        <f>IF(C45="","",'I. Stream &amp; Compound Data'!L297)</f>
        <v/>
      </c>
      <c r="G45" s="1007" t="str">
        <f>IF(C45="","",'I. Stream &amp; Compound Data'!M297)</f>
        <v/>
      </c>
      <c r="H45" s="1007" t="str">
        <f>IF(C45="","",'I. Stream &amp; Compound Data'!P297)</f>
        <v/>
      </c>
      <c r="I45" s="1009" t="str">
        <f>IF(C45="","",'I. Stream &amp; Compound Data'!Q297)</f>
        <v/>
      </c>
      <c r="J45" s="563"/>
    </row>
    <row r="46" ht="15.6" x14ac:dyDescent="0.3">
      <c r="A46" s="656"/>
      <c r="B46" s="1008">
        <f>'I. Stream &amp; Compound Data'!F298</f>
        <v>37</v>
      </c>
      <c r="C46" s="997" t="str">
        <f>IF('I. Stream &amp; Compound Data'!G298="","",'I. Stream &amp; Compound Data'!G298)</f>
        <v/>
      </c>
      <c r="D46" s="997" t="str">
        <f>IF('I. Stream &amp; Compound Data'!H298="","",'I. Stream &amp; Compound Data'!H298)</f>
        <v/>
      </c>
      <c r="E46" s="1007" t="str">
        <f>IF(C46="","",'I. Stream &amp; Compound Data'!K298)</f>
        <v/>
      </c>
      <c r="F46" s="1007" t="str">
        <f>IF(C46="","",'I. Stream &amp; Compound Data'!L298)</f>
        <v/>
      </c>
      <c r="G46" s="1007" t="str">
        <f>IF(C46="","",'I. Stream &amp; Compound Data'!M298)</f>
        <v/>
      </c>
      <c r="H46" s="1007" t="str">
        <f>IF(C46="","",'I. Stream &amp; Compound Data'!P298)</f>
        <v/>
      </c>
      <c r="I46" s="1009" t="str">
        <f>IF(C46="","",'I. Stream &amp; Compound Data'!Q298)</f>
        <v/>
      </c>
      <c r="J46" s="563"/>
    </row>
    <row r="47" ht="15.6" x14ac:dyDescent="0.3">
      <c r="A47" s="656"/>
      <c r="B47" s="1008">
        <f>'I. Stream &amp; Compound Data'!F299</f>
        <v>38</v>
      </c>
      <c r="C47" s="997" t="str">
        <f>IF('I. Stream &amp; Compound Data'!G299="","",'I. Stream &amp; Compound Data'!G299)</f>
        <v/>
      </c>
      <c r="D47" s="997" t="str">
        <f>IF('I. Stream &amp; Compound Data'!H299="","",'I. Stream &amp; Compound Data'!H299)</f>
        <v/>
      </c>
      <c r="E47" s="1007" t="str">
        <f>IF(C47="","",'I. Stream &amp; Compound Data'!K299)</f>
        <v/>
      </c>
      <c r="F47" s="1007" t="str">
        <f>IF(C47="","",'I. Stream &amp; Compound Data'!L299)</f>
        <v/>
      </c>
      <c r="G47" s="1007" t="str">
        <f>IF(C47="","",'I. Stream &amp; Compound Data'!M299)</f>
        <v/>
      </c>
      <c r="H47" s="1007" t="str">
        <f>IF(C47="","",'I. Stream &amp; Compound Data'!P299)</f>
        <v/>
      </c>
      <c r="I47" s="1009" t="str">
        <f>IF(C47="","",'I. Stream &amp; Compound Data'!Q299)</f>
        <v/>
      </c>
      <c r="J47" s="563"/>
    </row>
    <row r="48" ht="15.6" x14ac:dyDescent="0.3">
      <c r="A48" s="656"/>
      <c r="B48" s="1008">
        <f>'I. Stream &amp; Compound Data'!F300</f>
        <v>39</v>
      </c>
      <c r="C48" s="997" t="str">
        <f>IF('I. Stream &amp; Compound Data'!G300="","",'I. Stream &amp; Compound Data'!G300)</f>
        <v/>
      </c>
      <c r="D48" s="997" t="str">
        <f>IF('I. Stream &amp; Compound Data'!H300="","",'I. Stream &amp; Compound Data'!H300)</f>
        <v/>
      </c>
      <c r="E48" s="1007" t="str">
        <f>IF(C48="","",'I. Stream &amp; Compound Data'!K300)</f>
        <v/>
      </c>
      <c r="F48" s="1007" t="str">
        <f>IF(C48="","",'I. Stream &amp; Compound Data'!L300)</f>
        <v/>
      </c>
      <c r="G48" s="1007" t="str">
        <f>IF(C48="","",'I. Stream &amp; Compound Data'!M300)</f>
        <v/>
      </c>
      <c r="H48" s="1007" t="str">
        <f>IF(C48="","",'I. Stream &amp; Compound Data'!P300)</f>
        <v/>
      </c>
      <c r="I48" s="1009" t="str">
        <f>IF(C48="","",'I. Stream &amp; Compound Data'!Q300)</f>
        <v/>
      </c>
      <c r="J48" s="563"/>
    </row>
    <row r="49" ht="15.6" x14ac:dyDescent="0.3">
      <c r="A49" s="656"/>
      <c r="B49" s="1008">
        <f>'I. Stream &amp; Compound Data'!F301</f>
        <v>40</v>
      </c>
      <c r="C49" s="997" t="str">
        <f>IF('I. Stream &amp; Compound Data'!G301="","",'I. Stream &amp; Compound Data'!G301)</f>
        <v/>
      </c>
      <c r="D49" s="997" t="str">
        <f>IF('I. Stream &amp; Compound Data'!H301="","",'I. Stream &amp; Compound Data'!H301)</f>
        <v/>
      </c>
      <c r="E49" s="1007" t="str">
        <f>IF(C49="","",'I. Stream &amp; Compound Data'!K301)</f>
        <v/>
      </c>
      <c r="F49" s="1007" t="str">
        <f>IF(C49="","",'I. Stream &amp; Compound Data'!L301)</f>
        <v/>
      </c>
      <c r="G49" s="1007" t="str">
        <f>IF(C49="","",'I. Stream &amp; Compound Data'!M301)</f>
        <v/>
      </c>
      <c r="H49" s="1007" t="str">
        <f>IF(C49="","",'I. Stream &amp; Compound Data'!P301)</f>
        <v/>
      </c>
      <c r="I49" s="1009" t="str">
        <f>IF(C49="","",'I. Stream &amp; Compound Data'!Q301)</f>
        <v/>
      </c>
      <c r="J49" s="563"/>
    </row>
    <row r="50" ht="15.6" x14ac:dyDescent="0.3">
      <c r="A50" s="656"/>
      <c r="B50" s="1008">
        <f>'I. Stream &amp; Compound Data'!F302</f>
        <v>41</v>
      </c>
      <c r="C50" s="997" t="str">
        <f>IF('I. Stream &amp; Compound Data'!G302="","",'I. Stream &amp; Compound Data'!G302)</f>
        <v/>
      </c>
      <c r="D50" s="997" t="str">
        <f>IF('I. Stream &amp; Compound Data'!H302="","",'I. Stream &amp; Compound Data'!H302)</f>
        <v/>
      </c>
      <c r="E50" s="1007" t="str">
        <f>IF(C50="","",'I. Stream &amp; Compound Data'!K302)</f>
        <v/>
      </c>
      <c r="F50" s="1007" t="str">
        <f>IF(C50="","",'I. Stream &amp; Compound Data'!L302)</f>
        <v/>
      </c>
      <c r="G50" s="1007" t="str">
        <f>IF(C50="","",'I. Stream &amp; Compound Data'!M302)</f>
        <v/>
      </c>
      <c r="H50" s="1007" t="str">
        <f>IF(C50="","",'I. Stream &amp; Compound Data'!P302)</f>
        <v/>
      </c>
      <c r="I50" s="1009" t="str">
        <f>IF(C50="","",'I. Stream &amp; Compound Data'!Q302)</f>
        <v/>
      </c>
      <c r="J50" s="563"/>
    </row>
    <row r="51" ht="15.6" x14ac:dyDescent="0.3">
      <c r="A51" s="656"/>
      <c r="B51" s="1008">
        <f>'I. Stream &amp; Compound Data'!F303</f>
        <v>42</v>
      </c>
      <c r="C51" s="997" t="str">
        <f>IF('I. Stream &amp; Compound Data'!G303="","",'I. Stream &amp; Compound Data'!G303)</f>
        <v/>
      </c>
      <c r="D51" s="997" t="str">
        <f>IF('I. Stream &amp; Compound Data'!H303="","",'I. Stream &amp; Compound Data'!H303)</f>
        <v/>
      </c>
      <c r="E51" s="1007" t="str">
        <f>IF(C51="","",'I. Stream &amp; Compound Data'!K303)</f>
        <v/>
      </c>
      <c r="F51" s="1007" t="str">
        <f>IF(C51="","",'I. Stream &amp; Compound Data'!L303)</f>
        <v/>
      </c>
      <c r="G51" s="1007" t="str">
        <f>IF(C51="","",'I. Stream &amp; Compound Data'!M303)</f>
        <v/>
      </c>
      <c r="H51" s="1007" t="str">
        <f>IF(C51="","",'I. Stream &amp; Compound Data'!P303)</f>
        <v/>
      </c>
      <c r="I51" s="1009" t="str">
        <f>IF(C51="","",'I. Stream &amp; Compound Data'!Q303)</f>
        <v/>
      </c>
      <c r="J51" s="563"/>
    </row>
    <row r="52" ht="15.6" x14ac:dyDescent="0.3">
      <c r="A52" s="656"/>
      <c r="B52" s="1008">
        <f>'I. Stream &amp; Compound Data'!F304</f>
        <v>43</v>
      </c>
      <c r="C52" s="997" t="str">
        <f>IF('I. Stream &amp; Compound Data'!G304="","",'I. Stream &amp; Compound Data'!G304)</f>
        <v/>
      </c>
      <c r="D52" s="997" t="str">
        <f>IF('I. Stream &amp; Compound Data'!H304="","",'I. Stream &amp; Compound Data'!H304)</f>
        <v/>
      </c>
      <c r="E52" s="1007" t="str">
        <f>IF(C52="","",'I. Stream &amp; Compound Data'!K304)</f>
        <v/>
      </c>
      <c r="F52" s="1007" t="str">
        <f>IF(C52="","",'I. Stream &amp; Compound Data'!L304)</f>
        <v/>
      </c>
      <c r="G52" s="1007" t="str">
        <f>IF(C52="","",'I. Stream &amp; Compound Data'!M304)</f>
        <v/>
      </c>
      <c r="H52" s="1007" t="str">
        <f>IF(C52="","",'I. Stream &amp; Compound Data'!P304)</f>
        <v/>
      </c>
      <c r="I52" s="1009" t="str">
        <f>IF(C52="","",'I. Stream &amp; Compound Data'!Q304)</f>
        <v/>
      </c>
      <c r="J52" s="563"/>
    </row>
    <row r="53" ht="15.6" x14ac:dyDescent="0.3">
      <c r="A53" s="656"/>
      <c r="B53" s="1008">
        <f>'I. Stream &amp; Compound Data'!F305</f>
        <v>44</v>
      </c>
      <c r="C53" s="997" t="str">
        <f>IF('I. Stream &amp; Compound Data'!G305="","",'I. Stream &amp; Compound Data'!G305)</f>
        <v/>
      </c>
      <c r="D53" s="997" t="str">
        <f>IF('I. Stream &amp; Compound Data'!H305="","",'I. Stream &amp; Compound Data'!H305)</f>
        <v/>
      </c>
      <c r="E53" s="1007" t="str">
        <f>IF(C53="","",'I. Stream &amp; Compound Data'!K305)</f>
        <v/>
      </c>
      <c r="F53" s="1007" t="str">
        <f>IF(C53="","",'I. Stream &amp; Compound Data'!L305)</f>
        <v/>
      </c>
      <c r="G53" s="1007" t="str">
        <f>IF(C53="","",'I. Stream &amp; Compound Data'!M305)</f>
        <v/>
      </c>
      <c r="H53" s="1007" t="str">
        <f>IF(C53="","",'I. Stream &amp; Compound Data'!P305)</f>
        <v/>
      </c>
      <c r="I53" s="1009" t="str">
        <f>IF(C53="","",'I. Stream &amp; Compound Data'!Q305)</f>
        <v/>
      </c>
      <c r="J53" s="563"/>
    </row>
    <row r="54" ht="15.6" x14ac:dyDescent="0.3">
      <c r="A54" s="656"/>
      <c r="B54" s="1008">
        <f>'I. Stream &amp; Compound Data'!F306</f>
        <v>45</v>
      </c>
      <c r="C54" s="997" t="str">
        <f>IF('I. Stream &amp; Compound Data'!G306="","",'I. Stream &amp; Compound Data'!G306)</f>
        <v/>
      </c>
      <c r="D54" s="997" t="str">
        <f>IF('I. Stream &amp; Compound Data'!H306="","",'I. Stream &amp; Compound Data'!H306)</f>
        <v/>
      </c>
      <c r="E54" s="1007" t="str">
        <f>IF(C54="","",'I. Stream &amp; Compound Data'!K306)</f>
        <v/>
      </c>
      <c r="F54" s="1007" t="str">
        <f>IF(C54="","",'I. Stream &amp; Compound Data'!L306)</f>
        <v/>
      </c>
      <c r="G54" s="1007" t="str">
        <f>IF(C54="","",'I. Stream &amp; Compound Data'!M306)</f>
        <v/>
      </c>
      <c r="H54" s="1007" t="str">
        <f>IF(C54="","",'I. Stream &amp; Compound Data'!P306)</f>
        <v/>
      </c>
      <c r="I54" s="1009" t="str">
        <f>IF(C54="","",'I. Stream &amp; Compound Data'!Q306)</f>
        <v/>
      </c>
      <c r="J54" s="563"/>
    </row>
    <row r="55" ht="15.6" x14ac:dyDescent="0.3">
      <c r="A55" s="656"/>
      <c r="B55" s="1008">
        <f>'I. Stream &amp; Compound Data'!F307</f>
        <v>46</v>
      </c>
      <c r="C55" s="997" t="str">
        <f>IF('I. Stream &amp; Compound Data'!G307="","",'I. Stream &amp; Compound Data'!G307)</f>
        <v/>
      </c>
      <c r="D55" s="997" t="str">
        <f>IF('I. Stream &amp; Compound Data'!H307="","",'I. Stream &amp; Compound Data'!H307)</f>
        <v/>
      </c>
      <c r="E55" s="1007" t="str">
        <f>IF(C55="","",'I. Stream &amp; Compound Data'!K307)</f>
        <v/>
      </c>
      <c r="F55" s="1007" t="str">
        <f>IF(C55="","",'I. Stream &amp; Compound Data'!L307)</f>
        <v/>
      </c>
      <c r="G55" s="1007" t="str">
        <f>IF(C55="","",'I. Stream &amp; Compound Data'!M307)</f>
        <v/>
      </c>
      <c r="H55" s="1007" t="str">
        <f>IF(C55="","",'I. Stream &amp; Compound Data'!P307)</f>
        <v/>
      </c>
      <c r="I55" s="1009" t="str">
        <f>IF(C55="","",'I. Stream &amp; Compound Data'!Q307)</f>
        <v/>
      </c>
      <c r="J55" s="563"/>
    </row>
    <row r="56" ht="15.6" x14ac:dyDescent="0.3">
      <c r="A56" s="656"/>
      <c r="B56" s="1008">
        <f>'I. Stream &amp; Compound Data'!F308</f>
        <v>47</v>
      </c>
      <c r="C56" s="997" t="str">
        <f>IF('I. Stream &amp; Compound Data'!G308="","",'I. Stream &amp; Compound Data'!G308)</f>
        <v/>
      </c>
      <c r="D56" s="997" t="str">
        <f>IF('I. Stream &amp; Compound Data'!H308="","",'I. Stream &amp; Compound Data'!H308)</f>
        <v/>
      </c>
      <c r="E56" s="1007" t="str">
        <f>IF(C56="","",'I. Stream &amp; Compound Data'!K308)</f>
        <v/>
      </c>
      <c r="F56" s="1007" t="str">
        <f>IF(C56="","",'I. Stream &amp; Compound Data'!L308)</f>
        <v/>
      </c>
      <c r="G56" s="1007" t="str">
        <f>IF(C56="","",'I. Stream &amp; Compound Data'!M308)</f>
        <v/>
      </c>
      <c r="H56" s="1007" t="str">
        <f>IF(C56="","",'I. Stream &amp; Compound Data'!P308)</f>
        <v/>
      </c>
      <c r="I56" s="1009" t="str">
        <f>IF(C56="","",'I. Stream &amp; Compound Data'!Q308)</f>
        <v/>
      </c>
      <c r="J56" s="563"/>
    </row>
    <row r="57" ht="15.6" x14ac:dyDescent="0.3">
      <c r="A57" s="656"/>
      <c r="B57" s="1008">
        <f>'I. Stream &amp; Compound Data'!F309</f>
        <v>48</v>
      </c>
      <c r="C57" s="997" t="str">
        <f>IF('I. Stream &amp; Compound Data'!G309="","",'I. Stream &amp; Compound Data'!G309)</f>
        <v/>
      </c>
      <c r="D57" s="997" t="str">
        <f>IF('I. Stream &amp; Compound Data'!H309="","",'I. Stream &amp; Compound Data'!H309)</f>
        <v/>
      </c>
      <c r="E57" s="1007" t="str">
        <f>IF(C57="","",'I. Stream &amp; Compound Data'!K309)</f>
        <v/>
      </c>
      <c r="F57" s="1007" t="str">
        <f>IF(C57="","",'I. Stream &amp; Compound Data'!L309)</f>
        <v/>
      </c>
      <c r="G57" s="1007" t="str">
        <f>IF(C57="","",'I. Stream &amp; Compound Data'!M309)</f>
        <v/>
      </c>
      <c r="H57" s="1007" t="str">
        <f>IF(C57="","",'I. Stream &amp; Compound Data'!P309)</f>
        <v/>
      </c>
      <c r="I57" s="1009" t="str">
        <f>IF(C57="","",'I. Stream &amp; Compound Data'!Q309)</f>
        <v/>
      </c>
      <c r="J57" s="563"/>
    </row>
    <row r="58" ht="15.6" x14ac:dyDescent="0.3">
      <c r="A58" s="656"/>
      <c r="B58" s="1008">
        <f>'I. Stream &amp; Compound Data'!F310</f>
        <v>49</v>
      </c>
      <c r="C58" s="997" t="str">
        <f>IF('I. Stream &amp; Compound Data'!G310="","",'I. Stream &amp; Compound Data'!G310)</f>
        <v/>
      </c>
      <c r="D58" s="997" t="str">
        <f>IF('I. Stream &amp; Compound Data'!H310="","",'I. Stream &amp; Compound Data'!H310)</f>
        <v/>
      </c>
      <c r="E58" s="1007" t="str">
        <f>IF(C58="","",'I. Stream &amp; Compound Data'!K310)</f>
        <v/>
      </c>
      <c r="F58" s="1007" t="str">
        <f>IF(C58="","",'I. Stream &amp; Compound Data'!L310)</f>
        <v/>
      </c>
      <c r="G58" s="1007" t="str">
        <f>IF(C58="","",'I. Stream &amp; Compound Data'!M310)</f>
        <v/>
      </c>
      <c r="H58" s="1007" t="str">
        <f>IF(C58="","",'I. Stream &amp; Compound Data'!P310)</f>
        <v/>
      </c>
      <c r="I58" s="1009" t="str">
        <f>IF(C58="","",'I. Stream &amp; Compound Data'!Q310)</f>
        <v/>
      </c>
      <c r="J58" s="563"/>
    </row>
    <row r="59" ht="16.2" thickBot="true" x14ac:dyDescent="0.35">
      <c r="A59" s="656"/>
      <c r="B59" s="1010">
        <f>'I. Stream &amp; Compound Data'!F311</f>
        <v>50</v>
      </c>
      <c r="C59" s="1011" t="str">
        <f>IF('I. Stream &amp; Compound Data'!G311="","",'I. Stream &amp; Compound Data'!G311)</f>
        <v/>
      </c>
      <c r="D59" s="1011" t="str">
        <f>IF('I. Stream &amp; Compound Data'!H311="","",'I. Stream &amp; Compound Data'!H311)</f>
        <v/>
      </c>
      <c r="E59" s="1012" t="str">
        <f>IF(C59="","",'I. Stream &amp; Compound Data'!K311)</f>
        <v/>
      </c>
      <c r="F59" s="1012" t="str">
        <f>IF(C59="","",'I. Stream &amp; Compound Data'!L311)</f>
        <v/>
      </c>
      <c r="G59" s="1012" t="str">
        <f>IF(C59="","",'I. Stream &amp; Compound Data'!M311)</f>
        <v/>
      </c>
      <c r="H59" s="1012" t="str">
        <f>IF(C59="","",'I. Stream &amp; Compound Data'!P311)</f>
        <v/>
      </c>
      <c r="I59" s="1013" t="str">
        <f>IF(C59="","",'I. Stream &amp; Compound Data'!Q311)</f>
        <v/>
      </c>
      <c r="J59" s="563"/>
    </row>
    <row r="60" x14ac:dyDescent="0.25">
      <c r="A60" s="656"/>
      <c r="B60" s="557"/>
      <c r="C60" s="557"/>
      <c r="D60" s="557"/>
      <c r="E60" s="557"/>
      <c r="F60" s="557"/>
      <c r="G60" s="557"/>
      <c r="H60" s="557"/>
      <c r="I60" s="557"/>
      <c r="J60" s="563"/>
    </row>
    <row r="61" ht="13.8" thickBot="true" x14ac:dyDescent="0.3">
      <c r="A61" s="659"/>
      <c r="B61" s="158"/>
      <c r="C61" s="158"/>
      <c r="D61" s="158"/>
      <c r="E61" s="158"/>
      <c r="F61" s="158"/>
      <c r="G61" s="158"/>
      <c r="H61" s="158"/>
      <c r="I61" s="158"/>
      <c r="J61" s="662"/>
    </row>
    <row r="62" ht="13.8" thickBot="true" x14ac:dyDescent="0.3"/>
    <row r="63" x14ac:dyDescent="0.25">
      <c r="A63" s="999"/>
      <c r="B63" s="1000"/>
      <c r="C63" s="1000"/>
      <c r="D63" s="1000"/>
      <c r="E63" s="1000"/>
      <c r="F63" s="1000"/>
      <c r="G63" s="1000"/>
      <c r="H63" s="1000"/>
      <c r="I63" s="1000"/>
      <c r="J63" s="1001"/>
    </row>
    <row r="64" ht="13.8" thickBot="true" x14ac:dyDescent="0.3">
      <c r="A64" s="1002"/>
      <c r="B64" s="557"/>
      <c r="C64" s="557"/>
      <c r="D64" s="557"/>
      <c r="E64" s="557"/>
      <c r="F64" s="557"/>
      <c r="G64" s="557"/>
      <c r="H64" s="557"/>
      <c r="I64" s="557"/>
      <c r="J64" s="1003"/>
    </row>
    <row r="65" ht="40.5" customHeight="true" x14ac:dyDescent="0.25">
      <c r="A65" s="1002"/>
      <c r="B65" s="2033" t="s">
        <v>1214</v>
      </c>
      <c r="C65" s="2034"/>
      <c r="D65" s="2023" t="s">
        <v>2394</v>
      </c>
      <c r="E65" s="2024"/>
      <c r="F65" s="557"/>
      <c r="G65" s="557"/>
      <c r="H65" s="557"/>
      <c r="I65" s="557"/>
      <c r="J65" s="1003"/>
    </row>
    <row r="66" ht="15.6" x14ac:dyDescent="0.25">
      <c r="A66" s="1002"/>
      <c r="B66" s="2035" t="s">
        <v>1609</v>
      </c>
      <c r="C66" s="2036"/>
      <c r="D66" s="2025">
        <f>IF('III. Utility Data'!J10="","",'III. Utility Data'!J10)</f>
        <v>0</v>
      </c>
      <c r="E66" s="2026"/>
      <c r="F66" s="557"/>
      <c r="G66" s="557"/>
      <c r="H66" s="557"/>
      <c r="I66" s="557"/>
      <c r="J66" s="1003"/>
    </row>
    <row r="67" ht="15.6" x14ac:dyDescent="0.25">
      <c r="A67" s="1002"/>
      <c r="B67" s="2035" t="s">
        <v>1610</v>
      </c>
      <c r="C67" s="2036"/>
      <c r="D67" s="2025">
        <f>IF('III. Utility Data'!J11="","",'III. Utility Data'!J11)</f>
        <v>0</v>
      </c>
      <c r="E67" s="2026"/>
      <c r="F67" s="557"/>
      <c r="G67" s="557"/>
      <c r="H67" s="557"/>
      <c r="I67" s="557"/>
      <c r="J67" s="1003"/>
    </row>
    <row r="68" ht="16.2" thickBot="true" x14ac:dyDescent="0.35">
      <c r="A68" s="1002"/>
      <c r="B68" s="2021" t="s">
        <v>1217</v>
      </c>
      <c r="C68" s="2022"/>
      <c r="D68" s="2027">
        <f>IF('III. Utility Data'!J16="","",'III. Utility Data'!J16)</f>
        <v>0</v>
      </c>
      <c r="E68" s="2028"/>
      <c r="F68" s="557"/>
      <c r="G68" s="557"/>
      <c r="H68" s="557"/>
      <c r="I68" s="557"/>
      <c r="J68" s="1003"/>
    </row>
    <row r="69" x14ac:dyDescent="0.25">
      <c r="A69" s="1002"/>
      <c r="B69" s="557"/>
      <c r="C69" s="557"/>
      <c r="D69" s="557"/>
      <c r="E69" s="557"/>
      <c r="F69" s="557"/>
      <c r="G69" s="557"/>
      <c r="H69" s="557"/>
      <c r="I69" s="557"/>
      <c r="J69" s="1003"/>
    </row>
    <row r="70" ht="13.8" thickBot="true" x14ac:dyDescent="0.3">
      <c r="A70" s="1004"/>
      <c r="B70" s="1005"/>
      <c r="C70" s="1005"/>
      <c r="D70" s="1005"/>
      <c r="E70" s="1005"/>
      <c r="F70" s="1005"/>
      <c r="G70" s="1005"/>
      <c r="H70" s="1005"/>
      <c r="I70" s="1005"/>
      <c r="J70" s="1006"/>
    </row>
  </sheetData>
  <sheetProtection sheet="true" objects="true" scenarios="true"/>
  <mergeCells count="15">
    <mergeCell ref="I8:I9"/>
    <mergeCell ref="D8:D9"/>
    <mergeCell ref="B65:C65"/>
    <mergeCell ref="B66:C66"/>
    <mergeCell ref="B67:C67"/>
    <mergeCell ref="B8:B9"/>
    <mergeCell ref="C8:C9"/>
    <mergeCell ref="E8:E9"/>
    <mergeCell ref="F8:G8"/>
    <mergeCell ref="H8:H9"/>
    <mergeCell ref="B68:C68"/>
    <mergeCell ref="D65:E65"/>
    <mergeCell ref="D66:E66"/>
    <mergeCell ref="D67:E67"/>
    <mergeCell ref="D68:E68"/>
  </mergeCells>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dimension ref="A1:CN244"/>
  <sheetViews>
    <sheetView zoomScale="55" zoomScaleNormal="55" workbookViewId="0">
      <selection activeCell="E58" sqref="E58"/>
    </sheetView>
  </sheetViews>
  <sheetFormatPr defaultColWidth="9.109375" defaultRowHeight="13.2" x14ac:dyDescent="0.25"/>
  <cols>
    <col min="2" max="7" width="21.88671875" customWidth="true"/>
    <col min="8" max="18" width="25" customWidth="true"/>
    <col min="19" max="51" width="42" customWidth="true"/>
  </cols>
  <sheetData>
    <row r="1" ht="13.8" thickBot="true" x14ac:dyDescent="0.3"/>
    <row r="2" ht="25.2" thickBot="true" x14ac:dyDescent="0.35">
      <c r="B2" s="1959" t="s">
        <v>2402</v>
      </c>
      <c r="C2" s="1882"/>
      <c r="D2" s="1882"/>
      <c r="E2" s="1882"/>
      <c r="F2" s="1882"/>
      <c r="G2" s="1882"/>
      <c r="H2" s="1882"/>
      <c r="I2" s="1883"/>
      <c r="J2" s="595"/>
      <c r="K2" s="595"/>
      <c r="L2" s="815"/>
      <c r="M2" s="357"/>
      <c r="N2" s="595"/>
      <c r="O2" s="815"/>
      <c r="P2" s="815"/>
      <c r="Q2" s="595"/>
      <c r="R2" s="358"/>
      <c r="S2" s="706"/>
      <c r="T2" s="706"/>
      <c r="U2" s="707"/>
      <c r="V2" s="595"/>
      <c r="W2" s="595"/>
      <c r="X2" s="595"/>
      <c r="Y2" s="595"/>
      <c r="Z2" s="595"/>
      <c r="AA2" s="595"/>
      <c r="AB2" s="595"/>
      <c r="AC2" s="595"/>
      <c r="AD2" s="595"/>
      <c r="AE2" s="595"/>
      <c r="AF2" s="595"/>
      <c r="AG2" s="595"/>
      <c r="AH2" s="595"/>
      <c r="AI2" s="595"/>
      <c r="AJ2" s="595"/>
      <c r="AK2" s="595"/>
      <c r="AL2" s="595"/>
      <c r="AM2" s="595"/>
      <c r="AN2" s="595"/>
      <c r="AO2" s="595"/>
      <c r="AP2" s="595"/>
      <c r="AQ2" s="595"/>
      <c r="AR2" s="595"/>
      <c r="AS2" s="595"/>
      <c r="AT2" s="595"/>
      <c r="AU2" s="595"/>
      <c r="AV2" s="595"/>
      <c r="AW2" s="595"/>
      <c r="AX2" s="595"/>
      <c r="AY2" s="595"/>
      <c r="AZ2" s="595"/>
      <c r="BA2" s="570"/>
      <c r="BB2" s="570"/>
      <c r="BC2" s="570"/>
      <c r="BD2" s="570"/>
      <c r="BE2" s="570"/>
      <c r="BF2" s="570"/>
      <c r="BG2" s="570"/>
      <c r="BH2" s="570"/>
      <c r="BI2" s="570"/>
      <c r="BJ2" s="570"/>
      <c r="BK2" s="570"/>
      <c r="BL2" s="570"/>
      <c r="BM2" s="570"/>
      <c r="BN2" s="570"/>
      <c r="BO2" s="570"/>
      <c r="BP2" s="570"/>
      <c r="BQ2" s="570"/>
      <c r="BR2" s="570"/>
      <c r="BS2" s="570"/>
      <c r="BT2" s="570"/>
      <c r="BU2" s="570"/>
      <c r="BV2" s="570"/>
      <c r="BW2" s="570"/>
      <c r="BX2" s="570"/>
      <c r="BY2" s="570"/>
      <c r="BZ2" s="570"/>
      <c r="CA2" s="570"/>
      <c r="CB2" s="570"/>
      <c r="CC2" s="570"/>
      <c r="CD2" s="570"/>
      <c r="CE2" s="570"/>
      <c r="CF2" s="570"/>
      <c r="CG2" s="570"/>
      <c r="CH2" s="570"/>
      <c r="CI2" s="570"/>
      <c r="CJ2" s="570"/>
      <c r="CK2" s="570"/>
      <c r="CL2" s="570"/>
      <c r="CM2" s="570"/>
      <c r="CN2" s="596"/>
    </row>
    <row r="3" ht="25.2" thickBot="true" x14ac:dyDescent="0.3">
      <c r="B3" s="361"/>
      <c r="C3" s="279"/>
      <c r="D3" s="280"/>
      <c r="E3" s="287"/>
      <c r="F3" s="287"/>
      <c r="G3" s="287"/>
      <c r="H3" s="1950" t="s">
        <v>1002</v>
      </c>
      <c r="I3" s="1951"/>
      <c r="J3" s="1951"/>
      <c r="K3" s="1951"/>
      <c r="L3" s="1951"/>
      <c r="M3" s="1951"/>
      <c r="N3" s="1951"/>
      <c r="O3" s="1951"/>
      <c r="P3" s="1951"/>
      <c r="Q3" s="1951"/>
      <c r="R3" s="1952"/>
      <c r="S3" s="298"/>
      <c r="T3" s="299"/>
      <c r="U3" s="279"/>
      <c r="V3" s="279"/>
      <c r="W3" s="279"/>
      <c r="X3" s="279"/>
      <c r="Y3" s="279"/>
      <c r="Z3" s="279"/>
      <c r="AA3" s="279"/>
      <c r="AB3" s="279"/>
      <c r="AC3" s="279"/>
      <c r="AD3" s="279"/>
      <c r="AE3" s="279"/>
      <c r="AF3" s="279"/>
      <c r="AG3" s="279"/>
      <c r="AH3" s="279"/>
      <c r="AI3" s="279"/>
      <c r="AJ3" s="279"/>
      <c r="AK3" s="279"/>
      <c r="AL3" s="279"/>
      <c r="AM3" s="279"/>
      <c r="AN3" s="279"/>
      <c r="AO3" s="279"/>
      <c r="AP3" s="279"/>
      <c r="AQ3" s="279"/>
      <c r="AR3" s="279"/>
      <c r="AS3" s="279"/>
      <c r="AT3" s="279"/>
      <c r="AU3" s="279"/>
      <c r="AV3" s="279"/>
      <c r="AW3" s="279"/>
      <c r="AX3" s="279"/>
      <c r="AY3" s="279"/>
      <c r="AZ3" s="279"/>
      <c r="BA3" s="279"/>
      <c r="BB3" s="279"/>
      <c r="BC3" s="279"/>
      <c r="BD3" s="279"/>
      <c r="BE3" s="279"/>
      <c r="BF3" s="279"/>
      <c r="BG3" s="279"/>
      <c r="BH3" s="279"/>
      <c r="BI3" s="279"/>
      <c r="BJ3" s="279"/>
      <c r="BK3" s="279"/>
      <c r="BL3" s="279"/>
      <c r="BM3" s="279"/>
      <c r="BN3" s="279"/>
      <c r="BO3" s="279"/>
      <c r="BP3" s="279"/>
      <c r="BQ3" s="279"/>
      <c r="BR3" s="279"/>
      <c r="BS3" s="279"/>
      <c r="BT3" s="279"/>
      <c r="BU3" s="279"/>
      <c r="BV3" s="279"/>
      <c r="BW3" s="279"/>
      <c r="BX3" s="279"/>
      <c r="BY3" s="279"/>
      <c r="BZ3" s="279"/>
      <c r="CA3" s="279"/>
      <c r="CB3" s="279"/>
      <c r="CC3" s="279"/>
      <c r="CD3" s="279"/>
      <c r="CE3" s="279"/>
      <c r="CF3" s="279"/>
      <c r="CG3" s="279"/>
      <c r="CH3" s="279"/>
      <c r="CI3" s="279"/>
      <c r="CJ3" s="279"/>
      <c r="CK3" s="279"/>
      <c r="CL3" s="279"/>
      <c r="CM3" s="279"/>
      <c r="CN3" s="382"/>
    </row>
    <row r="4" ht="46.8" x14ac:dyDescent="0.3">
      <c r="B4" s="361"/>
      <c r="C4" s="279"/>
      <c r="D4" s="280"/>
      <c r="E4" s="287"/>
      <c r="F4" s="287"/>
      <c r="G4" s="287"/>
      <c r="H4" s="282" t="s">
        <v>1469</v>
      </c>
      <c r="I4" s="1186" t="s">
        <v>252</v>
      </c>
      <c r="J4" s="1186" t="s">
        <v>1001</v>
      </c>
      <c r="K4" s="311" t="s">
        <v>1003</v>
      </c>
      <c r="L4" s="1962" t="s">
        <v>254</v>
      </c>
      <c r="M4" s="1962"/>
      <c r="N4" s="1186" t="s">
        <v>253</v>
      </c>
      <c r="O4" s="283" t="s">
        <v>401</v>
      </c>
      <c r="P4" s="312" t="s">
        <v>289</v>
      </c>
      <c r="Q4" s="1186" t="s">
        <v>1579</v>
      </c>
      <c r="R4" s="291" t="s">
        <v>1013</v>
      </c>
      <c r="S4" s="298"/>
      <c r="T4" s="299"/>
      <c r="U4" s="279"/>
      <c r="V4" s="279"/>
      <c r="W4" s="279"/>
      <c r="X4" s="279"/>
      <c r="Y4" s="279"/>
      <c r="Z4" s="279"/>
      <c r="AA4" s="279"/>
      <c r="AB4" s="279"/>
      <c r="AC4" s="279"/>
      <c r="AD4" s="279"/>
      <c r="AE4" s="279"/>
      <c r="AF4" s="279"/>
      <c r="AG4" s="279"/>
      <c r="AH4" s="279"/>
      <c r="AI4" s="279"/>
      <c r="AJ4" s="279"/>
      <c r="AK4" s="279"/>
      <c r="AL4" s="279"/>
      <c r="AM4" s="279"/>
      <c r="AN4" s="279"/>
      <c r="AO4" s="279"/>
      <c r="AP4" s="279"/>
      <c r="AQ4" s="279"/>
      <c r="AR4" s="279"/>
      <c r="AS4" s="279"/>
      <c r="AT4" s="279"/>
      <c r="AU4" s="279"/>
      <c r="AV4" s="279"/>
      <c r="AW4" s="279"/>
      <c r="AX4" s="279"/>
      <c r="AY4" s="279"/>
      <c r="AZ4" s="279"/>
      <c r="BA4" s="279"/>
      <c r="BB4" s="279"/>
      <c r="BC4" s="279"/>
      <c r="BD4" s="279"/>
      <c r="BE4" s="279"/>
      <c r="BF4" s="279"/>
      <c r="BG4" s="279"/>
      <c r="BH4" s="279"/>
      <c r="BI4" s="279"/>
      <c r="BJ4" s="279"/>
      <c r="BK4" s="279"/>
      <c r="BL4" s="279"/>
      <c r="BM4" s="279"/>
      <c r="BN4" s="279"/>
      <c r="BO4" s="279"/>
      <c r="BP4" s="279"/>
      <c r="BQ4" s="279"/>
      <c r="BR4" s="279"/>
      <c r="BS4" s="279"/>
      <c r="BT4" s="279"/>
      <c r="BU4" s="279"/>
      <c r="BV4" s="279"/>
      <c r="BW4" s="279"/>
      <c r="BX4" s="279"/>
      <c r="BY4" s="279"/>
      <c r="BZ4" s="279"/>
      <c r="CA4" s="279"/>
      <c r="CB4" s="279"/>
      <c r="CC4" s="279"/>
      <c r="CD4" s="279"/>
      <c r="CE4" s="279"/>
      <c r="CF4" s="279"/>
      <c r="CG4" s="279"/>
      <c r="CH4" s="279"/>
      <c r="CI4" s="279"/>
      <c r="CJ4" s="279"/>
      <c r="CK4" s="279"/>
      <c r="CL4" s="279"/>
      <c r="CM4" s="279"/>
      <c r="CN4" s="382"/>
    </row>
    <row r="5" ht="15.6" x14ac:dyDescent="0.3">
      <c r="B5" s="361"/>
      <c r="C5" s="279"/>
      <c r="D5" s="280"/>
      <c r="E5" s="287"/>
      <c r="F5" s="287"/>
      <c r="G5" s="287"/>
      <c r="H5" s="1292">
        <v>1</v>
      </c>
      <c r="I5" s="1502" t="str">
        <f>IF('I. Stream &amp; Compound Data'!G262&lt;&gt;"",'I. Stream &amp; Compound Data'!G262,"")</f>
        <v>Carbon Dioxide</v>
      </c>
      <c r="J5" s="1312">
        <f>IF('I. Stream &amp; Compound Data'!V262&lt;&gt;"",'I. Stream &amp; Compound Data'!V262,"")</f>
        <v>0</v>
      </c>
      <c r="K5" s="1312">
        <f>IF('I. Stream &amp; Compound Data'!U262&lt;&gt;"",'I. Stream &amp; Compound Data'!U262,"")</f>
        <v>0</v>
      </c>
      <c r="L5" s="290">
        <f>IF(H5&gt;'I. Stream &amp; Compound Data'!$F$18,"",IF(J5="","N/A",IF(J5=0,0,1)))</f>
        <v>0</v>
      </c>
      <c r="M5" s="1503">
        <f>IF(H5&gt;'I. Stream &amp; Compound Data'!$F$18,"",IF(L5=0,K5,0))</f>
        <v>0</v>
      </c>
      <c r="N5" s="1294">
        <f>IF(H5&gt;'I. Stream &amp; Compound Data'!$F$18,"",IF(L5&lt;&gt;0,L5,M5))</f>
        <v>0</v>
      </c>
      <c r="O5" s="1294">
        <f>IF(H5&gt;'I. Stream &amp; Compound Data'!$F$18,"",N5)</f>
        <v>0</v>
      </c>
      <c r="P5" s="1294">
        <f>'I. Stream &amp; Compound Data'!P262</f>
        <v>2980.7504537999998</v>
      </c>
      <c r="Q5" s="1504">
        <f t="shared" ref="Q5:Q36" si="0">IF(P5="","",IF(N5&lt;&gt;0,P5*O5,0))</f>
        <v>0</v>
      </c>
      <c r="R5" s="1297">
        <f>IF(P5="","",IF(OR('I. Stream &amp; Compound Data'!U262=1,'I. Stream &amp; Compound Data'!W262=1),'Solid Estimation'!P5,0))</f>
        <v>0</v>
      </c>
      <c r="S5" s="298"/>
      <c r="T5" s="299"/>
      <c r="U5" s="279"/>
      <c r="V5" s="279"/>
      <c r="W5" s="279"/>
      <c r="X5" s="279"/>
      <c r="Y5" s="279"/>
      <c r="Z5" s="279"/>
      <c r="AA5" s="279"/>
      <c r="AB5" s="279"/>
      <c r="AC5" s="279"/>
      <c r="AD5" s="279"/>
      <c r="AE5" s="279"/>
      <c r="AF5" s="279"/>
      <c r="AG5" s="279"/>
      <c r="AH5" s="279"/>
      <c r="AI5" s="279"/>
      <c r="AJ5" s="279"/>
      <c r="AK5" s="279"/>
      <c r="AL5" s="279"/>
      <c r="AM5" s="279"/>
      <c r="AN5" s="279"/>
      <c r="AO5" s="279"/>
      <c r="AP5" s="279"/>
      <c r="AQ5" s="279"/>
      <c r="AR5" s="279"/>
      <c r="AS5" s="279"/>
      <c r="AT5" s="279"/>
      <c r="AU5" s="279"/>
      <c r="AV5" s="279"/>
      <c r="AW5" s="279"/>
      <c r="AX5" s="279"/>
      <c r="AY5" s="279"/>
      <c r="AZ5" s="279"/>
      <c r="BA5" s="279"/>
      <c r="BB5" s="279"/>
      <c r="BC5" s="279"/>
      <c r="BD5" s="279"/>
      <c r="BE5" s="279"/>
      <c r="BF5" s="279"/>
      <c r="BG5" s="279"/>
      <c r="BH5" s="279"/>
      <c r="BI5" s="279"/>
      <c r="BJ5" s="279"/>
      <c r="BK5" s="279"/>
      <c r="BL5" s="279"/>
      <c r="BM5" s="279"/>
      <c r="BN5" s="279"/>
      <c r="BO5" s="279"/>
      <c r="BP5" s="279"/>
      <c r="BQ5" s="279"/>
      <c r="BR5" s="279"/>
      <c r="BS5" s="279"/>
      <c r="BT5" s="279"/>
      <c r="BU5" s="279"/>
      <c r="BV5" s="279"/>
      <c r="BW5" s="279"/>
      <c r="BX5" s="279"/>
      <c r="BY5" s="279"/>
      <c r="BZ5" s="279"/>
      <c r="CA5" s="279"/>
      <c r="CB5" s="279"/>
      <c r="CC5" s="279"/>
      <c r="CD5" s="279"/>
      <c r="CE5" s="279"/>
      <c r="CF5" s="279"/>
      <c r="CG5" s="279"/>
      <c r="CH5" s="279"/>
      <c r="CI5" s="279"/>
      <c r="CJ5" s="279"/>
      <c r="CK5" s="279"/>
      <c r="CL5" s="279"/>
      <c r="CM5" s="279"/>
      <c r="CN5" s="382"/>
    </row>
    <row r="6" ht="15.6" x14ac:dyDescent="0.3">
      <c r="B6" s="361"/>
      <c r="C6" s="279"/>
      <c r="D6" s="280"/>
      <c r="E6" s="287"/>
      <c r="F6" s="287"/>
      <c r="G6" s="287"/>
      <c r="H6" s="1292">
        <f>H5+1</f>
        <v>2</v>
      </c>
      <c r="I6" s="1502" t="str">
        <f>IF('I. Stream &amp; Compound Data'!G263&lt;&gt;"",'I. Stream &amp; Compound Data'!G263,"")</f>
        <v>Water</v>
      </c>
      <c r="J6" s="1312">
        <f>IF('I. Stream &amp; Compound Data'!V263&lt;&gt;"",'I. Stream &amp; Compound Data'!V263,"")</f>
        <v>0</v>
      </c>
      <c r="K6" s="1312">
        <f>IF('I. Stream &amp; Compound Data'!U263&lt;&gt;"",'I. Stream &amp; Compound Data'!U263,"")</f>
        <v>0</v>
      </c>
      <c r="L6" s="290">
        <f>IF(H6&gt;'I. Stream &amp; Compound Data'!$F$18,"",IF(J6="","N/A",IF(J6=0,0,1)))</f>
        <v>0</v>
      </c>
      <c r="M6" s="1503">
        <f>IF(H6&gt;'I. Stream &amp; Compound Data'!$F$18,"",IF(L6=0,K6,0))</f>
        <v>0</v>
      </c>
      <c r="N6" s="1294">
        <f>IF(H6&gt;'I. Stream &amp; Compound Data'!$F$18,"",IF(L6&lt;&gt;0,L6,M6))</f>
        <v>0</v>
      </c>
      <c r="O6" s="1294">
        <f>IF(H6&gt;'I. Stream &amp; Compound Data'!$F$18,"",N6)</f>
        <v>0</v>
      </c>
      <c r="P6" s="1294">
        <f>'I. Stream &amp; Compound Data'!P263</f>
        <v>0</v>
      </c>
      <c r="Q6" s="1504">
        <f t="shared" si="0"/>
        <v>0</v>
      </c>
      <c r="R6" s="1297">
        <f>IF(P6="","",IF(OR('I. Stream &amp; Compound Data'!U263=1,'I. Stream &amp; Compound Data'!W263=1),'Solid Estimation'!P6,0))</f>
        <v>0</v>
      </c>
      <c r="S6" s="298"/>
      <c r="T6" s="299"/>
      <c r="U6" s="279"/>
      <c r="V6" s="279"/>
      <c r="W6" s="279"/>
      <c r="X6" s="279"/>
      <c r="Y6" s="279"/>
      <c r="Z6" s="279"/>
      <c r="AA6" s="279"/>
      <c r="AB6" s="279"/>
      <c r="AC6" s="279"/>
      <c r="AD6" s="279"/>
      <c r="AE6" s="279"/>
      <c r="AF6" s="279"/>
      <c r="AG6" s="279"/>
      <c r="AH6" s="279"/>
      <c r="AI6" s="279"/>
      <c r="AJ6" s="279"/>
      <c r="AK6" s="279"/>
      <c r="AL6" s="279"/>
      <c r="AM6" s="279"/>
      <c r="AN6" s="279"/>
      <c r="AO6" s="279"/>
      <c r="AP6" s="279"/>
      <c r="AQ6" s="279"/>
      <c r="AR6" s="279"/>
      <c r="AS6" s="279"/>
      <c r="AT6" s="279"/>
      <c r="AU6" s="279"/>
      <c r="AV6" s="279"/>
      <c r="AW6" s="279"/>
      <c r="AX6" s="279"/>
      <c r="AY6" s="279"/>
      <c r="AZ6" s="279"/>
      <c r="BA6" s="279"/>
      <c r="BB6" s="279"/>
      <c r="BC6" s="279"/>
      <c r="BD6" s="279"/>
      <c r="BE6" s="279"/>
      <c r="BF6" s="279"/>
      <c r="BG6" s="279"/>
      <c r="BH6" s="279"/>
      <c r="BI6" s="279"/>
      <c r="BJ6" s="279"/>
      <c r="BK6" s="279"/>
      <c r="BL6" s="279"/>
      <c r="BM6" s="279"/>
      <c r="BN6" s="279"/>
      <c r="BO6" s="279"/>
      <c r="BP6" s="279"/>
      <c r="BQ6" s="279"/>
      <c r="BR6" s="279"/>
      <c r="BS6" s="279"/>
      <c r="BT6" s="279"/>
      <c r="BU6" s="279"/>
      <c r="BV6" s="279"/>
      <c r="BW6" s="279"/>
      <c r="BX6" s="279"/>
      <c r="BY6" s="279"/>
      <c r="BZ6" s="279"/>
      <c r="CA6" s="279"/>
      <c r="CB6" s="279"/>
      <c r="CC6" s="279"/>
      <c r="CD6" s="279"/>
      <c r="CE6" s="279"/>
      <c r="CF6" s="279"/>
      <c r="CG6" s="279"/>
      <c r="CH6" s="279"/>
      <c r="CI6" s="279"/>
      <c r="CJ6" s="279"/>
      <c r="CK6" s="279"/>
      <c r="CL6" s="279"/>
      <c r="CM6" s="279"/>
      <c r="CN6" s="382"/>
    </row>
    <row r="7" ht="15.6" x14ac:dyDescent="0.3">
      <c r="B7" s="361"/>
      <c r="C7" s="279"/>
      <c r="D7" s="280"/>
      <c r="E7" s="287"/>
      <c r="F7" s="287"/>
      <c r="G7" s="287"/>
      <c r="H7" s="1292">
        <f t="shared" ref="H7:H54" si="1">H6+1</f>
        <v>3</v>
      </c>
      <c r="I7" s="1502" t="str">
        <f>IF('I. Stream &amp; Compound Data'!G264&lt;&gt;"",'I. Stream &amp; Compound Data'!G264,"")</f>
        <v>Calcium Oxide</v>
      </c>
      <c r="J7" s="1312">
        <f>IF('I. Stream &amp; Compound Data'!V264&lt;&gt;"",'I. Stream &amp; Compound Data'!V264,"")</f>
        <v>1</v>
      </c>
      <c r="K7" s="1312">
        <f>IF('I. Stream &amp; Compound Data'!U264&lt;&gt;"",'I. Stream &amp; Compound Data'!U264,"")</f>
        <v>0</v>
      </c>
      <c r="L7" s="290">
        <f>IF(H7&gt;'I. Stream &amp; Compound Data'!$F$18,"",IF(J7="","N/A",IF(J7=0,0,1)))</f>
        <v>1</v>
      </c>
      <c r="M7" s="1503">
        <f>IF(H7&gt;'I. Stream &amp; Compound Data'!$F$18,"",IF(L7=0,K7,0))</f>
        <v>0</v>
      </c>
      <c r="N7" s="1294">
        <f>IF(H7&gt;'I. Stream &amp; Compound Data'!$F$18,"",IF(L7&lt;&gt;0,L7,M7))</f>
        <v>1</v>
      </c>
      <c r="O7" s="1294">
        <f>IF(H7&gt;'I. Stream &amp; Compound Data'!$F$18,"",N7)</f>
        <v>1</v>
      </c>
      <c r="P7" s="1294">
        <f>'I. Stream &amp; Compound Data'!P264</f>
        <v>0</v>
      </c>
      <c r="Q7" s="1504">
        <f t="shared" si="0"/>
        <v>0</v>
      </c>
      <c r="R7" s="1297">
        <f>IF(P7="","",IF(OR('I. Stream &amp; Compound Data'!U264=1,'I. Stream &amp; Compound Data'!W264=1),'Solid Estimation'!P7,0))</f>
        <v>0</v>
      </c>
      <c r="S7" s="298"/>
      <c r="T7" s="299"/>
      <c r="U7" s="279"/>
      <c r="V7" s="279"/>
      <c r="W7" s="279"/>
      <c r="X7" s="279"/>
      <c r="Y7" s="279"/>
      <c r="Z7" s="279"/>
      <c r="AA7" s="279"/>
      <c r="AB7" s="279"/>
      <c r="AC7" s="279"/>
      <c r="AD7" s="279"/>
      <c r="AE7" s="279"/>
      <c r="AF7" s="279"/>
      <c r="AG7" s="279"/>
      <c r="AH7" s="279"/>
      <c r="AI7" s="279"/>
      <c r="AJ7" s="279"/>
      <c r="AK7" s="279"/>
      <c r="AL7" s="279"/>
      <c r="AM7" s="279"/>
      <c r="AN7" s="279"/>
      <c r="AO7" s="279"/>
      <c r="AP7" s="279"/>
      <c r="AQ7" s="279"/>
      <c r="AR7" s="279"/>
      <c r="AS7" s="279"/>
      <c r="AT7" s="279"/>
      <c r="AU7" s="279"/>
      <c r="AV7" s="279"/>
      <c r="AW7" s="279"/>
      <c r="AX7" s="279"/>
      <c r="AY7" s="279"/>
      <c r="AZ7" s="279"/>
      <c r="BA7" s="279"/>
      <c r="BB7" s="279"/>
      <c r="BC7" s="279"/>
      <c r="BD7" s="279"/>
      <c r="BE7" s="279"/>
      <c r="BF7" s="279"/>
      <c r="BG7" s="279"/>
      <c r="BH7" s="279"/>
      <c r="BI7" s="279"/>
      <c r="BJ7" s="279"/>
      <c r="BK7" s="279"/>
      <c r="BL7" s="279"/>
      <c r="BM7" s="279"/>
      <c r="BN7" s="279"/>
      <c r="BO7" s="279"/>
      <c r="BP7" s="279"/>
      <c r="BQ7" s="279"/>
      <c r="BR7" s="279"/>
      <c r="BS7" s="279"/>
      <c r="BT7" s="279"/>
      <c r="BU7" s="279"/>
      <c r="BV7" s="279"/>
      <c r="BW7" s="279"/>
      <c r="BX7" s="279"/>
      <c r="BY7" s="279"/>
      <c r="BZ7" s="279"/>
      <c r="CA7" s="279"/>
      <c r="CB7" s="279"/>
      <c r="CC7" s="279"/>
      <c r="CD7" s="279"/>
      <c r="CE7" s="279"/>
      <c r="CF7" s="279"/>
      <c r="CG7" s="279"/>
      <c r="CH7" s="279"/>
      <c r="CI7" s="279"/>
      <c r="CJ7" s="279"/>
      <c r="CK7" s="279"/>
      <c r="CL7" s="279"/>
      <c r="CM7" s="279"/>
      <c r="CN7" s="382"/>
    </row>
    <row r="8" ht="15.6" x14ac:dyDescent="0.3">
      <c r="B8" s="361"/>
      <c r="C8" s="279"/>
      <c r="D8" s="280"/>
      <c r="E8" s="287"/>
      <c r="F8" s="287"/>
      <c r="G8" s="287"/>
      <c r="H8" s="1292">
        <f t="shared" si="1"/>
        <v>4</v>
      </c>
      <c r="I8" s="1502" t="str">
        <f>IF('I. Stream &amp; Compound Data'!G265&lt;&gt;"",'I. Stream &amp; Compound Data'!G265,"")</f>
        <v>Calcium Carbonate</v>
      </c>
      <c r="J8" s="1312">
        <f>IF('I. Stream &amp; Compound Data'!V265&lt;&gt;"",'I. Stream &amp; Compound Data'!V265,"")</f>
        <v>1</v>
      </c>
      <c r="K8" s="1312">
        <f>IF('I. Stream &amp; Compound Data'!U265&lt;&gt;"",'I. Stream &amp; Compound Data'!U265,"")</f>
        <v>0</v>
      </c>
      <c r="L8" s="290">
        <f>IF(H8&gt;'I. Stream &amp; Compound Data'!$F$18,"",IF(J8="","N/A",IF(J8=0,0,1)))</f>
        <v>1</v>
      </c>
      <c r="M8" s="1503">
        <f>IF(H8&gt;'I. Stream &amp; Compound Data'!$F$18,"",IF(L8=0,K8,0))</f>
        <v>0</v>
      </c>
      <c r="N8" s="1294">
        <f>IF(H8&gt;'I. Stream &amp; Compound Data'!$F$18,"",IF(L8&lt;&gt;0,L8,M8))</f>
        <v>1</v>
      </c>
      <c r="O8" s="1294">
        <f>IF(H8&gt;'I. Stream &amp; Compound Data'!$F$18,"",N8)</f>
        <v>1</v>
      </c>
      <c r="P8" s="1294">
        <f>'I. Stream &amp; Compound Data'!P265</f>
        <v>0</v>
      </c>
      <c r="Q8" s="1504">
        <f t="shared" si="0"/>
        <v>0</v>
      </c>
      <c r="R8" s="1297">
        <f>IF(P8="","",IF(OR('I. Stream &amp; Compound Data'!U265=1,'I. Stream &amp; Compound Data'!W265=1),'Solid Estimation'!P8,0))</f>
        <v>0</v>
      </c>
      <c r="S8" s="298"/>
      <c r="T8" s="299"/>
      <c r="U8" s="279"/>
      <c r="V8" s="279"/>
      <c r="W8" s="279"/>
      <c r="X8" s="279"/>
      <c r="Y8" s="279"/>
      <c r="Z8" s="279"/>
      <c r="AA8" s="279"/>
      <c r="AB8" s="279"/>
      <c r="AC8" s="279"/>
      <c r="AD8" s="279"/>
      <c r="AE8" s="279"/>
      <c r="AF8" s="279"/>
      <c r="AG8" s="279"/>
      <c r="AH8" s="279"/>
      <c r="AI8" s="279"/>
      <c r="AJ8" s="279"/>
      <c r="AK8" s="279"/>
      <c r="AL8" s="279"/>
      <c r="AM8" s="279"/>
      <c r="AN8" s="279"/>
      <c r="AO8" s="279"/>
      <c r="AP8" s="279"/>
      <c r="AQ8" s="279"/>
      <c r="AR8" s="279"/>
      <c r="AS8" s="279"/>
      <c r="AT8" s="279"/>
      <c r="AU8" s="279"/>
      <c r="AV8" s="279"/>
      <c r="AW8" s="279"/>
      <c r="AX8" s="279"/>
      <c r="AY8" s="279"/>
      <c r="AZ8" s="279"/>
      <c r="BA8" s="279"/>
      <c r="BB8" s="279"/>
      <c r="BC8" s="279"/>
      <c r="BD8" s="279"/>
      <c r="BE8" s="279"/>
      <c r="BF8" s="279"/>
      <c r="BG8" s="279"/>
      <c r="BH8" s="279"/>
      <c r="BI8" s="279"/>
      <c r="BJ8" s="279"/>
      <c r="BK8" s="279"/>
      <c r="BL8" s="279"/>
      <c r="BM8" s="279"/>
      <c r="BN8" s="279"/>
      <c r="BO8" s="279"/>
      <c r="BP8" s="279"/>
      <c r="BQ8" s="279"/>
      <c r="BR8" s="279"/>
      <c r="BS8" s="279"/>
      <c r="BT8" s="279"/>
      <c r="BU8" s="279"/>
      <c r="BV8" s="279"/>
      <c r="BW8" s="279"/>
      <c r="BX8" s="279"/>
      <c r="BY8" s="279"/>
      <c r="BZ8" s="279"/>
      <c r="CA8" s="279"/>
      <c r="CB8" s="279"/>
      <c r="CC8" s="279"/>
      <c r="CD8" s="279"/>
      <c r="CE8" s="279"/>
      <c r="CF8" s="279"/>
      <c r="CG8" s="279"/>
      <c r="CH8" s="279"/>
      <c r="CI8" s="279"/>
      <c r="CJ8" s="279"/>
      <c r="CK8" s="279"/>
      <c r="CL8" s="279"/>
      <c r="CM8" s="279"/>
      <c r="CN8" s="382"/>
    </row>
    <row r="9" ht="15.6" x14ac:dyDescent="0.3">
      <c r="B9" s="361"/>
      <c r="C9" s="279"/>
      <c r="D9" s="280"/>
      <c r="E9" s="287"/>
      <c r="F9" s="287"/>
      <c r="G9" s="287"/>
      <c r="H9" s="1292">
        <f t="shared" si="1"/>
        <v>5</v>
      </c>
      <c r="I9" s="1502" t="str">
        <f>IF('I. Stream &amp; Compound Data'!G266&lt;&gt;"",'I. Stream &amp; Compound Data'!G266,"")</f>
        <v/>
      </c>
      <c r="J9" s="1312" t="str">
        <f>IF('I. Stream &amp; Compound Data'!V266&lt;&gt;"",'I. Stream &amp; Compound Data'!V266,"")</f>
        <v/>
      </c>
      <c r="K9" s="1312" t="str">
        <f>IF('I. Stream &amp; Compound Data'!U266&lt;&gt;"",'I. Stream &amp; Compound Data'!U266,"")</f>
        <v/>
      </c>
      <c r="L9" s="290" t="str">
        <f>IF(H9&gt;'I. Stream &amp; Compound Data'!$F$18,"",IF(J9="","N/A",IF(J9=0,0,1)))</f>
        <v/>
      </c>
      <c r="M9" s="1503" t="str">
        <f>IF(H9&gt;'I. Stream &amp; Compound Data'!$F$18,"",IF(L9=0,K9,0))</f>
        <v/>
      </c>
      <c r="N9" s="1294" t="str">
        <f>IF(H9&gt;'I. Stream &amp; Compound Data'!$F$18,"",IF(L9&lt;&gt;0,L9,M9))</f>
        <v/>
      </c>
      <c r="O9" s="1294" t="str">
        <f>IF(H9&gt;'I. Stream &amp; Compound Data'!$F$18,"",N9)</f>
        <v/>
      </c>
      <c r="P9" s="1294" t="str">
        <f>'I. Stream &amp; Compound Data'!P266</f>
        <v/>
      </c>
      <c r="Q9" s="1504" t="str">
        <f t="shared" si="0"/>
        <v/>
      </c>
      <c r="R9" s="1297" t="str">
        <f>IF(P9="","",IF(OR('I. Stream &amp; Compound Data'!U266=1,'I. Stream &amp; Compound Data'!W266=1),'Solid Estimation'!P9,0))</f>
        <v/>
      </c>
      <c r="S9" s="298"/>
      <c r="T9" s="299"/>
      <c r="U9" s="279"/>
      <c r="V9" s="279"/>
      <c r="W9" s="279"/>
      <c r="X9" s="279"/>
      <c r="Y9" s="279"/>
      <c r="Z9" s="279"/>
      <c r="AA9" s="279"/>
      <c r="AB9" s="279"/>
      <c r="AC9" s="279"/>
      <c r="AD9" s="279"/>
      <c r="AE9" s="279"/>
      <c r="AF9" s="279"/>
      <c r="AG9" s="279"/>
      <c r="AH9" s="279"/>
      <c r="AI9" s="279"/>
      <c r="AJ9" s="279"/>
      <c r="AK9" s="279"/>
      <c r="AL9" s="279"/>
      <c r="AM9" s="279"/>
      <c r="AN9" s="279"/>
      <c r="AO9" s="279"/>
      <c r="AP9" s="279"/>
      <c r="AQ9" s="279"/>
      <c r="AR9" s="279"/>
      <c r="AS9" s="279"/>
      <c r="AT9" s="279"/>
      <c r="AU9" s="279"/>
      <c r="AV9" s="279"/>
      <c r="AW9" s="279"/>
      <c r="AX9" s="279"/>
      <c r="AY9" s="279"/>
      <c r="AZ9" s="279"/>
      <c r="BA9" s="279"/>
      <c r="BB9" s="279"/>
      <c r="BC9" s="279"/>
      <c r="BD9" s="279"/>
      <c r="BE9" s="279"/>
      <c r="BF9" s="279"/>
      <c r="BG9" s="279"/>
      <c r="BH9" s="279"/>
      <c r="BI9" s="279"/>
      <c r="BJ9" s="279"/>
      <c r="BK9" s="279"/>
      <c r="BL9" s="279"/>
      <c r="BM9" s="279"/>
      <c r="BN9" s="279"/>
      <c r="BO9" s="279"/>
      <c r="BP9" s="279"/>
      <c r="BQ9" s="279"/>
      <c r="BR9" s="279"/>
      <c r="BS9" s="279"/>
      <c r="BT9" s="279"/>
      <c r="BU9" s="279"/>
      <c r="BV9" s="279"/>
      <c r="BW9" s="279"/>
      <c r="BX9" s="279"/>
      <c r="BY9" s="279"/>
      <c r="BZ9" s="279"/>
      <c r="CA9" s="279"/>
      <c r="CB9" s="279"/>
      <c r="CC9" s="279"/>
      <c r="CD9" s="279"/>
      <c r="CE9" s="279"/>
      <c r="CF9" s="279"/>
      <c r="CG9" s="279"/>
      <c r="CH9" s="279"/>
      <c r="CI9" s="279"/>
      <c r="CJ9" s="279"/>
      <c r="CK9" s="279"/>
      <c r="CL9" s="279"/>
      <c r="CM9" s="279"/>
      <c r="CN9" s="382"/>
    </row>
    <row r="10" ht="15.6" x14ac:dyDescent="0.3">
      <c r="B10" s="361"/>
      <c r="C10" s="279"/>
      <c r="D10" s="280"/>
      <c r="E10" s="287"/>
      <c r="F10" s="287"/>
      <c r="G10" s="287"/>
      <c r="H10" s="1292">
        <f t="shared" si="1"/>
        <v>6</v>
      </c>
      <c r="I10" s="1502" t="str">
        <f>IF('I. Stream &amp; Compound Data'!G267&lt;&gt;"",'I. Stream &amp; Compound Data'!G267,"")</f>
        <v/>
      </c>
      <c r="J10" s="1312" t="str">
        <f>IF('I. Stream &amp; Compound Data'!V267&lt;&gt;"",'I. Stream &amp; Compound Data'!V267,"")</f>
        <v/>
      </c>
      <c r="K10" s="1312" t="str">
        <f>IF('I. Stream &amp; Compound Data'!U267&lt;&gt;"",'I. Stream &amp; Compound Data'!U267,"")</f>
        <v/>
      </c>
      <c r="L10" s="290" t="str">
        <f>IF(H10&gt;'I. Stream &amp; Compound Data'!$F$18,"",IF(J10="","N/A",IF(J10=0,0,1)))</f>
        <v/>
      </c>
      <c r="M10" s="1503" t="str">
        <f>IF(H10&gt;'I. Stream &amp; Compound Data'!$F$18,"",IF(L10=0,K10,0))</f>
        <v/>
      </c>
      <c r="N10" s="1294" t="str">
        <f>IF(H10&gt;'I. Stream &amp; Compound Data'!$F$18,"",IF(L10&lt;&gt;0,L10,M10))</f>
        <v/>
      </c>
      <c r="O10" s="1294" t="str">
        <f>IF(H10&gt;'I. Stream &amp; Compound Data'!$F$18,"",N10)</f>
        <v/>
      </c>
      <c r="P10" s="1294" t="str">
        <f>'I. Stream &amp; Compound Data'!P267</f>
        <v/>
      </c>
      <c r="Q10" s="1504" t="str">
        <f t="shared" si="0"/>
        <v/>
      </c>
      <c r="R10" s="1297" t="str">
        <f>IF(P10="","",IF(OR('I. Stream &amp; Compound Data'!U267=1,'I. Stream &amp; Compound Data'!W267=1),'Solid Estimation'!P10,0))</f>
        <v/>
      </c>
      <c r="S10" s="298"/>
      <c r="T10" s="299"/>
      <c r="U10" s="279"/>
      <c r="V10" s="279"/>
      <c r="W10" s="279"/>
      <c r="X10" s="279"/>
      <c r="Y10" s="279"/>
      <c r="Z10" s="279"/>
      <c r="AA10" s="279"/>
      <c r="AB10" s="279"/>
      <c r="AC10" s="279"/>
      <c r="AD10" s="279"/>
      <c r="AE10" s="279"/>
      <c r="AF10" s="279"/>
      <c r="AG10" s="279"/>
      <c r="AH10" s="279"/>
      <c r="AI10" s="279"/>
      <c r="AJ10" s="279"/>
      <c r="AK10" s="279"/>
      <c r="AL10" s="279"/>
      <c r="AM10" s="279"/>
      <c r="AN10" s="279"/>
      <c r="AO10" s="279"/>
      <c r="AP10" s="279"/>
      <c r="AQ10" s="279"/>
      <c r="AR10" s="279"/>
      <c r="AS10" s="279"/>
      <c r="AT10" s="279"/>
      <c r="AU10" s="279"/>
      <c r="AV10" s="279"/>
      <c r="AW10" s="279"/>
      <c r="AX10" s="279"/>
      <c r="AY10" s="279"/>
      <c r="AZ10" s="279"/>
      <c r="BA10" s="279"/>
      <c r="BB10" s="279"/>
      <c r="BC10" s="279"/>
      <c r="BD10" s="279"/>
      <c r="BE10" s="279"/>
      <c r="BF10" s="279"/>
      <c r="BG10" s="279"/>
      <c r="BH10" s="279"/>
      <c r="BI10" s="279"/>
      <c r="BJ10" s="279"/>
      <c r="BK10" s="279"/>
      <c r="BL10" s="279"/>
      <c r="BM10" s="279"/>
      <c r="BN10" s="279"/>
      <c r="BO10" s="279"/>
      <c r="BP10" s="279"/>
      <c r="BQ10" s="279"/>
      <c r="BR10" s="279"/>
      <c r="BS10" s="279"/>
      <c r="BT10" s="279"/>
      <c r="BU10" s="279"/>
      <c r="BV10" s="279"/>
      <c r="BW10" s="279"/>
      <c r="BX10" s="279"/>
      <c r="BY10" s="279"/>
      <c r="BZ10" s="279"/>
      <c r="CA10" s="279"/>
      <c r="CB10" s="279"/>
      <c r="CC10" s="279"/>
      <c r="CD10" s="279"/>
      <c r="CE10" s="279"/>
      <c r="CF10" s="279"/>
      <c r="CG10" s="279"/>
      <c r="CH10" s="279"/>
      <c r="CI10" s="279"/>
      <c r="CJ10" s="279"/>
      <c r="CK10" s="279"/>
      <c r="CL10" s="279"/>
      <c r="CM10" s="279"/>
      <c r="CN10" s="382"/>
    </row>
    <row r="11" ht="15.6" x14ac:dyDescent="0.3">
      <c r="B11" s="361"/>
      <c r="C11" s="279"/>
      <c r="D11" s="280"/>
      <c r="E11" s="287"/>
      <c r="F11" s="287"/>
      <c r="G11" s="287"/>
      <c r="H11" s="1292">
        <f t="shared" si="1"/>
        <v>7</v>
      </c>
      <c r="I11" s="1502" t="str">
        <f>IF('I. Stream &amp; Compound Data'!G268&lt;&gt;"",'I. Stream &amp; Compound Data'!G268,"")</f>
        <v/>
      </c>
      <c r="J11" s="1312" t="str">
        <f>IF('I. Stream &amp; Compound Data'!V268&lt;&gt;"",'I. Stream &amp; Compound Data'!V268,"")</f>
        <v/>
      </c>
      <c r="K11" s="1312" t="str">
        <f>IF('I. Stream &amp; Compound Data'!U268&lt;&gt;"",'I. Stream &amp; Compound Data'!U268,"")</f>
        <v/>
      </c>
      <c r="L11" s="290" t="str">
        <f>IF(H11&gt;'I. Stream &amp; Compound Data'!$F$18,"",IF(J11="","N/A",IF(J11=0,0,1)))</f>
        <v/>
      </c>
      <c r="M11" s="1503" t="str">
        <f>IF(H11&gt;'I. Stream &amp; Compound Data'!$F$18,"",IF(L11=0,K11,0))</f>
        <v/>
      </c>
      <c r="N11" s="1294" t="str">
        <f>IF(H11&gt;'I. Stream &amp; Compound Data'!$F$18,"",IF(L11&lt;&gt;0,L11,M11))</f>
        <v/>
      </c>
      <c r="O11" s="1294" t="str">
        <f>IF(H11&gt;'I. Stream &amp; Compound Data'!$F$18,"",N11)</f>
        <v/>
      </c>
      <c r="P11" s="1294" t="str">
        <f>'I. Stream &amp; Compound Data'!P268</f>
        <v/>
      </c>
      <c r="Q11" s="1504" t="str">
        <f t="shared" si="0"/>
        <v/>
      </c>
      <c r="R11" s="1297" t="str">
        <f>IF(P11="","",IF(OR('I. Stream &amp; Compound Data'!U268=1,'I. Stream &amp; Compound Data'!W268=1),'Solid Estimation'!P11,0))</f>
        <v/>
      </c>
      <c r="S11" s="298"/>
      <c r="T11" s="299"/>
      <c r="U11" s="279"/>
      <c r="V11" s="279"/>
      <c r="W11" s="279"/>
      <c r="X11" s="279"/>
      <c r="Y11" s="279"/>
      <c r="Z11" s="279"/>
      <c r="AA11" s="279"/>
      <c r="AB11" s="279"/>
      <c r="AC11" s="279"/>
      <c r="AD11" s="279"/>
      <c r="AE11" s="279"/>
      <c r="AF11" s="279"/>
      <c r="AG11" s="279"/>
      <c r="AH11" s="279"/>
      <c r="AI11" s="279"/>
      <c r="AJ11" s="279"/>
      <c r="AK11" s="279"/>
      <c r="AL11" s="279"/>
      <c r="AM11" s="279"/>
      <c r="AN11" s="279"/>
      <c r="AO11" s="279"/>
      <c r="AP11" s="279"/>
      <c r="AQ11" s="279"/>
      <c r="AR11" s="279"/>
      <c r="AS11" s="279"/>
      <c r="AT11" s="279"/>
      <c r="AU11" s="279"/>
      <c r="AV11" s="279"/>
      <c r="AW11" s="279"/>
      <c r="AX11" s="279"/>
      <c r="AY11" s="279"/>
      <c r="AZ11" s="279"/>
      <c r="BA11" s="279"/>
      <c r="BB11" s="279"/>
      <c r="BC11" s="279"/>
      <c r="BD11" s="279"/>
      <c r="BE11" s="279"/>
      <c r="BF11" s="279"/>
      <c r="BG11" s="279"/>
      <c r="BH11" s="279"/>
      <c r="BI11" s="279"/>
      <c r="BJ11" s="279"/>
      <c r="BK11" s="279"/>
      <c r="BL11" s="279"/>
      <c r="BM11" s="279"/>
      <c r="BN11" s="279"/>
      <c r="BO11" s="279"/>
      <c r="BP11" s="279"/>
      <c r="BQ11" s="279"/>
      <c r="BR11" s="279"/>
      <c r="BS11" s="279"/>
      <c r="BT11" s="279"/>
      <c r="BU11" s="279"/>
      <c r="BV11" s="279"/>
      <c r="BW11" s="279"/>
      <c r="BX11" s="279"/>
      <c r="BY11" s="279"/>
      <c r="BZ11" s="279"/>
      <c r="CA11" s="279"/>
      <c r="CB11" s="279"/>
      <c r="CC11" s="279"/>
      <c r="CD11" s="279"/>
      <c r="CE11" s="279"/>
      <c r="CF11" s="279"/>
      <c r="CG11" s="279"/>
      <c r="CH11" s="279"/>
      <c r="CI11" s="279"/>
      <c r="CJ11" s="279"/>
      <c r="CK11" s="279"/>
      <c r="CL11" s="279"/>
      <c r="CM11" s="279"/>
      <c r="CN11" s="382"/>
    </row>
    <row r="12" ht="15.6" x14ac:dyDescent="0.3">
      <c r="B12" s="361"/>
      <c r="C12" s="279"/>
      <c r="D12" s="280"/>
      <c r="E12" s="287"/>
      <c r="F12" s="287"/>
      <c r="G12" s="287"/>
      <c r="H12" s="1292">
        <f t="shared" si="1"/>
        <v>8</v>
      </c>
      <c r="I12" s="1502" t="str">
        <f>IF('I. Stream &amp; Compound Data'!G269&lt;&gt;"",'I. Stream &amp; Compound Data'!G269,"")</f>
        <v/>
      </c>
      <c r="J12" s="1312" t="str">
        <f>IF('I. Stream &amp; Compound Data'!V269&lt;&gt;"",'I. Stream &amp; Compound Data'!V269,"")</f>
        <v/>
      </c>
      <c r="K12" s="1312" t="str">
        <f>IF('I. Stream &amp; Compound Data'!U269&lt;&gt;"",'I. Stream &amp; Compound Data'!U269,"")</f>
        <v/>
      </c>
      <c r="L12" s="290" t="str">
        <f>IF(H12&gt;'I. Stream &amp; Compound Data'!$F$18,"",IF(J12="","N/A",IF(J12=0,0,1)))</f>
        <v/>
      </c>
      <c r="M12" s="1503" t="str">
        <f>IF(H12&gt;'I. Stream &amp; Compound Data'!$F$18,"",IF(L12=0,K12,0))</f>
        <v/>
      </c>
      <c r="N12" s="1294" t="str">
        <f>IF(H12&gt;'I. Stream &amp; Compound Data'!$F$18,"",IF(L12&lt;&gt;0,L12,M12))</f>
        <v/>
      </c>
      <c r="O12" s="1294" t="str">
        <f>IF(H12&gt;'I. Stream &amp; Compound Data'!$F$18,"",N12)</f>
        <v/>
      </c>
      <c r="P12" s="1294" t="str">
        <f>'I. Stream &amp; Compound Data'!P269</f>
        <v/>
      </c>
      <c r="Q12" s="1504" t="str">
        <f t="shared" si="0"/>
        <v/>
      </c>
      <c r="R12" s="1297" t="str">
        <f>IF(P12="","",IF(OR('I. Stream &amp; Compound Data'!U269=1,'I. Stream &amp; Compound Data'!W269=1),'Solid Estimation'!P12,0))</f>
        <v/>
      </c>
      <c r="S12" s="298"/>
      <c r="T12" s="299"/>
      <c r="U12" s="279"/>
      <c r="V12" s="279"/>
      <c r="W12" s="279"/>
      <c r="X12" s="279"/>
      <c r="Y12" s="279"/>
      <c r="Z12" s="279"/>
      <c r="AA12" s="279"/>
      <c r="AB12" s="279"/>
      <c r="AC12" s="279"/>
      <c r="AD12" s="279"/>
      <c r="AE12" s="279"/>
      <c r="AF12" s="279"/>
      <c r="AG12" s="279"/>
      <c r="AH12" s="279"/>
      <c r="AI12" s="279"/>
      <c r="AJ12" s="279"/>
      <c r="AK12" s="279"/>
      <c r="AL12" s="279"/>
      <c r="AM12" s="279"/>
      <c r="AN12" s="279"/>
      <c r="AO12" s="279"/>
      <c r="AP12" s="279"/>
      <c r="AQ12" s="279"/>
      <c r="AR12" s="279"/>
      <c r="AS12" s="279"/>
      <c r="AT12" s="279"/>
      <c r="AU12" s="279"/>
      <c r="AV12" s="279"/>
      <c r="AW12" s="279"/>
      <c r="AX12" s="279"/>
      <c r="AY12" s="279"/>
      <c r="AZ12" s="279"/>
      <c r="BA12" s="279"/>
      <c r="BB12" s="279"/>
      <c r="BC12" s="279"/>
      <c r="BD12" s="279"/>
      <c r="BE12" s="279"/>
      <c r="BF12" s="279"/>
      <c r="BG12" s="279"/>
      <c r="BH12" s="279"/>
      <c r="BI12" s="279"/>
      <c r="BJ12" s="279"/>
      <c r="BK12" s="279"/>
      <c r="BL12" s="279"/>
      <c r="BM12" s="279"/>
      <c r="BN12" s="279"/>
      <c r="BO12" s="279"/>
      <c r="BP12" s="279"/>
      <c r="BQ12" s="279"/>
      <c r="BR12" s="279"/>
      <c r="BS12" s="279"/>
      <c r="BT12" s="279"/>
      <c r="BU12" s="279"/>
      <c r="BV12" s="279"/>
      <c r="BW12" s="279"/>
      <c r="BX12" s="279"/>
      <c r="BY12" s="279"/>
      <c r="BZ12" s="279"/>
      <c r="CA12" s="279"/>
      <c r="CB12" s="279"/>
      <c r="CC12" s="279"/>
      <c r="CD12" s="279"/>
      <c r="CE12" s="279"/>
      <c r="CF12" s="279"/>
      <c r="CG12" s="279"/>
      <c r="CH12" s="279"/>
      <c r="CI12" s="279"/>
      <c r="CJ12" s="279"/>
      <c r="CK12" s="279"/>
      <c r="CL12" s="279"/>
      <c r="CM12" s="279"/>
      <c r="CN12" s="382"/>
    </row>
    <row r="13" ht="15.6" x14ac:dyDescent="0.3">
      <c r="B13" s="361"/>
      <c r="C13" s="279"/>
      <c r="D13" s="280"/>
      <c r="E13" s="287"/>
      <c r="F13" s="287"/>
      <c r="G13" s="287"/>
      <c r="H13" s="1292">
        <f t="shared" si="1"/>
        <v>9</v>
      </c>
      <c r="I13" s="1502" t="str">
        <f>IF('I. Stream &amp; Compound Data'!G270&lt;&gt;"",'I. Stream &amp; Compound Data'!G270,"")</f>
        <v/>
      </c>
      <c r="J13" s="1312" t="str">
        <f>IF('I. Stream &amp; Compound Data'!V270&lt;&gt;"",'I. Stream &amp; Compound Data'!V270,"")</f>
        <v/>
      </c>
      <c r="K13" s="1312" t="str">
        <f>IF('I. Stream &amp; Compound Data'!U270&lt;&gt;"",'I. Stream &amp; Compound Data'!U270,"")</f>
        <v/>
      </c>
      <c r="L13" s="290" t="str">
        <f>IF(H13&gt;'I. Stream &amp; Compound Data'!$F$18,"",IF(J13="","N/A",IF(J13=0,0,1)))</f>
        <v/>
      </c>
      <c r="M13" s="1503" t="str">
        <f>IF(H13&gt;'I. Stream &amp; Compound Data'!$F$18,"",IF(L13=0,K13,0))</f>
        <v/>
      </c>
      <c r="N13" s="1294" t="str">
        <f>IF(H13&gt;'I. Stream &amp; Compound Data'!$F$18,"",IF(L13&lt;&gt;0,L13,M13))</f>
        <v/>
      </c>
      <c r="O13" s="1294" t="str">
        <f>IF(H13&gt;'I. Stream &amp; Compound Data'!$F$18,"",N13)</f>
        <v/>
      </c>
      <c r="P13" s="1294" t="str">
        <f>'I. Stream &amp; Compound Data'!P270</f>
        <v/>
      </c>
      <c r="Q13" s="1504" t="str">
        <f t="shared" si="0"/>
        <v/>
      </c>
      <c r="R13" s="1297" t="str">
        <f>IF(P13="","",IF(OR('I. Stream &amp; Compound Data'!U270=1,'I. Stream &amp; Compound Data'!W270=1),'Solid Estimation'!P13,0))</f>
        <v/>
      </c>
      <c r="S13" s="298"/>
      <c r="T13" s="299"/>
      <c r="U13" s="279"/>
      <c r="V13" s="279"/>
      <c r="W13" s="279"/>
      <c r="X13" s="279"/>
      <c r="Y13" s="279"/>
      <c r="Z13" s="279"/>
      <c r="AA13" s="279"/>
      <c r="AB13" s="279"/>
      <c r="AC13" s="279"/>
      <c r="AD13" s="279"/>
      <c r="AE13" s="279"/>
      <c r="AF13" s="279"/>
      <c r="AG13" s="279"/>
      <c r="AH13" s="279"/>
      <c r="AI13" s="279"/>
      <c r="AJ13" s="279"/>
      <c r="AK13" s="279"/>
      <c r="AL13" s="279"/>
      <c r="AM13" s="279"/>
      <c r="AN13" s="279"/>
      <c r="AO13" s="279"/>
      <c r="AP13" s="279"/>
      <c r="AQ13" s="279"/>
      <c r="AR13" s="279"/>
      <c r="AS13" s="279"/>
      <c r="AT13" s="279"/>
      <c r="AU13" s="279"/>
      <c r="AV13" s="279"/>
      <c r="AW13" s="279"/>
      <c r="AX13" s="279"/>
      <c r="AY13" s="279"/>
      <c r="AZ13" s="279"/>
      <c r="BA13" s="279"/>
      <c r="BB13" s="279"/>
      <c r="BC13" s="279"/>
      <c r="BD13" s="279"/>
      <c r="BE13" s="279"/>
      <c r="BF13" s="279"/>
      <c r="BG13" s="279"/>
      <c r="BH13" s="279"/>
      <c r="BI13" s="279"/>
      <c r="BJ13" s="279"/>
      <c r="BK13" s="279"/>
      <c r="BL13" s="279"/>
      <c r="BM13" s="279"/>
      <c r="BN13" s="279"/>
      <c r="BO13" s="279"/>
      <c r="BP13" s="279"/>
      <c r="BQ13" s="279"/>
      <c r="BR13" s="279"/>
      <c r="BS13" s="279"/>
      <c r="BT13" s="279"/>
      <c r="BU13" s="279"/>
      <c r="BV13" s="279"/>
      <c r="BW13" s="279"/>
      <c r="BX13" s="279"/>
      <c r="BY13" s="279"/>
      <c r="BZ13" s="279"/>
      <c r="CA13" s="279"/>
      <c r="CB13" s="279"/>
      <c r="CC13" s="279"/>
      <c r="CD13" s="279"/>
      <c r="CE13" s="279"/>
      <c r="CF13" s="279"/>
      <c r="CG13" s="279"/>
      <c r="CH13" s="279"/>
      <c r="CI13" s="279"/>
      <c r="CJ13" s="279"/>
      <c r="CK13" s="279"/>
      <c r="CL13" s="279"/>
      <c r="CM13" s="279"/>
      <c r="CN13" s="382"/>
    </row>
    <row r="14" ht="15.6" x14ac:dyDescent="0.3">
      <c r="B14" s="361"/>
      <c r="C14" s="279"/>
      <c r="D14" s="280"/>
      <c r="E14" s="287"/>
      <c r="F14" s="287"/>
      <c r="G14" s="287"/>
      <c r="H14" s="1292">
        <f t="shared" si="1"/>
        <v>10</v>
      </c>
      <c r="I14" s="1502" t="str">
        <f>IF('I. Stream &amp; Compound Data'!G271&lt;&gt;"",'I. Stream &amp; Compound Data'!G271,"")</f>
        <v/>
      </c>
      <c r="J14" s="1312" t="str">
        <f>IF('I. Stream &amp; Compound Data'!V271&lt;&gt;"",'I. Stream &amp; Compound Data'!V271,"")</f>
        <v/>
      </c>
      <c r="K14" s="1312" t="str">
        <f>IF('I. Stream &amp; Compound Data'!U271&lt;&gt;"",'I. Stream &amp; Compound Data'!U271,"")</f>
        <v/>
      </c>
      <c r="L14" s="290" t="str">
        <f>IF(H14&gt;'I. Stream &amp; Compound Data'!$F$18,"",IF(J14="","N/A",IF(J14=0,0,1)))</f>
        <v/>
      </c>
      <c r="M14" s="1503" t="str">
        <f>IF(H14&gt;'I. Stream &amp; Compound Data'!$F$18,"",IF(L14=0,K14,0))</f>
        <v/>
      </c>
      <c r="N14" s="1294" t="str">
        <f>IF(H14&gt;'I. Stream &amp; Compound Data'!$F$18,"",IF(L14&lt;&gt;0,L14,M14))</f>
        <v/>
      </c>
      <c r="O14" s="1294" t="str">
        <f>IF(H14&gt;'I. Stream &amp; Compound Data'!$F$18,"",N14)</f>
        <v/>
      </c>
      <c r="P14" s="1294" t="str">
        <f>'I. Stream &amp; Compound Data'!P271</f>
        <v/>
      </c>
      <c r="Q14" s="1504" t="str">
        <f t="shared" si="0"/>
        <v/>
      </c>
      <c r="R14" s="1297" t="str">
        <f>IF(P14="","",IF(OR('I. Stream &amp; Compound Data'!U271=1,'I. Stream &amp; Compound Data'!W271=1),'Solid Estimation'!P14,0))</f>
        <v/>
      </c>
      <c r="S14" s="298"/>
      <c r="T14" s="299"/>
      <c r="U14" s="279"/>
      <c r="V14" s="279"/>
      <c r="W14" s="279"/>
      <c r="X14" s="279"/>
      <c r="Y14" s="279"/>
      <c r="Z14" s="279"/>
      <c r="AA14" s="279"/>
      <c r="AB14" s="279"/>
      <c r="AC14" s="279"/>
      <c r="AD14" s="279"/>
      <c r="AE14" s="279"/>
      <c r="AF14" s="279"/>
      <c r="AG14" s="279"/>
      <c r="AH14" s="279"/>
      <c r="AI14" s="279"/>
      <c r="AJ14" s="279"/>
      <c r="AK14" s="279"/>
      <c r="AL14" s="279"/>
      <c r="AM14" s="279"/>
      <c r="AN14" s="279"/>
      <c r="AO14" s="279"/>
      <c r="AP14" s="279"/>
      <c r="AQ14" s="279"/>
      <c r="AR14" s="279"/>
      <c r="AS14" s="279"/>
      <c r="AT14" s="279"/>
      <c r="AU14" s="279"/>
      <c r="AV14" s="279"/>
      <c r="AW14" s="279"/>
      <c r="AX14" s="279"/>
      <c r="AY14" s="279"/>
      <c r="AZ14" s="279"/>
      <c r="BA14" s="279"/>
      <c r="BB14" s="279"/>
      <c r="BC14" s="279"/>
      <c r="BD14" s="279"/>
      <c r="BE14" s="279"/>
      <c r="BF14" s="279"/>
      <c r="BG14" s="279"/>
      <c r="BH14" s="279"/>
      <c r="BI14" s="279"/>
      <c r="BJ14" s="279"/>
      <c r="BK14" s="279"/>
      <c r="BL14" s="279"/>
      <c r="BM14" s="279"/>
      <c r="BN14" s="279"/>
      <c r="BO14" s="279"/>
      <c r="BP14" s="279"/>
      <c r="BQ14" s="279"/>
      <c r="BR14" s="279"/>
      <c r="BS14" s="279"/>
      <c r="BT14" s="279"/>
      <c r="BU14" s="279"/>
      <c r="BV14" s="279"/>
      <c r="BW14" s="279"/>
      <c r="BX14" s="279"/>
      <c r="BY14" s="279"/>
      <c r="BZ14" s="279"/>
      <c r="CA14" s="279"/>
      <c r="CB14" s="279"/>
      <c r="CC14" s="279"/>
      <c r="CD14" s="279"/>
      <c r="CE14" s="279"/>
      <c r="CF14" s="279"/>
      <c r="CG14" s="279"/>
      <c r="CH14" s="279"/>
      <c r="CI14" s="279"/>
      <c r="CJ14" s="279"/>
      <c r="CK14" s="279"/>
      <c r="CL14" s="279"/>
      <c r="CM14" s="279"/>
      <c r="CN14" s="382"/>
    </row>
    <row r="15" ht="15.6" x14ac:dyDescent="0.3">
      <c r="B15" s="361"/>
      <c r="C15" s="279"/>
      <c r="D15" s="280"/>
      <c r="E15" s="287"/>
      <c r="F15" s="287"/>
      <c r="G15" s="287"/>
      <c r="H15" s="1292">
        <f t="shared" si="1"/>
        <v>11</v>
      </c>
      <c r="I15" s="1502" t="str">
        <f>IF('I. Stream &amp; Compound Data'!G272&lt;&gt;"",'I. Stream &amp; Compound Data'!G272,"")</f>
        <v/>
      </c>
      <c r="J15" s="1312" t="str">
        <f>IF('I. Stream &amp; Compound Data'!V272&lt;&gt;"",'I. Stream &amp; Compound Data'!V272,"")</f>
        <v/>
      </c>
      <c r="K15" s="1312" t="str">
        <f>IF('I. Stream &amp; Compound Data'!U272&lt;&gt;"",'I. Stream &amp; Compound Data'!U272,"")</f>
        <v/>
      </c>
      <c r="L15" s="290" t="str">
        <f>IF(H15&gt;'I. Stream &amp; Compound Data'!$F$18,"",IF(J15="","N/A",IF(J15=0,0,1)))</f>
        <v/>
      </c>
      <c r="M15" s="1503" t="str">
        <f>IF(H15&gt;'I. Stream &amp; Compound Data'!$F$18,"",IF(L15=0,K15,0))</f>
        <v/>
      </c>
      <c r="N15" s="1294" t="str">
        <f>IF(H15&gt;'I. Stream &amp; Compound Data'!$F$18,"",IF(L15&lt;&gt;0,L15,M15))</f>
        <v/>
      </c>
      <c r="O15" s="1294" t="str">
        <f>IF(H15&gt;'I. Stream &amp; Compound Data'!$F$18,"",N15)</f>
        <v/>
      </c>
      <c r="P15" s="1294" t="str">
        <f>'I. Stream &amp; Compound Data'!P272</f>
        <v/>
      </c>
      <c r="Q15" s="1504" t="str">
        <f t="shared" si="0"/>
        <v/>
      </c>
      <c r="R15" s="1297" t="str">
        <f>IF(P15="","",IF(OR('I. Stream &amp; Compound Data'!U272=1,'I. Stream &amp; Compound Data'!W272=1),'Solid Estimation'!P15,0))</f>
        <v/>
      </c>
      <c r="S15" s="298"/>
      <c r="T15" s="299"/>
      <c r="U15" s="279"/>
      <c r="V15" s="279"/>
      <c r="W15" s="279"/>
      <c r="X15" s="279"/>
      <c r="Y15" s="279"/>
      <c r="Z15" s="279"/>
      <c r="AA15" s="279"/>
      <c r="AB15" s="279"/>
      <c r="AC15" s="279"/>
      <c r="AD15" s="279"/>
      <c r="AE15" s="279"/>
      <c r="AF15" s="279"/>
      <c r="AG15" s="279"/>
      <c r="AH15" s="279"/>
      <c r="AI15" s="279"/>
      <c r="AJ15" s="279"/>
      <c r="AK15" s="279"/>
      <c r="AL15" s="279"/>
      <c r="AM15" s="279"/>
      <c r="AN15" s="279"/>
      <c r="AO15" s="279"/>
      <c r="AP15" s="279"/>
      <c r="AQ15" s="279"/>
      <c r="AR15" s="279"/>
      <c r="AS15" s="279"/>
      <c r="AT15" s="279"/>
      <c r="AU15" s="279"/>
      <c r="AV15" s="279"/>
      <c r="AW15" s="279"/>
      <c r="AX15" s="279"/>
      <c r="AY15" s="279"/>
      <c r="AZ15" s="279"/>
      <c r="BA15" s="279"/>
      <c r="BB15" s="279"/>
      <c r="BC15" s="279"/>
      <c r="BD15" s="279"/>
      <c r="BE15" s="279"/>
      <c r="BF15" s="279"/>
      <c r="BG15" s="279"/>
      <c r="BH15" s="279"/>
      <c r="BI15" s="279"/>
      <c r="BJ15" s="279"/>
      <c r="BK15" s="279"/>
      <c r="BL15" s="279"/>
      <c r="BM15" s="279"/>
      <c r="BN15" s="279"/>
      <c r="BO15" s="279"/>
      <c r="BP15" s="279"/>
      <c r="BQ15" s="279"/>
      <c r="BR15" s="279"/>
      <c r="BS15" s="279"/>
      <c r="BT15" s="279"/>
      <c r="BU15" s="279"/>
      <c r="BV15" s="279"/>
      <c r="BW15" s="279"/>
      <c r="BX15" s="279"/>
      <c r="BY15" s="279"/>
      <c r="BZ15" s="279"/>
      <c r="CA15" s="279"/>
      <c r="CB15" s="279"/>
      <c r="CC15" s="279"/>
      <c r="CD15" s="279"/>
      <c r="CE15" s="279"/>
      <c r="CF15" s="279"/>
      <c r="CG15" s="279"/>
      <c r="CH15" s="279"/>
      <c r="CI15" s="279"/>
      <c r="CJ15" s="279"/>
      <c r="CK15" s="279"/>
      <c r="CL15" s="279"/>
      <c r="CM15" s="279"/>
      <c r="CN15" s="382"/>
    </row>
    <row r="16" ht="15.6" x14ac:dyDescent="0.3">
      <c r="B16" s="361"/>
      <c r="C16" s="279"/>
      <c r="D16" s="280"/>
      <c r="E16" s="287"/>
      <c r="F16" s="287"/>
      <c r="G16" s="287"/>
      <c r="H16" s="1292">
        <f t="shared" si="1"/>
        <v>12</v>
      </c>
      <c r="I16" s="1502" t="str">
        <f>IF('I. Stream &amp; Compound Data'!G273&lt;&gt;"",'I. Stream &amp; Compound Data'!G273,"")</f>
        <v/>
      </c>
      <c r="J16" s="1312" t="str">
        <f>IF('I. Stream &amp; Compound Data'!V273&lt;&gt;"",'I. Stream &amp; Compound Data'!V273,"")</f>
        <v/>
      </c>
      <c r="K16" s="1312" t="str">
        <f>IF('I. Stream &amp; Compound Data'!U273&lt;&gt;"",'I. Stream &amp; Compound Data'!U273,"")</f>
        <v/>
      </c>
      <c r="L16" s="290" t="str">
        <f>IF(H16&gt;'I. Stream &amp; Compound Data'!$F$18,"",IF(J16="","N/A",IF(J16=0,0,1)))</f>
        <v/>
      </c>
      <c r="M16" s="1503" t="str">
        <f>IF(H16&gt;'I. Stream &amp; Compound Data'!$F$18,"",IF(L16=0,K16,0))</f>
        <v/>
      </c>
      <c r="N16" s="1294" t="str">
        <f>IF(H16&gt;'I. Stream &amp; Compound Data'!$F$18,"",IF(L16&lt;&gt;0,L16,M16))</f>
        <v/>
      </c>
      <c r="O16" s="1294" t="str">
        <f>IF(H16&gt;'I. Stream &amp; Compound Data'!$F$18,"",N16)</f>
        <v/>
      </c>
      <c r="P16" s="1294" t="str">
        <f>'I. Stream &amp; Compound Data'!P273</f>
        <v/>
      </c>
      <c r="Q16" s="1504" t="str">
        <f t="shared" si="0"/>
        <v/>
      </c>
      <c r="R16" s="1297" t="str">
        <f>IF(P16="","",IF(OR('I. Stream &amp; Compound Data'!U273=1,'I. Stream &amp; Compound Data'!W273=1),'Solid Estimation'!P16,0))</f>
        <v/>
      </c>
      <c r="S16" s="298"/>
      <c r="T16" s="299"/>
      <c r="U16" s="279"/>
      <c r="V16" s="279"/>
      <c r="W16" s="279"/>
      <c r="X16" s="279"/>
      <c r="Y16" s="279"/>
      <c r="Z16" s="279"/>
      <c r="AA16" s="279"/>
      <c r="AB16" s="279"/>
      <c r="AC16" s="279"/>
      <c r="AD16" s="279"/>
      <c r="AE16" s="279"/>
      <c r="AF16" s="279"/>
      <c r="AG16" s="279"/>
      <c r="AH16" s="279"/>
      <c r="AI16" s="279"/>
      <c r="AJ16" s="279"/>
      <c r="AK16" s="279"/>
      <c r="AL16" s="279"/>
      <c r="AM16" s="279"/>
      <c r="AN16" s="279"/>
      <c r="AO16" s="279"/>
      <c r="AP16" s="279"/>
      <c r="AQ16" s="279"/>
      <c r="AR16" s="279"/>
      <c r="AS16" s="279"/>
      <c r="AT16" s="279"/>
      <c r="AU16" s="279"/>
      <c r="AV16" s="279"/>
      <c r="AW16" s="279"/>
      <c r="AX16" s="279"/>
      <c r="AY16" s="279"/>
      <c r="AZ16" s="279"/>
      <c r="BA16" s="279"/>
      <c r="BB16" s="279"/>
      <c r="BC16" s="279"/>
      <c r="BD16" s="279"/>
      <c r="BE16" s="279"/>
      <c r="BF16" s="279"/>
      <c r="BG16" s="279"/>
      <c r="BH16" s="279"/>
      <c r="BI16" s="279"/>
      <c r="BJ16" s="279"/>
      <c r="BK16" s="279"/>
      <c r="BL16" s="279"/>
      <c r="BM16" s="279"/>
      <c r="BN16" s="279"/>
      <c r="BO16" s="279"/>
      <c r="BP16" s="279"/>
      <c r="BQ16" s="279"/>
      <c r="BR16" s="279"/>
      <c r="BS16" s="279"/>
      <c r="BT16" s="279"/>
      <c r="BU16" s="279"/>
      <c r="BV16" s="279"/>
      <c r="BW16" s="279"/>
      <c r="BX16" s="279"/>
      <c r="BY16" s="279"/>
      <c r="BZ16" s="279"/>
      <c r="CA16" s="279"/>
      <c r="CB16" s="279"/>
      <c r="CC16" s="279"/>
      <c r="CD16" s="279"/>
      <c r="CE16" s="279"/>
      <c r="CF16" s="279"/>
      <c r="CG16" s="279"/>
      <c r="CH16" s="279"/>
      <c r="CI16" s="279"/>
      <c r="CJ16" s="279"/>
      <c r="CK16" s="279"/>
      <c r="CL16" s="279"/>
      <c r="CM16" s="279"/>
      <c r="CN16" s="382"/>
    </row>
    <row r="17" ht="15.6" x14ac:dyDescent="0.3">
      <c r="B17" s="361"/>
      <c r="C17" s="279"/>
      <c r="D17" s="280"/>
      <c r="E17" s="287"/>
      <c r="F17" s="287"/>
      <c r="G17" s="287"/>
      <c r="H17" s="1292">
        <f t="shared" si="1"/>
        <v>13</v>
      </c>
      <c r="I17" s="1502" t="str">
        <f>IF('I. Stream &amp; Compound Data'!G274&lt;&gt;"",'I. Stream &amp; Compound Data'!G274,"")</f>
        <v/>
      </c>
      <c r="J17" s="1312" t="str">
        <f>IF('I. Stream &amp; Compound Data'!V274&lt;&gt;"",'I. Stream &amp; Compound Data'!V274,"")</f>
        <v/>
      </c>
      <c r="K17" s="1312" t="str">
        <f>IF('I. Stream &amp; Compound Data'!U274&lt;&gt;"",'I. Stream &amp; Compound Data'!U274,"")</f>
        <v/>
      </c>
      <c r="L17" s="290" t="str">
        <f>IF(H17&gt;'I. Stream &amp; Compound Data'!$F$18,"",IF(J17="","N/A",IF(J17=0,0,1)))</f>
        <v/>
      </c>
      <c r="M17" s="1503" t="str">
        <f>IF(H17&gt;'I. Stream &amp; Compound Data'!$F$18,"",IF(L17=0,K17,0))</f>
        <v/>
      </c>
      <c r="N17" s="1294" t="str">
        <f>IF(H17&gt;'I. Stream &amp; Compound Data'!$F$18,"",IF(L17&lt;&gt;0,L17,M17))</f>
        <v/>
      </c>
      <c r="O17" s="1294" t="str">
        <f>IF(H17&gt;'I. Stream &amp; Compound Data'!$F$18,"",N17)</f>
        <v/>
      </c>
      <c r="P17" s="1294" t="str">
        <f>'I. Stream &amp; Compound Data'!P274</f>
        <v/>
      </c>
      <c r="Q17" s="1504" t="str">
        <f t="shared" si="0"/>
        <v/>
      </c>
      <c r="R17" s="1297" t="str">
        <f>IF(P17="","",IF(OR('I. Stream &amp; Compound Data'!U274=1,'I. Stream &amp; Compound Data'!W274=1),'Solid Estimation'!P17,0))</f>
        <v/>
      </c>
      <c r="S17" s="298"/>
      <c r="T17" s="299"/>
      <c r="U17" s="279"/>
      <c r="V17" s="279"/>
      <c r="W17" s="279"/>
      <c r="X17" s="279"/>
      <c r="Y17" s="279"/>
      <c r="Z17" s="279"/>
      <c r="AA17" s="279"/>
      <c r="AB17" s="279"/>
      <c r="AC17" s="279"/>
      <c r="AD17" s="279"/>
      <c r="AE17" s="279"/>
      <c r="AF17" s="279"/>
      <c r="AG17" s="279"/>
      <c r="AH17" s="279"/>
      <c r="AI17" s="279"/>
      <c r="AJ17" s="279"/>
      <c r="AK17" s="279"/>
      <c r="AL17" s="279"/>
      <c r="AM17" s="279"/>
      <c r="AN17" s="279"/>
      <c r="AO17" s="279"/>
      <c r="AP17" s="279"/>
      <c r="AQ17" s="279"/>
      <c r="AR17" s="279"/>
      <c r="AS17" s="279"/>
      <c r="AT17" s="279"/>
      <c r="AU17" s="279"/>
      <c r="AV17" s="279"/>
      <c r="AW17" s="279"/>
      <c r="AX17" s="279"/>
      <c r="AY17" s="279"/>
      <c r="AZ17" s="279"/>
      <c r="BA17" s="279"/>
      <c r="BB17" s="279"/>
      <c r="BC17" s="279"/>
      <c r="BD17" s="279"/>
      <c r="BE17" s="279"/>
      <c r="BF17" s="279"/>
      <c r="BG17" s="279"/>
      <c r="BH17" s="279"/>
      <c r="BI17" s="279"/>
      <c r="BJ17" s="279"/>
      <c r="BK17" s="279"/>
      <c r="BL17" s="279"/>
      <c r="BM17" s="279"/>
      <c r="BN17" s="279"/>
      <c r="BO17" s="279"/>
      <c r="BP17" s="279"/>
      <c r="BQ17" s="279"/>
      <c r="BR17" s="279"/>
      <c r="BS17" s="279"/>
      <c r="BT17" s="279"/>
      <c r="BU17" s="279"/>
      <c r="BV17" s="279"/>
      <c r="BW17" s="279"/>
      <c r="BX17" s="279"/>
      <c r="BY17" s="279"/>
      <c r="BZ17" s="279"/>
      <c r="CA17" s="279"/>
      <c r="CB17" s="279"/>
      <c r="CC17" s="279"/>
      <c r="CD17" s="279"/>
      <c r="CE17" s="279"/>
      <c r="CF17" s="279"/>
      <c r="CG17" s="279"/>
      <c r="CH17" s="279"/>
      <c r="CI17" s="279"/>
      <c r="CJ17" s="279"/>
      <c r="CK17" s="279"/>
      <c r="CL17" s="279"/>
      <c r="CM17" s="279"/>
      <c r="CN17" s="382"/>
    </row>
    <row r="18" ht="15.6" x14ac:dyDescent="0.3">
      <c r="B18" s="361"/>
      <c r="C18" s="279"/>
      <c r="D18" s="280"/>
      <c r="E18" s="287"/>
      <c r="F18" s="287"/>
      <c r="G18" s="287"/>
      <c r="H18" s="1292">
        <f t="shared" si="1"/>
        <v>14</v>
      </c>
      <c r="I18" s="1502" t="str">
        <f>IF('I. Stream &amp; Compound Data'!G275&lt;&gt;"",'I. Stream &amp; Compound Data'!G275,"")</f>
        <v/>
      </c>
      <c r="J18" s="1312" t="str">
        <f>IF('I. Stream &amp; Compound Data'!V275&lt;&gt;"",'I. Stream &amp; Compound Data'!V275,"")</f>
        <v/>
      </c>
      <c r="K18" s="1312" t="str">
        <f>IF('I. Stream &amp; Compound Data'!U275&lt;&gt;"",'I. Stream &amp; Compound Data'!U275,"")</f>
        <v/>
      </c>
      <c r="L18" s="290" t="str">
        <f>IF(H18&gt;'I. Stream &amp; Compound Data'!$F$18,"",IF(J18="","N/A",IF(J18=0,0,1)))</f>
        <v/>
      </c>
      <c r="M18" s="1503" t="str">
        <f>IF(H18&gt;'I. Stream &amp; Compound Data'!$F$18,"",IF(L18=0,K18,0))</f>
        <v/>
      </c>
      <c r="N18" s="1294" t="str">
        <f>IF(H18&gt;'I. Stream &amp; Compound Data'!$F$18,"",IF(L18&lt;&gt;0,L18,M18))</f>
        <v/>
      </c>
      <c r="O18" s="1294" t="str">
        <f>IF(H18&gt;'I. Stream &amp; Compound Data'!$F$18,"",N18)</f>
        <v/>
      </c>
      <c r="P18" s="1294" t="str">
        <f>'I. Stream &amp; Compound Data'!P275</f>
        <v/>
      </c>
      <c r="Q18" s="1504" t="str">
        <f t="shared" si="0"/>
        <v/>
      </c>
      <c r="R18" s="1297" t="str">
        <f>IF(P18="","",IF(OR('I. Stream &amp; Compound Data'!U275=1,'I. Stream &amp; Compound Data'!W275=1),'Solid Estimation'!P18,0))</f>
        <v/>
      </c>
      <c r="S18" s="298"/>
      <c r="T18" s="299"/>
      <c r="U18" s="279"/>
      <c r="V18" s="279"/>
      <c r="W18" s="279"/>
      <c r="X18" s="279"/>
      <c r="Y18" s="279"/>
      <c r="Z18" s="279"/>
      <c r="AA18" s="279"/>
      <c r="AB18" s="279"/>
      <c r="AC18" s="279"/>
      <c r="AD18" s="279"/>
      <c r="AE18" s="279"/>
      <c r="AF18" s="279"/>
      <c r="AG18" s="279"/>
      <c r="AH18" s="279"/>
      <c r="AI18" s="279"/>
      <c r="AJ18" s="279"/>
      <c r="AK18" s="279"/>
      <c r="AL18" s="279"/>
      <c r="AM18" s="279"/>
      <c r="AN18" s="279"/>
      <c r="AO18" s="279"/>
      <c r="AP18" s="279"/>
      <c r="AQ18" s="279"/>
      <c r="AR18" s="279"/>
      <c r="AS18" s="279"/>
      <c r="AT18" s="279"/>
      <c r="AU18" s="279"/>
      <c r="AV18" s="279"/>
      <c r="AW18" s="279"/>
      <c r="AX18" s="279"/>
      <c r="AY18" s="279"/>
      <c r="AZ18" s="279"/>
      <c r="BA18" s="279"/>
      <c r="BB18" s="279"/>
      <c r="BC18" s="279"/>
      <c r="BD18" s="279"/>
      <c r="BE18" s="279"/>
      <c r="BF18" s="279"/>
      <c r="BG18" s="279"/>
      <c r="BH18" s="279"/>
      <c r="BI18" s="279"/>
      <c r="BJ18" s="279"/>
      <c r="BK18" s="279"/>
      <c r="BL18" s="279"/>
      <c r="BM18" s="279"/>
      <c r="BN18" s="279"/>
      <c r="BO18" s="279"/>
      <c r="BP18" s="279"/>
      <c r="BQ18" s="279"/>
      <c r="BR18" s="279"/>
      <c r="BS18" s="279"/>
      <c r="BT18" s="279"/>
      <c r="BU18" s="279"/>
      <c r="BV18" s="279"/>
      <c r="BW18" s="279"/>
      <c r="BX18" s="279"/>
      <c r="BY18" s="279"/>
      <c r="BZ18" s="279"/>
      <c r="CA18" s="279"/>
      <c r="CB18" s="279"/>
      <c r="CC18" s="279"/>
      <c r="CD18" s="279"/>
      <c r="CE18" s="279"/>
      <c r="CF18" s="279"/>
      <c r="CG18" s="279"/>
      <c r="CH18" s="279"/>
      <c r="CI18" s="279"/>
      <c r="CJ18" s="279"/>
      <c r="CK18" s="279"/>
      <c r="CL18" s="279"/>
      <c r="CM18" s="279"/>
      <c r="CN18" s="382"/>
    </row>
    <row r="19" ht="15.6" x14ac:dyDescent="0.3">
      <c r="B19" s="361"/>
      <c r="C19" s="279"/>
      <c r="D19" s="280"/>
      <c r="E19" s="287"/>
      <c r="F19" s="287"/>
      <c r="G19" s="287"/>
      <c r="H19" s="1292">
        <f t="shared" si="1"/>
        <v>15</v>
      </c>
      <c r="I19" s="1502" t="str">
        <f>IF('I. Stream &amp; Compound Data'!G276&lt;&gt;"",'I. Stream &amp; Compound Data'!G276,"")</f>
        <v/>
      </c>
      <c r="J19" s="1312" t="str">
        <f>IF('I. Stream &amp; Compound Data'!V276&lt;&gt;"",'I. Stream &amp; Compound Data'!V276,"")</f>
        <v/>
      </c>
      <c r="K19" s="1312" t="str">
        <f>IF('I. Stream &amp; Compound Data'!U276&lt;&gt;"",'I. Stream &amp; Compound Data'!U276,"")</f>
        <v/>
      </c>
      <c r="L19" s="290" t="str">
        <f>IF(H19&gt;'I. Stream &amp; Compound Data'!$F$18,"",IF(J19="","N/A",IF(J19=0,0,1)))</f>
        <v/>
      </c>
      <c r="M19" s="1503" t="str">
        <f>IF(H19&gt;'I. Stream &amp; Compound Data'!$F$18,"",IF(L19=0,K19,0))</f>
        <v/>
      </c>
      <c r="N19" s="1294" t="str">
        <f>IF(H19&gt;'I. Stream &amp; Compound Data'!$F$18,"",IF(L19&lt;&gt;0,L19,M19))</f>
        <v/>
      </c>
      <c r="O19" s="1294" t="str">
        <f>IF(H19&gt;'I. Stream &amp; Compound Data'!$F$18,"",N19)</f>
        <v/>
      </c>
      <c r="P19" s="1294" t="str">
        <f>'I. Stream &amp; Compound Data'!P276</f>
        <v/>
      </c>
      <c r="Q19" s="1504" t="str">
        <f t="shared" si="0"/>
        <v/>
      </c>
      <c r="R19" s="1297" t="str">
        <f>IF(P19="","",IF(OR('I. Stream &amp; Compound Data'!U276=1,'I. Stream &amp; Compound Data'!W276=1),'Solid Estimation'!P19,0))</f>
        <v/>
      </c>
      <c r="S19" s="298"/>
      <c r="T19" s="298"/>
      <c r="U19" s="299"/>
      <c r="V19" s="279"/>
      <c r="W19" s="279"/>
      <c r="X19" s="279"/>
      <c r="Y19" s="279"/>
      <c r="Z19" s="279"/>
      <c r="AA19" s="279"/>
      <c r="AB19" s="279"/>
      <c r="AC19" s="279"/>
      <c r="AD19" s="279"/>
      <c r="AE19" s="279"/>
      <c r="AF19" s="279"/>
      <c r="AG19" s="279"/>
      <c r="AH19" s="279"/>
      <c r="AI19" s="279"/>
      <c r="AJ19" s="279"/>
      <c r="AK19" s="279"/>
      <c r="AL19" s="279"/>
      <c r="AM19" s="279"/>
      <c r="AN19" s="279"/>
      <c r="AO19" s="279"/>
      <c r="AP19" s="279"/>
      <c r="AQ19" s="279"/>
      <c r="AR19" s="279"/>
      <c r="AS19" s="279"/>
      <c r="AT19" s="279"/>
      <c r="AU19" s="279"/>
      <c r="AV19" s="279"/>
      <c r="AW19" s="279"/>
      <c r="AX19" s="279"/>
      <c r="AY19" s="279"/>
      <c r="AZ19" s="279"/>
      <c r="BA19" s="279"/>
      <c r="BB19" s="279"/>
      <c r="BC19" s="279"/>
      <c r="BD19" s="279"/>
      <c r="BE19" s="279"/>
      <c r="BF19" s="279"/>
      <c r="BG19" s="279"/>
      <c r="BH19" s="279"/>
      <c r="BI19" s="279"/>
      <c r="BJ19" s="279"/>
      <c r="BK19" s="279"/>
      <c r="BL19" s="279"/>
      <c r="BM19" s="279"/>
      <c r="BN19" s="279"/>
      <c r="BO19" s="279"/>
      <c r="BP19" s="279"/>
      <c r="BQ19" s="279"/>
      <c r="BR19" s="279"/>
      <c r="BS19" s="279"/>
      <c r="BT19" s="279"/>
      <c r="BU19" s="279"/>
      <c r="BV19" s="279"/>
      <c r="BW19" s="279"/>
      <c r="BX19" s="279"/>
      <c r="BY19" s="279"/>
      <c r="BZ19" s="279"/>
      <c r="CA19" s="279"/>
      <c r="CB19" s="279"/>
      <c r="CC19" s="279"/>
      <c r="CD19" s="279"/>
      <c r="CE19" s="279"/>
      <c r="CF19" s="279"/>
      <c r="CG19" s="279"/>
      <c r="CH19" s="279"/>
      <c r="CI19" s="279"/>
      <c r="CJ19" s="279"/>
      <c r="CK19" s="279"/>
      <c r="CL19" s="279"/>
      <c r="CM19" s="279"/>
      <c r="CN19" s="382"/>
    </row>
    <row r="20" ht="15.6" x14ac:dyDescent="0.3">
      <c r="B20" s="361"/>
      <c r="C20" s="279"/>
      <c r="D20" s="280"/>
      <c r="E20" s="287"/>
      <c r="F20" s="287"/>
      <c r="G20" s="287"/>
      <c r="H20" s="1292">
        <f t="shared" si="1"/>
        <v>16</v>
      </c>
      <c r="I20" s="1502" t="str">
        <f>IF('I. Stream &amp; Compound Data'!G277&lt;&gt;"",'I. Stream &amp; Compound Data'!G277,"")</f>
        <v/>
      </c>
      <c r="J20" s="1312" t="str">
        <f>IF('I. Stream &amp; Compound Data'!V277&lt;&gt;"",'I. Stream &amp; Compound Data'!V277,"")</f>
        <v/>
      </c>
      <c r="K20" s="1312" t="str">
        <f>IF('I. Stream &amp; Compound Data'!U277&lt;&gt;"",'I. Stream &amp; Compound Data'!U277,"")</f>
        <v/>
      </c>
      <c r="L20" s="290" t="str">
        <f>IF(H20&gt;'I. Stream &amp; Compound Data'!$F$18,"",IF(J20="","N/A",IF(J20=0,0,1)))</f>
        <v/>
      </c>
      <c r="M20" s="1503" t="str">
        <f>IF(H20&gt;'I. Stream &amp; Compound Data'!$F$18,"",IF(L20=0,K20,0))</f>
        <v/>
      </c>
      <c r="N20" s="1294" t="str">
        <f>IF(H20&gt;'I. Stream &amp; Compound Data'!$F$18,"",IF(L20&lt;&gt;0,L20,M20))</f>
        <v/>
      </c>
      <c r="O20" s="1294" t="str">
        <f>IF(H20&gt;'I. Stream &amp; Compound Data'!$F$18,"",N20)</f>
        <v/>
      </c>
      <c r="P20" s="1294" t="str">
        <f>'I. Stream &amp; Compound Data'!P277</f>
        <v/>
      </c>
      <c r="Q20" s="1504" t="str">
        <f t="shared" si="0"/>
        <v/>
      </c>
      <c r="R20" s="1297" t="str">
        <f>IF(P20="","",IF(OR('I. Stream &amp; Compound Data'!U277=1,'I. Stream &amp; Compound Data'!W277=1),'Solid Estimation'!P20,0))</f>
        <v/>
      </c>
      <c r="S20" s="298"/>
      <c r="T20" s="298"/>
      <c r="U20" s="299"/>
      <c r="V20" s="279"/>
      <c r="W20" s="279"/>
      <c r="X20" s="279"/>
      <c r="Y20" s="279"/>
      <c r="Z20" s="279"/>
      <c r="AA20" s="279"/>
      <c r="AB20" s="279"/>
      <c r="AC20" s="279"/>
      <c r="AD20" s="279"/>
      <c r="AE20" s="279"/>
      <c r="AF20" s="279"/>
      <c r="AG20" s="279"/>
      <c r="AH20" s="279"/>
      <c r="AI20" s="279"/>
      <c r="AJ20" s="279"/>
      <c r="AK20" s="279"/>
      <c r="AL20" s="279"/>
      <c r="AM20" s="279"/>
      <c r="AN20" s="279"/>
      <c r="AO20" s="279"/>
      <c r="AP20" s="279"/>
      <c r="AQ20" s="279"/>
      <c r="AR20" s="279"/>
      <c r="AS20" s="279"/>
      <c r="AT20" s="279"/>
      <c r="AU20" s="279"/>
      <c r="AV20" s="279"/>
      <c r="AW20" s="279"/>
      <c r="AX20" s="279"/>
      <c r="AY20" s="279"/>
      <c r="AZ20" s="279"/>
      <c r="BA20" s="279"/>
      <c r="BB20" s="279"/>
      <c r="BC20" s="279"/>
      <c r="BD20" s="279"/>
      <c r="BE20" s="279"/>
      <c r="BF20" s="279"/>
      <c r="BG20" s="279"/>
      <c r="BH20" s="279"/>
      <c r="BI20" s="279"/>
      <c r="BJ20" s="279"/>
      <c r="BK20" s="279"/>
      <c r="BL20" s="279"/>
      <c r="BM20" s="279"/>
      <c r="BN20" s="279"/>
      <c r="BO20" s="279"/>
      <c r="BP20" s="279"/>
      <c r="BQ20" s="279"/>
      <c r="BR20" s="279"/>
      <c r="BS20" s="279"/>
      <c r="BT20" s="279"/>
      <c r="BU20" s="279"/>
      <c r="BV20" s="279"/>
      <c r="BW20" s="279"/>
      <c r="BX20" s="279"/>
      <c r="BY20" s="279"/>
      <c r="BZ20" s="279"/>
      <c r="CA20" s="279"/>
      <c r="CB20" s="279"/>
      <c r="CC20" s="279"/>
      <c r="CD20" s="279"/>
      <c r="CE20" s="279"/>
      <c r="CF20" s="279"/>
      <c r="CG20" s="279"/>
      <c r="CH20" s="279"/>
      <c r="CI20" s="279"/>
      <c r="CJ20" s="279"/>
      <c r="CK20" s="279"/>
      <c r="CL20" s="279"/>
      <c r="CM20" s="279"/>
      <c r="CN20" s="382"/>
    </row>
    <row r="21" ht="15.6" x14ac:dyDescent="0.3">
      <c r="B21" s="361"/>
      <c r="C21" s="279"/>
      <c r="D21" s="280"/>
      <c r="E21" s="287"/>
      <c r="F21" s="287"/>
      <c r="G21" s="287"/>
      <c r="H21" s="1292">
        <f t="shared" si="1"/>
        <v>17</v>
      </c>
      <c r="I21" s="1502" t="str">
        <f>IF('I. Stream &amp; Compound Data'!G278&lt;&gt;"",'I. Stream &amp; Compound Data'!G278,"")</f>
        <v/>
      </c>
      <c r="J21" s="1312" t="str">
        <f>IF('I. Stream &amp; Compound Data'!V278&lt;&gt;"",'I. Stream &amp; Compound Data'!V278,"")</f>
        <v/>
      </c>
      <c r="K21" s="1312" t="str">
        <f>IF('I. Stream &amp; Compound Data'!U278&lt;&gt;"",'I. Stream &amp; Compound Data'!U278,"")</f>
        <v/>
      </c>
      <c r="L21" s="290" t="str">
        <f>IF(H21&gt;'I. Stream &amp; Compound Data'!$F$18,"",IF(J21="","N/A",IF(J21=0,0,1)))</f>
        <v/>
      </c>
      <c r="M21" s="1503" t="str">
        <f>IF(H21&gt;'I. Stream &amp; Compound Data'!$F$18,"",IF(L21=0,K21,0))</f>
        <v/>
      </c>
      <c r="N21" s="1294" t="str">
        <f>IF(H21&gt;'I. Stream &amp; Compound Data'!$F$18,"",IF(L21&lt;&gt;0,L21,M21))</f>
        <v/>
      </c>
      <c r="O21" s="1294" t="str">
        <f>IF(H21&gt;'I. Stream &amp; Compound Data'!$F$18,"",N21)</f>
        <v/>
      </c>
      <c r="P21" s="1294" t="str">
        <f>'I. Stream &amp; Compound Data'!P278</f>
        <v/>
      </c>
      <c r="Q21" s="1504" t="str">
        <f t="shared" si="0"/>
        <v/>
      </c>
      <c r="R21" s="1297" t="str">
        <f>IF(P21="","",IF(OR('I. Stream &amp; Compound Data'!U278=1,'I. Stream &amp; Compound Data'!W278=1),'Solid Estimation'!P21,0))</f>
        <v/>
      </c>
      <c r="S21" s="298"/>
      <c r="T21" s="298"/>
      <c r="U21" s="299"/>
      <c r="V21" s="279"/>
      <c r="W21" s="279"/>
      <c r="X21" s="279"/>
      <c r="Y21" s="279"/>
      <c r="Z21" s="279"/>
      <c r="AA21" s="279"/>
      <c r="AB21" s="279"/>
      <c r="AC21" s="279"/>
      <c r="AD21" s="279"/>
      <c r="AE21" s="279"/>
      <c r="AF21" s="279"/>
      <c r="AG21" s="279"/>
      <c r="AH21" s="279"/>
      <c r="AI21" s="279"/>
      <c r="AJ21" s="279"/>
      <c r="AK21" s="279"/>
      <c r="AL21" s="279"/>
      <c r="AM21" s="279"/>
      <c r="AN21" s="279"/>
      <c r="AO21" s="279"/>
      <c r="AP21" s="279"/>
      <c r="AQ21" s="279"/>
      <c r="AR21" s="279"/>
      <c r="AS21" s="279"/>
      <c r="AT21" s="279"/>
      <c r="AU21" s="279"/>
      <c r="AV21" s="279"/>
      <c r="AW21" s="279"/>
      <c r="AX21" s="279"/>
      <c r="AY21" s="279"/>
      <c r="AZ21" s="279"/>
      <c r="BA21" s="279"/>
      <c r="BB21" s="279"/>
      <c r="BC21" s="279"/>
      <c r="BD21" s="279"/>
      <c r="BE21" s="279"/>
      <c r="BF21" s="279"/>
      <c r="BG21" s="279"/>
      <c r="BH21" s="279"/>
      <c r="BI21" s="279"/>
      <c r="BJ21" s="279"/>
      <c r="BK21" s="279"/>
      <c r="BL21" s="279"/>
      <c r="BM21" s="279"/>
      <c r="BN21" s="279"/>
      <c r="BO21" s="279"/>
      <c r="BP21" s="279"/>
      <c r="BQ21" s="279"/>
      <c r="BR21" s="279"/>
      <c r="BS21" s="279"/>
      <c r="BT21" s="279"/>
      <c r="BU21" s="279"/>
      <c r="BV21" s="279"/>
      <c r="BW21" s="279"/>
      <c r="BX21" s="279"/>
      <c r="BY21" s="279"/>
      <c r="BZ21" s="279"/>
      <c r="CA21" s="279"/>
      <c r="CB21" s="279"/>
      <c r="CC21" s="279"/>
      <c r="CD21" s="279"/>
      <c r="CE21" s="279"/>
      <c r="CF21" s="279"/>
      <c r="CG21" s="279"/>
      <c r="CH21" s="279"/>
      <c r="CI21" s="279"/>
      <c r="CJ21" s="279"/>
      <c r="CK21" s="279"/>
      <c r="CL21" s="279"/>
      <c r="CM21" s="279"/>
      <c r="CN21" s="382"/>
    </row>
    <row r="22" ht="15.6" x14ac:dyDescent="0.3">
      <c r="B22" s="361"/>
      <c r="C22" s="279"/>
      <c r="D22" s="280"/>
      <c r="E22" s="287"/>
      <c r="F22" s="287"/>
      <c r="G22" s="287"/>
      <c r="H22" s="1292">
        <f t="shared" si="1"/>
        <v>18</v>
      </c>
      <c r="I22" s="1502" t="str">
        <f>IF('I. Stream &amp; Compound Data'!G279&lt;&gt;"",'I. Stream &amp; Compound Data'!G279,"")</f>
        <v/>
      </c>
      <c r="J22" s="1312" t="str">
        <f>IF('I. Stream &amp; Compound Data'!V279&lt;&gt;"",'I. Stream &amp; Compound Data'!V279,"")</f>
        <v/>
      </c>
      <c r="K22" s="1312" t="str">
        <f>IF('I. Stream &amp; Compound Data'!U279&lt;&gt;"",'I. Stream &amp; Compound Data'!U279,"")</f>
        <v/>
      </c>
      <c r="L22" s="290" t="str">
        <f>IF(H22&gt;'I. Stream &amp; Compound Data'!$F$18,"",IF(J22="","N/A",IF(J22=0,0,1)))</f>
        <v/>
      </c>
      <c r="M22" s="1503" t="str">
        <f>IF(H22&gt;'I. Stream &amp; Compound Data'!$F$18,"",IF(L22=0,K22,0))</f>
        <v/>
      </c>
      <c r="N22" s="1294" t="str">
        <f>IF(H22&gt;'I. Stream &amp; Compound Data'!$F$18,"",IF(L22&lt;&gt;0,L22,M22))</f>
        <v/>
      </c>
      <c r="O22" s="1294" t="str">
        <f>IF(H22&gt;'I. Stream &amp; Compound Data'!$F$18,"",N22)</f>
        <v/>
      </c>
      <c r="P22" s="1294" t="str">
        <f>'I. Stream &amp; Compound Data'!P279</f>
        <v/>
      </c>
      <c r="Q22" s="1504" t="str">
        <f t="shared" si="0"/>
        <v/>
      </c>
      <c r="R22" s="1297" t="str">
        <f>IF(P22="","",IF(OR('I. Stream &amp; Compound Data'!U279=1,'I. Stream &amp; Compound Data'!W279=1),'Solid Estimation'!P22,0))</f>
        <v/>
      </c>
      <c r="S22" s="298"/>
      <c r="T22" s="298"/>
      <c r="U22" s="299"/>
      <c r="V22" s="279"/>
      <c r="W22" s="279"/>
      <c r="X22" s="279"/>
      <c r="Y22" s="279"/>
      <c r="Z22" s="279"/>
      <c r="AA22" s="279"/>
      <c r="AB22" s="279"/>
      <c r="AC22" s="279"/>
      <c r="AD22" s="279"/>
      <c r="AE22" s="279"/>
      <c r="AF22" s="279"/>
      <c r="AG22" s="279"/>
      <c r="AH22" s="279"/>
      <c r="AI22" s="279"/>
      <c r="AJ22" s="279"/>
      <c r="AK22" s="279"/>
      <c r="AL22" s="279"/>
      <c r="AM22" s="279"/>
      <c r="AN22" s="279"/>
      <c r="AO22" s="279"/>
      <c r="AP22" s="279"/>
      <c r="AQ22" s="279"/>
      <c r="AR22" s="279"/>
      <c r="AS22" s="279"/>
      <c r="AT22" s="279"/>
      <c r="AU22" s="279"/>
      <c r="AV22" s="279"/>
      <c r="AW22" s="279"/>
      <c r="AX22" s="279"/>
      <c r="AY22" s="279"/>
      <c r="AZ22" s="279"/>
      <c r="BA22" s="279"/>
      <c r="BB22" s="279"/>
      <c r="BC22" s="279"/>
      <c r="BD22" s="279"/>
      <c r="BE22" s="279"/>
      <c r="BF22" s="279"/>
      <c r="BG22" s="279"/>
      <c r="BH22" s="279"/>
      <c r="BI22" s="279"/>
      <c r="BJ22" s="279"/>
      <c r="BK22" s="279"/>
      <c r="BL22" s="279"/>
      <c r="BM22" s="279"/>
      <c r="BN22" s="279"/>
      <c r="BO22" s="279"/>
      <c r="BP22" s="279"/>
      <c r="BQ22" s="279"/>
      <c r="BR22" s="279"/>
      <c r="BS22" s="279"/>
      <c r="BT22" s="279"/>
      <c r="BU22" s="279"/>
      <c r="BV22" s="279"/>
      <c r="BW22" s="279"/>
      <c r="BX22" s="279"/>
      <c r="BY22" s="279"/>
      <c r="BZ22" s="279"/>
      <c r="CA22" s="279"/>
      <c r="CB22" s="279"/>
      <c r="CC22" s="279"/>
      <c r="CD22" s="279"/>
      <c r="CE22" s="279"/>
      <c r="CF22" s="279"/>
      <c r="CG22" s="279"/>
      <c r="CH22" s="279"/>
      <c r="CI22" s="279"/>
      <c r="CJ22" s="279"/>
      <c r="CK22" s="279"/>
      <c r="CL22" s="279"/>
      <c r="CM22" s="279"/>
      <c r="CN22" s="382"/>
    </row>
    <row r="23" ht="15.6" x14ac:dyDescent="0.3">
      <c r="B23" s="361"/>
      <c r="C23" s="279"/>
      <c r="D23" s="280"/>
      <c r="E23" s="287"/>
      <c r="F23" s="287"/>
      <c r="G23" s="287"/>
      <c r="H23" s="1292">
        <f t="shared" si="1"/>
        <v>19</v>
      </c>
      <c r="I23" s="1502" t="str">
        <f>IF('I. Stream &amp; Compound Data'!G280&lt;&gt;"",'I. Stream &amp; Compound Data'!G280,"")</f>
        <v/>
      </c>
      <c r="J23" s="1312" t="str">
        <f>IF('I. Stream &amp; Compound Data'!V280&lt;&gt;"",'I. Stream &amp; Compound Data'!V280,"")</f>
        <v/>
      </c>
      <c r="K23" s="1312" t="str">
        <f>IF('I. Stream &amp; Compound Data'!U280&lt;&gt;"",'I. Stream &amp; Compound Data'!U280,"")</f>
        <v/>
      </c>
      <c r="L23" s="290" t="str">
        <f>IF(H23&gt;'I. Stream &amp; Compound Data'!$F$18,"",IF(J23="","N/A",IF(J23=0,0,1)))</f>
        <v/>
      </c>
      <c r="M23" s="1503" t="str">
        <f>IF(H23&gt;'I. Stream &amp; Compound Data'!$F$18,"",IF(L23=0,K23,0))</f>
        <v/>
      </c>
      <c r="N23" s="1294" t="str">
        <f>IF(H23&gt;'I. Stream &amp; Compound Data'!$F$18,"",IF(L23&lt;&gt;0,L23,M23))</f>
        <v/>
      </c>
      <c r="O23" s="1294" t="str">
        <f>IF(H23&gt;'I. Stream &amp; Compound Data'!$F$18,"",N23)</f>
        <v/>
      </c>
      <c r="P23" s="1294" t="str">
        <f>'I. Stream &amp; Compound Data'!P280</f>
        <v/>
      </c>
      <c r="Q23" s="1504" t="str">
        <f t="shared" si="0"/>
        <v/>
      </c>
      <c r="R23" s="1297" t="str">
        <f>IF(P23="","",IF(OR('I. Stream &amp; Compound Data'!U280=1,'I. Stream &amp; Compound Data'!W280=1),'Solid Estimation'!P23,0))</f>
        <v/>
      </c>
      <c r="S23" s="298"/>
      <c r="T23" s="298"/>
      <c r="U23" s="299"/>
      <c r="V23" s="279"/>
      <c r="W23" s="279"/>
      <c r="X23" s="279"/>
      <c r="Y23" s="279"/>
      <c r="Z23" s="279"/>
      <c r="AA23" s="279"/>
      <c r="AB23" s="279"/>
      <c r="AC23" s="279"/>
      <c r="AD23" s="279"/>
      <c r="AE23" s="279"/>
      <c r="AF23" s="279"/>
      <c r="AG23" s="279"/>
      <c r="AH23" s="279"/>
      <c r="AI23" s="279"/>
      <c r="AJ23" s="279"/>
      <c r="AK23" s="279"/>
      <c r="AL23" s="279"/>
      <c r="AM23" s="279"/>
      <c r="AN23" s="279"/>
      <c r="AO23" s="279"/>
      <c r="AP23" s="279"/>
      <c r="AQ23" s="279"/>
      <c r="AR23" s="279"/>
      <c r="AS23" s="279"/>
      <c r="AT23" s="279"/>
      <c r="AU23" s="279"/>
      <c r="AV23" s="279"/>
      <c r="AW23" s="279"/>
      <c r="AX23" s="279"/>
      <c r="AY23" s="279"/>
      <c r="AZ23" s="279"/>
      <c r="BA23" s="279"/>
      <c r="BB23" s="279"/>
      <c r="BC23" s="279"/>
      <c r="BD23" s="279"/>
      <c r="BE23" s="279"/>
      <c r="BF23" s="279"/>
      <c r="BG23" s="279"/>
      <c r="BH23" s="279"/>
      <c r="BI23" s="279"/>
      <c r="BJ23" s="279"/>
      <c r="BK23" s="279"/>
      <c r="BL23" s="279"/>
      <c r="BM23" s="279"/>
      <c r="BN23" s="279"/>
      <c r="BO23" s="279"/>
      <c r="BP23" s="279"/>
      <c r="BQ23" s="279"/>
      <c r="BR23" s="279"/>
      <c r="BS23" s="279"/>
      <c r="BT23" s="279"/>
      <c r="BU23" s="279"/>
      <c r="BV23" s="279"/>
      <c r="BW23" s="279"/>
      <c r="BX23" s="279"/>
      <c r="BY23" s="279"/>
      <c r="BZ23" s="279"/>
      <c r="CA23" s="279"/>
      <c r="CB23" s="279"/>
      <c r="CC23" s="279"/>
      <c r="CD23" s="279"/>
      <c r="CE23" s="279"/>
      <c r="CF23" s="279"/>
      <c r="CG23" s="279"/>
      <c r="CH23" s="279"/>
      <c r="CI23" s="279"/>
      <c r="CJ23" s="279"/>
      <c r="CK23" s="279"/>
      <c r="CL23" s="279"/>
      <c r="CM23" s="279"/>
      <c r="CN23" s="382"/>
    </row>
    <row r="24" ht="15.6" x14ac:dyDescent="0.3">
      <c r="B24" s="361"/>
      <c r="C24" s="279"/>
      <c r="D24" s="280"/>
      <c r="E24" s="287"/>
      <c r="F24" s="287"/>
      <c r="G24" s="287"/>
      <c r="H24" s="1292">
        <f t="shared" si="1"/>
        <v>20</v>
      </c>
      <c r="I24" s="1502" t="str">
        <f>IF('I. Stream &amp; Compound Data'!G281&lt;&gt;"",'I. Stream &amp; Compound Data'!G281,"")</f>
        <v/>
      </c>
      <c r="J24" s="1312" t="str">
        <f>IF('I. Stream &amp; Compound Data'!V281&lt;&gt;"",'I. Stream &amp; Compound Data'!V281,"")</f>
        <v/>
      </c>
      <c r="K24" s="1312" t="str">
        <f>IF('I. Stream &amp; Compound Data'!U281&lt;&gt;"",'I. Stream &amp; Compound Data'!U281,"")</f>
        <v/>
      </c>
      <c r="L24" s="290" t="str">
        <f>IF(H24&gt;'I. Stream &amp; Compound Data'!$F$18,"",IF(J24="","N/A",IF(J24=0,0,1)))</f>
        <v/>
      </c>
      <c r="M24" s="1503" t="str">
        <f>IF(H24&gt;'I. Stream &amp; Compound Data'!$F$18,"",IF(L24=0,K24,0))</f>
        <v/>
      </c>
      <c r="N24" s="1294" t="str">
        <f>IF(H24&gt;'I. Stream &amp; Compound Data'!$F$18,"",IF(L24&lt;&gt;0,L24,M24))</f>
        <v/>
      </c>
      <c r="O24" s="1294" t="str">
        <f>IF(H24&gt;'I. Stream &amp; Compound Data'!$F$18,"",N24)</f>
        <v/>
      </c>
      <c r="P24" s="1294" t="str">
        <f>'I. Stream &amp; Compound Data'!P281</f>
        <v/>
      </c>
      <c r="Q24" s="1504" t="str">
        <f t="shared" si="0"/>
        <v/>
      </c>
      <c r="R24" s="1297" t="str">
        <f>IF(P24="","",IF(OR('I. Stream &amp; Compound Data'!U281=1,'I. Stream &amp; Compound Data'!W281=1),'Solid Estimation'!P24,0))</f>
        <v/>
      </c>
      <c r="S24" s="298"/>
      <c r="T24" s="298"/>
      <c r="U24" s="299"/>
      <c r="V24" s="279"/>
      <c r="W24" s="279"/>
      <c r="X24" s="279"/>
      <c r="Y24" s="279"/>
      <c r="Z24" s="279"/>
      <c r="AA24" s="279"/>
      <c r="AB24" s="279"/>
      <c r="AC24" s="279"/>
      <c r="AD24" s="279"/>
      <c r="AE24" s="279"/>
      <c r="AF24" s="279"/>
      <c r="AG24" s="279"/>
      <c r="AH24" s="279"/>
      <c r="AI24" s="279"/>
      <c r="AJ24" s="279"/>
      <c r="AK24" s="279"/>
      <c r="AL24" s="279"/>
      <c r="AM24" s="279"/>
      <c r="AN24" s="279"/>
      <c r="AO24" s="279"/>
      <c r="AP24" s="279"/>
      <c r="AQ24" s="279"/>
      <c r="AR24" s="279"/>
      <c r="AS24" s="279"/>
      <c r="AT24" s="279"/>
      <c r="AU24" s="279"/>
      <c r="AV24" s="279"/>
      <c r="AW24" s="279"/>
      <c r="AX24" s="279"/>
      <c r="AY24" s="279"/>
      <c r="AZ24" s="279"/>
      <c r="BA24" s="279"/>
      <c r="BB24" s="279"/>
      <c r="BC24" s="279"/>
      <c r="BD24" s="279"/>
      <c r="BE24" s="279"/>
      <c r="BF24" s="279"/>
      <c r="BG24" s="279"/>
      <c r="BH24" s="279"/>
      <c r="BI24" s="279"/>
      <c r="BJ24" s="279"/>
      <c r="BK24" s="279"/>
      <c r="BL24" s="279"/>
      <c r="BM24" s="279"/>
      <c r="BN24" s="279"/>
      <c r="BO24" s="279"/>
      <c r="BP24" s="279"/>
      <c r="BQ24" s="279"/>
      <c r="BR24" s="279"/>
      <c r="BS24" s="279"/>
      <c r="BT24" s="279"/>
      <c r="BU24" s="279"/>
      <c r="BV24" s="279"/>
      <c r="BW24" s="279"/>
      <c r="BX24" s="279"/>
      <c r="BY24" s="279"/>
      <c r="BZ24" s="279"/>
      <c r="CA24" s="279"/>
      <c r="CB24" s="279"/>
      <c r="CC24" s="279"/>
      <c r="CD24" s="279"/>
      <c r="CE24" s="279"/>
      <c r="CF24" s="279"/>
      <c r="CG24" s="279"/>
      <c r="CH24" s="279"/>
      <c r="CI24" s="279"/>
      <c r="CJ24" s="279"/>
      <c r="CK24" s="279"/>
      <c r="CL24" s="279"/>
      <c r="CM24" s="279"/>
      <c r="CN24" s="382"/>
    </row>
    <row r="25" ht="15.6" x14ac:dyDescent="0.3">
      <c r="B25" s="361"/>
      <c r="C25" s="279"/>
      <c r="D25" s="280"/>
      <c r="E25" s="287"/>
      <c r="F25" s="287"/>
      <c r="G25" s="287"/>
      <c r="H25" s="1292">
        <f t="shared" si="1"/>
        <v>21</v>
      </c>
      <c r="I25" s="1502" t="str">
        <f>IF('I. Stream &amp; Compound Data'!G282&lt;&gt;"",'I. Stream &amp; Compound Data'!G282,"")</f>
        <v/>
      </c>
      <c r="J25" s="1312" t="str">
        <f>IF('I. Stream &amp; Compound Data'!V282&lt;&gt;"",'I. Stream &amp; Compound Data'!V282,"")</f>
        <v/>
      </c>
      <c r="K25" s="1312" t="str">
        <f>IF('I. Stream &amp; Compound Data'!U282&lt;&gt;"",'I. Stream &amp; Compound Data'!U282,"")</f>
        <v/>
      </c>
      <c r="L25" s="290" t="str">
        <f>IF(H25&gt;'I. Stream &amp; Compound Data'!$F$18,"",IF(J25="","N/A",IF(J25=0,0,1)))</f>
        <v/>
      </c>
      <c r="M25" s="1503" t="str">
        <f>IF(H25&gt;'I. Stream &amp; Compound Data'!$F$18,"",IF(L25=0,K25,0))</f>
        <v/>
      </c>
      <c r="N25" s="1294" t="str">
        <f>IF(H25&gt;'I. Stream &amp; Compound Data'!$F$18,"",IF(L25&lt;&gt;0,L25,M25))</f>
        <v/>
      </c>
      <c r="O25" s="1294" t="str">
        <f>IF(H25&gt;'I. Stream &amp; Compound Data'!$F$18,"",N25)</f>
        <v/>
      </c>
      <c r="P25" s="1294" t="str">
        <f>'I. Stream &amp; Compound Data'!P282</f>
        <v/>
      </c>
      <c r="Q25" s="1504" t="str">
        <f t="shared" si="0"/>
        <v/>
      </c>
      <c r="R25" s="1297" t="str">
        <f>IF(P25="","",IF(OR('I. Stream &amp; Compound Data'!U282=1,'I. Stream &amp; Compound Data'!W282=1),'Solid Estimation'!P25,0))</f>
        <v/>
      </c>
      <c r="S25" s="298"/>
      <c r="T25" s="298"/>
      <c r="U25" s="299"/>
      <c r="V25" s="279"/>
      <c r="W25" s="279"/>
      <c r="X25" s="279"/>
      <c r="Y25" s="279"/>
      <c r="Z25" s="279"/>
      <c r="AA25" s="279"/>
      <c r="AB25" s="279"/>
      <c r="AC25" s="279"/>
      <c r="AD25" s="279"/>
      <c r="AE25" s="279"/>
      <c r="AF25" s="279"/>
      <c r="AG25" s="279"/>
      <c r="AH25" s="279"/>
      <c r="AI25" s="279"/>
      <c r="AJ25" s="279"/>
      <c r="AK25" s="279"/>
      <c r="AL25" s="279"/>
      <c r="AM25" s="279"/>
      <c r="AN25" s="279"/>
      <c r="AO25" s="279"/>
      <c r="AP25" s="279"/>
      <c r="AQ25" s="279"/>
      <c r="AR25" s="279"/>
      <c r="AS25" s="279"/>
      <c r="AT25" s="279"/>
      <c r="AU25" s="279"/>
      <c r="AV25" s="279"/>
      <c r="AW25" s="279"/>
      <c r="AX25" s="279"/>
      <c r="AY25" s="279"/>
      <c r="AZ25" s="279"/>
      <c r="BA25" s="279"/>
      <c r="BB25" s="279"/>
      <c r="BC25" s="279"/>
      <c r="BD25" s="279"/>
      <c r="BE25" s="279"/>
      <c r="BF25" s="279"/>
      <c r="BG25" s="279"/>
      <c r="BH25" s="279"/>
      <c r="BI25" s="279"/>
      <c r="BJ25" s="279"/>
      <c r="BK25" s="279"/>
      <c r="BL25" s="279"/>
      <c r="BM25" s="279"/>
      <c r="BN25" s="279"/>
      <c r="BO25" s="279"/>
      <c r="BP25" s="279"/>
      <c r="BQ25" s="279"/>
      <c r="BR25" s="279"/>
      <c r="BS25" s="279"/>
      <c r="BT25" s="279"/>
      <c r="BU25" s="279"/>
      <c r="BV25" s="279"/>
      <c r="BW25" s="279"/>
      <c r="BX25" s="279"/>
      <c r="BY25" s="279"/>
      <c r="BZ25" s="279"/>
      <c r="CA25" s="279"/>
      <c r="CB25" s="279"/>
      <c r="CC25" s="279"/>
      <c r="CD25" s="279"/>
      <c r="CE25" s="279"/>
      <c r="CF25" s="279"/>
      <c r="CG25" s="279"/>
      <c r="CH25" s="279"/>
      <c r="CI25" s="279"/>
      <c r="CJ25" s="279"/>
      <c r="CK25" s="279"/>
      <c r="CL25" s="279"/>
      <c r="CM25" s="279"/>
      <c r="CN25" s="382"/>
    </row>
    <row r="26" ht="15.6" x14ac:dyDescent="0.3">
      <c r="B26" s="361"/>
      <c r="C26" s="279"/>
      <c r="D26" s="280"/>
      <c r="E26" s="287"/>
      <c r="F26" s="287"/>
      <c r="G26" s="287"/>
      <c r="H26" s="1292">
        <f t="shared" si="1"/>
        <v>22</v>
      </c>
      <c r="I26" s="1502" t="str">
        <f>IF('I. Stream &amp; Compound Data'!G283&lt;&gt;"",'I. Stream &amp; Compound Data'!G283,"")</f>
        <v/>
      </c>
      <c r="J26" s="1312" t="str">
        <f>IF('I. Stream &amp; Compound Data'!V283&lt;&gt;"",'I. Stream &amp; Compound Data'!V283,"")</f>
        <v/>
      </c>
      <c r="K26" s="1312" t="str">
        <f>IF('I. Stream &amp; Compound Data'!U283&lt;&gt;"",'I. Stream &amp; Compound Data'!U283,"")</f>
        <v/>
      </c>
      <c r="L26" s="290" t="str">
        <f>IF(H26&gt;'I. Stream &amp; Compound Data'!$F$18,"",IF(J26="","N/A",IF(J26=0,0,1)))</f>
        <v/>
      </c>
      <c r="M26" s="1503" t="str">
        <f>IF(H26&gt;'I. Stream &amp; Compound Data'!$F$18,"",IF(L26=0,K26,0))</f>
        <v/>
      </c>
      <c r="N26" s="1294" t="str">
        <f>IF(H26&gt;'I. Stream &amp; Compound Data'!$F$18,"",IF(L26&lt;&gt;0,L26,M26))</f>
        <v/>
      </c>
      <c r="O26" s="1294" t="str">
        <f>IF(H26&gt;'I. Stream &amp; Compound Data'!$F$18,"",N26)</f>
        <v/>
      </c>
      <c r="P26" s="1294" t="str">
        <f>'I. Stream &amp; Compound Data'!P283</f>
        <v/>
      </c>
      <c r="Q26" s="1504" t="str">
        <f t="shared" si="0"/>
        <v/>
      </c>
      <c r="R26" s="1297" t="str">
        <f>IF(P26="","",IF(OR('I. Stream &amp; Compound Data'!U283=1,'I. Stream &amp; Compound Data'!W283=1),'Solid Estimation'!P26,0))</f>
        <v/>
      </c>
      <c r="S26" s="298"/>
      <c r="T26" s="298"/>
      <c r="U26" s="299"/>
      <c r="V26" s="279"/>
      <c r="W26" s="279"/>
      <c r="X26" s="279"/>
      <c r="Y26" s="279"/>
      <c r="Z26" s="279"/>
      <c r="AA26" s="279"/>
      <c r="AB26" s="279"/>
      <c r="AC26" s="279"/>
      <c r="AD26" s="279"/>
      <c r="AE26" s="279"/>
      <c r="AF26" s="279"/>
      <c r="AG26" s="279"/>
      <c r="AH26" s="279"/>
      <c r="AI26" s="279"/>
      <c r="AJ26" s="279"/>
      <c r="AK26" s="279"/>
      <c r="AL26" s="279"/>
      <c r="AM26" s="279"/>
      <c r="AN26" s="279"/>
      <c r="AO26" s="279"/>
      <c r="AP26" s="279"/>
      <c r="AQ26" s="279"/>
      <c r="AR26" s="279"/>
      <c r="AS26" s="279"/>
      <c r="AT26" s="279"/>
      <c r="AU26" s="279"/>
      <c r="AV26" s="279"/>
      <c r="AW26" s="279"/>
      <c r="AX26" s="279"/>
      <c r="AY26" s="279"/>
      <c r="AZ26" s="279"/>
      <c r="BA26" s="279"/>
      <c r="BB26" s="279"/>
      <c r="BC26" s="279"/>
      <c r="BD26" s="279"/>
      <c r="BE26" s="279"/>
      <c r="BF26" s="279"/>
      <c r="BG26" s="279"/>
      <c r="BH26" s="279"/>
      <c r="BI26" s="279"/>
      <c r="BJ26" s="279"/>
      <c r="BK26" s="279"/>
      <c r="BL26" s="279"/>
      <c r="BM26" s="279"/>
      <c r="BN26" s="279"/>
      <c r="BO26" s="279"/>
      <c r="BP26" s="279"/>
      <c r="BQ26" s="279"/>
      <c r="BR26" s="279"/>
      <c r="BS26" s="279"/>
      <c r="BT26" s="279"/>
      <c r="BU26" s="279"/>
      <c r="BV26" s="279"/>
      <c r="BW26" s="279"/>
      <c r="BX26" s="279"/>
      <c r="BY26" s="279"/>
      <c r="BZ26" s="279"/>
      <c r="CA26" s="279"/>
      <c r="CB26" s="279"/>
      <c r="CC26" s="279"/>
      <c r="CD26" s="279"/>
      <c r="CE26" s="279"/>
      <c r="CF26" s="279"/>
      <c r="CG26" s="279"/>
      <c r="CH26" s="279"/>
      <c r="CI26" s="279"/>
      <c r="CJ26" s="279"/>
      <c r="CK26" s="279"/>
      <c r="CL26" s="279"/>
      <c r="CM26" s="279"/>
      <c r="CN26" s="382"/>
    </row>
    <row r="27" ht="15.6" x14ac:dyDescent="0.3">
      <c r="B27" s="361"/>
      <c r="C27" s="279"/>
      <c r="D27" s="280"/>
      <c r="E27" s="287"/>
      <c r="F27" s="287"/>
      <c r="G27" s="287"/>
      <c r="H27" s="1292">
        <f t="shared" si="1"/>
        <v>23</v>
      </c>
      <c r="I27" s="1502" t="str">
        <f>IF('I. Stream &amp; Compound Data'!G284&lt;&gt;"",'I. Stream &amp; Compound Data'!G284,"")</f>
        <v/>
      </c>
      <c r="J27" s="1312" t="str">
        <f>IF('I. Stream &amp; Compound Data'!V284&lt;&gt;"",'I. Stream &amp; Compound Data'!V284,"")</f>
        <v/>
      </c>
      <c r="K27" s="1312" t="str">
        <f>IF('I. Stream &amp; Compound Data'!U284&lt;&gt;"",'I. Stream &amp; Compound Data'!U284,"")</f>
        <v/>
      </c>
      <c r="L27" s="290" t="str">
        <f>IF(H27&gt;'I. Stream &amp; Compound Data'!$F$18,"",IF(J27="","N/A",IF(J27=0,0,1)))</f>
        <v/>
      </c>
      <c r="M27" s="1503" t="str">
        <f>IF(H27&gt;'I. Stream &amp; Compound Data'!$F$18,"",IF(L27=0,K27,0))</f>
        <v/>
      </c>
      <c r="N27" s="1294" t="str">
        <f>IF(H27&gt;'I. Stream &amp; Compound Data'!$F$18,"",IF(L27&lt;&gt;0,L27,M27))</f>
        <v/>
      </c>
      <c r="O27" s="1294" t="str">
        <f>IF(H27&gt;'I. Stream &amp; Compound Data'!$F$18,"",N27)</f>
        <v/>
      </c>
      <c r="P27" s="1294" t="str">
        <f>'I. Stream &amp; Compound Data'!P284</f>
        <v/>
      </c>
      <c r="Q27" s="1504" t="str">
        <f t="shared" si="0"/>
        <v/>
      </c>
      <c r="R27" s="1297" t="str">
        <f>IF(P27="","",IF(OR('I. Stream &amp; Compound Data'!U284=1,'I. Stream &amp; Compound Data'!W284=1),'Solid Estimation'!P27,0))</f>
        <v/>
      </c>
      <c r="S27" s="298"/>
      <c r="T27" s="298"/>
      <c r="U27" s="299"/>
      <c r="V27" s="279"/>
      <c r="W27" s="279"/>
      <c r="X27" s="279"/>
      <c r="Y27" s="279"/>
      <c r="Z27" s="279"/>
      <c r="AA27" s="279"/>
      <c r="AB27" s="279"/>
      <c r="AC27" s="279"/>
      <c r="AD27" s="279"/>
      <c r="AE27" s="279"/>
      <c r="AF27" s="279"/>
      <c r="AG27" s="279"/>
      <c r="AH27" s="279"/>
      <c r="AI27" s="279"/>
      <c r="AJ27" s="279"/>
      <c r="AK27" s="279"/>
      <c r="AL27" s="279"/>
      <c r="AM27" s="279"/>
      <c r="AN27" s="279"/>
      <c r="AO27" s="279"/>
      <c r="AP27" s="279"/>
      <c r="AQ27" s="279"/>
      <c r="AR27" s="279"/>
      <c r="AS27" s="279"/>
      <c r="AT27" s="279"/>
      <c r="AU27" s="279"/>
      <c r="AV27" s="279"/>
      <c r="AW27" s="279"/>
      <c r="AX27" s="279"/>
      <c r="AY27" s="279"/>
      <c r="AZ27" s="279"/>
      <c r="BA27" s="279"/>
      <c r="BB27" s="279"/>
      <c r="BC27" s="279"/>
      <c r="BD27" s="279"/>
      <c r="BE27" s="279"/>
      <c r="BF27" s="279"/>
      <c r="BG27" s="279"/>
      <c r="BH27" s="279"/>
      <c r="BI27" s="279"/>
      <c r="BJ27" s="279"/>
      <c r="BK27" s="279"/>
      <c r="BL27" s="279"/>
      <c r="BM27" s="279"/>
      <c r="BN27" s="279"/>
      <c r="BO27" s="279"/>
      <c r="BP27" s="279"/>
      <c r="BQ27" s="279"/>
      <c r="BR27" s="279"/>
      <c r="BS27" s="279"/>
      <c r="BT27" s="279"/>
      <c r="BU27" s="279"/>
      <c r="BV27" s="279"/>
      <c r="BW27" s="279"/>
      <c r="BX27" s="279"/>
      <c r="BY27" s="279"/>
      <c r="BZ27" s="279"/>
      <c r="CA27" s="279"/>
      <c r="CB27" s="279"/>
      <c r="CC27" s="279"/>
      <c r="CD27" s="279"/>
      <c r="CE27" s="279"/>
      <c r="CF27" s="279"/>
      <c r="CG27" s="279"/>
      <c r="CH27" s="279"/>
      <c r="CI27" s="279"/>
      <c r="CJ27" s="279"/>
      <c r="CK27" s="279"/>
      <c r="CL27" s="279"/>
      <c r="CM27" s="279"/>
      <c r="CN27" s="382"/>
    </row>
    <row r="28" ht="15.6" x14ac:dyDescent="0.3">
      <c r="B28" s="361"/>
      <c r="C28" s="279"/>
      <c r="D28" s="280"/>
      <c r="E28" s="287"/>
      <c r="F28" s="287"/>
      <c r="G28" s="287"/>
      <c r="H28" s="1292">
        <f t="shared" si="1"/>
        <v>24</v>
      </c>
      <c r="I28" s="1502" t="str">
        <f>IF('I. Stream &amp; Compound Data'!G285&lt;&gt;"",'I. Stream &amp; Compound Data'!G285,"")</f>
        <v/>
      </c>
      <c r="J28" s="1312" t="str">
        <f>IF('I. Stream &amp; Compound Data'!V285&lt;&gt;"",'I. Stream &amp; Compound Data'!V285,"")</f>
        <v/>
      </c>
      <c r="K28" s="1312" t="str">
        <f>IF('I. Stream &amp; Compound Data'!U285&lt;&gt;"",'I. Stream &amp; Compound Data'!U285,"")</f>
        <v/>
      </c>
      <c r="L28" s="290" t="str">
        <f>IF(H28&gt;'I. Stream &amp; Compound Data'!$F$18,"",IF(J28="","N/A",IF(J28=0,0,1)))</f>
        <v/>
      </c>
      <c r="M28" s="1503" t="str">
        <f>IF(H28&gt;'I. Stream &amp; Compound Data'!$F$18,"",IF(L28=0,K28,0))</f>
        <v/>
      </c>
      <c r="N28" s="1294" t="str">
        <f>IF(H28&gt;'I. Stream &amp; Compound Data'!$F$18,"",IF(L28&lt;&gt;0,L28,M28))</f>
        <v/>
      </c>
      <c r="O28" s="1294" t="str">
        <f>IF(H28&gt;'I. Stream &amp; Compound Data'!$F$18,"",N28)</f>
        <v/>
      </c>
      <c r="P28" s="1294" t="str">
        <f>'I. Stream &amp; Compound Data'!P285</f>
        <v/>
      </c>
      <c r="Q28" s="1504" t="str">
        <f t="shared" si="0"/>
        <v/>
      </c>
      <c r="R28" s="1297" t="str">
        <f>IF(P28="","",IF(OR('I. Stream &amp; Compound Data'!U285=1,'I. Stream &amp; Compound Data'!W285=1),'Solid Estimation'!P28,0))</f>
        <v/>
      </c>
      <c r="S28" s="298"/>
      <c r="T28" s="298"/>
      <c r="U28" s="299"/>
      <c r="V28" s="279"/>
      <c r="W28" s="279"/>
      <c r="X28" s="279"/>
      <c r="Y28" s="279"/>
      <c r="Z28" s="279"/>
      <c r="AA28" s="279"/>
      <c r="AB28" s="279"/>
      <c r="AC28" s="279"/>
      <c r="AD28" s="279"/>
      <c r="AE28" s="279"/>
      <c r="AF28" s="279"/>
      <c r="AG28" s="279"/>
      <c r="AH28" s="279"/>
      <c r="AI28" s="279"/>
      <c r="AJ28" s="279"/>
      <c r="AK28" s="279"/>
      <c r="AL28" s="279"/>
      <c r="AM28" s="279"/>
      <c r="AN28" s="279"/>
      <c r="AO28" s="279"/>
      <c r="AP28" s="279"/>
      <c r="AQ28" s="279"/>
      <c r="AR28" s="279"/>
      <c r="AS28" s="279"/>
      <c r="AT28" s="279"/>
      <c r="AU28" s="279"/>
      <c r="AV28" s="279"/>
      <c r="AW28" s="279"/>
      <c r="AX28" s="279"/>
      <c r="AY28" s="279"/>
      <c r="AZ28" s="279"/>
      <c r="BA28" s="279"/>
      <c r="BB28" s="279"/>
      <c r="BC28" s="279"/>
      <c r="BD28" s="279"/>
      <c r="BE28" s="279"/>
      <c r="BF28" s="279"/>
      <c r="BG28" s="279"/>
      <c r="BH28" s="279"/>
      <c r="BI28" s="279"/>
      <c r="BJ28" s="279"/>
      <c r="BK28" s="279"/>
      <c r="BL28" s="279"/>
      <c r="BM28" s="279"/>
      <c r="BN28" s="279"/>
      <c r="BO28" s="279"/>
      <c r="BP28" s="279"/>
      <c r="BQ28" s="279"/>
      <c r="BR28" s="279"/>
      <c r="BS28" s="279"/>
      <c r="BT28" s="279"/>
      <c r="BU28" s="279"/>
      <c r="BV28" s="279"/>
      <c r="BW28" s="279"/>
      <c r="BX28" s="279"/>
      <c r="BY28" s="279"/>
      <c r="BZ28" s="279"/>
      <c r="CA28" s="279"/>
      <c r="CB28" s="279"/>
      <c r="CC28" s="279"/>
      <c r="CD28" s="279"/>
      <c r="CE28" s="279"/>
      <c r="CF28" s="279"/>
      <c r="CG28" s="279"/>
      <c r="CH28" s="279"/>
      <c r="CI28" s="279"/>
      <c r="CJ28" s="279"/>
      <c r="CK28" s="279"/>
      <c r="CL28" s="279"/>
      <c r="CM28" s="279"/>
      <c r="CN28" s="382"/>
    </row>
    <row r="29" ht="15.6" x14ac:dyDescent="0.3">
      <c r="B29" s="361"/>
      <c r="C29" s="279"/>
      <c r="D29" s="280"/>
      <c r="E29" s="287"/>
      <c r="F29" s="287"/>
      <c r="G29" s="287"/>
      <c r="H29" s="1292">
        <f t="shared" si="1"/>
        <v>25</v>
      </c>
      <c r="I29" s="1502" t="str">
        <f>IF('I. Stream &amp; Compound Data'!G286&lt;&gt;"",'I. Stream &amp; Compound Data'!G286,"")</f>
        <v/>
      </c>
      <c r="J29" s="1312" t="str">
        <f>IF('I. Stream &amp; Compound Data'!V286&lt;&gt;"",'I. Stream &amp; Compound Data'!V286,"")</f>
        <v/>
      </c>
      <c r="K29" s="1312" t="str">
        <f>IF('I. Stream &amp; Compound Data'!U286&lt;&gt;"",'I. Stream &amp; Compound Data'!U286,"")</f>
        <v/>
      </c>
      <c r="L29" s="290" t="str">
        <f>IF(H29&gt;'I. Stream &amp; Compound Data'!$F$18,"",IF(J29="","N/A",IF(J29=0,0,1)))</f>
        <v/>
      </c>
      <c r="M29" s="1503" t="str">
        <f>IF(H29&gt;'I. Stream &amp; Compound Data'!$F$18,"",IF(L29=0,K29,0))</f>
        <v/>
      </c>
      <c r="N29" s="1294" t="str">
        <f>IF(H29&gt;'I. Stream &amp; Compound Data'!$F$18,"",IF(L29&lt;&gt;0,L29,M29))</f>
        <v/>
      </c>
      <c r="O29" s="1294" t="str">
        <f>IF(H29&gt;'I. Stream &amp; Compound Data'!$F$18,"",N29)</f>
        <v/>
      </c>
      <c r="P29" s="1294" t="str">
        <f>'I. Stream &amp; Compound Data'!P286</f>
        <v/>
      </c>
      <c r="Q29" s="1504" t="str">
        <f t="shared" si="0"/>
        <v/>
      </c>
      <c r="R29" s="1297" t="str">
        <f>IF(P29="","",IF(OR('I. Stream &amp; Compound Data'!U286=1,'I. Stream &amp; Compound Data'!W286=1),'Solid Estimation'!P29,0))</f>
        <v/>
      </c>
      <c r="S29" s="298"/>
      <c r="T29" s="298"/>
      <c r="U29" s="299"/>
      <c r="V29" s="279"/>
      <c r="W29" s="279"/>
      <c r="X29" s="279"/>
      <c r="Y29" s="279"/>
      <c r="Z29" s="279"/>
      <c r="AA29" s="279"/>
      <c r="AB29" s="279"/>
      <c r="AC29" s="279"/>
      <c r="AD29" s="279"/>
      <c r="AE29" s="279"/>
      <c r="AF29" s="279"/>
      <c r="AG29" s="279"/>
      <c r="AH29" s="279"/>
      <c r="AI29" s="279"/>
      <c r="AJ29" s="279"/>
      <c r="AK29" s="279"/>
      <c r="AL29" s="279"/>
      <c r="AM29" s="279"/>
      <c r="AN29" s="279"/>
      <c r="AO29" s="279"/>
      <c r="AP29" s="279"/>
      <c r="AQ29" s="279"/>
      <c r="AR29" s="279"/>
      <c r="AS29" s="279"/>
      <c r="AT29" s="279"/>
      <c r="AU29" s="279"/>
      <c r="AV29" s="279"/>
      <c r="AW29" s="279"/>
      <c r="AX29" s="279"/>
      <c r="AY29" s="279"/>
      <c r="AZ29" s="279"/>
      <c r="BA29" s="279"/>
      <c r="BB29" s="279"/>
      <c r="BC29" s="279"/>
      <c r="BD29" s="279"/>
      <c r="BE29" s="279"/>
      <c r="BF29" s="279"/>
      <c r="BG29" s="279"/>
      <c r="BH29" s="279"/>
      <c r="BI29" s="279"/>
      <c r="BJ29" s="279"/>
      <c r="BK29" s="279"/>
      <c r="BL29" s="279"/>
      <c r="BM29" s="279"/>
      <c r="BN29" s="279"/>
      <c r="BO29" s="279"/>
      <c r="BP29" s="279"/>
      <c r="BQ29" s="279"/>
      <c r="BR29" s="279"/>
      <c r="BS29" s="279"/>
      <c r="BT29" s="279"/>
      <c r="BU29" s="279"/>
      <c r="BV29" s="279"/>
      <c r="BW29" s="279"/>
      <c r="BX29" s="279"/>
      <c r="BY29" s="279"/>
      <c r="BZ29" s="279"/>
      <c r="CA29" s="279"/>
      <c r="CB29" s="279"/>
      <c r="CC29" s="279"/>
      <c r="CD29" s="279"/>
      <c r="CE29" s="279"/>
      <c r="CF29" s="279"/>
      <c r="CG29" s="279"/>
      <c r="CH29" s="279"/>
      <c r="CI29" s="279"/>
      <c r="CJ29" s="279"/>
      <c r="CK29" s="279"/>
      <c r="CL29" s="279"/>
      <c r="CM29" s="279"/>
      <c r="CN29" s="382"/>
    </row>
    <row r="30" ht="15.6" x14ac:dyDescent="0.3">
      <c r="B30" s="361"/>
      <c r="C30" s="279"/>
      <c r="D30" s="280"/>
      <c r="E30" s="287"/>
      <c r="F30" s="287"/>
      <c r="G30" s="287"/>
      <c r="H30" s="1292">
        <f t="shared" si="1"/>
        <v>26</v>
      </c>
      <c r="I30" s="1502" t="str">
        <f>IF('I. Stream &amp; Compound Data'!G287&lt;&gt;"",'I. Stream &amp; Compound Data'!G287,"")</f>
        <v/>
      </c>
      <c r="J30" s="1312" t="str">
        <f>IF('I. Stream &amp; Compound Data'!V287&lt;&gt;"",'I. Stream &amp; Compound Data'!V287,"")</f>
        <v/>
      </c>
      <c r="K30" s="1312" t="str">
        <f>IF('I. Stream &amp; Compound Data'!U287&lt;&gt;"",'I. Stream &amp; Compound Data'!U287,"")</f>
        <v/>
      </c>
      <c r="L30" s="290" t="str">
        <f>IF(H30&gt;'I. Stream &amp; Compound Data'!$F$18,"",IF(J30="","N/A",IF(J30=0,0,1)))</f>
        <v/>
      </c>
      <c r="M30" s="1503" t="str">
        <f>IF(H30&gt;'I. Stream &amp; Compound Data'!$F$18,"",IF(L30=0,K30,0))</f>
        <v/>
      </c>
      <c r="N30" s="1294" t="str">
        <f>IF(H30&gt;'I. Stream &amp; Compound Data'!$F$18,"",IF(L30&lt;&gt;0,L30,M30))</f>
        <v/>
      </c>
      <c r="O30" s="1294" t="str">
        <f>IF(H30&gt;'I. Stream &amp; Compound Data'!$F$18,"",N30)</f>
        <v/>
      </c>
      <c r="P30" s="1294" t="str">
        <f>'I. Stream &amp; Compound Data'!P287</f>
        <v/>
      </c>
      <c r="Q30" s="1504" t="str">
        <f t="shared" si="0"/>
        <v/>
      </c>
      <c r="R30" s="1297" t="str">
        <f>IF(P30="","",IF(OR('I. Stream &amp; Compound Data'!U287=1,'I. Stream &amp; Compound Data'!W287=1),'Solid Estimation'!P30,0))</f>
        <v/>
      </c>
      <c r="S30" s="298"/>
      <c r="T30" s="298"/>
      <c r="U30" s="299"/>
      <c r="V30" s="279"/>
      <c r="W30" s="279"/>
      <c r="X30" s="279"/>
      <c r="Y30" s="279"/>
      <c r="Z30" s="279"/>
      <c r="AA30" s="279"/>
      <c r="AB30" s="279"/>
      <c r="AC30" s="279"/>
      <c r="AD30" s="279"/>
      <c r="AE30" s="279"/>
      <c r="AF30" s="279"/>
      <c r="AG30" s="279"/>
      <c r="AH30" s="279"/>
      <c r="AI30" s="279"/>
      <c r="AJ30" s="279"/>
      <c r="AK30" s="279"/>
      <c r="AL30" s="279"/>
      <c r="AM30" s="279"/>
      <c r="AN30" s="279"/>
      <c r="AO30" s="279"/>
      <c r="AP30" s="279"/>
      <c r="AQ30" s="279"/>
      <c r="AR30" s="279"/>
      <c r="AS30" s="279"/>
      <c r="AT30" s="279"/>
      <c r="AU30" s="279"/>
      <c r="AV30" s="279"/>
      <c r="AW30" s="279"/>
      <c r="AX30" s="279"/>
      <c r="AY30" s="279"/>
      <c r="AZ30" s="279"/>
      <c r="BA30" s="279"/>
      <c r="BB30" s="279"/>
      <c r="BC30" s="279"/>
      <c r="BD30" s="279"/>
      <c r="BE30" s="279"/>
      <c r="BF30" s="279"/>
      <c r="BG30" s="279"/>
      <c r="BH30" s="279"/>
      <c r="BI30" s="279"/>
      <c r="BJ30" s="279"/>
      <c r="BK30" s="279"/>
      <c r="BL30" s="279"/>
      <c r="BM30" s="279"/>
      <c r="BN30" s="279"/>
      <c r="BO30" s="279"/>
      <c r="BP30" s="279"/>
      <c r="BQ30" s="279"/>
      <c r="BR30" s="279"/>
      <c r="BS30" s="279"/>
      <c r="BT30" s="279"/>
      <c r="BU30" s="279"/>
      <c r="BV30" s="279"/>
      <c r="BW30" s="279"/>
      <c r="BX30" s="279"/>
      <c r="BY30" s="279"/>
      <c r="BZ30" s="279"/>
      <c r="CA30" s="279"/>
      <c r="CB30" s="279"/>
      <c r="CC30" s="279"/>
      <c r="CD30" s="279"/>
      <c r="CE30" s="279"/>
      <c r="CF30" s="279"/>
      <c r="CG30" s="279"/>
      <c r="CH30" s="279"/>
      <c r="CI30" s="279"/>
      <c r="CJ30" s="279"/>
      <c r="CK30" s="279"/>
      <c r="CL30" s="279"/>
      <c r="CM30" s="279"/>
      <c r="CN30" s="382"/>
    </row>
    <row r="31" ht="15.6" x14ac:dyDescent="0.3">
      <c r="B31" s="361"/>
      <c r="C31" s="279"/>
      <c r="D31" s="280"/>
      <c r="E31" s="287"/>
      <c r="F31" s="287"/>
      <c r="G31" s="287"/>
      <c r="H31" s="1292">
        <f t="shared" si="1"/>
        <v>27</v>
      </c>
      <c r="I31" s="1502" t="str">
        <f>IF('I. Stream &amp; Compound Data'!G288&lt;&gt;"",'I. Stream &amp; Compound Data'!G288,"")</f>
        <v/>
      </c>
      <c r="J31" s="1312" t="str">
        <f>IF('I. Stream &amp; Compound Data'!V288&lt;&gt;"",'I. Stream &amp; Compound Data'!V288,"")</f>
        <v/>
      </c>
      <c r="K31" s="1312" t="str">
        <f>IF('I. Stream &amp; Compound Data'!U288&lt;&gt;"",'I. Stream &amp; Compound Data'!U288,"")</f>
        <v/>
      </c>
      <c r="L31" s="290" t="str">
        <f>IF(H31&gt;'I. Stream &amp; Compound Data'!$F$18,"",IF(J31="","N/A",IF(J31=0,0,1)))</f>
        <v/>
      </c>
      <c r="M31" s="1503" t="str">
        <f>IF(H31&gt;'I. Stream &amp; Compound Data'!$F$18,"",IF(L31=0,K31,0))</f>
        <v/>
      </c>
      <c r="N31" s="1294" t="str">
        <f>IF(H31&gt;'I. Stream &amp; Compound Data'!$F$18,"",IF(L31&lt;&gt;0,L31,M31))</f>
        <v/>
      </c>
      <c r="O31" s="1294" t="str">
        <f>IF(H31&gt;'I. Stream &amp; Compound Data'!$F$18,"",N31)</f>
        <v/>
      </c>
      <c r="P31" s="1294" t="str">
        <f>'I. Stream &amp; Compound Data'!P288</f>
        <v/>
      </c>
      <c r="Q31" s="1504" t="str">
        <f t="shared" si="0"/>
        <v/>
      </c>
      <c r="R31" s="1297" t="str">
        <f>IF(P31="","",IF(OR('I. Stream &amp; Compound Data'!U288=1,'I. Stream &amp; Compound Data'!W288=1),'Solid Estimation'!P31,0))</f>
        <v/>
      </c>
      <c r="S31" s="298"/>
      <c r="T31" s="298"/>
      <c r="U31" s="299"/>
      <c r="V31" s="279"/>
      <c r="W31" s="279"/>
      <c r="X31" s="279"/>
      <c r="Y31" s="279"/>
      <c r="Z31" s="279"/>
      <c r="AA31" s="279"/>
      <c r="AB31" s="279"/>
      <c r="AC31" s="279"/>
      <c r="AD31" s="279"/>
      <c r="AE31" s="279"/>
      <c r="AF31" s="279"/>
      <c r="AG31" s="279"/>
      <c r="AH31" s="279"/>
      <c r="AI31" s="279"/>
      <c r="AJ31" s="279"/>
      <c r="AK31" s="279"/>
      <c r="AL31" s="279"/>
      <c r="AM31" s="279"/>
      <c r="AN31" s="279"/>
      <c r="AO31" s="279"/>
      <c r="AP31" s="279"/>
      <c r="AQ31" s="279"/>
      <c r="AR31" s="279"/>
      <c r="AS31" s="279"/>
      <c r="AT31" s="279"/>
      <c r="AU31" s="279"/>
      <c r="AV31" s="279"/>
      <c r="AW31" s="279"/>
      <c r="AX31" s="279"/>
      <c r="AY31" s="279"/>
      <c r="AZ31" s="279"/>
      <c r="BA31" s="279"/>
      <c r="BB31" s="279"/>
      <c r="BC31" s="279"/>
      <c r="BD31" s="279"/>
      <c r="BE31" s="279"/>
      <c r="BF31" s="279"/>
      <c r="BG31" s="279"/>
      <c r="BH31" s="279"/>
      <c r="BI31" s="279"/>
      <c r="BJ31" s="279"/>
      <c r="BK31" s="279"/>
      <c r="BL31" s="279"/>
      <c r="BM31" s="279"/>
      <c r="BN31" s="279"/>
      <c r="BO31" s="279"/>
      <c r="BP31" s="279"/>
      <c r="BQ31" s="279"/>
      <c r="BR31" s="279"/>
      <c r="BS31" s="279"/>
      <c r="BT31" s="279"/>
      <c r="BU31" s="279"/>
      <c r="BV31" s="279"/>
      <c r="BW31" s="279"/>
      <c r="BX31" s="279"/>
      <c r="BY31" s="279"/>
      <c r="BZ31" s="279"/>
      <c r="CA31" s="279"/>
      <c r="CB31" s="279"/>
      <c r="CC31" s="279"/>
      <c r="CD31" s="279"/>
      <c r="CE31" s="279"/>
      <c r="CF31" s="279"/>
      <c r="CG31" s="279"/>
      <c r="CH31" s="279"/>
      <c r="CI31" s="279"/>
      <c r="CJ31" s="279"/>
      <c r="CK31" s="279"/>
      <c r="CL31" s="279"/>
      <c r="CM31" s="279"/>
      <c r="CN31" s="382"/>
    </row>
    <row r="32" ht="15.6" x14ac:dyDescent="0.3">
      <c r="B32" s="361"/>
      <c r="C32" s="279"/>
      <c r="D32" s="280"/>
      <c r="E32" s="287"/>
      <c r="F32" s="287"/>
      <c r="G32" s="287"/>
      <c r="H32" s="1292">
        <f t="shared" si="1"/>
        <v>28</v>
      </c>
      <c r="I32" s="1502" t="str">
        <f>IF('I. Stream &amp; Compound Data'!G289&lt;&gt;"",'I. Stream &amp; Compound Data'!G289,"")</f>
        <v/>
      </c>
      <c r="J32" s="1312" t="str">
        <f>IF('I. Stream &amp; Compound Data'!V289&lt;&gt;"",'I. Stream &amp; Compound Data'!V289,"")</f>
        <v/>
      </c>
      <c r="K32" s="1312" t="str">
        <f>IF('I. Stream &amp; Compound Data'!U289&lt;&gt;"",'I. Stream &amp; Compound Data'!U289,"")</f>
        <v/>
      </c>
      <c r="L32" s="290" t="str">
        <f>IF(H32&gt;'I. Stream &amp; Compound Data'!$F$18,"",IF(J32="","N/A",IF(J32=0,0,1)))</f>
        <v/>
      </c>
      <c r="M32" s="1503" t="str">
        <f>IF(H32&gt;'I. Stream &amp; Compound Data'!$F$18,"",IF(L32=0,K32,0))</f>
        <v/>
      </c>
      <c r="N32" s="1294" t="str">
        <f>IF(H32&gt;'I. Stream &amp; Compound Data'!$F$18,"",IF(L32&lt;&gt;0,L32,M32))</f>
        <v/>
      </c>
      <c r="O32" s="1294" t="str">
        <f>IF(H32&gt;'I. Stream &amp; Compound Data'!$F$18,"",N32)</f>
        <v/>
      </c>
      <c r="P32" s="1294" t="str">
        <f>'I. Stream &amp; Compound Data'!P289</f>
        <v/>
      </c>
      <c r="Q32" s="1504" t="str">
        <f t="shared" si="0"/>
        <v/>
      </c>
      <c r="R32" s="1297" t="str">
        <f>IF(P32="","",IF(OR('I. Stream &amp; Compound Data'!U289=1,'I. Stream &amp; Compound Data'!W289=1),'Solid Estimation'!P32,0))</f>
        <v/>
      </c>
      <c r="S32" s="298"/>
      <c r="T32" s="298"/>
      <c r="U32" s="299"/>
      <c r="V32" s="279"/>
      <c r="W32" s="279"/>
      <c r="X32" s="279"/>
      <c r="Y32" s="279"/>
      <c r="Z32" s="279"/>
      <c r="AA32" s="279"/>
      <c r="AB32" s="279"/>
      <c r="AC32" s="279"/>
      <c r="AD32" s="279"/>
      <c r="AE32" s="279"/>
      <c r="AF32" s="279"/>
      <c r="AG32" s="279"/>
      <c r="AH32" s="279"/>
      <c r="AI32" s="279"/>
      <c r="AJ32" s="279"/>
      <c r="AK32" s="279"/>
      <c r="AL32" s="279"/>
      <c r="AM32" s="279"/>
      <c r="AN32" s="279"/>
      <c r="AO32" s="279"/>
      <c r="AP32" s="279"/>
      <c r="AQ32" s="279"/>
      <c r="AR32" s="279"/>
      <c r="AS32" s="279"/>
      <c r="AT32" s="279"/>
      <c r="AU32" s="279"/>
      <c r="AV32" s="279"/>
      <c r="AW32" s="279"/>
      <c r="AX32" s="279"/>
      <c r="AY32" s="279"/>
      <c r="AZ32" s="279"/>
      <c r="BA32" s="279"/>
      <c r="BB32" s="279"/>
      <c r="BC32" s="279"/>
      <c r="BD32" s="279"/>
      <c r="BE32" s="279"/>
      <c r="BF32" s="279"/>
      <c r="BG32" s="279"/>
      <c r="BH32" s="279"/>
      <c r="BI32" s="279"/>
      <c r="BJ32" s="279"/>
      <c r="BK32" s="279"/>
      <c r="BL32" s="279"/>
      <c r="BM32" s="279"/>
      <c r="BN32" s="279"/>
      <c r="BO32" s="279"/>
      <c r="BP32" s="279"/>
      <c r="BQ32" s="279"/>
      <c r="BR32" s="279"/>
      <c r="BS32" s="279"/>
      <c r="BT32" s="279"/>
      <c r="BU32" s="279"/>
      <c r="BV32" s="279"/>
      <c r="BW32" s="279"/>
      <c r="BX32" s="279"/>
      <c r="BY32" s="279"/>
      <c r="BZ32" s="279"/>
      <c r="CA32" s="279"/>
      <c r="CB32" s="279"/>
      <c r="CC32" s="279"/>
      <c r="CD32" s="279"/>
      <c r="CE32" s="279"/>
      <c r="CF32" s="279"/>
      <c r="CG32" s="279"/>
      <c r="CH32" s="279"/>
      <c r="CI32" s="279"/>
      <c r="CJ32" s="279"/>
      <c r="CK32" s="279"/>
      <c r="CL32" s="279"/>
      <c r="CM32" s="279"/>
      <c r="CN32" s="382"/>
    </row>
    <row r="33" ht="15.6" x14ac:dyDescent="0.3">
      <c r="B33" s="361"/>
      <c r="C33" s="279"/>
      <c r="D33" s="280"/>
      <c r="E33" s="287"/>
      <c r="F33" s="287"/>
      <c r="G33" s="287"/>
      <c r="H33" s="1292">
        <f t="shared" si="1"/>
        <v>29</v>
      </c>
      <c r="I33" s="1502" t="str">
        <f>IF('I. Stream &amp; Compound Data'!G290&lt;&gt;"",'I. Stream &amp; Compound Data'!G290,"")</f>
        <v/>
      </c>
      <c r="J33" s="1312" t="str">
        <f>IF('I. Stream &amp; Compound Data'!V290&lt;&gt;"",'I. Stream &amp; Compound Data'!V290,"")</f>
        <v/>
      </c>
      <c r="K33" s="1312" t="str">
        <f>IF('I. Stream &amp; Compound Data'!U290&lt;&gt;"",'I. Stream &amp; Compound Data'!U290,"")</f>
        <v/>
      </c>
      <c r="L33" s="290" t="str">
        <f>IF(H33&gt;'I. Stream &amp; Compound Data'!$F$18,"",IF(J33="","N/A",IF(J33=0,0,1)))</f>
        <v/>
      </c>
      <c r="M33" s="1503" t="str">
        <f>IF(H33&gt;'I. Stream &amp; Compound Data'!$F$18,"",IF(L33=0,K33,0))</f>
        <v/>
      </c>
      <c r="N33" s="1294" t="str">
        <f>IF(H33&gt;'I. Stream &amp; Compound Data'!$F$18,"",IF(L33&lt;&gt;0,L33,M33))</f>
        <v/>
      </c>
      <c r="O33" s="1294" t="str">
        <f>IF(H33&gt;'I. Stream &amp; Compound Data'!$F$18,"",N33)</f>
        <v/>
      </c>
      <c r="P33" s="1294" t="str">
        <f>'I. Stream &amp; Compound Data'!P290</f>
        <v/>
      </c>
      <c r="Q33" s="1504" t="str">
        <f t="shared" si="0"/>
        <v/>
      </c>
      <c r="R33" s="1297" t="str">
        <f>IF(P33="","",IF(OR('I. Stream &amp; Compound Data'!U290=1,'I. Stream &amp; Compound Data'!W290=1),'Solid Estimation'!P33,0))</f>
        <v/>
      </c>
      <c r="S33" s="298"/>
      <c r="T33" s="298"/>
      <c r="U33" s="299"/>
      <c r="V33" s="279"/>
      <c r="W33" s="279"/>
      <c r="X33" s="279"/>
      <c r="Y33" s="279"/>
      <c r="Z33" s="279"/>
      <c r="AA33" s="279"/>
      <c r="AB33" s="279"/>
      <c r="AC33" s="279"/>
      <c r="AD33" s="279"/>
      <c r="AE33" s="279"/>
      <c r="AF33" s="279"/>
      <c r="AG33" s="279"/>
      <c r="AH33" s="279"/>
      <c r="AI33" s="279"/>
      <c r="AJ33" s="279"/>
      <c r="AK33" s="279"/>
      <c r="AL33" s="279"/>
      <c r="AM33" s="279"/>
      <c r="AN33" s="279"/>
      <c r="AO33" s="279"/>
      <c r="AP33" s="279"/>
      <c r="AQ33" s="279"/>
      <c r="AR33" s="279"/>
      <c r="AS33" s="279"/>
      <c r="AT33" s="279"/>
      <c r="AU33" s="279"/>
      <c r="AV33" s="279"/>
      <c r="AW33" s="279"/>
      <c r="AX33" s="279"/>
      <c r="AY33" s="279"/>
      <c r="AZ33" s="279"/>
      <c r="BA33" s="279"/>
      <c r="BB33" s="279"/>
      <c r="BC33" s="279"/>
      <c r="BD33" s="279"/>
      <c r="BE33" s="279"/>
      <c r="BF33" s="279"/>
      <c r="BG33" s="279"/>
      <c r="BH33" s="279"/>
      <c r="BI33" s="279"/>
      <c r="BJ33" s="279"/>
      <c r="BK33" s="279"/>
      <c r="BL33" s="279"/>
      <c r="BM33" s="279"/>
      <c r="BN33" s="279"/>
      <c r="BO33" s="279"/>
      <c r="BP33" s="279"/>
      <c r="BQ33" s="279"/>
      <c r="BR33" s="279"/>
      <c r="BS33" s="279"/>
      <c r="BT33" s="279"/>
      <c r="BU33" s="279"/>
      <c r="BV33" s="279"/>
      <c r="BW33" s="279"/>
      <c r="BX33" s="279"/>
      <c r="BY33" s="279"/>
      <c r="BZ33" s="279"/>
      <c r="CA33" s="279"/>
      <c r="CB33" s="279"/>
      <c r="CC33" s="279"/>
      <c r="CD33" s="279"/>
      <c r="CE33" s="279"/>
      <c r="CF33" s="279"/>
      <c r="CG33" s="279"/>
      <c r="CH33" s="279"/>
      <c r="CI33" s="279"/>
      <c r="CJ33" s="279"/>
      <c r="CK33" s="279"/>
      <c r="CL33" s="279"/>
      <c r="CM33" s="279"/>
      <c r="CN33" s="382"/>
    </row>
    <row r="34" ht="15.6" x14ac:dyDescent="0.3">
      <c r="B34" s="361"/>
      <c r="C34" s="279"/>
      <c r="D34" s="280"/>
      <c r="E34" s="287"/>
      <c r="F34" s="287"/>
      <c r="G34" s="287"/>
      <c r="H34" s="1292">
        <f t="shared" si="1"/>
        <v>30</v>
      </c>
      <c r="I34" s="1502" t="str">
        <f>IF('I. Stream &amp; Compound Data'!G291&lt;&gt;"",'I. Stream &amp; Compound Data'!G291,"")</f>
        <v/>
      </c>
      <c r="J34" s="1312" t="str">
        <f>IF('I. Stream &amp; Compound Data'!V291&lt;&gt;"",'I. Stream &amp; Compound Data'!V291,"")</f>
        <v/>
      </c>
      <c r="K34" s="1312" t="str">
        <f>IF('I. Stream &amp; Compound Data'!U291&lt;&gt;"",'I. Stream &amp; Compound Data'!U291,"")</f>
        <v/>
      </c>
      <c r="L34" s="290" t="str">
        <f>IF(H34&gt;'I. Stream &amp; Compound Data'!$F$18,"",IF(J34="","N/A",IF(J34=0,0,1)))</f>
        <v/>
      </c>
      <c r="M34" s="1503" t="str">
        <f>IF(H34&gt;'I. Stream &amp; Compound Data'!$F$18,"",IF(L34=0,K34,0))</f>
        <v/>
      </c>
      <c r="N34" s="1294" t="str">
        <f>IF(H34&gt;'I. Stream &amp; Compound Data'!$F$18,"",IF(L34&lt;&gt;0,L34,M34))</f>
        <v/>
      </c>
      <c r="O34" s="1294" t="str">
        <f>IF(H34&gt;'I. Stream &amp; Compound Data'!$F$18,"",N34)</f>
        <v/>
      </c>
      <c r="P34" s="1294" t="str">
        <f>'I. Stream &amp; Compound Data'!P291</f>
        <v/>
      </c>
      <c r="Q34" s="1504" t="str">
        <f t="shared" si="0"/>
        <v/>
      </c>
      <c r="R34" s="1297" t="str">
        <f>IF(P34="","",IF(OR('I. Stream &amp; Compound Data'!U291=1,'I. Stream &amp; Compound Data'!W291=1),'Solid Estimation'!P34,0))</f>
        <v/>
      </c>
      <c r="S34" s="298"/>
      <c r="T34" s="298"/>
      <c r="U34" s="299"/>
      <c r="V34" s="279"/>
      <c r="W34" s="279"/>
      <c r="X34" s="279"/>
      <c r="Y34" s="279"/>
      <c r="Z34" s="279"/>
      <c r="AA34" s="279"/>
      <c r="AB34" s="279"/>
      <c r="AC34" s="279"/>
      <c r="AD34" s="279"/>
      <c r="AE34" s="279"/>
      <c r="AF34" s="279"/>
      <c r="AG34" s="279"/>
      <c r="AH34" s="279"/>
      <c r="AI34" s="279"/>
      <c r="AJ34" s="279"/>
      <c r="AK34" s="279"/>
      <c r="AL34" s="279"/>
      <c r="AM34" s="279"/>
      <c r="AN34" s="279"/>
      <c r="AO34" s="279"/>
      <c r="AP34" s="279"/>
      <c r="AQ34" s="279"/>
      <c r="AR34" s="279"/>
      <c r="AS34" s="279"/>
      <c r="AT34" s="279"/>
      <c r="AU34" s="279"/>
      <c r="AV34" s="279"/>
      <c r="AW34" s="279"/>
      <c r="AX34" s="279"/>
      <c r="AY34" s="279"/>
      <c r="AZ34" s="279"/>
      <c r="BA34" s="279"/>
      <c r="BB34" s="279"/>
      <c r="BC34" s="279"/>
      <c r="BD34" s="279"/>
      <c r="BE34" s="279"/>
      <c r="BF34" s="279"/>
      <c r="BG34" s="279"/>
      <c r="BH34" s="279"/>
      <c r="BI34" s="279"/>
      <c r="BJ34" s="279"/>
      <c r="BK34" s="279"/>
      <c r="BL34" s="279"/>
      <c r="BM34" s="279"/>
      <c r="BN34" s="279"/>
      <c r="BO34" s="279"/>
      <c r="BP34" s="279"/>
      <c r="BQ34" s="279"/>
      <c r="BR34" s="279"/>
      <c r="BS34" s="279"/>
      <c r="BT34" s="279"/>
      <c r="BU34" s="279"/>
      <c r="BV34" s="279"/>
      <c r="BW34" s="279"/>
      <c r="BX34" s="279"/>
      <c r="BY34" s="279"/>
      <c r="BZ34" s="279"/>
      <c r="CA34" s="279"/>
      <c r="CB34" s="279"/>
      <c r="CC34" s="279"/>
      <c r="CD34" s="279"/>
      <c r="CE34" s="279"/>
      <c r="CF34" s="279"/>
      <c r="CG34" s="279"/>
      <c r="CH34" s="279"/>
      <c r="CI34" s="279"/>
      <c r="CJ34" s="279"/>
      <c r="CK34" s="279"/>
      <c r="CL34" s="279"/>
      <c r="CM34" s="279"/>
      <c r="CN34" s="382"/>
    </row>
    <row r="35" ht="15.6" x14ac:dyDescent="0.3">
      <c r="B35" s="361"/>
      <c r="C35" s="279"/>
      <c r="D35" s="280"/>
      <c r="E35" s="287"/>
      <c r="F35" s="287"/>
      <c r="G35" s="287"/>
      <c r="H35" s="1292">
        <f t="shared" si="1"/>
        <v>31</v>
      </c>
      <c r="I35" s="1502" t="str">
        <f>IF('I. Stream &amp; Compound Data'!G292&lt;&gt;"",'I. Stream &amp; Compound Data'!G292,"")</f>
        <v/>
      </c>
      <c r="J35" s="1312" t="str">
        <f>IF('I. Stream &amp; Compound Data'!V292&lt;&gt;"",'I. Stream &amp; Compound Data'!V292,"")</f>
        <v/>
      </c>
      <c r="K35" s="1312" t="str">
        <f>IF('I. Stream &amp; Compound Data'!U292&lt;&gt;"",'I. Stream &amp; Compound Data'!U292,"")</f>
        <v/>
      </c>
      <c r="L35" s="290" t="str">
        <f>IF(H35&gt;'I. Stream &amp; Compound Data'!$F$18,"",IF(J35="","N/A",IF(J35=0,0,1)))</f>
        <v/>
      </c>
      <c r="M35" s="1503" t="str">
        <f>IF(H35&gt;'I. Stream &amp; Compound Data'!$F$18,"",IF(L35=0,K35,0))</f>
        <v/>
      </c>
      <c r="N35" s="1294" t="str">
        <f>IF(H35&gt;'I. Stream &amp; Compound Data'!$F$18,"",IF(L35&lt;&gt;0,L35,M35))</f>
        <v/>
      </c>
      <c r="O35" s="1294" t="str">
        <f>IF(H35&gt;'I. Stream &amp; Compound Data'!$F$18,"",N35)</f>
        <v/>
      </c>
      <c r="P35" s="1294" t="str">
        <f>'I. Stream &amp; Compound Data'!P292</f>
        <v/>
      </c>
      <c r="Q35" s="1504" t="str">
        <f t="shared" si="0"/>
        <v/>
      </c>
      <c r="R35" s="1297" t="str">
        <f>IF(P35="","",IF(OR('I. Stream &amp; Compound Data'!U292=1,'I. Stream &amp; Compound Data'!W292=1),'Solid Estimation'!P35,0))</f>
        <v/>
      </c>
      <c r="S35" s="298"/>
      <c r="T35" s="298"/>
      <c r="U35" s="299"/>
      <c r="V35" s="279"/>
      <c r="W35" s="279"/>
      <c r="X35" s="279"/>
      <c r="Y35" s="279"/>
      <c r="Z35" s="279"/>
      <c r="AA35" s="279"/>
      <c r="AB35" s="279"/>
      <c r="AC35" s="279"/>
      <c r="AD35" s="279"/>
      <c r="AE35" s="279"/>
      <c r="AF35" s="279"/>
      <c r="AG35" s="279"/>
      <c r="AH35" s="279"/>
      <c r="AI35" s="279"/>
      <c r="AJ35" s="279"/>
      <c r="AK35" s="279"/>
      <c r="AL35" s="279"/>
      <c r="AM35" s="279"/>
      <c r="AN35" s="279"/>
      <c r="AO35" s="279"/>
      <c r="AP35" s="279"/>
      <c r="AQ35" s="279"/>
      <c r="AR35" s="279"/>
      <c r="AS35" s="279"/>
      <c r="AT35" s="279"/>
      <c r="AU35" s="279"/>
      <c r="AV35" s="279"/>
      <c r="AW35" s="279"/>
      <c r="AX35" s="279"/>
      <c r="AY35" s="279"/>
      <c r="AZ35" s="279"/>
      <c r="BA35" s="279"/>
      <c r="BB35" s="279"/>
      <c r="BC35" s="279"/>
      <c r="BD35" s="279"/>
      <c r="BE35" s="279"/>
      <c r="BF35" s="279"/>
      <c r="BG35" s="279"/>
      <c r="BH35" s="279"/>
      <c r="BI35" s="279"/>
      <c r="BJ35" s="279"/>
      <c r="BK35" s="279"/>
      <c r="BL35" s="279"/>
      <c r="BM35" s="279"/>
      <c r="BN35" s="279"/>
      <c r="BO35" s="279"/>
      <c r="BP35" s="279"/>
      <c r="BQ35" s="279"/>
      <c r="BR35" s="279"/>
      <c r="BS35" s="279"/>
      <c r="BT35" s="279"/>
      <c r="BU35" s="279"/>
      <c r="BV35" s="279"/>
      <c r="BW35" s="279"/>
      <c r="BX35" s="279"/>
      <c r="BY35" s="279"/>
      <c r="BZ35" s="279"/>
      <c r="CA35" s="279"/>
      <c r="CB35" s="279"/>
      <c r="CC35" s="279"/>
      <c r="CD35" s="279"/>
      <c r="CE35" s="279"/>
      <c r="CF35" s="279"/>
      <c r="CG35" s="279"/>
      <c r="CH35" s="279"/>
      <c r="CI35" s="279"/>
      <c r="CJ35" s="279"/>
      <c r="CK35" s="279"/>
      <c r="CL35" s="279"/>
      <c r="CM35" s="279"/>
      <c r="CN35" s="382"/>
    </row>
    <row r="36" ht="15.6" x14ac:dyDescent="0.3">
      <c r="B36" s="361"/>
      <c r="C36" s="279"/>
      <c r="D36" s="280"/>
      <c r="E36" s="287"/>
      <c r="F36" s="287"/>
      <c r="G36" s="287"/>
      <c r="H36" s="1292">
        <f t="shared" si="1"/>
        <v>32</v>
      </c>
      <c r="I36" s="1502" t="str">
        <f>IF('I. Stream &amp; Compound Data'!G293&lt;&gt;"",'I. Stream &amp; Compound Data'!G293,"")</f>
        <v/>
      </c>
      <c r="J36" s="1312" t="str">
        <f>IF('I. Stream &amp; Compound Data'!V293&lt;&gt;"",'I. Stream &amp; Compound Data'!V293,"")</f>
        <v/>
      </c>
      <c r="K36" s="1312" t="str">
        <f>IF('I. Stream &amp; Compound Data'!U293&lt;&gt;"",'I. Stream &amp; Compound Data'!U293,"")</f>
        <v/>
      </c>
      <c r="L36" s="290" t="str">
        <f>IF(H36&gt;'I. Stream &amp; Compound Data'!$F$18,"",IF(J36="","N/A",IF(J36=0,0,1)))</f>
        <v/>
      </c>
      <c r="M36" s="1503" t="str">
        <f>IF(H36&gt;'I. Stream &amp; Compound Data'!$F$18,"",IF(L36=0,K36,0))</f>
        <v/>
      </c>
      <c r="N36" s="1294" t="str">
        <f>IF(H36&gt;'I. Stream &amp; Compound Data'!$F$18,"",IF(L36&lt;&gt;0,L36,M36))</f>
        <v/>
      </c>
      <c r="O36" s="1294" t="str">
        <f>IF(H36&gt;'I. Stream &amp; Compound Data'!$F$18,"",N36)</f>
        <v/>
      </c>
      <c r="P36" s="1294" t="str">
        <f>'I. Stream &amp; Compound Data'!P293</f>
        <v/>
      </c>
      <c r="Q36" s="1504" t="str">
        <f t="shared" si="0"/>
        <v/>
      </c>
      <c r="R36" s="1297" t="str">
        <f>IF(P36="","",IF(OR('I. Stream &amp; Compound Data'!U293=1,'I. Stream &amp; Compound Data'!W293=1),'Solid Estimation'!P36,0))</f>
        <v/>
      </c>
      <c r="S36" s="298"/>
      <c r="T36" s="298"/>
      <c r="U36" s="299"/>
      <c r="V36" s="279"/>
      <c r="W36" s="279"/>
      <c r="X36" s="279"/>
      <c r="Y36" s="279"/>
      <c r="Z36" s="279"/>
      <c r="AA36" s="279"/>
      <c r="AB36" s="279"/>
      <c r="AC36" s="279"/>
      <c r="AD36" s="279"/>
      <c r="AE36" s="279"/>
      <c r="AF36" s="279"/>
      <c r="AG36" s="279"/>
      <c r="AH36" s="279"/>
      <c r="AI36" s="279"/>
      <c r="AJ36" s="279"/>
      <c r="AK36" s="279"/>
      <c r="AL36" s="279"/>
      <c r="AM36" s="279"/>
      <c r="AN36" s="279"/>
      <c r="AO36" s="279"/>
      <c r="AP36" s="279"/>
      <c r="AQ36" s="279"/>
      <c r="AR36" s="279"/>
      <c r="AS36" s="279"/>
      <c r="AT36" s="279"/>
      <c r="AU36" s="279"/>
      <c r="AV36" s="279"/>
      <c r="AW36" s="279"/>
      <c r="AX36" s="279"/>
      <c r="AY36" s="279"/>
      <c r="AZ36" s="279"/>
      <c r="BA36" s="279"/>
      <c r="BB36" s="279"/>
      <c r="BC36" s="279"/>
      <c r="BD36" s="279"/>
      <c r="BE36" s="279"/>
      <c r="BF36" s="279"/>
      <c r="BG36" s="279"/>
      <c r="BH36" s="279"/>
      <c r="BI36" s="279"/>
      <c r="BJ36" s="279"/>
      <c r="BK36" s="279"/>
      <c r="BL36" s="279"/>
      <c r="BM36" s="279"/>
      <c r="BN36" s="279"/>
      <c r="BO36" s="279"/>
      <c r="BP36" s="279"/>
      <c r="BQ36" s="279"/>
      <c r="BR36" s="279"/>
      <c r="BS36" s="279"/>
      <c r="BT36" s="279"/>
      <c r="BU36" s="279"/>
      <c r="BV36" s="279"/>
      <c r="BW36" s="279"/>
      <c r="BX36" s="279"/>
      <c r="BY36" s="279"/>
      <c r="BZ36" s="279"/>
      <c r="CA36" s="279"/>
      <c r="CB36" s="279"/>
      <c r="CC36" s="279"/>
      <c r="CD36" s="279"/>
      <c r="CE36" s="279"/>
      <c r="CF36" s="279"/>
      <c r="CG36" s="279"/>
      <c r="CH36" s="279"/>
      <c r="CI36" s="279"/>
      <c r="CJ36" s="279"/>
      <c r="CK36" s="279"/>
      <c r="CL36" s="279"/>
      <c r="CM36" s="279"/>
      <c r="CN36" s="382"/>
    </row>
    <row r="37" ht="15.6" x14ac:dyDescent="0.3">
      <c r="B37" s="361"/>
      <c r="C37" s="279"/>
      <c r="D37" s="280"/>
      <c r="E37" s="287"/>
      <c r="F37" s="287"/>
      <c r="G37" s="287"/>
      <c r="H37" s="1292">
        <f t="shared" si="1"/>
        <v>33</v>
      </c>
      <c r="I37" s="1502" t="str">
        <f>IF('I. Stream &amp; Compound Data'!G294&lt;&gt;"",'I. Stream &amp; Compound Data'!G294,"")</f>
        <v/>
      </c>
      <c r="J37" s="1312" t="str">
        <f>IF('I. Stream &amp; Compound Data'!V294&lt;&gt;"",'I. Stream &amp; Compound Data'!V294,"")</f>
        <v/>
      </c>
      <c r="K37" s="1312" t="str">
        <f>IF('I. Stream &amp; Compound Data'!U294&lt;&gt;"",'I. Stream &amp; Compound Data'!U294,"")</f>
        <v/>
      </c>
      <c r="L37" s="290" t="str">
        <f>IF(H37&gt;'I. Stream &amp; Compound Data'!$F$18,"",IF(J37="","N/A",IF(J37=0,0,1)))</f>
        <v/>
      </c>
      <c r="M37" s="1503" t="str">
        <f>IF(H37&gt;'I. Stream &amp; Compound Data'!$F$18,"",IF(L37=0,K37,0))</f>
        <v/>
      </c>
      <c r="N37" s="1294" t="str">
        <f>IF(H37&gt;'I. Stream &amp; Compound Data'!$F$18,"",IF(L37&lt;&gt;0,L37,M37))</f>
        <v/>
      </c>
      <c r="O37" s="1294" t="str">
        <f>IF(H37&gt;'I. Stream &amp; Compound Data'!$F$18,"",N37)</f>
        <v/>
      </c>
      <c r="P37" s="1294" t="str">
        <f>'I. Stream &amp; Compound Data'!P294</f>
        <v/>
      </c>
      <c r="Q37" s="1504" t="str">
        <f t="shared" ref="Q37:Q54" si="2">IF(P37="","",IF(N37&lt;&gt;0,P37*O37,0))</f>
        <v/>
      </c>
      <c r="R37" s="1297" t="str">
        <f>IF(P37="","",IF(OR('I. Stream &amp; Compound Data'!U294=1,'I. Stream &amp; Compound Data'!W294=1),'Solid Estimation'!P37,0))</f>
        <v/>
      </c>
      <c r="S37" s="298"/>
      <c r="T37" s="298"/>
      <c r="U37" s="299"/>
      <c r="V37" s="279"/>
      <c r="W37" s="279"/>
      <c r="X37" s="279"/>
      <c r="Y37" s="279"/>
      <c r="Z37" s="279"/>
      <c r="AA37" s="279"/>
      <c r="AB37" s="279"/>
      <c r="AC37" s="279"/>
      <c r="AD37" s="279"/>
      <c r="AE37" s="279"/>
      <c r="AF37" s="279"/>
      <c r="AG37" s="279"/>
      <c r="AH37" s="279"/>
      <c r="AI37" s="279"/>
      <c r="AJ37" s="279"/>
      <c r="AK37" s="279"/>
      <c r="AL37" s="279"/>
      <c r="AM37" s="279"/>
      <c r="AN37" s="279"/>
      <c r="AO37" s="279"/>
      <c r="AP37" s="279"/>
      <c r="AQ37" s="279"/>
      <c r="AR37" s="279"/>
      <c r="AS37" s="279"/>
      <c r="AT37" s="279"/>
      <c r="AU37" s="279"/>
      <c r="AV37" s="279"/>
      <c r="AW37" s="279"/>
      <c r="AX37" s="279"/>
      <c r="AY37" s="279"/>
      <c r="AZ37" s="279"/>
      <c r="BA37" s="279"/>
      <c r="BB37" s="279"/>
      <c r="BC37" s="279"/>
      <c r="BD37" s="279"/>
      <c r="BE37" s="279"/>
      <c r="BF37" s="279"/>
      <c r="BG37" s="279"/>
      <c r="BH37" s="279"/>
      <c r="BI37" s="279"/>
      <c r="BJ37" s="279"/>
      <c r="BK37" s="279"/>
      <c r="BL37" s="279"/>
      <c r="BM37" s="279"/>
      <c r="BN37" s="279"/>
      <c r="BO37" s="279"/>
      <c r="BP37" s="279"/>
      <c r="BQ37" s="279"/>
      <c r="BR37" s="279"/>
      <c r="BS37" s="279"/>
      <c r="BT37" s="279"/>
      <c r="BU37" s="279"/>
      <c r="BV37" s="279"/>
      <c r="BW37" s="279"/>
      <c r="BX37" s="279"/>
      <c r="BY37" s="279"/>
      <c r="BZ37" s="279"/>
      <c r="CA37" s="279"/>
      <c r="CB37" s="279"/>
      <c r="CC37" s="279"/>
      <c r="CD37" s="279"/>
      <c r="CE37" s="279"/>
      <c r="CF37" s="279"/>
      <c r="CG37" s="279"/>
      <c r="CH37" s="279"/>
      <c r="CI37" s="279"/>
      <c r="CJ37" s="279"/>
      <c r="CK37" s="279"/>
      <c r="CL37" s="279"/>
      <c r="CM37" s="279"/>
      <c r="CN37" s="382"/>
    </row>
    <row r="38" ht="15.6" x14ac:dyDescent="0.3">
      <c r="B38" s="361"/>
      <c r="C38" s="279"/>
      <c r="D38" s="280"/>
      <c r="E38" s="287"/>
      <c r="F38" s="287"/>
      <c r="G38" s="287"/>
      <c r="H38" s="1292">
        <f t="shared" si="1"/>
        <v>34</v>
      </c>
      <c r="I38" s="1502" t="str">
        <f>IF('I. Stream &amp; Compound Data'!G295&lt;&gt;"",'I. Stream &amp; Compound Data'!G295,"")</f>
        <v/>
      </c>
      <c r="J38" s="1312" t="str">
        <f>IF('I. Stream &amp; Compound Data'!V295&lt;&gt;"",'I. Stream &amp; Compound Data'!V295,"")</f>
        <v/>
      </c>
      <c r="K38" s="1312" t="str">
        <f>IF('I. Stream &amp; Compound Data'!U295&lt;&gt;"",'I. Stream &amp; Compound Data'!U295,"")</f>
        <v/>
      </c>
      <c r="L38" s="290" t="str">
        <f>IF(H38&gt;'I. Stream &amp; Compound Data'!$F$18,"",IF(J38="","N/A",IF(J38=0,0,1)))</f>
        <v/>
      </c>
      <c r="M38" s="1503" t="str">
        <f>IF(H38&gt;'I. Stream &amp; Compound Data'!$F$18,"",IF(L38=0,K38,0))</f>
        <v/>
      </c>
      <c r="N38" s="1294" t="str">
        <f>IF(H38&gt;'I. Stream &amp; Compound Data'!$F$18,"",IF(L38&lt;&gt;0,L38,M38))</f>
        <v/>
      </c>
      <c r="O38" s="1294" t="str">
        <f>IF(H38&gt;'I. Stream &amp; Compound Data'!$F$18,"",N38)</f>
        <v/>
      </c>
      <c r="P38" s="1294" t="str">
        <f>'I. Stream &amp; Compound Data'!P295</f>
        <v/>
      </c>
      <c r="Q38" s="1504" t="str">
        <f t="shared" si="2"/>
        <v/>
      </c>
      <c r="R38" s="1297" t="str">
        <f>IF(P38="","",IF(OR('I. Stream &amp; Compound Data'!U295=1,'I. Stream &amp; Compound Data'!W295=1),'Solid Estimation'!P38,0))</f>
        <v/>
      </c>
      <c r="S38" s="298"/>
      <c r="T38" s="298"/>
      <c r="U38" s="299"/>
      <c r="V38" s="279"/>
      <c r="W38" s="279"/>
      <c r="X38" s="279"/>
      <c r="Y38" s="279"/>
      <c r="Z38" s="279"/>
      <c r="AA38" s="279"/>
      <c r="AB38" s="279"/>
      <c r="AC38" s="279"/>
      <c r="AD38" s="279"/>
      <c r="AE38" s="279"/>
      <c r="AF38" s="279"/>
      <c r="AG38" s="279"/>
      <c r="AH38" s="279"/>
      <c r="AI38" s="279"/>
      <c r="AJ38" s="279"/>
      <c r="AK38" s="279"/>
      <c r="AL38" s="279"/>
      <c r="AM38" s="279"/>
      <c r="AN38" s="279"/>
      <c r="AO38" s="279"/>
      <c r="AP38" s="279"/>
      <c r="AQ38" s="279"/>
      <c r="AR38" s="279"/>
      <c r="AS38" s="279"/>
      <c r="AT38" s="279"/>
      <c r="AU38" s="279"/>
      <c r="AV38" s="279"/>
      <c r="AW38" s="279"/>
      <c r="AX38" s="279"/>
      <c r="AY38" s="279"/>
      <c r="AZ38" s="279"/>
      <c r="BA38" s="279"/>
      <c r="BB38" s="279"/>
      <c r="BC38" s="279"/>
      <c r="BD38" s="279"/>
      <c r="BE38" s="279"/>
      <c r="BF38" s="279"/>
      <c r="BG38" s="279"/>
      <c r="BH38" s="279"/>
      <c r="BI38" s="279"/>
      <c r="BJ38" s="279"/>
      <c r="BK38" s="279"/>
      <c r="BL38" s="279"/>
      <c r="BM38" s="279"/>
      <c r="BN38" s="279"/>
      <c r="BO38" s="279"/>
      <c r="BP38" s="279"/>
      <c r="BQ38" s="279"/>
      <c r="BR38" s="279"/>
      <c r="BS38" s="279"/>
      <c r="BT38" s="279"/>
      <c r="BU38" s="279"/>
      <c r="BV38" s="279"/>
      <c r="BW38" s="279"/>
      <c r="BX38" s="279"/>
      <c r="BY38" s="279"/>
      <c r="BZ38" s="279"/>
      <c r="CA38" s="279"/>
      <c r="CB38" s="279"/>
      <c r="CC38" s="279"/>
      <c r="CD38" s="279"/>
      <c r="CE38" s="279"/>
      <c r="CF38" s="279"/>
      <c r="CG38" s="279"/>
      <c r="CH38" s="279"/>
      <c r="CI38" s="279"/>
      <c r="CJ38" s="279"/>
      <c r="CK38" s="279"/>
      <c r="CL38" s="279"/>
      <c r="CM38" s="279"/>
      <c r="CN38" s="382"/>
    </row>
    <row r="39" ht="15.6" x14ac:dyDescent="0.3">
      <c r="B39" s="361"/>
      <c r="C39" s="279"/>
      <c r="D39" s="280"/>
      <c r="E39" s="287"/>
      <c r="F39" s="287"/>
      <c r="G39" s="287"/>
      <c r="H39" s="1292">
        <f t="shared" si="1"/>
        <v>35</v>
      </c>
      <c r="I39" s="1502" t="str">
        <f>IF('I. Stream &amp; Compound Data'!G296&lt;&gt;"",'I. Stream &amp; Compound Data'!G296,"")</f>
        <v/>
      </c>
      <c r="J39" s="1312" t="str">
        <f>IF('I. Stream &amp; Compound Data'!V296&lt;&gt;"",'I. Stream &amp; Compound Data'!V296,"")</f>
        <v/>
      </c>
      <c r="K39" s="1312" t="str">
        <f>IF('I. Stream &amp; Compound Data'!U296&lt;&gt;"",'I. Stream &amp; Compound Data'!U296,"")</f>
        <v/>
      </c>
      <c r="L39" s="290" t="str">
        <f>IF(H39&gt;'I. Stream &amp; Compound Data'!$F$18,"",IF(J39="","N/A",IF(J39=0,0,1)))</f>
        <v/>
      </c>
      <c r="M39" s="1503" t="str">
        <f>IF(H39&gt;'I. Stream &amp; Compound Data'!$F$18,"",IF(L39=0,K39,0))</f>
        <v/>
      </c>
      <c r="N39" s="1294" t="str">
        <f>IF(H39&gt;'I. Stream &amp; Compound Data'!$F$18,"",IF(L39&lt;&gt;0,L39,M39))</f>
        <v/>
      </c>
      <c r="O39" s="1294" t="str">
        <f>IF(H39&gt;'I. Stream &amp; Compound Data'!$F$18,"",N39)</f>
        <v/>
      </c>
      <c r="P39" s="1294" t="str">
        <f>'I. Stream &amp; Compound Data'!P296</f>
        <v/>
      </c>
      <c r="Q39" s="1504" t="str">
        <f t="shared" si="2"/>
        <v/>
      </c>
      <c r="R39" s="1297" t="str">
        <f>IF(P39="","",IF(OR('I. Stream &amp; Compound Data'!U296=1,'I. Stream &amp; Compound Data'!W296=1),'Solid Estimation'!P39,0))</f>
        <v/>
      </c>
      <c r="S39" s="298"/>
      <c r="T39" s="298"/>
      <c r="U39" s="299"/>
      <c r="V39" s="279"/>
      <c r="W39" s="279"/>
      <c r="X39" s="279"/>
      <c r="Y39" s="279"/>
      <c r="Z39" s="279"/>
      <c r="AA39" s="279"/>
      <c r="AB39" s="279"/>
      <c r="AC39" s="279"/>
      <c r="AD39" s="279"/>
      <c r="AE39" s="279"/>
      <c r="AF39" s="279"/>
      <c r="AG39" s="279"/>
      <c r="AH39" s="279"/>
      <c r="AI39" s="279"/>
      <c r="AJ39" s="279"/>
      <c r="AK39" s="279"/>
      <c r="AL39" s="279"/>
      <c r="AM39" s="279"/>
      <c r="AN39" s="279"/>
      <c r="AO39" s="279"/>
      <c r="AP39" s="279"/>
      <c r="AQ39" s="279"/>
      <c r="AR39" s="279"/>
      <c r="AS39" s="279"/>
      <c r="AT39" s="279"/>
      <c r="AU39" s="279"/>
      <c r="AV39" s="279"/>
      <c r="AW39" s="279"/>
      <c r="AX39" s="279"/>
      <c r="AY39" s="279"/>
      <c r="AZ39" s="279"/>
      <c r="BA39" s="279"/>
      <c r="BB39" s="279"/>
      <c r="BC39" s="279"/>
      <c r="BD39" s="279"/>
      <c r="BE39" s="279"/>
      <c r="BF39" s="279"/>
      <c r="BG39" s="279"/>
      <c r="BH39" s="279"/>
      <c r="BI39" s="279"/>
      <c r="BJ39" s="279"/>
      <c r="BK39" s="279"/>
      <c r="BL39" s="279"/>
      <c r="BM39" s="279"/>
      <c r="BN39" s="279"/>
      <c r="BO39" s="279"/>
      <c r="BP39" s="279"/>
      <c r="BQ39" s="279"/>
      <c r="BR39" s="279"/>
      <c r="BS39" s="279"/>
      <c r="BT39" s="279"/>
      <c r="BU39" s="279"/>
      <c r="BV39" s="279"/>
      <c r="BW39" s="279"/>
      <c r="BX39" s="279"/>
      <c r="BY39" s="279"/>
      <c r="BZ39" s="279"/>
      <c r="CA39" s="279"/>
      <c r="CB39" s="279"/>
      <c r="CC39" s="279"/>
      <c r="CD39" s="279"/>
      <c r="CE39" s="279"/>
      <c r="CF39" s="279"/>
      <c r="CG39" s="279"/>
      <c r="CH39" s="279"/>
      <c r="CI39" s="279"/>
      <c r="CJ39" s="279"/>
      <c r="CK39" s="279"/>
      <c r="CL39" s="279"/>
      <c r="CM39" s="279"/>
      <c r="CN39" s="382"/>
    </row>
    <row r="40" ht="15.6" x14ac:dyDescent="0.3">
      <c r="B40" s="361"/>
      <c r="C40" s="279"/>
      <c r="D40" s="280"/>
      <c r="E40" s="287"/>
      <c r="F40" s="287"/>
      <c r="G40" s="287"/>
      <c r="H40" s="1292">
        <f t="shared" si="1"/>
        <v>36</v>
      </c>
      <c r="I40" s="1502" t="str">
        <f>IF('I. Stream &amp; Compound Data'!G297&lt;&gt;"",'I. Stream &amp; Compound Data'!G297,"")</f>
        <v/>
      </c>
      <c r="J40" s="1312" t="str">
        <f>IF('I. Stream &amp; Compound Data'!V297&lt;&gt;"",'I. Stream &amp; Compound Data'!V297,"")</f>
        <v/>
      </c>
      <c r="K40" s="1312" t="str">
        <f>IF('I. Stream &amp; Compound Data'!U297&lt;&gt;"",'I. Stream &amp; Compound Data'!U297,"")</f>
        <v/>
      </c>
      <c r="L40" s="290" t="str">
        <f>IF(H40&gt;'I. Stream &amp; Compound Data'!$F$18,"",IF(J40="","N/A",IF(J40=0,0,1)))</f>
        <v/>
      </c>
      <c r="M40" s="1503" t="str">
        <f>IF(H40&gt;'I. Stream &amp; Compound Data'!$F$18,"",IF(L40=0,K40,0))</f>
        <v/>
      </c>
      <c r="N40" s="1294" t="str">
        <f>IF(H40&gt;'I. Stream &amp; Compound Data'!$F$18,"",IF(L40&lt;&gt;0,L40,M40))</f>
        <v/>
      </c>
      <c r="O40" s="1294" t="str">
        <f>IF(H40&gt;'I. Stream &amp; Compound Data'!$F$18,"",N40)</f>
        <v/>
      </c>
      <c r="P40" s="1294" t="str">
        <f>'I. Stream &amp; Compound Data'!P297</f>
        <v/>
      </c>
      <c r="Q40" s="1504" t="str">
        <f t="shared" si="2"/>
        <v/>
      </c>
      <c r="R40" s="1297" t="str">
        <f>IF(P40="","",IF(OR('I. Stream &amp; Compound Data'!U297=1,'I. Stream &amp; Compound Data'!W297=1),'Solid Estimation'!P40,0))</f>
        <v/>
      </c>
      <c r="S40" s="298"/>
      <c r="T40" s="298"/>
      <c r="U40" s="299"/>
      <c r="V40" s="279"/>
      <c r="W40" s="279"/>
      <c r="X40" s="279"/>
      <c r="Y40" s="279"/>
      <c r="Z40" s="279"/>
      <c r="AA40" s="279"/>
      <c r="AB40" s="279"/>
      <c r="AC40" s="279"/>
      <c r="AD40" s="279"/>
      <c r="AE40" s="279"/>
      <c r="AF40" s="279"/>
      <c r="AG40" s="279"/>
      <c r="AH40" s="279"/>
      <c r="AI40" s="279"/>
      <c r="AJ40" s="279"/>
      <c r="AK40" s="279"/>
      <c r="AL40" s="279"/>
      <c r="AM40" s="279"/>
      <c r="AN40" s="279"/>
      <c r="AO40" s="279"/>
      <c r="AP40" s="279"/>
      <c r="AQ40" s="279"/>
      <c r="AR40" s="279"/>
      <c r="AS40" s="279"/>
      <c r="AT40" s="279"/>
      <c r="AU40" s="279"/>
      <c r="AV40" s="279"/>
      <c r="AW40" s="279"/>
      <c r="AX40" s="279"/>
      <c r="AY40" s="279"/>
      <c r="AZ40" s="279"/>
      <c r="BA40" s="279"/>
      <c r="BB40" s="279"/>
      <c r="BC40" s="279"/>
      <c r="BD40" s="279"/>
      <c r="BE40" s="279"/>
      <c r="BF40" s="279"/>
      <c r="BG40" s="279"/>
      <c r="BH40" s="279"/>
      <c r="BI40" s="279"/>
      <c r="BJ40" s="279"/>
      <c r="BK40" s="279"/>
      <c r="BL40" s="279"/>
      <c r="BM40" s="279"/>
      <c r="BN40" s="279"/>
      <c r="BO40" s="279"/>
      <c r="BP40" s="279"/>
      <c r="BQ40" s="279"/>
      <c r="BR40" s="279"/>
      <c r="BS40" s="279"/>
      <c r="BT40" s="279"/>
      <c r="BU40" s="279"/>
      <c r="BV40" s="279"/>
      <c r="BW40" s="279"/>
      <c r="BX40" s="279"/>
      <c r="BY40" s="279"/>
      <c r="BZ40" s="279"/>
      <c r="CA40" s="279"/>
      <c r="CB40" s="279"/>
      <c r="CC40" s="279"/>
      <c r="CD40" s="279"/>
      <c r="CE40" s="279"/>
      <c r="CF40" s="279"/>
      <c r="CG40" s="279"/>
      <c r="CH40" s="279"/>
      <c r="CI40" s="279"/>
      <c r="CJ40" s="279"/>
      <c r="CK40" s="279"/>
      <c r="CL40" s="279"/>
      <c r="CM40" s="279"/>
      <c r="CN40" s="382"/>
    </row>
    <row r="41" ht="15.6" x14ac:dyDescent="0.3">
      <c r="B41" s="361"/>
      <c r="C41" s="279"/>
      <c r="D41" s="280"/>
      <c r="E41" s="287"/>
      <c r="F41" s="287"/>
      <c r="G41" s="287"/>
      <c r="H41" s="1292">
        <f t="shared" si="1"/>
        <v>37</v>
      </c>
      <c r="I41" s="1502" t="str">
        <f>IF('I. Stream &amp; Compound Data'!G298&lt;&gt;"",'I. Stream &amp; Compound Data'!G298,"")</f>
        <v/>
      </c>
      <c r="J41" s="1312" t="str">
        <f>IF('I. Stream &amp; Compound Data'!V298&lt;&gt;"",'I. Stream &amp; Compound Data'!V298,"")</f>
        <v/>
      </c>
      <c r="K41" s="1312" t="str">
        <f>IF('I. Stream &amp; Compound Data'!U298&lt;&gt;"",'I. Stream &amp; Compound Data'!U298,"")</f>
        <v/>
      </c>
      <c r="L41" s="290" t="str">
        <f>IF(H41&gt;'I. Stream &amp; Compound Data'!$F$18,"",IF(J41="","N/A",IF(J41=0,0,1)))</f>
        <v/>
      </c>
      <c r="M41" s="1503" t="str">
        <f>IF(H41&gt;'I. Stream &amp; Compound Data'!$F$18,"",IF(L41=0,K41,0))</f>
        <v/>
      </c>
      <c r="N41" s="1294" t="str">
        <f>IF(H41&gt;'I. Stream &amp; Compound Data'!$F$18,"",IF(L41&lt;&gt;0,L41,M41))</f>
        <v/>
      </c>
      <c r="O41" s="1294" t="str">
        <f>IF(H41&gt;'I. Stream &amp; Compound Data'!$F$18,"",N41)</f>
        <v/>
      </c>
      <c r="P41" s="1294" t="str">
        <f>'I. Stream &amp; Compound Data'!P298</f>
        <v/>
      </c>
      <c r="Q41" s="1504" t="str">
        <f t="shared" si="2"/>
        <v/>
      </c>
      <c r="R41" s="1297" t="str">
        <f>IF(P41="","",IF(OR('I. Stream &amp; Compound Data'!U298=1,'I. Stream &amp; Compound Data'!W298=1),'Solid Estimation'!P41,0))</f>
        <v/>
      </c>
      <c r="S41" s="298"/>
      <c r="T41" s="298"/>
      <c r="U41" s="299"/>
      <c r="V41" s="279"/>
      <c r="W41" s="279"/>
      <c r="X41" s="279"/>
      <c r="Y41" s="279"/>
      <c r="Z41" s="279"/>
      <c r="AA41" s="279"/>
      <c r="AB41" s="279"/>
      <c r="AC41" s="279"/>
      <c r="AD41" s="279"/>
      <c r="AE41" s="279"/>
      <c r="AF41" s="279"/>
      <c r="AG41" s="279"/>
      <c r="AH41" s="279"/>
      <c r="AI41" s="279"/>
      <c r="AJ41" s="279"/>
      <c r="AK41" s="279"/>
      <c r="AL41" s="279"/>
      <c r="AM41" s="279"/>
      <c r="AN41" s="279"/>
      <c r="AO41" s="279"/>
      <c r="AP41" s="279"/>
      <c r="AQ41" s="279"/>
      <c r="AR41" s="279"/>
      <c r="AS41" s="279"/>
      <c r="AT41" s="279"/>
      <c r="AU41" s="279"/>
      <c r="AV41" s="279"/>
      <c r="AW41" s="279"/>
      <c r="AX41" s="279"/>
      <c r="AY41" s="279"/>
      <c r="AZ41" s="279"/>
      <c r="BA41" s="279"/>
      <c r="BB41" s="279"/>
      <c r="BC41" s="279"/>
      <c r="BD41" s="279"/>
      <c r="BE41" s="279"/>
      <c r="BF41" s="279"/>
      <c r="BG41" s="279"/>
      <c r="BH41" s="279"/>
      <c r="BI41" s="279"/>
      <c r="BJ41" s="279"/>
      <c r="BK41" s="279"/>
      <c r="BL41" s="279"/>
      <c r="BM41" s="279"/>
      <c r="BN41" s="279"/>
      <c r="BO41" s="279"/>
      <c r="BP41" s="279"/>
      <c r="BQ41" s="279"/>
      <c r="BR41" s="279"/>
      <c r="BS41" s="279"/>
      <c r="BT41" s="279"/>
      <c r="BU41" s="279"/>
      <c r="BV41" s="279"/>
      <c r="BW41" s="279"/>
      <c r="BX41" s="279"/>
      <c r="BY41" s="279"/>
      <c r="BZ41" s="279"/>
      <c r="CA41" s="279"/>
      <c r="CB41" s="279"/>
      <c r="CC41" s="279"/>
      <c r="CD41" s="279"/>
      <c r="CE41" s="279"/>
      <c r="CF41" s="279"/>
      <c r="CG41" s="279"/>
      <c r="CH41" s="279"/>
      <c r="CI41" s="279"/>
      <c r="CJ41" s="279"/>
      <c r="CK41" s="279"/>
      <c r="CL41" s="279"/>
      <c r="CM41" s="279"/>
      <c r="CN41" s="382"/>
    </row>
    <row r="42" ht="15.6" x14ac:dyDescent="0.3">
      <c r="B42" s="361"/>
      <c r="C42" s="279"/>
      <c r="D42" s="280"/>
      <c r="E42" s="287"/>
      <c r="F42" s="287"/>
      <c r="G42" s="287"/>
      <c r="H42" s="1292">
        <f t="shared" si="1"/>
        <v>38</v>
      </c>
      <c r="I42" s="1502" t="str">
        <f>IF('I. Stream &amp; Compound Data'!G299&lt;&gt;"",'I. Stream &amp; Compound Data'!G299,"")</f>
        <v/>
      </c>
      <c r="J42" s="1312" t="str">
        <f>IF('I. Stream &amp; Compound Data'!V299&lt;&gt;"",'I. Stream &amp; Compound Data'!V299,"")</f>
        <v/>
      </c>
      <c r="K42" s="1312" t="str">
        <f>IF('I. Stream &amp; Compound Data'!U299&lt;&gt;"",'I. Stream &amp; Compound Data'!U299,"")</f>
        <v/>
      </c>
      <c r="L42" s="290" t="str">
        <f>IF(H42&gt;'I. Stream &amp; Compound Data'!$F$18,"",IF(J42="","N/A",IF(J42=0,0,1)))</f>
        <v/>
      </c>
      <c r="M42" s="1503" t="str">
        <f>IF(H42&gt;'I. Stream &amp; Compound Data'!$F$18,"",IF(L42=0,K42,0))</f>
        <v/>
      </c>
      <c r="N42" s="1294" t="str">
        <f>IF(H42&gt;'I. Stream &amp; Compound Data'!$F$18,"",IF(L42&lt;&gt;0,L42,M42))</f>
        <v/>
      </c>
      <c r="O42" s="1294" t="str">
        <f>IF(H42&gt;'I. Stream &amp; Compound Data'!$F$18,"",N42)</f>
        <v/>
      </c>
      <c r="P42" s="1294" t="str">
        <f>'I. Stream &amp; Compound Data'!P299</f>
        <v/>
      </c>
      <c r="Q42" s="1504" t="str">
        <f t="shared" si="2"/>
        <v/>
      </c>
      <c r="R42" s="1297" t="str">
        <f>IF(P42="","",IF(OR('I. Stream &amp; Compound Data'!U299=1,'I. Stream &amp; Compound Data'!W299=1),'Solid Estimation'!P42,0))</f>
        <v/>
      </c>
      <c r="S42" s="298"/>
      <c r="T42" s="298"/>
      <c r="U42" s="299"/>
      <c r="V42" s="279"/>
      <c r="W42" s="279"/>
      <c r="X42" s="279"/>
      <c r="Y42" s="279"/>
      <c r="Z42" s="279"/>
      <c r="AA42" s="279"/>
      <c r="AB42" s="279"/>
      <c r="AC42" s="279"/>
      <c r="AD42" s="279"/>
      <c r="AE42" s="279"/>
      <c r="AF42" s="279"/>
      <c r="AG42" s="279"/>
      <c r="AH42" s="279"/>
      <c r="AI42" s="279"/>
      <c r="AJ42" s="279"/>
      <c r="AK42" s="279"/>
      <c r="AL42" s="279"/>
      <c r="AM42" s="279"/>
      <c r="AN42" s="279"/>
      <c r="AO42" s="279"/>
      <c r="AP42" s="279"/>
      <c r="AQ42" s="279"/>
      <c r="AR42" s="279"/>
      <c r="AS42" s="279"/>
      <c r="AT42" s="279"/>
      <c r="AU42" s="279"/>
      <c r="AV42" s="279"/>
      <c r="AW42" s="279"/>
      <c r="AX42" s="279"/>
      <c r="AY42" s="279"/>
      <c r="AZ42" s="279"/>
      <c r="BA42" s="279"/>
      <c r="BB42" s="279"/>
      <c r="BC42" s="279"/>
      <c r="BD42" s="279"/>
      <c r="BE42" s="279"/>
      <c r="BF42" s="279"/>
      <c r="BG42" s="279"/>
      <c r="BH42" s="279"/>
      <c r="BI42" s="279"/>
      <c r="BJ42" s="279"/>
      <c r="BK42" s="279"/>
      <c r="BL42" s="279"/>
      <c r="BM42" s="279"/>
      <c r="BN42" s="279"/>
      <c r="BO42" s="279"/>
      <c r="BP42" s="279"/>
      <c r="BQ42" s="279"/>
      <c r="BR42" s="279"/>
      <c r="BS42" s="279"/>
      <c r="BT42" s="279"/>
      <c r="BU42" s="279"/>
      <c r="BV42" s="279"/>
      <c r="BW42" s="279"/>
      <c r="BX42" s="279"/>
      <c r="BY42" s="279"/>
      <c r="BZ42" s="279"/>
      <c r="CA42" s="279"/>
      <c r="CB42" s="279"/>
      <c r="CC42" s="279"/>
      <c r="CD42" s="279"/>
      <c r="CE42" s="279"/>
      <c r="CF42" s="279"/>
      <c r="CG42" s="279"/>
      <c r="CH42" s="279"/>
      <c r="CI42" s="279"/>
      <c r="CJ42" s="279"/>
      <c r="CK42" s="279"/>
      <c r="CL42" s="279"/>
      <c r="CM42" s="279"/>
      <c r="CN42" s="382"/>
    </row>
    <row r="43" ht="15.6" x14ac:dyDescent="0.3">
      <c r="B43" s="361"/>
      <c r="C43" s="279"/>
      <c r="D43" s="280"/>
      <c r="E43" s="287"/>
      <c r="F43" s="287"/>
      <c r="G43" s="287"/>
      <c r="H43" s="1292">
        <f t="shared" si="1"/>
        <v>39</v>
      </c>
      <c r="I43" s="1502" t="str">
        <f>IF('I. Stream &amp; Compound Data'!G300&lt;&gt;"",'I. Stream &amp; Compound Data'!G300,"")</f>
        <v/>
      </c>
      <c r="J43" s="1312" t="str">
        <f>IF('I. Stream &amp; Compound Data'!V300&lt;&gt;"",'I. Stream &amp; Compound Data'!V300,"")</f>
        <v/>
      </c>
      <c r="K43" s="1312" t="str">
        <f>IF('I. Stream &amp; Compound Data'!U300&lt;&gt;"",'I. Stream &amp; Compound Data'!U300,"")</f>
        <v/>
      </c>
      <c r="L43" s="290" t="str">
        <f>IF(H43&gt;'I. Stream &amp; Compound Data'!$F$18,"",IF(J43="","N/A",IF(J43=0,0,1)))</f>
        <v/>
      </c>
      <c r="M43" s="1503" t="str">
        <f>IF(H43&gt;'I. Stream &amp; Compound Data'!$F$18,"",IF(L43=0,K43,0))</f>
        <v/>
      </c>
      <c r="N43" s="1294" t="str">
        <f>IF(H43&gt;'I. Stream &amp; Compound Data'!$F$18,"",IF(L43&lt;&gt;0,L43,M43))</f>
        <v/>
      </c>
      <c r="O43" s="1294" t="str">
        <f>IF(H43&gt;'I. Stream &amp; Compound Data'!$F$18,"",N43)</f>
        <v/>
      </c>
      <c r="P43" s="1294" t="str">
        <f>'I. Stream &amp; Compound Data'!P300</f>
        <v/>
      </c>
      <c r="Q43" s="1504" t="str">
        <f t="shared" si="2"/>
        <v/>
      </c>
      <c r="R43" s="1297" t="str">
        <f>IF(P43="","",IF(OR('I. Stream &amp; Compound Data'!U300=1,'I. Stream &amp; Compound Data'!W300=1),'Solid Estimation'!P43,0))</f>
        <v/>
      </c>
      <c r="S43" s="298"/>
      <c r="T43" s="298"/>
      <c r="U43" s="299"/>
      <c r="V43" s="279"/>
      <c r="W43" s="279"/>
      <c r="X43" s="279"/>
      <c r="Y43" s="279"/>
      <c r="Z43" s="279"/>
      <c r="AA43" s="279"/>
      <c r="AB43" s="279"/>
      <c r="AC43" s="279"/>
      <c r="AD43" s="279"/>
      <c r="AE43" s="279"/>
      <c r="AF43" s="279"/>
      <c r="AG43" s="279"/>
      <c r="AH43" s="279"/>
      <c r="AI43" s="279"/>
      <c r="AJ43" s="279"/>
      <c r="AK43" s="279"/>
      <c r="AL43" s="279"/>
      <c r="AM43" s="279"/>
      <c r="AN43" s="279"/>
      <c r="AO43" s="279"/>
      <c r="AP43" s="279"/>
      <c r="AQ43" s="279"/>
      <c r="AR43" s="279"/>
      <c r="AS43" s="279"/>
      <c r="AT43" s="279"/>
      <c r="AU43" s="279"/>
      <c r="AV43" s="279"/>
      <c r="AW43" s="279"/>
      <c r="AX43" s="279"/>
      <c r="AY43" s="279"/>
      <c r="AZ43" s="279"/>
      <c r="BA43" s="279"/>
      <c r="BB43" s="279"/>
      <c r="BC43" s="279"/>
      <c r="BD43" s="279"/>
      <c r="BE43" s="279"/>
      <c r="BF43" s="279"/>
      <c r="BG43" s="279"/>
      <c r="BH43" s="279"/>
      <c r="BI43" s="279"/>
      <c r="BJ43" s="279"/>
      <c r="BK43" s="279"/>
      <c r="BL43" s="279"/>
      <c r="BM43" s="279"/>
      <c r="BN43" s="279"/>
      <c r="BO43" s="279"/>
      <c r="BP43" s="279"/>
      <c r="BQ43" s="279"/>
      <c r="BR43" s="279"/>
      <c r="BS43" s="279"/>
      <c r="BT43" s="279"/>
      <c r="BU43" s="279"/>
      <c r="BV43" s="279"/>
      <c r="BW43" s="279"/>
      <c r="BX43" s="279"/>
      <c r="BY43" s="279"/>
      <c r="BZ43" s="279"/>
      <c r="CA43" s="279"/>
      <c r="CB43" s="279"/>
      <c r="CC43" s="279"/>
      <c r="CD43" s="279"/>
      <c r="CE43" s="279"/>
      <c r="CF43" s="279"/>
      <c r="CG43" s="279"/>
      <c r="CH43" s="279"/>
      <c r="CI43" s="279"/>
      <c r="CJ43" s="279"/>
      <c r="CK43" s="279"/>
      <c r="CL43" s="279"/>
      <c r="CM43" s="279"/>
      <c r="CN43" s="382"/>
    </row>
    <row r="44" ht="15.6" x14ac:dyDescent="0.3">
      <c r="B44" s="361"/>
      <c r="C44" s="279"/>
      <c r="D44" s="280"/>
      <c r="E44" s="287"/>
      <c r="F44" s="287"/>
      <c r="G44" s="287"/>
      <c r="H44" s="1292">
        <f t="shared" si="1"/>
        <v>40</v>
      </c>
      <c r="I44" s="1502" t="str">
        <f>IF('I. Stream &amp; Compound Data'!G301&lt;&gt;"",'I. Stream &amp; Compound Data'!G301,"")</f>
        <v/>
      </c>
      <c r="J44" s="1312" t="str">
        <f>IF('I. Stream &amp; Compound Data'!V301&lt;&gt;"",'I. Stream &amp; Compound Data'!V301,"")</f>
        <v/>
      </c>
      <c r="K44" s="1312" t="str">
        <f>IF('I. Stream &amp; Compound Data'!U301&lt;&gt;"",'I. Stream &amp; Compound Data'!U301,"")</f>
        <v/>
      </c>
      <c r="L44" s="290" t="str">
        <f>IF(H44&gt;'I. Stream &amp; Compound Data'!$F$18,"",IF(J44="","N/A",IF(J44=0,0,1)))</f>
        <v/>
      </c>
      <c r="M44" s="1503" t="str">
        <f>IF(H44&gt;'I. Stream &amp; Compound Data'!$F$18,"",IF(L44=0,K44,0))</f>
        <v/>
      </c>
      <c r="N44" s="1294" t="str">
        <f>IF(H44&gt;'I. Stream &amp; Compound Data'!$F$18,"",IF(L44&lt;&gt;0,L44,M44))</f>
        <v/>
      </c>
      <c r="O44" s="1294" t="str">
        <f>IF(H44&gt;'I. Stream &amp; Compound Data'!$F$18,"",N44)</f>
        <v/>
      </c>
      <c r="P44" s="1294" t="str">
        <f>'I. Stream &amp; Compound Data'!P301</f>
        <v/>
      </c>
      <c r="Q44" s="1504" t="str">
        <f t="shared" si="2"/>
        <v/>
      </c>
      <c r="R44" s="1297" t="str">
        <f>IF(P44="","",IF(OR('I. Stream &amp; Compound Data'!U301=1,'I. Stream &amp; Compound Data'!W301=1),'Solid Estimation'!P44,0))</f>
        <v/>
      </c>
      <c r="S44" s="298"/>
      <c r="T44" s="298"/>
      <c r="U44" s="299"/>
      <c r="V44" s="279"/>
      <c r="W44" s="279"/>
      <c r="X44" s="279"/>
      <c r="Y44" s="279"/>
      <c r="Z44" s="279"/>
      <c r="AA44" s="279"/>
      <c r="AB44" s="279"/>
      <c r="AC44" s="279"/>
      <c r="AD44" s="279"/>
      <c r="AE44" s="279"/>
      <c r="AF44" s="279"/>
      <c r="AG44" s="279"/>
      <c r="AH44" s="279"/>
      <c r="AI44" s="279"/>
      <c r="AJ44" s="279"/>
      <c r="AK44" s="279"/>
      <c r="AL44" s="279"/>
      <c r="AM44" s="279"/>
      <c r="AN44" s="279"/>
      <c r="AO44" s="279"/>
      <c r="AP44" s="279"/>
      <c r="AQ44" s="279"/>
      <c r="AR44" s="279"/>
      <c r="AS44" s="279"/>
      <c r="AT44" s="279"/>
      <c r="AU44" s="279"/>
      <c r="AV44" s="279"/>
      <c r="AW44" s="279"/>
      <c r="AX44" s="279"/>
      <c r="AY44" s="279"/>
      <c r="AZ44" s="279"/>
      <c r="BA44" s="279"/>
      <c r="BB44" s="279"/>
      <c r="BC44" s="279"/>
      <c r="BD44" s="279"/>
      <c r="BE44" s="279"/>
      <c r="BF44" s="279"/>
      <c r="BG44" s="279"/>
      <c r="BH44" s="279"/>
      <c r="BI44" s="279"/>
      <c r="BJ44" s="279"/>
      <c r="BK44" s="279"/>
      <c r="BL44" s="279"/>
      <c r="BM44" s="279"/>
      <c r="BN44" s="279"/>
      <c r="BO44" s="279"/>
      <c r="BP44" s="279"/>
      <c r="BQ44" s="279"/>
      <c r="BR44" s="279"/>
      <c r="BS44" s="279"/>
      <c r="BT44" s="279"/>
      <c r="BU44" s="279"/>
      <c r="BV44" s="279"/>
      <c r="BW44" s="279"/>
      <c r="BX44" s="279"/>
      <c r="BY44" s="279"/>
      <c r="BZ44" s="279"/>
      <c r="CA44" s="279"/>
      <c r="CB44" s="279"/>
      <c r="CC44" s="279"/>
      <c r="CD44" s="279"/>
      <c r="CE44" s="279"/>
      <c r="CF44" s="279"/>
      <c r="CG44" s="279"/>
      <c r="CH44" s="279"/>
      <c r="CI44" s="279"/>
      <c r="CJ44" s="279"/>
      <c r="CK44" s="279"/>
      <c r="CL44" s="279"/>
      <c r="CM44" s="279"/>
      <c r="CN44" s="382"/>
    </row>
    <row r="45" ht="15.6" x14ac:dyDescent="0.3">
      <c r="B45" s="361"/>
      <c r="C45" s="279"/>
      <c r="D45" s="280"/>
      <c r="E45" s="287"/>
      <c r="F45" s="287"/>
      <c r="G45" s="287"/>
      <c r="H45" s="1292">
        <f t="shared" si="1"/>
        <v>41</v>
      </c>
      <c r="I45" s="1502" t="str">
        <f>IF('I. Stream &amp; Compound Data'!G302&lt;&gt;"",'I. Stream &amp; Compound Data'!G302,"")</f>
        <v/>
      </c>
      <c r="J45" s="1312" t="str">
        <f>IF('I. Stream &amp; Compound Data'!V302&lt;&gt;"",'I. Stream &amp; Compound Data'!V302,"")</f>
        <v/>
      </c>
      <c r="K45" s="1312" t="str">
        <f>IF('I. Stream &amp; Compound Data'!U302&lt;&gt;"",'I. Stream &amp; Compound Data'!U302,"")</f>
        <v/>
      </c>
      <c r="L45" s="290" t="str">
        <f>IF(H45&gt;'I. Stream &amp; Compound Data'!$F$18,"",IF(J45="","N/A",IF(J45=0,0,1)))</f>
        <v/>
      </c>
      <c r="M45" s="1503" t="str">
        <f>IF(H45&gt;'I. Stream &amp; Compound Data'!$F$18,"",IF(L45=0,K45,0))</f>
        <v/>
      </c>
      <c r="N45" s="1294" t="str">
        <f>IF(H45&gt;'I. Stream &amp; Compound Data'!$F$18,"",IF(L45&lt;&gt;0,L45,M45))</f>
        <v/>
      </c>
      <c r="O45" s="1294" t="str">
        <f>IF(H45&gt;'I. Stream &amp; Compound Data'!$F$18,"",N45)</f>
        <v/>
      </c>
      <c r="P45" s="1294" t="str">
        <f>'I. Stream &amp; Compound Data'!P302</f>
        <v/>
      </c>
      <c r="Q45" s="1504" t="str">
        <f t="shared" si="2"/>
        <v/>
      </c>
      <c r="R45" s="1297" t="str">
        <f>IF(P45="","",IF(OR('I. Stream &amp; Compound Data'!U302=1,'I. Stream &amp; Compound Data'!W302=1),'Solid Estimation'!P45,0))</f>
        <v/>
      </c>
      <c r="S45" s="298"/>
      <c r="T45" s="298"/>
      <c r="U45" s="299"/>
      <c r="V45" s="279"/>
      <c r="W45" s="279"/>
      <c r="X45" s="279"/>
      <c r="Y45" s="279"/>
      <c r="Z45" s="279"/>
      <c r="AA45" s="279"/>
      <c r="AB45" s="279"/>
      <c r="AC45" s="279"/>
      <c r="AD45" s="279"/>
      <c r="AE45" s="279"/>
      <c r="AF45" s="279"/>
      <c r="AG45" s="279"/>
      <c r="AH45" s="279"/>
      <c r="AI45" s="279"/>
      <c r="AJ45" s="279"/>
      <c r="AK45" s="279"/>
      <c r="AL45" s="279"/>
      <c r="AM45" s="279"/>
      <c r="AN45" s="279"/>
      <c r="AO45" s="279"/>
      <c r="AP45" s="279"/>
      <c r="AQ45" s="279"/>
      <c r="AR45" s="279"/>
      <c r="AS45" s="279"/>
      <c r="AT45" s="279"/>
      <c r="AU45" s="279"/>
      <c r="AV45" s="279"/>
      <c r="AW45" s="279"/>
      <c r="AX45" s="279"/>
      <c r="AY45" s="279"/>
      <c r="AZ45" s="279"/>
      <c r="BA45" s="279"/>
      <c r="BB45" s="279"/>
      <c r="BC45" s="279"/>
      <c r="BD45" s="279"/>
      <c r="BE45" s="279"/>
      <c r="BF45" s="279"/>
      <c r="BG45" s="279"/>
      <c r="BH45" s="279"/>
      <c r="BI45" s="279"/>
      <c r="BJ45" s="279"/>
      <c r="BK45" s="279"/>
      <c r="BL45" s="279"/>
      <c r="BM45" s="279"/>
      <c r="BN45" s="279"/>
      <c r="BO45" s="279"/>
      <c r="BP45" s="279"/>
      <c r="BQ45" s="279"/>
      <c r="BR45" s="279"/>
      <c r="BS45" s="279"/>
      <c r="BT45" s="279"/>
      <c r="BU45" s="279"/>
      <c r="BV45" s="279"/>
      <c r="BW45" s="279"/>
      <c r="BX45" s="279"/>
      <c r="BY45" s="279"/>
      <c r="BZ45" s="279"/>
      <c r="CA45" s="279"/>
      <c r="CB45" s="279"/>
      <c r="CC45" s="279"/>
      <c r="CD45" s="279"/>
      <c r="CE45" s="279"/>
      <c r="CF45" s="279"/>
      <c r="CG45" s="279"/>
      <c r="CH45" s="279"/>
      <c r="CI45" s="279"/>
      <c r="CJ45" s="279"/>
      <c r="CK45" s="279"/>
      <c r="CL45" s="279"/>
      <c r="CM45" s="279"/>
      <c r="CN45" s="382"/>
    </row>
    <row r="46" ht="15.6" x14ac:dyDescent="0.3">
      <c r="B46" s="361"/>
      <c r="C46" s="279"/>
      <c r="D46" s="280"/>
      <c r="E46" s="287"/>
      <c r="F46" s="287"/>
      <c r="G46" s="287"/>
      <c r="H46" s="1292">
        <f t="shared" si="1"/>
        <v>42</v>
      </c>
      <c r="I46" s="1502" t="str">
        <f>IF('I. Stream &amp; Compound Data'!G303&lt;&gt;"",'I. Stream &amp; Compound Data'!G303,"")</f>
        <v/>
      </c>
      <c r="J46" s="1312" t="str">
        <f>IF('I. Stream &amp; Compound Data'!V303&lt;&gt;"",'I. Stream &amp; Compound Data'!V303,"")</f>
        <v/>
      </c>
      <c r="K46" s="1312" t="str">
        <f>IF('I. Stream &amp; Compound Data'!U303&lt;&gt;"",'I. Stream &amp; Compound Data'!U303,"")</f>
        <v/>
      </c>
      <c r="L46" s="290" t="str">
        <f>IF(H46&gt;'I. Stream &amp; Compound Data'!$F$18,"",IF(J46="","N/A",IF(J46=0,0,1)))</f>
        <v/>
      </c>
      <c r="M46" s="1503" t="str">
        <f>IF(H46&gt;'I. Stream &amp; Compound Data'!$F$18,"",IF(L46=0,K46,0))</f>
        <v/>
      </c>
      <c r="N46" s="1294" t="str">
        <f>IF(H46&gt;'I. Stream &amp; Compound Data'!$F$18,"",IF(L46&lt;&gt;0,L46,M46))</f>
        <v/>
      </c>
      <c r="O46" s="1294" t="str">
        <f>IF(H46&gt;'I. Stream &amp; Compound Data'!$F$18,"",N46)</f>
        <v/>
      </c>
      <c r="P46" s="1294" t="str">
        <f>'I. Stream &amp; Compound Data'!P303</f>
        <v/>
      </c>
      <c r="Q46" s="1504" t="str">
        <f t="shared" si="2"/>
        <v/>
      </c>
      <c r="R46" s="1297" t="str">
        <f>IF(P46="","",IF(OR('I. Stream &amp; Compound Data'!U303=1,'I. Stream &amp; Compound Data'!W303=1),'Solid Estimation'!P46,0))</f>
        <v/>
      </c>
      <c r="S46" s="298"/>
      <c r="T46" s="298"/>
      <c r="U46" s="299"/>
      <c r="V46" s="279"/>
      <c r="W46" s="279"/>
      <c r="X46" s="279"/>
      <c r="Y46" s="279"/>
      <c r="Z46" s="279"/>
      <c r="AA46" s="279"/>
      <c r="AB46" s="279"/>
      <c r="AC46" s="279"/>
      <c r="AD46" s="279"/>
      <c r="AE46" s="279"/>
      <c r="AF46" s="279"/>
      <c r="AG46" s="279"/>
      <c r="AH46" s="279"/>
      <c r="AI46" s="279"/>
      <c r="AJ46" s="279"/>
      <c r="AK46" s="279"/>
      <c r="AL46" s="279"/>
      <c r="AM46" s="279"/>
      <c r="AN46" s="279"/>
      <c r="AO46" s="279"/>
      <c r="AP46" s="279"/>
      <c r="AQ46" s="279"/>
      <c r="AR46" s="279"/>
      <c r="AS46" s="279"/>
      <c r="AT46" s="279"/>
      <c r="AU46" s="279"/>
      <c r="AV46" s="279"/>
      <c r="AW46" s="279"/>
      <c r="AX46" s="279"/>
      <c r="AY46" s="279"/>
      <c r="AZ46" s="279"/>
      <c r="BA46" s="279"/>
      <c r="BB46" s="279"/>
      <c r="BC46" s="279"/>
      <c r="BD46" s="279"/>
      <c r="BE46" s="279"/>
      <c r="BF46" s="279"/>
      <c r="BG46" s="279"/>
      <c r="BH46" s="279"/>
      <c r="BI46" s="279"/>
      <c r="BJ46" s="279"/>
      <c r="BK46" s="279"/>
      <c r="BL46" s="279"/>
      <c r="BM46" s="279"/>
      <c r="BN46" s="279"/>
      <c r="BO46" s="279"/>
      <c r="BP46" s="279"/>
      <c r="BQ46" s="279"/>
      <c r="BR46" s="279"/>
      <c r="BS46" s="279"/>
      <c r="BT46" s="279"/>
      <c r="BU46" s="279"/>
      <c r="BV46" s="279"/>
      <c r="BW46" s="279"/>
      <c r="BX46" s="279"/>
      <c r="BY46" s="279"/>
      <c r="BZ46" s="279"/>
      <c r="CA46" s="279"/>
      <c r="CB46" s="279"/>
      <c r="CC46" s="279"/>
      <c r="CD46" s="279"/>
      <c r="CE46" s="279"/>
      <c r="CF46" s="279"/>
      <c r="CG46" s="279"/>
      <c r="CH46" s="279"/>
      <c r="CI46" s="279"/>
      <c r="CJ46" s="279"/>
      <c r="CK46" s="279"/>
      <c r="CL46" s="279"/>
      <c r="CM46" s="279"/>
      <c r="CN46" s="382"/>
    </row>
    <row r="47" ht="15.6" x14ac:dyDescent="0.3">
      <c r="B47" s="361"/>
      <c r="C47" s="279"/>
      <c r="D47" s="280"/>
      <c r="E47" s="287"/>
      <c r="F47" s="287"/>
      <c r="G47" s="287"/>
      <c r="H47" s="1292">
        <f t="shared" si="1"/>
        <v>43</v>
      </c>
      <c r="I47" s="1502" t="str">
        <f>IF('I. Stream &amp; Compound Data'!G304&lt;&gt;"",'I. Stream &amp; Compound Data'!G304,"")</f>
        <v/>
      </c>
      <c r="J47" s="1312" t="str">
        <f>IF('I. Stream &amp; Compound Data'!V304&lt;&gt;"",'I. Stream &amp; Compound Data'!V304,"")</f>
        <v/>
      </c>
      <c r="K47" s="1312" t="str">
        <f>IF('I. Stream &amp; Compound Data'!U304&lt;&gt;"",'I. Stream &amp; Compound Data'!U304,"")</f>
        <v/>
      </c>
      <c r="L47" s="290" t="str">
        <f>IF(H47&gt;'I. Stream &amp; Compound Data'!$F$18,"",IF(J47="","N/A",IF(J47=0,0,1)))</f>
        <v/>
      </c>
      <c r="M47" s="1503" t="str">
        <f>IF(H47&gt;'I. Stream &amp; Compound Data'!$F$18,"",IF(L47=0,K47,0))</f>
        <v/>
      </c>
      <c r="N47" s="1294" t="str">
        <f>IF(H47&gt;'I. Stream &amp; Compound Data'!$F$18,"",IF(L47&lt;&gt;0,L47,M47))</f>
        <v/>
      </c>
      <c r="O47" s="1294" t="str">
        <f>IF(H47&gt;'I. Stream &amp; Compound Data'!$F$18,"",N47)</f>
        <v/>
      </c>
      <c r="P47" s="1294" t="str">
        <f>'I. Stream &amp; Compound Data'!P304</f>
        <v/>
      </c>
      <c r="Q47" s="1504" t="str">
        <f t="shared" si="2"/>
        <v/>
      </c>
      <c r="R47" s="1297" t="str">
        <f>IF(P47="","",IF(OR('I. Stream &amp; Compound Data'!U304=1,'I. Stream &amp; Compound Data'!W304=1),'Solid Estimation'!P47,0))</f>
        <v/>
      </c>
      <c r="S47" s="298"/>
      <c r="T47" s="298"/>
      <c r="U47" s="299"/>
      <c r="V47" s="279"/>
      <c r="W47" s="279"/>
      <c r="X47" s="279"/>
      <c r="Y47" s="279"/>
      <c r="Z47" s="279"/>
      <c r="AA47" s="279"/>
      <c r="AB47" s="279"/>
      <c r="AC47" s="279"/>
      <c r="AD47" s="279"/>
      <c r="AE47" s="279"/>
      <c r="AF47" s="279"/>
      <c r="AG47" s="279"/>
      <c r="AH47" s="279"/>
      <c r="AI47" s="279"/>
      <c r="AJ47" s="279"/>
      <c r="AK47" s="279"/>
      <c r="AL47" s="279"/>
      <c r="AM47" s="279"/>
      <c r="AN47" s="279"/>
      <c r="AO47" s="279"/>
      <c r="AP47" s="279"/>
      <c r="AQ47" s="279"/>
      <c r="AR47" s="279"/>
      <c r="AS47" s="279"/>
      <c r="AT47" s="279"/>
      <c r="AU47" s="279"/>
      <c r="AV47" s="279"/>
      <c r="AW47" s="279"/>
      <c r="AX47" s="279"/>
      <c r="AY47" s="279"/>
      <c r="AZ47" s="279"/>
      <c r="BA47" s="279"/>
      <c r="BB47" s="279"/>
      <c r="BC47" s="279"/>
      <c r="BD47" s="279"/>
      <c r="BE47" s="279"/>
      <c r="BF47" s="279"/>
      <c r="BG47" s="279"/>
      <c r="BH47" s="279"/>
      <c r="BI47" s="279"/>
      <c r="BJ47" s="279"/>
      <c r="BK47" s="279"/>
      <c r="BL47" s="279"/>
      <c r="BM47" s="279"/>
      <c r="BN47" s="279"/>
      <c r="BO47" s="279"/>
      <c r="BP47" s="279"/>
      <c r="BQ47" s="279"/>
      <c r="BR47" s="279"/>
      <c r="BS47" s="279"/>
      <c r="BT47" s="279"/>
      <c r="BU47" s="279"/>
      <c r="BV47" s="279"/>
      <c r="BW47" s="279"/>
      <c r="BX47" s="279"/>
      <c r="BY47" s="279"/>
      <c r="BZ47" s="279"/>
      <c r="CA47" s="279"/>
      <c r="CB47" s="279"/>
      <c r="CC47" s="279"/>
      <c r="CD47" s="279"/>
      <c r="CE47" s="279"/>
      <c r="CF47" s="279"/>
      <c r="CG47" s="279"/>
      <c r="CH47" s="279"/>
      <c r="CI47" s="279"/>
      <c r="CJ47" s="279"/>
      <c r="CK47" s="279"/>
      <c r="CL47" s="279"/>
      <c r="CM47" s="279"/>
      <c r="CN47" s="382"/>
    </row>
    <row r="48" ht="15.6" x14ac:dyDescent="0.3">
      <c r="B48" s="361"/>
      <c r="C48" s="279"/>
      <c r="D48" s="280"/>
      <c r="E48" s="287"/>
      <c r="F48" s="287"/>
      <c r="G48" s="287"/>
      <c r="H48" s="1292">
        <f t="shared" si="1"/>
        <v>44</v>
      </c>
      <c r="I48" s="1502" t="str">
        <f>IF('I. Stream &amp; Compound Data'!G305&lt;&gt;"",'I. Stream &amp; Compound Data'!G305,"")</f>
        <v/>
      </c>
      <c r="J48" s="1312" t="str">
        <f>IF('I. Stream &amp; Compound Data'!V305&lt;&gt;"",'I. Stream &amp; Compound Data'!V305,"")</f>
        <v/>
      </c>
      <c r="K48" s="1312" t="str">
        <f>IF('I. Stream &amp; Compound Data'!U305&lt;&gt;"",'I. Stream &amp; Compound Data'!U305,"")</f>
        <v/>
      </c>
      <c r="L48" s="290" t="str">
        <f>IF(H48&gt;'I. Stream &amp; Compound Data'!$F$18,"",IF(J48="","N/A",IF(J48=0,0,1)))</f>
        <v/>
      </c>
      <c r="M48" s="1503" t="str">
        <f>IF(H48&gt;'I. Stream &amp; Compound Data'!$F$18,"",IF(L48=0,K48,0))</f>
        <v/>
      </c>
      <c r="N48" s="1294" t="str">
        <f>IF(H48&gt;'I. Stream &amp; Compound Data'!$F$18,"",IF(L48&lt;&gt;0,L48,M48))</f>
        <v/>
      </c>
      <c r="O48" s="1294" t="str">
        <f>IF(H48&gt;'I. Stream &amp; Compound Data'!$F$18,"",N48)</f>
        <v/>
      </c>
      <c r="P48" s="1294" t="str">
        <f>'I. Stream &amp; Compound Data'!P305</f>
        <v/>
      </c>
      <c r="Q48" s="1504" t="str">
        <f t="shared" si="2"/>
        <v/>
      </c>
      <c r="R48" s="1297" t="str">
        <f>IF(P48="","",IF(OR('I. Stream &amp; Compound Data'!U305=1,'I. Stream &amp; Compound Data'!W305=1),'Solid Estimation'!P48,0))</f>
        <v/>
      </c>
      <c r="S48" s="298"/>
      <c r="T48" s="298"/>
      <c r="U48" s="299"/>
      <c r="V48" s="279"/>
      <c r="W48" s="279"/>
      <c r="X48" s="279"/>
      <c r="Y48" s="279"/>
      <c r="Z48" s="279"/>
      <c r="AA48" s="279"/>
      <c r="AB48" s="279"/>
      <c r="AC48" s="279"/>
      <c r="AD48" s="279"/>
      <c r="AE48" s="279"/>
      <c r="AF48" s="279"/>
      <c r="AG48" s="279"/>
      <c r="AH48" s="279"/>
      <c r="AI48" s="279"/>
      <c r="AJ48" s="279"/>
      <c r="AK48" s="279"/>
      <c r="AL48" s="279"/>
      <c r="AM48" s="279"/>
      <c r="AN48" s="279"/>
      <c r="AO48" s="279"/>
      <c r="AP48" s="279"/>
      <c r="AQ48" s="279"/>
      <c r="AR48" s="279"/>
      <c r="AS48" s="279"/>
      <c r="AT48" s="279"/>
      <c r="AU48" s="279"/>
      <c r="AV48" s="279"/>
      <c r="AW48" s="279"/>
      <c r="AX48" s="279"/>
      <c r="AY48" s="279"/>
      <c r="AZ48" s="279"/>
      <c r="BA48" s="279"/>
      <c r="BB48" s="279"/>
      <c r="BC48" s="279"/>
      <c r="BD48" s="279"/>
      <c r="BE48" s="279"/>
      <c r="BF48" s="279"/>
      <c r="BG48" s="279"/>
      <c r="BH48" s="279"/>
      <c r="BI48" s="279"/>
      <c r="BJ48" s="279"/>
      <c r="BK48" s="279"/>
      <c r="BL48" s="279"/>
      <c r="BM48" s="279"/>
      <c r="BN48" s="279"/>
      <c r="BO48" s="279"/>
      <c r="BP48" s="279"/>
      <c r="BQ48" s="279"/>
      <c r="BR48" s="279"/>
      <c r="BS48" s="279"/>
      <c r="BT48" s="279"/>
      <c r="BU48" s="279"/>
      <c r="BV48" s="279"/>
      <c r="BW48" s="279"/>
      <c r="BX48" s="279"/>
      <c r="BY48" s="279"/>
      <c r="BZ48" s="279"/>
      <c r="CA48" s="279"/>
      <c r="CB48" s="279"/>
      <c r="CC48" s="279"/>
      <c r="CD48" s="279"/>
      <c r="CE48" s="279"/>
      <c r="CF48" s="279"/>
      <c r="CG48" s="279"/>
      <c r="CH48" s="279"/>
      <c r="CI48" s="279"/>
      <c r="CJ48" s="279"/>
      <c r="CK48" s="279"/>
      <c r="CL48" s="279"/>
      <c r="CM48" s="279"/>
      <c r="CN48" s="382"/>
    </row>
    <row r="49" ht="15.6" x14ac:dyDescent="0.3">
      <c r="B49" s="361"/>
      <c r="C49" s="279"/>
      <c r="D49" s="280"/>
      <c r="E49" s="287"/>
      <c r="F49" s="287"/>
      <c r="G49" s="287"/>
      <c r="H49" s="1292">
        <f t="shared" si="1"/>
        <v>45</v>
      </c>
      <c r="I49" s="1502" t="str">
        <f>IF('I. Stream &amp; Compound Data'!G306&lt;&gt;"",'I. Stream &amp; Compound Data'!G306,"")</f>
        <v/>
      </c>
      <c r="J49" s="1312" t="str">
        <f>IF('I. Stream &amp; Compound Data'!V306&lt;&gt;"",'I. Stream &amp; Compound Data'!V306,"")</f>
        <v/>
      </c>
      <c r="K49" s="1312" t="str">
        <f>IF('I. Stream &amp; Compound Data'!U306&lt;&gt;"",'I. Stream &amp; Compound Data'!U306,"")</f>
        <v/>
      </c>
      <c r="L49" s="290" t="str">
        <f>IF(H49&gt;'I. Stream &amp; Compound Data'!$F$18,"",IF(J49="","N/A",IF(J49=0,0,1)))</f>
        <v/>
      </c>
      <c r="M49" s="1503" t="str">
        <f>IF(H49&gt;'I. Stream &amp; Compound Data'!$F$18,"",IF(L49=0,K49,0))</f>
        <v/>
      </c>
      <c r="N49" s="1294" t="str">
        <f>IF(H49&gt;'I. Stream &amp; Compound Data'!$F$18,"",IF(L49&lt;&gt;0,L49,M49))</f>
        <v/>
      </c>
      <c r="O49" s="1294" t="str">
        <f>IF(H49&gt;'I. Stream &amp; Compound Data'!$F$18,"",N49)</f>
        <v/>
      </c>
      <c r="P49" s="1294" t="str">
        <f>'I. Stream &amp; Compound Data'!P306</f>
        <v/>
      </c>
      <c r="Q49" s="1504" t="str">
        <f t="shared" si="2"/>
        <v/>
      </c>
      <c r="R49" s="1297" t="str">
        <f>IF(P49="","",IF(OR('I. Stream &amp; Compound Data'!U306=1,'I. Stream &amp; Compound Data'!W306=1),'Solid Estimation'!P49,0))</f>
        <v/>
      </c>
      <c r="S49" s="298"/>
      <c r="T49" s="298"/>
      <c r="U49" s="299"/>
      <c r="V49" s="279"/>
      <c r="W49" s="279"/>
      <c r="X49" s="279"/>
      <c r="Y49" s="279"/>
      <c r="Z49" s="279"/>
      <c r="AA49" s="279"/>
      <c r="AB49" s="279"/>
      <c r="AC49" s="279"/>
      <c r="AD49" s="279"/>
      <c r="AE49" s="279"/>
      <c r="AF49" s="279"/>
      <c r="AG49" s="279"/>
      <c r="AH49" s="279"/>
      <c r="AI49" s="279"/>
      <c r="AJ49" s="279"/>
      <c r="AK49" s="279"/>
      <c r="AL49" s="279"/>
      <c r="AM49" s="279"/>
      <c r="AN49" s="279"/>
      <c r="AO49" s="279"/>
      <c r="AP49" s="279"/>
      <c r="AQ49" s="279"/>
      <c r="AR49" s="279"/>
      <c r="AS49" s="279"/>
      <c r="AT49" s="279"/>
      <c r="AU49" s="279"/>
      <c r="AV49" s="279"/>
      <c r="AW49" s="279"/>
      <c r="AX49" s="279"/>
      <c r="AY49" s="279"/>
      <c r="AZ49" s="279"/>
      <c r="BA49" s="279"/>
      <c r="BB49" s="279"/>
      <c r="BC49" s="279"/>
      <c r="BD49" s="279"/>
      <c r="BE49" s="279"/>
      <c r="BF49" s="279"/>
      <c r="BG49" s="279"/>
      <c r="BH49" s="279"/>
      <c r="BI49" s="279"/>
      <c r="BJ49" s="279"/>
      <c r="BK49" s="279"/>
      <c r="BL49" s="279"/>
      <c r="BM49" s="279"/>
      <c r="BN49" s="279"/>
      <c r="BO49" s="279"/>
      <c r="BP49" s="279"/>
      <c r="BQ49" s="279"/>
      <c r="BR49" s="279"/>
      <c r="BS49" s="279"/>
      <c r="BT49" s="279"/>
      <c r="BU49" s="279"/>
      <c r="BV49" s="279"/>
      <c r="BW49" s="279"/>
      <c r="BX49" s="279"/>
      <c r="BY49" s="279"/>
      <c r="BZ49" s="279"/>
      <c r="CA49" s="279"/>
      <c r="CB49" s="279"/>
      <c r="CC49" s="279"/>
      <c r="CD49" s="279"/>
      <c r="CE49" s="279"/>
      <c r="CF49" s="279"/>
      <c r="CG49" s="279"/>
      <c r="CH49" s="279"/>
      <c r="CI49" s="279"/>
      <c r="CJ49" s="279"/>
      <c r="CK49" s="279"/>
      <c r="CL49" s="279"/>
      <c r="CM49" s="279"/>
      <c r="CN49" s="382"/>
    </row>
    <row r="50" ht="15.6" x14ac:dyDescent="0.3">
      <c r="B50" s="361"/>
      <c r="C50" s="279"/>
      <c r="D50" s="280"/>
      <c r="E50" s="287"/>
      <c r="F50" s="287"/>
      <c r="G50" s="287"/>
      <c r="H50" s="1292">
        <f t="shared" si="1"/>
        <v>46</v>
      </c>
      <c r="I50" s="1502" t="str">
        <f>IF('I. Stream &amp; Compound Data'!G307&lt;&gt;"",'I. Stream &amp; Compound Data'!G307,"")</f>
        <v/>
      </c>
      <c r="J50" s="1312" t="str">
        <f>IF('I. Stream &amp; Compound Data'!V307&lt;&gt;"",'I. Stream &amp; Compound Data'!V307,"")</f>
        <v/>
      </c>
      <c r="K50" s="1312" t="str">
        <f>IF('I. Stream &amp; Compound Data'!U307&lt;&gt;"",'I. Stream &amp; Compound Data'!U307,"")</f>
        <v/>
      </c>
      <c r="L50" s="290" t="str">
        <f>IF(H50&gt;'I. Stream &amp; Compound Data'!$F$18,"",IF(J50="","N/A",IF(J50=0,0,1)))</f>
        <v/>
      </c>
      <c r="M50" s="1503" t="str">
        <f>IF(H50&gt;'I. Stream &amp; Compound Data'!$F$18,"",IF(L50=0,K50,0))</f>
        <v/>
      </c>
      <c r="N50" s="1294" t="str">
        <f>IF(H50&gt;'I. Stream &amp; Compound Data'!$F$18,"",IF(L50&lt;&gt;0,L50,M50))</f>
        <v/>
      </c>
      <c r="O50" s="1294" t="str">
        <f>IF(H50&gt;'I. Stream &amp; Compound Data'!$F$18,"",N50)</f>
        <v/>
      </c>
      <c r="P50" s="1294" t="str">
        <f>'I. Stream &amp; Compound Data'!P307</f>
        <v/>
      </c>
      <c r="Q50" s="1504" t="str">
        <f t="shared" si="2"/>
        <v/>
      </c>
      <c r="R50" s="1297" t="str">
        <f>IF(P50="","",IF(OR('I. Stream &amp; Compound Data'!U307=1,'I. Stream &amp; Compound Data'!W307=1),'Solid Estimation'!P50,0))</f>
        <v/>
      </c>
      <c r="S50" s="298"/>
      <c r="T50" s="298"/>
      <c r="U50" s="299"/>
      <c r="V50" s="279"/>
      <c r="W50" s="279"/>
      <c r="X50" s="279"/>
      <c r="Y50" s="279"/>
      <c r="Z50" s="279"/>
      <c r="AA50" s="279"/>
      <c r="AB50" s="279"/>
      <c r="AC50" s="279"/>
      <c r="AD50" s="279"/>
      <c r="AE50" s="279"/>
      <c r="AF50" s="279"/>
      <c r="AG50" s="279"/>
      <c r="AH50" s="279"/>
      <c r="AI50" s="279"/>
      <c r="AJ50" s="279"/>
      <c r="AK50" s="279"/>
      <c r="AL50" s="279"/>
      <c r="AM50" s="279"/>
      <c r="AN50" s="279"/>
      <c r="AO50" s="279"/>
      <c r="AP50" s="279"/>
      <c r="AQ50" s="279"/>
      <c r="AR50" s="279"/>
      <c r="AS50" s="279"/>
      <c r="AT50" s="279"/>
      <c r="AU50" s="279"/>
      <c r="AV50" s="279"/>
      <c r="AW50" s="279"/>
      <c r="AX50" s="279"/>
      <c r="AY50" s="279"/>
      <c r="AZ50" s="279"/>
      <c r="BA50" s="279"/>
      <c r="BB50" s="279"/>
      <c r="BC50" s="279"/>
      <c r="BD50" s="279"/>
      <c r="BE50" s="279"/>
      <c r="BF50" s="279"/>
      <c r="BG50" s="279"/>
      <c r="BH50" s="279"/>
      <c r="BI50" s="279"/>
      <c r="BJ50" s="279"/>
      <c r="BK50" s="279"/>
      <c r="BL50" s="279"/>
      <c r="BM50" s="279"/>
      <c r="BN50" s="279"/>
      <c r="BO50" s="279"/>
      <c r="BP50" s="279"/>
      <c r="BQ50" s="279"/>
      <c r="BR50" s="279"/>
      <c r="BS50" s="279"/>
      <c r="BT50" s="279"/>
      <c r="BU50" s="279"/>
      <c r="BV50" s="279"/>
      <c r="BW50" s="279"/>
      <c r="BX50" s="279"/>
      <c r="BY50" s="279"/>
      <c r="BZ50" s="279"/>
      <c r="CA50" s="279"/>
      <c r="CB50" s="279"/>
      <c r="CC50" s="279"/>
      <c r="CD50" s="279"/>
      <c r="CE50" s="279"/>
      <c r="CF50" s="279"/>
      <c r="CG50" s="279"/>
      <c r="CH50" s="279"/>
      <c r="CI50" s="279"/>
      <c r="CJ50" s="279"/>
      <c r="CK50" s="279"/>
      <c r="CL50" s="279"/>
      <c r="CM50" s="279"/>
      <c r="CN50" s="382"/>
    </row>
    <row r="51" ht="15.6" x14ac:dyDescent="0.3">
      <c r="B51" s="361"/>
      <c r="C51" s="279"/>
      <c r="D51" s="280"/>
      <c r="E51" s="287"/>
      <c r="F51" s="287"/>
      <c r="G51" s="287"/>
      <c r="H51" s="1292">
        <f t="shared" si="1"/>
        <v>47</v>
      </c>
      <c r="I51" s="1502" t="str">
        <f>IF('I. Stream &amp; Compound Data'!G308&lt;&gt;"",'I. Stream &amp; Compound Data'!G308,"")</f>
        <v/>
      </c>
      <c r="J51" s="1312" t="str">
        <f>IF('I. Stream &amp; Compound Data'!V308&lt;&gt;"",'I. Stream &amp; Compound Data'!V308,"")</f>
        <v/>
      </c>
      <c r="K51" s="1312" t="str">
        <f>IF('I. Stream &amp; Compound Data'!U308&lt;&gt;"",'I. Stream &amp; Compound Data'!U308,"")</f>
        <v/>
      </c>
      <c r="L51" s="290" t="str">
        <f>IF(H51&gt;'I. Stream &amp; Compound Data'!$F$18,"",IF(J51="","N/A",IF(J51=0,0,1)))</f>
        <v/>
      </c>
      <c r="M51" s="1503" t="str">
        <f>IF(H51&gt;'I. Stream &amp; Compound Data'!$F$18,"",IF(L51=0,K51,0))</f>
        <v/>
      </c>
      <c r="N51" s="1294" t="str">
        <f>IF(H51&gt;'I. Stream &amp; Compound Data'!$F$18,"",IF(L51&lt;&gt;0,L51,M51))</f>
        <v/>
      </c>
      <c r="O51" s="1294" t="str">
        <f>IF(H51&gt;'I. Stream &amp; Compound Data'!$F$18,"",N51)</f>
        <v/>
      </c>
      <c r="P51" s="1294" t="str">
        <f>'I. Stream &amp; Compound Data'!P308</f>
        <v/>
      </c>
      <c r="Q51" s="1504" t="str">
        <f t="shared" si="2"/>
        <v/>
      </c>
      <c r="R51" s="1297" t="str">
        <f>IF(P51="","",IF(OR('I. Stream &amp; Compound Data'!U308=1,'I. Stream &amp; Compound Data'!W308=1),'Solid Estimation'!P51,0))</f>
        <v/>
      </c>
      <c r="S51" s="298"/>
      <c r="T51" s="298"/>
      <c r="U51" s="299"/>
      <c r="V51" s="279"/>
      <c r="W51" s="279"/>
      <c r="X51" s="279"/>
      <c r="Y51" s="279"/>
      <c r="Z51" s="279"/>
      <c r="AA51" s="279"/>
      <c r="AB51" s="279"/>
      <c r="AC51" s="279"/>
      <c r="AD51" s="279"/>
      <c r="AE51" s="279"/>
      <c r="AF51" s="279"/>
      <c r="AG51" s="279"/>
      <c r="AH51" s="279"/>
      <c r="AI51" s="279"/>
      <c r="AJ51" s="279"/>
      <c r="AK51" s="279"/>
      <c r="AL51" s="279"/>
      <c r="AM51" s="279"/>
      <c r="AN51" s="279"/>
      <c r="AO51" s="279"/>
      <c r="AP51" s="279"/>
      <c r="AQ51" s="279"/>
      <c r="AR51" s="279"/>
      <c r="AS51" s="279"/>
      <c r="AT51" s="279"/>
      <c r="AU51" s="279"/>
      <c r="AV51" s="279"/>
      <c r="AW51" s="279"/>
      <c r="AX51" s="279"/>
      <c r="AY51" s="279"/>
      <c r="AZ51" s="279"/>
      <c r="BA51" s="279"/>
      <c r="BB51" s="279"/>
      <c r="BC51" s="279"/>
      <c r="BD51" s="279"/>
      <c r="BE51" s="279"/>
      <c r="BF51" s="279"/>
      <c r="BG51" s="279"/>
      <c r="BH51" s="279"/>
      <c r="BI51" s="279"/>
      <c r="BJ51" s="279"/>
      <c r="BK51" s="279"/>
      <c r="BL51" s="279"/>
      <c r="BM51" s="279"/>
      <c r="BN51" s="279"/>
      <c r="BO51" s="279"/>
      <c r="BP51" s="279"/>
      <c r="BQ51" s="279"/>
      <c r="BR51" s="279"/>
      <c r="BS51" s="279"/>
      <c r="BT51" s="279"/>
      <c r="BU51" s="279"/>
      <c r="BV51" s="279"/>
      <c r="BW51" s="279"/>
      <c r="BX51" s="279"/>
      <c r="BY51" s="279"/>
      <c r="BZ51" s="279"/>
      <c r="CA51" s="279"/>
      <c r="CB51" s="279"/>
      <c r="CC51" s="279"/>
      <c r="CD51" s="279"/>
      <c r="CE51" s="279"/>
      <c r="CF51" s="279"/>
      <c r="CG51" s="279"/>
      <c r="CH51" s="279"/>
      <c r="CI51" s="279"/>
      <c r="CJ51" s="279"/>
      <c r="CK51" s="279"/>
      <c r="CL51" s="279"/>
      <c r="CM51" s="279"/>
      <c r="CN51" s="382"/>
    </row>
    <row r="52" ht="15.6" x14ac:dyDescent="0.3">
      <c r="B52" s="361"/>
      <c r="C52" s="279"/>
      <c r="D52" s="280"/>
      <c r="E52" s="287"/>
      <c r="F52" s="287"/>
      <c r="G52" s="287"/>
      <c r="H52" s="1292">
        <f t="shared" si="1"/>
        <v>48</v>
      </c>
      <c r="I52" s="1502" t="str">
        <f>IF('I. Stream &amp; Compound Data'!G309&lt;&gt;"",'I. Stream &amp; Compound Data'!G309,"")</f>
        <v/>
      </c>
      <c r="J52" s="1312" t="str">
        <f>IF('I. Stream &amp; Compound Data'!V309&lt;&gt;"",'I. Stream &amp; Compound Data'!V309,"")</f>
        <v/>
      </c>
      <c r="K52" s="1312" t="str">
        <f>IF('I. Stream &amp; Compound Data'!U309&lt;&gt;"",'I. Stream &amp; Compound Data'!U309,"")</f>
        <v/>
      </c>
      <c r="L52" s="290" t="str">
        <f>IF(H52&gt;'I. Stream &amp; Compound Data'!$F$18,"",IF(J52="","N/A",IF(J52=0,0,1)))</f>
        <v/>
      </c>
      <c r="M52" s="1503" t="str">
        <f>IF(H52&gt;'I. Stream &amp; Compound Data'!$F$18,"",IF(L52=0,K52,0))</f>
        <v/>
      </c>
      <c r="N52" s="1294" t="str">
        <f>IF(H52&gt;'I. Stream &amp; Compound Data'!$F$18,"",IF(L52&lt;&gt;0,L52,M52))</f>
        <v/>
      </c>
      <c r="O52" s="1294" t="str">
        <f>IF(H52&gt;'I. Stream &amp; Compound Data'!$F$18,"",N52)</f>
        <v/>
      </c>
      <c r="P52" s="1294" t="str">
        <f>'I. Stream &amp; Compound Data'!P309</f>
        <v/>
      </c>
      <c r="Q52" s="1504" t="str">
        <f t="shared" si="2"/>
        <v/>
      </c>
      <c r="R52" s="1297" t="str">
        <f>IF(P52="","",IF(OR('I. Stream &amp; Compound Data'!U309=1,'I. Stream &amp; Compound Data'!W309=1),'Solid Estimation'!P52,0))</f>
        <v/>
      </c>
      <c r="S52" s="298"/>
      <c r="T52" s="298"/>
      <c r="U52" s="299"/>
      <c r="V52" s="279"/>
      <c r="W52" s="279"/>
      <c r="X52" s="279"/>
      <c r="Y52" s="279"/>
      <c r="Z52" s="279"/>
      <c r="AA52" s="279"/>
      <c r="AB52" s="279"/>
      <c r="AC52" s="279"/>
      <c r="AD52" s="279"/>
      <c r="AE52" s="279"/>
      <c r="AF52" s="279"/>
      <c r="AG52" s="279"/>
      <c r="AH52" s="279"/>
      <c r="AI52" s="279"/>
      <c r="AJ52" s="279"/>
      <c r="AK52" s="279"/>
      <c r="AL52" s="279"/>
      <c r="AM52" s="279"/>
      <c r="AN52" s="279"/>
      <c r="AO52" s="279"/>
      <c r="AP52" s="279"/>
      <c r="AQ52" s="279"/>
      <c r="AR52" s="279"/>
      <c r="AS52" s="279"/>
      <c r="AT52" s="279"/>
      <c r="AU52" s="279"/>
      <c r="AV52" s="279"/>
      <c r="AW52" s="279"/>
      <c r="AX52" s="279"/>
      <c r="AY52" s="279"/>
      <c r="AZ52" s="279"/>
      <c r="BA52" s="279"/>
      <c r="BB52" s="279"/>
      <c r="BC52" s="279"/>
      <c r="BD52" s="279"/>
      <c r="BE52" s="279"/>
      <c r="BF52" s="279"/>
      <c r="BG52" s="279"/>
      <c r="BH52" s="279"/>
      <c r="BI52" s="279"/>
      <c r="BJ52" s="279"/>
      <c r="BK52" s="279"/>
      <c r="BL52" s="279"/>
      <c r="BM52" s="279"/>
      <c r="BN52" s="279"/>
      <c r="BO52" s="279"/>
      <c r="BP52" s="279"/>
      <c r="BQ52" s="279"/>
      <c r="BR52" s="279"/>
      <c r="BS52" s="279"/>
      <c r="BT52" s="279"/>
      <c r="BU52" s="279"/>
      <c r="BV52" s="279"/>
      <c r="BW52" s="279"/>
      <c r="BX52" s="279"/>
      <c r="BY52" s="279"/>
      <c r="BZ52" s="279"/>
      <c r="CA52" s="279"/>
      <c r="CB52" s="279"/>
      <c r="CC52" s="279"/>
      <c r="CD52" s="279"/>
      <c r="CE52" s="279"/>
      <c r="CF52" s="279"/>
      <c r="CG52" s="279"/>
      <c r="CH52" s="279"/>
      <c r="CI52" s="279"/>
      <c r="CJ52" s="279"/>
      <c r="CK52" s="279"/>
      <c r="CL52" s="279"/>
      <c r="CM52" s="279"/>
      <c r="CN52" s="382"/>
    </row>
    <row r="53" ht="15.6" x14ac:dyDescent="0.3">
      <c r="B53" s="361"/>
      <c r="C53" s="279"/>
      <c r="D53" s="280"/>
      <c r="E53" s="287"/>
      <c r="F53" s="287"/>
      <c r="G53" s="287"/>
      <c r="H53" s="1292">
        <f t="shared" si="1"/>
        <v>49</v>
      </c>
      <c r="I53" s="1502" t="str">
        <f>IF('I. Stream &amp; Compound Data'!G310&lt;&gt;"",'I. Stream &amp; Compound Data'!G310,"")</f>
        <v/>
      </c>
      <c r="J53" s="1312" t="str">
        <f>IF('I. Stream &amp; Compound Data'!V310&lt;&gt;"",'I. Stream &amp; Compound Data'!V310,"")</f>
        <v/>
      </c>
      <c r="K53" s="1312" t="str">
        <f>IF('I. Stream &amp; Compound Data'!U310&lt;&gt;"",'I. Stream &amp; Compound Data'!U310,"")</f>
        <v/>
      </c>
      <c r="L53" s="290" t="str">
        <f>IF(H53&gt;'I. Stream &amp; Compound Data'!$F$18,"",IF(J53="","N/A",IF(J53=0,0,1)))</f>
        <v/>
      </c>
      <c r="M53" s="1503" t="str">
        <f>IF(H53&gt;'I. Stream &amp; Compound Data'!$F$18,"",IF(L53=0,K53,0))</f>
        <v/>
      </c>
      <c r="N53" s="1294" t="str">
        <f>IF(H53&gt;'I. Stream &amp; Compound Data'!$F$18,"",IF(L53&lt;&gt;0,L53,M53))</f>
        <v/>
      </c>
      <c r="O53" s="1294" t="str">
        <f>IF(H53&gt;'I. Stream &amp; Compound Data'!$F$18,"",N53)</f>
        <v/>
      </c>
      <c r="P53" s="1294" t="str">
        <f>'I. Stream &amp; Compound Data'!P310</f>
        <v/>
      </c>
      <c r="Q53" s="1504" t="str">
        <f t="shared" si="2"/>
        <v/>
      </c>
      <c r="R53" s="1297" t="str">
        <f>IF(P53="","",IF(OR('I. Stream &amp; Compound Data'!U310=1,'I. Stream &amp; Compound Data'!W310=1),'Solid Estimation'!P53,0))</f>
        <v/>
      </c>
      <c r="S53" s="298"/>
      <c r="T53" s="298"/>
      <c r="U53" s="299"/>
      <c r="V53" s="279"/>
      <c r="W53" s="279"/>
      <c r="X53" s="279"/>
      <c r="Y53" s="279"/>
      <c r="Z53" s="279"/>
      <c r="AA53" s="279"/>
      <c r="AB53" s="279"/>
      <c r="AC53" s="279"/>
      <c r="AD53" s="279"/>
      <c r="AE53" s="279"/>
      <c r="AF53" s="279"/>
      <c r="AG53" s="279"/>
      <c r="AH53" s="279"/>
      <c r="AI53" s="279"/>
      <c r="AJ53" s="279"/>
      <c r="AK53" s="279"/>
      <c r="AL53" s="279"/>
      <c r="AM53" s="279"/>
      <c r="AN53" s="279"/>
      <c r="AO53" s="279"/>
      <c r="AP53" s="279"/>
      <c r="AQ53" s="279"/>
      <c r="AR53" s="279"/>
      <c r="AS53" s="279"/>
      <c r="AT53" s="279"/>
      <c r="AU53" s="279"/>
      <c r="AV53" s="279"/>
      <c r="AW53" s="279"/>
      <c r="AX53" s="279"/>
      <c r="AY53" s="279"/>
      <c r="AZ53" s="279"/>
      <c r="BA53" s="279"/>
      <c r="BB53" s="279"/>
      <c r="BC53" s="279"/>
      <c r="BD53" s="279"/>
      <c r="BE53" s="279"/>
      <c r="BF53" s="279"/>
      <c r="BG53" s="279"/>
      <c r="BH53" s="279"/>
      <c r="BI53" s="279"/>
      <c r="BJ53" s="279"/>
      <c r="BK53" s="279"/>
      <c r="BL53" s="279"/>
      <c r="BM53" s="279"/>
      <c r="BN53" s="279"/>
      <c r="BO53" s="279"/>
      <c r="BP53" s="279"/>
      <c r="BQ53" s="279"/>
      <c r="BR53" s="279"/>
      <c r="BS53" s="279"/>
      <c r="BT53" s="279"/>
      <c r="BU53" s="279"/>
      <c r="BV53" s="279"/>
      <c r="BW53" s="279"/>
      <c r="BX53" s="279"/>
      <c r="BY53" s="279"/>
      <c r="BZ53" s="279"/>
      <c r="CA53" s="279"/>
      <c r="CB53" s="279"/>
      <c r="CC53" s="279"/>
      <c r="CD53" s="279"/>
      <c r="CE53" s="279"/>
      <c r="CF53" s="279"/>
      <c r="CG53" s="279"/>
      <c r="CH53" s="279"/>
      <c r="CI53" s="279"/>
      <c r="CJ53" s="279"/>
      <c r="CK53" s="279"/>
      <c r="CL53" s="279"/>
      <c r="CM53" s="279"/>
      <c r="CN53" s="382"/>
    </row>
    <row r="54" ht="16.2" thickBot="true" x14ac:dyDescent="0.35">
      <c r="B54" s="361"/>
      <c r="C54" s="279"/>
      <c r="D54" s="280"/>
      <c r="E54" s="287"/>
      <c r="F54" s="287"/>
      <c r="G54" s="287"/>
      <c r="H54" s="1292">
        <f t="shared" si="1"/>
        <v>50</v>
      </c>
      <c r="I54" s="1505" t="str">
        <f>IF('I. Stream &amp; Compound Data'!G311&lt;&gt;"",'I. Stream &amp; Compound Data'!G311,"")</f>
        <v/>
      </c>
      <c r="J54" s="1313" t="str">
        <f>IF('I. Stream &amp; Compound Data'!V311&lt;&gt;"",'I. Stream &amp; Compound Data'!V311,"")</f>
        <v/>
      </c>
      <c r="K54" s="1313" t="str">
        <f>IF('I. Stream &amp; Compound Data'!U311&lt;&gt;"",'I. Stream &amp; Compound Data'!U311,"")</f>
        <v/>
      </c>
      <c r="L54" s="1302" t="str">
        <f>IF(H54&gt;'I. Stream &amp; Compound Data'!$F$18,"",IF(J54="","N/A",IF(J54=0,0,1)))</f>
        <v/>
      </c>
      <c r="M54" s="1506" t="str">
        <f>IF(H54&gt;'I. Stream &amp; Compound Data'!$F$18,"",IF(L54=0,K54,0))</f>
        <v/>
      </c>
      <c r="N54" s="1300" t="str">
        <f>IF(H54&gt;'I. Stream &amp; Compound Data'!$F$18,"",IF(L54&lt;&gt;0,L54,M54))</f>
        <v/>
      </c>
      <c r="O54" s="1300" t="str">
        <f>IF(H54&gt;'I. Stream &amp; Compound Data'!$F$18,"",N54)</f>
        <v/>
      </c>
      <c r="P54" s="1300" t="str">
        <f>'I. Stream &amp; Compound Data'!P311</f>
        <v/>
      </c>
      <c r="Q54" s="1507" t="str">
        <f t="shared" si="2"/>
        <v/>
      </c>
      <c r="R54" s="1304" t="str">
        <f>IF(P54="","",IF(OR('I. Stream &amp; Compound Data'!U311=1,'I. Stream &amp; Compound Data'!W311=1),'Solid Estimation'!P54,0))</f>
        <v/>
      </c>
      <c r="S54" s="298"/>
      <c r="T54" s="298"/>
      <c r="U54" s="299"/>
      <c r="V54" s="279"/>
      <c r="W54" s="279"/>
      <c r="X54" s="279"/>
      <c r="Y54" s="279"/>
      <c r="Z54" s="279"/>
      <c r="AA54" s="279"/>
      <c r="AB54" s="279"/>
      <c r="AC54" s="279"/>
      <c r="AD54" s="279"/>
      <c r="AE54" s="279"/>
      <c r="AF54" s="279"/>
      <c r="AG54" s="279"/>
      <c r="AH54" s="279"/>
      <c r="AI54" s="279"/>
      <c r="AJ54" s="279"/>
      <c r="AK54" s="279"/>
      <c r="AL54" s="279"/>
      <c r="AM54" s="279"/>
      <c r="AN54" s="279"/>
      <c r="AO54" s="279"/>
      <c r="AP54" s="279"/>
      <c r="AQ54" s="279"/>
      <c r="AR54" s="279"/>
      <c r="AS54" s="279"/>
      <c r="AT54" s="279"/>
      <c r="AU54" s="279"/>
      <c r="AV54" s="279"/>
      <c r="AW54" s="279"/>
      <c r="AX54" s="279"/>
      <c r="AY54" s="279"/>
      <c r="AZ54" s="279"/>
      <c r="BA54" s="279"/>
      <c r="BB54" s="279"/>
      <c r="BC54" s="279"/>
      <c r="BD54" s="279"/>
      <c r="BE54" s="279"/>
      <c r="BF54" s="279"/>
      <c r="BG54" s="279"/>
      <c r="BH54" s="279"/>
      <c r="BI54" s="279"/>
      <c r="BJ54" s="279"/>
      <c r="BK54" s="279"/>
      <c r="BL54" s="279"/>
      <c r="BM54" s="279"/>
      <c r="BN54" s="279"/>
      <c r="BO54" s="279"/>
      <c r="BP54" s="279"/>
      <c r="BQ54" s="279"/>
      <c r="BR54" s="279"/>
      <c r="BS54" s="279"/>
      <c r="BT54" s="279"/>
      <c r="BU54" s="279"/>
      <c r="BV54" s="279"/>
      <c r="BW54" s="279"/>
      <c r="BX54" s="279"/>
      <c r="BY54" s="279"/>
      <c r="BZ54" s="279"/>
      <c r="CA54" s="279"/>
      <c r="CB54" s="279"/>
      <c r="CC54" s="279"/>
      <c r="CD54" s="279"/>
      <c r="CE54" s="279"/>
      <c r="CF54" s="279"/>
      <c r="CG54" s="279"/>
      <c r="CH54" s="279"/>
      <c r="CI54" s="279"/>
      <c r="CJ54" s="279"/>
      <c r="CK54" s="279"/>
      <c r="CL54" s="279"/>
      <c r="CM54" s="279"/>
      <c r="CN54" s="382"/>
    </row>
    <row r="55" ht="16.2" thickBot="true" x14ac:dyDescent="0.3">
      <c r="B55" s="361"/>
      <c r="C55" s="279"/>
      <c r="D55" s="280"/>
      <c r="E55" s="287"/>
      <c r="F55" s="287"/>
      <c r="G55" s="287"/>
      <c r="H55" s="280"/>
      <c r="I55" s="279"/>
      <c r="J55" s="279"/>
      <c r="K55" s="279"/>
      <c r="L55" s="280"/>
      <c r="M55" s="279"/>
      <c r="N55" s="279"/>
      <c r="O55" s="279"/>
      <c r="P55" s="287" t="s">
        <v>88</v>
      </c>
      <c r="Q55" s="1305">
        <f>SUM(Q5:Q54)</f>
        <v>0</v>
      </c>
      <c r="R55" s="1305">
        <f>SUM(R5:R54)</f>
        <v>0</v>
      </c>
      <c r="S55" s="298"/>
      <c r="T55" s="298"/>
      <c r="U55" s="299"/>
      <c r="V55" s="279"/>
      <c r="W55" s="279"/>
      <c r="X55" s="279"/>
      <c r="Y55" s="279"/>
      <c r="Z55" s="279"/>
      <c r="AA55" s="279"/>
      <c r="AB55" s="279"/>
      <c r="AC55" s="279"/>
      <c r="AD55" s="279"/>
      <c r="AE55" s="279"/>
      <c r="AF55" s="279"/>
      <c r="AG55" s="279"/>
      <c r="AH55" s="279"/>
      <c r="AI55" s="279"/>
      <c r="AJ55" s="279"/>
      <c r="AK55" s="279"/>
      <c r="AL55" s="279"/>
      <c r="AM55" s="279"/>
      <c r="AN55" s="279"/>
      <c r="AO55" s="279"/>
      <c r="AP55" s="279"/>
      <c r="AQ55" s="279"/>
      <c r="AR55" s="279"/>
      <c r="AS55" s="279"/>
      <c r="AT55" s="279"/>
      <c r="AU55" s="279"/>
      <c r="AV55" s="279"/>
      <c r="AW55" s="279"/>
      <c r="AX55" s="279"/>
      <c r="AY55" s="279"/>
      <c r="AZ55" s="279"/>
      <c r="BA55" s="279"/>
      <c r="BB55" s="279"/>
      <c r="BC55" s="279"/>
      <c r="BD55" s="279"/>
      <c r="BE55" s="279"/>
      <c r="BF55" s="279"/>
      <c r="BG55" s="279"/>
      <c r="BH55" s="279"/>
      <c r="BI55" s="279"/>
      <c r="BJ55" s="279"/>
      <c r="BK55" s="279"/>
      <c r="BL55" s="279"/>
      <c r="BM55" s="279"/>
      <c r="BN55" s="279"/>
      <c r="BO55" s="279"/>
      <c r="BP55" s="279"/>
      <c r="BQ55" s="279"/>
      <c r="BR55" s="279"/>
      <c r="BS55" s="279"/>
      <c r="BT55" s="279"/>
      <c r="BU55" s="279"/>
      <c r="BV55" s="279"/>
      <c r="BW55" s="279"/>
      <c r="BX55" s="279"/>
      <c r="BY55" s="279"/>
      <c r="BZ55" s="279"/>
      <c r="CA55" s="279"/>
      <c r="CB55" s="279"/>
      <c r="CC55" s="279"/>
      <c r="CD55" s="279"/>
      <c r="CE55" s="279"/>
      <c r="CF55" s="279"/>
      <c r="CG55" s="279"/>
      <c r="CH55" s="279"/>
      <c r="CI55" s="279"/>
      <c r="CJ55" s="279"/>
      <c r="CK55" s="279"/>
      <c r="CL55" s="279"/>
      <c r="CM55" s="279"/>
      <c r="CN55" s="382"/>
    </row>
    <row r="56" ht="15.6" x14ac:dyDescent="0.25">
      <c r="B56" s="361"/>
      <c r="C56" s="279"/>
      <c r="D56" s="280"/>
      <c r="E56" s="287"/>
      <c r="F56" s="287"/>
      <c r="G56" s="287"/>
      <c r="H56" s="280"/>
      <c r="I56" s="279"/>
      <c r="J56" s="279"/>
      <c r="K56" s="279"/>
      <c r="L56" s="280"/>
      <c r="M56" s="279"/>
      <c r="N56" s="279"/>
      <c r="O56" s="279"/>
      <c r="P56" s="287"/>
      <c r="Q56" s="287"/>
      <c r="R56" s="287"/>
      <c r="S56" s="298"/>
      <c r="T56" s="298"/>
      <c r="U56" s="299"/>
      <c r="V56" s="279"/>
      <c r="W56" s="279"/>
      <c r="X56" s="279"/>
      <c r="Y56" s="279"/>
      <c r="Z56" s="279"/>
      <c r="AA56" s="279"/>
      <c r="AB56" s="279"/>
      <c r="AC56" s="279"/>
      <c r="AD56" s="279"/>
      <c r="AE56" s="279"/>
      <c r="AF56" s="279"/>
      <c r="AG56" s="279"/>
      <c r="AH56" s="279"/>
      <c r="AI56" s="279"/>
      <c r="AJ56" s="279"/>
      <c r="AK56" s="279"/>
      <c r="AL56" s="279"/>
      <c r="AM56" s="279"/>
      <c r="AN56" s="279"/>
      <c r="AO56" s="279"/>
      <c r="AP56" s="279"/>
      <c r="AQ56" s="279"/>
      <c r="AR56" s="279"/>
      <c r="AS56" s="279"/>
      <c r="AT56" s="279"/>
      <c r="AU56" s="279"/>
      <c r="AV56" s="279"/>
      <c r="AW56" s="279"/>
      <c r="AX56" s="279"/>
      <c r="AY56" s="279"/>
      <c r="AZ56" s="279"/>
      <c r="BA56" s="279"/>
      <c r="BB56" s="279"/>
      <c r="BC56" s="279"/>
      <c r="BD56" s="279"/>
      <c r="BE56" s="279"/>
      <c r="BF56" s="279"/>
      <c r="BG56" s="279"/>
      <c r="BH56" s="279"/>
      <c r="BI56" s="279"/>
      <c r="BJ56" s="279"/>
      <c r="BK56" s="279"/>
      <c r="BL56" s="279"/>
      <c r="BM56" s="279"/>
      <c r="BN56" s="279"/>
      <c r="BO56" s="279"/>
      <c r="BP56" s="279"/>
      <c r="BQ56" s="279"/>
      <c r="BR56" s="279"/>
      <c r="BS56" s="279"/>
      <c r="BT56" s="279"/>
      <c r="BU56" s="279"/>
      <c r="BV56" s="279"/>
      <c r="BW56" s="279"/>
      <c r="BX56" s="279"/>
      <c r="BY56" s="279"/>
      <c r="BZ56" s="279"/>
      <c r="CA56" s="279"/>
      <c r="CB56" s="279"/>
      <c r="CC56" s="279"/>
      <c r="CD56" s="279"/>
      <c r="CE56" s="279"/>
      <c r="CF56" s="279"/>
      <c r="CG56" s="279"/>
      <c r="CH56" s="279"/>
      <c r="CI56" s="279"/>
      <c r="CJ56" s="279"/>
      <c r="CK56" s="279"/>
      <c r="CL56" s="279"/>
      <c r="CM56" s="279"/>
      <c r="CN56" s="382"/>
    </row>
    <row r="57" ht="15.6" x14ac:dyDescent="0.25">
      <c r="B57" s="361"/>
      <c r="C57" s="279"/>
      <c r="D57" s="280"/>
      <c r="E57" s="287"/>
      <c r="F57" s="287"/>
      <c r="G57" s="287"/>
      <c r="H57" s="280"/>
      <c r="I57" s="279"/>
      <c r="J57" s="279"/>
      <c r="K57" s="279"/>
      <c r="L57" s="280"/>
      <c r="M57" s="279"/>
      <c r="N57" s="279"/>
      <c r="O57" s="279"/>
      <c r="P57" s="287"/>
      <c r="Q57" s="287"/>
      <c r="R57" s="287"/>
      <c r="S57" s="298"/>
      <c r="T57" s="298"/>
      <c r="U57" s="299"/>
      <c r="V57" s="279"/>
      <c r="W57" s="279"/>
      <c r="X57" s="279"/>
      <c r="Y57" s="279"/>
      <c r="Z57" s="279"/>
      <c r="AA57" s="279"/>
      <c r="AB57" s="279"/>
      <c r="AC57" s="279"/>
      <c r="AD57" s="279"/>
      <c r="AE57" s="279"/>
      <c r="AF57" s="279"/>
      <c r="AG57" s="279"/>
      <c r="AH57" s="279"/>
      <c r="AI57" s="279"/>
      <c r="AJ57" s="279"/>
      <c r="AK57" s="279"/>
      <c r="AL57" s="279"/>
      <c r="AM57" s="279"/>
      <c r="AN57" s="279"/>
      <c r="AO57" s="279"/>
      <c r="AP57" s="279"/>
      <c r="AQ57" s="279"/>
      <c r="AR57" s="279"/>
      <c r="AS57" s="279"/>
      <c r="AT57" s="279"/>
      <c r="AU57" s="279"/>
      <c r="AV57" s="279"/>
      <c r="AW57" s="279"/>
      <c r="AX57" s="279"/>
      <c r="AY57" s="279"/>
      <c r="AZ57" s="279"/>
      <c r="BA57" s="279"/>
      <c r="BB57" s="279"/>
      <c r="BC57" s="279"/>
      <c r="BD57" s="279"/>
      <c r="BE57" s="279"/>
      <c r="BF57" s="279"/>
      <c r="BG57" s="279"/>
      <c r="BH57" s="279"/>
      <c r="BI57" s="279"/>
      <c r="BJ57" s="279"/>
      <c r="BK57" s="279"/>
      <c r="BL57" s="279"/>
      <c r="BM57" s="279"/>
      <c r="BN57" s="279"/>
      <c r="BO57" s="279"/>
      <c r="BP57" s="279"/>
      <c r="BQ57" s="279"/>
      <c r="BR57" s="279"/>
      <c r="BS57" s="279"/>
      <c r="BT57" s="279"/>
      <c r="BU57" s="279"/>
      <c r="BV57" s="279"/>
      <c r="BW57" s="279"/>
      <c r="BX57" s="279"/>
      <c r="BY57" s="279"/>
      <c r="BZ57" s="279"/>
      <c r="CA57" s="279"/>
      <c r="CB57" s="279"/>
      <c r="CC57" s="279"/>
      <c r="CD57" s="279"/>
      <c r="CE57" s="279"/>
      <c r="CF57" s="279"/>
      <c r="CG57" s="279"/>
      <c r="CH57" s="279"/>
      <c r="CI57" s="279"/>
      <c r="CJ57" s="279"/>
      <c r="CK57" s="279"/>
      <c r="CL57" s="279"/>
      <c r="CM57" s="279"/>
      <c r="CN57" s="382"/>
    </row>
    <row r="58" ht="15.6" x14ac:dyDescent="0.25">
      <c r="B58" s="361"/>
      <c r="C58" s="279"/>
      <c r="D58" s="280"/>
      <c r="E58" s="287"/>
      <c r="F58" s="287"/>
      <c r="G58" s="287"/>
      <c r="H58" s="280"/>
      <c r="I58" s="279"/>
      <c r="J58" s="279"/>
      <c r="K58" s="279"/>
      <c r="L58" s="292"/>
      <c r="M58" s="279"/>
      <c r="N58" s="279"/>
      <c r="O58" s="279"/>
      <c r="P58" s="279"/>
      <c r="Q58" s="279"/>
      <c r="R58" s="279"/>
      <c r="S58" s="298"/>
      <c r="T58" s="298"/>
      <c r="U58" s="299"/>
      <c r="V58" s="279"/>
      <c r="W58" s="279"/>
      <c r="X58" s="279"/>
      <c r="Y58" s="279"/>
      <c r="Z58" s="279"/>
      <c r="AA58" s="279"/>
      <c r="AB58" s="279"/>
      <c r="AC58" s="279"/>
      <c r="AD58" s="279"/>
      <c r="AE58" s="279"/>
      <c r="AF58" s="279"/>
      <c r="AG58" s="279"/>
      <c r="AH58" s="279"/>
      <c r="AI58" s="279"/>
      <c r="AJ58" s="279"/>
      <c r="AK58" s="279"/>
      <c r="AL58" s="279"/>
      <c r="AM58" s="279"/>
      <c r="AN58" s="279"/>
      <c r="AO58" s="279"/>
      <c r="AP58" s="279"/>
      <c r="AQ58" s="279"/>
      <c r="AR58" s="279"/>
      <c r="AS58" s="279"/>
      <c r="AT58" s="279"/>
      <c r="AU58" s="279"/>
      <c r="AV58" s="279"/>
      <c r="AW58" s="279"/>
      <c r="AX58" s="279"/>
      <c r="AY58" s="279"/>
      <c r="AZ58" s="279"/>
      <c r="BA58" s="279"/>
      <c r="BB58" s="279"/>
      <c r="BC58" s="279"/>
      <c r="BD58" s="279"/>
      <c r="BE58" s="279"/>
      <c r="BF58" s="279"/>
      <c r="BG58" s="279"/>
      <c r="BH58" s="279"/>
      <c r="BI58" s="279"/>
      <c r="BJ58" s="279"/>
      <c r="BK58" s="279"/>
      <c r="BL58" s="279"/>
      <c r="BM58" s="279"/>
      <c r="BN58" s="279"/>
      <c r="BO58" s="279"/>
      <c r="BP58" s="279"/>
      <c r="BQ58" s="279"/>
      <c r="BR58" s="279"/>
      <c r="BS58" s="279"/>
      <c r="BT58" s="279"/>
      <c r="BU58" s="279"/>
      <c r="BV58" s="279"/>
      <c r="BW58" s="279"/>
      <c r="BX58" s="279"/>
      <c r="BY58" s="279"/>
      <c r="BZ58" s="279"/>
      <c r="CA58" s="279"/>
      <c r="CB58" s="279"/>
      <c r="CC58" s="279"/>
      <c r="CD58" s="279"/>
      <c r="CE58" s="279"/>
      <c r="CF58" s="279"/>
      <c r="CG58" s="279"/>
      <c r="CH58" s="279"/>
      <c r="CI58" s="279"/>
      <c r="CJ58" s="279"/>
      <c r="CK58" s="279"/>
      <c r="CL58" s="279"/>
      <c r="CM58" s="279"/>
      <c r="CN58" s="382"/>
    </row>
    <row r="59" ht="15.6" x14ac:dyDescent="0.25">
      <c r="B59" s="361"/>
      <c r="C59" s="279"/>
      <c r="D59" s="280"/>
      <c r="E59" s="287"/>
      <c r="F59" s="287"/>
      <c r="G59" s="287"/>
      <c r="H59" s="280"/>
      <c r="I59" s="279"/>
      <c r="J59" s="279"/>
      <c r="K59" s="279"/>
      <c r="L59" s="280"/>
      <c r="M59" s="279"/>
      <c r="N59" s="279"/>
      <c r="O59" s="279"/>
      <c r="P59" s="279"/>
      <c r="Q59" s="279"/>
      <c r="R59" s="279"/>
      <c r="S59" s="298"/>
      <c r="T59" s="298"/>
      <c r="U59" s="299"/>
      <c r="V59" s="279"/>
      <c r="W59" s="279"/>
      <c r="X59" s="279"/>
      <c r="Y59" s="279"/>
      <c r="Z59" s="279"/>
      <c r="AA59" s="279"/>
      <c r="AB59" s="279"/>
      <c r="AC59" s="279"/>
      <c r="AD59" s="279"/>
      <c r="AE59" s="279"/>
      <c r="AF59" s="279"/>
      <c r="AG59" s="279"/>
      <c r="AH59" s="279"/>
      <c r="AI59" s="279"/>
      <c r="AJ59" s="279"/>
      <c r="AK59" s="279"/>
      <c r="AL59" s="279"/>
      <c r="AM59" s="279"/>
      <c r="AN59" s="279"/>
      <c r="AO59" s="279"/>
      <c r="AP59" s="279"/>
      <c r="AQ59" s="279"/>
      <c r="AR59" s="279"/>
      <c r="AS59" s="279"/>
      <c r="AT59" s="279"/>
      <c r="AU59" s="279"/>
      <c r="AV59" s="279"/>
      <c r="AW59" s="279"/>
      <c r="AX59" s="279"/>
      <c r="AY59" s="279"/>
      <c r="AZ59" s="279"/>
      <c r="BA59" s="279"/>
      <c r="BB59" s="279"/>
      <c r="BC59" s="279"/>
      <c r="BD59" s="279"/>
      <c r="BE59" s="279"/>
      <c r="BF59" s="279"/>
      <c r="BG59" s="279"/>
      <c r="BH59" s="279"/>
      <c r="BI59" s="279"/>
      <c r="BJ59" s="279"/>
      <c r="BK59" s="279"/>
      <c r="BL59" s="279"/>
      <c r="BM59" s="279"/>
      <c r="BN59" s="279"/>
      <c r="BO59" s="279"/>
      <c r="BP59" s="279"/>
      <c r="BQ59" s="279"/>
      <c r="BR59" s="279"/>
      <c r="BS59" s="279"/>
      <c r="BT59" s="279"/>
      <c r="BU59" s="279"/>
      <c r="BV59" s="279"/>
      <c r="BW59" s="279"/>
      <c r="BX59" s="279"/>
      <c r="BY59" s="279"/>
      <c r="BZ59" s="279"/>
      <c r="CA59" s="279"/>
      <c r="CB59" s="279"/>
      <c r="CC59" s="279"/>
      <c r="CD59" s="279"/>
      <c r="CE59" s="279"/>
      <c r="CF59" s="279"/>
      <c r="CG59" s="279"/>
      <c r="CH59" s="279"/>
      <c r="CI59" s="279"/>
      <c r="CJ59" s="279"/>
      <c r="CK59" s="279"/>
      <c r="CL59" s="279"/>
      <c r="CM59" s="279"/>
      <c r="CN59" s="382"/>
    </row>
    <row r="60" ht="16.2" thickBot="true" x14ac:dyDescent="0.3">
      <c r="B60" s="361"/>
      <c r="C60" s="279"/>
      <c r="D60" s="280"/>
      <c r="E60" s="287"/>
      <c r="F60" s="287"/>
      <c r="G60" s="287"/>
      <c r="H60" s="280"/>
      <c r="I60" s="279"/>
      <c r="J60" s="279"/>
      <c r="K60" s="279"/>
      <c r="L60" s="280"/>
      <c r="M60" s="279"/>
      <c r="N60" s="279"/>
      <c r="O60" s="279"/>
      <c r="P60" s="279"/>
      <c r="Q60" s="279"/>
      <c r="R60" s="279"/>
      <c r="S60" s="298"/>
      <c r="T60" s="298"/>
      <c r="U60" s="299"/>
      <c r="V60" s="279"/>
      <c r="W60" s="279"/>
      <c r="X60" s="279"/>
      <c r="Y60" s="279"/>
      <c r="Z60" s="279"/>
      <c r="AA60" s="279"/>
      <c r="AB60" s="279"/>
      <c r="AC60" s="279"/>
      <c r="AD60" s="279"/>
      <c r="AE60" s="279"/>
      <c r="AF60" s="279"/>
      <c r="AG60" s="279"/>
      <c r="AH60" s="279"/>
      <c r="AI60" s="279"/>
      <c r="AJ60" s="279"/>
      <c r="AK60" s="279"/>
      <c r="AL60" s="279"/>
      <c r="AM60" s="279"/>
      <c r="AN60" s="279"/>
      <c r="AO60" s="279"/>
      <c r="AP60" s="279"/>
      <c r="AQ60" s="279"/>
      <c r="AR60" s="279"/>
      <c r="AS60" s="279"/>
      <c r="AT60" s="279"/>
      <c r="AU60" s="279"/>
      <c r="AV60" s="279"/>
      <c r="AW60" s="279"/>
      <c r="AX60" s="279"/>
      <c r="AY60" s="279"/>
      <c r="AZ60" s="279"/>
      <c r="BA60" s="279"/>
      <c r="BB60" s="279"/>
      <c r="BC60" s="279"/>
      <c r="BD60" s="279"/>
      <c r="BE60" s="279"/>
      <c r="BF60" s="279"/>
      <c r="BG60" s="279"/>
      <c r="BH60" s="279"/>
      <c r="BI60" s="279"/>
      <c r="BJ60" s="279"/>
      <c r="BK60" s="279"/>
      <c r="BL60" s="279"/>
      <c r="BM60" s="279"/>
      <c r="BN60" s="279"/>
      <c r="BO60" s="279"/>
      <c r="BP60" s="279"/>
      <c r="BQ60" s="279"/>
      <c r="BR60" s="279"/>
      <c r="BS60" s="279"/>
      <c r="BT60" s="279"/>
      <c r="BU60" s="279"/>
      <c r="BV60" s="279"/>
      <c r="BW60" s="279"/>
      <c r="BX60" s="279"/>
      <c r="BY60" s="279"/>
      <c r="BZ60" s="279"/>
      <c r="CA60" s="279"/>
      <c r="CB60" s="279"/>
      <c r="CC60" s="279"/>
      <c r="CD60" s="279"/>
      <c r="CE60" s="279"/>
      <c r="CF60" s="279"/>
      <c r="CG60" s="279"/>
      <c r="CH60" s="279"/>
      <c r="CI60" s="279"/>
      <c r="CJ60" s="279"/>
      <c r="CK60" s="279"/>
      <c r="CL60" s="279"/>
      <c r="CM60" s="279"/>
      <c r="CN60" s="382"/>
    </row>
    <row r="61" ht="25.2" thickBot="true" x14ac:dyDescent="0.3">
      <c r="B61" s="361"/>
      <c r="C61" s="279"/>
      <c r="D61" s="280"/>
      <c r="E61" s="287"/>
      <c r="F61" s="287"/>
      <c r="G61" s="287"/>
      <c r="H61" s="1950" t="s">
        <v>1006</v>
      </c>
      <c r="I61" s="1951"/>
      <c r="J61" s="1951"/>
      <c r="K61" s="1951"/>
      <c r="L61" s="1951"/>
      <c r="M61" s="1951"/>
      <c r="N61" s="1951"/>
      <c r="O61" s="1951"/>
      <c r="P61" s="1951"/>
      <c r="Q61" s="1952"/>
      <c r="R61" s="279"/>
      <c r="S61" s="298"/>
      <c r="T61" s="298"/>
      <c r="U61" s="299"/>
      <c r="V61" s="279"/>
      <c r="W61" s="279"/>
      <c r="X61" s="279"/>
      <c r="Y61" s="279"/>
      <c r="Z61" s="279"/>
      <c r="AA61" s="279"/>
      <c r="AB61" s="279"/>
      <c r="AC61" s="279"/>
      <c r="AD61" s="279"/>
      <c r="AE61" s="279"/>
      <c r="AF61" s="279"/>
      <c r="AG61" s="279"/>
      <c r="AH61" s="279"/>
      <c r="AI61" s="279"/>
      <c r="AJ61" s="279"/>
      <c r="AK61" s="279"/>
      <c r="AL61" s="279"/>
      <c r="AM61" s="279"/>
      <c r="AN61" s="279"/>
      <c r="AO61" s="279"/>
      <c r="AP61" s="279"/>
      <c r="AQ61" s="279"/>
      <c r="AR61" s="279"/>
      <c r="AS61" s="279"/>
      <c r="AT61" s="279"/>
      <c r="AU61" s="279"/>
      <c r="AV61" s="279"/>
      <c r="AW61" s="279"/>
      <c r="AX61" s="279"/>
      <c r="AY61" s="279"/>
      <c r="AZ61" s="279"/>
      <c r="BA61" s="279"/>
      <c r="BB61" s="279"/>
      <c r="BC61" s="279"/>
      <c r="BD61" s="279"/>
      <c r="BE61" s="279"/>
      <c r="BF61" s="279"/>
      <c r="BG61" s="279"/>
      <c r="BH61" s="279"/>
      <c r="BI61" s="279"/>
      <c r="BJ61" s="279"/>
      <c r="BK61" s="279"/>
      <c r="BL61" s="279"/>
      <c r="BM61" s="279"/>
      <c r="BN61" s="279"/>
      <c r="BO61" s="279"/>
      <c r="BP61" s="279"/>
      <c r="BQ61" s="279"/>
      <c r="BR61" s="279"/>
      <c r="BS61" s="279"/>
      <c r="BT61" s="279"/>
      <c r="BU61" s="279"/>
      <c r="BV61" s="279"/>
      <c r="BW61" s="279"/>
      <c r="BX61" s="279"/>
      <c r="BY61" s="279"/>
      <c r="BZ61" s="279"/>
      <c r="CA61" s="279"/>
      <c r="CB61" s="279"/>
      <c r="CC61" s="279"/>
      <c r="CD61" s="279"/>
      <c r="CE61" s="279"/>
      <c r="CF61" s="279"/>
      <c r="CG61" s="279"/>
      <c r="CH61" s="279"/>
      <c r="CI61" s="279"/>
      <c r="CJ61" s="279"/>
      <c r="CK61" s="279"/>
      <c r="CL61" s="279"/>
      <c r="CM61" s="279"/>
      <c r="CN61" s="382"/>
    </row>
    <row r="62" ht="30" x14ac:dyDescent="0.25">
      <c r="B62" s="361"/>
      <c r="C62" s="279"/>
      <c r="D62" s="280"/>
      <c r="E62" s="287"/>
      <c r="F62" s="287"/>
      <c r="G62" s="287"/>
      <c r="H62" s="282" t="s">
        <v>1469</v>
      </c>
      <c r="I62" s="1184" t="s">
        <v>252</v>
      </c>
      <c r="J62" s="1184" t="s">
        <v>1579</v>
      </c>
      <c r="K62" s="313" t="s">
        <v>1580</v>
      </c>
      <c r="L62" s="1184" t="s">
        <v>1582</v>
      </c>
      <c r="M62" s="1184" t="s">
        <v>1583</v>
      </c>
      <c r="N62" s="1184" t="s">
        <v>1005</v>
      </c>
      <c r="O62" s="314" t="s">
        <v>2393</v>
      </c>
      <c r="P62" s="314" t="s">
        <v>1014</v>
      </c>
      <c r="Q62" s="315" t="s">
        <v>1012</v>
      </c>
      <c r="R62" s="279"/>
      <c r="S62" s="298"/>
      <c r="T62" s="298"/>
      <c r="U62" s="299"/>
      <c r="V62" s="279"/>
      <c r="W62" s="279"/>
      <c r="X62" s="279"/>
      <c r="Y62" s="279"/>
      <c r="Z62" s="279"/>
      <c r="AA62" s="279"/>
      <c r="AB62" s="279"/>
      <c r="AC62" s="279"/>
      <c r="AD62" s="279"/>
      <c r="AE62" s="279"/>
      <c r="AF62" s="279"/>
      <c r="AG62" s="279"/>
      <c r="AH62" s="279"/>
      <c r="AI62" s="279"/>
      <c r="AJ62" s="279"/>
      <c r="AK62" s="279"/>
      <c r="AL62" s="279"/>
      <c r="AM62" s="279"/>
      <c r="AN62" s="279"/>
      <c r="AO62" s="279"/>
      <c r="AP62" s="279"/>
      <c r="AQ62" s="279"/>
      <c r="AR62" s="279"/>
      <c r="AS62" s="279"/>
      <c r="AT62" s="279"/>
      <c r="AU62" s="279"/>
      <c r="AV62" s="279"/>
      <c r="AW62" s="279"/>
      <c r="AX62" s="279"/>
      <c r="AY62" s="279"/>
      <c r="AZ62" s="279"/>
      <c r="BA62" s="279"/>
      <c r="BB62" s="279"/>
      <c r="BC62" s="279"/>
      <c r="BD62" s="279"/>
      <c r="BE62" s="279"/>
      <c r="BF62" s="279"/>
      <c r="BG62" s="279"/>
      <c r="BH62" s="279"/>
      <c r="BI62" s="279"/>
      <c r="BJ62" s="279"/>
      <c r="BK62" s="279"/>
      <c r="BL62" s="279"/>
      <c r="BM62" s="279"/>
      <c r="BN62" s="279"/>
      <c r="BO62" s="279"/>
      <c r="BP62" s="279"/>
      <c r="BQ62" s="279"/>
      <c r="BR62" s="279"/>
      <c r="BS62" s="279"/>
      <c r="BT62" s="279"/>
      <c r="BU62" s="279"/>
      <c r="BV62" s="279"/>
      <c r="BW62" s="279"/>
      <c r="BX62" s="279"/>
      <c r="BY62" s="279"/>
      <c r="BZ62" s="279"/>
      <c r="CA62" s="279"/>
      <c r="CB62" s="279"/>
      <c r="CC62" s="279"/>
      <c r="CD62" s="279"/>
      <c r="CE62" s="279"/>
      <c r="CF62" s="279"/>
      <c r="CG62" s="279"/>
      <c r="CH62" s="279"/>
      <c r="CI62" s="279"/>
      <c r="CJ62" s="279"/>
      <c r="CK62" s="279"/>
      <c r="CL62" s="279"/>
      <c r="CM62" s="279"/>
      <c r="CN62" s="382"/>
    </row>
    <row r="63" ht="15.6" x14ac:dyDescent="0.25">
      <c r="B63" s="361"/>
      <c r="C63" s="279"/>
      <c r="D63" s="280"/>
      <c r="E63" s="287"/>
      <c r="F63" s="287"/>
      <c r="G63" s="287"/>
      <c r="H63" s="1292">
        <v>1</v>
      </c>
      <c r="I63" s="1320" t="str">
        <f>IF('I. Stream &amp; Compound Data'!G262&lt;&gt;"",'I. Stream &amp; Compound Data'!G262,"")</f>
        <v>Carbon Dioxide</v>
      </c>
      <c r="J63" s="1190">
        <f t="shared" ref="J63:J94" si="3">Q5</f>
        <v>0</v>
      </c>
      <c r="K63" s="1306">
        <f>IF('I. Stream &amp; Compound Data'!T262&lt;&gt;"",'I. Stream &amp; Compound Data'!T262,IF(OR('I. Stream &amp; Compound Data'!U262=1,'I. Stream &amp; Compound Data'!V262=1),0,""))</f>
        <v>0</v>
      </c>
      <c r="L63" s="1190">
        <f t="shared" ref="L63:L94" si="4">IF(J63&lt;&gt;"",J63*K63,"")</f>
        <v>0</v>
      </c>
      <c r="M63" s="1242">
        <f t="shared" ref="M63:M94" si="5">IF(J63&lt;&gt;"",J63-L63,"")</f>
        <v>0</v>
      </c>
      <c r="N63" s="1242">
        <f t="shared" ref="N63:N94" si="6">J63</f>
        <v>0</v>
      </c>
      <c r="O63" s="1306">
        <f>IF(J63&lt;&gt;"",'I. Stream &amp; Compound Data'!AM262,"")</f>
        <v>1</v>
      </c>
      <c r="P63" s="1287">
        <f t="shared" ref="P63:P94" si="7">IF(J63="","",J63*O63)</f>
        <v>0</v>
      </c>
      <c r="Q63" s="1149">
        <f t="shared" ref="Q63:Q94" si="8">IF(I63="","",IF(P63=0,0,P63-L63))</f>
        <v>0</v>
      </c>
      <c r="R63" s="279"/>
      <c r="S63" s="298"/>
      <c r="T63" s="298"/>
      <c r="U63" s="299"/>
      <c r="V63" s="279"/>
      <c r="W63" s="279"/>
      <c r="X63" s="279"/>
      <c r="Y63" s="279"/>
      <c r="Z63" s="279"/>
      <c r="AA63" s="279"/>
      <c r="AB63" s="279"/>
      <c r="AC63" s="279"/>
      <c r="AD63" s="279"/>
      <c r="AE63" s="279"/>
      <c r="AF63" s="279"/>
      <c r="AG63" s="279"/>
      <c r="AH63" s="279"/>
      <c r="AI63" s="279"/>
      <c r="AJ63" s="279"/>
      <c r="AK63" s="279"/>
      <c r="AL63" s="279"/>
      <c r="AM63" s="279"/>
      <c r="AN63" s="279"/>
      <c r="AO63" s="279"/>
      <c r="AP63" s="279"/>
      <c r="AQ63" s="279"/>
      <c r="AR63" s="279"/>
      <c r="AS63" s="279"/>
      <c r="AT63" s="279"/>
      <c r="AU63" s="279"/>
      <c r="AV63" s="279"/>
      <c r="AW63" s="279"/>
      <c r="AX63" s="279"/>
      <c r="AY63" s="279"/>
      <c r="AZ63" s="279"/>
      <c r="BA63" s="279"/>
      <c r="BB63" s="279"/>
      <c r="BC63" s="279"/>
      <c r="BD63" s="279"/>
      <c r="BE63" s="279"/>
      <c r="BF63" s="279"/>
      <c r="BG63" s="279"/>
      <c r="BH63" s="279"/>
      <c r="BI63" s="279"/>
      <c r="BJ63" s="279"/>
      <c r="BK63" s="279"/>
      <c r="BL63" s="279"/>
      <c r="BM63" s="279"/>
      <c r="BN63" s="279"/>
      <c r="BO63" s="279"/>
      <c r="BP63" s="279"/>
      <c r="BQ63" s="279"/>
      <c r="BR63" s="279"/>
      <c r="BS63" s="279"/>
      <c r="BT63" s="279"/>
      <c r="BU63" s="279"/>
      <c r="BV63" s="279"/>
      <c r="BW63" s="279"/>
      <c r="BX63" s="279"/>
      <c r="BY63" s="279"/>
      <c r="BZ63" s="279"/>
      <c r="CA63" s="279"/>
      <c r="CB63" s="279"/>
      <c r="CC63" s="279"/>
      <c r="CD63" s="279"/>
      <c r="CE63" s="279"/>
      <c r="CF63" s="279"/>
      <c r="CG63" s="279"/>
      <c r="CH63" s="279"/>
      <c r="CI63" s="279"/>
      <c r="CJ63" s="279"/>
      <c r="CK63" s="279"/>
      <c r="CL63" s="279"/>
      <c r="CM63" s="279"/>
      <c r="CN63" s="382"/>
    </row>
    <row r="64" ht="15.6" x14ac:dyDescent="0.25">
      <c r="B64" s="361"/>
      <c r="C64" s="279"/>
      <c r="D64" s="280"/>
      <c r="E64" s="287"/>
      <c r="F64" s="287"/>
      <c r="G64" s="287"/>
      <c r="H64" s="1292">
        <f>H63+1</f>
        <v>2</v>
      </c>
      <c r="I64" s="1320" t="str">
        <f>IF('I. Stream &amp; Compound Data'!G263&lt;&gt;"",'I. Stream &amp; Compound Data'!G263,"")</f>
        <v>Water</v>
      </c>
      <c r="J64" s="1190">
        <f t="shared" si="3"/>
        <v>0</v>
      </c>
      <c r="K64" s="1306">
        <f>IF('I. Stream &amp; Compound Data'!T263&lt;&gt;"",'I. Stream &amp; Compound Data'!T263,IF(OR('I. Stream &amp; Compound Data'!U263=1,'I. Stream &amp; Compound Data'!V263=1),0,""))</f>
        <v>0</v>
      </c>
      <c r="L64" s="1190">
        <f t="shared" si="4"/>
        <v>0</v>
      </c>
      <c r="M64" s="1242">
        <f t="shared" si="5"/>
        <v>0</v>
      </c>
      <c r="N64" s="1242">
        <f t="shared" si="6"/>
        <v>0</v>
      </c>
      <c r="O64" s="1306">
        <f>IF(J64&lt;&gt;"",'I. Stream &amp; Compound Data'!AM263,"")</f>
        <v>0</v>
      </c>
      <c r="P64" s="1287">
        <f t="shared" si="7"/>
        <v>0</v>
      </c>
      <c r="Q64" s="1149">
        <f t="shared" si="8"/>
        <v>0</v>
      </c>
      <c r="R64" s="279"/>
      <c r="S64" s="298"/>
      <c r="T64" s="298"/>
      <c r="U64" s="299"/>
      <c r="V64" s="279"/>
      <c r="W64" s="279"/>
      <c r="X64" s="279"/>
      <c r="Y64" s="279"/>
      <c r="Z64" s="279"/>
      <c r="AA64" s="279"/>
      <c r="AB64" s="279"/>
      <c r="AC64" s="279"/>
      <c r="AD64" s="279"/>
      <c r="AE64" s="279"/>
      <c r="AF64" s="279"/>
      <c r="AG64" s="279"/>
      <c r="AH64" s="279"/>
      <c r="AI64" s="279"/>
      <c r="AJ64" s="279"/>
      <c r="AK64" s="279"/>
      <c r="AL64" s="279"/>
      <c r="AM64" s="279"/>
      <c r="AN64" s="279"/>
      <c r="AO64" s="279"/>
      <c r="AP64" s="279"/>
      <c r="AQ64" s="279"/>
      <c r="AR64" s="279"/>
      <c r="AS64" s="279"/>
      <c r="AT64" s="279"/>
      <c r="AU64" s="279"/>
      <c r="AV64" s="279"/>
      <c r="AW64" s="279"/>
      <c r="AX64" s="279"/>
      <c r="AY64" s="279"/>
      <c r="AZ64" s="279"/>
      <c r="BA64" s="279"/>
      <c r="BB64" s="279"/>
      <c r="BC64" s="279"/>
      <c r="BD64" s="279"/>
      <c r="BE64" s="279"/>
      <c r="BF64" s="279"/>
      <c r="BG64" s="279"/>
      <c r="BH64" s="279"/>
      <c r="BI64" s="279"/>
      <c r="BJ64" s="279"/>
      <c r="BK64" s="279"/>
      <c r="BL64" s="279"/>
      <c r="BM64" s="279"/>
      <c r="BN64" s="279"/>
      <c r="BO64" s="279"/>
      <c r="BP64" s="279"/>
      <c r="BQ64" s="279"/>
      <c r="BR64" s="279"/>
      <c r="BS64" s="279"/>
      <c r="BT64" s="279"/>
      <c r="BU64" s="279"/>
      <c r="BV64" s="279"/>
      <c r="BW64" s="279"/>
      <c r="BX64" s="279"/>
      <c r="BY64" s="279"/>
      <c r="BZ64" s="279"/>
      <c r="CA64" s="279"/>
      <c r="CB64" s="279"/>
      <c r="CC64" s="279"/>
      <c r="CD64" s="279"/>
      <c r="CE64" s="279"/>
      <c r="CF64" s="279"/>
      <c r="CG64" s="279"/>
      <c r="CH64" s="279"/>
      <c r="CI64" s="279"/>
      <c r="CJ64" s="279"/>
      <c r="CK64" s="279"/>
      <c r="CL64" s="279"/>
      <c r="CM64" s="279"/>
      <c r="CN64" s="382"/>
    </row>
    <row r="65" ht="15.6" x14ac:dyDescent="0.25">
      <c r="B65" s="361"/>
      <c r="C65" s="279"/>
      <c r="D65" s="280"/>
      <c r="E65" s="287"/>
      <c r="F65" s="287"/>
      <c r="G65" s="287"/>
      <c r="H65" s="1292">
        <f t="shared" ref="H65:H112" si="9">H64+1</f>
        <v>3</v>
      </c>
      <c r="I65" s="1320" t="str">
        <f>IF('I. Stream &amp; Compound Data'!G264&lt;&gt;"",'I. Stream &amp; Compound Data'!G264,"")</f>
        <v>Calcium Oxide</v>
      </c>
      <c r="J65" s="1190">
        <f t="shared" si="3"/>
        <v>0</v>
      </c>
      <c r="K65" s="1306">
        <f>IF('I. Stream &amp; Compound Data'!T264&lt;&gt;"",'I. Stream &amp; Compound Data'!T264,IF(OR('I. Stream &amp; Compound Data'!U264=1,'I. Stream &amp; Compound Data'!V264=1),0,""))</f>
        <v>0</v>
      </c>
      <c r="L65" s="1190">
        <f t="shared" si="4"/>
        <v>0</v>
      </c>
      <c r="M65" s="1242">
        <f t="shared" si="5"/>
        <v>0</v>
      </c>
      <c r="N65" s="1242">
        <f t="shared" si="6"/>
        <v>0</v>
      </c>
      <c r="O65" s="1306">
        <f>IF(J65&lt;&gt;"",'I. Stream &amp; Compound Data'!AM264,"")</f>
        <v>1</v>
      </c>
      <c r="P65" s="1287">
        <f t="shared" si="7"/>
        <v>0</v>
      </c>
      <c r="Q65" s="1149">
        <f t="shared" si="8"/>
        <v>0</v>
      </c>
      <c r="R65" s="279"/>
      <c r="S65" s="298"/>
      <c r="T65" s="298"/>
      <c r="U65" s="299"/>
      <c r="V65" s="279"/>
      <c r="W65" s="279"/>
      <c r="X65" s="279"/>
      <c r="Y65" s="279"/>
      <c r="Z65" s="279"/>
      <c r="AA65" s="279"/>
      <c r="AB65" s="279"/>
      <c r="AC65" s="279"/>
      <c r="AD65" s="279"/>
      <c r="AE65" s="279"/>
      <c r="AF65" s="279"/>
      <c r="AG65" s="279"/>
      <c r="AH65" s="279"/>
      <c r="AI65" s="279"/>
      <c r="AJ65" s="279"/>
      <c r="AK65" s="279"/>
      <c r="AL65" s="279"/>
      <c r="AM65" s="279"/>
      <c r="AN65" s="279"/>
      <c r="AO65" s="279"/>
      <c r="AP65" s="279"/>
      <c r="AQ65" s="279"/>
      <c r="AR65" s="279"/>
      <c r="AS65" s="279"/>
      <c r="AT65" s="279"/>
      <c r="AU65" s="279"/>
      <c r="AV65" s="279"/>
      <c r="AW65" s="279"/>
      <c r="AX65" s="279"/>
      <c r="AY65" s="279"/>
      <c r="AZ65" s="279"/>
      <c r="BA65" s="279"/>
      <c r="BB65" s="279"/>
      <c r="BC65" s="279"/>
      <c r="BD65" s="279"/>
      <c r="BE65" s="279"/>
      <c r="BF65" s="279"/>
      <c r="BG65" s="279"/>
      <c r="BH65" s="279"/>
      <c r="BI65" s="279"/>
      <c r="BJ65" s="279"/>
      <c r="BK65" s="279"/>
      <c r="BL65" s="279"/>
      <c r="BM65" s="279"/>
      <c r="BN65" s="279"/>
      <c r="BO65" s="279"/>
      <c r="BP65" s="279"/>
      <c r="BQ65" s="279"/>
      <c r="BR65" s="279"/>
      <c r="BS65" s="279"/>
      <c r="BT65" s="279"/>
      <c r="BU65" s="279"/>
      <c r="BV65" s="279"/>
      <c r="BW65" s="279"/>
      <c r="BX65" s="279"/>
      <c r="BY65" s="279"/>
      <c r="BZ65" s="279"/>
      <c r="CA65" s="279"/>
      <c r="CB65" s="279"/>
      <c r="CC65" s="279"/>
      <c r="CD65" s="279"/>
      <c r="CE65" s="279"/>
      <c r="CF65" s="279"/>
      <c r="CG65" s="279"/>
      <c r="CH65" s="279"/>
      <c r="CI65" s="279"/>
      <c r="CJ65" s="279"/>
      <c r="CK65" s="279"/>
      <c r="CL65" s="279"/>
      <c r="CM65" s="279"/>
      <c r="CN65" s="382"/>
    </row>
    <row r="66" ht="15.6" x14ac:dyDescent="0.25">
      <c r="B66" s="361"/>
      <c r="C66" s="279"/>
      <c r="D66" s="280"/>
      <c r="E66" s="287"/>
      <c r="F66" s="287"/>
      <c r="G66" s="287"/>
      <c r="H66" s="1292">
        <f t="shared" si="9"/>
        <v>4</v>
      </c>
      <c r="I66" s="1320" t="str">
        <f>IF('I. Stream &amp; Compound Data'!G265&lt;&gt;"",'I. Stream &amp; Compound Data'!G265,"")</f>
        <v>Calcium Carbonate</v>
      </c>
      <c r="J66" s="1190">
        <f t="shared" si="3"/>
        <v>0</v>
      </c>
      <c r="K66" s="1306">
        <f>IF('I. Stream &amp; Compound Data'!T265&lt;&gt;"",'I. Stream &amp; Compound Data'!T265,IF(OR('I. Stream &amp; Compound Data'!U265=1,'I. Stream &amp; Compound Data'!V265=1),0,""))</f>
        <v>0.8</v>
      </c>
      <c r="L66" s="1190">
        <f t="shared" si="4"/>
        <v>0</v>
      </c>
      <c r="M66" s="1242">
        <f t="shared" si="5"/>
        <v>0</v>
      </c>
      <c r="N66" s="1242">
        <f t="shared" si="6"/>
        <v>0</v>
      </c>
      <c r="O66" s="1306">
        <f>IF(J66&lt;&gt;"",'I. Stream &amp; Compound Data'!AM265,"")</f>
        <v>0</v>
      </c>
      <c r="P66" s="1287">
        <f t="shared" si="7"/>
        <v>0</v>
      </c>
      <c r="Q66" s="1149">
        <f t="shared" si="8"/>
        <v>0</v>
      </c>
      <c r="R66" s="279"/>
      <c r="S66" s="298"/>
      <c r="T66" s="298"/>
      <c r="U66" s="299"/>
      <c r="V66" s="279"/>
      <c r="W66" s="279"/>
      <c r="X66" s="279"/>
      <c r="Y66" s="279"/>
      <c r="Z66" s="279"/>
      <c r="AA66" s="279"/>
      <c r="AB66" s="279"/>
      <c r="AC66" s="279"/>
      <c r="AD66" s="279"/>
      <c r="AE66" s="279"/>
      <c r="AF66" s="279"/>
      <c r="AG66" s="279"/>
      <c r="AH66" s="279"/>
      <c r="AI66" s="279"/>
      <c r="AJ66" s="279"/>
      <c r="AK66" s="279"/>
      <c r="AL66" s="279"/>
      <c r="AM66" s="279"/>
      <c r="AN66" s="279"/>
      <c r="AO66" s="279"/>
      <c r="AP66" s="279"/>
      <c r="AQ66" s="279"/>
      <c r="AR66" s="279"/>
      <c r="AS66" s="279"/>
      <c r="AT66" s="279"/>
      <c r="AU66" s="279"/>
      <c r="AV66" s="279"/>
      <c r="AW66" s="279"/>
      <c r="AX66" s="279"/>
      <c r="AY66" s="279"/>
      <c r="AZ66" s="279"/>
      <c r="BA66" s="279"/>
      <c r="BB66" s="279"/>
      <c r="BC66" s="279"/>
      <c r="BD66" s="279"/>
      <c r="BE66" s="279"/>
      <c r="BF66" s="279"/>
      <c r="BG66" s="279"/>
      <c r="BH66" s="279"/>
      <c r="BI66" s="279"/>
      <c r="BJ66" s="279"/>
      <c r="BK66" s="279"/>
      <c r="BL66" s="279"/>
      <c r="BM66" s="279"/>
      <c r="BN66" s="279"/>
      <c r="BO66" s="279"/>
      <c r="BP66" s="279"/>
      <c r="BQ66" s="279"/>
      <c r="BR66" s="279"/>
      <c r="BS66" s="279"/>
      <c r="BT66" s="279"/>
      <c r="BU66" s="279"/>
      <c r="BV66" s="279"/>
      <c r="BW66" s="279"/>
      <c r="BX66" s="279"/>
      <c r="BY66" s="279"/>
      <c r="BZ66" s="279"/>
      <c r="CA66" s="279"/>
      <c r="CB66" s="279"/>
      <c r="CC66" s="279"/>
      <c r="CD66" s="279"/>
      <c r="CE66" s="279"/>
      <c r="CF66" s="279"/>
      <c r="CG66" s="279"/>
      <c r="CH66" s="279"/>
      <c r="CI66" s="279"/>
      <c r="CJ66" s="279"/>
      <c r="CK66" s="279"/>
      <c r="CL66" s="279"/>
      <c r="CM66" s="279"/>
      <c r="CN66" s="382"/>
    </row>
    <row r="67" ht="15.6" x14ac:dyDescent="0.25">
      <c r="B67" s="361"/>
      <c r="C67" s="279"/>
      <c r="D67" s="280"/>
      <c r="E67" s="287"/>
      <c r="F67" s="287"/>
      <c r="G67" s="287"/>
      <c r="H67" s="1292">
        <f t="shared" si="9"/>
        <v>5</v>
      </c>
      <c r="I67" s="1320" t="str">
        <f>IF('I. Stream &amp; Compound Data'!G266&lt;&gt;"",'I. Stream &amp; Compound Data'!G266,"")</f>
        <v/>
      </c>
      <c r="J67" s="1190" t="str">
        <f t="shared" si="3"/>
        <v/>
      </c>
      <c r="K67" s="1306" t="str">
        <f>IF('I. Stream &amp; Compound Data'!T266&lt;&gt;"",'I. Stream &amp; Compound Data'!T266,IF(OR('I. Stream &amp; Compound Data'!U266=1,'I. Stream &amp; Compound Data'!V266=1),0,""))</f>
        <v/>
      </c>
      <c r="L67" s="1190" t="str">
        <f t="shared" si="4"/>
        <v/>
      </c>
      <c r="M67" s="1242" t="str">
        <f t="shared" si="5"/>
        <v/>
      </c>
      <c r="N67" s="1242" t="str">
        <f t="shared" si="6"/>
        <v/>
      </c>
      <c r="O67" s="1306" t="str">
        <f>IF(J67&lt;&gt;"",'I. Stream &amp; Compound Data'!AM266,"")</f>
        <v/>
      </c>
      <c r="P67" s="1287" t="str">
        <f t="shared" si="7"/>
        <v/>
      </c>
      <c r="Q67" s="1149" t="str">
        <f t="shared" si="8"/>
        <v/>
      </c>
      <c r="R67" s="279"/>
      <c r="S67" s="298"/>
      <c r="T67" s="298"/>
      <c r="U67" s="299"/>
      <c r="V67" s="279"/>
      <c r="W67" s="279"/>
      <c r="X67" s="279"/>
      <c r="Y67" s="279"/>
      <c r="Z67" s="279"/>
      <c r="AA67" s="279"/>
      <c r="AB67" s="279"/>
      <c r="AC67" s="279"/>
      <c r="AD67" s="279"/>
      <c r="AE67" s="279"/>
      <c r="AF67" s="279"/>
      <c r="AG67" s="279"/>
      <c r="AH67" s="279"/>
      <c r="AI67" s="279"/>
      <c r="AJ67" s="279"/>
      <c r="AK67" s="279"/>
      <c r="AL67" s="279"/>
      <c r="AM67" s="279"/>
      <c r="AN67" s="279"/>
      <c r="AO67" s="279"/>
      <c r="AP67" s="279"/>
      <c r="AQ67" s="279"/>
      <c r="AR67" s="279"/>
      <c r="AS67" s="279"/>
      <c r="AT67" s="279"/>
      <c r="AU67" s="279"/>
      <c r="AV67" s="279"/>
      <c r="AW67" s="279"/>
      <c r="AX67" s="279"/>
      <c r="AY67" s="279"/>
      <c r="AZ67" s="279"/>
      <c r="BA67" s="279"/>
      <c r="BB67" s="279"/>
      <c r="BC67" s="279"/>
      <c r="BD67" s="279"/>
      <c r="BE67" s="279"/>
      <c r="BF67" s="279"/>
      <c r="BG67" s="279"/>
      <c r="BH67" s="279"/>
      <c r="BI67" s="279"/>
      <c r="BJ67" s="279"/>
      <c r="BK67" s="279"/>
      <c r="BL67" s="279"/>
      <c r="BM67" s="279"/>
      <c r="BN67" s="279"/>
      <c r="BO67" s="279"/>
      <c r="BP67" s="279"/>
      <c r="BQ67" s="279"/>
      <c r="BR67" s="279"/>
      <c r="BS67" s="279"/>
      <c r="BT67" s="279"/>
      <c r="BU67" s="279"/>
      <c r="BV67" s="279"/>
      <c r="BW67" s="279"/>
      <c r="BX67" s="279"/>
      <c r="BY67" s="279"/>
      <c r="BZ67" s="279"/>
      <c r="CA67" s="279"/>
      <c r="CB67" s="279"/>
      <c r="CC67" s="279"/>
      <c r="CD67" s="279"/>
      <c r="CE67" s="279"/>
      <c r="CF67" s="279"/>
      <c r="CG67" s="279"/>
      <c r="CH67" s="279"/>
      <c r="CI67" s="279"/>
      <c r="CJ67" s="279"/>
      <c r="CK67" s="279"/>
      <c r="CL67" s="279"/>
      <c r="CM67" s="279"/>
      <c r="CN67" s="382"/>
    </row>
    <row r="68" ht="15.6" x14ac:dyDescent="0.25">
      <c r="B68" s="361"/>
      <c r="C68" s="279"/>
      <c r="D68" s="280"/>
      <c r="E68" s="287"/>
      <c r="F68" s="287"/>
      <c r="G68" s="287"/>
      <c r="H68" s="1292">
        <f t="shared" si="9"/>
        <v>6</v>
      </c>
      <c r="I68" s="1320" t="str">
        <f>IF('I. Stream &amp; Compound Data'!G267&lt;&gt;"",'I. Stream &amp; Compound Data'!G267,"")</f>
        <v/>
      </c>
      <c r="J68" s="1190" t="str">
        <f t="shared" si="3"/>
        <v/>
      </c>
      <c r="K68" s="1306" t="str">
        <f>IF('I. Stream &amp; Compound Data'!T267&lt;&gt;"",'I. Stream &amp; Compound Data'!T267,IF(OR('I. Stream &amp; Compound Data'!U267=1,'I. Stream &amp; Compound Data'!V267=1),0,""))</f>
        <v/>
      </c>
      <c r="L68" s="1190" t="str">
        <f t="shared" si="4"/>
        <v/>
      </c>
      <c r="M68" s="1242" t="str">
        <f t="shared" si="5"/>
        <v/>
      </c>
      <c r="N68" s="1242" t="str">
        <f t="shared" si="6"/>
        <v/>
      </c>
      <c r="O68" s="1306" t="str">
        <f>IF(J68&lt;&gt;"",'I. Stream &amp; Compound Data'!AM267,"")</f>
        <v/>
      </c>
      <c r="P68" s="1287" t="str">
        <f t="shared" si="7"/>
        <v/>
      </c>
      <c r="Q68" s="1149" t="str">
        <f t="shared" si="8"/>
        <v/>
      </c>
      <c r="R68" s="279"/>
      <c r="S68" s="298"/>
      <c r="T68" s="298"/>
      <c r="U68" s="299"/>
      <c r="V68" s="279"/>
      <c r="W68" s="279"/>
      <c r="X68" s="279"/>
      <c r="Y68" s="279"/>
      <c r="Z68" s="279"/>
      <c r="AA68" s="279"/>
      <c r="AB68" s="279"/>
      <c r="AC68" s="279"/>
      <c r="AD68" s="279"/>
      <c r="AE68" s="279"/>
      <c r="AF68" s="279"/>
      <c r="AG68" s="279"/>
      <c r="AH68" s="279"/>
      <c r="AI68" s="279"/>
      <c r="AJ68" s="279"/>
      <c r="AK68" s="279"/>
      <c r="AL68" s="279"/>
      <c r="AM68" s="279"/>
      <c r="AN68" s="279"/>
      <c r="AO68" s="279"/>
      <c r="AP68" s="279"/>
      <c r="AQ68" s="279"/>
      <c r="AR68" s="279"/>
      <c r="AS68" s="279"/>
      <c r="AT68" s="279"/>
      <c r="AU68" s="279"/>
      <c r="AV68" s="279"/>
      <c r="AW68" s="279"/>
      <c r="AX68" s="279"/>
      <c r="AY68" s="279"/>
      <c r="AZ68" s="279"/>
      <c r="BA68" s="279"/>
      <c r="BB68" s="279"/>
      <c r="BC68" s="279"/>
      <c r="BD68" s="279"/>
      <c r="BE68" s="279"/>
      <c r="BF68" s="279"/>
      <c r="BG68" s="279"/>
      <c r="BH68" s="279"/>
      <c r="BI68" s="279"/>
      <c r="BJ68" s="279"/>
      <c r="BK68" s="279"/>
      <c r="BL68" s="279"/>
      <c r="BM68" s="279"/>
      <c r="BN68" s="279"/>
      <c r="BO68" s="279"/>
      <c r="BP68" s="279"/>
      <c r="BQ68" s="279"/>
      <c r="BR68" s="279"/>
      <c r="BS68" s="279"/>
      <c r="BT68" s="279"/>
      <c r="BU68" s="279"/>
      <c r="BV68" s="279"/>
      <c r="BW68" s="279"/>
      <c r="BX68" s="279"/>
      <c r="BY68" s="279"/>
      <c r="BZ68" s="279"/>
      <c r="CA68" s="279"/>
      <c r="CB68" s="279"/>
      <c r="CC68" s="279"/>
      <c r="CD68" s="279"/>
      <c r="CE68" s="279"/>
      <c r="CF68" s="279"/>
      <c r="CG68" s="279"/>
      <c r="CH68" s="279"/>
      <c r="CI68" s="279"/>
      <c r="CJ68" s="279"/>
      <c r="CK68" s="279"/>
      <c r="CL68" s="279"/>
      <c r="CM68" s="279"/>
      <c r="CN68" s="382"/>
    </row>
    <row r="69" ht="15.6" x14ac:dyDescent="0.25">
      <c r="B69" s="361"/>
      <c r="C69" s="279"/>
      <c r="D69" s="280"/>
      <c r="E69" s="287"/>
      <c r="F69" s="287"/>
      <c r="G69" s="287"/>
      <c r="H69" s="1292">
        <f t="shared" si="9"/>
        <v>7</v>
      </c>
      <c r="I69" s="1320" t="str">
        <f>IF('I. Stream &amp; Compound Data'!G268&lt;&gt;"",'I. Stream &amp; Compound Data'!G268,"")</f>
        <v/>
      </c>
      <c r="J69" s="1190" t="str">
        <f t="shared" si="3"/>
        <v/>
      </c>
      <c r="K69" s="1306" t="str">
        <f>IF('I. Stream &amp; Compound Data'!T268&lt;&gt;"",'I. Stream &amp; Compound Data'!T268,IF(OR('I. Stream &amp; Compound Data'!U268=1,'I. Stream &amp; Compound Data'!V268=1),0,""))</f>
        <v/>
      </c>
      <c r="L69" s="1190" t="str">
        <f t="shared" si="4"/>
        <v/>
      </c>
      <c r="M69" s="1242" t="str">
        <f t="shared" si="5"/>
        <v/>
      </c>
      <c r="N69" s="1242" t="str">
        <f t="shared" si="6"/>
        <v/>
      </c>
      <c r="O69" s="1306" t="str">
        <f>IF(J69&lt;&gt;"",'I. Stream &amp; Compound Data'!AM268,"")</f>
        <v/>
      </c>
      <c r="P69" s="1287" t="str">
        <f t="shared" si="7"/>
        <v/>
      </c>
      <c r="Q69" s="1149" t="str">
        <f t="shared" si="8"/>
        <v/>
      </c>
      <c r="R69" s="279"/>
      <c r="S69" s="298"/>
      <c r="T69" s="298"/>
      <c r="U69" s="299"/>
      <c r="V69" s="279"/>
      <c r="W69" s="279"/>
      <c r="X69" s="279"/>
      <c r="Y69" s="279"/>
      <c r="Z69" s="279"/>
      <c r="AA69" s="279"/>
      <c r="AB69" s="279"/>
      <c r="AC69" s="279"/>
      <c r="AD69" s="279"/>
      <c r="AE69" s="279"/>
      <c r="AF69" s="279"/>
      <c r="AG69" s="279"/>
      <c r="AH69" s="279"/>
      <c r="AI69" s="279"/>
      <c r="AJ69" s="279"/>
      <c r="AK69" s="279"/>
      <c r="AL69" s="279"/>
      <c r="AM69" s="279"/>
      <c r="AN69" s="279"/>
      <c r="AO69" s="279"/>
      <c r="AP69" s="279"/>
      <c r="AQ69" s="279"/>
      <c r="AR69" s="279"/>
      <c r="AS69" s="279"/>
      <c r="AT69" s="279"/>
      <c r="AU69" s="279"/>
      <c r="AV69" s="279"/>
      <c r="AW69" s="279"/>
      <c r="AX69" s="279"/>
      <c r="AY69" s="279"/>
      <c r="AZ69" s="279"/>
      <c r="BA69" s="279"/>
      <c r="BB69" s="279"/>
      <c r="BC69" s="279"/>
      <c r="BD69" s="279"/>
      <c r="BE69" s="279"/>
      <c r="BF69" s="279"/>
      <c r="BG69" s="279"/>
      <c r="BH69" s="279"/>
      <c r="BI69" s="279"/>
      <c r="BJ69" s="279"/>
      <c r="BK69" s="279"/>
      <c r="BL69" s="279"/>
      <c r="BM69" s="279"/>
      <c r="BN69" s="279"/>
      <c r="BO69" s="279"/>
      <c r="BP69" s="279"/>
      <c r="BQ69" s="279"/>
      <c r="BR69" s="279"/>
      <c r="BS69" s="279"/>
      <c r="BT69" s="279"/>
      <c r="BU69" s="279"/>
      <c r="BV69" s="279"/>
      <c r="BW69" s="279"/>
      <c r="BX69" s="279"/>
      <c r="BY69" s="279"/>
      <c r="BZ69" s="279"/>
      <c r="CA69" s="279"/>
      <c r="CB69" s="279"/>
      <c r="CC69" s="279"/>
      <c r="CD69" s="279"/>
      <c r="CE69" s="279"/>
      <c r="CF69" s="279"/>
      <c r="CG69" s="279"/>
      <c r="CH69" s="279"/>
      <c r="CI69" s="279"/>
      <c r="CJ69" s="279"/>
      <c r="CK69" s="279"/>
      <c r="CL69" s="279"/>
      <c r="CM69" s="279"/>
      <c r="CN69" s="382"/>
    </row>
    <row r="70" ht="15.6" x14ac:dyDescent="0.25">
      <c r="B70" s="361"/>
      <c r="C70" s="279"/>
      <c r="D70" s="280"/>
      <c r="E70" s="287"/>
      <c r="F70" s="287"/>
      <c r="G70" s="287"/>
      <c r="H70" s="1292">
        <f t="shared" si="9"/>
        <v>8</v>
      </c>
      <c r="I70" s="1320" t="str">
        <f>IF('I. Stream &amp; Compound Data'!G269&lt;&gt;"",'I. Stream &amp; Compound Data'!G269,"")</f>
        <v/>
      </c>
      <c r="J70" s="1190" t="str">
        <f t="shared" si="3"/>
        <v/>
      </c>
      <c r="K70" s="1306" t="str">
        <f>IF('I. Stream &amp; Compound Data'!T269&lt;&gt;"",'I. Stream &amp; Compound Data'!T269,IF(OR('I. Stream &amp; Compound Data'!U269=1,'I. Stream &amp; Compound Data'!V269=1),0,""))</f>
        <v/>
      </c>
      <c r="L70" s="1190" t="str">
        <f t="shared" si="4"/>
        <v/>
      </c>
      <c r="M70" s="1242" t="str">
        <f t="shared" si="5"/>
        <v/>
      </c>
      <c r="N70" s="1242" t="str">
        <f t="shared" si="6"/>
        <v/>
      </c>
      <c r="O70" s="1306" t="str">
        <f>IF(J70&lt;&gt;"",'I. Stream &amp; Compound Data'!AM269,"")</f>
        <v/>
      </c>
      <c r="P70" s="1287" t="str">
        <f t="shared" si="7"/>
        <v/>
      </c>
      <c r="Q70" s="1149" t="str">
        <f t="shared" si="8"/>
        <v/>
      </c>
      <c r="R70" s="279"/>
      <c r="S70" s="298"/>
      <c r="T70" s="298"/>
      <c r="U70" s="299"/>
      <c r="V70" s="279"/>
      <c r="W70" s="279"/>
      <c r="X70" s="279"/>
      <c r="Y70" s="279"/>
      <c r="Z70" s="279"/>
      <c r="AA70" s="279"/>
      <c r="AB70" s="279"/>
      <c r="AC70" s="279"/>
      <c r="AD70" s="279"/>
      <c r="AE70" s="279"/>
      <c r="AF70" s="279"/>
      <c r="AG70" s="279"/>
      <c r="AH70" s="279"/>
      <c r="AI70" s="279"/>
      <c r="AJ70" s="279"/>
      <c r="AK70" s="279"/>
      <c r="AL70" s="279"/>
      <c r="AM70" s="279"/>
      <c r="AN70" s="279"/>
      <c r="AO70" s="279"/>
      <c r="AP70" s="279"/>
      <c r="AQ70" s="279"/>
      <c r="AR70" s="279"/>
      <c r="AS70" s="279"/>
      <c r="AT70" s="279"/>
      <c r="AU70" s="279"/>
      <c r="AV70" s="279"/>
      <c r="AW70" s="279"/>
      <c r="AX70" s="279"/>
      <c r="AY70" s="279"/>
      <c r="AZ70" s="279"/>
      <c r="BA70" s="279"/>
      <c r="BB70" s="279"/>
      <c r="BC70" s="279"/>
      <c r="BD70" s="279"/>
      <c r="BE70" s="279"/>
      <c r="BF70" s="279"/>
      <c r="BG70" s="279"/>
      <c r="BH70" s="279"/>
      <c r="BI70" s="279"/>
      <c r="BJ70" s="279"/>
      <c r="BK70" s="279"/>
      <c r="BL70" s="279"/>
      <c r="BM70" s="279"/>
      <c r="BN70" s="279"/>
      <c r="BO70" s="279"/>
      <c r="BP70" s="279"/>
      <c r="BQ70" s="279"/>
      <c r="BR70" s="279"/>
      <c r="BS70" s="279"/>
      <c r="BT70" s="279"/>
      <c r="BU70" s="279"/>
      <c r="BV70" s="279"/>
      <c r="BW70" s="279"/>
      <c r="BX70" s="279"/>
      <c r="BY70" s="279"/>
      <c r="BZ70" s="279"/>
      <c r="CA70" s="279"/>
      <c r="CB70" s="279"/>
      <c r="CC70" s="279"/>
      <c r="CD70" s="279"/>
      <c r="CE70" s="279"/>
      <c r="CF70" s="279"/>
      <c r="CG70" s="279"/>
      <c r="CH70" s="279"/>
      <c r="CI70" s="279"/>
      <c r="CJ70" s="279"/>
      <c r="CK70" s="279"/>
      <c r="CL70" s="279"/>
      <c r="CM70" s="279"/>
      <c r="CN70" s="382"/>
    </row>
    <row r="71" ht="15.6" x14ac:dyDescent="0.25">
      <c r="B71" s="361"/>
      <c r="C71" s="279"/>
      <c r="D71" s="280"/>
      <c r="E71" s="287"/>
      <c r="F71" s="287"/>
      <c r="G71" s="287"/>
      <c r="H71" s="1292">
        <f t="shared" si="9"/>
        <v>9</v>
      </c>
      <c r="I71" s="1320" t="str">
        <f>IF('I. Stream &amp; Compound Data'!G270&lt;&gt;"",'I. Stream &amp; Compound Data'!G270,"")</f>
        <v/>
      </c>
      <c r="J71" s="1190" t="str">
        <f t="shared" si="3"/>
        <v/>
      </c>
      <c r="K71" s="1306" t="str">
        <f>IF('I. Stream &amp; Compound Data'!T270&lt;&gt;"",'I. Stream &amp; Compound Data'!T270,IF(OR('I. Stream &amp; Compound Data'!U270=1,'I. Stream &amp; Compound Data'!V270=1),0,""))</f>
        <v/>
      </c>
      <c r="L71" s="1190" t="str">
        <f t="shared" si="4"/>
        <v/>
      </c>
      <c r="M71" s="1242" t="str">
        <f t="shared" si="5"/>
        <v/>
      </c>
      <c r="N71" s="1242" t="str">
        <f t="shared" si="6"/>
        <v/>
      </c>
      <c r="O71" s="1306" t="str">
        <f>IF(J71&lt;&gt;"",'I. Stream &amp; Compound Data'!AM270,"")</f>
        <v/>
      </c>
      <c r="P71" s="1287" t="str">
        <f t="shared" si="7"/>
        <v/>
      </c>
      <c r="Q71" s="1149" t="str">
        <f t="shared" si="8"/>
        <v/>
      </c>
      <c r="R71" s="279"/>
      <c r="S71" s="298"/>
      <c r="T71" s="298"/>
      <c r="U71" s="299"/>
      <c r="V71" s="279"/>
      <c r="W71" s="279"/>
      <c r="X71" s="279"/>
      <c r="Y71" s="279"/>
      <c r="Z71" s="279"/>
      <c r="AA71" s="279"/>
      <c r="AB71" s="279"/>
      <c r="AC71" s="279"/>
      <c r="AD71" s="279"/>
      <c r="AE71" s="279"/>
      <c r="AF71" s="279"/>
      <c r="AG71" s="279"/>
      <c r="AH71" s="279"/>
      <c r="AI71" s="279"/>
      <c r="AJ71" s="279"/>
      <c r="AK71" s="279"/>
      <c r="AL71" s="279"/>
      <c r="AM71" s="279"/>
      <c r="AN71" s="279"/>
      <c r="AO71" s="279"/>
      <c r="AP71" s="279"/>
      <c r="AQ71" s="279"/>
      <c r="AR71" s="279"/>
      <c r="AS71" s="279"/>
      <c r="AT71" s="279"/>
      <c r="AU71" s="279"/>
      <c r="AV71" s="279"/>
      <c r="AW71" s="279"/>
      <c r="AX71" s="279"/>
      <c r="AY71" s="279"/>
      <c r="AZ71" s="279"/>
      <c r="BA71" s="279"/>
      <c r="BB71" s="279"/>
      <c r="BC71" s="279"/>
      <c r="BD71" s="279"/>
      <c r="BE71" s="279"/>
      <c r="BF71" s="279"/>
      <c r="BG71" s="279"/>
      <c r="BH71" s="279"/>
      <c r="BI71" s="279"/>
      <c r="BJ71" s="279"/>
      <c r="BK71" s="279"/>
      <c r="BL71" s="279"/>
      <c r="BM71" s="279"/>
      <c r="BN71" s="279"/>
      <c r="BO71" s="279"/>
      <c r="BP71" s="279"/>
      <c r="BQ71" s="279"/>
      <c r="BR71" s="279"/>
      <c r="BS71" s="279"/>
      <c r="BT71" s="279"/>
      <c r="BU71" s="279"/>
      <c r="BV71" s="279"/>
      <c r="BW71" s="279"/>
      <c r="BX71" s="279"/>
      <c r="BY71" s="279"/>
      <c r="BZ71" s="279"/>
      <c r="CA71" s="279"/>
      <c r="CB71" s="279"/>
      <c r="CC71" s="279"/>
      <c r="CD71" s="279"/>
      <c r="CE71" s="279"/>
      <c r="CF71" s="279"/>
      <c r="CG71" s="279"/>
      <c r="CH71" s="279"/>
      <c r="CI71" s="279"/>
      <c r="CJ71" s="279"/>
      <c r="CK71" s="279"/>
      <c r="CL71" s="279"/>
      <c r="CM71" s="279"/>
      <c r="CN71" s="382"/>
    </row>
    <row r="72" ht="15.6" x14ac:dyDescent="0.25">
      <c r="B72" s="361"/>
      <c r="C72" s="279"/>
      <c r="D72" s="280"/>
      <c r="E72" s="287"/>
      <c r="F72" s="287"/>
      <c r="G72" s="287"/>
      <c r="H72" s="1292">
        <f t="shared" si="9"/>
        <v>10</v>
      </c>
      <c r="I72" s="1320" t="str">
        <f>IF('I. Stream &amp; Compound Data'!G271&lt;&gt;"",'I. Stream &amp; Compound Data'!G271,"")</f>
        <v/>
      </c>
      <c r="J72" s="1190" t="str">
        <f t="shared" si="3"/>
        <v/>
      </c>
      <c r="K72" s="1306" t="str">
        <f>IF('I. Stream &amp; Compound Data'!T271&lt;&gt;"",'I. Stream &amp; Compound Data'!T271,IF(OR('I. Stream &amp; Compound Data'!U271=1,'I. Stream &amp; Compound Data'!V271=1),0,""))</f>
        <v/>
      </c>
      <c r="L72" s="1190" t="str">
        <f t="shared" si="4"/>
        <v/>
      </c>
      <c r="M72" s="1242" t="str">
        <f t="shared" si="5"/>
        <v/>
      </c>
      <c r="N72" s="1242" t="str">
        <f t="shared" si="6"/>
        <v/>
      </c>
      <c r="O72" s="1306" t="str">
        <f>IF(J72&lt;&gt;"",'I. Stream &amp; Compound Data'!AM271,"")</f>
        <v/>
      </c>
      <c r="P72" s="1287" t="str">
        <f t="shared" si="7"/>
        <v/>
      </c>
      <c r="Q72" s="1149" t="str">
        <f t="shared" si="8"/>
        <v/>
      </c>
      <c r="R72" s="279"/>
      <c r="S72" s="298"/>
      <c r="T72" s="298"/>
      <c r="U72" s="299"/>
      <c r="V72" s="279"/>
      <c r="W72" s="279"/>
      <c r="X72" s="279"/>
      <c r="Y72" s="279"/>
      <c r="Z72" s="279"/>
      <c r="AA72" s="279"/>
      <c r="AB72" s="279"/>
      <c r="AC72" s="279"/>
      <c r="AD72" s="279"/>
      <c r="AE72" s="279"/>
      <c r="AF72" s="279"/>
      <c r="AG72" s="279"/>
      <c r="AH72" s="279"/>
      <c r="AI72" s="279"/>
      <c r="AJ72" s="279"/>
      <c r="AK72" s="279"/>
      <c r="AL72" s="279"/>
      <c r="AM72" s="279"/>
      <c r="AN72" s="279"/>
      <c r="AO72" s="279"/>
      <c r="AP72" s="279"/>
      <c r="AQ72" s="279"/>
      <c r="AR72" s="279"/>
      <c r="AS72" s="279"/>
      <c r="AT72" s="279"/>
      <c r="AU72" s="279"/>
      <c r="AV72" s="279"/>
      <c r="AW72" s="279"/>
      <c r="AX72" s="279"/>
      <c r="AY72" s="279"/>
      <c r="AZ72" s="279"/>
      <c r="BA72" s="279"/>
      <c r="BB72" s="279"/>
      <c r="BC72" s="279"/>
      <c r="BD72" s="279"/>
      <c r="BE72" s="279"/>
      <c r="BF72" s="279"/>
      <c r="BG72" s="279"/>
      <c r="BH72" s="279"/>
      <c r="BI72" s="279"/>
      <c r="BJ72" s="279"/>
      <c r="BK72" s="279"/>
      <c r="BL72" s="279"/>
      <c r="BM72" s="279"/>
      <c r="BN72" s="279"/>
      <c r="BO72" s="279"/>
      <c r="BP72" s="279"/>
      <c r="BQ72" s="279"/>
      <c r="BR72" s="279"/>
      <c r="BS72" s="279"/>
      <c r="BT72" s="279"/>
      <c r="BU72" s="279"/>
      <c r="BV72" s="279"/>
      <c r="BW72" s="279"/>
      <c r="BX72" s="279"/>
      <c r="BY72" s="279"/>
      <c r="BZ72" s="279"/>
      <c r="CA72" s="279"/>
      <c r="CB72" s="279"/>
      <c r="CC72" s="279"/>
      <c r="CD72" s="279"/>
      <c r="CE72" s="279"/>
      <c r="CF72" s="279"/>
      <c r="CG72" s="279"/>
      <c r="CH72" s="279"/>
      <c r="CI72" s="279"/>
      <c r="CJ72" s="279"/>
      <c r="CK72" s="279"/>
      <c r="CL72" s="279"/>
      <c r="CM72" s="279"/>
      <c r="CN72" s="382"/>
    </row>
    <row r="73" ht="15.6" x14ac:dyDescent="0.25">
      <c r="B73" s="361"/>
      <c r="C73" s="279"/>
      <c r="D73" s="280"/>
      <c r="E73" s="287"/>
      <c r="F73" s="287"/>
      <c r="G73" s="287"/>
      <c r="H73" s="1292">
        <f t="shared" si="9"/>
        <v>11</v>
      </c>
      <c r="I73" s="1320" t="str">
        <f>IF('I. Stream &amp; Compound Data'!G272&lt;&gt;"",'I. Stream &amp; Compound Data'!G272,"")</f>
        <v/>
      </c>
      <c r="J73" s="1190" t="str">
        <f t="shared" si="3"/>
        <v/>
      </c>
      <c r="K73" s="1306" t="str">
        <f>IF('I. Stream &amp; Compound Data'!T272&lt;&gt;"",'I. Stream &amp; Compound Data'!T272,IF(OR('I. Stream &amp; Compound Data'!U272=1,'I. Stream &amp; Compound Data'!V272=1),0,""))</f>
        <v/>
      </c>
      <c r="L73" s="1190" t="str">
        <f t="shared" si="4"/>
        <v/>
      </c>
      <c r="M73" s="1242" t="str">
        <f t="shared" si="5"/>
        <v/>
      </c>
      <c r="N73" s="1242" t="str">
        <f t="shared" si="6"/>
        <v/>
      </c>
      <c r="O73" s="1306" t="str">
        <f>IF(J73&lt;&gt;"",'I. Stream &amp; Compound Data'!AM272,"")</f>
        <v/>
      </c>
      <c r="P73" s="1287" t="str">
        <f t="shared" si="7"/>
        <v/>
      </c>
      <c r="Q73" s="1149" t="str">
        <f t="shared" si="8"/>
        <v/>
      </c>
      <c r="R73" s="279"/>
      <c r="S73" s="298"/>
      <c r="T73" s="298"/>
      <c r="U73" s="299"/>
      <c r="V73" s="279"/>
      <c r="W73" s="279"/>
      <c r="X73" s="279"/>
      <c r="Y73" s="279"/>
      <c r="Z73" s="279"/>
      <c r="AA73" s="279"/>
      <c r="AB73" s="279"/>
      <c r="AC73" s="279"/>
      <c r="AD73" s="279"/>
      <c r="AE73" s="279"/>
      <c r="AF73" s="279"/>
      <c r="AG73" s="279"/>
      <c r="AH73" s="279"/>
      <c r="AI73" s="279"/>
      <c r="AJ73" s="279"/>
      <c r="AK73" s="279"/>
      <c r="AL73" s="279"/>
      <c r="AM73" s="279"/>
      <c r="AN73" s="279"/>
      <c r="AO73" s="279"/>
      <c r="AP73" s="279"/>
      <c r="AQ73" s="279"/>
      <c r="AR73" s="279"/>
      <c r="AS73" s="279"/>
      <c r="AT73" s="279"/>
      <c r="AU73" s="279"/>
      <c r="AV73" s="279"/>
      <c r="AW73" s="279"/>
      <c r="AX73" s="279"/>
      <c r="AY73" s="279"/>
      <c r="AZ73" s="279"/>
      <c r="BA73" s="279"/>
      <c r="BB73" s="279"/>
      <c r="BC73" s="279"/>
      <c r="BD73" s="279"/>
      <c r="BE73" s="279"/>
      <c r="BF73" s="279"/>
      <c r="BG73" s="279"/>
      <c r="BH73" s="279"/>
      <c r="BI73" s="279"/>
      <c r="BJ73" s="279"/>
      <c r="BK73" s="279"/>
      <c r="BL73" s="279"/>
      <c r="BM73" s="279"/>
      <c r="BN73" s="279"/>
      <c r="BO73" s="279"/>
      <c r="BP73" s="279"/>
      <c r="BQ73" s="279"/>
      <c r="BR73" s="279"/>
      <c r="BS73" s="279"/>
      <c r="BT73" s="279"/>
      <c r="BU73" s="279"/>
      <c r="BV73" s="279"/>
      <c r="BW73" s="279"/>
      <c r="BX73" s="279"/>
      <c r="BY73" s="279"/>
      <c r="BZ73" s="279"/>
      <c r="CA73" s="279"/>
      <c r="CB73" s="279"/>
      <c r="CC73" s="279"/>
      <c r="CD73" s="279"/>
      <c r="CE73" s="279"/>
      <c r="CF73" s="279"/>
      <c r="CG73" s="279"/>
      <c r="CH73" s="279"/>
      <c r="CI73" s="279"/>
      <c r="CJ73" s="279"/>
      <c r="CK73" s="279"/>
      <c r="CL73" s="279"/>
      <c r="CM73" s="279"/>
      <c r="CN73" s="382"/>
    </row>
    <row r="74" ht="15.6" x14ac:dyDescent="0.25">
      <c r="B74" s="361"/>
      <c r="C74" s="279"/>
      <c r="D74" s="280"/>
      <c r="E74" s="287"/>
      <c r="F74" s="287"/>
      <c r="G74" s="287"/>
      <c r="H74" s="1292">
        <f t="shared" si="9"/>
        <v>12</v>
      </c>
      <c r="I74" s="1320" t="str">
        <f>IF('I. Stream &amp; Compound Data'!G273&lt;&gt;"",'I. Stream &amp; Compound Data'!G273,"")</f>
        <v/>
      </c>
      <c r="J74" s="1190" t="str">
        <f t="shared" si="3"/>
        <v/>
      </c>
      <c r="K74" s="1306" t="str">
        <f>IF('I. Stream &amp; Compound Data'!T273&lt;&gt;"",'I. Stream &amp; Compound Data'!T273,IF(OR('I. Stream &amp; Compound Data'!U273=1,'I. Stream &amp; Compound Data'!V273=1),0,""))</f>
        <v/>
      </c>
      <c r="L74" s="1190" t="str">
        <f t="shared" si="4"/>
        <v/>
      </c>
      <c r="M74" s="1242" t="str">
        <f t="shared" si="5"/>
        <v/>
      </c>
      <c r="N74" s="1242" t="str">
        <f t="shared" si="6"/>
        <v/>
      </c>
      <c r="O74" s="1306" t="str">
        <f>IF(J74&lt;&gt;"",'I. Stream &amp; Compound Data'!AM273,"")</f>
        <v/>
      </c>
      <c r="P74" s="1287" t="str">
        <f t="shared" si="7"/>
        <v/>
      </c>
      <c r="Q74" s="1149" t="str">
        <f t="shared" si="8"/>
        <v/>
      </c>
      <c r="R74" s="279"/>
      <c r="S74" s="298"/>
      <c r="T74" s="298"/>
      <c r="U74" s="299"/>
      <c r="V74" s="279"/>
      <c r="W74" s="279"/>
      <c r="X74" s="279"/>
      <c r="Y74" s="279"/>
      <c r="Z74" s="279"/>
      <c r="AA74" s="279"/>
      <c r="AB74" s="279"/>
      <c r="AC74" s="279"/>
      <c r="AD74" s="279"/>
      <c r="AE74" s="279"/>
      <c r="AF74" s="279"/>
      <c r="AG74" s="279"/>
      <c r="AH74" s="279"/>
      <c r="AI74" s="279"/>
      <c r="AJ74" s="279"/>
      <c r="AK74" s="279"/>
      <c r="AL74" s="279"/>
      <c r="AM74" s="279"/>
      <c r="AN74" s="279"/>
      <c r="AO74" s="279"/>
      <c r="AP74" s="279"/>
      <c r="AQ74" s="279"/>
      <c r="AR74" s="279"/>
      <c r="AS74" s="279"/>
      <c r="AT74" s="279"/>
      <c r="AU74" s="279"/>
      <c r="AV74" s="279"/>
      <c r="AW74" s="279"/>
      <c r="AX74" s="279"/>
      <c r="AY74" s="279"/>
      <c r="AZ74" s="279"/>
      <c r="BA74" s="279"/>
      <c r="BB74" s="279"/>
      <c r="BC74" s="279"/>
      <c r="BD74" s="279"/>
      <c r="BE74" s="279"/>
      <c r="BF74" s="279"/>
      <c r="BG74" s="279"/>
      <c r="BH74" s="279"/>
      <c r="BI74" s="279"/>
      <c r="BJ74" s="279"/>
      <c r="BK74" s="279"/>
      <c r="BL74" s="279"/>
      <c r="BM74" s="279"/>
      <c r="BN74" s="279"/>
      <c r="BO74" s="279"/>
      <c r="BP74" s="279"/>
      <c r="BQ74" s="279"/>
      <c r="BR74" s="279"/>
      <c r="BS74" s="279"/>
      <c r="BT74" s="279"/>
      <c r="BU74" s="279"/>
      <c r="BV74" s="279"/>
      <c r="BW74" s="279"/>
      <c r="BX74" s="279"/>
      <c r="BY74" s="279"/>
      <c r="BZ74" s="279"/>
      <c r="CA74" s="279"/>
      <c r="CB74" s="279"/>
      <c r="CC74" s="279"/>
      <c r="CD74" s="279"/>
      <c r="CE74" s="279"/>
      <c r="CF74" s="279"/>
      <c r="CG74" s="279"/>
      <c r="CH74" s="279"/>
      <c r="CI74" s="279"/>
      <c r="CJ74" s="279"/>
      <c r="CK74" s="279"/>
      <c r="CL74" s="279"/>
      <c r="CM74" s="279"/>
      <c r="CN74" s="382"/>
    </row>
    <row r="75" ht="15.6" x14ac:dyDescent="0.25">
      <c r="B75" s="361"/>
      <c r="C75" s="279"/>
      <c r="D75" s="280"/>
      <c r="E75" s="287"/>
      <c r="F75" s="287"/>
      <c r="G75" s="287"/>
      <c r="H75" s="1292">
        <f t="shared" si="9"/>
        <v>13</v>
      </c>
      <c r="I75" s="1320" t="str">
        <f>IF('I. Stream &amp; Compound Data'!G274&lt;&gt;"",'I. Stream &amp; Compound Data'!G274,"")</f>
        <v/>
      </c>
      <c r="J75" s="1190" t="str">
        <f t="shared" si="3"/>
        <v/>
      </c>
      <c r="K75" s="1306" t="str">
        <f>IF('I. Stream &amp; Compound Data'!T274&lt;&gt;"",'I. Stream &amp; Compound Data'!T274,IF(OR('I. Stream &amp; Compound Data'!U274=1,'I. Stream &amp; Compound Data'!V274=1),0,""))</f>
        <v/>
      </c>
      <c r="L75" s="1190" t="str">
        <f t="shared" si="4"/>
        <v/>
      </c>
      <c r="M75" s="1242" t="str">
        <f t="shared" si="5"/>
        <v/>
      </c>
      <c r="N75" s="1242" t="str">
        <f t="shared" si="6"/>
        <v/>
      </c>
      <c r="O75" s="1306" t="str">
        <f>IF(J75&lt;&gt;"",'I. Stream &amp; Compound Data'!AM274,"")</f>
        <v/>
      </c>
      <c r="P75" s="1287" t="str">
        <f t="shared" si="7"/>
        <v/>
      </c>
      <c r="Q75" s="1149" t="str">
        <f t="shared" si="8"/>
        <v/>
      </c>
      <c r="R75" s="279"/>
      <c r="S75" s="298"/>
      <c r="T75" s="298"/>
      <c r="U75" s="299"/>
      <c r="V75" s="279"/>
      <c r="W75" s="279"/>
      <c r="X75" s="279"/>
      <c r="Y75" s="279"/>
      <c r="Z75" s="279"/>
      <c r="AA75" s="279"/>
      <c r="AB75" s="279"/>
      <c r="AC75" s="279"/>
      <c r="AD75" s="279"/>
      <c r="AE75" s="279"/>
      <c r="AF75" s="279"/>
      <c r="AG75" s="279"/>
      <c r="AH75" s="279"/>
      <c r="AI75" s="279"/>
      <c r="AJ75" s="279"/>
      <c r="AK75" s="279"/>
      <c r="AL75" s="279"/>
      <c r="AM75" s="279"/>
      <c r="AN75" s="279"/>
      <c r="AO75" s="279"/>
      <c r="AP75" s="279"/>
      <c r="AQ75" s="279"/>
      <c r="AR75" s="279"/>
      <c r="AS75" s="279"/>
      <c r="AT75" s="279"/>
      <c r="AU75" s="279"/>
      <c r="AV75" s="279"/>
      <c r="AW75" s="279"/>
      <c r="AX75" s="279"/>
      <c r="AY75" s="279"/>
      <c r="AZ75" s="279"/>
      <c r="BA75" s="279"/>
      <c r="BB75" s="279"/>
      <c r="BC75" s="279"/>
      <c r="BD75" s="279"/>
      <c r="BE75" s="279"/>
      <c r="BF75" s="279"/>
      <c r="BG75" s="279"/>
      <c r="BH75" s="279"/>
      <c r="BI75" s="279"/>
      <c r="BJ75" s="279"/>
      <c r="BK75" s="279"/>
      <c r="BL75" s="279"/>
      <c r="BM75" s="279"/>
      <c r="BN75" s="279"/>
      <c r="BO75" s="279"/>
      <c r="BP75" s="279"/>
      <c r="BQ75" s="279"/>
      <c r="BR75" s="279"/>
      <c r="BS75" s="279"/>
      <c r="BT75" s="279"/>
      <c r="BU75" s="279"/>
      <c r="BV75" s="279"/>
      <c r="BW75" s="279"/>
      <c r="BX75" s="279"/>
      <c r="BY75" s="279"/>
      <c r="BZ75" s="279"/>
      <c r="CA75" s="279"/>
      <c r="CB75" s="279"/>
      <c r="CC75" s="279"/>
      <c r="CD75" s="279"/>
      <c r="CE75" s="279"/>
      <c r="CF75" s="279"/>
      <c r="CG75" s="279"/>
      <c r="CH75" s="279"/>
      <c r="CI75" s="279"/>
      <c r="CJ75" s="279"/>
      <c r="CK75" s="279"/>
      <c r="CL75" s="279"/>
      <c r="CM75" s="279"/>
      <c r="CN75" s="382"/>
    </row>
    <row r="76" ht="15.6" x14ac:dyDescent="0.3">
      <c r="B76" s="361"/>
      <c r="C76" s="279"/>
      <c r="D76" s="280"/>
      <c r="E76" s="287"/>
      <c r="F76" s="287"/>
      <c r="G76" s="287"/>
      <c r="H76" s="1292">
        <f t="shared" si="9"/>
        <v>14</v>
      </c>
      <c r="I76" s="1320" t="str">
        <f>IF('I. Stream &amp; Compound Data'!G275&lt;&gt;"",'I. Stream &amp; Compound Data'!G275,"")</f>
        <v/>
      </c>
      <c r="J76" s="1190" t="str">
        <f t="shared" si="3"/>
        <v/>
      </c>
      <c r="K76" s="1306" t="str">
        <f>IF('I. Stream &amp; Compound Data'!T275&lt;&gt;"",'I. Stream &amp; Compound Data'!T275,IF(OR('I. Stream &amp; Compound Data'!U275=1,'I. Stream &amp; Compound Data'!V275=1),0,""))</f>
        <v/>
      </c>
      <c r="L76" s="1190" t="str">
        <f t="shared" si="4"/>
        <v/>
      </c>
      <c r="M76" s="1242" t="str">
        <f t="shared" si="5"/>
        <v/>
      </c>
      <c r="N76" s="1242" t="str">
        <f t="shared" si="6"/>
        <v/>
      </c>
      <c r="O76" s="1306" t="str">
        <f>IF(J76&lt;&gt;"",'I. Stream &amp; Compound Data'!AM275,"")</f>
        <v/>
      </c>
      <c r="P76" s="1287" t="str">
        <f t="shared" si="7"/>
        <v/>
      </c>
      <c r="Q76" s="1149" t="str">
        <f t="shared" si="8"/>
        <v/>
      </c>
      <c r="R76" s="297"/>
      <c r="S76" s="298"/>
      <c r="T76" s="298"/>
      <c r="U76" s="299"/>
      <c r="V76" s="279"/>
      <c r="W76" s="279"/>
      <c r="X76" s="279"/>
      <c r="Y76" s="279"/>
      <c r="Z76" s="279"/>
      <c r="AA76" s="279"/>
      <c r="AB76" s="279"/>
      <c r="AC76" s="279"/>
      <c r="AD76" s="279"/>
      <c r="AE76" s="279"/>
      <c r="AF76" s="279"/>
      <c r="AG76" s="279"/>
      <c r="AH76" s="279"/>
      <c r="AI76" s="279"/>
      <c r="AJ76" s="279"/>
      <c r="AK76" s="279"/>
      <c r="AL76" s="279"/>
      <c r="AM76" s="279"/>
      <c r="AN76" s="279"/>
      <c r="AO76" s="279"/>
      <c r="AP76" s="279"/>
      <c r="AQ76" s="279"/>
      <c r="AR76" s="279"/>
      <c r="AS76" s="279"/>
      <c r="AT76" s="279"/>
      <c r="AU76" s="279"/>
      <c r="AV76" s="279"/>
      <c r="AW76" s="279"/>
      <c r="AX76" s="279"/>
      <c r="AY76" s="279"/>
      <c r="AZ76" s="279"/>
      <c r="BA76" s="279"/>
      <c r="BB76" s="279"/>
      <c r="BC76" s="279"/>
      <c r="BD76" s="279"/>
      <c r="BE76" s="279"/>
      <c r="BF76" s="279"/>
      <c r="BG76" s="279"/>
      <c r="BH76" s="279"/>
      <c r="BI76" s="279"/>
      <c r="BJ76" s="279"/>
      <c r="BK76" s="279"/>
      <c r="BL76" s="279"/>
      <c r="BM76" s="279"/>
      <c r="BN76" s="279"/>
      <c r="BO76" s="279"/>
      <c r="BP76" s="279"/>
      <c r="BQ76" s="279"/>
      <c r="BR76" s="279"/>
      <c r="BS76" s="279"/>
      <c r="BT76" s="279"/>
      <c r="BU76" s="279"/>
      <c r="BV76" s="279"/>
      <c r="BW76" s="279"/>
      <c r="BX76" s="279"/>
      <c r="BY76" s="279"/>
      <c r="BZ76" s="279"/>
      <c r="CA76" s="279"/>
      <c r="CB76" s="279"/>
      <c r="CC76" s="279"/>
      <c r="CD76" s="279"/>
      <c r="CE76" s="279"/>
      <c r="CF76" s="279"/>
      <c r="CG76" s="279"/>
      <c r="CH76" s="279"/>
      <c r="CI76" s="279"/>
      <c r="CJ76" s="279"/>
      <c r="CK76" s="279"/>
      <c r="CL76" s="279"/>
      <c r="CM76" s="279"/>
      <c r="CN76" s="382"/>
    </row>
    <row r="77" ht="15.6" x14ac:dyDescent="0.3">
      <c r="B77" s="361"/>
      <c r="C77" s="279"/>
      <c r="D77" s="280"/>
      <c r="E77" s="287"/>
      <c r="F77" s="287"/>
      <c r="G77" s="287"/>
      <c r="H77" s="1292">
        <f t="shared" si="9"/>
        <v>15</v>
      </c>
      <c r="I77" s="1320" t="str">
        <f>IF('I. Stream &amp; Compound Data'!G276&lt;&gt;"",'I. Stream &amp; Compound Data'!G276,"")</f>
        <v/>
      </c>
      <c r="J77" s="1190" t="str">
        <f t="shared" si="3"/>
        <v/>
      </c>
      <c r="K77" s="1306" t="str">
        <f>IF('I. Stream &amp; Compound Data'!T276&lt;&gt;"",'I. Stream &amp; Compound Data'!T276,IF(OR('I. Stream &amp; Compound Data'!U276=1,'I. Stream &amp; Compound Data'!V276=1),0,""))</f>
        <v/>
      </c>
      <c r="L77" s="1190" t="str">
        <f t="shared" si="4"/>
        <v/>
      </c>
      <c r="M77" s="1242" t="str">
        <f t="shared" si="5"/>
        <v/>
      </c>
      <c r="N77" s="1242" t="str">
        <f t="shared" si="6"/>
        <v/>
      </c>
      <c r="O77" s="1306" t="str">
        <f>IF(J77&lt;&gt;"",'I. Stream &amp; Compound Data'!AM276,"")</f>
        <v/>
      </c>
      <c r="P77" s="1287" t="str">
        <f t="shared" si="7"/>
        <v/>
      </c>
      <c r="Q77" s="1149" t="str">
        <f t="shared" si="8"/>
        <v/>
      </c>
      <c r="R77" s="297"/>
      <c r="S77" s="298"/>
      <c r="T77" s="298"/>
      <c r="U77" s="299"/>
      <c r="V77" s="279"/>
      <c r="W77" s="279"/>
      <c r="X77" s="279"/>
      <c r="Y77" s="279"/>
      <c r="Z77" s="279"/>
      <c r="AA77" s="279"/>
      <c r="AB77" s="279"/>
      <c r="AC77" s="279"/>
      <c r="AD77" s="279"/>
      <c r="AE77" s="279"/>
      <c r="AF77" s="279"/>
      <c r="AG77" s="279"/>
      <c r="AH77" s="279"/>
      <c r="AI77" s="279"/>
      <c r="AJ77" s="279"/>
      <c r="AK77" s="279"/>
      <c r="AL77" s="279"/>
      <c r="AM77" s="279"/>
      <c r="AN77" s="279"/>
      <c r="AO77" s="279"/>
      <c r="AP77" s="279"/>
      <c r="AQ77" s="279"/>
      <c r="AR77" s="279"/>
      <c r="AS77" s="279"/>
      <c r="AT77" s="279"/>
      <c r="AU77" s="279"/>
      <c r="AV77" s="279"/>
      <c r="AW77" s="279"/>
      <c r="AX77" s="279"/>
      <c r="AY77" s="279"/>
      <c r="AZ77" s="279"/>
      <c r="BA77" s="279"/>
      <c r="BB77" s="279"/>
      <c r="BC77" s="279"/>
      <c r="BD77" s="279"/>
      <c r="BE77" s="279"/>
      <c r="BF77" s="279"/>
      <c r="BG77" s="279"/>
      <c r="BH77" s="279"/>
      <c r="BI77" s="279"/>
      <c r="BJ77" s="279"/>
      <c r="BK77" s="279"/>
      <c r="BL77" s="279"/>
      <c r="BM77" s="279"/>
      <c r="BN77" s="279"/>
      <c r="BO77" s="279"/>
      <c r="BP77" s="279"/>
      <c r="BQ77" s="279"/>
      <c r="BR77" s="279"/>
      <c r="BS77" s="279"/>
      <c r="BT77" s="279"/>
      <c r="BU77" s="279"/>
      <c r="BV77" s="279"/>
      <c r="BW77" s="279"/>
      <c r="BX77" s="279"/>
      <c r="BY77" s="279"/>
      <c r="BZ77" s="279"/>
      <c r="CA77" s="279"/>
      <c r="CB77" s="279"/>
      <c r="CC77" s="279"/>
      <c r="CD77" s="279"/>
      <c r="CE77" s="279"/>
      <c r="CF77" s="279"/>
      <c r="CG77" s="279"/>
      <c r="CH77" s="279"/>
      <c r="CI77" s="279"/>
      <c r="CJ77" s="279"/>
      <c r="CK77" s="279"/>
      <c r="CL77" s="279"/>
      <c r="CM77" s="279"/>
      <c r="CN77" s="382"/>
    </row>
    <row r="78" ht="15.6" x14ac:dyDescent="0.3">
      <c r="B78" s="361"/>
      <c r="C78" s="279"/>
      <c r="D78" s="280"/>
      <c r="E78" s="287"/>
      <c r="F78" s="287"/>
      <c r="G78" s="287"/>
      <c r="H78" s="1292">
        <f t="shared" si="9"/>
        <v>16</v>
      </c>
      <c r="I78" s="1320" t="str">
        <f>IF('I. Stream &amp; Compound Data'!G277&lt;&gt;"",'I. Stream &amp; Compound Data'!G277,"")</f>
        <v/>
      </c>
      <c r="J78" s="1190" t="str">
        <f t="shared" si="3"/>
        <v/>
      </c>
      <c r="K78" s="1306" t="str">
        <f>IF('I. Stream &amp; Compound Data'!T277&lt;&gt;"",'I. Stream &amp; Compound Data'!T277,IF(OR('I. Stream &amp; Compound Data'!U277=1,'I. Stream &amp; Compound Data'!V277=1),0,""))</f>
        <v/>
      </c>
      <c r="L78" s="1190" t="str">
        <f t="shared" si="4"/>
        <v/>
      </c>
      <c r="M78" s="1242" t="str">
        <f t="shared" si="5"/>
        <v/>
      </c>
      <c r="N78" s="1242" t="str">
        <f t="shared" si="6"/>
        <v/>
      </c>
      <c r="O78" s="1306" t="str">
        <f>IF(J78&lt;&gt;"",'I. Stream &amp; Compound Data'!AM277,"")</f>
        <v/>
      </c>
      <c r="P78" s="1287" t="str">
        <f t="shared" si="7"/>
        <v/>
      </c>
      <c r="Q78" s="1149" t="str">
        <f t="shared" si="8"/>
        <v/>
      </c>
      <c r="R78" s="297"/>
      <c r="S78" s="298"/>
      <c r="T78" s="298"/>
      <c r="U78" s="299"/>
      <c r="V78" s="279"/>
      <c r="W78" s="279"/>
      <c r="X78" s="279"/>
      <c r="Y78" s="279"/>
      <c r="Z78" s="279"/>
      <c r="AA78" s="279"/>
      <c r="AB78" s="279"/>
      <c r="AC78" s="279"/>
      <c r="AD78" s="279"/>
      <c r="AE78" s="279"/>
      <c r="AF78" s="279"/>
      <c r="AG78" s="279"/>
      <c r="AH78" s="279"/>
      <c r="AI78" s="279"/>
      <c r="AJ78" s="279"/>
      <c r="AK78" s="279"/>
      <c r="AL78" s="279"/>
      <c r="AM78" s="279"/>
      <c r="AN78" s="279"/>
      <c r="AO78" s="279"/>
      <c r="AP78" s="279"/>
      <c r="AQ78" s="279"/>
      <c r="AR78" s="279"/>
      <c r="AS78" s="279"/>
      <c r="AT78" s="279"/>
      <c r="AU78" s="279"/>
      <c r="AV78" s="279"/>
      <c r="AW78" s="279"/>
      <c r="AX78" s="279"/>
      <c r="AY78" s="279"/>
      <c r="AZ78" s="279"/>
      <c r="BA78" s="279"/>
      <c r="BB78" s="279"/>
      <c r="BC78" s="279"/>
      <c r="BD78" s="279"/>
      <c r="BE78" s="279"/>
      <c r="BF78" s="279"/>
      <c r="BG78" s="279"/>
      <c r="BH78" s="279"/>
      <c r="BI78" s="279"/>
      <c r="BJ78" s="279"/>
      <c r="BK78" s="279"/>
      <c r="BL78" s="279"/>
      <c r="BM78" s="279"/>
      <c r="BN78" s="279"/>
      <c r="BO78" s="279"/>
      <c r="BP78" s="279"/>
      <c r="BQ78" s="279"/>
      <c r="BR78" s="279"/>
      <c r="BS78" s="279"/>
      <c r="BT78" s="279"/>
      <c r="BU78" s="279"/>
      <c r="BV78" s="279"/>
      <c r="BW78" s="279"/>
      <c r="BX78" s="279"/>
      <c r="BY78" s="279"/>
      <c r="BZ78" s="279"/>
      <c r="CA78" s="279"/>
      <c r="CB78" s="279"/>
      <c r="CC78" s="279"/>
      <c r="CD78" s="279"/>
      <c r="CE78" s="279"/>
      <c r="CF78" s="279"/>
      <c r="CG78" s="279"/>
      <c r="CH78" s="279"/>
      <c r="CI78" s="279"/>
      <c r="CJ78" s="279"/>
      <c r="CK78" s="279"/>
      <c r="CL78" s="279"/>
      <c r="CM78" s="279"/>
      <c r="CN78" s="382"/>
    </row>
    <row r="79" ht="15.6" x14ac:dyDescent="0.3">
      <c r="B79" s="361"/>
      <c r="C79" s="279"/>
      <c r="D79" s="280"/>
      <c r="E79" s="287"/>
      <c r="F79" s="287"/>
      <c r="G79" s="287"/>
      <c r="H79" s="1292">
        <f t="shared" si="9"/>
        <v>17</v>
      </c>
      <c r="I79" s="1320" t="str">
        <f>IF('I. Stream &amp; Compound Data'!G278&lt;&gt;"",'I. Stream &amp; Compound Data'!G278,"")</f>
        <v/>
      </c>
      <c r="J79" s="1190" t="str">
        <f t="shared" si="3"/>
        <v/>
      </c>
      <c r="K79" s="1306" t="str">
        <f>IF('I. Stream &amp; Compound Data'!T278&lt;&gt;"",'I. Stream &amp; Compound Data'!T278,IF(OR('I. Stream &amp; Compound Data'!U278=1,'I. Stream &amp; Compound Data'!V278=1),0,""))</f>
        <v/>
      </c>
      <c r="L79" s="1190" t="str">
        <f t="shared" si="4"/>
        <v/>
      </c>
      <c r="M79" s="1242" t="str">
        <f t="shared" si="5"/>
        <v/>
      </c>
      <c r="N79" s="1242" t="str">
        <f t="shared" si="6"/>
        <v/>
      </c>
      <c r="O79" s="1306" t="str">
        <f>IF(J79&lt;&gt;"",'I. Stream &amp; Compound Data'!AM278,"")</f>
        <v/>
      </c>
      <c r="P79" s="1287" t="str">
        <f t="shared" si="7"/>
        <v/>
      </c>
      <c r="Q79" s="1149" t="str">
        <f t="shared" si="8"/>
        <v/>
      </c>
      <c r="R79" s="297"/>
      <c r="S79" s="298"/>
      <c r="T79" s="298"/>
      <c r="U79" s="299"/>
      <c r="V79" s="279"/>
      <c r="W79" s="279"/>
      <c r="X79" s="279"/>
      <c r="Y79" s="279"/>
      <c r="Z79" s="279"/>
      <c r="AA79" s="279"/>
      <c r="AB79" s="279"/>
      <c r="AC79" s="279"/>
      <c r="AD79" s="279"/>
      <c r="AE79" s="279"/>
      <c r="AF79" s="279"/>
      <c r="AG79" s="279"/>
      <c r="AH79" s="279"/>
      <c r="AI79" s="279"/>
      <c r="AJ79" s="279"/>
      <c r="AK79" s="279"/>
      <c r="AL79" s="279"/>
      <c r="AM79" s="279"/>
      <c r="AN79" s="279"/>
      <c r="AO79" s="279"/>
      <c r="AP79" s="279"/>
      <c r="AQ79" s="279"/>
      <c r="AR79" s="279"/>
      <c r="AS79" s="279"/>
      <c r="AT79" s="279"/>
      <c r="AU79" s="279"/>
      <c r="AV79" s="279"/>
      <c r="AW79" s="279"/>
      <c r="AX79" s="279"/>
      <c r="AY79" s="279"/>
      <c r="AZ79" s="279"/>
      <c r="BA79" s="279"/>
      <c r="BB79" s="279"/>
      <c r="BC79" s="279"/>
      <c r="BD79" s="279"/>
      <c r="BE79" s="279"/>
      <c r="BF79" s="279"/>
      <c r="BG79" s="279"/>
      <c r="BH79" s="279"/>
      <c r="BI79" s="279"/>
      <c r="BJ79" s="279"/>
      <c r="BK79" s="279"/>
      <c r="BL79" s="279"/>
      <c r="BM79" s="279"/>
      <c r="BN79" s="279"/>
      <c r="BO79" s="279"/>
      <c r="BP79" s="279"/>
      <c r="BQ79" s="279"/>
      <c r="BR79" s="279"/>
      <c r="BS79" s="279"/>
      <c r="BT79" s="279"/>
      <c r="BU79" s="279"/>
      <c r="BV79" s="279"/>
      <c r="BW79" s="279"/>
      <c r="BX79" s="279"/>
      <c r="BY79" s="279"/>
      <c r="BZ79" s="279"/>
      <c r="CA79" s="279"/>
      <c r="CB79" s="279"/>
      <c r="CC79" s="279"/>
      <c r="CD79" s="279"/>
      <c r="CE79" s="279"/>
      <c r="CF79" s="279"/>
      <c r="CG79" s="279"/>
      <c r="CH79" s="279"/>
      <c r="CI79" s="279"/>
      <c r="CJ79" s="279"/>
      <c r="CK79" s="279"/>
      <c r="CL79" s="279"/>
      <c r="CM79" s="279"/>
      <c r="CN79" s="382"/>
    </row>
    <row r="80" ht="15.6" x14ac:dyDescent="0.3">
      <c r="B80" s="361"/>
      <c r="C80" s="279"/>
      <c r="D80" s="280"/>
      <c r="E80" s="287"/>
      <c r="F80" s="287"/>
      <c r="G80" s="287"/>
      <c r="H80" s="1292">
        <f t="shared" si="9"/>
        <v>18</v>
      </c>
      <c r="I80" s="1320" t="str">
        <f>IF('I. Stream &amp; Compound Data'!G279&lt;&gt;"",'I. Stream &amp; Compound Data'!G279,"")</f>
        <v/>
      </c>
      <c r="J80" s="1190" t="str">
        <f t="shared" si="3"/>
        <v/>
      </c>
      <c r="K80" s="1306" t="str">
        <f>IF('I. Stream &amp; Compound Data'!T279&lt;&gt;"",'I. Stream &amp; Compound Data'!T279,IF(OR('I. Stream &amp; Compound Data'!U279=1,'I. Stream &amp; Compound Data'!V279=1),0,""))</f>
        <v/>
      </c>
      <c r="L80" s="1190" t="str">
        <f t="shared" si="4"/>
        <v/>
      </c>
      <c r="M80" s="1242" t="str">
        <f t="shared" si="5"/>
        <v/>
      </c>
      <c r="N80" s="1242" t="str">
        <f t="shared" si="6"/>
        <v/>
      </c>
      <c r="O80" s="1306" t="str">
        <f>IF(J80&lt;&gt;"",'I. Stream &amp; Compound Data'!AM279,"")</f>
        <v/>
      </c>
      <c r="P80" s="1287" t="str">
        <f t="shared" si="7"/>
        <v/>
      </c>
      <c r="Q80" s="1149" t="str">
        <f t="shared" si="8"/>
        <v/>
      </c>
      <c r="R80" s="297"/>
      <c r="S80" s="298"/>
      <c r="T80" s="298"/>
      <c r="U80" s="299"/>
      <c r="V80" s="279"/>
      <c r="W80" s="279"/>
      <c r="X80" s="279"/>
      <c r="Y80" s="279"/>
      <c r="Z80" s="279"/>
      <c r="AA80" s="279"/>
      <c r="AB80" s="279"/>
      <c r="AC80" s="279"/>
      <c r="AD80" s="279"/>
      <c r="AE80" s="279"/>
      <c r="AF80" s="279"/>
      <c r="AG80" s="279"/>
      <c r="AH80" s="279"/>
      <c r="AI80" s="279"/>
      <c r="AJ80" s="279"/>
      <c r="AK80" s="279"/>
      <c r="AL80" s="279"/>
      <c r="AM80" s="279"/>
      <c r="AN80" s="279"/>
      <c r="AO80" s="279"/>
      <c r="AP80" s="279"/>
      <c r="AQ80" s="279"/>
      <c r="AR80" s="279"/>
      <c r="AS80" s="279"/>
      <c r="AT80" s="279"/>
      <c r="AU80" s="279"/>
      <c r="AV80" s="279"/>
      <c r="AW80" s="279"/>
      <c r="AX80" s="279"/>
      <c r="AY80" s="279"/>
      <c r="AZ80" s="279"/>
      <c r="BA80" s="279"/>
      <c r="BB80" s="279"/>
      <c r="BC80" s="279"/>
      <c r="BD80" s="279"/>
      <c r="BE80" s="279"/>
      <c r="BF80" s="279"/>
      <c r="BG80" s="279"/>
      <c r="BH80" s="279"/>
      <c r="BI80" s="279"/>
      <c r="BJ80" s="279"/>
      <c r="BK80" s="279"/>
      <c r="BL80" s="279"/>
      <c r="BM80" s="279"/>
      <c r="BN80" s="279"/>
      <c r="BO80" s="279"/>
      <c r="BP80" s="279"/>
      <c r="BQ80" s="279"/>
      <c r="BR80" s="279"/>
      <c r="BS80" s="279"/>
      <c r="BT80" s="279"/>
      <c r="BU80" s="279"/>
      <c r="BV80" s="279"/>
      <c r="BW80" s="279"/>
      <c r="BX80" s="279"/>
      <c r="BY80" s="279"/>
      <c r="BZ80" s="279"/>
      <c r="CA80" s="279"/>
      <c r="CB80" s="279"/>
      <c r="CC80" s="279"/>
      <c r="CD80" s="279"/>
      <c r="CE80" s="279"/>
      <c r="CF80" s="279"/>
      <c r="CG80" s="279"/>
      <c r="CH80" s="279"/>
      <c r="CI80" s="279"/>
      <c r="CJ80" s="279"/>
      <c r="CK80" s="279"/>
      <c r="CL80" s="279"/>
      <c r="CM80" s="279"/>
      <c r="CN80" s="382"/>
    </row>
    <row r="81" ht="15.6" x14ac:dyDescent="0.3">
      <c r="B81" s="361"/>
      <c r="C81" s="279"/>
      <c r="D81" s="280"/>
      <c r="E81" s="287"/>
      <c r="F81" s="287"/>
      <c r="G81" s="287"/>
      <c r="H81" s="1292">
        <f t="shared" si="9"/>
        <v>19</v>
      </c>
      <c r="I81" s="1320" t="str">
        <f>IF('I. Stream &amp; Compound Data'!G280&lt;&gt;"",'I. Stream &amp; Compound Data'!G280,"")</f>
        <v/>
      </c>
      <c r="J81" s="1190" t="str">
        <f t="shared" si="3"/>
        <v/>
      </c>
      <c r="K81" s="1306" t="str">
        <f>IF('I. Stream &amp; Compound Data'!T280&lt;&gt;"",'I. Stream &amp; Compound Data'!T280,IF(OR('I. Stream &amp; Compound Data'!U280=1,'I. Stream &amp; Compound Data'!V280=1),0,""))</f>
        <v/>
      </c>
      <c r="L81" s="1190" t="str">
        <f t="shared" si="4"/>
        <v/>
      </c>
      <c r="M81" s="1242" t="str">
        <f t="shared" si="5"/>
        <v/>
      </c>
      <c r="N81" s="1242" t="str">
        <f t="shared" si="6"/>
        <v/>
      </c>
      <c r="O81" s="1306" t="str">
        <f>IF(J81&lt;&gt;"",'I. Stream &amp; Compound Data'!AM280,"")</f>
        <v/>
      </c>
      <c r="P81" s="1287" t="str">
        <f t="shared" si="7"/>
        <v/>
      </c>
      <c r="Q81" s="1149" t="str">
        <f t="shared" si="8"/>
        <v/>
      </c>
      <c r="R81" s="297"/>
      <c r="S81" s="298"/>
      <c r="T81" s="298"/>
      <c r="U81" s="299"/>
      <c r="V81" s="279"/>
      <c r="W81" s="279"/>
      <c r="X81" s="279"/>
      <c r="Y81" s="279"/>
      <c r="Z81" s="279"/>
      <c r="AA81" s="279"/>
      <c r="AB81" s="279"/>
      <c r="AC81" s="279"/>
      <c r="AD81" s="279"/>
      <c r="AE81" s="279"/>
      <c r="AF81" s="279"/>
      <c r="AG81" s="279"/>
      <c r="AH81" s="279"/>
      <c r="AI81" s="279"/>
      <c r="AJ81" s="279"/>
      <c r="AK81" s="279"/>
      <c r="AL81" s="279"/>
      <c r="AM81" s="279"/>
      <c r="AN81" s="279"/>
      <c r="AO81" s="279"/>
      <c r="AP81" s="279"/>
      <c r="AQ81" s="279"/>
      <c r="AR81" s="279"/>
      <c r="AS81" s="279"/>
      <c r="AT81" s="279"/>
      <c r="AU81" s="279"/>
      <c r="AV81" s="279"/>
      <c r="AW81" s="279"/>
      <c r="AX81" s="279"/>
      <c r="AY81" s="279"/>
      <c r="AZ81" s="279"/>
      <c r="BA81" s="279"/>
      <c r="BB81" s="279"/>
      <c r="BC81" s="279"/>
      <c r="BD81" s="279"/>
      <c r="BE81" s="279"/>
      <c r="BF81" s="279"/>
      <c r="BG81" s="279"/>
      <c r="BH81" s="279"/>
      <c r="BI81" s="279"/>
      <c r="BJ81" s="279"/>
      <c r="BK81" s="279"/>
      <c r="BL81" s="279"/>
      <c r="BM81" s="279"/>
      <c r="BN81" s="279"/>
      <c r="BO81" s="279"/>
      <c r="BP81" s="279"/>
      <c r="BQ81" s="279"/>
      <c r="BR81" s="279"/>
      <c r="BS81" s="279"/>
      <c r="BT81" s="279"/>
      <c r="BU81" s="279"/>
      <c r="BV81" s="279"/>
      <c r="BW81" s="279"/>
      <c r="BX81" s="279"/>
      <c r="BY81" s="279"/>
      <c r="BZ81" s="279"/>
      <c r="CA81" s="279"/>
      <c r="CB81" s="279"/>
      <c r="CC81" s="279"/>
      <c r="CD81" s="279"/>
      <c r="CE81" s="279"/>
      <c r="CF81" s="279"/>
      <c r="CG81" s="279"/>
      <c r="CH81" s="279"/>
      <c r="CI81" s="279"/>
      <c r="CJ81" s="279"/>
      <c r="CK81" s="279"/>
      <c r="CL81" s="279"/>
      <c r="CM81" s="279"/>
      <c r="CN81" s="382"/>
    </row>
    <row r="82" ht="15.6" x14ac:dyDescent="0.3">
      <c r="B82" s="361"/>
      <c r="C82" s="279"/>
      <c r="D82" s="280"/>
      <c r="E82" s="287"/>
      <c r="F82" s="287"/>
      <c r="G82" s="287"/>
      <c r="H82" s="1292">
        <f t="shared" si="9"/>
        <v>20</v>
      </c>
      <c r="I82" s="1320" t="str">
        <f>IF('I. Stream &amp; Compound Data'!G281&lt;&gt;"",'I. Stream &amp; Compound Data'!G281,"")</f>
        <v/>
      </c>
      <c r="J82" s="1190" t="str">
        <f t="shared" si="3"/>
        <v/>
      </c>
      <c r="K82" s="1306" t="str">
        <f>IF('I. Stream &amp; Compound Data'!T281&lt;&gt;"",'I. Stream &amp; Compound Data'!T281,IF(OR('I. Stream &amp; Compound Data'!U281=1,'I. Stream &amp; Compound Data'!V281=1),0,""))</f>
        <v/>
      </c>
      <c r="L82" s="1190" t="str">
        <f t="shared" si="4"/>
        <v/>
      </c>
      <c r="M82" s="1242" t="str">
        <f t="shared" si="5"/>
        <v/>
      </c>
      <c r="N82" s="1242" t="str">
        <f t="shared" si="6"/>
        <v/>
      </c>
      <c r="O82" s="1306" t="str">
        <f>IF(J82&lt;&gt;"",'I. Stream &amp; Compound Data'!AM281,"")</f>
        <v/>
      </c>
      <c r="P82" s="1287" t="str">
        <f t="shared" si="7"/>
        <v/>
      </c>
      <c r="Q82" s="1149" t="str">
        <f t="shared" si="8"/>
        <v/>
      </c>
      <c r="R82" s="297"/>
      <c r="S82" s="298"/>
      <c r="T82" s="298"/>
      <c r="U82" s="299"/>
      <c r="V82" s="279"/>
      <c r="W82" s="279"/>
      <c r="X82" s="279"/>
      <c r="Y82" s="279"/>
      <c r="Z82" s="279"/>
      <c r="AA82" s="279"/>
      <c r="AB82" s="279"/>
      <c r="AC82" s="279"/>
      <c r="AD82" s="279"/>
      <c r="AE82" s="279"/>
      <c r="AF82" s="279"/>
      <c r="AG82" s="279"/>
      <c r="AH82" s="279"/>
      <c r="AI82" s="279"/>
      <c r="AJ82" s="279"/>
      <c r="AK82" s="279"/>
      <c r="AL82" s="279"/>
      <c r="AM82" s="279"/>
      <c r="AN82" s="279"/>
      <c r="AO82" s="279"/>
      <c r="AP82" s="279"/>
      <c r="AQ82" s="279"/>
      <c r="AR82" s="279"/>
      <c r="AS82" s="279"/>
      <c r="AT82" s="279"/>
      <c r="AU82" s="279"/>
      <c r="AV82" s="279"/>
      <c r="AW82" s="279"/>
      <c r="AX82" s="279"/>
      <c r="AY82" s="279"/>
      <c r="AZ82" s="279"/>
      <c r="BA82" s="279"/>
      <c r="BB82" s="279"/>
      <c r="BC82" s="279"/>
      <c r="BD82" s="279"/>
      <c r="BE82" s="279"/>
      <c r="BF82" s="279"/>
      <c r="BG82" s="279"/>
      <c r="BH82" s="279"/>
      <c r="BI82" s="279"/>
      <c r="BJ82" s="279"/>
      <c r="BK82" s="279"/>
      <c r="BL82" s="279"/>
      <c r="BM82" s="279"/>
      <c r="BN82" s="279"/>
      <c r="BO82" s="279"/>
      <c r="BP82" s="279"/>
      <c r="BQ82" s="279"/>
      <c r="BR82" s="279"/>
      <c r="BS82" s="279"/>
      <c r="BT82" s="279"/>
      <c r="BU82" s="279"/>
      <c r="BV82" s="279"/>
      <c r="BW82" s="279"/>
      <c r="BX82" s="279"/>
      <c r="BY82" s="279"/>
      <c r="BZ82" s="279"/>
      <c r="CA82" s="279"/>
      <c r="CB82" s="279"/>
      <c r="CC82" s="279"/>
      <c r="CD82" s="279"/>
      <c r="CE82" s="279"/>
      <c r="CF82" s="279"/>
      <c r="CG82" s="279"/>
      <c r="CH82" s="279"/>
      <c r="CI82" s="279"/>
      <c r="CJ82" s="279"/>
      <c r="CK82" s="279"/>
      <c r="CL82" s="279"/>
      <c r="CM82" s="279"/>
      <c r="CN82" s="382"/>
    </row>
    <row r="83" ht="15.6" x14ac:dyDescent="0.3">
      <c r="B83" s="361"/>
      <c r="C83" s="279"/>
      <c r="D83" s="280"/>
      <c r="E83" s="287"/>
      <c r="F83" s="287"/>
      <c r="G83" s="287"/>
      <c r="H83" s="1292">
        <f t="shared" si="9"/>
        <v>21</v>
      </c>
      <c r="I83" s="1320" t="str">
        <f>IF('I. Stream &amp; Compound Data'!G282&lt;&gt;"",'I. Stream &amp; Compound Data'!G282,"")</f>
        <v/>
      </c>
      <c r="J83" s="1190" t="str">
        <f t="shared" si="3"/>
        <v/>
      </c>
      <c r="K83" s="1306" t="str">
        <f>IF('I. Stream &amp; Compound Data'!T282&lt;&gt;"",'I. Stream &amp; Compound Data'!T282,IF(OR('I. Stream &amp; Compound Data'!U282=1,'I. Stream &amp; Compound Data'!V282=1),0,""))</f>
        <v/>
      </c>
      <c r="L83" s="1190" t="str">
        <f t="shared" si="4"/>
        <v/>
      </c>
      <c r="M83" s="1242" t="str">
        <f t="shared" si="5"/>
        <v/>
      </c>
      <c r="N83" s="1242" t="str">
        <f t="shared" si="6"/>
        <v/>
      </c>
      <c r="O83" s="1306" t="str">
        <f>IF(J83&lt;&gt;"",'I. Stream &amp; Compound Data'!AM282,"")</f>
        <v/>
      </c>
      <c r="P83" s="1287" t="str">
        <f t="shared" si="7"/>
        <v/>
      </c>
      <c r="Q83" s="1149" t="str">
        <f t="shared" si="8"/>
        <v/>
      </c>
      <c r="R83" s="297"/>
      <c r="S83" s="298"/>
      <c r="T83" s="298"/>
      <c r="U83" s="299"/>
      <c r="V83" s="279"/>
      <c r="W83" s="279"/>
      <c r="X83" s="279"/>
      <c r="Y83" s="279"/>
      <c r="Z83" s="279"/>
      <c r="AA83" s="279"/>
      <c r="AB83" s="279"/>
      <c r="AC83" s="279"/>
      <c r="AD83" s="279"/>
      <c r="AE83" s="279"/>
      <c r="AF83" s="279"/>
      <c r="AG83" s="279"/>
      <c r="AH83" s="279"/>
      <c r="AI83" s="279"/>
      <c r="AJ83" s="279"/>
      <c r="AK83" s="279"/>
      <c r="AL83" s="279"/>
      <c r="AM83" s="279"/>
      <c r="AN83" s="279"/>
      <c r="AO83" s="279"/>
      <c r="AP83" s="279"/>
      <c r="AQ83" s="279"/>
      <c r="AR83" s="279"/>
      <c r="AS83" s="279"/>
      <c r="AT83" s="279"/>
      <c r="AU83" s="279"/>
      <c r="AV83" s="279"/>
      <c r="AW83" s="279"/>
      <c r="AX83" s="279"/>
      <c r="AY83" s="279"/>
      <c r="AZ83" s="279"/>
      <c r="BA83" s="279"/>
      <c r="BB83" s="279"/>
      <c r="BC83" s="279"/>
      <c r="BD83" s="279"/>
      <c r="BE83" s="279"/>
      <c r="BF83" s="279"/>
      <c r="BG83" s="279"/>
      <c r="BH83" s="279"/>
      <c r="BI83" s="279"/>
      <c r="BJ83" s="279"/>
      <c r="BK83" s="279"/>
      <c r="BL83" s="279"/>
      <c r="BM83" s="279"/>
      <c r="BN83" s="279"/>
      <c r="BO83" s="279"/>
      <c r="BP83" s="279"/>
      <c r="BQ83" s="279"/>
      <c r="BR83" s="279"/>
      <c r="BS83" s="279"/>
      <c r="BT83" s="279"/>
      <c r="BU83" s="279"/>
      <c r="BV83" s="279"/>
      <c r="BW83" s="279"/>
      <c r="BX83" s="279"/>
      <c r="BY83" s="279"/>
      <c r="BZ83" s="279"/>
      <c r="CA83" s="279"/>
      <c r="CB83" s="279"/>
      <c r="CC83" s="279"/>
      <c r="CD83" s="279"/>
      <c r="CE83" s="279"/>
      <c r="CF83" s="279"/>
      <c r="CG83" s="279"/>
      <c r="CH83" s="279"/>
      <c r="CI83" s="279"/>
      <c r="CJ83" s="279"/>
      <c r="CK83" s="279"/>
      <c r="CL83" s="279"/>
      <c r="CM83" s="279"/>
      <c r="CN83" s="382"/>
    </row>
    <row r="84" ht="15.6" x14ac:dyDescent="0.3">
      <c r="B84" s="361"/>
      <c r="C84" s="279"/>
      <c r="D84" s="280"/>
      <c r="E84" s="287"/>
      <c r="F84" s="287"/>
      <c r="G84" s="287"/>
      <c r="H84" s="1292">
        <f t="shared" si="9"/>
        <v>22</v>
      </c>
      <c r="I84" s="1320" t="str">
        <f>IF('I. Stream &amp; Compound Data'!G283&lt;&gt;"",'I. Stream &amp; Compound Data'!G283,"")</f>
        <v/>
      </c>
      <c r="J84" s="1190" t="str">
        <f t="shared" si="3"/>
        <v/>
      </c>
      <c r="K84" s="1306" t="str">
        <f>IF('I. Stream &amp; Compound Data'!T283&lt;&gt;"",'I. Stream &amp; Compound Data'!T283,IF(OR('I. Stream &amp; Compound Data'!U283=1,'I. Stream &amp; Compound Data'!V283=1),0,""))</f>
        <v/>
      </c>
      <c r="L84" s="1190" t="str">
        <f t="shared" si="4"/>
        <v/>
      </c>
      <c r="M84" s="1242" t="str">
        <f t="shared" si="5"/>
        <v/>
      </c>
      <c r="N84" s="1242" t="str">
        <f t="shared" si="6"/>
        <v/>
      </c>
      <c r="O84" s="1306" t="str">
        <f>IF(J84&lt;&gt;"",'I. Stream &amp; Compound Data'!AM283,"")</f>
        <v/>
      </c>
      <c r="P84" s="1287" t="str">
        <f t="shared" si="7"/>
        <v/>
      </c>
      <c r="Q84" s="1149" t="str">
        <f t="shared" si="8"/>
        <v/>
      </c>
      <c r="R84" s="297"/>
      <c r="S84" s="298"/>
      <c r="T84" s="298"/>
      <c r="U84" s="299"/>
      <c r="V84" s="279"/>
      <c r="W84" s="279"/>
      <c r="X84" s="279"/>
      <c r="Y84" s="279"/>
      <c r="Z84" s="279"/>
      <c r="AA84" s="279"/>
      <c r="AB84" s="279"/>
      <c r="AC84" s="279"/>
      <c r="AD84" s="279"/>
      <c r="AE84" s="279"/>
      <c r="AF84" s="279"/>
      <c r="AG84" s="279"/>
      <c r="AH84" s="279"/>
      <c r="AI84" s="279"/>
      <c r="AJ84" s="279"/>
      <c r="AK84" s="279"/>
      <c r="AL84" s="279"/>
      <c r="AM84" s="279"/>
      <c r="AN84" s="279"/>
      <c r="AO84" s="279"/>
      <c r="AP84" s="279"/>
      <c r="AQ84" s="279"/>
      <c r="AR84" s="279"/>
      <c r="AS84" s="279"/>
      <c r="AT84" s="279"/>
      <c r="AU84" s="279"/>
      <c r="AV84" s="279"/>
      <c r="AW84" s="279"/>
      <c r="AX84" s="279"/>
      <c r="AY84" s="279"/>
      <c r="AZ84" s="279"/>
      <c r="BA84" s="279"/>
      <c r="BB84" s="279"/>
      <c r="BC84" s="279"/>
      <c r="BD84" s="279"/>
      <c r="BE84" s="279"/>
      <c r="BF84" s="279"/>
      <c r="BG84" s="279"/>
      <c r="BH84" s="279"/>
      <c r="BI84" s="279"/>
      <c r="BJ84" s="279"/>
      <c r="BK84" s="279"/>
      <c r="BL84" s="279"/>
      <c r="BM84" s="279"/>
      <c r="BN84" s="279"/>
      <c r="BO84" s="279"/>
      <c r="BP84" s="279"/>
      <c r="BQ84" s="279"/>
      <c r="BR84" s="279"/>
      <c r="BS84" s="279"/>
      <c r="BT84" s="279"/>
      <c r="BU84" s="279"/>
      <c r="BV84" s="279"/>
      <c r="BW84" s="279"/>
      <c r="BX84" s="279"/>
      <c r="BY84" s="279"/>
      <c r="BZ84" s="279"/>
      <c r="CA84" s="279"/>
      <c r="CB84" s="279"/>
      <c r="CC84" s="279"/>
      <c r="CD84" s="279"/>
      <c r="CE84" s="279"/>
      <c r="CF84" s="279"/>
      <c r="CG84" s="279"/>
      <c r="CH84" s="279"/>
      <c r="CI84" s="279"/>
      <c r="CJ84" s="279"/>
      <c r="CK84" s="279"/>
      <c r="CL84" s="279"/>
      <c r="CM84" s="279"/>
      <c r="CN84" s="382"/>
    </row>
    <row r="85" ht="15.6" x14ac:dyDescent="0.3">
      <c r="B85" s="361"/>
      <c r="C85" s="279"/>
      <c r="D85" s="280"/>
      <c r="E85" s="287"/>
      <c r="F85" s="287"/>
      <c r="G85" s="287"/>
      <c r="H85" s="1292">
        <f t="shared" si="9"/>
        <v>23</v>
      </c>
      <c r="I85" s="1320" t="str">
        <f>IF('I. Stream &amp; Compound Data'!G284&lt;&gt;"",'I. Stream &amp; Compound Data'!G284,"")</f>
        <v/>
      </c>
      <c r="J85" s="1190" t="str">
        <f t="shared" si="3"/>
        <v/>
      </c>
      <c r="K85" s="1306" t="str">
        <f>IF('I. Stream &amp; Compound Data'!T284&lt;&gt;"",'I. Stream &amp; Compound Data'!T284,IF(OR('I. Stream &amp; Compound Data'!U284=1,'I. Stream &amp; Compound Data'!V284=1),0,""))</f>
        <v/>
      </c>
      <c r="L85" s="1190" t="str">
        <f t="shared" si="4"/>
        <v/>
      </c>
      <c r="M85" s="1242" t="str">
        <f t="shared" si="5"/>
        <v/>
      </c>
      <c r="N85" s="1242" t="str">
        <f t="shared" si="6"/>
        <v/>
      </c>
      <c r="O85" s="1306" t="str">
        <f>IF(J85&lt;&gt;"",'I. Stream &amp; Compound Data'!AM284,"")</f>
        <v/>
      </c>
      <c r="P85" s="1287" t="str">
        <f t="shared" si="7"/>
        <v/>
      </c>
      <c r="Q85" s="1149" t="str">
        <f t="shared" si="8"/>
        <v/>
      </c>
      <c r="R85" s="297"/>
      <c r="S85" s="298"/>
      <c r="T85" s="298"/>
      <c r="U85" s="299"/>
      <c r="V85" s="279"/>
      <c r="W85" s="279"/>
      <c r="X85" s="279"/>
      <c r="Y85" s="279"/>
      <c r="Z85" s="279"/>
      <c r="AA85" s="279"/>
      <c r="AB85" s="279"/>
      <c r="AC85" s="279"/>
      <c r="AD85" s="279"/>
      <c r="AE85" s="279"/>
      <c r="AF85" s="279"/>
      <c r="AG85" s="279"/>
      <c r="AH85" s="279"/>
      <c r="AI85" s="279"/>
      <c r="AJ85" s="279"/>
      <c r="AK85" s="279"/>
      <c r="AL85" s="279"/>
      <c r="AM85" s="279"/>
      <c r="AN85" s="279"/>
      <c r="AO85" s="279"/>
      <c r="AP85" s="279"/>
      <c r="AQ85" s="279"/>
      <c r="AR85" s="279"/>
      <c r="AS85" s="279"/>
      <c r="AT85" s="279"/>
      <c r="AU85" s="279"/>
      <c r="AV85" s="279"/>
      <c r="AW85" s="279"/>
      <c r="AX85" s="279"/>
      <c r="AY85" s="279"/>
      <c r="AZ85" s="279"/>
      <c r="BA85" s="279"/>
      <c r="BB85" s="279"/>
      <c r="BC85" s="279"/>
      <c r="BD85" s="279"/>
      <c r="BE85" s="279"/>
      <c r="BF85" s="279"/>
      <c r="BG85" s="279"/>
      <c r="BH85" s="279"/>
      <c r="BI85" s="279"/>
      <c r="BJ85" s="279"/>
      <c r="BK85" s="279"/>
      <c r="BL85" s="279"/>
      <c r="BM85" s="279"/>
      <c r="BN85" s="279"/>
      <c r="BO85" s="279"/>
      <c r="BP85" s="279"/>
      <c r="BQ85" s="279"/>
      <c r="BR85" s="279"/>
      <c r="BS85" s="279"/>
      <c r="BT85" s="279"/>
      <c r="BU85" s="279"/>
      <c r="BV85" s="279"/>
      <c r="BW85" s="279"/>
      <c r="BX85" s="279"/>
      <c r="BY85" s="279"/>
      <c r="BZ85" s="279"/>
      <c r="CA85" s="279"/>
      <c r="CB85" s="279"/>
      <c r="CC85" s="279"/>
      <c r="CD85" s="279"/>
      <c r="CE85" s="279"/>
      <c r="CF85" s="279"/>
      <c r="CG85" s="279"/>
      <c r="CH85" s="279"/>
      <c r="CI85" s="279"/>
      <c r="CJ85" s="279"/>
      <c r="CK85" s="279"/>
      <c r="CL85" s="279"/>
      <c r="CM85" s="279"/>
      <c r="CN85" s="382"/>
    </row>
    <row r="86" ht="15.6" x14ac:dyDescent="0.3">
      <c r="B86" s="361"/>
      <c r="C86" s="279"/>
      <c r="D86" s="280"/>
      <c r="E86" s="287"/>
      <c r="F86" s="287"/>
      <c r="G86" s="287"/>
      <c r="H86" s="1292">
        <f t="shared" si="9"/>
        <v>24</v>
      </c>
      <c r="I86" s="1320" t="str">
        <f>IF('I. Stream &amp; Compound Data'!G285&lt;&gt;"",'I. Stream &amp; Compound Data'!G285,"")</f>
        <v/>
      </c>
      <c r="J86" s="1190" t="str">
        <f t="shared" si="3"/>
        <v/>
      </c>
      <c r="K86" s="1306" t="str">
        <f>IF('I. Stream &amp; Compound Data'!T285&lt;&gt;"",'I. Stream &amp; Compound Data'!T285,IF(OR('I. Stream &amp; Compound Data'!U285=1,'I. Stream &amp; Compound Data'!V285=1),0,""))</f>
        <v/>
      </c>
      <c r="L86" s="1190" t="str">
        <f t="shared" si="4"/>
        <v/>
      </c>
      <c r="M86" s="1242" t="str">
        <f t="shared" si="5"/>
        <v/>
      </c>
      <c r="N86" s="1242" t="str">
        <f t="shared" si="6"/>
        <v/>
      </c>
      <c r="O86" s="1306" t="str">
        <f>IF(J86&lt;&gt;"",'I. Stream &amp; Compound Data'!AM285,"")</f>
        <v/>
      </c>
      <c r="P86" s="1287" t="str">
        <f t="shared" si="7"/>
        <v/>
      </c>
      <c r="Q86" s="1149" t="str">
        <f t="shared" si="8"/>
        <v/>
      </c>
      <c r="R86" s="297"/>
      <c r="S86" s="298"/>
      <c r="T86" s="298"/>
      <c r="U86" s="299"/>
      <c r="V86" s="279"/>
      <c r="W86" s="279"/>
      <c r="X86" s="279"/>
      <c r="Y86" s="279"/>
      <c r="Z86" s="279"/>
      <c r="AA86" s="279"/>
      <c r="AB86" s="279"/>
      <c r="AC86" s="279"/>
      <c r="AD86" s="279"/>
      <c r="AE86" s="279"/>
      <c r="AF86" s="279"/>
      <c r="AG86" s="279"/>
      <c r="AH86" s="279"/>
      <c r="AI86" s="279"/>
      <c r="AJ86" s="279"/>
      <c r="AK86" s="279"/>
      <c r="AL86" s="279"/>
      <c r="AM86" s="279"/>
      <c r="AN86" s="279"/>
      <c r="AO86" s="279"/>
      <c r="AP86" s="279"/>
      <c r="AQ86" s="279"/>
      <c r="AR86" s="279"/>
      <c r="AS86" s="279"/>
      <c r="AT86" s="279"/>
      <c r="AU86" s="279"/>
      <c r="AV86" s="279"/>
      <c r="AW86" s="279"/>
      <c r="AX86" s="279"/>
      <c r="AY86" s="279"/>
      <c r="AZ86" s="279"/>
      <c r="BA86" s="279"/>
      <c r="BB86" s="279"/>
      <c r="BC86" s="279"/>
      <c r="BD86" s="279"/>
      <c r="BE86" s="279"/>
      <c r="BF86" s="279"/>
      <c r="BG86" s="279"/>
      <c r="BH86" s="279"/>
      <c r="BI86" s="279"/>
      <c r="BJ86" s="279"/>
      <c r="BK86" s="279"/>
      <c r="BL86" s="279"/>
      <c r="BM86" s="279"/>
      <c r="BN86" s="279"/>
      <c r="BO86" s="279"/>
      <c r="BP86" s="279"/>
      <c r="BQ86" s="279"/>
      <c r="BR86" s="279"/>
      <c r="BS86" s="279"/>
      <c r="BT86" s="279"/>
      <c r="BU86" s="279"/>
      <c r="BV86" s="279"/>
      <c r="BW86" s="279"/>
      <c r="BX86" s="279"/>
      <c r="BY86" s="279"/>
      <c r="BZ86" s="279"/>
      <c r="CA86" s="279"/>
      <c r="CB86" s="279"/>
      <c r="CC86" s="279"/>
      <c r="CD86" s="279"/>
      <c r="CE86" s="279"/>
      <c r="CF86" s="279"/>
      <c r="CG86" s="279"/>
      <c r="CH86" s="279"/>
      <c r="CI86" s="279"/>
      <c r="CJ86" s="279"/>
      <c r="CK86" s="279"/>
      <c r="CL86" s="279"/>
      <c r="CM86" s="279"/>
      <c r="CN86" s="382"/>
    </row>
    <row r="87" ht="15.6" x14ac:dyDescent="0.3">
      <c r="B87" s="361"/>
      <c r="C87" s="279"/>
      <c r="D87" s="280"/>
      <c r="E87" s="287"/>
      <c r="F87" s="287"/>
      <c r="G87" s="287"/>
      <c r="H87" s="1292">
        <f t="shared" si="9"/>
        <v>25</v>
      </c>
      <c r="I87" s="1320" t="str">
        <f>IF('I. Stream &amp; Compound Data'!G286&lt;&gt;"",'I. Stream &amp; Compound Data'!G286,"")</f>
        <v/>
      </c>
      <c r="J87" s="1190" t="str">
        <f t="shared" si="3"/>
        <v/>
      </c>
      <c r="K87" s="1306" t="str">
        <f>IF('I. Stream &amp; Compound Data'!T286&lt;&gt;"",'I. Stream &amp; Compound Data'!T286,IF(OR('I. Stream &amp; Compound Data'!U286=1,'I. Stream &amp; Compound Data'!V286=1),0,""))</f>
        <v/>
      </c>
      <c r="L87" s="1190" t="str">
        <f t="shared" si="4"/>
        <v/>
      </c>
      <c r="M87" s="1242" t="str">
        <f t="shared" si="5"/>
        <v/>
      </c>
      <c r="N87" s="1242" t="str">
        <f t="shared" si="6"/>
        <v/>
      </c>
      <c r="O87" s="1306" t="str">
        <f>IF(J87&lt;&gt;"",'I. Stream &amp; Compound Data'!AM286,"")</f>
        <v/>
      </c>
      <c r="P87" s="1287" t="str">
        <f t="shared" si="7"/>
        <v/>
      </c>
      <c r="Q87" s="1149" t="str">
        <f t="shared" si="8"/>
        <v/>
      </c>
      <c r="R87" s="297"/>
      <c r="S87" s="298"/>
      <c r="T87" s="298"/>
      <c r="U87" s="299"/>
      <c r="V87" s="279"/>
      <c r="W87" s="279"/>
      <c r="X87" s="279"/>
      <c r="Y87" s="279"/>
      <c r="Z87" s="279"/>
      <c r="AA87" s="279"/>
      <c r="AB87" s="279"/>
      <c r="AC87" s="279"/>
      <c r="AD87" s="279"/>
      <c r="AE87" s="279"/>
      <c r="AF87" s="279"/>
      <c r="AG87" s="279"/>
      <c r="AH87" s="279"/>
      <c r="AI87" s="279"/>
      <c r="AJ87" s="279"/>
      <c r="AK87" s="279"/>
      <c r="AL87" s="279"/>
      <c r="AM87" s="279"/>
      <c r="AN87" s="279"/>
      <c r="AO87" s="279"/>
      <c r="AP87" s="279"/>
      <c r="AQ87" s="279"/>
      <c r="AR87" s="279"/>
      <c r="AS87" s="279"/>
      <c r="AT87" s="279"/>
      <c r="AU87" s="279"/>
      <c r="AV87" s="279"/>
      <c r="AW87" s="279"/>
      <c r="AX87" s="279"/>
      <c r="AY87" s="279"/>
      <c r="AZ87" s="279"/>
      <c r="BA87" s="279"/>
      <c r="BB87" s="279"/>
      <c r="BC87" s="279"/>
      <c r="BD87" s="279"/>
      <c r="BE87" s="279"/>
      <c r="BF87" s="279"/>
      <c r="BG87" s="279"/>
      <c r="BH87" s="279"/>
      <c r="BI87" s="279"/>
      <c r="BJ87" s="279"/>
      <c r="BK87" s="279"/>
      <c r="BL87" s="279"/>
      <c r="BM87" s="279"/>
      <c r="BN87" s="279"/>
      <c r="BO87" s="279"/>
      <c r="BP87" s="279"/>
      <c r="BQ87" s="279"/>
      <c r="BR87" s="279"/>
      <c r="BS87" s="279"/>
      <c r="BT87" s="279"/>
      <c r="BU87" s="279"/>
      <c r="BV87" s="279"/>
      <c r="BW87" s="279"/>
      <c r="BX87" s="279"/>
      <c r="BY87" s="279"/>
      <c r="BZ87" s="279"/>
      <c r="CA87" s="279"/>
      <c r="CB87" s="279"/>
      <c r="CC87" s="279"/>
      <c r="CD87" s="279"/>
      <c r="CE87" s="279"/>
      <c r="CF87" s="279"/>
      <c r="CG87" s="279"/>
      <c r="CH87" s="279"/>
      <c r="CI87" s="279"/>
      <c r="CJ87" s="279"/>
      <c r="CK87" s="279"/>
      <c r="CL87" s="279"/>
      <c r="CM87" s="279"/>
      <c r="CN87" s="382"/>
    </row>
    <row r="88" ht="15.6" x14ac:dyDescent="0.3">
      <c r="B88" s="361"/>
      <c r="C88" s="279"/>
      <c r="D88" s="280"/>
      <c r="E88" s="287"/>
      <c r="F88" s="287"/>
      <c r="G88" s="287"/>
      <c r="H88" s="1292">
        <f t="shared" si="9"/>
        <v>26</v>
      </c>
      <c r="I88" s="1320" t="str">
        <f>IF('I. Stream &amp; Compound Data'!G287&lt;&gt;"",'I. Stream &amp; Compound Data'!G287,"")</f>
        <v/>
      </c>
      <c r="J88" s="1190" t="str">
        <f t="shared" si="3"/>
        <v/>
      </c>
      <c r="K88" s="1306" t="str">
        <f>IF('I. Stream &amp; Compound Data'!T287&lt;&gt;"",'I. Stream &amp; Compound Data'!T287,IF(OR('I. Stream &amp; Compound Data'!U287=1,'I. Stream &amp; Compound Data'!V287=1),0,""))</f>
        <v/>
      </c>
      <c r="L88" s="1190" t="str">
        <f t="shared" si="4"/>
        <v/>
      </c>
      <c r="M88" s="1242" t="str">
        <f t="shared" si="5"/>
        <v/>
      </c>
      <c r="N88" s="1242" t="str">
        <f t="shared" si="6"/>
        <v/>
      </c>
      <c r="O88" s="1306" t="str">
        <f>IF(J88&lt;&gt;"",'I. Stream &amp; Compound Data'!AM287,"")</f>
        <v/>
      </c>
      <c r="P88" s="1287" t="str">
        <f t="shared" si="7"/>
        <v/>
      </c>
      <c r="Q88" s="1149" t="str">
        <f t="shared" si="8"/>
        <v/>
      </c>
      <c r="R88" s="297"/>
      <c r="S88" s="298"/>
      <c r="T88" s="298"/>
      <c r="U88" s="299"/>
      <c r="V88" s="279"/>
      <c r="W88" s="279"/>
      <c r="X88" s="279"/>
      <c r="Y88" s="279"/>
      <c r="Z88" s="279"/>
      <c r="AA88" s="279"/>
      <c r="AB88" s="279"/>
      <c r="AC88" s="279"/>
      <c r="AD88" s="279"/>
      <c r="AE88" s="279"/>
      <c r="AF88" s="279"/>
      <c r="AG88" s="279"/>
      <c r="AH88" s="279"/>
      <c r="AI88" s="279"/>
      <c r="AJ88" s="279"/>
      <c r="AK88" s="279"/>
      <c r="AL88" s="279"/>
      <c r="AM88" s="279"/>
      <c r="AN88" s="279"/>
      <c r="AO88" s="279"/>
      <c r="AP88" s="279"/>
      <c r="AQ88" s="279"/>
      <c r="AR88" s="279"/>
      <c r="AS88" s="279"/>
      <c r="AT88" s="279"/>
      <c r="AU88" s="279"/>
      <c r="AV88" s="279"/>
      <c r="AW88" s="279"/>
      <c r="AX88" s="279"/>
      <c r="AY88" s="279"/>
      <c r="AZ88" s="279"/>
      <c r="BA88" s="279"/>
      <c r="BB88" s="279"/>
      <c r="BC88" s="279"/>
      <c r="BD88" s="279"/>
      <c r="BE88" s="279"/>
      <c r="BF88" s="279"/>
      <c r="BG88" s="279"/>
      <c r="BH88" s="279"/>
      <c r="BI88" s="279"/>
      <c r="BJ88" s="279"/>
      <c r="BK88" s="279"/>
      <c r="BL88" s="279"/>
      <c r="BM88" s="279"/>
      <c r="BN88" s="279"/>
      <c r="BO88" s="279"/>
      <c r="BP88" s="279"/>
      <c r="BQ88" s="279"/>
      <c r="BR88" s="279"/>
      <c r="BS88" s="279"/>
      <c r="BT88" s="279"/>
      <c r="BU88" s="279"/>
      <c r="BV88" s="279"/>
      <c r="BW88" s="279"/>
      <c r="BX88" s="279"/>
      <c r="BY88" s="279"/>
      <c r="BZ88" s="279"/>
      <c r="CA88" s="279"/>
      <c r="CB88" s="279"/>
      <c r="CC88" s="279"/>
      <c r="CD88" s="279"/>
      <c r="CE88" s="279"/>
      <c r="CF88" s="279"/>
      <c r="CG88" s="279"/>
      <c r="CH88" s="279"/>
      <c r="CI88" s="279"/>
      <c r="CJ88" s="279"/>
      <c r="CK88" s="279"/>
      <c r="CL88" s="279"/>
      <c r="CM88" s="279"/>
      <c r="CN88" s="382"/>
    </row>
    <row r="89" ht="15.6" x14ac:dyDescent="0.3">
      <c r="B89" s="361"/>
      <c r="C89" s="279"/>
      <c r="D89" s="280"/>
      <c r="E89" s="287"/>
      <c r="F89" s="287"/>
      <c r="G89" s="287"/>
      <c r="H89" s="1292">
        <f t="shared" si="9"/>
        <v>27</v>
      </c>
      <c r="I89" s="1320" t="str">
        <f>IF('I. Stream &amp; Compound Data'!G288&lt;&gt;"",'I. Stream &amp; Compound Data'!G288,"")</f>
        <v/>
      </c>
      <c r="J89" s="1190" t="str">
        <f t="shared" si="3"/>
        <v/>
      </c>
      <c r="K89" s="1306" t="str">
        <f>IF('I. Stream &amp; Compound Data'!T288&lt;&gt;"",'I. Stream &amp; Compound Data'!T288,IF(OR('I. Stream &amp; Compound Data'!U288=1,'I. Stream &amp; Compound Data'!V288=1),0,""))</f>
        <v/>
      </c>
      <c r="L89" s="1190" t="str">
        <f t="shared" si="4"/>
        <v/>
      </c>
      <c r="M89" s="1242" t="str">
        <f t="shared" si="5"/>
        <v/>
      </c>
      <c r="N89" s="1242" t="str">
        <f t="shared" si="6"/>
        <v/>
      </c>
      <c r="O89" s="1306" t="str">
        <f>IF(J89&lt;&gt;"",'I. Stream &amp; Compound Data'!AM288,"")</f>
        <v/>
      </c>
      <c r="P89" s="1287" t="str">
        <f t="shared" si="7"/>
        <v/>
      </c>
      <c r="Q89" s="1149" t="str">
        <f t="shared" si="8"/>
        <v/>
      </c>
      <c r="R89" s="297"/>
      <c r="S89" s="298"/>
      <c r="T89" s="298"/>
      <c r="U89" s="299"/>
      <c r="V89" s="279"/>
      <c r="W89" s="279"/>
      <c r="X89" s="279"/>
      <c r="Y89" s="279"/>
      <c r="Z89" s="279"/>
      <c r="AA89" s="279"/>
      <c r="AB89" s="279"/>
      <c r="AC89" s="279"/>
      <c r="AD89" s="279"/>
      <c r="AE89" s="279"/>
      <c r="AF89" s="279"/>
      <c r="AG89" s="279"/>
      <c r="AH89" s="279"/>
      <c r="AI89" s="279"/>
      <c r="AJ89" s="279"/>
      <c r="AK89" s="279"/>
      <c r="AL89" s="279"/>
      <c r="AM89" s="279"/>
      <c r="AN89" s="279"/>
      <c r="AO89" s="279"/>
      <c r="AP89" s="279"/>
      <c r="AQ89" s="279"/>
      <c r="AR89" s="279"/>
      <c r="AS89" s="279"/>
      <c r="AT89" s="279"/>
      <c r="AU89" s="279"/>
      <c r="AV89" s="279"/>
      <c r="AW89" s="279"/>
      <c r="AX89" s="279"/>
      <c r="AY89" s="279"/>
      <c r="AZ89" s="279"/>
      <c r="BA89" s="279"/>
      <c r="BB89" s="279"/>
      <c r="BC89" s="279"/>
      <c r="BD89" s="279"/>
      <c r="BE89" s="279"/>
      <c r="BF89" s="279"/>
      <c r="BG89" s="279"/>
      <c r="BH89" s="279"/>
      <c r="BI89" s="279"/>
      <c r="BJ89" s="279"/>
      <c r="BK89" s="279"/>
      <c r="BL89" s="279"/>
      <c r="BM89" s="279"/>
      <c r="BN89" s="279"/>
      <c r="BO89" s="279"/>
      <c r="BP89" s="279"/>
      <c r="BQ89" s="279"/>
      <c r="BR89" s="279"/>
      <c r="BS89" s="279"/>
      <c r="BT89" s="279"/>
      <c r="BU89" s="279"/>
      <c r="BV89" s="279"/>
      <c r="BW89" s="279"/>
      <c r="BX89" s="279"/>
      <c r="BY89" s="279"/>
      <c r="BZ89" s="279"/>
      <c r="CA89" s="279"/>
      <c r="CB89" s="279"/>
      <c r="CC89" s="279"/>
      <c r="CD89" s="279"/>
      <c r="CE89" s="279"/>
      <c r="CF89" s="279"/>
      <c r="CG89" s="279"/>
      <c r="CH89" s="279"/>
      <c r="CI89" s="279"/>
      <c r="CJ89" s="279"/>
      <c r="CK89" s="279"/>
      <c r="CL89" s="279"/>
      <c r="CM89" s="279"/>
      <c r="CN89" s="382"/>
    </row>
    <row r="90" ht="15.6" x14ac:dyDescent="0.3">
      <c r="B90" s="361"/>
      <c r="C90" s="279"/>
      <c r="D90" s="280"/>
      <c r="E90" s="287"/>
      <c r="F90" s="287"/>
      <c r="G90" s="287"/>
      <c r="H90" s="1292">
        <f t="shared" si="9"/>
        <v>28</v>
      </c>
      <c r="I90" s="1320" t="str">
        <f>IF('I. Stream &amp; Compound Data'!G289&lt;&gt;"",'I. Stream &amp; Compound Data'!G289,"")</f>
        <v/>
      </c>
      <c r="J90" s="1190" t="str">
        <f t="shared" si="3"/>
        <v/>
      </c>
      <c r="K90" s="1306" t="str">
        <f>IF('I. Stream &amp; Compound Data'!T289&lt;&gt;"",'I. Stream &amp; Compound Data'!T289,IF(OR('I. Stream &amp; Compound Data'!U289=1,'I. Stream &amp; Compound Data'!V289=1),0,""))</f>
        <v/>
      </c>
      <c r="L90" s="1190" t="str">
        <f t="shared" si="4"/>
        <v/>
      </c>
      <c r="M90" s="1242" t="str">
        <f t="shared" si="5"/>
        <v/>
      </c>
      <c r="N90" s="1242" t="str">
        <f t="shared" si="6"/>
        <v/>
      </c>
      <c r="O90" s="1306" t="str">
        <f>IF(J90&lt;&gt;"",'I. Stream &amp; Compound Data'!AM289,"")</f>
        <v/>
      </c>
      <c r="P90" s="1287" t="str">
        <f t="shared" si="7"/>
        <v/>
      </c>
      <c r="Q90" s="1149" t="str">
        <f t="shared" si="8"/>
        <v/>
      </c>
      <c r="R90" s="297"/>
      <c r="S90" s="298"/>
      <c r="T90" s="298"/>
      <c r="U90" s="299"/>
      <c r="V90" s="279"/>
      <c r="W90" s="279"/>
      <c r="X90" s="279"/>
      <c r="Y90" s="279"/>
      <c r="Z90" s="279"/>
      <c r="AA90" s="279"/>
      <c r="AB90" s="279"/>
      <c r="AC90" s="279"/>
      <c r="AD90" s="279"/>
      <c r="AE90" s="279"/>
      <c r="AF90" s="279"/>
      <c r="AG90" s="279"/>
      <c r="AH90" s="279"/>
      <c r="AI90" s="279"/>
      <c r="AJ90" s="279"/>
      <c r="AK90" s="279"/>
      <c r="AL90" s="279"/>
      <c r="AM90" s="279"/>
      <c r="AN90" s="279"/>
      <c r="AO90" s="279"/>
      <c r="AP90" s="279"/>
      <c r="AQ90" s="279"/>
      <c r="AR90" s="279"/>
      <c r="AS90" s="279"/>
      <c r="AT90" s="279"/>
      <c r="AU90" s="279"/>
      <c r="AV90" s="279"/>
      <c r="AW90" s="279"/>
      <c r="AX90" s="279"/>
      <c r="AY90" s="279"/>
      <c r="AZ90" s="279"/>
      <c r="BA90" s="279"/>
      <c r="BB90" s="279"/>
      <c r="BC90" s="279"/>
      <c r="BD90" s="279"/>
      <c r="BE90" s="279"/>
      <c r="BF90" s="279"/>
      <c r="BG90" s="279"/>
      <c r="BH90" s="279"/>
      <c r="BI90" s="279"/>
      <c r="BJ90" s="279"/>
      <c r="BK90" s="279"/>
      <c r="BL90" s="279"/>
      <c r="BM90" s="279"/>
      <c r="BN90" s="279"/>
      <c r="BO90" s="279"/>
      <c r="BP90" s="279"/>
      <c r="BQ90" s="279"/>
      <c r="BR90" s="279"/>
      <c r="BS90" s="279"/>
      <c r="BT90" s="279"/>
      <c r="BU90" s="279"/>
      <c r="BV90" s="279"/>
      <c r="BW90" s="279"/>
      <c r="BX90" s="279"/>
      <c r="BY90" s="279"/>
      <c r="BZ90" s="279"/>
      <c r="CA90" s="279"/>
      <c r="CB90" s="279"/>
      <c r="CC90" s="279"/>
      <c r="CD90" s="279"/>
      <c r="CE90" s="279"/>
      <c r="CF90" s="279"/>
      <c r="CG90" s="279"/>
      <c r="CH90" s="279"/>
      <c r="CI90" s="279"/>
      <c r="CJ90" s="279"/>
      <c r="CK90" s="279"/>
      <c r="CL90" s="279"/>
      <c r="CM90" s="279"/>
      <c r="CN90" s="382"/>
    </row>
    <row r="91" ht="15.6" x14ac:dyDescent="0.3">
      <c r="B91" s="361"/>
      <c r="C91" s="279"/>
      <c r="D91" s="280"/>
      <c r="E91" s="287"/>
      <c r="F91" s="287"/>
      <c r="G91" s="287"/>
      <c r="H91" s="1292">
        <f t="shared" si="9"/>
        <v>29</v>
      </c>
      <c r="I91" s="1320" t="str">
        <f>IF('I. Stream &amp; Compound Data'!G290&lt;&gt;"",'I. Stream &amp; Compound Data'!G290,"")</f>
        <v/>
      </c>
      <c r="J91" s="1190" t="str">
        <f t="shared" si="3"/>
        <v/>
      </c>
      <c r="K91" s="1306" t="str">
        <f>IF('I. Stream &amp; Compound Data'!T290&lt;&gt;"",'I. Stream &amp; Compound Data'!T290,IF(OR('I. Stream &amp; Compound Data'!U290=1,'I. Stream &amp; Compound Data'!V290=1),0,""))</f>
        <v/>
      </c>
      <c r="L91" s="1190" t="str">
        <f t="shared" si="4"/>
        <v/>
      </c>
      <c r="M91" s="1242" t="str">
        <f t="shared" si="5"/>
        <v/>
      </c>
      <c r="N91" s="1242" t="str">
        <f t="shared" si="6"/>
        <v/>
      </c>
      <c r="O91" s="1306" t="str">
        <f>IF(J91&lt;&gt;"",'I. Stream &amp; Compound Data'!AM290,"")</f>
        <v/>
      </c>
      <c r="P91" s="1287" t="str">
        <f t="shared" si="7"/>
        <v/>
      </c>
      <c r="Q91" s="1149" t="str">
        <f t="shared" si="8"/>
        <v/>
      </c>
      <c r="R91" s="297"/>
      <c r="S91" s="298"/>
      <c r="T91" s="298"/>
      <c r="U91" s="299"/>
      <c r="V91" s="279"/>
      <c r="W91" s="279"/>
      <c r="X91" s="279"/>
      <c r="Y91" s="279"/>
      <c r="Z91" s="279"/>
      <c r="AA91" s="279"/>
      <c r="AB91" s="279"/>
      <c r="AC91" s="279"/>
      <c r="AD91" s="279"/>
      <c r="AE91" s="279"/>
      <c r="AF91" s="279"/>
      <c r="AG91" s="279"/>
      <c r="AH91" s="279"/>
      <c r="AI91" s="279"/>
      <c r="AJ91" s="279"/>
      <c r="AK91" s="279"/>
      <c r="AL91" s="279"/>
      <c r="AM91" s="279"/>
      <c r="AN91" s="279"/>
      <c r="AO91" s="279"/>
      <c r="AP91" s="279"/>
      <c r="AQ91" s="279"/>
      <c r="AR91" s="279"/>
      <c r="AS91" s="279"/>
      <c r="AT91" s="279"/>
      <c r="AU91" s="279"/>
      <c r="AV91" s="279"/>
      <c r="AW91" s="279"/>
      <c r="AX91" s="279"/>
      <c r="AY91" s="279"/>
      <c r="AZ91" s="279"/>
      <c r="BA91" s="279"/>
      <c r="BB91" s="279"/>
      <c r="BC91" s="279"/>
      <c r="BD91" s="279"/>
      <c r="BE91" s="279"/>
      <c r="BF91" s="279"/>
      <c r="BG91" s="279"/>
      <c r="BH91" s="279"/>
      <c r="BI91" s="279"/>
      <c r="BJ91" s="279"/>
      <c r="BK91" s="279"/>
      <c r="BL91" s="279"/>
      <c r="BM91" s="279"/>
      <c r="BN91" s="279"/>
      <c r="BO91" s="279"/>
      <c r="BP91" s="279"/>
      <c r="BQ91" s="279"/>
      <c r="BR91" s="279"/>
      <c r="BS91" s="279"/>
      <c r="BT91" s="279"/>
      <c r="BU91" s="279"/>
      <c r="BV91" s="279"/>
      <c r="BW91" s="279"/>
      <c r="BX91" s="279"/>
      <c r="BY91" s="279"/>
      <c r="BZ91" s="279"/>
      <c r="CA91" s="279"/>
      <c r="CB91" s="279"/>
      <c r="CC91" s="279"/>
      <c r="CD91" s="279"/>
      <c r="CE91" s="279"/>
      <c r="CF91" s="279"/>
      <c r="CG91" s="279"/>
      <c r="CH91" s="279"/>
      <c r="CI91" s="279"/>
      <c r="CJ91" s="279"/>
      <c r="CK91" s="279"/>
      <c r="CL91" s="279"/>
      <c r="CM91" s="279"/>
      <c r="CN91" s="382"/>
    </row>
    <row r="92" ht="15.6" x14ac:dyDescent="0.3">
      <c r="B92" s="361"/>
      <c r="C92" s="279"/>
      <c r="D92" s="280"/>
      <c r="E92" s="287"/>
      <c r="F92" s="287"/>
      <c r="G92" s="287"/>
      <c r="H92" s="1292">
        <f t="shared" si="9"/>
        <v>30</v>
      </c>
      <c r="I92" s="1320" t="str">
        <f>IF('I. Stream &amp; Compound Data'!G291&lt;&gt;"",'I. Stream &amp; Compound Data'!G291,"")</f>
        <v/>
      </c>
      <c r="J92" s="1190" t="str">
        <f t="shared" si="3"/>
        <v/>
      </c>
      <c r="K92" s="1306" t="str">
        <f>IF('I. Stream &amp; Compound Data'!T291&lt;&gt;"",'I. Stream &amp; Compound Data'!T291,IF(OR('I. Stream &amp; Compound Data'!U291=1,'I. Stream &amp; Compound Data'!V291=1),0,""))</f>
        <v/>
      </c>
      <c r="L92" s="1190" t="str">
        <f t="shared" si="4"/>
        <v/>
      </c>
      <c r="M92" s="1242" t="str">
        <f t="shared" si="5"/>
        <v/>
      </c>
      <c r="N92" s="1242" t="str">
        <f t="shared" si="6"/>
        <v/>
      </c>
      <c r="O92" s="1306" t="str">
        <f>IF(J92&lt;&gt;"",'I. Stream &amp; Compound Data'!AM291,"")</f>
        <v/>
      </c>
      <c r="P92" s="1287" t="str">
        <f t="shared" si="7"/>
        <v/>
      </c>
      <c r="Q92" s="1149" t="str">
        <f t="shared" si="8"/>
        <v/>
      </c>
      <c r="R92" s="297"/>
      <c r="S92" s="298"/>
      <c r="T92" s="298"/>
      <c r="U92" s="299"/>
      <c r="V92" s="279"/>
      <c r="W92" s="279"/>
      <c r="X92" s="279"/>
      <c r="Y92" s="279"/>
      <c r="Z92" s="279"/>
      <c r="AA92" s="279"/>
      <c r="AB92" s="279"/>
      <c r="AC92" s="279"/>
      <c r="AD92" s="279"/>
      <c r="AE92" s="279"/>
      <c r="AF92" s="279"/>
      <c r="AG92" s="279"/>
      <c r="AH92" s="279"/>
      <c r="AI92" s="279"/>
      <c r="AJ92" s="279"/>
      <c r="AK92" s="279"/>
      <c r="AL92" s="279"/>
      <c r="AM92" s="279"/>
      <c r="AN92" s="279"/>
      <c r="AO92" s="279"/>
      <c r="AP92" s="279"/>
      <c r="AQ92" s="279"/>
      <c r="AR92" s="279"/>
      <c r="AS92" s="279"/>
      <c r="AT92" s="279"/>
      <c r="AU92" s="279"/>
      <c r="AV92" s="279"/>
      <c r="AW92" s="279"/>
      <c r="AX92" s="279"/>
      <c r="AY92" s="279"/>
      <c r="AZ92" s="279"/>
      <c r="BA92" s="279"/>
      <c r="BB92" s="279"/>
      <c r="BC92" s="279"/>
      <c r="BD92" s="279"/>
      <c r="BE92" s="279"/>
      <c r="BF92" s="279"/>
      <c r="BG92" s="279"/>
      <c r="BH92" s="279"/>
      <c r="BI92" s="279"/>
      <c r="BJ92" s="279"/>
      <c r="BK92" s="279"/>
      <c r="BL92" s="279"/>
      <c r="BM92" s="279"/>
      <c r="BN92" s="279"/>
      <c r="BO92" s="279"/>
      <c r="BP92" s="279"/>
      <c r="BQ92" s="279"/>
      <c r="BR92" s="279"/>
      <c r="BS92" s="279"/>
      <c r="BT92" s="279"/>
      <c r="BU92" s="279"/>
      <c r="BV92" s="279"/>
      <c r="BW92" s="279"/>
      <c r="BX92" s="279"/>
      <c r="BY92" s="279"/>
      <c r="BZ92" s="279"/>
      <c r="CA92" s="279"/>
      <c r="CB92" s="279"/>
      <c r="CC92" s="279"/>
      <c r="CD92" s="279"/>
      <c r="CE92" s="279"/>
      <c r="CF92" s="279"/>
      <c r="CG92" s="279"/>
      <c r="CH92" s="279"/>
      <c r="CI92" s="279"/>
      <c r="CJ92" s="279"/>
      <c r="CK92" s="279"/>
      <c r="CL92" s="279"/>
      <c r="CM92" s="279"/>
      <c r="CN92" s="382"/>
    </row>
    <row r="93" ht="15.6" x14ac:dyDescent="0.3">
      <c r="B93" s="361"/>
      <c r="C93" s="279"/>
      <c r="D93" s="280"/>
      <c r="E93" s="287"/>
      <c r="F93" s="287"/>
      <c r="G93" s="287"/>
      <c r="H93" s="1292">
        <f t="shared" si="9"/>
        <v>31</v>
      </c>
      <c r="I93" s="1320" t="str">
        <f>IF('I. Stream &amp; Compound Data'!G292&lt;&gt;"",'I. Stream &amp; Compound Data'!G292,"")</f>
        <v/>
      </c>
      <c r="J93" s="1190" t="str">
        <f t="shared" si="3"/>
        <v/>
      </c>
      <c r="K93" s="1306" t="str">
        <f>IF('I. Stream &amp; Compound Data'!T292&lt;&gt;"",'I. Stream &amp; Compound Data'!T292,IF(OR('I. Stream &amp; Compound Data'!U292=1,'I. Stream &amp; Compound Data'!V292=1),0,""))</f>
        <v/>
      </c>
      <c r="L93" s="1190" t="str">
        <f t="shared" si="4"/>
        <v/>
      </c>
      <c r="M93" s="1242" t="str">
        <f t="shared" si="5"/>
        <v/>
      </c>
      <c r="N93" s="1242" t="str">
        <f t="shared" si="6"/>
        <v/>
      </c>
      <c r="O93" s="1306" t="str">
        <f>IF(J93&lt;&gt;"",'I. Stream &amp; Compound Data'!AM292,"")</f>
        <v/>
      </c>
      <c r="P93" s="1287" t="str">
        <f t="shared" si="7"/>
        <v/>
      </c>
      <c r="Q93" s="1149" t="str">
        <f t="shared" si="8"/>
        <v/>
      </c>
      <c r="R93" s="297"/>
      <c r="S93" s="298"/>
      <c r="T93" s="298"/>
      <c r="U93" s="299"/>
      <c r="V93" s="279"/>
      <c r="W93" s="279"/>
      <c r="X93" s="279"/>
      <c r="Y93" s="279"/>
      <c r="Z93" s="279"/>
      <c r="AA93" s="279"/>
      <c r="AB93" s="279"/>
      <c r="AC93" s="279"/>
      <c r="AD93" s="279"/>
      <c r="AE93" s="279"/>
      <c r="AF93" s="279"/>
      <c r="AG93" s="279"/>
      <c r="AH93" s="279"/>
      <c r="AI93" s="279"/>
      <c r="AJ93" s="279"/>
      <c r="AK93" s="279"/>
      <c r="AL93" s="279"/>
      <c r="AM93" s="279"/>
      <c r="AN93" s="279"/>
      <c r="AO93" s="279"/>
      <c r="AP93" s="279"/>
      <c r="AQ93" s="279"/>
      <c r="AR93" s="279"/>
      <c r="AS93" s="279"/>
      <c r="AT93" s="279"/>
      <c r="AU93" s="279"/>
      <c r="AV93" s="279"/>
      <c r="AW93" s="279"/>
      <c r="AX93" s="279"/>
      <c r="AY93" s="279"/>
      <c r="AZ93" s="279"/>
      <c r="BA93" s="279"/>
      <c r="BB93" s="279"/>
      <c r="BC93" s="279"/>
      <c r="BD93" s="279"/>
      <c r="BE93" s="279"/>
      <c r="BF93" s="279"/>
      <c r="BG93" s="279"/>
      <c r="BH93" s="279"/>
      <c r="BI93" s="279"/>
      <c r="BJ93" s="279"/>
      <c r="BK93" s="279"/>
      <c r="BL93" s="279"/>
      <c r="BM93" s="279"/>
      <c r="BN93" s="279"/>
      <c r="BO93" s="279"/>
      <c r="BP93" s="279"/>
      <c r="BQ93" s="279"/>
      <c r="BR93" s="279"/>
      <c r="BS93" s="279"/>
      <c r="BT93" s="279"/>
      <c r="BU93" s="279"/>
      <c r="BV93" s="279"/>
      <c r="BW93" s="279"/>
      <c r="BX93" s="279"/>
      <c r="BY93" s="279"/>
      <c r="BZ93" s="279"/>
      <c r="CA93" s="279"/>
      <c r="CB93" s="279"/>
      <c r="CC93" s="279"/>
      <c r="CD93" s="279"/>
      <c r="CE93" s="279"/>
      <c r="CF93" s="279"/>
      <c r="CG93" s="279"/>
      <c r="CH93" s="279"/>
      <c r="CI93" s="279"/>
      <c r="CJ93" s="279"/>
      <c r="CK93" s="279"/>
      <c r="CL93" s="279"/>
      <c r="CM93" s="279"/>
      <c r="CN93" s="382"/>
    </row>
    <row r="94" ht="15.6" x14ac:dyDescent="0.3">
      <c r="B94" s="361"/>
      <c r="C94" s="279"/>
      <c r="D94" s="280"/>
      <c r="E94" s="287"/>
      <c r="F94" s="287"/>
      <c r="G94" s="287"/>
      <c r="H94" s="1292">
        <f t="shared" si="9"/>
        <v>32</v>
      </c>
      <c r="I94" s="1320" t="str">
        <f>IF('I. Stream &amp; Compound Data'!G293&lt;&gt;"",'I. Stream &amp; Compound Data'!G293,"")</f>
        <v/>
      </c>
      <c r="J94" s="1190" t="str">
        <f t="shared" si="3"/>
        <v/>
      </c>
      <c r="K94" s="1306" t="str">
        <f>IF('I. Stream &amp; Compound Data'!T293&lt;&gt;"",'I. Stream &amp; Compound Data'!T293,IF(OR('I. Stream &amp; Compound Data'!U293=1,'I. Stream &amp; Compound Data'!V293=1),0,""))</f>
        <v/>
      </c>
      <c r="L94" s="1190" t="str">
        <f t="shared" si="4"/>
        <v/>
      </c>
      <c r="M94" s="1242" t="str">
        <f t="shared" si="5"/>
        <v/>
      </c>
      <c r="N94" s="1242" t="str">
        <f t="shared" si="6"/>
        <v/>
      </c>
      <c r="O94" s="1306" t="str">
        <f>IF(J94&lt;&gt;"",'I. Stream &amp; Compound Data'!AM293,"")</f>
        <v/>
      </c>
      <c r="P94" s="1287" t="str">
        <f t="shared" si="7"/>
        <v/>
      </c>
      <c r="Q94" s="1149" t="str">
        <f t="shared" si="8"/>
        <v/>
      </c>
      <c r="R94" s="297"/>
      <c r="S94" s="298"/>
      <c r="T94" s="298"/>
      <c r="U94" s="299"/>
      <c r="V94" s="279"/>
      <c r="W94" s="279"/>
      <c r="X94" s="279"/>
      <c r="Y94" s="279"/>
      <c r="Z94" s="279"/>
      <c r="AA94" s="279"/>
      <c r="AB94" s="279"/>
      <c r="AC94" s="279"/>
      <c r="AD94" s="279"/>
      <c r="AE94" s="279"/>
      <c r="AF94" s="279"/>
      <c r="AG94" s="279"/>
      <c r="AH94" s="279"/>
      <c r="AI94" s="279"/>
      <c r="AJ94" s="279"/>
      <c r="AK94" s="279"/>
      <c r="AL94" s="279"/>
      <c r="AM94" s="279"/>
      <c r="AN94" s="279"/>
      <c r="AO94" s="279"/>
      <c r="AP94" s="279"/>
      <c r="AQ94" s="279"/>
      <c r="AR94" s="279"/>
      <c r="AS94" s="279"/>
      <c r="AT94" s="279"/>
      <c r="AU94" s="279"/>
      <c r="AV94" s="279"/>
      <c r="AW94" s="279"/>
      <c r="AX94" s="279"/>
      <c r="AY94" s="279"/>
      <c r="AZ94" s="279"/>
      <c r="BA94" s="279"/>
      <c r="BB94" s="279"/>
      <c r="BC94" s="279"/>
      <c r="BD94" s="279"/>
      <c r="BE94" s="279"/>
      <c r="BF94" s="279"/>
      <c r="BG94" s="279"/>
      <c r="BH94" s="279"/>
      <c r="BI94" s="279"/>
      <c r="BJ94" s="279"/>
      <c r="BK94" s="279"/>
      <c r="BL94" s="279"/>
      <c r="BM94" s="279"/>
      <c r="BN94" s="279"/>
      <c r="BO94" s="279"/>
      <c r="BP94" s="279"/>
      <c r="BQ94" s="279"/>
      <c r="BR94" s="279"/>
      <c r="BS94" s="279"/>
      <c r="BT94" s="279"/>
      <c r="BU94" s="279"/>
      <c r="BV94" s="279"/>
      <c r="BW94" s="279"/>
      <c r="BX94" s="279"/>
      <c r="BY94" s="279"/>
      <c r="BZ94" s="279"/>
      <c r="CA94" s="279"/>
      <c r="CB94" s="279"/>
      <c r="CC94" s="279"/>
      <c r="CD94" s="279"/>
      <c r="CE94" s="279"/>
      <c r="CF94" s="279"/>
      <c r="CG94" s="279"/>
      <c r="CH94" s="279"/>
      <c r="CI94" s="279"/>
      <c r="CJ94" s="279"/>
      <c r="CK94" s="279"/>
      <c r="CL94" s="279"/>
      <c r="CM94" s="279"/>
      <c r="CN94" s="382"/>
    </row>
    <row r="95" ht="15.6" x14ac:dyDescent="0.3">
      <c r="B95" s="361"/>
      <c r="C95" s="279"/>
      <c r="D95" s="280"/>
      <c r="E95" s="287"/>
      <c r="F95" s="287"/>
      <c r="G95" s="287"/>
      <c r="H95" s="1292">
        <f t="shared" si="9"/>
        <v>33</v>
      </c>
      <c r="I95" s="1320" t="str">
        <f>IF('I. Stream &amp; Compound Data'!G294&lt;&gt;"",'I. Stream &amp; Compound Data'!G294,"")</f>
        <v/>
      </c>
      <c r="J95" s="1190" t="str">
        <f t="shared" ref="J95:J112" si="10">Q37</f>
        <v/>
      </c>
      <c r="K95" s="1306" t="str">
        <f>IF('I. Stream &amp; Compound Data'!T294&lt;&gt;"",'I. Stream &amp; Compound Data'!T294,IF(OR('I. Stream &amp; Compound Data'!U294=1,'I. Stream &amp; Compound Data'!V294=1),0,""))</f>
        <v/>
      </c>
      <c r="L95" s="1190" t="str">
        <f t="shared" ref="L95:L112" si="11">IF(J95&lt;&gt;"",J95*K95,"")</f>
        <v/>
      </c>
      <c r="M95" s="1242" t="str">
        <f t="shared" ref="M95:M112" si="12">IF(J95&lt;&gt;"",J95-L95,"")</f>
        <v/>
      </c>
      <c r="N95" s="1242" t="str">
        <f t="shared" ref="N95:N112" si="13">J95</f>
        <v/>
      </c>
      <c r="O95" s="1306" t="str">
        <f>IF(J95&lt;&gt;"",'I. Stream &amp; Compound Data'!AM294,"")</f>
        <v/>
      </c>
      <c r="P95" s="1287" t="str">
        <f t="shared" ref="P95:P112" si="14">IF(J95="","",J95*O95)</f>
        <v/>
      </c>
      <c r="Q95" s="1149" t="str">
        <f t="shared" ref="Q95:Q112" si="15">IF(I95="","",IF(P95=0,0,P95-L95))</f>
        <v/>
      </c>
      <c r="R95" s="297"/>
      <c r="S95" s="298"/>
      <c r="T95" s="298"/>
      <c r="U95" s="299"/>
      <c r="V95" s="279"/>
      <c r="W95" s="279"/>
      <c r="X95" s="279"/>
      <c r="Y95" s="279"/>
      <c r="Z95" s="279"/>
      <c r="AA95" s="279"/>
      <c r="AB95" s="279"/>
      <c r="AC95" s="279"/>
      <c r="AD95" s="279"/>
      <c r="AE95" s="279"/>
      <c r="AF95" s="279"/>
      <c r="AG95" s="279"/>
      <c r="AH95" s="279"/>
      <c r="AI95" s="279"/>
      <c r="AJ95" s="279"/>
      <c r="AK95" s="279"/>
      <c r="AL95" s="279"/>
      <c r="AM95" s="279"/>
      <c r="AN95" s="279"/>
      <c r="AO95" s="279"/>
      <c r="AP95" s="279"/>
      <c r="AQ95" s="279"/>
      <c r="AR95" s="279"/>
      <c r="AS95" s="279"/>
      <c r="AT95" s="279"/>
      <c r="AU95" s="279"/>
      <c r="AV95" s="279"/>
      <c r="AW95" s="279"/>
      <c r="AX95" s="279"/>
      <c r="AY95" s="279"/>
      <c r="AZ95" s="279"/>
      <c r="BA95" s="279"/>
      <c r="BB95" s="279"/>
      <c r="BC95" s="279"/>
      <c r="BD95" s="279"/>
      <c r="BE95" s="279"/>
      <c r="BF95" s="279"/>
      <c r="BG95" s="279"/>
      <c r="BH95" s="279"/>
      <c r="BI95" s="279"/>
      <c r="BJ95" s="279"/>
      <c r="BK95" s="279"/>
      <c r="BL95" s="279"/>
      <c r="BM95" s="279"/>
      <c r="BN95" s="279"/>
      <c r="BO95" s="279"/>
      <c r="BP95" s="279"/>
      <c r="BQ95" s="279"/>
      <c r="BR95" s="279"/>
      <c r="BS95" s="279"/>
      <c r="BT95" s="279"/>
      <c r="BU95" s="279"/>
      <c r="BV95" s="279"/>
      <c r="BW95" s="279"/>
      <c r="BX95" s="279"/>
      <c r="BY95" s="279"/>
      <c r="BZ95" s="279"/>
      <c r="CA95" s="279"/>
      <c r="CB95" s="279"/>
      <c r="CC95" s="279"/>
      <c r="CD95" s="279"/>
      <c r="CE95" s="279"/>
      <c r="CF95" s="279"/>
      <c r="CG95" s="279"/>
      <c r="CH95" s="279"/>
      <c r="CI95" s="279"/>
      <c r="CJ95" s="279"/>
      <c r="CK95" s="279"/>
      <c r="CL95" s="279"/>
      <c r="CM95" s="279"/>
      <c r="CN95" s="382"/>
    </row>
    <row r="96" ht="15.6" x14ac:dyDescent="0.3">
      <c r="B96" s="361"/>
      <c r="C96" s="279"/>
      <c r="D96" s="280"/>
      <c r="E96" s="287"/>
      <c r="F96" s="287"/>
      <c r="G96" s="287"/>
      <c r="H96" s="1292">
        <f t="shared" si="9"/>
        <v>34</v>
      </c>
      <c r="I96" s="1320" t="str">
        <f>IF('I. Stream &amp; Compound Data'!G295&lt;&gt;"",'I. Stream &amp; Compound Data'!G295,"")</f>
        <v/>
      </c>
      <c r="J96" s="1190" t="str">
        <f t="shared" si="10"/>
        <v/>
      </c>
      <c r="K96" s="1306" t="str">
        <f>IF('I. Stream &amp; Compound Data'!T295&lt;&gt;"",'I. Stream &amp; Compound Data'!T295,IF(OR('I. Stream &amp; Compound Data'!U295=1,'I. Stream &amp; Compound Data'!V295=1),0,""))</f>
        <v/>
      </c>
      <c r="L96" s="1190" t="str">
        <f t="shared" si="11"/>
        <v/>
      </c>
      <c r="M96" s="1242" t="str">
        <f t="shared" si="12"/>
        <v/>
      </c>
      <c r="N96" s="1242" t="str">
        <f t="shared" si="13"/>
        <v/>
      </c>
      <c r="O96" s="1306" t="str">
        <f>IF(J96&lt;&gt;"",'I. Stream &amp; Compound Data'!AM295,"")</f>
        <v/>
      </c>
      <c r="P96" s="1287" t="str">
        <f t="shared" si="14"/>
        <v/>
      </c>
      <c r="Q96" s="1149" t="str">
        <f t="shared" si="15"/>
        <v/>
      </c>
      <c r="R96" s="297"/>
      <c r="S96" s="298"/>
      <c r="T96" s="298"/>
      <c r="U96" s="299"/>
      <c r="V96" s="279"/>
      <c r="W96" s="279"/>
      <c r="X96" s="279"/>
      <c r="Y96" s="279"/>
      <c r="Z96" s="279"/>
      <c r="AA96" s="279"/>
      <c r="AB96" s="279"/>
      <c r="AC96" s="279"/>
      <c r="AD96" s="279"/>
      <c r="AE96" s="279"/>
      <c r="AF96" s="279"/>
      <c r="AG96" s="279"/>
      <c r="AH96" s="279"/>
      <c r="AI96" s="279"/>
      <c r="AJ96" s="279"/>
      <c r="AK96" s="279"/>
      <c r="AL96" s="279"/>
      <c r="AM96" s="279"/>
      <c r="AN96" s="279"/>
      <c r="AO96" s="279"/>
      <c r="AP96" s="279"/>
      <c r="AQ96" s="279"/>
      <c r="AR96" s="279"/>
      <c r="AS96" s="279"/>
      <c r="AT96" s="279"/>
      <c r="AU96" s="279"/>
      <c r="AV96" s="279"/>
      <c r="AW96" s="279"/>
      <c r="AX96" s="279"/>
      <c r="AY96" s="279"/>
      <c r="AZ96" s="279"/>
      <c r="BA96" s="279"/>
      <c r="BB96" s="279"/>
      <c r="BC96" s="279"/>
      <c r="BD96" s="279"/>
      <c r="BE96" s="279"/>
      <c r="BF96" s="279"/>
      <c r="BG96" s="279"/>
      <c r="BH96" s="279"/>
      <c r="BI96" s="279"/>
      <c r="BJ96" s="279"/>
      <c r="BK96" s="279"/>
      <c r="BL96" s="279"/>
      <c r="BM96" s="279"/>
      <c r="BN96" s="279"/>
      <c r="BO96" s="279"/>
      <c r="BP96" s="279"/>
      <c r="BQ96" s="279"/>
      <c r="BR96" s="279"/>
      <c r="BS96" s="279"/>
      <c r="BT96" s="279"/>
      <c r="BU96" s="279"/>
      <c r="BV96" s="279"/>
      <c r="BW96" s="279"/>
      <c r="BX96" s="279"/>
      <c r="BY96" s="279"/>
      <c r="BZ96" s="279"/>
      <c r="CA96" s="279"/>
      <c r="CB96" s="279"/>
      <c r="CC96" s="279"/>
      <c r="CD96" s="279"/>
      <c r="CE96" s="279"/>
      <c r="CF96" s="279"/>
      <c r="CG96" s="279"/>
      <c r="CH96" s="279"/>
      <c r="CI96" s="279"/>
      <c r="CJ96" s="279"/>
      <c r="CK96" s="279"/>
      <c r="CL96" s="279"/>
      <c r="CM96" s="279"/>
      <c r="CN96" s="382"/>
    </row>
    <row r="97" ht="15.6" x14ac:dyDescent="0.3">
      <c r="B97" s="361"/>
      <c r="C97" s="279"/>
      <c r="D97" s="280"/>
      <c r="E97" s="287"/>
      <c r="F97" s="287"/>
      <c r="G97" s="287"/>
      <c r="H97" s="1292">
        <f t="shared" si="9"/>
        <v>35</v>
      </c>
      <c r="I97" s="1320" t="str">
        <f>IF('I. Stream &amp; Compound Data'!G296&lt;&gt;"",'I. Stream &amp; Compound Data'!G296,"")</f>
        <v/>
      </c>
      <c r="J97" s="1190" t="str">
        <f t="shared" si="10"/>
        <v/>
      </c>
      <c r="K97" s="1306" t="str">
        <f>IF('I. Stream &amp; Compound Data'!T296&lt;&gt;"",'I. Stream &amp; Compound Data'!T296,IF(OR('I. Stream &amp; Compound Data'!U296=1,'I. Stream &amp; Compound Data'!V296=1),0,""))</f>
        <v/>
      </c>
      <c r="L97" s="1190" t="str">
        <f t="shared" si="11"/>
        <v/>
      </c>
      <c r="M97" s="1242" t="str">
        <f t="shared" si="12"/>
        <v/>
      </c>
      <c r="N97" s="1242" t="str">
        <f t="shared" si="13"/>
        <v/>
      </c>
      <c r="O97" s="1306" t="str">
        <f>IF(J97&lt;&gt;"",'I. Stream &amp; Compound Data'!AM296,"")</f>
        <v/>
      </c>
      <c r="P97" s="1287" t="str">
        <f t="shared" si="14"/>
        <v/>
      </c>
      <c r="Q97" s="1149" t="str">
        <f t="shared" si="15"/>
        <v/>
      </c>
      <c r="R97" s="297"/>
      <c r="S97" s="298"/>
      <c r="T97" s="298"/>
      <c r="U97" s="299"/>
      <c r="V97" s="279"/>
      <c r="W97" s="279"/>
      <c r="X97" s="279"/>
      <c r="Y97" s="279"/>
      <c r="Z97" s="279"/>
      <c r="AA97" s="279"/>
      <c r="AB97" s="279"/>
      <c r="AC97" s="279"/>
      <c r="AD97" s="279"/>
      <c r="AE97" s="279"/>
      <c r="AF97" s="279"/>
      <c r="AG97" s="279"/>
      <c r="AH97" s="279"/>
      <c r="AI97" s="279"/>
      <c r="AJ97" s="279"/>
      <c r="AK97" s="279"/>
      <c r="AL97" s="279"/>
      <c r="AM97" s="279"/>
      <c r="AN97" s="279"/>
      <c r="AO97" s="279"/>
      <c r="AP97" s="279"/>
      <c r="AQ97" s="279"/>
      <c r="AR97" s="279"/>
      <c r="AS97" s="279"/>
      <c r="AT97" s="279"/>
      <c r="AU97" s="279"/>
      <c r="AV97" s="279"/>
      <c r="AW97" s="279"/>
      <c r="AX97" s="279"/>
      <c r="AY97" s="279"/>
      <c r="AZ97" s="279"/>
      <c r="BA97" s="279"/>
      <c r="BB97" s="279"/>
      <c r="BC97" s="279"/>
      <c r="BD97" s="279"/>
      <c r="BE97" s="279"/>
      <c r="BF97" s="279"/>
      <c r="BG97" s="279"/>
      <c r="BH97" s="279"/>
      <c r="BI97" s="279"/>
      <c r="BJ97" s="279"/>
      <c r="BK97" s="279"/>
      <c r="BL97" s="279"/>
      <c r="BM97" s="279"/>
      <c r="BN97" s="279"/>
      <c r="BO97" s="279"/>
      <c r="BP97" s="279"/>
      <c r="BQ97" s="279"/>
      <c r="BR97" s="279"/>
      <c r="BS97" s="279"/>
      <c r="BT97" s="279"/>
      <c r="BU97" s="279"/>
      <c r="BV97" s="279"/>
      <c r="BW97" s="279"/>
      <c r="BX97" s="279"/>
      <c r="BY97" s="279"/>
      <c r="BZ97" s="279"/>
      <c r="CA97" s="279"/>
      <c r="CB97" s="279"/>
      <c r="CC97" s="279"/>
      <c r="CD97" s="279"/>
      <c r="CE97" s="279"/>
      <c r="CF97" s="279"/>
      <c r="CG97" s="279"/>
      <c r="CH97" s="279"/>
      <c r="CI97" s="279"/>
      <c r="CJ97" s="279"/>
      <c r="CK97" s="279"/>
      <c r="CL97" s="279"/>
      <c r="CM97" s="279"/>
      <c r="CN97" s="382"/>
    </row>
    <row r="98" ht="15.6" x14ac:dyDescent="0.3">
      <c r="B98" s="361"/>
      <c r="C98" s="279"/>
      <c r="D98" s="280"/>
      <c r="E98" s="287"/>
      <c r="F98" s="287"/>
      <c r="G98" s="287"/>
      <c r="H98" s="1292">
        <f t="shared" si="9"/>
        <v>36</v>
      </c>
      <c r="I98" s="1320" t="str">
        <f>IF('I. Stream &amp; Compound Data'!G297&lt;&gt;"",'I. Stream &amp; Compound Data'!G297,"")</f>
        <v/>
      </c>
      <c r="J98" s="1190" t="str">
        <f t="shared" si="10"/>
        <v/>
      </c>
      <c r="K98" s="1306" t="str">
        <f>IF('I. Stream &amp; Compound Data'!T297&lt;&gt;"",'I. Stream &amp; Compound Data'!T297,IF(OR('I. Stream &amp; Compound Data'!U297=1,'I. Stream &amp; Compound Data'!V297=1),0,""))</f>
        <v/>
      </c>
      <c r="L98" s="1190" t="str">
        <f t="shared" si="11"/>
        <v/>
      </c>
      <c r="M98" s="1242" t="str">
        <f t="shared" si="12"/>
        <v/>
      </c>
      <c r="N98" s="1242" t="str">
        <f t="shared" si="13"/>
        <v/>
      </c>
      <c r="O98" s="1306" t="str">
        <f>IF(J98&lt;&gt;"",'I. Stream &amp; Compound Data'!AM297,"")</f>
        <v/>
      </c>
      <c r="P98" s="1287" t="str">
        <f t="shared" si="14"/>
        <v/>
      </c>
      <c r="Q98" s="1149" t="str">
        <f t="shared" si="15"/>
        <v/>
      </c>
      <c r="R98" s="297"/>
      <c r="S98" s="298"/>
      <c r="T98" s="298"/>
      <c r="U98" s="299"/>
      <c r="V98" s="279"/>
      <c r="W98" s="279"/>
      <c r="X98" s="279"/>
      <c r="Y98" s="279"/>
      <c r="Z98" s="279"/>
      <c r="AA98" s="279"/>
      <c r="AB98" s="279"/>
      <c r="AC98" s="279"/>
      <c r="AD98" s="279"/>
      <c r="AE98" s="279"/>
      <c r="AF98" s="279"/>
      <c r="AG98" s="279"/>
      <c r="AH98" s="279"/>
      <c r="AI98" s="279"/>
      <c r="AJ98" s="279"/>
      <c r="AK98" s="279"/>
      <c r="AL98" s="279"/>
      <c r="AM98" s="279"/>
      <c r="AN98" s="279"/>
      <c r="AO98" s="279"/>
      <c r="AP98" s="279"/>
      <c r="AQ98" s="279"/>
      <c r="AR98" s="279"/>
      <c r="AS98" s="279"/>
      <c r="AT98" s="279"/>
      <c r="AU98" s="279"/>
      <c r="AV98" s="279"/>
      <c r="AW98" s="279"/>
      <c r="AX98" s="279"/>
      <c r="AY98" s="279"/>
      <c r="AZ98" s="279"/>
      <c r="BA98" s="279"/>
      <c r="BB98" s="279"/>
      <c r="BC98" s="279"/>
      <c r="BD98" s="279"/>
      <c r="BE98" s="279"/>
      <c r="BF98" s="279"/>
      <c r="BG98" s="279"/>
      <c r="BH98" s="279"/>
      <c r="BI98" s="279"/>
      <c r="BJ98" s="279"/>
      <c r="BK98" s="279"/>
      <c r="BL98" s="279"/>
      <c r="BM98" s="279"/>
      <c r="BN98" s="279"/>
      <c r="BO98" s="279"/>
      <c r="BP98" s="279"/>
      <c r="BQ98" s="279"/>
      <c r="BR98" s="279"/>
      <c r="BS98" s="279"/>
      <c r="BT98" s="279"/>
      <c r="BU98" s="279"/>
      <c r="BV98" s="279"/>
      <c r="BW98" s="279"/>
      <c r="BX98" s="279"/>
      <c r="BY98" s="279"/>
      <c r="BZ98" s="279"/>
      <c r="CA98" s="279"/>
      <c r="CB98" s="279"/>
      <c r="CC98" s="279"/>
      <c r="CD98" s="279"/>
      <c r="CE98" s="279"/>
      <c r="CF98" s="279"/>
      <c r="CG98" s="279"/>
      <c r="CH98" s="279"/>
      <c r="CI98" s="279"/>
      <c r="CJ98" s="279"/>
      <c r="CK98" s="279"/>
      <c r="CL98" s="279"/>
      <c r="CM98" s="279"/>
      <c r="CN98" s="382"/>
    </row>
    <row r="99" ht="15.6" x14ac:dyDescent="0.3">
      <c r="B99" s="361"/>
      <c r="C99" s="279"/>
      <c r="D99" s="280"/>
      <c r="E99" s="287"/>
      <c r="F99" s="287"/>
      <c r="G99" s="287"/>
      <c r="H99" s="1292">
        <f t="shared" si="9"/>
        <v>37</v>
      </c>
      <c r="I99" s="1320" t="str">
        <f>IF('I. Stream &amp; Compound Data'!G298&lt;&gt;"",'I. Stream &amp; Compound Data'!G298,"")</f>
        <v/>
      </c>
      <c r="J99" s="1190" t="str">
        <f t="shared" si="10"/>
        <v/>
      </c>
      <c r="K99" s="1306" t="str">
        <f>IF('I. Stream &amp; Compound Data'!T298&lt;&gt;"",'I. Stream &amp; Compound Data'!T298,IF(OR('I. Stream &amp; Compound Data'!U298=1,'I. Stream &amp; Compound Data'!V298=1),0,""))</f>
        <v/>
      </c>
      <c r="L99" s="1190" t="str">
        <f t="shared" si="11"/>
        <v/>
      </c>
      <c r="M99" s="1242" t="str">
        <f t="shared" si="12"/>
        <v/>
      </c>
      <c r="N99" s="1242" t="str">
        <f t="shared" si="13"/>
        <v/>
      </c>
      <c r="O99" s="1306" t="str">
        <f>IF(J99&lt;&gt;"",'I. Stream &amp; Compound Data'!AM298,"")</f>
        <v/>
      </c>
      <c r="P99" s="1287" t="str">
        <f t="shared" si="14"/>
        <v/>
      </c>
      <c r="Q99" s="1149" t="str">
        <f t="shared" si="15"/>
        <v/>
      </c>
      <c r="R99" s="297"/>
      <c r="S99" s="298"/>
      <c r="T99" s="298"/>
      <c r="U99" s="299"/>
      <c r="V99" s="279"/>
      <c r="W99" s="279"/>
      <c r="X99" s="279"/>
      <c r="Y99" s="279"/>
      <c r="Z99" s="279"/>
      <c r="AA99" s="279"/>
      <c r="AB99" s="279"/>
      <c r="AC99" s="279"/>
      <c r="AD99" s="279"/>
      <c r="AE99" s="279"/>
      <c r="AF99" s="279"/>
      <c r="AG99" s="279"/>
      <c r="AH99" s="279"/>
      <c r="AI99" s="279"/>
      <c r="AJ99" s="279"/>
      <c r="AK99" s="279"/>
      <c r="AL99" s="279"/>
      <c r="AM99" s="279"/>
      <c r="AN99" s="279"/>
      <c r="AO99" s="279"/>
      <c r="AP99" s="279"/>
      <c r="AQ99" s="279"/>
      <c r="AR99" s="279"/>
      <c r="AS99" s="279"/>
      <c r="AT99" s="279"/>
      <c r="AU99" s="279"/>
      <c r="AV99" s="279"/>
      <c r="AW99" s="279"/>
      <c r="AX99" s="279"/>
      <c r="AY99" s="279"/>
      <c r="AZ99" s="279"/>
      <c r="BA99" s="279"/>
      <c r="BB99" s="279"/>
      <c r="BC99" s="279"/>
      <c r="BD99" s="279"/>
      <c r="BE99" s="279"/>
      <c r="BF99" s="279"/>
      <c r="BG99" s="279"/>
      <c r="BH99" s="279"/>
      <c r="BI99" s="279"/>
      <c r="BJ99" s="279"/>
      <c r="BK99" s="279"/>
      <c r="BL99" s="279"/>
      <c r="BM99" s="279"/>
      <c r="BN99" s="279"/>
      <c r="BO99" s="279"/>
      <c r="BP99" s="279"/>
      <c r="BQ99" s="279"/>
      <c r="BR99" s="279"/>
      <c r="BS99" s="279"/>
      <c r="BT99" s="279"/>
      <c r="BU99" s="279"/>
      <c r="BV99" s="279"/>
      <c r="BW99" s="279"/>
      <c r="BX99" s="279"/>
      <c r="BY99" s="279"/>
      <c r="BZ99" s="279"/>
      <c r="CA99" s="279"/>
      <c r="CB99" s="279"/>
      <c r="CC99" s="279"/>
      <c r="CD99" s="279"/>
      <c r="CE99" s="279"/>
      <c r="CF99" s="279"/>
      <c r="CG99" s="279"/>
      <c r="CH99" s="279"/>
      <c r="CI99" s="279"/>
      <c r="CJ99" s="279"/>
      <c r="CK99" s="279"/>
      <c r="CL99" s="279"/>
      <c r="CM99" s="279"/>
      <c r="CN99" s="382"/>
    </row>
    <row r="100" ht="15.6" x14ac:dyDescent="0.3">
      <c r="B100" s="361"/>
      <c r="C100" s="279"/>
      <c r="D100" s="280"/>
      <c r="E100" s="287"/>
      <c r="F100" s="287"/>
      <c r="G100" s="287"/>
      <c r="H100" s="1292">
        <f t="shared" si="9"/>
        <v>38</v>
      </c>
      <c r="I100" s="1320" t="str">
        <f>IF('I. Stream &amp; Compound Data'!G299&lt;&gt;"",'I. Stream &amp; Compound Data'!G299,"")</f>
        <v/>
      </c>
      <c r="J100" s="1190" t="str">
        <f t="shared" si="10"/>
        <v/>
      </c>
      <c r="K100" s="1306" t="str">
        <f>IF('I. Stream &amp; Compound Data'!T299&lt;&gt;"",'I. Stream &amp; Compound Data'!T299,IF(OR('I. Stream &amp; Compound Data'!U299=1,'I. Stream &amp; Compound Data'!V299=1),0,""))</f>
        <v/>
      </c>
      <c r="L100" s="1190" t="str">
        <f t="shared" si="11"/>
        <v/>
      </c>
      <c r="M100" s="1242" t="str">
        <f t="shared" si="12"/>
        <v/>
      </c>
      <c r="N100" s="1242" t="str">
        <f t="shared" si="13"/>
        <v/>
      </c>
      <c r="O100" s="1306" t="str">
        <f>IF(J100&lt;&gt;"",'I. Stream &amp; Compound Data'!AM299,"")</f>
        <v/>
      </c>
      <c r="P100" s="1287" t="str">
        <f t="shared" si="14"/>
        <v/>
      </c>
      <c r="Q100" s="1149" t="str">
        <f t="shared" si="15"/>
        <v/>
      </c>
      <c r="R100" s="297"/>
      <c r="S100" s="298"/>
      <c r="T100" s="298"/>
      <c r="U100" s="299"/>
      <c r="V100" s="279"/>
      <c r="W100" s="279"/>
      <c r="X100" s="279"/>
      <c r="Y100" s="279"/>
      <c r="Z100" s="279"/>
      <c r="AA100" s="279"/>
      <c r="AB100" s="279"/>
      <c r="AC100" s="279"/>
      <c r="AD100" s="279"/>
      <c r="AE100" s="279"/>
      <c r="AF100" s="279"/>
      <c r="AG100" s="279"/>
      <c r="AH100" s="279"/>
      <c r="AI100" s="279"/>
      <c r="AJ100" s="279"/>
      <c r="AK100" s="279"/>
      <c r="AL100" s="279"/>
      <c r="AM100" s="279"/>
      <c r="AN100" s="279"/>
      <c r="AO100" s="279"/>
      <c r="AP100" s="279"/>
      <c r="AQ100" s="279"/>
      <c r="AR100" s="279"/>
      <c r="AS100" s="279"/>
      <c r="AT100" s="279"/>
      <c r="AU100" s="279"/>
      <c r="AV100" s="279"/>
      <c r="AW100" s="279"/>
      <c r="AX100" s="279"/>
      <c r="AY100" s="279"/>
      <c r="AZ100" s="279"/>
      <c r="BA100" s="279"/>
      <c r="BB100" s="279"/>
      <c r="BC100" s="279"/>
      <c r="BD100" s="279"/>
      <c r="BE100" s="279"/>
      <c r="BF100" s="279"/>
      <c r="BG100" s="279"/>
      <c r="BH100" s="279"/>
      <c r="BI100" s="279"/>
      <c r="BJ100" s="279"/>
      <c r="BK100" s="279"/>
      <c r="BL100" s="279"/>
      <c r="BM100" s="279"/>
      <c r="BN100" s="279"/>
      <c r="BO100" s="279"/>
      <c r="BP100" s="279"/>
      <c r="BQ100" s="279"/>
      <c r="BR100" s="279"/>
      <c r="BS100" s="279"/>
      <c r="BT100" s="279"/>
      <c r="BU100" s="279"/>
      <c r="BV100" s="279"/>
      <c r="BW100" s="279"/>
      <c r="BX100" s="279"/>
      <c r="BY100" s="279"/>
      <c r="BZ100" s="279"/>
      <c r="CA100" s="279"/>
      <c r="CB100" s="279"/>
      <c r="CC100" s="279"/>
      <c r="CD100" s="279"/>
      <c r="CE100" s="279"/>
      <c r="CF100" s="279"/>
      <c r="CG100" s="279"/>
      <c r="CH100" s="279"/>
      <c r="CI100" s="279"/>
      <c r="CJ100" s="279"/>
      <c r="CK100" s="279"/>
      <c r="CL100" s="279"/>
      <c r="CM100" s="279"/>
      <c r="CN100" s="382"/>
    </row>
    <row r="101" ht="15.6" x14ac:dyDescent="0.3">
      <c r="B101" s="361"/>
      <c r="C101" s="279"/>
      <c r="D101" s="280"/>
      <c r="E101" s="287"/>
      <c r="F101" s="287"/>
      <c r="G101" s="287"/>
      <c r="H101" s="1292">
        <f t="shared" si="9"/>
        <v>39</v>
      </c>
      <c r="I101" s="1320" t="str">
        <f>IF('I. Stream &amp; Compound Data'!G300&lt;&gt;"",'I. Stream &amp; Compound Data'!G300,"")</f>
        <v/>
      </c>
      <c r="J101" s="1190" t="str">
        <f t="shared" si="10"/>
        <v/>
      </c>
      <c r="K101" s="1306" t="str">
        <f>IF('I. Stream &amp; Compound Data'!T300&lt;&gt;"",'I. Stream &amp; Compound Data'!T300,IF(OR('I. Stream &amp; Compound Data'!U300=1,'I. Stream &amp; Compound Data'!V300=1),0,""))</f>
        <v/>
      </c>
      <c r="L101" s="1190" t="str">
        <f t="shared" si="11"/>
        <v/>
      </c>
      <c r="M101" s="1242" t="str">
        <f t="shared" si="12"/>
        <v/>
      </c>
      <c r="N101" s="1242" t="str">
        <f t="shared" si="13"/>
        <v/>
      </c>
      <c r="O101" s="1306" t="str">
        <f>IF(J101&lt;&gt;"",'I. Stream &amp; Compound Data'!AM300,"")</f>
        <v/>
      </c>
      <c r="P101" s="1287" t="str">
        <f t="shared" si="14"/>
        <v/>
      </c>
      <c r="Q101" s="1149" t="str">
        <f t="shared" si="15"/>
        <v/>
      </c>
      <c r="R101" s="297"/>
      <c r="S101" s="298"/>
      <c r="T101" s="298"/>
      <c r="U101" s="299"/>
      <c r="V101" s="279"/>
      <c r="W101" s="279"/>
      <c r="X101" s="279"/>
      <c r="Y101" s="279"/>
      <c r="Z101" s="279"/>
      <c r="AA101" s="279"/>
      <c r="AB101" s="279"/>
      <c r="AC101" s="279"/>
      <c r="AD101" s="279"/>
      <c r="AE101" s="279"/>
      <c r="AF101" s="279"/>
      <c r="AG101" s="279"/>
      <c r="AH101" s="279"/>
      <c r="AI101" s="279"/>
      <c r="AJ101" s="279"/>
      <c r="AK101" s="279"/>
      <c r="AL101" s="279"/>
      <c r="AM101" s="279"/>
      <c r="AN101" s="279"/>
      <c r="AO101" s="279"/>
      <c r="AP101" s="279"/>
      <c r="AQ101" s="279"/>
      <c r="AR101" s="279"/>
      <c r="AS101" s="279"/>
      <c r="AT101" s="279"/>
      <c r="AU101" s="279"/>
      <c r="AV101" s="279"/>
      <c r="AW101" s="279"/>
      <c r="AX101" s="279"/>
      <c r="AY101" s="279"/>
      <c r="AZ101" s="279"/>
      <c r="BA101" s="279"/>
      <c r="BB101" s="279"/>
      <c r="BC101" s="279"/>
      <c r="BD101" s="279"/>
      <c r="BE101" s="279"/>
      <c r="BF101" s="279"/>
      <c r="BG101" s="279"/>
      <c r="BH101" s="279"/>
      <c r="BI101" s="279"/>
      <c r="BJ101" s="279"/>
      <c r="BK101" s="279"/>
      <c r="BL101" s="279"/>
      <c r="BM101" s="279"/>
      <c r="BN101" s="279"/>
      <c r="BO101" s="279"/>
      <c r="BP101" s="279"/>
      <c r="BQ101" s="279"/>
      <c r="BR101" s="279"/>
      <c r="BS101" s="279"/>
      <c r="BT101" s="279"/>
      <c r="BU101" s="279"/>
      <c r="BV101" s="279"/>
      <c r="BW101" s="279"/>
      <c r="BX101" s="279"/>
      <c r="BY101" s="279"/>
      <c r="BZ101" s="279"/>
      <c r="CA101" s="279"/>
      <c r="CB101" s="279"/>
      <c r="CC101" s="279"/>
      <c r="CD101" s="279"/>
      <c r="CE101" s="279"/>
      <c r="CF101" s="279"/>
      <c r="CG101" s="279"/>
      <c r="CH101" s="279"/>
      <c r="CI101" s="279"/>
      <c r="CJ101" s="279"/>
      <c r="CK101" s="279"/>
      <c r="CL101" s="279"/>
      <c r="CM101" s="279"/>
      <c r="CN101" s="382"/>
    </row>
    <row r="102" ht="15.6" x14ac:dyDescent="0.3">
      <c r="B102" s="361"/>
      <c r="C102" s="279"/>
      <c r="D102" s="280"/>
      <c r="E102" s="287"/>
      <c r="F102" s="287"/>
      <c r="G102" s="287"/>
      <c r="H102" s="1292">
        <f t="shared" si="9"/>
        <v>40</v>
      </c>
      <c r="I102" s="1320" t="str">
        <f>IF('I. Stream &amp; Compound Data'!G301&lt;&gt;"",'I. Stream &amp; Compound Data'!G301,"")</f>
        <v/>
      </c>
      <c r="J102" s="1190" t="str">
        <f t="shared" si="10"/>
        <v/>
      </c>
      <c r="K102" s="1306" t="str">
        <f>IF('I. Stream &amp; Compound Data'!T301&lt;&gt;"",'I. Stream &amp; Compound Data'!T301,IF(OR('I. Stream &amp; Compound Data'!U301=1,'I. Stream &amp; Compound Data'!V301=1),0,""))</f>
        <v/>
      </c>
      <c r="L102" s="1190" t="str">
        <f t="shared" si="11"/>
        <v/>
      </c>
      <c r="M102" s="1242" t="str">
        <f t="shared" si="12"/>
        <v/>
      </c>
      <c r="N102" s="1242" t="str">
        <f t="shared" si="13"/>
        <v/>
      </c>
      <c r="O102" s="1306" t="str">
        <f>IF(J102&lt;&gt;"",'I. Stream &amp; Compound Data'!AM301,"")</f>
        <v/>
      </c>
      <c r="P102" s="1287" t="str">
        <f t="shared" si="14"/>
        <v/>
      </c>
      <c r="Q102" s="1149" t="str">
        <f t="shared" si="15"/>
        <v/>
      </c>
      <c r="R102" s="297"/>
      <c r="S102" s="298"/>
      <c r="T102" s="298"/>
      <c r="U102" s="299"/>
      <c r="V102" s="279"/>
      <c r="W102" s="279"/>
      <c r="X102" s="279"/>
      <c r="Y102" s="279"/>
      <c r="Z102" s="279"/>
      <c r="AA102" s="279"/>
      <c r="AB102" s="279"/>
      <c r="AC102" s="279"/>
      <c r="AD102" s="279"/>
      <c r="AE102" s="279"/>
      <c r="AF102" s="279"/>
      <c r="AG102" s="279"/>
      <c r="AH102" s="279"/>
      <c r="AI102" s="279"/>
      <c r="AJ102" s="279"/>
      <c r="AK102" s="279"/>
      <c r="AL102" s="279"/>
      <c r="AM102" s="279"/>
      <c r="AN102" s="279"/>
      <c r="AO102" s="279"/>
      <c r="AP102" s="279"/>
      <c r="AQ102" s="279"/>
      <c r="AR102" s="279"/>
      <c r="AS102" s="279"/>
      <c r="AT102" s="279"/>
      <c r="AU102" s="279"/>
      <c r="AV102" s="279"/>
      <c r="AW102" s="279"/>
      <c r="AX102" s="279"/>
      <c r="AY102" s="279"/>
      <c r="AZ102" s="279"/>
      <c r="BA102" s="279"/>
      <c r="BB102" s="279"/>
      <c r="BC102" s="279"/>
      <c r="BD102" s="279"/>
      <c r="BE102" s="279"/>
      <c r="BF102" s="279"/>
      <c r="BG102" s="279"/>
      <c r="BH102" s="279"/>
      <c r="BI102" s="279"/>
      <c r="BJ102" s="279"/>
      <c r="BK102" s="279"/>
      <c r="BL102" s="279"/>
      <c r="BM102" s="279"/>
      <c r="BN102" s="279"/>
      <c r="BO102" s="279"/>
      <c r="BP102" s="279"/>
      <c r="BQ102" s="279"/>
      <c r="BR102" s="279"/>
      <c r="BS102" s="279"/>
      <c r="BT102" s="279"/>
      <c r="BU102" s="279"/>
      <c r="BV102" s="279"/>
      <c r="BW102" s="279"/>
      <c r="BX102" s="279"/>
      <c r="BY102" s="279"/>
      <c r="BZ102" s="279"/>
      <c r="CA102" s="279"/>
      <c r="CB102" s="279"/>
      <c r="CC102" s="279"/>
      <c r="CD102" s="279"/>
      <c r="CE102" s="279"/>
      <c r="CF102" s="279"/>
      <c r="CG102" s="279"/>
      <c r="CH102" s="279"/>
      <c r="CI102" s="279"/>
      <c r="CJ102" s="279"/>
      <c r="CK102" s="279"/>
      <c r="CL102" s="279"/>
      <c r="CM102" s="279"/>
      <c r="CN102" s="382"/>
    </row>
    <row r="103" ht="15.6" x14ac:dyDescent="0.3">
      <c r="B103" s="361"/>
      <c r="C103" s="279"/>
      <c r="D103" s="280"/>
      <c r="E103" s="287"/>
      <c r="F103" s="287"/>
      <c r="G103" s="287"/>
      <c r="H103" s="1292">
        <f t="shared" si="9"/>
        <v>41</v>
      </c>
      <c r="I103" s="1320" t="str">
        <f>IF('I. Stream &amp; Compound Data'!G302&lt;&gt;"",'I. Stream &amp; Compound Data'!G302,"")</f>
        <v/>
      </c>
      <c r="J103" s="1190" t="str">
        <f t="shared" si="10"/>
        <v/>
      </c>
      <c r="K103" s="1306" t="str">
        <f>IF('I. Stream &amp; Compound Data'!T302&lt;&gt;"",'I. Stream &amp; Compound Data'!T302,IF(OR('I. Stream &amp; Compound Data'!U302=1,'I. Stream &amp; Compound Data'!V302=1),0,""))</f>
        <v/>
      </c>
      <c r="L103" s="1190" t="str">
        <f t="shared" si="11"/>
        <v/>
      </c>
      <c r="M103" s="1242" t="str">
        <f t="shared" si="12"/>
        <v/>
      </c>
      <c r="N103" s="1242" t="str">
        <f t="shared" si="13"/>
        <v/>
      </c>
      <c r="O103" s="1306" t="str">
        <f>IF(J103&lt;&gt;"",'I. Stream &amp; Compound Data'!AM302,"")</f>
        <v/>
      </c>
      <c r="P103" s="1287" t="str">
        <f t="shared" si="14"/>
        <v/>
      </c>
      <c r="Q103" s="1149" t="str">
        <f t="shared" si="15"/>
        <v/>
      </c>
      <c r="R103" s="297"/>
      <c r="S103" s="298"/>
      <c r="T103" s="298"/>
      <c r="U103" s="299"/>
      <c r="V103" s="279"/>
      <c r="W103" s="279"/>
      <c r="X103" s="279"/>
      <c r="Y103" s="279"/>
      <c r="Z103" s="279"/>
      <c r="AA103" s="279"/>
      <c r="AB103" s="279"/>
      <c r="AC103" s="279"/>
      <c r="AD103" s="279"/>
      <c r="AE103" s="279"/>
      <c r="AF103" s="279"/>
      <c r="AG103" s="279"/>
      <c r="AH103" s="279"/>
      <c r="AI103" s="279"/>
      <c r="AJ103" s="279"/>
      <c r="AK103" s="279"/>
      <c r="AL103" s="279"/>
      <c r="AM103" s="279"/>
      <c r="AN103" s="279"/>
      <c r="AO103" s="279"/>
      <c r="AP103" s="279"/>
      <c r="AQ103" s="279"/>
      <c r="AR103" s="279"/>
      <c r="AS103" s="279"/>
      <c r="AT103" s="279"/>
      <c r="AU103" s="279"/>
      <c r="AV103" s="279"/>
      <c r="AW103" s="279"/>
      <c r="AX103" s="279"/>
      <c r="AY103" s="279"/>
      <c r="AZ103" s="279"/>
      <c r="BA103" s="279"/>
      <c r="BB103" s="279"/>
      <c r="BC103" s="279"/>
      <c r="BD103" s="279"/>
      <c r="BE103" s="279"/>
      <c r="BF103" s="279"/>
      <c r="BG103" s="279"/>
      <c r="BH103" s="279"/>
      <c r="BI103" s="279"/>
      <c r="BJ103" s="279"/>
      <c r="BK103" s="279"/>
      <c r="BL103" s="279"/>
      <c r="BM103" s="279"/>
      <c r="BN103" s="279"/>
      <c r="BO103" s="279"/>
      <c r="BP103" s="279"/>
      <c r="BQ103" s="279"/>
      <c r="BR103" s="279"/>
      <c r="BS103" s="279"/>
      <c r="BT103" s="279"/>
      <c r="BU103" s="279"/>
      <c r="BV103" s="279"/>
      <c r="BW103" s="279"/>
      <c r="BX103" s="279"/>
      <c r="BY103" s="279"/>
      <c r="BZ103" s="279"/>
      <c r="CA103" s="279"/>
      <c r="CB103" s="279"/>
      <c r="CC103" s="279"/>
      <c r="CD103" s="279"/>
      <c r="CE103" s="279"/>
      <c r="CF103" s="279"/>
      <c r="CG103" s="279"/>
      <c r="CH103" s="279"/>
      <c r="CI103" s="279"/>
      <c r="CJ103" s="279"/>
      <c r="CK103" s="279"/>
      <c r="CL103" s="279"/>
      <c r="CM103" s="279"/>
      <c r="CN103" s="382"/>
    </row>
    <row r="104" ht="15.6" x14ac:dyDescent="0.3">
      <c r="B104" s="361"/>
      <c r="C104" s="279"/>
      <c r="D104" s="280"/>
      <c r="E104" s="287"/>
      <c r="F104" s="287"/>
      <c r="G104" s="287"/>
      <c r="H104" s="1292">
        <f t="shared" si="9"/>
        <v>42</v>
      </c>
      <c r="I104" s="1320" t="str">
        <f>IF('I. Stream &amp; Compound Data'!G303&lt;&gt;"",'I. Stream &amp; Compound Data'!G303,"")</f>
        <v/>
      </c>
      <c r="J104" s="1190" t="str">
        <f t="shared" si="10"/>
        <v/>
      </c>
      <c r="K104" s="1306" t="str">
        <f>IF('I. Stream &amp; Compound Data'!T303&lt;&gt;"",'I. Stream &amp; Compound Data'!T303,IF(OR('I. Stream &amp; Compound Data'!U303=1,'I. Stream &amp; Compound Data'!V303=1),0,""))</f>
        <v/>
      </c>
      <c r="L104" s="1190" t="str">
        <f t="shared" si="11"/>
        <v/>
      </c>
      <c r="M104" s="1242" t="str">
        <f t="shared" si="12"/>
        <v/>
      </c>
      <c r="N104" s="1242" t="str">
        <f t="shared" si="13"/>
        <v/>
      </c>
      <c r="O104" s="1306" t="str">
        <f>IF(J104&lt;&gt;"",'I. Stream &amp; Compound Data'!AM303,"")</f>
        <v/>
      </c>
      <c r="P104" s="1287" t="str">
        <f t="shared" si="14"/>
        <v/>
      </c>
      <c r="Q104" s="1149" t="str">
        <f t="shared" si="15"/>
        <v/>
      </c>
      <c r="R104" s="297"/>
      <c r="S104" s="298"/>
      <c r="T104" s="298"/>
      <c r="U104" s="299"/>
      <c r="V104" s="279"/>
      <c r="W104" s="279"/>
      <c r="X104" s="279"/>
      <c r="Y104" s="279"/>
      <c r="Z104" s="279"/>
      <c r="AA104" s="279"/>
      <c r="AB104" s="279"/>
      <c r="AC104" s="279"/>
      <c r="AD104" s="279"/>
      <c r="AE104" s="279"/>
      <c r="AF104" s="279"/>
      <c r="AG104" s="279"/>
      <c r="AH104" s="279"/>
      <c r="AI104" s="279"/>
      <c r="AJ104" s="279"/>
      <c r="AK104" s="279"/>
      <c r="AL104" s="279"/>
      <c r="AM104" s="279"/>
      <c r="AN104" s="279"/>
      <c r="AO104" s="279"/>
      <c r="AP104" s="279"/>
      <c r="AQ104" s="279"/>
      <c r="AR104" s="279"/>
      <c r="AS104" s="279"/>
      <c r="AT104" s="279"/>
      <c r="AU104" s="279"/>
      <c r="AV104" s="279"/>
      <c r="AW104" s="279"/>
      <c r="AX104" s="279"/>
      <c r="AY104" s="279"/>
      <c r="AZ104" s="279"/>
      <c r="BA104" s="279"/>
      <c r="BB104" s="279"/>
      <c r="BC104" s="279"/>
      <c r="BD104" s="279"/>
      <c r="BE104" s="279"/>
      <c r="BF104" s="279"/>
      <c r="BG104" s="279"/>
      <c r="BH104" s="279"/>
      <c r="BI104" s="279"/>
      <c r="BJ104" s="279"/>
      <c r="BK104" s="279"/>
      <c r="BL104" s="279"/>
      <c r="BM104" s="279"/>
      <c r="BN104" s="279"/>
      <c r="BO104" s="279"/>
      <c r="BP104" s="279"/>
      <c r="BQ104" s="279"/>
      <c r="BR104" s="279"/>
      <c r="BS104" s="279"/>
      <c r="BT104" s="279"/>
      <c r="BU104" s="279"/>
      <c r="BV104" s="279"/>
      <c r="BW104" s="279"/>
      <c r="BX104" s="279"/>
      <c r="BY104" s="279"/>
      <c r="BZ104" s="279"/>
      <c r="CA104" s="279"/>
      <c r="CB104" s="279"/>
      <c r="CC104" s="279"/>
      <c r="CD104" s="279"/>
      <c r="CE104" s="279"/>
      <c r="CF104" s="279"/>
      <c r="CG104" s="279"/>
      <c r="CH104" s="279"/>
      <c r="CI104" s="279"/>
      <c r="CJ104" s="279"/>
      <c r="CK104" s="279"/>
      <c r="CL104" s="279"/>
      <c r="CM104" s="279"/>
      <c r="CN104" s="382"/>
    </row>
    <row r="105" ht="15.6" x14ac:dyDescent="0.3">
      <c r="B105" s="361"/>
      <c r="C105" s="279"/>
      <c r="D105" s="280"/>
      <c r="E105" s="287"/>
      <c r="F105" s="287"/>
      <c r="G105" s="287"/>
      <c r="H105" s="1292">
        <f t="shared" si="9"/>
        <v>43</v>
      </c>
      <c r="I105" s="1320" t="str">
        <f>IF('I. Stream &amp; Compound Data'!G304&lt;&gt;"",'I. Stream &amp; Compound Data'!G304,"")</f>
        <v/>
      </c>
      <c r="J105" s="1190" t="str">
        <f t="shared" si="10"/>
        <v/>
      </c>
      <c r="K105" s="1306" t="str">
        <f>IF('I. Stream &amp; Compound Data'!T304&lt;&gt;"",'I. Stream &amp; Compound Data'!T304,IF(OR('I. Stream &amp; Compound Data'!U304=1,'I. Stream &amp; Compound Data'!V304=1),0,""))</f>
        <v/>
      </c>
      <c r="L105" s="1190" t="str">
        <f t="shared" si="11"/>
        <v/>
      </c>
      <c r="M105" s="1242" t="str">
        <f t="shared" si="12"/>
        <v/>
      </c>
      <c r="N105" s="1242" t="str">
        <f t="shared" si="13"/>
        <v/>
      </c>
      <c r="O105" s="1306" t="str">
        <f>IF(J105&lt;&gt;"",'I. Stream &amp; Compound Data'!AM304,"")</f>
        <v/>
      </c>
      <c r="P105" s="1287" t="str">
        <f t="shared" si="14"/>
        <v/>
      </c>
      <c r="Q105" s="1149" t="str">
        <f t="shared" si="15"/>
        <v/>
      </c>
      <c r="R105" s="297"/>
      <c r="S105" s="298"/>
      <c r="T105" s="298"/>
      <c r="U105" s="299"/>
      <c r="V105" s="279"/>
      <c r="W105" s="279"/>
      <c r="X105" s="279"/>
      <c r="Y105" s="279"/>
      <c r="Z105" s="279"/>
      <c r="AA105" s="279"/>
      <c r="AB105" s="279"/>
      <c r="AC105" s="279"/>
      <c r="AD105" s="279"/>
      <c r="AE105" s="279"/>
      <c r="AF105" s="279"/>
      <c r="AG105" s="279"/>
      <c r="AH105" s="279"/>
      <c r="AI105" s="279"/>
      <c r="AJ105" s="279"/>
      <c r="AK105" s="279"/>
      <c r="AL105" s="279"/>
      <c r="AM105" s="279"/>
      <c r="AN105" s="279"/>
      <c r="AO105" s="279"/>
      <c r="AP105" s="279"/>
      <c r="AQ105" s="279"/>
      <c r="AR105" s="279"/>
      <c r="AS105" s="279"/>
      <c r="AT105" s="279"/>
      <c r="AU105" s="279"/>
      <c r="AV105" s="279"/>
      <c r="AW105" s="279"/>
      <c r="AX105" s="279"/>
      <c r="AY105" s="279"/>
      <c r="AZ105" s="279"/>
      <c r="BA105" s="279"/>
      <c r="BB105" s="279"/>
      <c r="BC105" s="279"/>
      <c r="BD105" s="279"/>
      <c r="BE105" s="279"/>
      <c r="BF105" s="279"/>
      <c r="BG105" s="279"/>
      <c r="BH105" s="279"/>
      <c r="BI105" s="279"/>
      <c r="BJ105" s="279"/>
      <c r="BK105" s="279"/>
      <c r="BL105" s="279"/>
      <c r="BM105" s="279"/>
      <c r="BN105" s="279"/>
      <c r="BO105" s="279"/>
      <c r="BP105" s="279"/>
      <c r="BQ105" s="279"/>
      <c r="BR105" s="279"/>
      <c r="BS105" s="279"/>
      <c r="BT105" s="279"/>
      <c r="BU105" s="279"/>
      <c r="BV105" s="279"/>
      <c r="BW105" s="279"/>
      <c r="BX105" s="279"/>
      <c r="BY105" s="279"/>
      <c r="BZ105" s="279"/>
      <c r="CA105" s="279"/>
      <c r="CB105" s="279"/>
      <c r="CC105" s="279"/>
      <c r="CD105" s="279"/>
      <c r="CE105" s="279"/>
      <c r="CF105" s="279"/>
      <c r="CG105" s="279"/>
      <c r="CH105" s="279"/>
      <c r="CI105" s="279"/>
      <c r="CJ105" s="279"/>
      <c r="CK105" s="279"/>
      <c r="CL105" s="279"/>
      <c r="CM105" s="279"/>
      <c r="CN105" s="382"/>
    </row>
    <row r="106" ht="15.6" x14ac:dyDescent="0.3">
      <c r="B106" s="361"/>
      <c r="C106" s="279"/>
      <c r="D106" s="280"/>
      <c r="E106" s="287"/>
      <c r="F106" s="287"/>
      <c r="G106" s="287"/>
      <c r="H106" s="1292">
        <f t="shared" si="9"/>
        <v>44</v>
      </c>
      <c r="I106" s="1320" t="str">
        <f>IF('I. Stream &amp; Compound Data'!G305&lt;&gt;"",'I. Stream &amp; Compound Data'!G305,"")</f>
        <v/>
      </c>
      <c r="J106" s="1190" t="str">
        <f t="shared" si="10"/>
        <v/>
      </c>
      <c r="K106" s="1306" t="str">
        <f>IF('I. Stream &amp; Compound Data'!T305&lt;&gt;"",'I. Stream &amp; Compound Data'!T305,IF(OR('I. Stream &amp; Compound Data'!U305=1,'I. Stream &amp; Compound Data'!V305=1),0,""))</f>
        <v/>
      </c>
      <c r="L106" s="1190" t="str">
        <f t="shared" si="11"/>
        <v/>
      </c>
      <c r="M106" s="1242" t="str">
        <f t="shared" si="12"/>
        <v/>
      </c>
      <c r="N106" s="1242" t="str">
        <f t="shared" si="13"/>
        <v/>
      </c>
      <c r="O106" s="1306" t="str">
        <f>IF(J106&lt;&gt;"",'I. Stream &amp; Compound Data'!AM305,"")</f>
        <v/>
      </c>
      <c r="P106" s="1287" t="str">
        <f t="shared" si="14"/>
        <v/>
      </c>
      <c r="Q106" s="1149" t="str">
        <f t="shared" si="15"/>
        <v/>
      </c>
      <c r="R106" s="297"/>
      <c r="S106" s="298"/>
      <c r="T106" s="298"/>
      <c r="U106" s="299"/>
      <c r="V106" s="279"/>
      <c r="W106" s="279"/>
      <c r="X106" s="279"/>
      <c r="Y106" s="279"/>
      <c r="Z106" s="279"/>
      <c r="AA106" s="279"/>
      <c r="AB106" s="279"/>
      <c r="AC106" s="279"/>
      <c r="AD106" s="279"/>
      <c r="AE106" s="279"/>
      <c r="AF106" s="279"/>
      <c r="AG106" s="279"/>
      <c r="AH106" s="279"/>
      <c r="AI106" s="279"/>
      <c r="AJ106" s="279"/>
      <c r="AK106" s="279"/>
      <c r="AL106" s="279"/>
      <c r="AM106" s="279"/>
      <c r="AN106" s="279"/>
      <c r="AO106" s="279"/>
      <c r="AP106" s="279"/>
      <c r="AQ106" s="279"/>
      <c r="AR106" s="279"/>
      <c r="AS106" s="279"/>
      <c r="AT106" s="279"/>
      <c r="AU106" s="279"/>
      <c r="AV106" s="279"/>
      <c r="AW106" s="279"/>
      <c r="AX106" s="279"/>
      <c r="AY106" s="279"/>
      <c r="AZ106" s="279"/>
      <c r="BA106" s="279"/>
      <c r="BB106" s="279"/>
      <c r="BC106" s="279"/>
      <c r="BD106" s="279"/>
      <c r="BE106" s="279"/>
      <c r="BF106" s="279"/>
      <c r="BG106" s="279"/>
      <c r="BH106" s="279"/>
      <c r="BI106" s="279"/>
      <c r="BJ106" s="279"/>
      <c r="BK106" s="279"/>
      <c r="BL106" s="279"/>
      <c r="BM106" s="279"/>
      <c r="BN106" s="279"/>
      <c r="BO106" s="279"/>
      <c r="BP106" s="279"/>
      <c r="BQ106" s="279"/>
      <c r="BR106" s="279"/>
      <c r="BS106" s="279"/>
      <c r="BT106" s="279"/>
      <c r="BU106" s="279"/>
      <c r="BV106" s="279"/>
      <c r="BW106" s="279"/>
      <c r="BX106" s="279"/>
      <c r="BY106" s="279"/>
      <c r="BZ106" s="279"/>
      <c r="CA106" s="279"/>
      <c r="CB106" s="279"/>
      <c r="CC106" s="279"/>
      <c r="CD106" s="279"/>
      <c r="CE106" s="279"/>
      <c r="CF106" s="279"/>
      <c r="CG106" s="279"/>
      <c r="CH106" s="279"/>
      <c r="CI106" s="279"/>
      <c r="CJ106" s="279"/>
      <c r="CK106" s="279"/>
      <c r="CL106" s="279"/>
      <c r="CM106" s="279"/>
      <c r="CN106" s="382"/>
    </row>
    <row r="107" ht="15.6" x14ac:dyDescent="0.3">
      <c r="B107" s="361"/>
      <c r="C107" s="279"/>
      <c r="D107" s="280"/>
      <c r="E107" s="287"/>
      <c r="F107" s="287"/>
      <c r="G107" s="287"/>
      <c r="H107" s="1292">
        <f t="shared" si="9"/>
        <v>45</v>
      </c>
      <c r="I107" s="1320" t="str">
        <f>IF('I. Stream &amp; Compound Data'!G306&lt;&gt;"",'I. Stream &amp; Compound Data'!G306,"")</f>
        <v/>
      </c>
      <c r="J107" s="1190" t="str">
        <f t="shared" si="10"/>
        <v/>
      </c>
      <c r="K107" s="1306" t="str">
        <f>IF('I. Stream &amp; Compound Data'!T306&lt;&gt;"",'I. Stream &amp; Compound Data'!T306,IF(OR('I. Stream &amp; Compound Data'!U306=1,'I. Stream &amp; Compound Data'!V306=1),0,""))</f>
        <v/>
      </c>
      <c r="L107" s="1190" t="str">
        <f t="shared" si="11"/>
        <v/>
      </c>
      <c r="M107" s="1242" t="str">
        <f t="shared" si="12"/>
        <v/>
      </c>
      <c r="N107" s="1242" t="str">
        <f t="shared" si="13"/>
        <v/>
      </c>
      <c r="O107" s="1306" t="str">
        <f>IF(J107&lt;&gt;"",'I. Stream &amp; Compound Data'!AM306,"")</f>
        <v/>
      </c>
      <c r="P107" s="1287" t="str">
        <f t="shared" si="14"/>
        <v/>
      </c>
      <c r="Q107" s="1149" t="str">
        <f t="shared" si="15"/>
        <v/>
      </c>
      <c r="R107" s="297"/>
      <c r="S107" s="298"/>
      <c r="T107" s="298"/>
      <c r="U107" s="299"/>
      <c r="V107" s="279"/>
      <c r="W107" s="279"/>
      <c r="X107" s="279"/>
      <c r="Y107" s="279"/>
      <c r="Z107" s="279"/>
      <c r="AA107" s="279"/>
      <c r="AB107" s="279"/>
      <c r="AC107" s="279"/>
      <c r="AD107" s="279"/>
      <c r="AE107" s="279"/>
      <c r="AF107" s="279"/>
      <c r="AG107" s="279"/>
      <c r="AH107" s="279"/>
      <c r="AI107" s="279"/>
      <c r="AJ107" s="279"/>
      <c r="AK107" s="279"/>
      <c r="AL107" s="279"/>
      <c r="AM107" s="279"/>
      <c r="AN107" s="279"/>
      <c r="AO107" s="279"/>
      <c r="AP107" s="279"/>
      <c r="AQ107" s="279"/>
      <c r="AR107" s="279"/>
      <c r="AS107" s="279"/>
      <c r="AT107" s="279"/>
      <c r="AU107" s="279"/>
      <c r="AV107" s="279"/>
      <c r="AW107" s="279"/>
      <c r="AX107" s="279"/>
      <c r="AY107" s="279"/>
      <c r="AZ107" s="279"/>
      <c r="BA107" s="279"/>
      <c r="BB107" s="279"/>
      <c r="BC107" s="279"/>
      <c r="BD107" s="279"/>
      <c r="BE107" s="279"/>
      <c r="BF107" s="279"/>
      <c r="BG107" s="279"/>
      <c r="BH107" s="279"/>
      <c r="BI107" s="279"/>
      <c r="BJ107" s="279"/>
      <c r="BK107" s="279"/>
      <c r="BL107" s="279"/>
      <c r="BM107" s="279"/>
      <c r="BN107" s="279"/>
      <c r="BO107" s="279"/>
      <c r="BP107" s="279"/>
      <c r="BQ107" s="279"/>
      <c r="BR107" s="279"/>
      <c r="BS107" s="279"/>
      <c r="BT107" s="279"/>
      <c r="BU107" s="279"/>
      <c r="BV107" s="279"/>
      <c r="BW107" s="279"/>
      <c r="BX107" s="279"/>
      <c r="BY107" s="279"/>
      <c r="BZ107" s="279"/>
      <c r="CA107" s="279"/>
      <c r="CB107" s="279"/>
      <c r="CC107" s="279"/>
      <c r="CD107" s="279"/>
      <c r="CE107" s="279"/>
      <c r="CF107" s="279"/>
      <c r="CG107" s="279"/>
      <c r="CH107" s="279"/>
      <c r="CI107" s="279"/>
      <c r="CJ107" s="279"/>
      <c r="CK107" s="279"/>
      <c r="CL107" s="279"/>
      <c r="CM107" s="279"/>
      <c r="CN107" s="382"/>
    </row>
    <row r="108" ht="15.6" x14ac:dyDescent="0.3">
      <c r="B108" s="361"/>
      <c r="C108" s="279"/>
      <c r="D108" s="280"/>
      <c r="E108" s="287"/>
      <c r="F108" s="287"/>
      <c r="G108" s="287"/>
      <c r="H108" s="1292">
        <f t="shared" si="9"/>
        <v>46</v>
      </c>
      <c r="I108" s="1320" t="str">
        <f>IF('I. Stream &amp; Compound Data'!G307&lt;&gt;"",'I. Stream &amp; Compound Data'!G307,"")</f>
        <v/>
      </c>
      <c r="J108" s="1190" t="str">
        <f t="shared" si="10"/>
        <v/>
      </c>
      <c r="K108" s="1306" t="str">
        <f>IF('I. Stream &amp; Compound Data'!T307&lt;&gt;"",'I. Stream &amp; Compound Data'!T307,IF(OR('I. Stream &amp; Compound Data'!U307=1,'I. Stream &amp; Compound Data'!V307=1),0,""))</f>
        <v/>
      </c>
      <c r="L108" s="1190" t="str">
        <f t="shared" si="11"/>
        <v/>
      </c>
      <c r="M108" s="1242" t="str">
        <f t="shared" si="12"/>
        <v/>
      </c>
      <c r="N108" s="1242" t="str">
        <f t="shared" si="13"/>
        <v/>
      </c>
      <c r="O108" s="1306" t="str">
        <f>IF(J108&lt;&gt;"",'I. Stream &amp; Compound Data'!AM307,"")</f>
        <v/>
      </c>
      <c r="P108" s="1287" t="str">
        <f t="shared" si="14"/>
        <v/>
      </c>
      <c r="Q108" s="1149" t="str">
        <f t="shared" si="15"/>
        <v/>
      </c>
      <c r="R108" s="297"/>
      <c r="S108" s="298"/>
      <c r="T108" s="298"/>
      <c r="U108" s="299"/>
      <c r="V108" s="279"/>
      <c r="W108" s="279"/>
      <c r="X108" s="279"/>
      <c r="Y108" s="279"/>
      <c r="Z108" s="279"/>
      <c r="AA108" s="279"/>
      <c r="AB108" s="279"/>
      <c r="AC108" s="279"/>
      <c r="AD108" s="279"/>
      <c r="AE108" s="279"/>
      <c r="AF108" s="279"/>
      <c r="AG108" s="279"/>
      <c r="AH108" s="279"/>
      <c r="AI108" s="279"/>
      <c r="AJ108" s="279"/>
      <c r="AK108" s="279"/>
      <c r="AL108" s="279"/>
      <c r="AM108" s="279"/>
      <c r="AN108" s="279"/>
      <c r="AO108" s="279"/>
      <c r="AP108" s="279"/>
      <c r="AQ108" s="279"/>
      <c r="AR108" s="279"/>
      <c r="AS108" s="279"/>
      <c r="AT108" s="279"/>
      <c r="AU108" s="279"/>
      <c r="AV108" s="279"/>
      <c r="AW108" s="279"/>
      <c r="AX108" s="279"/>
      <c r="AY108" s="279"/>
      <c r="AZ108" s="279"/>
      <c r="BA108" s="279"/>
      <c r="BB108" s="279"/>
      <c r="BC108" s="279"/>
      <c r="BD108" s="279"/>
      <c r="BE108" s="279"/>
      <c r="BF108" s="279"/>
      <c r="BG108" s="279"/>
      <c r="BH108" s="279"/>
      <c r="BI108" s="279"/>
      <c r="BJ108" s="279"/>
      <c r="BK108" s="279"/>
      <c r="BL108" s="279"/>
      <c r="BM108" s="279"/>
      <c r="BN108" s="279"/>
      <c r="BO108" s="279"/>
      <c r="BP108" s="279"/>
      <c r="BQ108" s="279"/>
      <c r="BR108" s="279"/>
      <c r="BS108" s="279"/>
      <c r="BT108" s="279"/>
      <c r="BU108" s="279"/>
      <c r="BV108" s="279"/>
      <c r="BW108" s="279"/>
      <c r="BX108" s="279"/>
      <c r="BY108" s="279"/>
      <c r="BZ108" s="279"/>
      <c r="CA108" s="279"/>
      <c r="CB108" s="279"/>
      <c r="CC108" s="279"/>
      <c r="CD108" s="279"/>
      <c r="CE108" s="279"/>
      <c r="CF108" s="279"/>
      <c r="CG108" s="279"/>
      <c r="CH108" s="279"/>
      <c r="CI108" s="279"/>
      <c r="CJ108" s="279"/>
      <c r="CK108" s="279"/>
      <c r="CL108" s="279"/>
      <c r="CM108" s="279"/>
      <c r="CN108" s="382"/>
    </row>
    <row r="109" ht="15.6" x14ac:dyDescent="0.3">
      <c r="B109" s="361"/>
      <c r="C109" s="279"/>
      <c r="D109" s="280"/>
      <c r="E109" s="287"/>
      <c r="F109" s="287"/>
      <c r="G109" s="287"/>
      <c r="H109" s="1292">
        <f t="shared" si="9"/>
        <v>47</v>
      </c>
      <c r="I109" s="1320" t="str">
        <f>IF('I. Stream &amp; Compound Data'!G308&lt;&gt;"",'I. Stream &amp; Compound Data'!G308,"")</f>
        <v/>
      </c>
      <c r="J109" s="1190" t="str">
        <f t="shared" si="10"/>
        <v/>
      </c>
      <c r="K109" s="1306" t="str">
        <f>IF('I. Stream &amp; Compound Data'!T308&lt;&gt;"",'I. Stream &amp; Compound Data'!T308,IF(OR('I. Stream &amp; Compound Data'!U308=1,'I. Stream &amp; Compound Data'!V308=1),0,""))</f>
        <v/>
      </c>
      <c r="L109" s="1190" t="str">
        <f t="shared" si="11"/>
        <v/>
      </c>
      <c r="M109" s="1242" t="str">
        <f t="shared" si="12"/>
        <v/>
      </c>
      <c r="N109" s="1242" t="str">
        <f t="shared" si="13"/>
        <v/>
      </c>
      <c r="O109" s="1306" t="str">
        <f>IF(J109&lt;&gt;"",'I. Stream &amp; Compound Data'!AM308,"")</f>
        <v/>
      </c>
      <c r="P109" s="1287" t="str">
        <f t="shared" si="14"/>
        <v/>
      </c>
      <c r="Q109" s="1149" t="str">
        <f t="shared" si="15"/>
        <v/>
      </c>
      <c r="R109" s="297"/>
      <c r="S109" s="298"/>
      <c r="T109" s="298"/>
      <c r="U109" s="299"/>
      <c r="V109" s="279"/>
      <c r="W109" s="279"/>
      <c r="X109" s="279"/>
      <c r="Y109" s="279"/>
      <c r="Z109" s="279"/>
      <c r="AA109" s="279"/>
      <c r="AB109" s="279"/>
      <c r="AC109" s="279"/>
      <c r="AD109" s="279"/>
      <c r="AE109" s="279"/>
      <c r="AF109" s="279"/>
      <c r="AG109" s="279"/>
      <c r="AH109" s="279"/>
      <c r="AI109" s="279"/>
      <c r="AJ109" s="279"/>
      <c r="AK109" s="279"/>
      <c r="AL109" s="279"/>
      <c r="AM109" s="279"/>
      <c r="AN109" s="279"/>
      <c r="AO109" s="279"/>
      <c r="AP109" s="279"/>
      <c r="AQ109" s="279"/>
      <c r="AR109" s="279"/>
      <c r="AS109" s="279"/>
      <c r="AT109" s="279"/>
      <c r="AU109" s="279"/>
      <c r="AV109" s="279"/>
      <c r="AW109" s="279"/>
      <c r="AX109" s="279"/>
      <c r="AY109" s="279"/>
      <c r="AZ109" s="279"/>
      <c r="BA109" s="279"/>
      <c r="BB109" s="279"/>
      <c r="BC109" s="279"/>
      <c r="BD109" s="279"/>
      <c r="BE109" s="279"/>
      <c r="BF109" s="279"/>
      <c r="BG109" s="279"/>
      <c r="BH109" s="279"/>
      <c r="BI109" s="279"/>
      <c r="BJ109" s="279"/>
      <c r="BK109" s="279"/>
      <c r="BL109" s="279"/>
      <c r="BM109" s="279"/>
      <c r="BN109" s="279"/>
      <c r="BO109" s="279"/>
      <c r="BP109" s="279"/>
      <c r="BQ109" s="279"/>
      <c r="BR109" s="279"/>
      <c r="BS109" s="279"/>
      <c r="BT109" s="279"/>
      <c r="BU109" s="279"/>
      <c r="BV109" s="279"/>
      <c r="BW109" s="279"/>
      <c r="BX109" s="279"/>
      <c r="BY109" s="279"/>
      <c r="BZ109" s="279"/>
      <c r="CA109" s="279"/>
      <c r="CB109" s="279"/>
      <c r="CC109" s="279"/>
      <c r="CD109" s="279"/>
      <c r="CE109" s="279"/>
      <c r="CF109" s="279"/>
      <c r="CG109" s="279"/>
      <c r="CH109" s="279"/>
      <c r="CI109" s="279"/>
      <c r="CJ109" s="279"/>
      <c r="CK109" s="279"/>
      <c r="CL109" s="279"/>
      <c r="CM109" s="279"/>
      <c r="CN109" s="382"/>
    </row>
    <row r="110" ht="15.6" x14ac:dyDescent="0.3">
      <c r="B110" s="361"/>
      <c r="C110" s="279"/>
      <c r="D110" s="280"/>
      <c r="E110" s="287"/>
      <c r="F110" s="287"/>
      <c r="G110" s="287"/>
      <c r="H110" s="1292">
        <f t="shared" si="9"/>
        <v>48</v>
      </c>
      <c r="I110" s="1320" t="str">
        <f>IF('I. Stream &amp; Compound Data'!G309&lt;&gt;"",'I. Stream &amp; Compound Data'!G309,"")</f>
        <v/>
      </c>
      <c r="J110" s="1190" t="str">
        <f t="shared" si="10"/>
        <v/>
      </c>
      <c r="K110" s="1306" t="str">
        <f>IF('I. Stream &amp; Compound Data'!T309&lt;&gt;"",'I. Stream &amp; Compound Data'!T309,IF(OR('I. Stream &amp; Compound Data'!U309=1,'I. Stream &amp; Compound Data'!V309=1),0,""))</f>
        <v/>
      </c>
      <c r="L110" s="1190" t="str">
        <f t="shared" si="11"/>
        <v/>
      </c>
      <c r="M110" s="1242" t="str">
        <f t="shared" si="12"/>
        <v/>
      </c>
      <c r="N110" s="1242" t="str">
        <f t="shared" si="13"/>
        <v/>
      </c>
      <c r="O110" s="1306" t="str">
        <f>IF(J110&lt;&gt;"",'I. Stream &amp; Compound Data'!AM309,"")</f>
        <v/>
      </c>
      <c r="P110" s="1287" t="str">
        <f t="shared" si="14"/>
        <v/>
      </c>
      <c r="Q110" s="1149" t="str">
        <f t="shared" si="15"/>
        <v/>
      </c>
      <c r="R110" s="297"/>
      <c r="S110" s="298"/>
      <c r="T110" s="298"/>
      <c r="U110" s="299"/>
      <c r="V110" s="279"/>
      <c r="W110" s="279"/>
      <c r="X110" s="279"/>
      <c r="Y110" s="279"/>
      <c r="Z110" s="279"/>
      <c r="AA110" s="279"/>
      <c r="AB110" s="279"/>
      <c r="AC110" s="279"/>
      <c r="AD110" s="279"/>
      <c r="AE110" s="279"/>
      <c r="AF110" s="279"/>
      <c r="AG110" s="279"/>
      <c r="AH110" s="279"/>
      <c r="AI110" s="279"/>
      <c r="AJ110" s="279"/>
      <c r="AK110" s="279"/>
      <c r="AL110" s="279"/>
      <c r="AM110" s="279"/>
      <c r="AN110" s="279"/>
      <c r="AO110" s="279"/>
      <c r="AP110" s="279"/>
      <c r="AQ110" s="279"/>
      <c r="AR110" s="279"/>
      <c r="AS110" s="279"/>
      <c r="AT110" s="279"/>
      <c r="AU110" s="279"/>
      <c r="AV110" s="279"/>
      <c r="AW110" s="279"/>
      <c r="AX110" s="279"/>
      <c r="AY110" s="279"/>
      <c r="AZ110" s="279"/>
      <c r="BA110" s="279"/>
      <c r="BB110" s="279"/>
      <c r="BC110" s="279"/>
      <c r="BD110" s="279"/>
      <c r="BE110" s="279"/>
      <c r="BF110" s="279"/>
      <c r="BG110" s="279"/>
      <c r="BH110" s="279"/>
      <c r="BI110" s="279"/>
      <c r="BJ110" s="279"/>
      <c r="BK110" s="279"/>
      <c r="BL110" s="279"/>
      <c r="BM110" s="279"/>
      <c r="BN110" s="279"/>
      <c r="BO110" s="279"/>
      <c r="BP110" s="279"/>
      <c r="BQ110" s="279"/>
      <c r="BR110" s="279"/>
      <c r="BS110" s="279"/>
      <c r="BT110" s="279"/>
      <c r="BU110" s="279"/>
      <c r="BV110" s="279"/>
      <c r="BW110" s="279"/>
      <c r="BX110" s="279"/>
      <c r="BY110" s="279"/>
      <c r="BZ110" s="279"/>
      <c r="CA110" s="279"/>
      <c r="CB110" s="279"/>
      <c r="CC110" s="279"/>
      <c r="CD110" s="279"/>
      <c r="CE110" s="279"/>
      <c r="CF110" s="279"/>
      <c r="CG110" s="279"/>
      <c r="CH110" s="279"/>
      <c r="CI110" s="279"/>
      <c r="CJ110" s="279"/>
      <c r="CK110" s="279"/>
      <c r="CL110" s="279"/>
      <c r="CM110" s="279"/>
      <c r="CN110" s="382"/>
    </row>
    <row r="111" ht="15.6" x14ac:dyDescent="0.3">
      <c r="B111" s="361"/>
      <c r="C111" s="279"/>
      <c r="D111" s="280"/>
      <c r="E111" s="287"/>
      <c r="F111" s="287"/>
      <c r="G111" s="287"/>
      <c r="H111" s="1292">
        <f t="shared" si="9"/>
        <v>49</v>
      </c>
      <c r="I111" s="1320" t="str">
        <f>IF('I. Stream &amp; Compound Data'!G310&lt;&gt;"",'I. Stream &amp; Compound Data'!G310,"")</f>
        <v/>
      </c>
      <c r="J111" s="1190" t="str">
        <f t="shared" si="10"/>
        <v/>
      </c>
      <c r="K111" s="1306" t="str">
        <f>IF('I. Stream &amp; Compound Data'!T310&lt;&gt;"",'I. Stream &amp; Compound Data'!T310,IF(OR('I. Stream &amp; Compound Data'!U310=1,'I. Stream &amp; Compound Data'!V310=1),0,""))</f>
        <v/>
      </c>
      <c r="L111" s="1190" t="str">
        <f t="shared" si="11"/>
        <v/>
      </c>
      <c r="M111" s="1242" t="str">
        <f t="shared" si="12"/>
        <v/>
      </c>
      <c r="N111" s="1242" t="str">
        <f t="shared" si="13"/>
        <v/>
      </c>
      <c r="O111" s="1306" t="str">
        <f>IF(J111&lt;&gt;"",'I. Stream &amp; Compound Data'!AM310,"")</f>
        <v/>
      </c>
      <c r="P111" s="1287" t="str">
        <f t="shared" si="14"/>
        <v/>
      </c>
      <c r="Q111" s="1149" t="str">
        <f t="shared" si="15"/>
        <v/>
      </c>
      <c r="R111" s="297"/>
      <c r="S111" s="298"/>
      <c r="T111" s="298"/>
      <c r="U111" s="299"/>
      <c r="V111" s="279"/>
      <c r="W111" s="279"/>
      <c r="X111" s="279"/>
      <c r="Y111" s="279"/>
      <c r="Z111" s="279"/>
      <c r="AA111" s="279"/>
      <c r="AB111" s="279"/>
      <c r="AC111" s="279"/>
      <c r="AD111" s="279"/>
      <c r="AE111" s="279"/>
      <c r="AF111" s="279"/>
      <c r="AG111" s="279"/>
      <c r="AH111" s="279"/>
      <c r="AI111" s="279"/>
      <c r="AJ111" s="279"/>
      <c r="AK111" s="279"/>
      <c r="AL111" s="279"/>
      <c r="AM111" s="279"/>
      <c r="AN111" s="279"/>
      <c r="AO111" s="279"/>
      <c r="AP111" s="279"/>
      <c r="AQ111" s="279"/>
      <c r="AR111" s="279"/>
      <c r="AS111" s="279"/>
      <c r="AT111" s="279"/>
      <c r="AU111" s="279"/>
      <c r="AV111" s="279"/>
      <c r="AW111" s="279"/>
      <c r="AX111" s="279"/>
      <c r="AY111" s="279"/>
      <c r="AZ111" s="279"/>
      <c r="BA111" s="279"/>
      <c r="BB111" s="279"/>
      <c r="BC111" s="279"/>
      <c r="BD111" s="279"/>
      <c r="BE111" s="279"/>
      <c r="BF111" s="279"/>
      <c r="BG111" s="279"/>
      <c r="BH111" s="279"/>
      <c r="BI111" s="279"/>
      <c r="BJ111" s="279"/>
      <c r="BK111" s="279"/>
      <c r="BL111" s="279"/>
      <c r="BM111" s="279"/>
      <c r="BN111" s="279"/>
      <c r="BO111" s="279"/>
      <c r="BP111" s="279"/>
      <c r="BQ111" s="279"/>
      <c r="BR111" s="279"/>
      <c r="BS111" s="279"/>
      <c r="BT111" s="279"/>
      <c r="BU111" s="279"/>
      <c r="BV111" s="279"/>
      <c r="BW111" s="279"/>
      <c r="BX111" s="279"/>
      <c r="BY111" s="279"/>
      <c r="BZ111" s="279"/>
      <c r="CA111" s="279"/>
      <c r="CB111" s="279"/>
      <c r="CC111" s="279"/>
      <c r="CD111" s="279"/>
      <c r="CE111" s="279"/>
      <c r="CF111" s="279"/>
      <c r="CG111" s="279"/>
      <c r="CH111" s="279"/>
      <c r="CI111" s="279"/>
      <c r="CJ111" s="279"/>
      <c r="CK111" s="279"/>
      <c r="CL111" s="279"/>
      <c r="CM111" s="279"/>
      <c r="CN111" s="382"/>
    </row>
    <row r="112" ht="16.2" thickBot="true" x14ac:dyDescent="0.35">
      <c r="B112" s="361"/>
      <c r="C112" s="279"/>
      <c r="D112" s="280"/>
      <c r="E112" s="287"/>
      <c r="F112" s="287"/>
      <c r="G112" s="287"/>
      <c r="H112" s="1292">
        <f t="shared" si="9"/>
        <v>50</v>
      </c>
      <c r="I112" s="1321" t="str">
        <f>IF('I. Stream &amp; Compound Data'!G311&lt;&gt;"",'I. Stream &amp; Compound Data'!G311,"")</f>
        <v/>
      </c>
      <c r="J112" s="1259" t="str">
        <f t="shared" si="10"/>
        <v/>
      </c>
      <c r="K112" s="1308" t="str">
        <f>IF('I. Stream &amp; Compound Data'!T311&lt;&gt;"",'I. Stream &amp; Compound Data'!T311,IF(OR('I. Stream &amp; Compound Data'!U311=1,'I. Stream &amp; Compound Data'!V311=1),0,""))</f>
        <v/>
      </c>
      <c r="L112" s="1259" t="str">
        <f t="shared" si="11"/>
        <v/>
      </c>
      <c r="M112" s="1210" t="str">
        <f t="shared" si="12"/>
        <v/>
      </c>
      <c r="N112" s="1210" t="str">
        <f t="shared" si="13"/>
        <v/>
      </c>
      <c r="O112" s="1308" t="str">
        <f>IF(J112&lt;&gt;"",'I. Stream &amp; Compound Data'!AM311,"")</f>
        <v/>
      </c>
      <c r="P112" s="1290" t="str">
        <f t="shared" si="14"/>
        <v/>
      </c>
      <c r="Q112" s="1291" t="str">
        <f t="shared" si="15"/>
        <v/>
      </c>
      <c r="R112" s="297"/>
      <c r="S112" s="298"/>
      <c r="T112" s="298"/>
      <c r="U112" s="299"/>
      <c r="V112" s="279"/>
      <c r="W112" s="279"/>
      <c r="X112" s="279"/>
      <c r="Y112" s="279"/>
      <c r="Z112" s="279"/>
      <c r="AA112" s="279"/>
      <c r="AB112" s="279"/>
      <c r="AC112" s="279"/>
      <c r="AD112" s="279"/>
      <c r="AE112" s="279"/>
      <c r="AF112" s="279"/>
      <c r="AG112" s="279"/>
      <c r="AH112" s="279"/>
      <c r="AI112" s="279"/>
      <c r="AJ112" s="279"/>
      <c r="AK112" s="279"/>
      <c r="AL112" s="279"/>
      <c r="AM112" s="279"/>
      <c r="AN112" s="279"/>
      <c r="AO112" s="279"/>
      <c r="AP112" s="279"/>
      <c r="AQ112" s="279"/>
      <c r="AR112" s="279"/>
      <c r="AS112" s="279"/>
      <c r="AT112" s="279"/>
      <c r="AU112" s="279"/>
      <c r="AV112" s="279"/>
      <c r="AW112" s="279"/>
      <c r="AX112" s="279"/>
      <c r="AY112" s="279"/>
      <c r="AZ112" s="279"/>
      <c r="BA112" s="279"/>
      <c r="BB112" s="279"/>
      <c r="BC112" s="279"/>
      <c r="BD112" s="279"/>
      <c r="BE112" s="279"/>
      <c r="BF112" s="279"/>
      <c r="BG112" s="279"/>
      <c r="BH112" s="279"/>
      <c r="BI112" s="279"/>
      <c r="BJ112" s="279"/>
      <c r="BK112" s="279"/>
      <c r="BL112" s="279"/>
      <c r="BM112" s="279"/>
      <c r="BN112" s="279"/>
      <c r="BO112" s="279"/>
      <c r="BP112" s="279"/>
      <c r="BQ112" s="279"/>
      <c r="BR112" s="279"/>
      <c r="BS112" s="279"/>
      <c r="BT112" s="279"/>
      <c r="BU112" s="279"/>
      <c r="BV112" s="279"/>
      <c r="BW112" s="279"/>
      <c r="BX112" s="279"/>
      <c r="BY112" s="279"/>
      <c r="BZ112" s="279"/>
      <c r="CA112" s="279"/>
      <c r="CB112" s="279"/>
      <c r="CC112" s="279"/>
      <c r="CD112" s="279"/>
      <c r="CE112" s="279"/>
      <c r="CF112" s="279"/>
      <c r="CG112" s="279"/>
      <c r="CH112" s="279"/>
      <c r="CI112" s="279"/>
      <c r="CJ112" s="279"/>
      <c r="CK112" s="279"/>
      <c r="CL112" s="279"/>
      <c r="CM112" s="279"/>
      <c r="CN112" s="382"/>
    </row>
    <row r="113" ht="16.2" thickBot="true" x14ac:dyDescent="0.35">
      <c r="B113" s="361"/>
      <c r="C113" s="279"/>
      <c r="D113" s="280"/>
      <c r="E113" s="287"/>
      <c r="F113" s="287"/>
      <c r="G113" s="287"/>
      <c r="H113" s="280"/>
      <c r="I113" s="306"/>
      <c r="J113" s="279"/>
      <c r="K113" s="287" t="s">
        <v>88</v>
      </c>
      <c r="L113" s="1315">
        <f t="shared" ref="L113:Q113" si="16">SUM(L63:L112)</f>
        <v>0</v>
      </c>
      <c r="M113" s="1508">
        <f t="shared" si="16"/>
        <v>0</v>
      </c>
      <c r="N113" s="1316">
        <f t="shared" si="16"/>
        <v>0</v>
      </c>
      <c r="O113" s="1508">
        <f t="shared" si="16"/>
        <v>2</v>
      </c>
      <c r="P113" s="1508">
        <f t="shared" si="16"/>
        <v>0</v>
      </c>
      <c r="Q113" s="1316">
        <f t="shared" si="16"/>
        <v>0</v>
      </c>
      <c r="R113" s="297"/>
      <c r="S113" s="298"/>
      <c r="T113" s="298"/>
      <c r="U113" s="299"/>
      <c r="V113" s="279"/>
      <c r="W113" s="279"/>
      <c r="X113" s="279"/>
      <c r="Y113" s="279"/>
      <c r="Z113" s="279"/>
      <c r="AA113" s="279"/>
      <c r="AB113" s="279"/>
      <c r="AC113" s="279"/>
      <c r="AD113" s="279"/>
      <c r="AE113" s="279"/>
      <c r="AF113" s="279"/>
      <c r="AG113" s="279"/>
      <c r="AH113" s="279"/>
      <c r="AI113" s="279"/>
      <c r="AJ113" s="279"/>
      <c r="AK113" s="279"/>
      <c r="AL113" s="279"/>
      <c r="AM113" s="279"/>
      <c r="AN113" s="279"/>
      <c r="AO113" s="279"/>
      <c r="AP113" s="279"/>
      <c r="AQ113" s="279"/>
      <c r="AR113" s="279"/>
      <c r="AS113" s="279"/>
      <c r="AT113" s="279"/>
      <c r="AU113" s="279"/>
      <c r="AV113" s="279"/>
      <c r="AW113" s="279"/>
      <c r="AX113" s="279"/>
      <c r="AY113" s="279"/>
      <c r="AZ113" s="279"/>
      <c r="BA113" s="279"/>
      <c r="BB113" s="279"/>
      <c r="BC113" s="279"/>
      <c r="BD113" s="279"/>
      <c r="BE113" s="279"/>
      <c r="BF113" s="279"/>
      <c r="BG113" s="279"/>
      <c r="BH113" s="279"/>
      <c r="BI113" s="279"/>
      <c r="BJ113" s="279"/>
      <c r="BK113" s="279"/>
      <c r="BL113" s="279"/>
      <c r="BM113" s="279"/>
      <c r="BN113" s="279"/>
      <c r="BO113" s="279"/>
      <c r="BP113" s="279"/>
      <c r="BQ113" s="279"/>
      <c r="BR113" s="279"/>
      <c r="BS113" s="279"/>
      <c r="BT113" s="279"/>
      <c r="BU113" s="279"/>
      <c r="BV113" s="279"/>
      <c r="BW113" s="279"/>
      <c r="BX113" s="279"/>
      <c r="BY113" s="279"/>
      <c r="BZ113" s="279"/>
      <c r="CA113" s="279"/>
      <c r="CB113" s="279"/>
      <c r="CC113" s="279"/>
      <c r="CD113" s="279"/>
      <c r="CE113" s="279"/>
      <c r="CF113" s="279"/>
      <c r="CG113" s="279"/>
      <c r="CH113" s="279"/>
      <c r="CI113" s="279"/>
      <c r="CJ113" s="279"/>
      <c r="CK113" s="279"/>
      <c r="CL113" s="279"/>
      <c r="CM113" s="279"/>
      <c r="CN113" s="382"/>
    </row>
    <row r="114" ht="15.6" x14ac:dyDescent="0.3">
      <c r="B114" s="361"/>
      <c r="C114" s="279"/>
      <c r="D114" s="280"/>
      <c r="E114" s="287"/>
      <c r="F114" s="287"/>
      <c r="G114" s="287"/>
      <c r="H114" s="280"/>
      <c r="I114" s="306"/>
      <c r="J114" s="279"/>
      <c r="K114" s="287"/>
      <c r="L114" s="287"/>
      <c r="M114" s="287"/>
      <c r="N114" s="287"/>
      <c r="O114" s="287"/>
      <c r="P114" s="287"/>
      <c r="Q114" s="287"/>
      <c r="R114" s="297"/>
      <c r="S114" s="298"/>
      <c r="T114" s="298"/>
      <c r="U114" s="299"/>
      <c r="V114" s="279"/>
      <c r="W114" s="279"/>
      <c r="X114" s="279"/>
      <c r="Y114" s="279"/>
      <c r="Z114" s="279"/>
      <c r="AA114" s="279"/>
      <c r="AB114" s="279"/>
      <c r="AC114" s="279"/>
      <c r="AD114" s="279"/>
      <c r="AE114" s="279"/>
      <c r="AF114" s="279"/>
      <c r="AG114" s="279"/>
      <c r="AH114" s="279"/>
      <c r="AI114" s="279"/>
      <c r="AJ114" s="279"/>
      <c r="AK114" s="279"/>
      <c r="AL114" s="279"/>
      <c r="AM114" s="279"/>
      <c r="AN114" s="279"/>
      <c r="AO114" s="279"/>
      <c r="AP114" s="279"/>
      <c r="AQ114" s="279"/>
      <c r="AR114" s="279"/>
      <c r="AS114" s="279"/>
      <c r="AT114" s="279"/>
      <c r="AU114" s="279"/>
      <c r="AV114" s="279"/>
      <c r="AW114" s="279"/>
      <c r="AX114" s="279"/>
      <c r="AY114" s="279"/>
      <c r="AZ114" s="279"/>
      <c r="BA114" s="279"/>
      <c r="BB114" s="279"/>
      <c r="BC114" s="279"/>
      <c r="BD114" s="279"/>
      <c r="BE114" s="279"/>
      <c r="BF114" s="279"/>
      <c r="BG114" s="279"/>
      <c r="BH114" s="279"/>
      <c r="BI114" s="279"/>
      <c r="BJ114" s="279"/>
      <c r="BK114" s="279"/>
      <c r="BL114" s="279"/>
      <c r="BM114" s="279"/>
      <c r="BN114" s="279"/>
      <c r="BO114" s="279"/>
      <c r="BP114" s="279"/>
      <c r="BQ114" s="279"/>
      <c r="BR114" s="279"/>
      <c r="BS114" s="279"/>
      <c r="BT114" s="279"/>
      <c r="BU114" s="279"/>
      <c r="BV114" s="279"/>
      <c r="BW114" s="279"/>
      <c r="BX114" s="279"/>
      <c r="BY114" s="279"/>
      <c r="BZ114" s="279"/>
      <c r="CA114" s="279"/>
      <c r="CB114" s="279"/>
      <c r="CC114" s="279"/>
      <c r="CD114" s="279"/>
      <c r="CE114" s="279"/>
      <c r="CF114" s="279"/>
      <c r="CG114" s="279"/>
      <c r="CH114" s="279"/>
      <c r="CI114" s="279"/>
      <c r="CJ114" s="279"/>
      <c r="CK114" s="279"/>
      <c r="CL114" s="279"/>
      <c r="CM114" s="279"/>
      <c r="CN114" s="382"/>
    </row>
    <row r="115" ht="15.6" x14ac:dyDescent="0.3">
      <c r="B115" s="361"/>
      <c r="C115" s="279"/>
      <c r="D115" s="280"/>
      <c r="E115" s="287"/>
      <c r="F115" s="287"/>
      <c r="G115" s="287"/>
      <c r="H115" s="280"/>
      <c r="I115" s="306"/>
      <c r="J115" s="279"/>
      <c r="K115" s="287"/>
      <c r="L115" s="287"/>
      <c r="M115" s="287"/>
      <c r="N115" s="287"/>
      <c r="O115" s="287"/>
      <c r="P115" s="287"/>
      <c r="Q115" s="287"/>
      <c r="R115" s="297"/>
      <c r="S115" s="298"/>
      <c r="T115" s="298"/>
      <c r="U115" s="299"/>
      <c r="V115" s="279"/>
      <c r="W115" s="279"/>
      <c r="X115" s="279"/>
      <c r="Y115" s="279"/>
      <c r="Z115" s="279"/>
      <c r="AA115" s="279"/>
      <c r="AB115" s="279"/>
      <c r="AC115" s="279"/>
      <c r="AD115" s="279"/>
      <c r="AE115" s="279"/>
      <c r="AF115" s="279"/>
      <c r="AG115" s="279"/>
      <c r="AH115" s="279"/>
      <c r="AI115" s="279"/>
      <c r="AJ115" s="279"/>
      <c r="AK115" s="279"/>
      <c r="AL115" s="279"/>
      <c r="AM115" s="279"/>
      <c r="AN115" s="279"/>
      <c r="AO115" s="279"/>
      <c r="AP115" s="279"/>
      <c r="AQ115" s="279"/>
      <c r="AR115" s="279"/>
      <c r="AS115" s="279"/>
      <c r="AT115" s="279"/>
      <c r="AU115" s="279"/>
      <c r="AV115" s="279"/>
      <c r="AW115" s="279"/>
      <c r="AX115" s="279"/>
      <c r="AY115" s="279"/>
      <c r="AZ115" s="279"/>
      <c r="BA115" s="279"/>
      <c r="BB115" s="279"/>
      <c r="BC115" s="279"/>
      <c r="BD115" s="279"/>
      <c r="BE115" s="279"/>
      <c r="BF115" s="279"/>
      <c r="BG115" s="279"/>
      <c r="BH115" s="279"/>
      <c r="BI115" s="279"/>
      <c r="BJ115" s="279"/>
      <c r="BK115" s="279"/>
      <c r="BL115" s="279"/>
      <c r="BM115" s="279"/>
      <c r="BN115" s="279"/>
      <c r="BO115" s="279"/>
      <c r="BP115" s="279"/>
      <c r="BQ115" s="279"/>
      <c r="BR115" s="279"/>
      <c r="BS115" s="279"/>
      <c r="BT115" s="279"/>
      <c r="BU115" s="279"/>
      <c r="BV115" s="279"/>
      <c r="BW115" s="279"/>
      <c r="BX115" s="279"/>
      <c r="BY115" s="279"/>
      <c r="BZ115" s="279"/>
      <c r="CA115" s="279"/>
      <c r="CB115" s="279"/>
      <c r="CC115" s="279"/>
      <c r="CD115" s="279"/>
      <c r="CE115" s="279"/>
      <c r="CF115" s="279"/>
      <c r="CG115" s="279"/>
      <c r="CH115" s="279"/>
      <c r="CI115" s="279"/>
      <c r="CJ115" s="279"/>
      <c r="CK115" s="279"/>
      <c r="CL115" s="279"/>
      <c r="CM115" s="279"/>
      <c r="CN115" s="382"/>
    </row>
    <row r="116" ht="15.6" x14ac:dyDescent="0.3">
      <c r="B116" s="361"/>
      <c r="C116" s="279"/>
      <c r="D116" s="280"/>
      <c r="E116" s="287"/>
      <c r="F116" s="287"/>
      <c r="G116" s="287"/>
      <c r="H116" s="280"/>
      <c r="I116" s="306"/>
      <c r="J116" s="279"/>
      <c r="K116" s="279"/>
      <c r="L116" s="280"/>
      <c r="M116" s="279"/>
      <c r="N116" s="279"/>
      <c r="O116" s="279"/>
      <c r="P116" s="279"/>
      <c r="Q116" s="279"/>
      <c r="R116" s="297"/>
      <c r="S116" s="298"/>
      <c r="T116" s="298"/>
      <c r="U116" s="299"/>
      <c r="V116" s="279"/>
      <c r="W116" s="279"/>
      <c r="X116" s="279"/>
      <c r="Y116" s="279"/>
      <c r="Z116" s="279"/>
      <c r="AA116" s="279"/>
      <c r="AB116" s="279"/>
      <c r="AC116" s="279"/>
      <c r="AD116" s="279"/>
      <c r="AE116" s="279"/>
      <c r="AF116" s="279"/>
      <c r="AG116" s="279"/>
      <c r="AH116" s="279"/>
      <c r="AI116" s="279"/>
      <c r="AJ116" s="279"/>
      <c r="AK116" s="279"/>
      <c r="AL116" s="279"/>
      <c r="AM116" s="279"/>
      <c r="AN116" s="279"/>
      <c r="AO116" s="279"/>
      <c r="AP116" s="279"/>
      <c r="AQ116" s="279"/>
      <c r="AR116" s="279"/>
      <c r="AS116" s="279"/>
      <c r="AT116" s="279"/>
      <c r="AU116" s="279"/>
      <c r="AV116" s="279"/>
      <c r="AW116" s="279"/>
      <c r="AX116" s="279"/>
      <c r="AY116" s="279"/>
      <c r="AZ116" s="279"/>
      <c r="BA116" s="279"/>
      <c r="BB116" s="279"/>
      <c r="BC116" s="279"/>
      <c r="BD116" s="279"/>
      <c r="BE116" s="279"/>
      <c r="BF116" s="279"/>
      <c r="BG116" s="279"/>
      <c r="BH116" s="279"/>
      <c r="BI116" s="279"/>
      <c r="BJ116" s="279"/>
      <c r="BK116" s="279"/>
      <c r="BL116" s="279"/>
      <c r="BM116" s="279"/>
      <c r="BN116" s="279"/>
      <c r="BO116" s="279"/>
      <c r="BP116" s="279"/>
      <c r="BQ116" s="279"/>
      <c r="BR116" s="279"/>
      <c r="BS116" s="279"/>
      <c r="BT116" s="279"/>
      <c r="BU116" s="279"/>
      <c r="BV116" s="279"/>
      <c r="BW116" s="279"/>
      <c r="BX116" s="279"/>
      <c r="BY116" s="279"/>
      <c r="BZ116" s="279"/>
      <c r="CA116" s="279"/>
      <c r="CB116" s="279"/>
      <c r="CC116" s="279"/>
      <c r="CD116" s="279"/>
      <c r="CE116" s="279"/>
      <c r="CF116" s="279"/>
      <c r="CG116" s="279"/>
      <c r="CH116" s="279"/>
      <c r="CI116" s="279"/>
      <c r="CJ116" s="279"/>
      <c r="CK116" s="279"/>
      <c r="CL116" s="279"/>
      <c r="CM116" s="279"/>
      <c r="CN116" s="382"/>
    </row>
    <row r="117" ht="15.6" x14ac:dyDescent="0.3">
      <c r="B117" s="361"/>
      <c r="C117" s="279"/>
      <c r="D117" s="280"/>
      <c r="E117" s="287"/>
      <c r="F117" s="287"/>
      <c r="G117" s="287"/>
      <c r="H117" s="280"/>
      <c r="I117" s="306"/>
      <c r="J117" s="279"/>
      <c r="K117" s="279"/>
      <c r="L117" s="280"/>
      <c r="M117" s="279"/>
      <c r="N117" s="279"/>
      <c r="O117" s="279"/>
      <c r="P117" s="279"/>
      <c r="Q117" s="279"/>
      <c r="R117" s="297"/>
      <c r="S117" s="298"/>
      <c r="T117" s="298"/>
      <c r="U117" s="299"/>
      <c r="V117" s="279"/>
      <c r="W117" s="279"/>
      <c r="X117" s="279"/>
      <c r="Y117" s="279"/>
      <c r="Z117" s="279"/>
      <c r="AA117" s="279"/>
      <c r="AB117" s="279"/>
      <c r="AC117" s="279"/>
      <c r="AD117" s="279"/>
      <c r="AE117" s="279"/>
      <c r="AF117" s="279"/>
      <c r="AG117" s="279"/>
      <c r="AH117" s="279"/>
      <c r="AI117" s="279"/>
      <c r="AJ117" s="279"/>
      <c r="AK117" s="279"/>
      <c r="AL117" s="279"/>
      <c r="AM117" s="279"/>
      <c r="AN117" s="279"/>
      <c r="AO117" s="279"/>
      <c r="AP117" s="279"/>
      <c r="AQ117" s="279"/>
      <c r="AR117" s="279"/>
      <c r="AS117" s="279"/>
      <c r="AT117" s="279"/>
      <c r="AU117" s="279"/>
      <c r="AV117" s="279"/>
      <c r="AW117" s="279"/>
      <c r="AX117" s="279"/>
      <c r="AY117" s="279"/>
      <c r="AZ117" s="279"/>
      <c r="BA117" s="279"/>
      <c r="BB117" s="279"/>
      <c r="BC117" s="279"/>
      <c r="BD117" s="279"/>
      <c r="BE117" s="279"/>
      <c r="BF117" s="279"/>
      <c r="BG117" s="279"/>
      <c r="BH117" s="279"/>
      <c r="BI117" s="279"/>
      <c r="BJ117" s="279"/>
      <c r="BK117" s="279"/>
      <c r="BL117" s="279"/>
      <c r="BM117" s="279"/>
      <c r="BN117" s="279"/>
      <c r="BO117" s="279"/>
      <c r="BP117" s="279"/>
      <c r="BQ117" s="279"/>
      <c r="BR117" s="279"/>
      <c r="BS117" s="279"/>
      <c r="BT117" s="279"/>
      <c r="BU117" s="279"/>
      <c r="BV117" s="279"/>
      <c r="BW117" s="279"/>
      <c r="BX117" s="279"/>
      <c r="BY117" s="279"/>
      <c r="BZ117" s="279"/>
      <c r="CA117" s="279"/>
      <c r="CB117" s="279"/>
      <c r="CC117" s="279"/>
      <c r="CD117" s="279"/>
      <c r="CE117" s="279"/>
      <c r="CF117" s="279"/>
      <c r="CG117" s="279"/>
      <c r="CH117" s="279"/>
      <c r="CI117" s="279"/>
      <c r="CJ117" s="279"/>
      <c r="CK117" s="279"/>
      <c r="CL117" s="279"/>
      <c r="CM117" s="279"/>
      <c r="CN117" s="382"/>
    </row>
    <row r="118" ht="16.2" thickBot="true" x14ac:dyDescent="0.35">
      <c r="B118" s="361"/>
      <c r="C118" s="279"/>
      <c r="D118" s="280"/>
      <c r="E118" s="287"/>
      <c r="F118" s="287"/>
      <c r="G118" s="287"/>
      <c r="H118" s="280"/>
      <c r="I118" s="304"/>
      <c r="J118" s="279"/>
      <c r="K118" s="280"/>
      <c r="L118" s="362"/>
      <c r="M118" s="287"/>
      <c r="N118" s="296"/>
      <c r="O118" s="280"/>
      <c r="P118" s="280"/>
      <c r="Q118" s="279"/>
      <c r="R118" s="297"/>
      <c r="S118" s="298"/>
      <c r="T118" s="298"/>
      <c r="U118" s="299"/>
      <c r="V118" s="279"/>
      <c r="W118" s="279"/>
      <c r="X118" s="279"/>
      <c r="Y118" s="279"/>
      <c r="Z118" s="279"/>
      <c r="AA118" s="279"/>
      <c r="AB118" s="279"/>
      <c r="AC118" s="279"/>
      <c r="AD118" s="279"/>
      <c r="AE118" s="279"/>
      <c r="AF118" s="279"/>
      <c r="AG118" s="279"/>
      <c r="AH118" s="279"/>
      <c r="AI118" s="279"/>
      <c r="AJ118" s="279"/>
      <c r="AK118" s="279"/>
      <c r="AL118" s="279"/>
      <c r="AM118" s="279"/>
      <c r="AN118" s="279"/>
      <c r="AO118" s="279"/>
      <c r="AP118" s="279"/>
      <c r="AQ118" s="279"/>
      <c r="AR118" s="279"/>
      <c r="AS118" s="279"/>
      <c r="AT118" s="279"/>
      <c r="AU118" s="279"/>
      <c r="AV118" s="279"/>
      <c r="AW118" s="279"/>
      <c r="AX118" s="279"/>
      <c r="AY118" s="279"/>
      <c r="AZ118" s="279"/>
      <c r="BA118" s="279"/>
      <c r="BB118" s="279"/>
      <c r="BC118" s="279"/>
      <c r="BD118" s="279"/>
      <c r="BE118" s="279"/>
      <c r="BF118" s="279"/>
      <c r="BG118" s="279"/>
      <c r="BH118" s="279"/>
      <c r="BI118" s="279"/>
      <c r="BJ118" s="279"/>
      <c r="BK118" s="279"/>
      <c r="BL118" s="279"/>
      <c r="BM118" s="279"/>
      <c r="BN118" s="279"/>
      <c r="BO118" s="279"/>
      <c r="BP118" s="279"/>
      <c r="BQ118" s="279"/>
      <c r="BR118" s="279"/>
      <c r="BS118" s="279"/>
      <c r="BT118" s="279"/>
      <c r="BU118" s="279"/>
      <c r="BV118" s="279"/>
      <c r="BW118" s="279"/>
      <c r="BX118" s="279"/>
      <c r="BY118" s="279"/>
      <c r="BZ118" s="279"/>
      <c r="CA118" s="279"/>
      <c r="CB118" s="279"/>
      <c r="CC118" s="279"/>
      <c r="CD118" s="279"/>
      <c r="CE118" s="279"/>
      <c r="CF118" s="279"/>
      <c r="CG118" s="279"/>
      <c r="CH118" s="279"/>
      <c r="CI118" s="279"/>
      <c r="CJ118" s="279"/>
      <c r="CK118" s="279"/>
      <c r="CL118" s="279"/>
      <c r="CM118" s="279"/>
      <c r="CN118" s="382"/>
    </row>
    <row r="119" ht="24.6" x14ac:dyDescent="0.25">
      <c r="B119" s="361"/>
      <c r="C119" s="279"/>
      <c r="D119" s="280"/>
      <c r="E119" s="287"/>
      <c r="F119" s="287"/>
      <c r="G119" s="287"/>
      <c r="H119" s="280"/>
      <c r="I119" s="1950" t="s">
        <v>1026</v>
      </c>
      <c r="J119" s="1951"/>
      <c r="K119" s="1952"/>
      <c r="L119" s="316"/>
      <c r="M119" s="317"/>
      <c r="N119" s="195"/>
      <c r="O119" s="195"/>
      <c r="P119" s="195"/>
      <c r="Q119" s="195"/>
      <c r="R119" s="195"/>
      <c r="S119" s="195"/>
      <c r="T119" s="298"/>
      <c r="U119" s="299"/>
      <c r="V119" s="279"/>
      <c r="W119" s="279"/>
      <c r="X119" s="279"/>
      <c r="Y119" s="279"/>
      <c r="Z119" s="279"/>
      <c r="AA119" s="279"/>
      <c r="AB119" s="279"/>
      <c r="AC119" s="279"/>
      <c r="AD119" s="279"/>
      <c r="AE119" s="279"/>
      <c r="AF119" s="279"/>
      <c r="AG119" s="279"/>
      <c r="AH119" s="279"/>
      <c r="AI119" s="279"/>
      <c r="AJ119" s="279"/>
      <c r="AK119" s="279"/>
      <c r="AL119" s="279"/>
      <c r="AM119" s="279"/>
      <c r="AN119" s="279"/>
      <c r="AO119" s="279"/>
      <c r="AP119" s="279"/>
      <c r="AQ119" s="279"/>
      <c r="AR119" s="279"/>
      <c r="AS119" s="279"/>
      <c r="AT119" s="279"/>
      <c r="AU119" s="279"/>
      <c r="AV119" s="279"/>
      <c r="AW119" s="279"/>
      <c r="AX119" s="279"/>
      <c r="AY119" s="279"/>
      <c r="AZ119" s="279"/>
      <c r="BA119" s="279"/>
      <c r="BB119" s="279"/>
      <c r="BC119" s="279"/>
      <c r="BD119" s="279"/>
      <c r="BE119" s="279"/>
      <c r="BF119" s="279"/>
      <c r="BG119" s="279"/>
      <c r="BH119" s="279"/>
      <c r="BI119" s="279"/>
      <c r="BJ119" s="279"/>
      <c r="BK119" s="279"/>
      <c r="BL119" s="279"/>
      <c r="BM119" s="279"/>
      <c r="BN119" s="279"/>
      <c r="BO119" s="279"/>
      <c r="BP119" s="279"/>
      <c r="BQ119" s="279"/>
      <c r="BR119" s="279"/>
      <c r="BS119" s="279"/>
      <c r="BT119" s="279"/>
      <c r="BU119" s="279"/>
      <c r="BV119" s="279"/>
      <c r="BW119" s="279"/>
      <c r="BX119" s="279"/>
      <c r="BY119" s="279"/>
      <c r="BZ119" s="279"/>
      <c r="CA119" s="279"/>
      <c r="CB119" s="279"/>
      <c r="CC119" s="279"/>
      <c r="CD119" s="279"/>
      <c r="CE119" s="279"/>
      <c r="CF119" s="279"/>
      <c r="CG119" s="279"/>
      <c r="CH119" s="279"/>
      <c r="CI119" s="279"/>
      <c r="CJ119" s="279"/>
      <c r="CK119" s="279"/>
      <c r="CL119" s="279"/>
      <c r="CM119" s="279"/>
      <c r="CN119" s="382"/>
    </row>
    <row r="120" ht="25.2" thickBot="true" x14ac:dyDescent="0.35">
      <c r="B120" s="361"/>
      <c r="C120" s="279"/>
      <c r="D120" s="280"/>
      <c r="E120" s="287"/>
      <c r="F120" s="287"/>
      <c r="G120" s="287"/>
      <c r="H120" s="280"/>
      <c r="I120" s="2043" t="s">
        <v>1480</v>
      </c>
      <c r="J120" s="2044"/>
      <c r="K120" s="2045"/>
      <c r="L120" s="316"/>
      <c r="M120" s="287"/>
      <c r="N120" s="296"/>
      <c r="O120" s="280"/>
      <c r="P120" s="280"/>
      <c r="Q120" s="279"/>
      <c r="R120" s="297"/>
      <c r="S120" s="298"/>
      <c r="T120" s="298"/>
      <c r="U120" s="299"/>
      <c r="V120" s="279"/>
      <c r="W120" s="279"/>
      <c r="X120" s="279"/>
      <c r="Y120" s="279"/>
      <c r="Z120" s="279"/>
      <c r="AA120" s="279"/>
      <c r="AB120" s="279"/>
      <c r="AC120" s="279"/>
      <c r="AD120" s="279"/>
      <c r="AE120" s="279"/>
      <c r="AF120" s="279"/>
      <c r="AG120" s="279"/>
      <c r="AH120" s="279"/>
      <c r="AI120" s="279"/>
      <c r="AJ120" s="279"/>
      <c r="AK120" s="279"/>
      <c r="AL120" s="279"/>
      <c r="AM120" s="279"/>
      <c r="AN120" s="279"/>
      <c r="AO120" s="279"/>
      <c r="AP120" s="279"/>
      <c r="AQ120" s="279"/>
      <c r="AR120" s="279"/>
      <c r="AS120" s="279"/>
      <c r="AT120" s="279"/>
      <c r="AU120" s="279"/>
      <c r="AV120" s="279"/>
      <c r="AW120" s="279"/>
      <c r="AX120" s="279"/>
      <c r="AY120" s="279"/>
      <c r="AZ120" s="279"/>
      <c r="BA120" s="279"/>
      <c r="BB120" s="279"/>
      <c r="BC120" s="279"/>
      <c r="BD120" s="279"/>
      <c r="BE120" s="279"/>
      <c r="BF120" s="279"/>
      <c r="BG120" s="279"/>
      <c r="BH120" s="279"/>
      <c r="BI120" s="279"/>
      <c r="BJ120" s="279"/>
      <c r="BK120" s="279"/>
      <c r="BL120" s="279"/>
      <c r="BM120" s="279"/>
      <c r="BN120" s="279"/>
      <c r="BO120" s="279"/>
      <c r="BP120" s="279"/>
      <c r="BQ120" s="279"/>
      <c r="BR120" s="279"/>
      <c r="BS120" s="279"/>
      <c r="BT120" s="279"/>
      <c r="BU120" s="279"/>
      <c r="BV120" s="279"/>
      <c r="BW120" s="279"/>
      <c r="BX120" s="279"/>
      <c r="BY120" s="279"/>
      <c r="BZ120" s="279"/>
      <c r="CA120" s="279"/>
      <c r="CB120" s="279"/>
      <c r="CC120" s="279"/>
      <c r="CD120" s="279"/>
      <c r="CE120" s="279"/>
      <c r="CF120" s="279"/>
      <c r="CG120" s="279"/>
      <c r="CH120" s="279"/>
      <c r="CI120" s="279"/>
      <c r="CJ120" s="279"/>
      <c r="CK120" s="279"/>
      <c r="CL120" s="279"/>
      <c r="CM120" s="279"/>
      <c r="CN120" s="382"/>
    </row>
    <row r="121" ht="24.6" x14ac:dyDescent="0.25">
      <c r="B121" s="361"/>
      <c r="C121" s="279"/>
      <c r="D121" s="280"/>
      <c r="E121" s="287"/>
      <c r="F121" s="287"/>
      <c r="G121" s="287"/>
      <c r="H121" s="280"/>
      <c r="I121" s="1956"/>
      <c r="J121" s="1957"/>
      <c r="K121" s="1957"/>
      <c r="L121" s="267">
        <v>1</v>
      </c>
      <c r="M121" s="283">
        <f t="shared" ref="M121:AY121" si="17">L121+1</f>
        <v>2</v>
      </c>
      <c r="N121" s="283">
        <f t="shared" si="17"/>
        <v>3</v>
      </c>
      <c r="O121" s="283">
        <f t="shared" si="17"/>
        <v>4</v>
      </c>
      <c r="P121" s="283">
        <f t="shared" si="17"/>
        <v>5</v>
      </c>
      <c r="Q121" s="283">
        <f t="shared" si="17"/>
        <v>6</v>
      </c>
      <c r="R121" s="283">
        <f t="shared" si="17"/>
        <v>7</v>
      </c>
      <c r="S121" s="283">
        <f t="shared" si="17"/>
        <v>8</v>
      </c>
      <c r="T121" s="283">
        <f t="shared" si="17"/>
        <v>9</v>
      </c>
      <c r="U121" s="283">
        <f t="shared" si="17"/>
        <v>10</v>
      </c>
      <c r="V121" s="283">
        <f t="shared" si="17"/>
        <v>11</v>
      </c>
      <c r="W121" s="283">
        <f t="shared" si="17"/>
        <v>12</v>
      </c>
      <c r="X121" s="283">
        <f t="shared" si="17"/>
        <v>13</v>
      </c>
      <c r="Y121" s="283">
        <f t="shared" si="17"/>
        <v>14</v>
      </c>
      <c r="Z121" s="283">
        <f t="shared" si="17"/>
        <v>15</v>
      </c>
      <c r="AA121" s="283">
        <f t="shared" si="17"/>
        <v>16</v>
      </c>
      <c r="AB121" s="283">
        <f t="shared" si="17"/>
        <v>17</v>
      </c>
      <c r="AC121" s="283">
        <f t="shared" si="17"/>
        <v>18</v>
      </c>
      <c r="AD121" s="283">
        <f t="shared" si="17"/>
        <v>19</v>
      </c>
      <c r="AE121" s="283">
        <f t="shared" si="17"/>
        <v>20</v>
      </c>
      <c r="AF121" s="283">
        <f t="shared" si="17"/>
        <v>21</v>
      </c>
      <c r="AG121" s="283">
        <f t="shared" si="17"/>
        <v>22</v>
      </c>
      <c r="AH121" s="283">
        <f t="shared" si="17"/>
        <v>23</v>
      </c>
      <c r="AI121" s="283">
        <f t="shared" si="17"/>
        <v>24</v>
      </c>
      <c r="AJ121" s="283">
        <f t="shared" si="17"/>
        <v>25</v>
      </c>
      <c r="AK121" s="283">
        <f t="shared" si="17"/>
        <v>26</v>
      </c>
      <c r="AL121" s="283">
        <f t="shared" si="17"/>
        <v>27</v>
      </c>
      <c r="AM121" s="283">
        <f t="shared" si="17"/>
        <v>28</v>
      </c>
      <c r="AN121" s="283">
        <f t="shared" si="17"/>
        <v>29</v>
      </c>
      <c r="AO121" s="283">
        <f t="shared" si="17"/>
        <v>30</v>
      </c>
      <c r="AP121" s="283">
        <f t="shared" si="17"/>
        <v>31</v>
      </c>
      <c r="AQ121" s="283">
        <f t="shared" si="17"/>
        <v>32</v>
      </c>
      <c r="AR121" s="283">
        <f t="shared" si="17"/>
        <v>33</v>
      </c>
      <c r="AS121" s="283">
        <f t="shared" si="17"/>
        <v>34</v>
      </c>
      <c r="AT121" s="283">
        <f t="shared" si="17"/>
        <v>35</v>
      </c>
      <c r="AU121" s="283">
        <f t="shared" si="17"/>
        <v>36</v>
      </c>
      <c r="AV121" s="283">
        <f t="shared" si="17"/>
        <v>37</v>
      </c>
      <c r="AW121" s="283">
        <f t="shared" si="17"/>
        <v>38</v>
      </c>
      <c r="AX121" s="283">
        <f t="shared" si="17"/>
        <v>39</v>
      </c>
      <c r="AY121" s="300">
        <f t="shared" si="17"/>
        <v>40</v>
      </c>
      <c r="AZ121" s="287"/>
      <c r="BA121" s="287"/>
      <c r="BB121" s="287"/>
      <c r="BC121" s="287"/>
      <c r="BD121" s="287"/>
      <c r="BE121" s="287"/>
      <c r="BF121" s="287"/>
      <c r="BG121" s="287"/>
      <c r="BH121" s="279"/>
      <c r="BI121" s="279"/>
      <c r="BJ121" s="279"/>
      <c r="BK121" s="279"/>
      <c r="BL121" s="279"/>
      <c r="BM121" s="279"/>
      <c r="BN121" s="279"/>
      <c r="BO121" s="279"/>
      <c r="BP121" s="279"/>
      <c r="BQ121" s="279"/>
      <c r="BR121" s="279"/>
      <c r="BS121" s="279"/>
      <c r="BT121" s="279"/>
      <c r="BU121" s="279"/>
      <c r="BV121" s="279"/>
      <c r="BW121" s="279"/>
      <c r="BX121" s="279"/>
      <c r="BY121" s="279"/>
      <c r="BZ121" s="279"/>
      <c r="CA121" s="279"/>
      <c r="CB121" s="279"/>
      <c r="CC121" s="279"/>
      <c r="CD121" s="279"/>
      <c r="CE121" s="279"/>
      <c r="CF121" s="279"/>
      <c r="CG121" s="279"/>
      <c r="CH121" s="279"/>
      <c r="CI121" s="279"/>
      <c r="CJ121" s="279"/>
      <c r="CK121" s="279"/>
      <c r="CL121" s="279"/>
      <c r="CM121" s="279"/>
      <c r="CN121" s="382"/>
    </row>
    <row r="122" ht="15.6" x14ac:dyDescent="0.25">
      <c r="B122" s="361"/>
      <c r="C122" s="279"/>
      <c r="D122" s="280"/>
      <c r="E122" s="287"/>
      <c r="F122" s="287"/>
      <c r="G122" s="287"/>
      <c r="H122" s="280"/>
      <c r="I122" s="2046" t="s">
        <v>76</v>
      </c>
      <c r="J122" s="2047"/>
      <c r="K122" s="2047"/>
      <c r="L122" s="1242" t="str">
        <f t="array" ref="L122:AY122">TRANSPOSE(OUT_stream_Num)</f>
        <v>S1-2</v>
      </c>
      <c r="M122" s="1197" t="str">
        <v>CO2</v>
      </c>
      <c r="N122" s="1197" t="str">
        <v/>
      </c>
      <c r="O122" s="1197" t="str">
        <v/>
      </c>
      <c r="P122" s="1197" t="str">
        <v/>
      </c>
      <c r="Q122" s="1197">
        <v>303</v>
      </c>
      <c r="R122" s="1197" t="str">
        <v/>
      </c>
      <c r="S122" s="1197" t="str">
        <v/>
      </c>
      <c r="T122" s="1197" t="str">
        <v/>
      </c>
      <c r="U122" s="1197" t="str">
        <v/>
      </c>
      <c r="V122" s="1328" t="str">
        <v/>
      </c>
      <c r="W122" s="1328" t="str">
        <v/>
      </c>
      <c r="X122" s="1328" t="str">
        <v/>
      </c>
      <c r="Y122" s="1328" t="str">
        <v/>
      </c>
      <c r="Z122" s="1328" t="str">
        <v/>
      </c>
      <c r="AA122" s="1328" t="str">
        <v/>
      </c>
      <c r="AB122" s="1328" t="str">
        <v/>
      </c>
      <c r="AC122" s="1328" t="str">
        <v/>
      </c>
      <c r="AD122" s="1328" t="str">
        <v/>
      </c>
      <c r="AE122" s="1328" t="str">
        <v/>
      </c>
      <c r="AF122" s="1328" t="str">
        <v/>
      </c>
      <c r="AG122" s="1328" t="str">
        <v/>
      </c>
      <c r="AH122" s="1328" t="str">
        <v/>
      </c>
      <c r="AI122" s="1328" t="str">
        <v/>
      </c>
      <c r="AJ122" s="1328" t="str">
        <v/>
      </c>
      <c r="AK122" s="1328" t="str">
        <v/>
      </c>
      <c r="AL122" s="1328" t="str">
        <v/>
      </c>
      <c r="AM122" s="1328" t="str">
        <v/>
      </c>
      <c r="AN122" s="1328" t="str">
        <v/>
      </c>
      <c r="AO122" s="1328" t="str">
        <v/>
      </c>
      <c r="AP122" s="1328" t="str">
        <v/>
      </c>
      <c r="AQ122" s="1328" t="str">
        <v/>
      </c>
      <c r="AR122" s="1328" t="str">
        <v/>
      </c>
      <c r="AS122" s="1328" t="str">
        <v/>
      </c>
      <c r="AT122" s="1328" t="str">
        <v/>
      </c>
      <c r="AU122" s="1328" t="str">
        <v/>
      </c>
      <c r="AV122" s="1328" t="str">
        <v/>
      </c>
      <c r="AW122" s="1328" t="str">
        <v/>
      </c>
      <c r="AX122" s="1328" t="str">
        <v/>
      </c>
      <c r="AY122" s="1283" t="str">
        <v/>
      </c>
      <c r="AZ122" s="279"/>
      <c r="BA122" s="279"/>
      <c r="BB122" s="279"/>
      <c r="BC122" s="279"/>
      <c r="BD122" s="279"/>
      <c r="BE122" s="279"/>
      <c r="BF122" s="279"/>
      <c r="BG122" s="279"/>
      <c r="BH122" s="279"/>
      <c r="BI122" s="279"/>
      <c r="BJ122" s="279"/>
      <c r="BK122" s="279"/>
      <c r="BL122" s="279"/>
      <c r="BM122" s="279"/>
      <c r="BN122" s="279"/>
      <c r="BO122" s="279"/>
      <c r="BP122" s="279"/>
      <c r="BQ122" s="279"/>
      <c r="BR122" s="279"/>
      <c r="BS122" s="279"/>
      <c r="BT122" s="279"/>
      <c r="BU122" s="279"/>
      <c r="BV122" s="279"/>
      <c r="BW122" s="279"/>
      <c r="BX122" s="279"/>
      <c r="BY122" s="279"/>
      <c r="BZ122" s="279"/>
      <c r="CA122" s="279"/>
      <c r="CB122" s="279"/>
      <c r="CC122" s="279"/>
      <c r="CD122" s="279"/>
      <c r="CE122" s="279"/>
      <c r="CF122" s="279"/>
      <c r="CG122" s="279"/>
      <c r="CH122" s="279"/>
      <c r="CI122" s="279"/>
      <c r="CJ122" s="279"/>
      <c r="CK122" s="279"/>
      <c r="CL122" s="279"/>
      <c r="CM122" s="279"/>
      <c r="CN122" s="382"/>
    </row>
    <row r="123" ht="15.6" x14ac:dyDescent="0.25">
      <c r="B123" s="361"/>
      <c r="C123" s="279"/>
      <c r="D123" s="280"/>
      <c r="E123" s="287"/>
      <c r="F123" s="287"/>
      <c r="G123" s="287"/>
      <c r="H123" s="280"/>
      <c r="I123" s="2046" t="s">
        <v>1481</v>
      </c>
      <c r="J123" s="2047"/>
      <c r="K123" s="2047"/>
      <c r="L123" s="1242">
        <f t="array" ref="L123:AY123">TRANSPOSE(OUT_Product_1__waste_0)</f>
        <v>1</v>
      </c>
      <c r="M123" s="1197">
        <v>0</v>
      </c>
      <c r="N123" s="1197" t="str">
        <v/>
      </c>
      <c r="O123" s="1197" t="str">
        <v/>
      </c>
      <c r="P123" s="1197" t="str">
        <v/>
      </c>
      <c r="Q123" s="1197">
        <v>0</v>
      </c>
      <c r="R123" s="1197" t="str">
        <v/>
      </c>
      <c r="S123" s="1197" t="str">
        <v/>
      </c>
      <c r="T123" s="1197" t="str">
        <v/>
      </c>
      <c r="U123" s="1197" t="str">
        <v/>
      </c>
      <c r="V123" s="1328" t="str">
        <v/>
      </c>
      <c r="W123" s="1328" t="str">
        <v/>
      </c>
      <c r="X123" s="1328" t="str">
        <v/>
      </c>
      <c r="Y123" s="1328" t="str">
        <v/>
      </c>
      <c r="Z123" s="1328" t="str">
        <v/>
      </c>
      <c r="AA123" s="1328" t="str">
        <v/>
      </c>
      <c r="AB123" s="1328" t="str">
        <v/>
      </c>
      <c r="AC123" s="1328" t="str">
        <v/>
      </c>
      <c r="AD123" s="1328" t="str">
        <v/>
      </c>
      <c r="AE123" s="1328" t="str">
        <v/>
      </c>
      <c r="AF123" s="1328" t="str">
        <v/>
      </c>
      <c r="AG123" s="1328" t="str">
        <v/>
      </c>
      <c r="AH123" s="1328" t="str">
        <v/>
      </c>
      <c r="AI123" s="1328" t="str">
        <v/>
      </c>
      <c r="AJ123" s="1328" t="str">
        <v/>
      </c>
      <c r="AK123" s="1328" t="str">
        <v/>
      </c>
      <c r="AL123" s="1328" t="str">
        <v/>
      </c>
      <c r="AM123" s="1328" t="str">
        <v/>
      </c>
      <c r="AN123" s="1328" t="str">
        <v/>
      </c>
      <c r="AO123" s="1328" t="str">
        <v/>
      </c>
      <c r="AP123" s="1328" t="str">
        <v/>
      </c>
      <c r="AQ123" s="1328" t="str">
        <v/>
      </c>
      <c r="AR123" s="1328" t="str">
        <v/>
      </c>
      <c r="AS123" s="1328" t="str">
        <v/>
      </c>
      <c r="AT123" s="1328" t="str">
        <v/>
      </c>
      <c r="AU123" s="1328" t="str">
        <v/>
      </c>
      <c r="AV123" s="1328" t="str">
        <v/>
      </c>
      <c r="AW123" s="1328" t="str">
        <v/>
      </c>
      <c r="AX123" s="1328" t="str">
        <v/>
      </c>
      <c r="AY123" s="1283" t="str">
        <v/>
      </c>
      <c r="AZ123" s="279"/>
      <c r="BA123" s="279"/>
      <c r="BB123" s="279"/>
      <c r="BC123" s="279"/>
      <c r="BD123" s="279"/>
      <c r="BE123" s="279"/>
      <c r="BF123" s="279"/>
      <c r="BG123" s="279"/>
      <c r="BH123" s="279"/>
      <c r="BI123" s="279"/>
      <c r="BJ123" s="279"/>
      <c r="BK123" s="279"/>
      <c r="BL123" s="279"/>
      <c r="BM123" s="279"/>
      <c r="BN123" s="279"/>
      <c r="BO123" s="279"/>
      <c r="BP123" s="279"/>
      <c r="BQ123" s="279"/>
      <c r="BR123" s="279"/>
      <c r="BS123" s="279"/>
      <c r="BT123" s="279"/>
      <c r="BU123" s="279"/>
      <c r="BV123" s="279"/>
      <c r="BW123" s="279"/>
      <c r="BX123" s="279"/>
      <c r="BY123" s="279"/>
      <c r="BZ123" s="279"/>
      <c r="CA123" s="279"/>
      <c r="CB123" s="279"/>
      <c r="CC123" s="279"/>
      <c r="CD123" s="279"/>
      <c r="CE123" s="279"/>
      <c r="CF123" s="279"/>
      <c r="CG123" s="279"/>
      <c r="CH123" s="279"/>
      <c r="CI123" s="279"/>
      <c r="CJ123" s="279"/>
      <c r="CK123" s="279"/>
      <c r="CL123" s="279"/>
      <c r="CM123" s="279"/>
      <c r="CN123" s="382"/>
    </row>
    <row r="124" ht="15.6" x14ac:dyDescent="0.25">
      <c r="B124" s="361"/>
      <c r="C124" s="279"/>
      <c r="D124" s="280"/>
      <c r="E124" s="287"/>
      <c r="F124" s="287"/>
      <c r="G124" s="287"/>
      <c r="H124" s="280"/>
      <c r="I124" s="2046" t="s">
        <v>28</v>
      </c>
      <c r="J124" s="2047"/>
      <c r="K124" s="2047"/>
      <c r="L124" s="1242" t="str">
        <f t="array" ref="L124:AY124">TRANSPOSE(OUT_renewability)</f>
        <v>yes</v>
      </c>
      <c r="M124" s="1197" t="str">
        <v/>
      </c>
      <c r="N124" s="1197" t="str">
        <v/>
      </c>
      <c r="O124" s="1197" t="str">
        <v/>
      </c>
      <c r="P124" s="1197" t="str">
        <v/>
      </c>
      <c r="Q124" s="1197" t="str">
        <v/>
      </c>
      <c r="R124" s="1197" t="str">
        <v/>
      </c>
      <c r="S124" s="1197" t="str">
        <v/>
      </c>
      <c r="T124" s="1197" t="str">
        <v/>
      </c>
      <c r="U124" s="1197" t="str">
        <v/>
      </c>
      <c r="V124" s="1328" t="str">
        <v/>
      </c>
      <c r="W124" s="1328" t="str">
        <v/>
      </c>
      <c r="X124" s="1328" t="str">
        <v/>
      </c>
      <c r="Y124" s="1328" t="str">
        <v/>
      </c>
      <c r="Z124" s="1328" t="str">
        <v/>
      </c>
      <c r="AA124" s="1328" t="str">
        <v/>
      </c>
      <c r="AB124" s="1328" t="str">
        <v/>
      </c>
      <c r="AC124" s="1328" t="str">
        <v/>
      </c>
      <c r="AD124" s="1328" t="str">
        <v/>
      </c>
      <c r="AE124" s="1328" t="str">
        <v/>
      </c>
      <c r="AF124" s="1328" t="str">
        <v/>
      </c>
      <c r="AG124" s="1328" t="str">
        <v/>
      </c>
      <c r="AH124" s="1328" t="str">
        <v/>
      </c>
      <c r="AI124" s="1328" t="str">
        <v/>
      </c>
      <c r="AJ124" s="1328" t="str">
        <v/>
      </c>
      <c r="AK124" s="1328" t="str">
        <v/>
      </c>
      <c r="AL124" s="1328" t="str">
        <v/>
      </c>
      <c r="AM124" s="1328" t="str">
        <v/>
      </c>
      <c r="AN124" s="1328" t="str">
        <v/>
      </c>
      <c r="AO124" s="1328" t="str">
        <v/>
      </c>
      <c r="AP124" s="1328" t="str">
        <v/>
      </c>
      <c r="AQ124" s="1328" t="str">
        <v/>
      </c>
      <c r="AR124" s="1328" t="str">
        <v/>
      </c>
      <c r="AS124" s="1328" t="str">
        <v/>
      </c>
      <c r="AT124" s="1328" t="str">
        <v/>
      </c>
      <c r="AU124" s="1328" t="str">
        <v/>
      </c>
      <c r="AV124" s="1328" t="str">
        <v/>
      </c>
      <c r="AW124" s="1328" t="str">
        <v/>
      </c>
      <c r="AX124" s="1328" t="str">
        <v/>
      </c>
      <c r="AY124" s="1283" t="str">
        <v/>
      </c>
      <c r="AZ124" s="279"/>
      <c r="BA124" s="279"/>
      <c r="BB124" s="279"/>
      <c r="BC124" s="279"/>
      <c r="BD124" s="279"/>
      <c r="BE124" s="279"/>
      <c r="BF124" s="279"/>
      <c r="BG124" s="279"/>
      <c r="BH124" s="279"/>
      <c r="BI124" s="279"/>
      <c r="BJ124" s="279"/>
      <c r="BK124" s="279"/>
      <c r="BL124" s="279"/>
      <c r="BM124" s="279"/>
      <c r="BN124" s="279"/>
      <c r="BO124" s="279"/>
      <c r="BP124" s="279"/>
      <c r="BQ124" s="279"/>
      <c r="BR124" s="279"/>
      <c r="BS124" s="279"/>
      <c r="BT124" s="279"/>
      <c r="BU124" s="279"/>
      <c r="BV124" s="279"/>
      <c r="BW124" s="279"/>
      <c r="BX124" s="279"/>
      <c r="BY124" s="279"/>
      <c r="BZ124" s="279"/>
      <c r="CA124" s="279"/>
      <c r="CB124" s="279"/>
      <c r="CC124" s="279"/>
      <c r="CD124" s="279"/>
      <c r="CE124" s="279"/>
      <c r="CF124" s="279"/>
      <c r="CG124" s="279"/>
      <c r="CH124" s="279"/>
      <c r="CI124" s="279"/>
      <c r="CJ124" s="279"/>
      <c r="CK124" s="279"/>
      <c r="CL124" s="279"/>
      <c r="CM124" s="279"/>
      <c r="CN124" s="382"/>
    </row>
    <row r="125" ht="15.6" x14ac:dyDescent="0.25">
      <c r="B125" s="361"/>
      <c r="C125" s="279"/>
      <c r="D125" s="280"/>
      <c r="E125" s="287"/>
      <c r="F125" s="287"/>
      <c r="G125" s="287"/>
      <c r="H125" s="280"/>
      <c r="I125" s="2048" t="s">
        <v>1476</v>
      </c>
      <c r="J125" s="2049"/>
      <c r="K125" s="2049"/>
      <c r="L125" s="1242">
        <f t="array" ref="L125:AY125">TRANSPOSE(OUT_Current_flow_rate)</f>
        <v>4512.0151204088124</v>
      </c>
      <c r="M125" s="1197">
        <v>2980.7504537999998</v>
      </c>
      <c r="N125" s="1197" t="str">
        <v/>
      </c>
      <c r="O125" s="1197" t="str">
        <v/>
      </c>
      <c r="P125" s="1197" t="str">
        <v/>
      </c>
      <c r="Q125" s="1197">
        <v>0</v>
      </c>
      <c r="R125" s="1197" t="str">
        <v/>
      </c>
      <c r="S125" s="1197" t="str">
        <v/>
      </c>
      <c r="T125" s="1197" t="str">
        <v/>
      </c>
      <c r="U125" s="1197" t="str">
        <v/>
      </c>
      <c r="V125" s="1328" t="str">
        <v/>
      </c>
      <c r="W125" s="1328" t="str">
        <v/>
      </c>
      <c r="X125" s="1328" t="str">
        <v/>
      </c>
      <c r="Y125" s="1328" t="str">
        <v/>
      </c>
      <c r="Z125" s="1328" t="str">
        <v/>
      </c>
      <c r="AA125" s="1328" t="str">
        <v/>
      </c>
      <c r="AB125" s="1328" t="str">
        <v/>
      </c>
      <c r="AC125" s="1328" t="str">
        <v/>
      </c>
      <c r="AD125" s="1328" t="str">
        <v/>
      </c>
      <c r="AE125" s="1328" t="str">
        <v/>
      </c>
      <c r="AF125" s="1328" t="str">
        <v/>
      </c>
      <c r="AG125" s="1328" t="str">
        <v/>
      </c>
      <c r="AH125" s="1328" t="str">
        <v/>
      </c>
      <c r="AI125" s="1328" t="str">
        <v/>
      </c>
      <c r="AJ125" s="1328" t="str">
        <v/>
      </c>
      <c r="AK125" s="1328" t="str">
        <v/>
      </c>
      <c r="AL125" s="1328" t="str">
        <v/>
      </c>
      <c r="AM125" s="1328" t="str">
        <v/>
      </c>
      <c r="AN125" s="1328" t="str">
        <v/>
      </c>
      <c r="AO125" s="1328" t="str">
        <v/>
      </c>
      <c r="AP125" s="1328" t="str">
        <v/>
      </c>
      <c r="AQ125" s="1328" t="str">
        <v/>
      </c>
      <c r="AR125" s="1328" t="str">
        <v/>
      </c>
      <c r="AS125" s="1328" t="str">
        <v/>
      </c>
      <c r="AT125" s="1328" t="str">
        <v/>
      </c>
      <c r="AU125" s="1328" t="str">
        <v/>
      </c>
      <c r="AV125" s="1328" t="str">
        <v/>
      </c>
      <c r="AW125" s="1328" t="str">
        <v/>
      </c>
      <c r="AX125" s="1328" t="str">
        <v/>
      </c>
      <c r="AY125" s="1283" t="str">
        <v/>
      </c>
      <c r="AZ125" s="279"/>
      <c r="BA125" s="279"/>
      <c r="BB125" s="279"/>
      <c r="BC125" s="279"/>
      <c r="BD125" s="279"/>
      <c r="BE125" s="279"/>
      <c r="BF125" s="279"/>
      <c r="BG125" s="279"/>
      <c r="BH125" s="279"/>
      <c r="BI125" s="279"/>
      <c r="BJ125" s="279"/>
      <c r="BK125" s="279"/>
      <c r="BL125" s="279"/>
      <c r="BM125" s="279"/>
      <c r="BN125" s="279"/>
      <c r="BO125" s="279"/>
      <c r="BP125" s="279"/>
      <c r="BQ125" s="279"/>
      <c r="BR125" s="279"/>
      <c r="BS125" s="279"/>
      <c r="BT125" s="279"/>
      <c r="BU125" s="279"/>
      <c r="BV125" s="279"/>
      <c r="BW125" s="279"/>
      <c r="BX125" s="279"/>
      <c r="BY125" s="279"/>
      <c r="BZ125" s="279"/>
      <c r="CA125" s="279"/>
      <c r="CB125" s="279"/>
      <c r="CC125" s="279"/>
      <c r="CD125" s="279"/>
      <c r="CE125" s="279"/>
      <c r="CF125" s="279"/>
      <c r="CG125" s="279"/>
      <c r="CH125" s="279"/>
      <c r="CI125" s="279"/>
      <c r="CJ125" s="279"/>
      <c r="CK125" s="279"/>
      <c r="CL125" s="279"/>
      <c r="CM125" s="279"/>
      <c r="CN125" s="382"/>
    </row>
    <row r="126" ht="15.6" x14ac:dyDescent="0.25">
      <c r="B126" s="361"/>
      <c r="C126" s="279"/>
      <c r="D126" s="280"/>
      <c r="E126" s="287"/>
      <c r="F126" s="287"/>
      <c r="G126" s="287"/>
      <c r="H126" s="280"/>
      <c r="I126" s="2048" t="s">
        <v>1591</v>
      </c>
      <c r="J126" s="2049"/>
      <c r="K126" s="2049"/>
      <c r="L126" s="1242">
        <f t="array" ref="L126:AY126">TRANSPOSE(OUT_Volumetric_flow__m_3_h)</f>
        <v>138.60229922465749</v>
      </c>
      <c r="M126" s="202">
        <v>25059.37624290285</v>
      </c>
      <c r="N126" s="202" t="str">
        <v/>
      </c>
      <c r="O126" s="202" t="str">
        <v/>
      </c>
      <c r="P126" s="202" t="str">
        <v/>
      </c>
      <c r="Q126" s="202">
        <v>0</v>
      </c>
      <c r="R126" s="202" t="str">
        <v/>
      </c>
      <c r="S126" s="202" t="str">
        <v/>
      </c>
      <c r="T126" s="202" t="str">
        <v/>
      </c>
      <c r="U126" s="202" t="str">
        <v/>
      </c>
      <c r="V126" s="1328" t="str">
        <v/>
      </c>
      <c r="W126" s="1328" t="str">
        <v/>
      </c>
      <c r="X126" s="1328" t="str">
        <v/>
      </c>
      <c r="Y126" s="1328" t="str">
        <v/>
      </c>
      <c r="Z126" s="1328" t="str">
        <v/>
      </c>
      <c r="AA126" s="1328" t="str">
        <v/>
      </c>
      <c r="AB126" s="1328" t="str">
        <v/>
      </c>
      <c r="AC126" s="1328" t="str">
        <v/>
      </c>
      <c r="AD126" s="1328" t="str">
        <v/>
      </c>
      <c r="AE126" s="1328" t="str">
        <v/>
      </c>
      <c r="AF126" s="1328" t="str">
        <v/>
      </c>
      <c r="AG126" s="1328" t="str">
        <v/>
      </c>
      <c r="AH126" s="1328" t="str">
        <v/>
      </c>
      <c r="AI126" s="1328" t="str">
        <v/>
      </c>
      <c r="AJ126" s="1328" t="str">
        <v/>
      </c>
      <c r="AK126" s="1328" t="str">
        <v/>
      </c>
      <c r="AL126" s="1328" t="str">
        <v/>
      </c>
      <c r="AM126" s="1328" t="str">
        <v/>
      </c>
      <c r="AN126" s="1328" t="str">
        <v/>
      </c>
      <c r="AO126" s="1328" t="str">
        <v/>
      </c>
      <c r="AP126" s="1328" t="str">
        <v/>
      </c>
      <c r="AQ126" s="1328" t="str">
        <v/>
      </c>
      <c r="AR126" s="1328" t="str">
        <v/>
      </c>
      <c r="AS126" s="1328" t="str">
        <v/>
      </c>
      <c r="AT126" s="1328" t="str">
        <v/>
      </c>
      <c r="AU126" s="1328" t="str">
        <v/>
      </c>
      <c r="AV126" s="1328" t="str">
        <v/>
      </c>
      <c r="AW126" s="1328" t="str">
        <v/>
      </c>
      <c r="AX126" s="1328" t="str">
        <v/>
      </c>
      <c r="AY126" s="1283" t="str">
        <v/>
      </c>
      <c r="AZ126" s="279"/>
      <c r="BA126" s="279"/>
      <c r="BB126" s="279"/>
      <c r="BC126" s="279"/>
      <c r="BD126" s="279"/>
      <c r="BE126" s="279"/>
      <c r="BF126" s="279"/>
      <c r="BG126" s="279"/>
      <c r="BH126" s="279"/>
      <c r="BI126" s="279"/>
      <c r="BJ126" s="279"/>
      <c r="BK126" s="279"/>
      <c r="BL126" s="279"/>
      <c r="BM126" s="279"/>
      <c r="BN126" s="279"/>
      <c r="BO126" s="279"/>
      <c r="BP126" s="279"/>
      <c r="BQ126" s="279"/>
      <c r="BR126" s="279"/>
      <c r="BS126" s="279"/>
      <c r="BT126" s="279"/>
      <c r="BU126" s="279"/>
      <c r="BV126" s="279"/>
      <c r="BW126" s="279"/>
      <c r="BX126" s="279"/>
      <c r="BY126" s="279"/>
      <c r="BZ126" s="279"/>
      <c r="CA126" s="279"/>
      <c r="CB126" s="279"/>
      <c r="CC126" s="279"/>
      <c r="CD126" s="279"/>
      <c r="CE126" s="279"/>
      <c r="CF126" s="279"/>
      <c r="CG126" s="279"/>
      <c r="CH126" s="279"/>
      <c r="CI126" s="279"/>
      <c r="CJ126" s="279"/>
      <c r="CK126" s="279"/>
      <c r="CL126" s="279"/>
      <c r="CM126" s="279"/>
      <c r="CN126" s="382"/>
    </row>
    <row r="127" ht="15.6" x14ac:dyDescent="0.25">
      <c r="B127" s="361"/>
      <c r="C127" s="279"/>
      <c r="D127" s="280"/>
      <c r="E127" s="287"/>
      <c r="F127" s="287"/>
      <c r="G127" s="287"/>
      <c r="H127" s="280"/>
      <c r="I127" s="2050" t="s">
        <v>75</v>
      </c>
      <c r="J127" s="2051"/>
      <c r="K127" s="2051"/>
      <c r="L127" s="1242">
        <f t="array" ref="L127:AY127">TRANSPOSE(OUT_Vapor_fraction)</f>
        <v>0</v>
      </c>
      <c r="M127" s="202">
        <v>0</v>
      </c>
      <c r="N127" s="202" t="str">
        <v/>
      </c>
      <c r="O127" s="202" t="str">
        <v/>
      </c>
      <c r="P127" s="202" t="str">
        <v/>
      </c>
      <c r="Q127" s="202">
        <v>0</v>
      </c>
      <c r="R127" s="202" t="str">
        <v/>
      </c>
      <c r="S127" s="202" t="str">
        <v/>
      </c>
      <c r="T127" s="202" t="str">
        <v/>
      </c>
      <c r="U127" s="202" t="str">
        <v/>
      </c>
      <c r="V127" s="1328" t="str">
        <v/>
      </c>
      <c r="W127" s="1328" t="str">
        <v/>
      </c>
      <c r="X127" s="1328" t="str">
        <v/>
      </c>
      <c r="Y127" s="1328" t="str">
        <v/>
      </c>
      <c r="Z127" s="1328" t="str">
        <v/>
      </c>
      <c r="AA127" s="1328" t="str">
        <v/>
      </c>
      <c r="AB127" s="1328" t="str">
        <v/>
      </c>
      <c r="AC127" s="1328" t="str">
        <v/>
      </c>
      <c r="AD127" s="1328" t="str">
        <v/>
      </c>
      <c r="AE127" s="1328" t="str">
        <v/>
      </c>
      <c r="AF127" s="1328" t="str">
        <v/>
      </c>
      <c r="AG127" s="1328" t="str">
        <v/>
      </c>
      <c r="AH127" s="1328" t="str">
        <v/>
      </c>
      <c r="AI127" s="1328" t="str">
        <v/>
      </c>
      <c r="AJ127" s="1328" t="str">
        <v/>
      </c>
      <c r="AK127" s="1328" t="str">
        <v/>
      </c>
      <c r="AL127" s="1328" t="str">
        <v/>
      </c>
      <c r="AM127" s="1328" t="str">
        <v/>
      </c>
      <c r="AN127" s="1328" t="str">
        <v/>
      </c>
      <c r="AO127" s="1328" t="str">
        <v/>
      </c>
      <c r="AP127" s="1328" t="str">
        <v/>
      </c>
      <c r="AQ127" s="1328" t="str">
        <v/>
      </c>
      <c r="AR127" s="1328" t="str">
        <v/>
      </c>
      <c r="AS127" s="1328" t="str">
        <v/>
      </c>
      <c r="AT127" s="1328" t="str">
        <v/>
      </c>
      <c r="AU127" s="1328" t="str">
        <v/>
      </c>
      <c r="AV127" s="1328" t="str">
        <v/>
      </c>
      <c r="AW127" s="1328" t="str">
        <v/>
      </c>
      <c r="AX127" s="1328" t="str">
        <v/>
      </c>
      <c r="AY127" s="1283" t="str">
        <v/>
      </c>
      <c r="AZ127" s="279"/>
      <c r="BA127" s="279"/>
      <c r="BB127" s="279"/>
      <c r="BC127" s="279"/>
      <c r="BD127" s="279"/>
      <c r="BE127" s="279"/>
      <c r="BF127" s="279"/>
      <c r="BG127" s="279"/>
      <c r="BH127" s="279"/>
      <c r="BI127" s="279"/>
      <c r="BJ127" s="279"/>
      <c r="BK127" s="279"/>
      <c r="BL127" s="279"/>
      <c r="BM127" s="279"/>
      <c r="BN127" s="279"/>
      <c r="BO127" s="279"/>
      <c r="BP127" s="279"/>
      <c r="BQ127" s="279"/>
      <c r="BR127" s="279"/>
      <c r="BS127" s="279"/>
      <c r="BT127" s="279"/>
      <c r="BU127" s="279"/>
      <c r="BV127" s="279"/>
      <c r="BW127" s="279"/>
      <c r="BX127" s="279"/>
      <c r="BY127" s="279"/>
      <c r="BZ127" s="279"/>
      <c r="CA127" s="279"/>
      <c r="CB127" s="279"/>
      <c r="CC127" s="279"/>
      <c r="CD127" s="279"/>
      <c r="CE127" s="279"/>
      <c r="CF127" s="279"/>
      <c r="CG127" s="279"/>
      <c r="CH127" s="279"/>
      <c r="CI127" s="279"/>
      <c r="CJ127" s="279"/>
      <c r="CK127" s="279"/>
      <c r="CL127" s="279"/>
      <c r="CM127" s="279"/>
      <c r="CN127" s="382"/>
    </row>
    <row r="128" ht="15.6" x14ac:dyDescent="0.25">
      <c r="B128" s="361"/>
      <c r="C128" s="279"/>
      <c r="D128" s="280"/>
      <c r="E128" s="287"/>
      <c r="F128" s="287"/>
      <c r="G128" s="287"/>
      <c r="H128" s="280"/>
      <c r="I128" s="2064" t="s">
        <v>1585</v>
      </c>
      <c r="J128" s="2065"/>
      <c r="K128" s="2065"/>
      <c r="L128" s="1242" t="str">
        <f t="array" ref="L128:AY128">TRANSPOSE(OUT_Non_polluted_1__polluted_0)</f>
        <v/>
      </c>
      <c r="M128" s="202">
        <v>0</v>
      </c>
      <c r="N128" s="202" t="str">
        <v/>
      </c>
      <c r="O128" s="202" t="str">
        <v/>
      </c>
      <c r="P128" s="202" t="str">
        <v/>
      </c>
      <c r="Q128" s="202">
        <v>0</v>
      </c>
      <c r="R128" s="202" t="str">
        <v/>
      </c>
      <c r="S128" s="202" t="str">
        <v/>
      </c>
      <c r="T128" s="202" t="str">
        <v/>
      </c>
      <c r="U128" s="202" t="str">
        <v/>
      </c>
      <c r="V128" s="1328" t="str">
        <v/>
      </c>
      <c r="W128" s="1328" t="str">
        <v/>
      </c>
      <c r="X128" s="1328" t="str">
        <v/>
      </c>
      <c r="Y128" s="1328" t="str">
        <v/>
      </c>
      <c r="Z128" s="1328" t="str">
        <v/>
      </c>
      <c r="AA128" s="1328" t="str">
        <v/>
      </c>
      <c r="AB128" s="1328" t="str">
        <v/>
      </c>
      <c r="AC128" s="1328" t="str">
        <v/>
      </c>
      <c r="AD128" s="1328" t="str">
        <v/>
      </c>
      <c r="AE128" s="1328" t="str">
        <v/>
      </c>
      <c r="AF128" s="1328" t="str">
        <v/>
      </c>
      <c r="AG128" s="1328" t="str">
        <v/>
      </c>
      <c r="AH128" s="1328" t="str">
        <v/>
      </c>
      <c r="AI128" s="1328" t="str">
        <v/>
      </c>
      <c r="AJ128" s="1328" t="str">
        <v/>
      </c>
      <c r="AK128" s="1328" t="str">
        <v/>
      </c>
      <c r="AL128" s="1328" t="str">
        <v/>
      </c>
      <c r="AM128" s="1328" t="str">
        <v/>
      </c>
      <c r="AN128" s="1328" t="str">
        <v/>
      </c>
      <c r="AO128" s="1328" t="str">
        <v/>
      </c>
      <c r="AP128" s="1328" t="str">
        <v/>
      </c>
      <c r="AQ128" s="1328" t="str">
        <v/>
      </c>
      <c r="AR128" s="1328" t="str">
        <v/>
      </c>
      <c r="AS128" s="1328" t="str">
        <v/>
      </c>
      <c r="AT128" s="1328" t="str">
        <v/>
      </c>
      <c r="AU128" s="1328" t="str">
        <v/>
      </c>
      <c r="AV128" s="1328" t="str">
        <v/>
      </c>
      <c r="AW128" s="1328" t="str">
        <v/>
      </c>
      <c r="AX128" s="1328" t="str">
        <v/>
      </c>
      <c r="AY128" s="1283" t="str">
        <v/>
      </c>
      <c r="AZ128" s="279"/>
      <c r="BA128" s="279"/>
      <c r="BB128" s="279"/>
      <c r="BC128" s="279"/>
      <c r="BD128" s="279"/>
      <c r="BE128" s="279"/>
      <c r="BF128" s="279"/>
      <c r="BG128" s="279"/>
      <c r="BH128" s="279"/>
      <c r="BI128" s="279"/>
      <c r="BJ128" s="279"/>
      <c r="BK128" s="279"/>
      <c r="BL128" s="279"/>
      <c r="BM128" s="279"/>
      <c r="BN128" s="279"/>
      <c r="BO128" s="279"/>
      <c r="BP128" s="279"/>
      <c r="BQ128" s="279"/>
      <c r="BR128" s="279"/>
      <c r="BS128" s="279"/>
      <c r="BT128" s="279"/>
      <c r="BU128" s="279"/>
      <c r="BV128" s="279"/>
      <c r="BW128" s="279"/>
      <c r="BX128" s="279"/>
      <c r="BY128" s="279"/>
      <c r="BZ128" s="279"/>
      <c r="CA128" s="279"/>
      <c r="CB128" s="279"/>
      <c r="CC128" s="279"/>
      <c r="CD128" s="279"/>
      <c r="CE128" s="279"/>
      <c r="CF128" s="279"/>
      <c r="CG128" s="279"/>
      <c r="CH128" s="279"/>
      <c r="CI128" s="279"/>
      <c r="CJ128" s="279"/>
      <c r="CK128" s="279"/>
      <c r="CL128" s="279"/>
      <c r="CM128" s="279"/>
      <c r="CN128" s="382"/>
    </row>
    <row r="129" ht="16.2" thickBot="true" x14ac:dyDescent="0.3">
      <c r="B129" s="361"/>
      <c r="C129" s="279"/>
      <c r="D129" s="280"/>
      <c r="E129" s="287"/>
      <c r="F129" s="287"/>
      <c r="G129" s="287"/>
      <c r="H129" s="280"/>
      <c r="I129" s="2062" t="s">
        <v>1602</v>
      </c>
      <c r="J129" s="2063"/>
      <c r="K129" s="2063"/>
      <c r="L129" s="318" t="str">
        <f t="array" ref="L129:AY129">TRANSPOSE(OUT_Hazardous_1__nonhazardous_0)</f>
        <v/>
      </c>
      <c r="M129" s="319">
        <v>1</v>
      </c>
      <c r="N129" s="319" t="str">
        <v/>
      </c>
      <c r="O129" s="319" t="str">
        <v/>
      </c>
      <c r="P129" s="319" t="str">
        <v/>
      </c>
      <c r="Q129" s="319">
        <v>0</v>
      </c>
      <c r="R129" s="319" t="str">
        <v/>
      </c>
      <c r="S129" s="319" t="str">
        <v/>
      </c>
      <c r="T129" s="319" t="str">
        <v/>
      </c>
      <c r="U129" s="319" t="str">
        <v/>
      </c>
      <c r="V129" s="1509" t="str">
        <v/>
      </c>
      <c r="W129" s="1509" t="str">
        <v/>
      </c>
      <c r="X129" s="1509" t="str">
        <v/>
      </c>
      <c r="Y129" s="1509" t="str">
        <v/>
      </c>
      <c r="Z129" s="1509" t="str">
        <v/>
      </c>
      <c r="AA129" s="1509" t="str">
        <v/>
      </c>
      <c r="AB129" s="1509" t="str">
        <v/>
      </c>
      <c r="AC129" s="1509" t="str">
        <v/>
      </c>
      <c r="AD129" s="1509" t="str">
        <v/>
      </c>
      <c r="AE129" s="1509" t="str">
        <v/>
      </c>
      <c r="AF129" s="1509" t="str">
        <v/>
      </c>
      <c r="AG129" s="1509" t="str">
        <v/>
      </c>
      <c r="AH129" s="1509" t="str">
        <v/>
      </c>
      <c r="AI129" s="1509" t="str">
        <v/>
      </c>
      <c r="AJ129" s="1509" t="str">
        <v/>
      </c>
      <c r="AK129" s="1509" t="str">
        <v/>
      </c>
      <c r="AL129" s="1509" t="str">
        <v/>
      </c>
      <c r="AM129" s="1509" t="str">
        <v/>
      </c>
      <c r="AN129" s="1509" t="str">
        <v/>
      </c>
      <c r="AO129" s="1509" t="str">
        <v/>
      </c>
      <c r="AP129" s="1509" t="str">
        <v/>
      </c>
      <c r="AQ129" s="1509" t="str">
        <v/>
      </c>
      <c r="AR129" s="1509" t="str">
        <v/>
      </c>
      <c r="AS129" s="1509" t="str">
        <v/>
      </c>
      <c r="AT129" s="1509" t="str">
        <v/>
      </c>
      <c r="AU129" s="1509" t="str">
        <v/>
      </c>
      <c r="AV129" s="1509" t="str">
        <v/>
      </c>
      <c r="AW129" s="1509" t="str">
        <v/>
      </c>
      <c r="AX129" s="1509" t="str">
        <v/>
      </c>
      <c r="AY129" s="1510" t="str">
        <v/>
      </c>
      <c r="AZ129" s="279"/>
      <c r="BA129" s="279"/>
      <c r="BB129" s="279"/>
      <c r="BC129" s="279"/>
      <c r="BD129" s="279"/>
      <c r="BE129" s="279"/>
      <c r="BF129" s="279"/>
      <c r="BG129" s="279"/>
      <c r="BH129" s="279"/>
      <c r="BI129" s="279"/>
      <c r="BJ129" s="279"/>
      <c r="BK129" s="279"/>
      <c r="BL129" s="279"/>
      <c r="BM129" s="279"/>
      <c r="BN129" s="279"/>
      <c r="BO129" s="279"/>
      <c r="BP129" s="279"/>
      <c r="BQ129" s="279"/>
      <c r="BR129" s="279"/>
      <c r="BS129" s="279"/>
      <c r="BT129" s="279"/>
      <c r="BU129" s="279"/>
      <c r="BV129" s="279"/>
      <c r="BW129" s="279"/>
      <c r="BX129" s="279"/>
      <c r="BY129" s="279"/>
      <c r="BZ129" s="279"/>
      <c r="CA129" s="279"/>
      <c r="CB129" s="279"/>
      <c r="CC129" s="279"/>
      <c r="CD129" s="279"/>
      <c r="CE129" s="279"/>
      <c r="CF129" s="279"/>
      <c r="CG129" s="279"/>
      <c r="CH129" s="279"/>
      <c r="CI129" s="279"/>
      <c r="CJ129" s="279"/>
      <c r="CK129" s="279"/>
      <c r="CL129" s="279"/>
      <c r="CM129" s="279"/>
      <c r="CN129" s="382"/>
    </row>
    <row r="130" ht="31.2" x14ac:dyDescent="0.25">
      <c r="B130" s="361"/>
      <c r="C130" s="279"/>
      <c r="D130" s="280"/>
      <c r="E130" s="287"/>
      <c r="F130" s="287"/>
      <c r="G130" s="287"/>
      <c r="H130" s="282" t="s">
        <v>1469</v>
      </c>
      <c r="I130" s="320" t="s">
        <v>252</v>
      </c>
      <c r="J130" s="321" t="s">
        <v>2291</v>
      </c>
      <c r="K130" s="322" t="s">
        <v>1584</v>
      </c>
      <c r="L130" s="323" t="s">
        <v>2292</v>
      </c>
      <c r="M130" s="323" t="s">
        <v>2292</v>
      </c>
      <c r="N130" s="323" t="s">
        <v>2292</v>
      </c>
      <c r="O130" s="323" t="s">
        <v>2292</v>
      </c>
      <c r="P130" s="323" t="s">
        <v>2292</v>
      </c>
      <c r="Q130" s="323" t="s">
        <v>2292</v>
      </c>
      <c r="R130" s="323" t="s">
        <v>2292</v>
      </c>
      <c r="S130" s="323" t="s">
        <v>2292</v>
      </c>
      <c r="T130" s="323" t="s">
        <v>2292</v>
      </c>
      <c r="U130" s="323" t="s">
        <v>2292</v>
      </c>
      <c r="V130" s="323" t="s">
        <v>2292</v>
      </c>
      <c r="W130" s="323" t="s">
        <v>2292</v>
      </c>
      <c r="X130" s="323" t="s">
        <v>2292</v>
      </c>
      <c r="Y130" s="323" t="s">
        <v>2292</v>
      </c>
      <c r="Z130" s="323" t="s">
        <v>2292</v>
      </c>
      <c r="AA130" s="323" t="s">
        <v>2292</v>
      </c>
      <c r="AB130" s="323" t="s">
        <v>2292</v>
      </c>
      <c r="AC130" s="323" t="s">
        <v>2292</v>
      </c>
      <c r="AD130" s="323" t="s">
        <v>2292</v>
      </c>
      <c r="AE130" s="323" t="s">
        <v>2292</v>
      </c>
      <c r="AF130" s="323" t="s">
        <v>2292</v>
      </c>
      <c r="AG130" s="323" t="s">
        <v>2292</v>
      </c>
      <c r="AH130" s="323" t="s">
        <v>2292</v>
      </c>
      <c r="AI130" s="323" t="s">
        <v>2292</v>
      </c>
      <c r="AJ130" s="323" t="s">
        <v>2292</v>
      </c>
      <c r="AK130" s="323" t="s">
        <v>2292</v>
      </c>
      <c r="AL130" s="323" t="s">
        <v>2292</v>
      </c>
      <c r="AM130" s="323" t="s">
        <v>2292</v>
      </c>
      <c r="AN130" s="323" t="s">
        <v>2292</v>
      </c>
      <c r="AO130" s="323" t="s">
        <v>2292</v>
      </c>
      <c r="AP130" s="323" t="s">
        <v>2292</v>
      </c>
      <c r="AQ130" s="323" t="s">
        <v>2292</v>
      </c>
      <c r="AR130" s="323" t="s">
        <v>2292</v>
      </c>
      <c r="AS130" s="323" t="s">
        <v>2292</v>
      </c>
      <c r="AT130" s="323" t="s">
        <v>2292</v>
      </c>
      <c r="AU130" s="323" t="s">
        <v>2292</v>
      </c>
      <c r="AV130" s="323" t="s">
        <v>2292</v>
      </c>
      <c r="AW130" s="323" t="s">
        <v>2292</v>
      </c>
      <c r="AX130" s="323" t="s">
        <v>2292</v>
      </c>
      <c r="AY130" s="384" t="s">
        <v>2292</v>
      </c>
      <c r="AZ130" s="279"/>
      <c r="BA130" s="279"/>
      <c r="BB130" s="279"/>
      <c r="BC130" s="279"/>
      <c r="BD130" s="279"/>
      <c r="BE130" s="279"/>
      <c r="BF130" s="279"/>
      <c r="BG130" s="279"/>
      <c r="BH130" s="279"/>
      <c r="BI130" s="279"/>
      <c r="BJ130" s="279"/>
      <c r="BK130" s="279"/>
      <c r="BL130" s="279"/>
      <c r="BM130" s="279"/>
      <c r="BN130" s="279"/>
      <c r="BO130" s="279"/>
      <c r="BP130" s="279"/>
      <c r="BQ130" s="279"/>
      <c r="BR130" s="279"/>
      <c r="BS130" s="279"/>
      <c r="BT130" s="279"/>
      <c r="BU130" s="279"/>
      <c r="BV130" s="279"/>
      <c r="BW130" s="279"/>
      <c r="BX130" s="279"/>
      <c r="BY130" s="279"/>
      <c r="BZ130" s="279"/>
      <c r="CA130" s="279"/>
      <c r="CB130" s="279"/>
      <c r="CC130" s="279"/>
      <c r="CD130" s="279"/>
      <c r="CE130" s="279"/>
      <c r="CF130" s="279"/>
      <c r="CG130" s="279"/>
      <c r="CH130" s="279"/>
      <c r="CI130" s="279"/>
      <c r="CJ130" s="279"/>
      <c r="CK130" s="279"/>
      <c r="CL130" s="279"/>
      <c r="CM130" s="279"/>
      <c r="CN130" s="382"/>
    </row>
    <row r="131" ht="15.6" x14ac:dyDescent="0.25">
      <c r="B131" s="361"/>
      <c r="C131" s="279"/>
      <c r="D131" s="280"/>
      <c r="E131" s="287"/>
      <c r="F131" s="287"/>
      <c r="G131" s="287"/>
      <c r="H131" s="1292">
        <v>1</v>
      </c>
      <c r="I131" s="1320" t="str">
        <f>IF('I. Stream &amp; Compound Data'!G262&lt;&gt;"",'I. Stream &amp; Compound Data'!G262,"")</f>
        <v>Carbon Dioxide</v>
      </c>
      <c r="J131" s="1190">
        <f>IF('I. Stream &amp; Compound Data'!BH262="","",'I. Stream &amp; Compound Data'!BH262)</f>
        <v>1.7989999999999999</v>
      </c>
      <c r="K131" s="1306">
        <f>IF('I. Stream &amp; Compound Data'!G262="","",IF(OR('I. Stream &amp; Compound Data'!U262=1,'I. Stream &amp; Compound Data'!V262=1,'I. Stream &amp; Compound Data'!AY262&lt;25),0,1))</f>
        <v>0</v>
      </c>
      <c r="L131" s="1242">
        <f>IF(OR(L$122="",I131=""),"",'I. Stream &amp; Compound Data'!H186/$J131*(1-L$127)*(1-L$123)*$K131)</f>
        <v>0</v>
      </c>
      <c r="M131" s="1242">
        <f>IF(OR(M$122="",I131=""),"",'I. Stream &amp; Compound Data'!K186/$J131*(1-M$127)*(1-M$123)*$K131)</f>
        <v>0</v>
      </c>
      <c r="N131" s="1242" t="str">
        <f>IF(OR(N$122="",I131=""),"",'I. Stream &amp; Compound Data'!N186/$J131*(1-N$127)*(1-N$123)*$K131)</f>
        <v/>
      </c>
      <c r="O131" s="1242" t="str">
        <f>IF(OR(O$122="",I131=""),"",'I. Stream &amp; Compound Data'!Q186/$J131*(1-O$127)*(1-O$123)*$K131)</f>
        <v/>
      </c>
      <c r="P131" s="1242" t="str">
        <f>IF(OR(P$122="",I131=""),"",'I. Stream &amp; Compound Data'!T186/$J131*(1-P$127)*(1-P$123)*$K131)</f>
        <v/>
      </c>
      <c r="Q131" s="1242">
        <f>IF(OR(Q$122="",I131=""),"",'I. Stream &amp; Compound Data'!W186/$J131*(1-Q$127)*(1-Q$123)*$K131)</f>
        <v>0</v>
      </c>
      <c r="R131" s="1242" t="str">
        <f>IF(OR(R$122="",I131=""),"",'I. Stream &amp; Compound Data'!Z186/$J131*(1-R$127)*(1-R$123)*$K131)</f>
        <v/>
      </c>
      <c r="S131" s="1242" t="str">
        <f>IF(OR(S$122="",I131=""),"",'I. Stream &amp; Compound Data'!AC186/$J131*(1-S$127)*(1-S$123)*$K131)</f>
        <v/>
      </c>
      <c r="T131" s="1242" t="str">
        <f>IF(OR(T$122="",I131=""),"",'I. Stream &amp; Compound Data'!AF186/$J131*(1-T$127)*(1-T$123)*$K131)</f>
        <v/>
      </c>
      <c r="U131" s="1242" t="str">
        <f>IF(OR(U$122="",$I131=""),"",'I. Stream &amp; Compound Data'!AI186/$J131*(1-U$127)*(1-U$123)*$K131)</f>
        <v/>
      </c>
      <c r="V131" s="1242" t="str">
        <f>IF(OR(V$122="",$I131=""),"",'I. Stream &amp; Compound Data'!AL186/$J131*(1-V$127)*(1-V$123)*$K131)</f>
        <v/>
      </c>
      <c r="W131" s="1242" t="str">
        <f>IF(OR(W$122="",$I131=""),"",'I. Stream &amp; Compound Data'!AO186/$J131*(1-W$127)*(1-W$123)*$K131)</f>
        <v/>
      </c>
      <c r="X131" s="1242" t="str">
        <f>IF(OR(X$122="",$I131=""),"",'I. Stream &amp; Compound Data'!AR186/$J131*(1-X$127)*(1-X$123)*$K131)</f>
        <v/>
      </c>
      <c r="Y131" s="1242" t="str">
        <f>IF(OR(Y$122="",$I131=""),"",'I. Stream &amp; Compound Data'!AU186/$J131*(1-Y$127)*(1-Y$123)*$K131)</f>
        <v/>
      </c>
      <c r="Z131" s="1242" t="str">
        <f>IF(OR(Z$122="",$I131=""),"",'I. Stream &amp; Compound Data'!AX186/$J131*(1-Z$127)*(1-Z$123)*$K131)</f>
        <v/>
      </c>
      <c r="AA131" s="1242" t="str">
        <f>IF(OR(AA$122="",$I131=""),"",'I. Stream &amp; Compound Data'!BA186/$J131*(1-AA$127)*(1-AA$123)*$K131)</f>
        <v/>
      </c>
      <c r="AB131" s="1242" t="str">
        <f>IF(OR(AB$122="",$I131=""),"",'I. Stream &amp; Compound Data'!BD186/$J131*(1-AB$127)*(1-AB$123)*$K131)</f>
        <v/>
      </c>
      <c r="AC131" s="1242" t="str">
        <f>IF(OR(AC$122="",$I131=""),"",'I. Stream &amp; Compound Data'!BG186/$J131*(1-AC$127)*(1-AC$123)*$K131)</f>
        <v/>
      </c>
      <c r="AD131" s="1242" t="str">
        <f>IF(OR(AD$122="",$I131=""),"",'I. Stream &amp; Compound Data'!BJ186/$J131*(1-AD$127)*(1-AD$123)*$K131)</f>
        <v/>
      </c>
      <c r="AE131" s="1242" t="str">
        <f>IF(OR(AE$122="",$I131=""),"",'I. Stream &amp; Compound Data'!BM186/$J131*(1-AE$127)*(1-AE$123)*$K131)</f>
        <v/>
      </c>
      <c r="AF131" s="1242" t="str">
        <f>IF(OR(AF$122="",$I131=""),"",'I. Stream &amp; Compound Data'!BP186/$J131*(1-AF$127)*(1-AF$123)*$K131)</f>
        <v/>
      </c>
      <c r="AG131" s="1242" t="str">
        <f>IF(OR(AG$122="",$I131=""),"",'I. Stream &amp; Compound Data'!BS186/$J131*(1-AG$127)*(1-AG$123)*$K131)</f>
        <v/>
      </c>
      <c r="AH131" s="1242" t="str">
        <f>IF(OR(AH$122="",$I131=""),"",'I. Stream &amp; Compound Data'!BV186/$J131*(1-AH$127)*(1-AH$123)*$K131)</f>
        <v/>
      </c>
      <c r="AI131" s="1242" t="str">
        <f>IF(OR(AI$122="",$I131=""),"",'I. Stream &amp; Compound Data'!BY186/$J131*(1-AI$127)*(1-AI$123)*$K131)</f>
        <v/>
      </c>
      <c r="AJ131" s="1242" t="str">
        <f>IF(OR(AJ$122="",$I131=""),"",'I. Stream &amp; Compound Data'!CB186/$J131*(1-AJ$127)*(1-AJ$123)*$K131)</f>
        <v/>
      </c>
      <c r="AK131" s="1242" t="str">
        <f>IF(OR(AK$122="",$I131=""),"",'I. Stream &amp; Compound Data'!CE186/$J131*(1-AK$127)*(1-AK$123)*$K131)</f>
        <v/>
      </c>
      <c r="AL131" s="1242" t="str">
        <f>IF(OR(AL$122="",$I131=""),"",'I. Stream &amp; Compound Data'!CH186/$J131*(1-AL$127)*(1-AL$123)*$K131)</f>
        <v/>
      </c>
      <c r="AM131" s="1242" t="str">
        <f>IF(OR(AM$122="",$I131=""),"",'I. Stream &amp; Compound Data'!CK186/$J131*(1-AM$127)*(1-AM$123)*$K131)</f>
        <v/>
      </c>
      <c r="AN131" s="1242" t="str">
        <f>IF(OR(AN$122="",$I131=""),"",'I. Stream &amp; Compound Data'!CN186/$J131*(1-AN$127)*(1-AN$123)*$K131)</f>
        <v/>
      </c>
      <c r="AO131" s="1242" t="str">
        <f>IF(OR(AO$122="",$I131=""),"",'I. Stream &amp; Compound Data'!CQ186/$J131*(1-AO$127)*(1-AO$123)*$K131)</f>
        <v/>
      </c>
      <c r="AP131" s="1242" t="str">
        <f>IF(OR(AP$122="",$I131=""),"",'I. Stream &amp; Compound Data'!CT186/$J131*(1-AP$127)*(1-AP$123)*$K131)</f>
        <v/>
      </c>
      <c r="AQ131" s="1242" t="str">
        <f>IF(OR(AQ$122="",$I131=""),"",'I. Stream &amp; Compound Data'!CW186/$J131*(1-AQ$127)*(1-AQ$123)*$K131)</f>
        <v/>
      </c>
      <c r="AR131" s="1242" t="str">
        <f>IF(OR(AR$122="",$I131=""),"",'I. Stream &amp; Compound Data'!CZ186/$J131*(1-AR$127)*(1-AR$123)*$K131)</f>
        <v/>
      </c>
      <c r="AS131" s="1242" t="str">
        <f>IF(OR(AS$122="",$I131=""),"",'I. Stream &amp; Compound Data'!DC186/$J131*(1-AS$127)*(1-AS$123)*$K131)</f>
        <v/>
      </c>
      <c r="AT131" s="1242" t="str">
        <f>IF(OR(AT$122="",$I131=""),"",'I. Stream &amp; Compound Data'!DF186/$J131*(1-AT$127)*(1-AT$123)*$K131)</f>
        <v/>
      </c>
      <c r="AU131" s="1242" t="str">
        <f>IF(OR(AU$122="",$I131=""),"",'I. Stream &amp; Compound Data'!DI186/$J131*(1-AU$127)*(1-AU$123)*$K131)</f>
        <v/>
      </c>
      <c r="AV131" s="1242" t="str">
        <f>IF(OR(AV$122="",$I131=""),"",'I. Stream &amp; Compound Data'!DL186/$J131*(1-AV$127)*(1-AV$123)*$K131)</f>
        <v/>
      </c>
      <c r="AW131" s="1242" t="str">
        <f>IF(OR(AW$122="",$I131=""),"",'I. Stream &amp; Compound Data'!DO186/$J131*(1-AW$127)*(1-AW$123)*$K131)</f>
        <v/>
      </c>
      <c r="AX131" s="1242" t="str">
        <f>IF(OR(AX$122="",$I131=""),"",'I. Stream &amp; Compound Data'!DR186/$J131*(1-AX$127)*(1-AX$123)*$K131)</f>
        <v/>
      </c>
      <c r="AY131" s="1268" t="str">
        <f>IF(OR(AY$122="",$I131=""),"",'I. Stream &amp; Compound Data'!DU186/$J131*(1-AY$127)*(1-AY$123)*$K131)</f>
        <v/>
      </c>
      <c r="AZ131" s="279"/>
      <c r="BA131" s="279"/>
      <c r="BB131" s="279"/>
      <c r="BC131" s="279"/>
      <c r="BD131" s="279"/>
      <c r="BE131" s="279"/>
      <c r="BF131" s="279"/>
      <c r="BG131" s="279"/>
      <c r="BH131" s="279"/>
      <c r="BI131" s="279"/>
      <c r="BJ131" s="279"/>
      <c r="BK131" s="279"/>
      <c r="BL131" s="279"/>
      <c r="BM131" s="279"/>
      <c r="BN131" s="279"/>
      <c r="BO131" s="279"/>
      <c r="BP131" s="279"/>
      <c r="BQ131" s="279"/>
      <c r="BR131" s="279"/>
      <c r="BS131" s="279"/>
      <c r="BT131" s="279"/>
      <c r="BU131" s="279"/>
      <c r="BV131" s="279"/>
      <c r="BW131" s="279"/>
      <c r="BX131" s="279"/>
      <c r="BY131" s="279"/>
      <c r="BZ131" s="279"/>
      <c r="CA131" s="279"/>
      <c r="CB131" s="279"/>
      <c r="CC131" s="279"/>
      <c r="CD131" s="279"/>
      <c r="CE131" s="279"/>
      <c r="CF131" s="279"/>
      <c r="CG131" s="279"/>
      <c r="CH131" s="279"/>
      <c r="CI131" s="279"/>
      <c r="CJ131" s="279"/>
      <c r="CK131" s="279"/>
      <c r="CL131" s="279"/>
      <c r="CM131" s="279"/>
      <c r="CN131" s="382"/>
    </row>
    <row r="132" ht="15.6" x14ac:dyDescent="0.25">
      <c r="B132" s="361"/>
      <c r="C132" s="279"/>
      <c r="D132" s="280"/>
      <c r="E132" s="287"/>
      <c r="F132" s="287"/>
      <c r="G132" s="287"/>
      <c r="H132" s="1292">
        <f>H131+1</f>
        <v>2</v>
      </c>
      <c r="I132" s="1320" t="str">
        <f>IF('I. Stream &amp; Compound Data'!G263&lt;&gt;"",'I. Stream &amp; Compound Data'!G263,"")</f>
        <v>Water</v>
      </c>
      <c r="J132" s="1190">
        <f>IF('I. Stream &amp; Compound Data'!BH263="","",'I. Stream &amp; Compound Data'!BH263)</f>
        <v>997.04190279393686</v>
      </c>
      <c r="K132" s="1306">
        <f>IF('I. Stream &amp; Compound Data'!G263="","",IF(OR('I. Stream &amp; Compound Data'!U263=1,'I. Stream &amp; Compound Data'!V263=1,'I. Stream &amp; Compound Data'!AY263&lt;25),0,1))</f>
        <v>1</v>
      </c>
      <c r="L132" s="1242">
        <f>IF(OR(I132="",L$122=""),"",'I. Stream &amp; Compound Data'!H187/$J132*(1-L$127)*(1-L$123)*$K132)</f>
        <v>0</v>
      </c>
      <c r="M132" s="1242">
        <f>IF(OR(J132="",M$122=""),"",'I. Stream &amp; Compound Data'!K187/$J132*(1-M$127)*(1-M$123)*$K132)</f>
        <v>0</v>
      </c>
      <c r="N132" s="1242" t="str">
        <f>IF(OR(K132="",N$122=""),"",'I. Stream &amp; Compound Data'!N187/$J132*(1-N$127)*(1-N$123)*$K132)</f>
        <v/>
      </c>
      <c r="O132" s="1242" t="str">
        <f>IF(OR(L132="",O$122=""),"",'I. Stream &amp; Compound Data'!Q187/$J132*(1-O$127)*(1-O$123)*$K132)</f>
        <v/>
      </c>
      <c r="P132" s="1242" t="str">
        <f>IF(OR(M132="",P$122=""),"",'I. Stream &amp; Compound Data'!T187/$J132*(1-P$127)*(1-P$123)*$K132)</f>
        <v/>
      </c>
      <c r="Q132" s="1242" t="str">
        <f>IF(OR(N132="",Q$122=""),"",'I. Stream &amp; Compound Data'!W187/$J132*(1-Q$127)*(1-Q$123)*$K132)</f>
        <v/>
      </c>
      <c r="R132" s="1242" t="str">
        <f>IF(OR(O132="",R$122=""),"",'I. Stream &amp; Compound Data'!Z187/$J132*(1-R$127)*(1-R$123)*$K132)</f>
        <v/>
      </c>
      <c r="S132" s="1242" t="str">
        <f>IF(OR(P132="",S$122=""),"",'I. Stream &amp; Compound Data'!AC187/$J132*(1-S$127)*(1-S$123)*$K132)</f>
        <v/>
      </c>
      <c r="T132" s="1242" t="str">
        <f>IF(OR(Q132="",T$122=""),"",'I. Stream &amp; Compound Data'!AF187/$J132*(1-T$127)*(1-T$123)*$K132)</f>
        <v/>
      </c>
      <c r="U132" s="1242" t="str">
        <f>IF(OR(U$122="",$I132=""),"",'I. Stream &amp; Compound Data'!AI187/$J132*(1-U$127)*(1-U$123)*$K132)</f>
        <v/>
      </c>
      <c r="V132" s="1242" t="str">
        <f>IF(OR(V$122="",$I132=""),"",'I. Stream &amp; Compound Data'!AL187/$J132*(1-V$127)*(1-V$123)*$K132)</f>
        <v/>
      </c>
      <c r="W132" s="1242" t="str">
        <f>IF(OR(W$122="",$I132=""),"",'I. Stream &amp; Compound Data'!AO187/$J132*(1-W$127)*(1-W$123)*$K132)</f>
        <v/>
      </c>
      <c r="X132" s="1242" t="str">
        <f>IF(OR(X$122="",$I132=""),"",'I. Stream &amp; Compound Data'!AR187/$J132*(1-X$127)*(1-X$123)*$K132)</f>
        <v/>
      </c>
      <c r="Y132" s="1242" t="str">
        <f>IF(OR(Y$122="",$I132=""),"",'I. Stream &amp; Compound Data'!AU187/$J132*(1-Y$127)*(1-Y$123)*$K132)</f>
        <v/>
      </c>
      <c r="Z132" s="1242" t="str">
        <f>IF(OR(Z$122="",$I132=""),"",'I. Stream &amp; Compound Data'!AX187/$J132*(1-Z$127)*(1-Z$123)*$K132)</f>
        <v/>
      </c>
      <c r="AA132" s="1242" t="str">
        <f>IF(OR(AA$122="",$I132=""),"",'I. Stream &amp; Compound Data'!BA187/$J132*(1-AA$127)*(1-AA$123)*$K132)</f>
        <v/>
      </c>
      <c r="AB132" s="1242" t="str">
        <f>IF(OR(AB$122="",$I132=""),"",'I. Stream &amp; Compound Data'!BD187/$J132*(1-AB$127)*(1-AB$123)*$K132)</f>
        <v/>
      </c>
      <c r="AC132" s="1242" t="str">
        <f>IF(OR(AC$122="",$I132=""),"",'I. Stream &amp; Compound Data'!BG187/$J132*(1-AC$127)*(1-AC$123)*$K132)</f>
        <v/>
      </c>
      <c r="AD132" s="1242" t="str">
        <f>IF(OR(AD$122="",$I132=""),"",'I. Stream &amp; Compound Data'!BJ187/$J132*(1-AD$127)*(1-AD$123)*$K132)</f>
        <v/>
      </c>
      <c r="AE132" s="1242" t="str">
        <f>IF(OR(AE$122="",$I132=""),"",'I. Stream &amp; Compound Data'!BM187/$J132*(1-AE$127)*(1-AE$123)*$K132)</f>
        <v/>
      </c>
      <c r="AF132" s="1242" t="str">
        <f>IF(OR(AF$122="",$I132=""),"",'I. Stream &amp; Compound Data'!BP187/$J132*(1-AF$127)*(1-AF$123)*$K132)</f>
        <v/>
      </c>
      <c r="AG132" s="1242" t="str">
        <f>IF(OR(AG$122="",$I132=""),"",'I. Stream &amp; Compound Data'!BS187/$J132*(1-AG$127)*(1-AG$123)*$K132)</f>
        <v/>
      </c>
      <c r="AH132" s="1242" t="str">
        <f>IF(OR(AH$122="",$I132=""),"",'I. Stream &amp; Compound Data'!BV187/$J132*(1-AH$127)*(1-AH$123)*$K132)</f>
        <v/>
      </c>
      <c r="AI132" s="1242" t="str">
        <f>IF(OR(AI$122="",$I132=""),"",'I. Stream &amp; Compound Data'!BY187/$J132*(1-AI$127)*(1-AI$123)*$K132)</f>
        <v/>
      </c>
      <c r="AJ132" s="1242" t="str">
        <f>IF(OR(AJ$122="",$I132=""),"",'I. Stream &amp; Compound Data'!CB187/$J132*(1-AJ$127)*(1-AJ$123)*$K132)</f>
        <v/>
      </c>
      <c r="AK132" s="1242" t="str">
        <f>IF(OR(AK$122="",$I132=""),"",'I. Stream &amp; Compound Data'!CE187/$J132*(1-AK$127)*(1-AK$123)*$K132)</f>
        <v/>
      </c>
      <c r="AL132" s="1242" t="str">
        <f>IF(OR(AL$122="",$I132=""),"",'I. Stream &amp; Compound Data'!CH187/$J132*(1-AL$127)*(1-AL$123)*$K132)</f>
        <v/>
      </c>
      <c r="AM132" s="1242" t="str">
        <f>IF(OR(AM$122="",$I132=""),"",'I. Stream &amp; Compound Data'!CK187/$J132*(1-AM$127)*(1-AM$123)*$K132)</f>
        <v/>
      </c>
      <c r="AN132" s="1242" t="str">
        <f>IF(OR(AN$122="",$I132=""),"",'I. Stream &amp; Compound Data'!CN187/$J132*(1-AN$127)*(1-AN$123)*$K132)</f>
        <v/>
      </c>
      <c r="AO132" s="1242" t="str">
        <f>IF(OR(AO$122="",$I132=""),"",'I. Stream &amp; Compound Data'!CQ187/$J132*(1-AO$127)*(1-AO$123)*$K132)</f>
        <v/>
      </c>
      <c r="AP132" s="1242" t="str">
        <f>IF(OR(AP$122="",$I132=""),"",'I. Stream &amp; Compound Data'!CT187/$J132*(1-AP$127)*(1-AP$123)*$K132)</f>
        <v/>
      </c>
      <c r="AQ132" s="1242" t="str">
        <f>IF(OR(AQ$122="",$I132=""),"",'I. Stream &amp; Compound Data'!CW187/$J132*(1-AQ$127)*(1-AQ$123)*$K132)</f>
        <v/>
      </c>
      <c r="AR132" s="1242" t="str">
        <f>IF(OR(AR$122="",$I132=""),"",'I. Stream &amp; Compound Data'!CZ187/$J132*(1-AR$127)*(1-AR$123)*$K132)</f>
        <v/>
      </c>
      <c r="AS132" s="1242" t="str">
        <f>IF(OR(AS$122="",$I132=""),"",'I. Stream &amp; Compound Data'!DC187/$J132*(1-AS$127)*(1-AS$123)*$K132)</f>
        <v/>
      </c>
      <c r="AT132" s="1242" t="str">
        <f>IF(OR(AT$122="",$I132=""),"",'I. Stream &amp; Compound Data'!DF187/$J132*(1-AT$127)*(1-AT$123)*$K132)</f>
        <v/>
      </c>
      <c r="AU132" s="1242" t="str">
        <f>IF(OR(AU$122="",$I132=""),"",'I. Stream &amp; Compound Data'!DI187/$J132*(1-AU$127)*(1-AU$123)*$K132)</f>
        <v/>
      </c>
      <c r="AV132" s="1242" t="str">
        <f>IF(OR(AV$122="",$I132=""),"",'I. Stream &amp; Compound Data'!DL187/$J132*(1-AV$127)*(1-AV$123)*$K132)</f>
        <v/>
      </c>
      <c r="AW132" s="1242" t="str">
        <f>IF(OR(AW$122="",$I132=""),"",'I. Stream &amp; Compound Data'!DO187/$J132*(1-AW$127)*(1-AW$123)*$K132)</f>
        <v/>
      </c>
      <c r="AX132" s="1242" t="str">
        <f>IF(OR(AX$122="",$I132=""),"",'I. Stream &amp; Compound Data'!DR187/$J132*(1-AX$127)*(1-AX$123)*$K132)</f>
        <v/>
      </c>
      <c r="AY132" s="1268" t="str">
        <f>IF(OR(AY$122="",$I132=""),"",'I. Stream &amp; Compound Data'!DU187/$J132*(1-AY$127)*(1-AY$123)*$K132)</f>
        <v/>
      </c>
      <c r="AZ132" s="279"/>
      <c r="BA132" s="279"/>
      <c r="BB132" s="279"/>
      <c r="BC132" s="279"/>
      <c r="BD132" s="279"/>
      <c r="BE132" s="279"/>
      <c r="BF132" s="279"/>
      <c r="BG132" s="279"/>
      <c r="BH132" s="279"/>
      <c r="BI132" s="279"/>
      <c r="BJ132" s="279"/>
      <c r="BK132" s="279"/>
      <c r="BL132" s="279"/>
      <c r="BM132" s="279"/>
      <c r="BN132" s="279"/>
      <c r="BO132" s="279"/>
      <c r="BP132" s="279"/>
      <c r="BQ132" s="279"/>
      <c r="BR132" s="279"/>
      <c r="BS132" s="279"/>
      <c r="BT132" s="279"/>
      <c r="BU132" s="279"/>
      <c r="BV132" s="279"/>
      <c r="BW132" s="279"/>
      <c r="BX132" s="279"/>
      <c r="BY132" s="279"/>
      <c r="BZ132" s="279"/>
      <c r="CA132" s="279"/>
      <c r="CB132" s="279"/>
      <c r="CC132" s="279"/>
      <c r="CD132" s="279"/>
      <c r="CE132" s="279"/>
      <c r="CF132" s="279"/>
      <c r="CG132" s="279"/>
      <c r="CH132" s="279"/>
      <c r="CI132" s="279"/>
      <c r="CJ132" s="279"/>
      <c r="CK132" s="279"/>
      <c r="CL132" s="279"/>
      <c r="CM132" s="279"/>
      <c r="CN132" s="382"/>
    </row>
    <row r="133" ht="15.6" x14ac:dyDescent="0.25">
      <c r="B133" s="361"/>
      <c r="C133" s="279"/>
      <c r="D133" s="280"/>
      <c r="E133" s="287"/>
      <c r="F133" s="287"/>
      <c r="G133" s="287"/>
      <c r="H133" s="1292">
        <f t="shared" ref="H133:H180" si="18">H132+1</f>
        <v>3</v>
      </c>
      <c r="I133" s="1320" t="str">
        <f>IF('I. Stream &amp; Compound Data'!G264&lt;&gt;"",'I. Stream &amp; Compound Data'!G264,"")</f>
        <v>Calcium Oxide</v>
      </c>
      <c r="J133" s="1190">
        <f>IF('I. Stream &amp; Compound Data'!BH264="","",'I. Stream &amp; Compound Data'!BH264)</f>
        <v>3340</v>
      </c>
      <c r="K133" s="1306">
        <f>IF('I. Stream &amp; Compound Data'!G264="","",IF(OR('I. Stream &amp; Compound Data'!U264=1,'I. Stream &amp; Compound Data'!V264=1,'I. Stream &amp; Compound Data'!AY264&lt;25),0,1))</f>
        <v>0</v>
      </c>
      <c r="L133" s="1242">
        <f>IF(OR(I133="",L$122=""),"",'I. Stream &amp; Compound Data'!H188/$J133*(1-L$127)*(1-L$123)*$K133)</f>
        <v>0</v>
      </c>
      <c r="M133" s="1242">
        <f>IF(OR(J133="",M$122=""),"",'I. Stream &amp; Compound Data'!K188/$J133*(1-M$127)*(1-M$123)*$K133)</f>
        <v>0</v>
      </c>
      <c r="N133" s="1242" t="str">
        <f>IF(OR(K133="",N$122=""),"",'I. Stream &amp; Compound Data'!N188/$J133*(1-N$127)*(1-N$123)*$K133)</f>
        <v/>
      </c>
      <c r="O133" s="1242" t="str">
        <f>IF(OR(L133="",O$122=""),"",'I. Stream &amp; Compound Data'!Q188/$J133*(1-O$127)*(1-O$123)*$K133)</f>
        <v/>
      </c>
      <c r="P133" s="1242" t="str">
        <f>IF(OR(M133="",P$122=""),"",'I. Stream &amp; Compound Data'!T188/$J133*(1-P$127)*(1-P$123)*$K133)</f>
        <v/>
      </c>
      <c r="Q133" s="1242" t="str">
        <f>IF(OR(N133="",Q$122=""),"",'I. Stream &amp; Compound Data'!W188/$J133*(1-Q$127)*(1-Q$123)*$K133)</f>
        <v/>
      </c>
      <c r="R133" s="1242" t="str">
        <f>IF(OR(O133="",R$122=""),"",'I. Stream &amp; Compound Data'!Z188/$J133*(1-R$127)*(1-R$123)*$K133)</f>
        <v/>
      </c>
      <c r="S133" s="1242" t="str">
        <f>IF(OR(P133="",S$122=""),"",'I. Stream &amp; Compound Data'!AC188/$J133*(1-S$127)*(1-S$123)*$K133)</f>
        <v/>
      </c>
      <c r="T133" s="1242" t="str">
        <f>IF(OR(Q133="",T$122=""),"",'I. Stream &amp; Compound Data'!AF188/$J133*(1-T$127)*(1-T$123)*$K133)</f>
        <v/>
      </c>
      <c r="U133" s="1242" t="str">
        <f>IF(OR(U$122="",$I133=""),"",'I. Stream &amp; Compound Data'!AI188/$J133*(1-U$127)*(1-U$123)*$K133)</f>
        <v/>
      </c>
      <c r="V133" s="1242" t="str">
        <f>IF(OR(V$122="",$I133=""),"",'I. Stream &amp; Compound Data'!AL188/$J133*(1-V$127)*(1-V$123)*$K133)</f>
        <v/>
      </c>
      <c r="W133" s="1242" t="str">
        <f>IF(OR(W$122="",$I133=""),"",'I. Stream &amp; Compound Data'!AO188/$J133*(1-W$127)*(1-W$123)*$K133)</f>
        <v/>
      </c>
      <c r="X133" s="1242" t="str">
        <f>IF(OR(X$122="",$I133=""),"",'I. Stream &amp; Compound Data'!AR188/$J133*(1-X$127)*(1-X$123)*$K133)</f>
        <v/>
      </c>
      <c r="Y133" s="1242" t="str">
        <f>IF(OR(Y$122="",$I133=""),"",'I. Stream &amp; Compound Data'!AU188/$J133*(1-Y$127)*(1-Y$123)*$K133)</f>
        <v/>
      </c>
      <c r="Z133" s="1242" t="str">
        <f>IF(OR(Z$122="",$I133=""),"",'I. Stream &amp; Compound Data'!AX188/$J133*(1-Z$127)*(1-Z$123)*$K133)</f>
        <v/>
      </c>
      <c r="AA133" s="1242" t="str">
        <f>IF(OR(AA$122="",$I133=""),"",'I. Stream &amp; Compound Data'!BA188/$J133*(1-AA$127)*(1-AA$123)*$K133)</f>
        <v/>
      </c>
      <c r="AB133" s="1242" t="str">
        <f>IF(OR(AB$122="",$I133=""),"",'I. Stream &amp; Compound Data'!BD188/$J133*(1-AB$127)*(1-AB$123)*$K133)</f>
        <v/>
      </c>
      <c r="AC133" s="1242" t="str">
        <f>IF(OR(AC$122="",$I133=""),"",'I. Stream &amp; Compound Data'!BG188/$J133*(1-AC$127)*(1-AC$123)*$K133)</f>
        <v/>
      </c>
      <c r="AD133" s="1242" t="str">
        <f>IF(OR(AD$122="",$I133=""),"",'I. Stream &amp; Compound Data'!BJ188/$J133*(1-AD$127)*(1-AD$123)*$K133)</f>
        <v/>
      </c>
      <c r="AE133" s="1242" t="str">
        <f>IF(OR(AE$122="",$I133=""),"",'I. Stream &amp; Compound Data'!BM188/$J133*(1-AE$127)*(1-AE$123)*$K133)</f>
        <v/>
      </c>
      <c r="AF133" s="1242" t="str">
        <f>IF(OR(AF$122="",$I133=""),"",'I. Stream &amp; Compound Data'!BP188/$J133*(1-AF$127)*(1-AF$123)*$K133)</f>
        <v/>
      </c>
      <c r="AG133" s="1242" t="str">
        <f>IF(OR(AG$122="",$I133=""),"",'I. Stream &amp; Compound Data'!BS188/$J133*(1-AG$127)*(1-AG$123)*$K133)</f>
        <v/>
      </c>
      <c r="AH133" s="1242" t="str">
        <f>IF(OR(AH$122="",$I133=""),"",'I. Stream &amp; Compound Data'!BV188/$J133*(1-AH$127)*(1-AH$123)*$K133)</f>
        <v/>
      </c>
      <c r="AI133" s="1242" t="str">
        <f>IF(OR(AI$122="",$I133=""),"",'I. Stream &amp; Compound Data'!BY188/$J133*(1-AI$127)*(1-AI$123)*$K133)</f>
        <v/>
      </c>
      <c r="AJ133" s="1242" t="str">
        <f>IF(OR(AJ$122="",$I133=""),"",'I. Stream &amp; Compound Data'!CB188/$J133*(1-AJ$127)*(1-AJ$123)*$K133)</f>
        <v/>
      </c>
      <c r="AK133" s="1242" t="str">
        <f>IF(OR(AK$122="",$I133=""),"",'I. Stream &amp; Compound Data'!CE188/$J133*(1-AK$127)*(1-AK$123)*$K133)</f>
        <v/>
      </c>
      <c r="AL133" s="1242" t="str">
        <f>IF(OR(AL$122="",$I133=""),"",'I. Stream &amp; Compound Data'!CH188/$J133*(1-AL$127)*(1-AL$123)*$K133)</f>
        <v/>
      </c>
      <c r="AM133" s="1242" t="str">
        <f>IF(OR(AM$122="",$I133=""),"",'I. Stream &amp; Compound Data'!CK188/$J133*(1-AM$127)*(1-AM$123)*$K133)</f>
        <v/>
      </c>
      <c r="AN133" s="1242" t="str">
        <f>IF(OR(AN$122="",$I133=""),"",'I. Stream &amp; Compound Data'!CN188/$J133*(1-AN$127)*(1-AN$123)*$K133)</f>
        <v/>
      </c>
      <c r="AO133" s="1242" t="str">
        <f>IF(OR(AO$122="",$I133=""),"",'I. Stream &amp; Compound Data'!CQ188/$J133*(1-AO$127)*(1-AO$123)*$K133)</f>
        <v/>
      </c>
      <c r="AP133" s="1242" t="str">
        <f>IF(OR(AP$122="",$I133=""),"",'I. Stream &amp; Compound Data'!CT188/$J133*(1-AP$127)*(1-AP$123)*$K133)</f>
        <v/>
      </c>
      <c r="AQ133" s="1242" t="str">
        <f>IF(OR(AQ$122="",$I133=""),"",'I. Stream &amp; Compound Data'!CW188/$J133*(1-AQ$127)*(1-AQ$123)*$K133)</f>
        <v/>
      </c>
      <c r="AR133" s="1242" t="str">
        <f>IF(OR(AR$122="",$I133=""),"",'I. Stream &amp; Compound Data'!CZ188/$J133*(1-AR$127)*(1-AR$123)*$K133)</f>
        <v/>
      </c>
      <c r="AS133" s="1242" t="str">
        <f>IF(OR(AS$122="",$I133=""),"",'I. Stream &amp; Compound Data'!DC188/$J133*(1-AS$127)*(1-AS$123)*$K133)</f>
        <v/>
      </c>
      <c r="AT133" s="1242" t="str">
        <f>IF(OR(AT$122="",$I133=""),"",'I. Stream &amp; Compound Data'!DF188/$J133*(1-AT$127)*(1-AT$123)*$K133)</f>
        <v/>
      </c>
      <c r="AU133" s="1242" t="str">
        <f>IF(OR(AU$122="",$I133=""),"",'I. Stream &amp; Compound Data'!DI188/$J133*(1-AU$127)*(1-AU$123)*$K133)</f>
        <v/>
      </c>
      <c r="AV133" s="1242" t="str">
        <f>IF(OR(AV$122="",$I133=""),"",'I. Stream &amp; Compound Data'!DL188/$J133*(1-AV$127)*(1-AV$123)*$K133)</f>
        <v/>
      </c>
      <c r="AW133" s="1242" t="str">
        <f>IF(OR(AW$122="",$I133=""),"",'I. Stream &amp; Compound Data'!DO188/$J133*(1-AW$127)*(1-AW$123)*$K133)</f>
        <v/>
      </c>
      <c r="AX133" s="1242" t="str">
        <f>IF(OR(AX$122="",$I133=""),"",'I. Stream &amp; Compound Data'!DR188/$J133*(1-AX$127)*(1-AX$123)*$K133)</f>
        <v/>
      </c>
      <c r="AY133" s="1268" t="str">
        <f>IF(OR(AY$122="",$I133=""),"",'I. Stream &amp; Compound Data'!DU188/$J133*(1-AY$127)*(1-AY$123)*$K133)</f>
        <v/>
      </c>
      <c r="AZ133" s="279"/>
      <c r="BA133" s="279"/>
      <c r="BB133" s="279"/>
      <c r="BC133" s="279"/>
      <c r="BD133" s="279"/>
      <c r="BE133" s="279"/>
      <c r="BF133" s="279"/>
      <c r="BG133" s="279"/>
      <c r="BH133" s="279"/>
      <c r="BI133" s="279"/>
      <c r="BJ133" s="279"/>
      <c r="BK133" s="279"/>
      <c r="BL133" s="279"/>
      <c r="BM133" s="279"/>
      <c r="BN133" s="279"/>
      <c r="BO133" s="279"/>
      <c r="BP133" s="279"/>
      <c r="BQ133" s="279"/>
      <c r="BR133" s="279"/>
      <c r="BS133" s="279"/>
      <c r="BT133" s="279"/>
      <c r="BU133" s="279"/>
      <c r="BV133" s="279"/>
      <c r="BW133" s="279"/>
      <c r="BX133" s="279"/>
      <c r="BY133" s="279"/>
      <c r="BZ133" s="279"/>
      <c r="CA133" s="279"/>
      <c r="CB133" s="279"/>
      <c r="CC133" s="279"/>
      <c r="CD133" s="279"/>
      <c r="CE133" s="279"/>
      <c r="CF133" s="279"/>
      <c r="CG133" s="279"/>
      <c r="CH133" s="279"/>
      <c r="CI133" s="279"/>
      <c r="CJ133" s="279"/>
      <c r="CK133" s="279"/>
      <c r="CL133" s="279"/>
      <c r="CM133" s="279"/>
      <c r="CN133" s="382"/>
    </row>
    <row r="134" ht="15.6" x14ac:dyDescent="0.25">
      <c r="B134" s="361"/>
      <c r="C134" s="279"/>
      <c r="D134" s="280"/>
      <c r="E134" s="287"/>
      <c r="F134" s="287"/>
      <c r="G134" s="287"/>
      <c r="H134" s="1292">
        <f t="shared" si="18"/>
        <v>4</v>
      </c>
      <c r="I134" s="1320" t="str">
        <f>IF('I. Stream &amp; Compound Data'!G265&lt;&gt;"",'I. Stream &amp; Compound Data'!G265,"")</f>
        <v>Calcium Carbonate</v>
      </c>
      <c r="J134" s="1190">
        <f>IF('I. Stream &amp; Compound Data'!BH265="","",'I. Stream &amp; Compound Data'!BH265)</f>
        <v>2800</v>
      </c>
      <c r="K134" s="1306">
        <f>IF('I. Stream &amp; Compound Data'!G265="","",IF(OR('I. Stream &amp; Compound Data'!U265=1,'I. Stream &amp; Compound Data'!V265=1,'I. Stream &amp; Compound Data'!AY265&lt;25),0,1))</f>
        <v>0</v>
      </c>
      <c r="L134" s="1242">
        <f>IF(OR(I134="",L$122=""),"",'I. Stream &amp; Compound Data'!H189/$J134*(1-L$127)*(1-L$123)*$K134)</f>
        <v>0</v>
      </c>
      <c r="M134" s="1242">
        <f>IF(OR(J134="",M$122=""),"",'I. Stream &amp; Compound Data'!K189/$J134*(1-M$127)*(1-M$123)*$K134)</f>
        <v>0</v>
      </c>
      <c r="N134" s="1242" t="str">
        <f>IF(OR(K134="",N$122=""),"",'I. Stream &amp; Compound Data'!N189/$J134*(1-N$127)*(1-N$123)*$K134)</f>
        <v/>
      </c>
      <c r="O134" s="1242" t="str">
        <f>IF(OR(L134="",O$122=""),"",'I. Stream &amp; Compound Data'!Q189/$J134*(1-O$127)*(1-O$123)*$K134)</f>
        <v/>
      </c>
      <c r="P134" s="1242" t="str">
        <f>IF(OR(M134="",P$122=""),"",'I. Stream &amp; Compound Data'!T189/$J134*(1-P$127)*(1-P$123)*$K134)</f>
        <v/>
      </c>
      <c r="Q134" s="1242" t="str">
        <f>IF(OR(N134="",Q$122=""),"",'I. Stream &amp; Compound Data'!W189/$J134*(1-Q$127)*(1-Q$123)*$K134)</f>
        <v/>
      </c>
      <c r="R134" s="1242" t="str">
        <f>IF(OR(O134="",R$122=""),"",'I. Stream &amp; Compound Data'!Z189/$J134*(1-R$127)*(1-R$123)*$K134)</f>
        <v/>
      </c>
      <c r="S134" s="1242" t="str">
        <f>IF(OR(P134="",S$122=""),"",'I. Stream &amp; Compound Data'!AC189/$J134*(1-S$127)*(1-S$123)*$K134)</f>
        <v/>
      </c>
      <c r="T134" s="1242" t="str">
        <f>IF(OR(Q134="",T$122=""),"",'I. Stream &amp; Compound Data'!AF189/$J134*(1-T$127)*(1-T$123)*$K134)</f>
        <v/>
      </c>
      <c r="U134" s="1242" t="str">
        <f>IF(OR(R134="",U$122=""),"",'I. Stream &amp; Compound Data'!AI189/$J134*(1-U$127)*(1-U$123)*$K134)</f>
        <v/>
      </c>
      <c r="V134" s="1242" t="str">
        <f>IF(OR(V$122="",$I134=""),"",'I. Stream &amp; Compound Data'!AL189/$J134*(1-V$127)*(1-V$123)*$K134)</f>
        <v/>
      </c>
      <c r="W134" s="1242" t="str">
        <f>IF(OR(W$122="",$I134=""),"",'I. Stream &amp; Compound Data'!AO189/$J134*(1-W$127)*(1-W$123)*$K134)</f>
        <v/>
      </c>
      <c r="X134" s="1242" t="str">
        <f>IF(OR(X$122="",$I134=""),"",'I. Stream &amp; Compound Data'!AR189/$J134*(1-X$127)*(1-X$123)*$K134)</f>
        <v/>
      </c>
      <c r="Y134" s="1242" t="str">
        <f>IF(OR(Y$122="",$I134=""),"",'I. Stream &amp; Compound Data'!AU189/$J134*(1-Y$127)*(1-Y$123)*$K134)</f>
        <v/>
      </c>
      <c r="Z134" s="1242" t="str">
        <f>IF(OR(Z$122="",$I134=""),"",'I. Stream &amp; Compound Data'!AX189/$J134*(1-Z$127)*(1-Z$123)*$K134)</f>
        <v/>
      </c>
      <c r="AA134" s="1242" t="str">
        <f>IF(OR(AA$122="",$I134=""),"",'I. Stream &amp; Compound Data'!BA189/$J134*(1-AA$127)*(1-AA$123)*$K134)</f>
        <v/>
      </c>
      <c r="AB134" s="1242" t="str">
        <f>IF(OR(AB$122="",$I134=""),"",'I. Stream &amp; Compound Data'!BD189/$J134*(1-AB$127)*(1-AB$123)*$K134)</f>
        <v/>
      </c>
      <c r="AC134" s="1242" t="str">
        <f>IF(OR(AC$122="",$I134=""),"",'I. Stream &amp; Compound Data'!BG189/$J134*(1-AC$127)*(1-AC$123)*$K134)</f>
        <v/>
      </c>
      <c r="AD134" s="1242" t="str">
        <f>IF(OR(AD$122="",$I134=""),"",'I. Stream &amp; Compound Data'!BJ189/$J134*(1-AD$127)*(1-AD$123)*$K134)</f>
        <v/>
      </c>
      <c r="AE134" s="1242" t="str">
        <f>IF(OR(AE$122="",$I134=""),"",'I. Stream &amp; Compound Data'!BM189/$J134*(1-AE$127)*(1-AE$123)*$K134)</f>
        <v/>
      </c>
      <c r="AF134" s="1242" t="str">
        <f>IF(OR(AF$122="",$I134=""),"",'I. Stream &amp; Compound Data'!BP189/$J134*(1-AF$127)*(1-AF$123)*$K134)</f>
        <v/>
      </c>
      <c r="AG134" s="1242" t="str">
        <f>IF(OR(AG$122="",$I134=""),"",'I. Stream &amp; Compound Data'!BS189/$J134*(1-AG$127)*(1-AG$123)*$K134)</f>
        <v/>
      </c>
      <c r="AH134" s="1242" t="str">
        <f>IF(OR(AH$122="",$I134=""),"",'I. Stream &amp; Compound Data'!BV189/$J134*(1-AH$127)*(1-AH$123)*$K134)</f>
        <v/>
      </c>
      <c r="AI134" s="1242" t="str">
        <f>IF(OR(AI$122="",$I134=""),"",'I. Stream &amp; Compound Data'!BY189/$J134*(1-AI$127)*(1-AI$123)*$K134)</f>
        <v/>
      </c>
      <c r="AJ134" s="1242" t="str">
        <f>IF(OR(AJ$122="",$I134=""),"",'I. Stream &amp; Compound Data'!CB189/$J134*(1-AJ$127)*(1-AJ$123)*$K134)</f>
        <v/>
      </c>
      <c r="AK134" s="1242" t="str">
        <f>IF(OR(AK$122="",$I134=""),"",'I. Stream &amp; Compound Data'!CE189/$J134*(1-AK$127)*(1-AK$123)*$K134)</f>
        <v/>
      </c>
      <c r="AL134" s="1242" t="str">
        <f>IF(OR(AL$122="",$I134=""),"",'I. Stream &amp; Compound Data'!CH189/$J134*(1-AL$127)*(1-AL$123)*$K134)</f>
        <v/>
      </c>
      <c r="AM134" s="1242" t="str">
        <f>IF(OR(AM$122="",$I134=""),"",'I. Stream &amp; Compound Data'!CK189/$J134*(1-AM$127)*(1-AM$123)*$K134)</f>
        <v/>
      </c>
      <c r="AN134" s="1242" t="str">
        <f>IF(OR(AN$122="",$I134=""),"",'I. Stream &amp; Compound Data'!CN189/$J134*(1-AN$127)*(1-AN$123)*$K134)</f>
        <v/>
      </c>
      <c r="AO134" s="1242" t="str">
        <f>IF(OR(AO$122="",$I134=""),"",'I. Stream &amp; Compound Data'!CQ189/$J134*(1-AO$127)*(1-AO$123)*$K134)</f>
        <v/>
      </c>
      <c r="AP134" s="1242" t="str">
        <f>IF(OR(AP$122="",$I134=""),"",'I. Stream &amp; Compound Data'!CT189/$J134*(1-AP$127)*(1-AP$123)*$K134)</f>
        <v/>
      </c>
      <c r="AQ134" s="1242" t="str">
        <f>IF(OR(AQ$122="",$I134=""),"",'I. Stream &amp; Compound Data'!CW189/$J134*(1-AQ$127)*(1-AQ$123)*$K134)</f>
        <v/>
      </c>
      <c r="AR134" s="1242" t="str">
        <f>IF(OR(AR$122="",$I134=""),"",'I. Stream &amp; Compound Data'!CZ189/$J134*(1-AR$127)*(1-AR$123)*$K134)</f>
        <v/>
      </c>
      <c r="AS134" s="1242" t="str">
        <f>IF(OR(AS$122="",$I134=""),"",'I. Stream &amp; Compound Data'!DC189/$J134*(1-AS$127)*(1-AS$123)*$K134)</f>
        <v/>
      </c>
      <c r="AT134" s="1242" t="str">
        <f>IF(OR(AT$122="",$I134=""),"",'I. Stream &amp; Compound Data'!DF189/$J134*(1-AT$127)*(1-AT$123)*$K134)</f>
        <v/>
      </c>
      <c r="AU134" s="1242" t="str">
        <f>IF(OR(AU$122="",$I134=""),"",'I. Stream &amp; Compound Data'!DI189/$J134*(1-AU$127)*(1-AU$123)*$K134)</f>
        <v/>
      </c>
      <c r="AV134" s="1242" t="str">
        <f>IF(OR(AV$122="",$I134=""),"",'I. Stream &amp; Compound Data'!DL189/$J134*(1-AV$127)*(1-AV$123)*$K134)</f>
        <v/>
      </c>
      <c r="AW134" s="1242" t="str">
        <f>IF(OR(AW$122="",$I134=""),"",'I. Stream &amp; Compound Data'!DO189/$J134*(1-AW$127)*(1-AW$123)*$K134)</f>
        <v/>
      </c>
      <c r="AX134" s="1242" t="str">
        <f>IF(OR(AX$122="",$I134=""),"",'I. Stream &amp; Compound Data'!DR189/$J134*(1-AX$127)*(1-AX$123)*$K134)</f>
        <v/>
      </c>
      <c r="AY134" s="1268" t="str">
        <f>IF(OR(AY$122="",$I134=""),"",'I. Stream &amp; Compound Data'!DU189/$J134*(1-AY$127)*(1-AY$123)*$K134)</f>
        <v/>
      </c>
      <c r="AZ134" s="279"/>
      <c r="BA134" s="279"/>
      <c r="BB134" s="279"/>
      <c r="BC134" s="279"/>
      <c r="BD134" s="279"/>
      <c r="BE134" s="279"/>
      <c r="BF134" s="279"/>
      <c r="BG134" s="279"/>
      <c r="BH134" s="279"/>
      <c r="BI134" s="279"/>
      <c r="BJ134" s="279"/>
      <c r="BK134" s="279"/>
      <c r="BL134" s="279"/>
      <c r="BM134" s="279"/>
      <c r="BN134" s="279"/>
      <c r="BO134" s="279"/>
      <c r="BP134" s="279"/>
      <c r="BQ134" s="279"/>
      <c r="BR134" s="279"/>
      <c r="BS134" s="279"/>
      <c r="BT134" s="279"/>
      <c r="BU134" s="279"/>
      <c r="BV134" s="279"/>
      <c r="BW134" s="279"/>
      <c r="BX134" s="279"/>
      <c r="BY134" s="279"/>
      <c r="BZ134" s="279"/>
      <c r="CA134" s="279"/>
      <c r="CB134" s="279"/>
      <c r="CC134" s="279"/>
      <c r="CD134" s="279"/>
      <c r="CE134" s="279"/>
      <c r="CF134" s="279"/>
      <c r="CG134" s="279"/>
      <c r="CH134" s="279"/>
      <c r="CI134" s="279"/>
      <c r="CJ134" s="279"/>
      <c r="CK134" s="279"/>
      <c r="CL134" s="279"/>
      <c r="CM134" s="279"/>
      <c r="CN134" s="382"/>
    </row>
    <row r="135" ht="15.6" x14ac:dyDescent="0.25">
      <c r="B135" s="361"/>
      <c r="C135" s="279"/>
      <c r="D135" s="280"/>
      <c r="E135" s="287"/>
      <c r="F135" s="287"/>
      <c r="G135" s="287"/>
      <c r="H135" s="1292">
        <f t="shared" si="18"/>
        <v>5</v>
      </c>
      <c r="I135" s="1320" t="str">
        <f>IF('I. Stream &amp; Compound Data'!G266&lt;&gt;"",'I. Stream &amp; Compound Data'!G266,"")</f>
        <v/>
      </c>
      <c r="J135" s="1190" t="str">
        <f>IF('I. Stream &amp; Compound Data'!BH266="","",'I. Stream &amp; Compound Data'!BH266)</f>
        <v/>
      </c>
      <c r="K135" s="1306" t="str">
        <f>IF('I. Stream &amp; Compound Data'!G266="","",IF(OR('I. Stream &amp; Compound Data'!U266=1,'I. Stream &amp; Compound Data'!V266=1,'I. Stream &amp; Compound Data'!AY266&lt;25),0,1))</f>
        <v/>
      </c>
      <c r="L135" s="1242" t="str">
        <f>IF(OR(I135="",L$122=""),"",'I. Stream &amp; Compound Data'!H190/$J135*(1-L$127)*(1-L$123)*$K135)</f>
        <v/>
      </c>
      <c r="M135" s="1242" t="str">
        <f>IF(OR(J135="",M$122=""),"",'I. Stream &amp; Compound Data'!K190/$J135*(1-M$127)*(1-M$123)*$K135)</f>
        <v/>
      </c>
      <c r="N135" s="1242" t="str">
        <f>IF(OR(K135="",N$122=""),"",'I. Stream &amp; Compound Data'!N190/$J135*(1-N$127)*(1-N$123)*$K135)</f>
        <v/>
      </c>
      <c r="O135" s="1242" t="str">
        <f>IF(OR(L135="",O$122=""),"",'I. Stream &amp; Compound Data'!Q190/$J135*(1-O$127)*(1-O$123)*$K135)</f>
        <v/>
      </c>
      <c r="P135" s="1242" t="str">
        <f>IF(OR(M135="",P$122=""),"",'I. Stream &amp; Compound Data'!T190/$J135*(1-P$127)*(1-P$123)*$K135)</f>
        <v/>
      </c>
      <c r="Q135" s="1242" t="str">
        <f>IF(OR(N135="",Q$122=""),"",'I. Stream &amp; Compound Data'!W190/$J135*(1-Q$127)*(1-Q$123)*$K135)</f>
        <v/>
      </c>
      <c r="R135" s="1242" t="str">
        <f>IF(OR(O135="",R$122=""),"",'I. Stream &amp; Compound Data'!Z190/$J135*(1-R$127)*(1-R$123)*$K135)</f>
        <v/>
      </c>
      <c r="S135" s="1242" t="str">
        <f>IF(OR(P135="",S$122=""),"",'I. Stream &amp; Compound Data'!AC190/$J135*(1-S$127)*(1-S$123)*$K135)</f>
        <v/>
      </c>
      <c r="T135" s="1242" t="str">
        <f>IF(OR(Q135="",T$122=""),"",'I. Stream &amp; Compound Data'!AF190/$J135*(1-T$127)*(1-T$123)*$K135)</f>
        <v/>
      </c>
      <c r="U135" s="1242" t="str">
        <f>IF(OR(R135="",U$122=""),"",'I. Stream &amp; Compound Data'!AI190/$J135*(1-U$127)*(1-U$123)*$K135)</f>
        <v/>
      </c>
      <c r="V135" s="1242" t="str">
        <f>IF(OR(V$122="",$I135=""),"",'I. Stream &amp; Compound Data'!AL190/$J135*(1-V$127)*(1-V$123)*$K135)</f>
        <v/>
      </c>
      <c r="W135" s="1242" t="str">
        <f>IF(OR(W$122="",$I135=""),"",'I. Stream &amp; Compound Data'!AO190/$J135*(1-W$127)*(1-W$123)*$K135)</f>
        <v/>
      </c>
      <c r="X135" s="1242" t="str">
        <f>IF(OR(X$122="",$I135=""),"",'I. Stream &amp; Compound Data'!AR190/$J135*(1-X$127)*(1-X$123)*$K135)</f>
        <v/>
      </c>
      <c r="Y135" s="1242" t="str">
        <f>IF(OR(Y$122="",$I135=""),"",'I. Stream &amp; Compound Data'!AU190/$J135*(1-Y$127)*(1-Y$123)*$K135)</f>
        <v/>
      </c>
      <c r="Z135" s="1242" t="str">
        <f>IF(OR(Z$122="",$I135=""),"",'I. Stream &amp; Compound Data'!AX190/$J135*(1-Z$127)*(1-Z$123)*$K135)</f>
        <v/>
      </c>
      <c r="AA135" s="1242" t="str">
        <f>IF(OR(AA$122="",$I135=""),"",'I. Stream &amp; Compound Data'!BA190/$J135*(1-AA$127)*(1-AA$123)*$K135)</f>
        <v/>
      </c>
      <c r="AB135" s="1242" t="str">
        <f>IF(OR(AB$122="",$I135=""),"",'I. Stream &amp; Compound Data'!BD190/$J135*(1-AB$127)*(1-AB$123)*$K135)</f>
        <v/>
      </c>
      <c r="AC135" s="1242" t="str">
        <f>IF(OR(AC$122="",$I135=""),"",'I. Stream &amp; Compound Data'!BG190/$J135*(1-AC$127)*(1-AC$123)*$K135)</f>
        <v/>
      </c>
      <c r="AD135" s="1242" t="str">
        <f>IF(OR(AD$122="",$I135=""),"",'I. Stream &amp; Compound Data'!BJ190/$J135*(1-AD$127)*(1-AD$123)*$K135)</f>
        <v/>
      </c>
      <c r="AE135" s="1242" t="str">
        <f>IF(OR(AE$122="",$I135=""),"",'I. Stream &amp; Compound Data'!BM190/$J135*(1-AE$127)*(1-AE$123)*$K135)</f>
        <v/>
      </c>
      <c r="AF135" s="1242" t="str">
        <f>IF(OR(AF$122="",$I135=""),"",'I. Stream &amp; Compound Data'!BP190/$J135*(1-AF$127)*(1-AF$123)*$K135)</f>
        <v/>
      </c>
      <c r="AG135" s="1242" t="str">
        <f>IF(OR(AG$122="",$I135=""),"",'I. Stream &amp; Compound Data'!BS190/$J135*(1-AG$127)*(1-AG$123)*$K135)</f>
        <v/>
      </c>
      <c r="AH135" s="1242" t="str">
        <f>IF(OR(AH$122="",$I135=""),"",'I. Stream &amp; Compound Data'!BV190/$J135*(1-AH$127)*(1-AH$123)*$K135)</f>
        <v/>
      </c>
      <c r="AI135" s="1242" t="str">
        <f>IF(OR(AI$122="",$I135=""),"",'I. Stream &amp; Compound Data'!BY190/$J135*(1-AI$127)*(1-AI$123)*$K135)</f>
        <v/>
      </c>
      <c r="AJ135" s="1242" t="str">
        <f>IF(OR(AJ$122="",$I135=""),"",'I. Stream &amp; Compound Data'!CB190/$J135*(1-AJ$127)*(1-AJ$123)*$K135)</f>
        <v/>
      </c>
      <c r="AK135" s="1242" t="str">
        <f>IF(OR(AK$122="",$I135=""),"",'I. Stream &amp; Compound Data'!CE190/$J135*(1-AK$127)*(1-AK$123)*$K135)</f>
        <v/>
      </c>
      <c r="AL135" s="1242" t="str">
        <f>IF(OR(AL$122="",$I135=""),"",'I. Stream &amp; Compound Data'!CH190/$J135*(1-AL$127)*(1-AL$123)*$K135)</f>
        <v/>
      </c>
      <c r="AM135" s="1242" t="str">
        <f>IF(OR(AM$122="",$I135=""),"",'I. Stream &amp; Compound Data'!CK190/$J135*(1-AM$127)*(1-AM$123)*$K135)</f>
        <v/>
      </c>
      <c r="AN135" s="1242" t="str">
        <f>IF(OR(AN$122="",$I135=""),"",'I. Stream &amp; Compound Data'!CN190/$J135*(1-AN$127)*(1-AN$123)*$K135)</f>
        <v/>
      </c>
      <c r="AO135" s="1242" t="str">
        <f>IF(OR(AO$122="",$I135=""),"",'I. Stream &amp; Compound Data'!CQ190/$J135*(1-AO$127)*(1-AO$123)*$K135)</f>
        <v/>
      </c>
      <c r="AP135" s="1242" t="str">
        <f>IF(OR(AP$122="",$I135=""),"",'I. Stream &amp; Compound Data'!CT190/$J135*(1-AP$127)*(1-AP$123)*$K135)</f>
        <v/>
      </c>
      <c r="AQ135" s="1242" t="str">
        <f>IF(OR(AQ$122="",$I135=""),"",'I. Stream &amp; Compound Data'!CW190/$J135*(1-AQ$127)*(1-AQ$123)*$K135)</f>
        <v/>
      </c>
      <c r="AR135" s="1242" t="str">
        <f>IF(OR(AR$122="",$I135=""),"",'I. Stream &amp; Compound Data'!CZ190/$J135*(1-AR$127)*(1-AR$123)*$K135)</f>
        <v/>
      </c>
      <c r="AS135" s="1242" t="str">
        <f>IF(OR(AS$122="",$I135=""),"",'I. Stream &amp; Compound Data'!DC190/$J135*(1-AS$127)*(1-AS$123)*$K135)</f>
        <v/>
      </c>
      <c r="AT135" s="1242" t="str">
        <f>IF(OR(AT$122="",$I135=""),"",'I. Stream &amp; Compound Data'!DF190/$J135*(1-AT$127)*(1-AT$123)*$K135)</f>
        <v/>
      </c>
      <c r="AU135" s="1242" t="str">
        <f>IF(OR(AU$122="",$I135=""),"",'I. Stream &amp; Compound Data'!DI190/$J135*(1-AU$127)*(1-AU$123)*$K135)</f>
        <v/>
      </c>
      <c r="AV135" s="1242" t="str">
        <f>IF(OR(AV$122="",$I135=""),"",'I. Stream &amp; Compound Data'!DL190/$J135*(1-AV$127)*(1-AV$123)*$K135)</f>
        <v/>
      </c>
      <c r="AW135" s="1242" t="str">
        <f>IF(OR(AW$122="",$I135=""),"",'I. Stream &amp; Compound Data'!DO190/$J135*(1-AW$127)*(1-AW$123)*$K135)</f>
        <v/>
      </c>
      <c r="AX135" s="1242" t="str">
        <f>IF(OR(AX$122="",$I135=""),"",'I. Stream &amp; Compound Data'!DR190/$J135*(1-AX$127)*(1-AX$123)*$K135)</f>
        <v/>
      </c>
      <c r="AY135" s="1268" t="str">
        <f>IF(OR(AY$122="",$I135=""),"",'I. Stream &amp; Compound Data'!DU190/$J135*(1-AY$127)*(1-AY$123)*$K135)</f>
        <v/>
      </c>
      <c r="AZ135" s="279"/>
      <c r="BA135" s="279"/>
      <c r="BB135" s="279"/>
      <c r="BC135" s="279"/>
      <c r="BD135" s="279"/>
      <c r="BE135" s="279"/>
      <c r="BF135" s="279"/>
      <c r="BG135" s="279"/>
      <c r="BH135" s="279"/>
      <c r="BI135" s="279"/>
      <c r="BJ135" s="279"/>
      <c r="BK135" s="279"/>
      <c r="BL135" s="279"/>
      <c r="BM135" s="279"/>
      <c r="BN135" s="279"/>
      <c r="BO135" s="279"/>
      <c r="BP135" s="279"/>
      <c r="BQ135" s="279"/>
      <c r="BR135" s="279"/>
      <c r="BS135" s="279"/>
      <c r="BT135" s="279"/>
      <c r="BU135" s="279"/>
      <c r="BV135" s="279"/>
      <c r="BW135" s="279"/>
      <c r="BX135" s="279"/>
      <c r="BY135" s="279"/>
      <c r="BZ135" s="279"/>
      <c r="CA135" s="279"/>
      <c r="CB135" s="279"/>
      <c r="CC135" s="279"/>
      <c r="CD135" s="279"/>
      <c r="CE135" s="279"/>
      <c r="CF135" s="279"/>
      <c r="CG135" s="279"/>
      <c r="CH135" s="279"/>
      <c r="CI135" s="279"/>
      <c r="CJ135" s="279"/>
      <c r="CK135" s="279"/>
      <c r="CL135" s="279"/>
      <c r="CM135" s="279"/>
      <c r="CN135" s="382"/>
    </row>
    <row r="136" ht="15.6" x14ac:dyDescent="0.25">
      <c r="B136" s="361"/>
      <c r="C136" s="279"/>
      <c r="D136" s="280"/>
      <c r="E136" s="287"/>
      <c r="F136" s="287"/>
      <c r="G136" s="287"/>
      <c r="H136" s="1292">
        <f t="shared" si="18"/>
        <v>6</v>
      </c>
      <c r="I136" s="1320" t="str">
        <f>IF('I. Stream &amp; Compound Data'!G267&lt;&gt;"",'I. Stream &amp; Compound Data'!G267,"")</f>
        <v/>
      </c>
      <c r="J136" s="1190" t="str">
        <f>IF('I. Stream &amp; Compound Data'!BH267="","",'I. Stream &amp; Compound Data'!BH267)</f>
        <v/>
      </c>
      <c r="K136" s="1306" t="str">
        <f>IF('I. Stream &amp; Compound Data'!G267="","",IF(OR('I. Stream &amp; Compound Data'!U267=1,'I. Stream &amp; Compound Data'!V267=1,'I. Stream &amp; Compound Data'!AY267&lt;25),0,1))</f>
        <v/>
      </c>
      <c r="L136" s="1242" t="str">
        <f>IF(OR(I136="",L$122=""),"",'I. Stream &amp; Compound Data'!H191/$J136*(1-L$127)*(1-L$123)*$K136)</f>
        <v/>
      </c>
      <c r="M136" s="1242" t="str">
        <f>IF(OR(J136="",M$122=""),"",'I. Stream &amp; Compound Data'!K191/$J136*(1-M$127)*(1-M$123)*$K136)</f>
        <v/>
      </c>
      <c r="N136" s="1242" t="str">
        <f>IF(OR(K136="",N$122=""),"",'I. Stream &amp; Compound Data'!N191/$J136*(1-N$127)*(1-N$123)*$K136)</f>
        <v/>
      </c>
      <c r="O136" s="1242" t="str">
        <f>IF(OR(L136="",O$122=""),"",'I. Stream &amp; Compound Data'!Q191/$J136*(1-O$127)*(1-O$123)*$K136)</f>
        <v/>
      </c>
      <c r="P136" s="1242" t="str">
        <f>IF(OR(M136="",P$122=""),"",'I. Stream &amp; Compound Data'!T191/$J136*(1-P$127)*(1-P$123)*$K136)</f>
        <v/>
      </c>
      <c r="Q136" s="1242" t="str">
        <f>IF(OR(N136="",Q$122=""),"",'I. Stream &amp; Compound Data'!W191/$J136*(1-Q$127)*(1-Q$123)*$K136)</f>
        <v/>
      </c>
      <c r="R136" s="1242" t="str">
        <f>IF(OR(O136="",R$122=""),"",'I. Stream &amp; Compound Data'!Z191/$J136*(1-R$127)*(1-R$123)*$K136)</f>
        <v/>
      </c>
      <c r="S136" s="1242" t="str">
        <f>IF(OR(P136="",S$122=""),"",'I. Stream &amp; Compound Data'!AC191/$J136*(1-S$127)*(1-S$123)*$K136)</f>
        <v/>
      </c>
      <c r="T136" s="1242" t="str">
        <f>IF(OR(Q136="",T$122=""),"",'I. Stream &amp; Compound Data'!AF191/$J136*(1-T$127)*(1-T$123)*$K136)</f>
        <v/>
      </c>
      <c r="U136" s="1242" t="str">
        <f>IF(OR(R136="",U$122=""),"",'I. Stream &amp; Compound Data'!AI191/$J136*(1-U$127)*(1-U$123)*$K136)</f>
        <v/>
      </c>
      <c r="V136" s="1242" t="str">
        <f>IF(OR(V$122="",$I136=""),"",'I. Stream &amp; Compound Data'!AL191/$J136*(1-V$127)*(1-V$123)*$K136)</f>
        <v/>
      </c>
      <c r="W136" s="1242" t="str">
        <f>IF(OR(W$122="",$I136=""),"",'I. Stream &amp; Compound Data'!AO191/$J136*(1-W$127)*(1-W$123)*$K136)</f>
        <v/>
      </c>
      <c r="X136" s="1242" t="str">
        <f>IF(OR(X$122="",$I136=""),"",'I. Stream &amp; Compound Data'!AR191/$J136*(1-X$127)*(1-X$123)*$K136)</f>
        <v/>
      </c>
      <c r="Y136" s="1242" t="str">
        <f>IF(OR(Y$122="",$I136=""),"",'I. Stream &amp; Compound Data'!AU191/$J136*(1-Y$127)*(1-Y$123)*$K136)</f>
        <v/>
      </c>
      <c r="Z136" s="1242" t="str">
        <f>IF(OR(Z$122="",$I136=""),"",'I. Stream &amp; Compound Data'!AX191/$J136*(1-Z$127)*(1-Z$123)*$K136)</f>
        <v/>
      </c>
      <c r="AA136" s="1242" t="str">
        <f>IF(OR(AA$122="",$I136=""),"",'I. Stream &amp; Compound Data'!BA191/$J136*(1-AA$127)*(1-AA$123)*$K136)</f>
        <v/>
      </c>
      <c r="AB136" s="1242" t="str">
        <f>IF(OR(AB$122="",$I136=""),"",'I. Stream &amp; Compound Data'!BD191/$J136*(1-AB$127)*(1-AB$123)*$K136)</f>
        <v/>
      </c>
      <c r="AC136" s="1242" t="str">
        <f>IF(OR(AC$122="",$I136=""),"",'I. Stream &amp; Compound Data'!BG191/$J136*(1-AC$127)*(1-AC$123)*$K136)</f>
        <v/>
      </c>
      <c r="AD136" s="1242" t="str">
        <f>IF(OR(AD$122="",$I136=""),"",'I. Stream &amp; Compound Data'!BJ191/$J136*(1-AD$127)*(1-AD$123)*$K136)</f>
        <v/>
      </c>
      <c r="AE136" s="1242" t="str">
        <f>IF(OR(AE$122="",$I136=""),"",'I. Stream &amp; Compound Data'!BM191/$J136*(1-AE$127)*(1-AE$123)*$K136)</f>
        <v/>
      </c>
      <c r="AF136" s="1242" t="str">
        <f>IF(OR(AF$122="",$I136=""),"",'I. Stream &amp; Compound Data'!BP191/$J136*(1-AF$127)*(1-AF$123)*$K136)</f>
        <v/>
      </c>
      <c r="AG136" s="1242" t="str">
        <f>IF(OR(AG$122="",$I136=""),"",'I. Stream &amp; Compound Data'!BS191/$J136*(1-AG$127)*(1-AG$123)*$K136)</f>
        <v/>
      </c>
      <c r="AH136" s="1242" t="str">
        <f>IF(OR(AH$122="",$I136=""),"",'I. Stream &amp; Compound Data'!BV191/$J136*(1-AH$127)*(1-AH$123)*$K136)</f>
        <v/>
      </c>
      <c r="AI136" s="1242" t="str">
        <f>IF(OR(AI$122="",$I136=""),"",'I. Stream &amp; Compound Data'!BY191/$J136*(1-AI$127)*(1-AI$123)*$K136)</f>
        <v/>
      </c>
      <c r="AJ136" s="1242" t="str">
        <f>IF(OR(AJ$122="",$I136=""),"",'I. Stream &amp; Compound Data'!CB191/$J136*(1-AJ$127)*(1-AJ$123)*$K136)</f>
        <v/>
      </c>
      <c r="AK136" s="1242" t="str">
        <f>IF(OR(AK$122="",$I136=""),"",'I. Stream &amp; Compound Data'!CE191/$J136*(1-AK$127)*(1-AK$123)*$K136)</f>
        <v/>
      </c>
      <c r="AL136" s="1242" t="str">
        <f>IF(OR(AL$122="",$I136=""),"",'I. Stream &amp; Compound Data'!CH191/$J136*(1-AL$127)*(1-AL$123)*$K136)</f>
        <v/>
      </c>
      <c r="AM136" s="1242" t="str">
        <f>IF(OR(AM$122="",$I136=""),"",'I. Stream &amp; Compound Data'!CK191/$J136*(1-AM$127)*(1-AM$123)*$K136)</f>
        <v/>
      </c>
      <c r="AN136" s="1242" t="str">
        <f>IF(OR(AN$122="",$I136=""),"",'I. Stream &amp; Compound Data'!CN191/$J136*(1-AN$127)*(1-AN$123)*$K136)</f>
        <v/>
      </c>
      <c r="AO136" s="1242" t="str">
        <f>IF(OR(AO$122="",$I136=""),"",'I. Stream &amp; Compound Data'!CQ191/$J136*(1-AO$127)*(1-AO$123)*$K136)</f>
        <v/>
      </c>
      <c r="AP136" s="1242" t="str">
        <f>IF(OR(AP$122="",$I136=""),"",'I. Stream &amp; Compound Data'!CT191/$J136*(1-AP$127)*(1-AP$123)*$K136)</f>
        <v/>
      </c>
      <c r="AQ136" s="1242" t="str">
        <f>IF(OR(AQ$122="",$I136=""),"",'I. Stream &amp; Compound Data'!CW191/$J136*(1-AQ$127)*(1-AQ$123)*$K136)</f>
        <v/>
      </c>
      <c r="AR136" s="1242" t="str">
        <f>IF(OR(AR$122="",$I136=""),"",'I. Stream &amp; Compound Data'!CZ191/$J136*(1-AR$127)*(1-AR$123)*$K136)</f>
        <v/>
      </c>
      <c r="AS136" s="1242" t="str">
        <f>IF(OR(AS$122="",$I136=""),"",'I. Stream &amp; Compound Data'!DC191/$J136*(1-AS$127)*(1-AS$123)*$K136)</f>
        <v/>
      </c>
      <c r="AT136" s="1242" t="str">
        <f>IF(OR(AT$122="",$I136=""),"",'I. Stream &amp; Compound Data'!DF191/$J136*(1-AT$127)*(1-AT$123)*$K136)</f>
        <v/>
      </c>
      <c r="AU136" s="1242" t="str">
        <f>IF(OR(AU$122="",$I136=""),"",'I. Stream &amp; Compound Data'!DI191/$J136*(1-AU$127)*(1-AU$123)*$K136)</f>
        <v/>
      </c>
      <c r="AV136" s="1242" t="str">
        <f>IF(OR(AV$122="",$I136=""),"",'I. Stream &amp; Compound Data'!DL191/$J136*(1-AV$127)*(1-AV$123)*$K136)</f>
        <v/>
      </c>
      <c r="AW136" s="1242" t="str">
        <f>IF(OR(AW$122="",$I136=""),"",'I. Stream &amp; Compound Data'!DO191/$J136*(1-AW$127)*(1-AW$123)*$K136)</f>
        <v/>
      </c>
      <c r="AX136" s="1242" t="str">
        <f>IF(OR(AX$122="",$I136=""),"",'I. Stream &amp; Compound Data'!DR191/$J136*(1-AX$127)*(1-AX$123)*$K136)</f>
        <v/>
      </c>
      <c r="AY136" s="1268" t="str">
        <f>IF(OR(AY$122="",$I136=""),"",'I. Stream &amp; Compound Data'!DU191/$J136*(1-AY$127)*(1-AY$123)*$K136)</f>
        <v/>
      </c>
      <c r="AZ136" s="279"/>
      <c r="BA136" s="279"/>
      <c r="BB136" s="279"/>
      <c r="BC136" s="279"/>
      <c r="BD136" s="279"/>
      <c r="BE136" s="279"/>
      <c r="BF136" s="279"/>
      <c r="BG136" s="279"/>
      <c r="BH136" s="279"/>
      <c r="BI136" s="279"/>
      <c r="BJ136" s="279"/>
      <c r="BK136" s="279"/>
      <c r="BL136" s="279"/>
      <c r="BM136" s="279"/>
      <c r="BN136" s="279"/>
      <c r="BO136" s="279"/>
      <c r="BP136" s="279"/>
      <c r="BQ136" s="279"/>
      <c r="BR136" s="279"/>
      <c r="BS136" s="279"/>
      <c r="BT136" s="279"/>
      <c r="BU136" s="279"/>
      <c r="BV136" s="279"/>
      <c r="BW136" s="279"/>
      <c r="BX136" s="279"/>
      <c r="BY136" s="279"/>
      <c r="BZ136" s="279"/>
      <c r="CA136" s="279"/>
      <c r="CB136" s="279"/>
      <c r="CC136" s="279"/>
      <c r="CD136" s="279"/>
      <c r="CE136" s="279"/>
      <c r="CF136" s="279"/>
      <c r="CG136" s="279"/>
      <c r="CH136" s="279"/>
      <c r="CI136" s="279"/>
      <c r="CJ136" s="279"/>
      <c r="CK136" s="279"/>
      <c r="CL136" s="279"/>
      <c r="CM136" s="279"/>
      <c r="CN136" s="382"/>
    </row>
    <row r="137" ht="15.6" x14ac:dyDescent="0.25">
      <c r="B137" s="361"/>
      <c r="C137" s="279"/>
      <c r="D137" s="280"/>
      <c r="E137" s="287"/>
      <c r="F137" s="287"/>
      <c r="G137" s="287"/>
      <c r="H137" s="1292">
        <f t="shared" si="18"/>
        <v>7</v>
      </c>
      <c r="I137" s="1320" t="str">
        <f>IF('I. Stream &amp; Compound Data'!G268&lt;&gt;"",'I. Stream &amp; Compound Data'!G268,"")</f>
        <v/>
      </c>
      <c r="J137" s="1190" t="str">
        <f>IF('I. Stream &amp; Compound Data'!BH268="","",'I. Stream &amp; Compound Data'!BH268)</f>
        <v/>
      </c>
      <c r="K137" s="1306" t="str">
        <f>IF('I. Stream &amp; Compound Data'!G268="","",IF(OR('I. Stream &amp; Compound Data'!U268=1,'I. Stream &amp; Compound Data'!V268=1,'I. Stream &amp; Compound Data'!AY268&lt;25),0,1))</f>
        <v/>
      </c>
      <c r="L137" s="1242" t="str">
        <f>IF(OR(I137="",L$122=""),"",'I. Stream &amp; Compound Data'!H192/$J137*(1-L$127)*(1-L$123)*$K137)</f>
        <v/>
      </c>
      <c r="M137" s="1242" t="str">
        <f>IF(OR(J137="",M$122=""),"",'I. Stream &amp; Compound Data'!K192/$J137*(1-M$127)*(1-M$123)*$K137)</f>
        <v/>
      </c>
      <c r="N137" s="1242" t="str">
        <f>IF(OR(K137="",N$122=""),"",'I. Stream &amp; Compound Data'!N192/$J137*(1-N$127)*(1-N$123)*$K137)</f>
        <v/>
      </c>
      <c r="O137" s="1242" t="str">
        <f>IF(OR(L137="",O$122=""),"",'I. Stream &amp; Compound Data'!Q192/$J137*(1-O$127)*(1-O$123)*$K137)</f>
        <v/>
      </c>
      <c r="P137" s="1242" t="str">
        <f>IF(OR(M137="",P$122=""),"",'I. Stream &amp; Compound Data'!T192/$J137*(1-P$127)*(1-P$123)*$K137)</f>
        <v/>
      </c>
      <c r="Q137" s="1242" t="str">
        <f>IF(OR(N137="",Q$122=""),"",'I. Stream &amp; Compound Data'!W192/$J137*(1-Q$127)*(1-Q$123)*$K137)</f>
        <v/>
      </c>
      <c r="R137" s="1242" t="str">
        <f>IF(OR(O137="",R$122=""),"",'I. Stream &amp; Compound Data'!Z192/$J137*(1-R$127)*(1-R$123)*$K137)</f>
        <v/>
      </c>
      <c r="S137" s="1242" t="str">
        <f>IF(OR(P137="",S$122=""),"",'I. Stream &amp; Compound Data'!AC192/$J137*(1-S$127)*(1-S$123)*$K137)</f>
        <v/>
      </c>
      <c r="T137" s="1242" t="str">
        <f>IF(OR(Q137="",T$122=""),"",'I. Stream &amp; Compound Data'!AF192/$J137*(1-T$127)*(1-T$123)*$K137)</f>
        <v/>
      </c>
      <c r="U137" s="1242" t="str">
        <f>IF(OR(R137="",U$122=""),"",'I. Stream &amp; Compound Data'!AI192/$J137*(1-U$127)*(1-U$123)*$K137)</f>
        <v/>
      </c>
      <c r="V137" s="1242" t="str">
        <f>IF(OR(V$122="",$I137=""),"",'I. Stream &amp; Compound Data'!AL192/$J137*(1-V$127)*(1-V$123)*$K137)</f>
        <v/>
      </c>
      <c r="W137" s="1242" t="str">
        <f>IF(OR(W$122="",$I137=""),"",'I. Stream &amp; Compound Data'!AO192/$J137*(1-W$127)*(1-W$123)*$K137)</f>
        <v/>
      </c>
      <c r="X137" s="1242" t="str">
        <f>IF(OR(X$122="",$I137=""),"",'I. Stream &amp; Compound Data'!AR192/$J137*(1-X$127)*(1-X$123)*$K137)</f>
        <v/>
      </c>
      <c r="Y137" s="1242" t="str">
        <f>IF(OR(Y$122="",$I137=""),"",'I. Stream &amp; Compound Data'!AU192/$J137*(1-Y$127)*(1-Y$123)*$K137)</f>
        <v/>
      </c>
      <c r="Z137" s="1242" t="str">
        <f>IF(OR(Z$122="",$I137=""),"",'I. Stream &amp; Compound Data'!AX192/$J137*(1-Z$127)*(1-Z$123)*$K137)</f>
        <v/>
      </c>
      <c r="AA137" s="1242" t="str">
        <f>IF(OR(AA$122="",$I137=""),"",'I. Stream &amp; Compound Data'!BA192/$J137*(1-AA$127)*(1-AA$123)*$K137)</f>
        <v/>
      </c>
      <c r="AB137" s="1242" t="str">
        <f>IF(OR(AB$122="",$I137=""),"",'I. Stream &amp; Compound Data'!BD192/$J137*(1-AB$127)*(1-AB$123)*$K137)</f>
        <v/>
      </c>
      <c r="AC137" s="1242" t="str">
        <f>IF(OR(AC$122="",$I137=""),"",'I. Stream &amp; Compound Data'!BG192/$J137*(1-AC$127)*(1-AC$123)*$K137)</f>
        <v/>
      </c>
      <c r="AD137" s="1242" t="str">
        <f>IF(OR(AD$122="",$I137=""),"",'I. Stream &amp; Compound Data'!BJ192/$J137*(1-AD$127)*(1-AD$123)*$K137)</f>
        <v/>
      </c>
      <c r="AE137" s="1242" t="str">
        <f>IF(OR(AE$122="",$I137=""),"",'I. Stream &amp; Compound Data'!BM192/$J137*(1-AE$127)*(1-AE$123)*$K137)</f>
        <v/>
      </c>
      <c r="AF137" s="1242" t="str">
        <f>IF(OR(AF$122="",$I137=""),"",'I. Stream &amp; Compound Data'!BP192/$J137*(1-AF$127)*(1-AF$123)*$K137)</f>
        <v/>
      </c>
      <c r="AG137" s="1242" t="str">
        <f>IF(OR(AG$122="",$I137=""),"",'I. Stream &amp; Compound Data'!BS192/$J137*(1-AG$127)*(1-AG$123)*$K137)</f>
        <v/>
      </c>
      <c r="AH137" s="1242" t="str">
        <f>IF(OR(AH$122="",$I137=""),"",'I. Stream &amp; Compound Data'!BV192/$J137*(1-AH$127)*(1-AH$123)*$K137)</f>
        <v/>
      </c>
      <c r="AI137" s="1242" t="str">
        <f>IF(OR(AI$122="",$I137=""),"",'I. Stream &amp; Compound Data'!BY192/$J137*(1-AI$127)*(1-AI$123)*$K137)</f>
        <v/>
      </c>
      <c r="AJ137" s="1242" t="str">
        <f>IF(OR(AJ$122="",$I137=""),"",'I. Stream &amp; Compound Data'!CB192/$J137*(1-AJ$127)*(1-AJ$123)*$K137)</f>
        <v/>
      </c>
      <c r="AK137" s="1242" t="str">
        <f>IF(OR(AK$122="",$I137=""),"",'I. Stream &amp; Compound Data'!CE192/$J137*(1-AK$127)*(1-AK$123)*$K137)</f>
        <v/>
      </c>
      <c r="AL137" s="1242" t="str">
        <f>IF(OR(AL$122="",$I137=""),"",'I. Stream &amp; Compound Data'!CH192/$J137*(1-AL$127)*(1-AL$123)*$K137)</f>
        <v/>
      </c>
      <c r="AM137" s="1242" t="str">
        <f>IF(OR(AM$122="",$I137=""),"",'I. Stream &amp; Compound Data'!CK192/$J137*(1-AM$127)*(1-AM$123)*$K137)</f>
        <v/>
      </c>
      <c r="AN137" s="1242" t="str">
        <f>IF(OR(AN$122="",$I137=""),"",'I. Stream &amp; Compound Data'!CN192/$J137*(1-AN$127)*(1-AN$123)*$K137)</f>
        <v/>
      </c>
      <c r="AO137" s="1242" t="str">
        <f>IF(OR(AO$122="",$I137=""),"",'I. Stream &amp; Compound Data'!CQ192/$J137*(1-AO$127)*(1-AO$123)*$K137)</f>
        <v/>
      </c>
      <c r="AP137" s="1242" t="str">
        <f>IF(OR(AP$122="",$I137=""),"",'I. Stream &amp; Compound Data'!CT192/$J137*(1-AP$127)*(1-AP$123)*$K137)</f>
        <v/>
      </c>
      <c r="AQ137" s="1242" t="str">
        <f>IF(OR(AQ$122="",$I137=""),"",'I. Stream &amp; Compound Data'!CW192/$J137*(1-AQ$127)*(1-AQ$123)*$K137)</f>
        <v/>
      </c>
      <c r="AR137" s="1242" t="str">
        <f>IF(OR(AR$122="",$I137=""),"",'I. Stream &amp; Compound Data'!CZ192/$J137*(1-AR$127)*(1-AR$123)*$K137)</f>
        <v/>
      </c>
      <c r="AS137" s="1242" t="str">
        <f>IF(OR(AS$122="",$I137=""),"",'I. Stream &amp; Compound Data'!DC192/$J137*(1-AS$127)*(1-AS$123)*$K137)</f>
        <v/>
      </c>
      <c r="AT137" s="1242" t="str">
        <f>IF(OR(AT$122="",$I137=""),"",'I. Stream &amp; Compound Data'!DF192/$J137*(1-AT$127)*(1-AT$123)*$K137)</f>
        <v/>
      </c>
      <c r="AU137" s="1242" t="str">
        <f>IF(OR(AU$122="",$I137=""),"",'I. Stream &amp; Compound Data'!DI192/$J137*(1-AU$127)*(1-AU$123)*$K137)</f>
        <v/>
      </c>
      <c r="AV137" s="1242" t="str">
        <f>IF(OR(AV$122="",$I137=""),"",'I. Stream &amp; Compound Data'!DL192/$J137*(1-AV$127)*(1-AV$123)*$K137)</f>
        <v/>
      </c>
      <c r="AW137" s="1242" t="str">
        <f>IF(OR(AW$122="",$I137=""),"",'I. Stream &amp; Compound Data'!DO192/$J137*(1-AW$127)*(1-AW$123)*$K137)</f>
        <v/>
      </c>
      <c r="AX137" s="1242" t="str">
        <f>IF(OR(AX$122="",$I137=""),"",'I. Stream &amp; Compound Data'!DR192/$J137*(1-AX$127)*(1-AX$123)*$K137)</f>
        <v/>
      </c>
      <c r="AY137" s="1268" t="str">
        <f>IF(OR(AY$122="",$I137=""),"",'I. Stream &amp; Compound Data'!DU192/$J137*(1-AY$127)*(1-AY$123)*$K137)</f>
        <v/>
      </c>
      <c r="AZ137" s="279"/>
      <c r="BA137" s="279"/>
      <c r="BB137" s="279"/>
      <c r="BC137" s="279"/>
      <c r="BD137" s="279"/>
      <c r="BE137" s="279"/>
      <c r="BF137" s="279"/>
      <c r="BG137" s="279"/>
      <c r="BH137" s="279"/>
      <c r="BI137" s="279"/>
      <c r="BJ137" s="279"/>
      <c r="BK137" s="279"/>
      <c r="BL137" s="279"/>
      <c r="BM137" s="279"/>
      <c r="BN137" s="279"/>
      <c r="BO137" s="279"/>
      <c r="BP137" s="279"/>
      <c r="BQ137" s="279"/>
      <c r="BR137" s="279"/>
      <c r="BS137" s="279"/>
      <c r="BT137" s="279"/>
      <c r="BU137" s="279"/>
      <c r="BV137" s="279"/>
      <c r="BW137" s="279"/>
      <c r="BX137" s="279"/>
      <c r="BY137" s="279"/>
      <c r="BZ137" s="279"/>
      <c r="CA137" s="279"/>
      <c r="CB137" s="279"/>
      <c r="CC137" s="279"/>
      <c r="CD137" s="279"/>
      <c r="CE137" s="279"/>
      <c r="CF137" s="279"/>
      <c r="CG137" s="279"/>
      <c r="CH137" s="279"/>
      <c r="CI137" s="279"/>
      <c r="CJ137" s="279"/>
      <c r="CK137" s="279"/>
      <c r="CL137" s="279"/>
      <c r="CM137" s="279"/>
      <c r="CN137" s="382"/>
    </row>
    <row r="138" ht="15.6" x14ac:dyDescent="0.25">
      <c r="B138" s="361"/>
      <c r="C138" s="279"/>
      <c r="D138" s="280"/>
      <c r="E138" s="287"/>
      <c r="F138" s="287"/>
      <c r="G138" s="287"/>
      <c r="H138" s="1292">
        <f t="shared" si="18"/>
        <v>8</v>
      </c>
      <c r="I138" s="1320" t="str">
        <f>IF('I. Stream &amp; Compound Data'!G269&lt;&gt;"",'I. Stream &amp; Compound Data'!G269,"")</f>
        <v/>
      </c>
      <c r="J138" s="1190" t="str">
        <f>IF('I. Stream &amp; Compound Data'!BH269="","",'I. Stream &amp; Compound Data'!BH269)</f>
        <v/>
      </c>
      <c r="K138" s="1306" t="str">
        <f>IF('I. Stream &amp; Compound Data'!G269="","",IF(OR('I. Stream &amp; Compound Data'!U269=1,'I. Stream &amp; Compound Data'!V269=1,'I. Stream &amp; Compound Data'!AY269&lt;25),0,1))</f>
        <v/>
      </c>
      <c r="L138" s="1242" t="str">
        <f>IF(OR(I138="",L$122=""),"",'I. Stream &amp; Compound Data'!H193/$J138*(1-L$127)*(1-L$123)*$K138)</f>
        <v/>
      </c>
      <c r="M138" s="1242" t="str">
        <f>IF(OR(J138="",M$122=""),"",'I. Stream &amp; Compound Data'!K193/$J138*(1-M$127)*(1-M$123)*$K138)</f>
        <v/>
      </c>
      <c r="N138" s="1242" t="str">
        <f>IF(OR(K138="",N$122=""),"",'I. Stream &amp; Compound Data'!N193/$J138*(1-N$127)*(1-N$123)*$K138)</f>
        <v/>
      </c>
      <c r="O138" s="1242" t="str">
        <f>IF(OR(L138="",O$122=""),"",'I. Stream &amp; Compound Data'!Q193/$J138*(1-O$127)*(1-O$123)*$K138)</f>
        <v/>
      </c>
      <c r="P138" s="1242" t="str">
        <f>IF(OR(M138="",P$122=""),"",'I. Stream &amp; Compound Data'!T193/$J138*(1-P$127)*(1-P$123)*$K138)</f>
        <v/>
      </c>
      <c r="Q138" s="1242" t="str">
        <f>IF(OR(N138="",Q$122=""),"",'I. Stream &amp; Compound Data'!W193/$J138*(1-Q$127)*(1-Q$123)*$K138)</f>
        <v/>
      </c>
      <c r="R138" s="1242" t="str">
        <f>IF(OR(O138="",R$122=""),"",'I. Stream &amp; Compound Data'!Z193/$J138*(1-R$127)*(1-R$123)*$K138)</f>
        <v/>
      </c>
      <c r="S138" s="1242" t="str">
        <f>IF(OR(P138="",S$122=""),"",'I. Stream &amp; Compound Data'!AC193/$J138*(1-S$127)*(1-S$123)*$K138)</f>
        <v/>
      </c>
      <c r="T138" s="1242" t="str">
        <f>IF(OR(Q138="",T$122=""),"",'I. Stream &amp; Compound Data'!AF193/$J138*(1-T$127)*(1-T$123)*$K138)</f>
        <v/>
      </c>
      <c r="U138" s="1242" t="str">
        <f>IF(OR(R138="",U$122=""),"",'I. Stream &amp; Compound Data'!AI193/$J138*(1-U$127)*(1-U$123)*$K138)</f>
        <v/>
      </c>
      <c r="V138" s="1242" t="str">
        <f>IF(OR(V$122="",$I138=""),"",'I. Stream &amp; Compound Data'!AL193/$J138*(1-V$127)*(1-V$123)*$K138)</f>
        <v/>
      </c>
      <c r="W138" s="1242" t="str">
        <f>IF(OR(W$122="",$I138=""),"",'I. Stream &amp; Compound Data'!AO193/$J138*(1-W$127)*(1-W$123)*$K138)</f>
        <v/>
      </c>
      <c r="X138" s="1242" t="str">
        <f>IF(OR(X$122="",$I138=""),"",'I. Stream &amp; Compound Data'!AR193/$J138*(1-X$127)*(1-X$123)*$K138)</f>
        <v/>
      </c>
      <c r="Y138" s="1242" t="str">
        <f>IF(OR(Y$122="",$I138=""),"",'I. Stream &amp; Compound Data'!AU193/$J138*(1-Y$127)*(1-Y$123)*$K138)</f>
        <v/>
      </c>
      <c r="Z138" s="1242" t="str">
        <f>IF(OR(Z$122="",$I138=""),"",'I. Stream &amp; Compound Data'!AX193/$J138*(1-Z$127)*(1-Z$123)*$K138)</f>
        <v/>
      </c>
      <c r="AA138" s="1242" t="str">
        <f>IF(OR(AA$122="",$I138=""),"",'I. Stream &amp; Compound Data'!BA193/$J138*(1-AA$127)*(1-AA$123)*$K138)</f>
        <v/>
      </c>
      <c r="AB138" s="1242" t="str">
        <f>IF(OR(AB$122="",$I138=""),"",'I. Stream &amp; Compound Data'!BD193/$J138*(1-AB$127)*(1-AB$123)*$K138)</f>
        <v/>
      </c>
      <c r="AC138" s="1242" t="str">
        <f>IF(OR(AC$122="",$I138=""),"",'I. Stream &amp; Compound Data'!BG193/$J138*(1-AC$127)*(1-AC$123)*$K138)</f>
        <v/>
      </c>
      <c r="AD138" s="1242" t="str">
        <f>IF(OR(AD$122="",$I138=""),"",'I. Stream &amp; Compound Data'!BJ193/$J138*(1-AD$127)*(1-AD$123)*$K138)</f>
        <v/>
      </c>
      <c r="AE138" s="1242" t="str">
        <f>IF(OR(AE$122="",$I138=""),"",'I. Stream &amp; Compound Data'!BM193/$J138*(1-AE$127)*(1-AE$123)*$K138)</f>
        <v/>
      </c>
      <c r="AF138" s="1242" t="str">
        <f>IF(OR(AF$122="",$I138=""),"",'I. Stream &amp; Compound Data'!BP193/$J138*(1-AF$127)*(1-AF$123)*$K138)</f>
        <v/>
      </c>
      <c r="AG138" s="1242" t="str">
        <f>IF(OR(AG$122="",$I138=""),"",'I. Stream &amp; Compound Data'!BS193/$J138*(1-AG$127)*(1-AG$123)*$K138)</f>
        <v/>
      </c>
      <c r="AH138" s="1242" t="str">
        <f>IF(OR(AH$122="",$I138=""),"",'I. Stream &amp; Compound Data'!BV193/$J138*(1-AH$127)*(1-AH$123)*$K138)</f>
        <v/>
      </c>
      <c r="AI138" s="1242" t="str">
        <f>IF(OR(AI$122="",$I138=""),"",'I. Stream &amp; Compound Data'!BY193/$J138*(1-AI$127)*(1-AI$123)*$K138)</f>
        <v/>
      </c>
      <c r="AJ138" s="1242" t="str">
        <f>IF(OR(AJ$122="",$I138=""),"",'I. Stream &amp; Compound Data'!CB193/$J138*(1-AJ$127)*(1-AJ$123)*$K138)</f>
        <v/>
      </c>
      <c r="AK138" s="1242" t="str">
        <f>IF(OR(AK$122="",$I138=""),"",'I. Stream &amp; Compound Data'!CE193/$J138*(1-AK$127)*(1-AK$123)*$K138)</f>
        <v/>
      </c>
      <c r="AL138" s="1242" t="str">
        <f>IF(OR(AL$122="",$I138=""),"",'I. Stream &amp; Compound Data'!CH193/$J138*(1-AL$127)*(1-AL$123)*$K138)</f>
        <v/>
      </c>
      <c r="AM138" s="1242" t="str">
        <f>IF(OR(AM$122="",$I138=""),"",'I. Stream &amp; Compound Data'!CK193/$J138*(1-AM$127)*(1-AM$123)*$K138)</f>
        <v/>
      </c>
      <c r="AN138" s="1242" t="str">
        <f>IF(OR(AN$122="",$I138=""),"",'I. Stream &amp; Compound Data'!CN193/$J138*(1-AN$127)*(1-AN$123)*$K138)</f>
        <v/>
      </c>
      <c r="AO138" s="1242" t="str">
        <f>IF(OR(AO$122="",$I138=""),"",'I. Stream &amp; Compound Data'!CQ193/$J138*(1-AO$127)*(1-AO$123)*$K138)</f>
        <v/>
      </c>
      <c r="AP138" s="1242" t="str">
        <f>IF(OR(AP$122="",$I138=""),"",'I. Stream &amp; Compound Data'!CT193/$J138*(1-AP$127)*(1-AP$123)*$K138)</f>
        <v/>
      </c>
      <c r="AQ138" s="1242" t="str">
        <f>IF(OR(AQ$122="",$I138=""),"",'I. Stream &amp; Compound Data'!CW193/$J138*(1-AQ$127)*(1-AQ$123)*$K138)</f>
        <v/>
      </c>
      <c r="AR138" s="1242" t="str">
        <f>IF(OR(AR$122="",$I138=""),"",'I. Stream &amp; Compound Data'!CZ193/$J138*(1-AR$127)*(1-AR$123)*$K138)</f>
        <v/>
      </c>
      <c r="AS138" s="1242" t="str">
        <f>IF(OR(AS$122="",$I138=""),"",'I. Stream &amp; Compound Data'!DC193/$J138*(1-AS$127)*(1-AS$123)*$K138)</f>
        <v/>
      </c>
      <c r="AT138" s="1242" t="str">
        <f>IF(OR(AT$122="",$I138=""),"",'I. Stream &amp; Compound Data'!DF193/$J138*(1-AT$127)*(1-AT$123)*$K138)</f>
        <v/>
      </c>
      <c r="AU138" s="1242" t="str">
        <f>IF(OR(AU$122="",$I138=""),"",'I. Stream &amp; Compound Data'!DI193/$J138*(1-AU$127)*(1-AU$123)*$K138)</f>
        <v/>
      </c>
      <c r="AV138" s="1242" t="str">
        <f>IF(OR(AV$122="",$I138=""),"",'I. Stream &amp; Compound Data'!DL193/$J138*(1-AV$127)*(1-AV$123)*$K138)</f>
        <v/>
      </c>
      <c r="AW138" s="1242" t="str">
        <f>IF(OR(AW$122="",$I138=""),"",'I. Stream &amp; Compound Data'!DO193/$J138*(1-AW$127)*(1-AW$123)*$K138)</f>
        <v/>
      </c>
      <c r="AX138" s="1242" t="str">
        <f>IF(OR(AX$122="",$I138=""),"",'I. Stream &amp; Compound Data'!DR193/$J138*(1-AX$127)*(1-AX$123)*$K138)</f>
        <v/>
      </c>
      <c r="AY138" s="1268" t="str">
        <f>IF(OR(AY$122="",$I138=""),"",'I. Stream &amp; Compound Data'!DU193/$J138*(1-AY$127)*(1-AY$123)*$K138)</f>
        <v/>
      </c>
      <c r="AZ138" s="279"/>
      <c r="BA138" s="279"/>
      <c r="BB138" s="279"/>
      <c r="BC138" s="279"/>
      <c r="BD138" s="279"/>
      <c r="BE138" s="279"/>
      <c r="BF138" s="279"/>
      <c r="BG138" s="279"/>
      <c r="BH138" s="279"/>
      <c r="BI138" s="279"/>
      <c r="BJ138" s="279"/>
      <c r="BK138" s="279"/>
      <c r="BL138" s="279"/>
      <c r="BM138" s="279"/>
      <c r="BN138" s="279"/>
      <c r="BO138" s="279"/>
      <c r="BP138" s="279"/>
      <c r="BQ138" s="279"/>
      <c r="BR138" s="279"/>
      <c r="BS138" s="279"/>
      <c r="BT138" s="279"/>
      <c r="BU138" s="279"/>
      <c r="BV138" s="279"/>
      <c r="BW138" s="279"/>
      <c r="BX138" s="279"/>
      <c r="BY138" s="279"/>
      <c r="BZ138" s="279"/>
      <c r="CA138" s="279"/>
      <c r="CB138" s="279"/>
      <c r="CC138" s="279"/>
      <c r="CD138" s="279"/>
      <c r="CE138" s="279"/>
      <c r="CF138" s="279"/>
      <c r="CG138" s="279"/>
      <c r="CH138" s="279"/>
      <c r="CI138" s="279"/>
      <c r="CJ138" s="279"/>
      <c r="CK138" s="279"/>
      <c r="CL138" s="279"/>
      <c r="CM138" s="279"/>
      <c r="CN138" s="382"/>
    </row>
    <row r="139" ht="15.6" x14ac:dyDescent="0.25">
      <c r="B139" s="361"/>
      <c r="C139" s="279"/>
      <c r="D139" s="280"/>
      <c r="E139" s="287"/>
      <c r="F139" s="287"/>
      <c r="G139" s="287"/>
      <c r="H139" s="1292">
        <f t="shared" si="18"/>
        <v>9</v>
      </c>
      <c r="I139" s="1320" t="str">
        <f>IF('I. Stream &amp; Compound Data'!G270&lt;&gt;"",'I. Stream &amp; Compound Data'!G270,"")</f>
        <v/>
      </c>
      <c r="J139" s="1190" t="str">
        <f>IF('I. Stream &amp; Compound Data'!BH270="","",'I. Stream &amp; Compound Data'!BH270)</f>
        <v/>
      </c>
      <c r="K139" s="1306" t="str">
        <f>IF('I. Stream &amp; Compound Data'!G270="","",IF(OR('I. Stream &amp; Compound Data'!U270=1,'I. Stream &amp; Compound Data'!V270=1,'I. Stream &amp; Compound Data'!AY270&lt;25),0,1))</f>
        <v/>
      </c>
      <c r="L139" s="1242" t="str">
        <f>IF(OR(I139="",L$122=""),"",'I. Stream &amp; Compound Data'!H194/$J139*(1-L$127)*(1-L$123)*$K139)</f>
        <v/>
      </c>
      <c r="M139" s="1242" t="str">
        <f>IF(OR(J139="",M$122=""),"",'I. Stream &amp; Compound Data'!K194/$J139*(1-M$127)*(1-M$123)*$K139)</f>
        <v/>
      </c>
      <c r="N139" s="1242" t="str">
        <f>IF(OR(K139="",N$122=""),"",'I. Stream &amp; Compound Data'!N194/$J139*(1-N$127)*(1-N$123)*$K139)</f>
        <v/>
      </c>
      <c r="O139" s="1242" t="str">
        <f>IF(OR(L139="",O$122=""),"",'I. Stream &amp; Compound Data'!Q194/$J139*(1-O$127)*(1-O$123)*$K139)</f>
        <v/>
      </c>
      <c r="P139" s="1242" t="str">
        <f>IF(OR(M139="",P$122=""),"",'I. Stream &amp; Compound Data'!T194/$J139*(1-P$127)*(1-P$123)*$K139)</f>
        <v/>
      </c>
      <c r="Q139" s="1242" t="str">
        <f>IF(OR(N139="",Q$122=""),"",'I. Stream &amp; Compound Data'!W194/$J139*(1-Q$127)*(1-Q$123)*$K139)</f>
        <v/>
      </c>
      <c r="R139" s="1242" t="str">
        <f>IF(OR(O139="",R$122=""),"",'I. Stream &amp; Compound Data'!Z194/$J139*(1-R$127)*(1-R$123)*$K139)</f>
        <v/>
      </c>
      <c r="S139" s="1242" t="str">
        <f>IF(OR(P139="",S$122=""),"",'I. Stream &amp; Compound Data'!AC194/$J139*(1-S$127)*(1-S$123)*$K139)</f>
        <v/>
      </c>
      <c r="T139" s="1242" t="str">
        <f>IF(OR(Q139="",T$122=""),"",'I. Stream &amp; Compound Data'!AF194/$J139*(1-T$127)*(1-T$123)*$K139)</f>
        <v/>
      </c>
      <c r="U139" s="1242" t="str">
        <f>IF(OR(R139="",U$122=""),"",'I. Stream &amp; Compound Data'!AI194/$J139*(1-U$127)*(1-U$123)*$K139)</f>
        <v/>
      </c>
      <c r="V139" s="1242" t="str">
        <f>IF(OR(V$122="",$I139=""),"",'I. Stream &amp; Compound Data'!AL194/$J139*(1-V$127)*(1-V$123)*$K139)</f>
        <v/>
      </c>
      <c r="W139" s="1242" t="str">
        <f>IF(OR(W$122="",$I139=""),"",'I. Stream &amp; Compound Data'!AO194/$J139*(1-W$127)*(1-W$123)*$K139)</f>
        <v/>
      </c>
      <c r="X139" s="1242" t="str">
        <f>IF(OR(X$122="",$I139=""),"",'I. Stream &amp; Compound Data'!AR194/$J139*(1-X$127)*(1-X$123)*$K139)</f>
        <v/>
      </c>
      <c r="Y139" s="1242" t="str">
        <f>IF(OR(Y$122="",$I139=""),"",'I. Stream &amp; Compound Data'!AU194/$J139*(1-Y$127)*(1-Y$123)*$K139)</f>
        <v/>
      </c>
      <c r="Z139" s="1242" t="str">
        <f>IF(OR(Z$122="",$I139=""),"",'I. Stream &amp; Compound Data'!AX194/$J139*(1-Z$127)*(1-Z$123)*$K139)</f>
        <v/>
      </c>
      <c r="AA139" s="1242" t="str">
        <f>IF(OR(AA$122="",$I139=""),"",'I. Stream &amp; Compound Data'!BA194/$J139*(1-AA$127)*(1-AA$123)*$K139)</f>
        <v/>
      </c>
      <c r="AB139" s="1242" t="str">
        <f>IF(OR(AB$122="",$I139=""),"",'I. Stream &amp; Compound Data'!BD194/$J139*(1-AB$127)*(1-AB$123)*$K139)</f>
        <v/>
      </c>
      <c r="AC139" s="1242" t="str">
        <f>IF(OR(AC$122="",$I139=""),"",'I. Stream &amp; Compound Data'!BG194/$J139*(1-AC$127)*(1-AC$123)*$K139)</f>
        <v/>
      </c>
      <c r="AD139" s="1242" t="str">
        <f>IF(OR(AD$122="",$I139=""),"",'I. Stream &amp; Compound Data'!BJ194/$J139*(1-AD$127)*(1-AD$123)*$K139)</f>
        <v/>
      </c>
      <c r="AE139" s="1242" t="str">
        <f>IF(OR(AE$122="",$I139=""),"",'I. Stream &amp; Compound Data'!BM194/$J139*(1-AE$127)*(1-AE$123)*$K139)</f>
        <v/>
      </c>
      <c r="AF139" s="1242" t="str">
        <f>IF(OR(AF$122="",$I139=""),"",'I. Stream &amp; Compound Data'!BP194/$J139*(1-AF$127)*(1-AF$123)*$K139)</f>
        <v/>
      </c>
      <c r="AG139" s="1242" t="str">
        <f>IF(OR(AG$122="",$I139=""),"",'I. Stream &amp; Compound Data'!BS194/$J139*(1-AG$127)*(1-AG$123)*$K139)</f>
        <v/>
      </c>
      <c r="AH139" s="1242" t="str">
        <f>IF(OR(AH$122="",$I139=""),"",'I. Stream &amp; Compound Data'!BV194/$J139*(1-AH$127)*(1-AH$123)*$K139)</f>
        <v/>
      </c>
      <c r="AI139" s="1242" t="str">
        <f>IF(OR(AI$122="",$I139=""),"",'I. Stream &amp; Compound Data'!BY194/$J139*(1-AI$127)*(1-AI$123)*$K139)</f>
        <v/>
      </c>
      <c r="AJ139" s="1242" t="str">
        <f>IF(OR(AJ$122="",$I139=""),"",'I. Stream &amp; Compound Data'!CB194/$J139*(1-AJ$127)*(1-AJ$123)*$K139)</f>
        <v/>
      </c>
      <c r="AK139" s="1242" t="str">
        <f>IF(OR(AK$122="",$I139=""),"",'I. Stream &amp; Compound Data'!CE194/$J139*(1-AK$127)*(1-AK$123)*$K139)</f>
        <v/>
      </c>
      <c r="AL139" s="1242" t="str">
        <f>IF(OR(AL$122="",$I139=""),"",'I. Stream &amp; Compound Data'!CH194/$J139*(1-AL$127)*(1-AL$123)*$K139)</f>
        <v/>
      </c>
      <c r="AM139" s="1242" t="str">
        <f>IF(OR(AM$122="",$I139=""),"",'I. Stream &amp; Compound Data'!CK194/$J139*(1-AM$127)*(1-AM$123)*$K139)</f>
        <v/>
      </c>
      <c r="AN139" s="1242" t="str">
        <f>IF(OR(AN$122="",$I139=""),"",'I. Stream &amp; Compound Data'!CN194/$J139*(1-AN$127)*(1-AN$123)*$K139)</f>
        <v/>
      </c>
      <c r="AO139" s="1242" t="str">
        <f>IF(OR(AO$122="",$I139=""),"",'I. Stream &amp; Compound Data'!CQ194/$J139*(1-AO$127)*(1-AO$123)*$K139)</f>
        <v/>
      </c>
      <c r="AP139" s="1242" t="str">
        <f>IF(OR(AP$122="",$I139=""),"",'I. Stream &amp; Compound Data'!CT194/$J139*(1-AP$127)*(1-AP$123)*$K139)</f>
        <v/>
      </c>
      <c r="AQ139" s="1242" t="str">
        <f>IF(OR(AQ$122="",$I139=""),"",'I. Stream &amp; Compound Data'!CW194/$J139*(1-AQ$127)*(1-AQ$123)*$K139)</f>
        <v/>
      </c>
      <c r="AR139" s="1242" t="str">
        <f>IF(OR(AR$122="",$I139=""),"",'I. Stream &amp; Compound Data'!CZ194/$J139*(1-AR$127)*(1-AR$123)*$K139)</f>
        <v/>
      </c>
      <c r="AS139" s="1242" t="str">
        <f>IF(OR(AS$122="",$I139=""),"",'I. Stream &amp; Compound Data'!DC194/$J139*(1-AS$127)*(1-AS$123)*$K139)</f>
        <v/>
      </c>
      <c r="AT139" s="1242" t="str">
        <f>IF(OR(AT$122="",$I139=""),"",'I. Stream &amp; Compound Data'!DF194/$J139*(1-AT$127)*(1-AT$123)*$K139)</f>
        <v/>
      </c>
      <c r="AU139" s="1242" t="str">
        <f>IF(OR(AU$122="",$I139=""),"",'I. Stream &amp; Compound Data'!DI194/$J139*(1-AU$127)*(1-AU$123)*$K139)</f>
        <v/>
      </c>
      <c r="AV139" s="1242" t="str">
        <f>IF(OR(AV$122="",$I139=""),"",'I. Stream &amp; Compound Data'!DL194/$J139*(1-AV$127)*(1-AV$123)*$K139)</f>
        <v/>
      </c>
      <c r="AW139" s="1242" t="str">
        <f>IF(OR(AW$122="",$I139=""),"",'I. Stream &amp; Compound Data'!DO194/$J139*(1-AW$127)*(1-AW$123)*$K139)</f>
        <v/>
      </c>
      <c r="AX139" s="1242" t="str">
        <f>IF(OR(AX$122="",$I139=""),"",'I. Stream &amp; Compound Data'!DR194/$J139*(1-AX$127)*(1-AX$123)*$K139)</f>
        <v/>
      </c>
      <c r="AY139" s="1268" t="str">
        <f>IF(OR(AY$122="",$I139=""),"",'I. Stream &amp; Compound Data'!DU194/$J139*(1-AY$127)*(1-AY$123)*$K139)</f>
        <v/>
      </c>
      <c r="AZ139" s="279"/>
      <c r="BA139" s="279"/>
      <c r="BB139" s="279"/>
      <c r="BC139" s="279"/>
      <c r="BD139" s="279"/>
      <c r="BE139" s="279"/>
      <c r="BF139" s="279"/>
      <c r="BG139" s="279"/>
      <c r="BH139" s="279"/>
      <c r="BI139" s="279"/>
      <c r="BJ139" s="279"/>
      <c r="BK139" s="279"/>
      <c r="BL139" s="279"/>
      <c r="BM139" s="279"/>
      <c r="BN139" s="279"/>
      <c r="BO139" s="279"/>
      <c r="BP139" s="279"/>
      <c r="BQ139" s="279"/>
      <c r="BR139" s="279"/>
      <c r="BS139" s="279"/>
      <c r="BT139" s="279"/>
      <c r="BU139" s="279"/>
      <c r="BV139" s="279"/>
      <c r="BW139" s="279"/>
      <c r="BX139" s="279"/>
      <c r="BY139" s="279"/>
      <c r="BZ139" s="279"/>
      <c r="CA139" s="279"/>
      <c r="CB139" s="279"/>
      <c r="CC139" s="279"/>
      <c r="CD139" s="279"/>
      <c r="CE139" s="279"/>
      <c r="CF139" s="279"/>
      <c r="CG139" s="279"/>
      <c r="CH139" s="279"/>
      <c r="CI139" s="279"/>
      <c r="CJ139" s="279"/>
      <c r="CK139" s="279"/>
      <c r="CL139" s="279"/>
      <c r="CM139" s="279"/>
      <c r="CN139" s="382"/>
    </row>
    <row r="140" ht="15.6" x14ac:dyDescent="0.25">
      <c r="B140" s="361"/>
      <c r="C140" s="279"/>
      <c r="D140" s="280"/>
      <c r="E140" s="287"/>
      <c r="F140" s="287"/>
      <c r="G140" s="287"/>
      <c r="H140" s="1292">
        <f t="shared" si="18"/>
        <v>10</v>
      </c>
      <c r="I140" s="1320" t="str">
        <f>IF('I. Stream &amp; Compound Data'!G271&lt;&gt;"",'I. Stream &amp; Compound Data'!G271,"")</f>
        <v/>
      </c>
      <c r="J140" s="1190" t="str">
        <f>IF('I. Stream &amp; Compound Data'!BH271="","",'I. Stream &amp; Compound Data'!BH271)</f>
        <v/>
      </c>
      <c r="K140" s="1306" t="str">
        <f>IF('I. Stream &amp; Compound Data'!G271="","",IF(OR('I. Stream &amp; Compound Data'!U271=1,'I. Stream &amp; Compound Data'!V271=1,'I. Stream &amp; Compound Data'!AY271&lt;25),0,1))</f>
        <v/>
      </c>
      <c r="L140" s="1242" t="str">
        <f>IF(OR(I140="",L$122=""),"",'I. Stream &amp; Compound Data'!H195/$J140*(1-L$127)*(1-L$123)*$K140)</f>
        <v/>
      </c>
      <c r="M140" s="1242" t="str">
        <f>IF(OR(J140="",M$122=""),"",'I. Stream &amp; Compound Data'!K195/$J140*(1-M$127)*(1-M$123)*$K140)</f>
        <v/>
      </c>
      <c r="N140" s="1242" t="str">
        <f>IF(OR(K140="",N$122=""),"",'I. Stream &amp; Compound Data'!N195/$J140*(1-N$127)*(1-N$123)*$K140)</f>
        <v/>
      </c>
      <c r="O140" s="1242" t="str">
        <f>IF(OR(L140="",O$122=""),"",'I. Stream &amp; Compound Data'!Q195/$J140*(1-O$127)*(1-O$123)*$K140)</f>
        <v/>
      </c>
      <c r="P140" s="1242" t="str">
        <f>IF(OR(M140="",P$122=""),"",'I. Stream &amp; Compound Data'!T195/$J140*(1-P$127)*(1-P$123)*$K140)</f>
        <v/>
      </c>
      <c r="Q140" s="1242" t="str">
        <f>IF(OR(N140="",Q$122=""),"",'I. Stream &amp; Compound Data'!W195/$J140*(1-Q$127)*(1-Q$123)*$K140)</f>
        <v/>
      </c>
      <c r="R140" s="1242" t="str">
        <f>IF(OR(O140="",R$122=""),"",'I. Stream &amp; Compound Data'!Z195/$J140*(1-R$127)*(1-R$123)*$K140)</f>
        <v/>
      </c>
      <c r="S140" s="1242" t="str">
        <f>IF(OR(P140="",S$122=""),"",'I. Stream &amp; Compound Data'!AC195/$J140*(1-S$127)*(1-S$123)*$K140)</f>
        <v/>
      </c>
      <c r="T140" s="1242" t="str">
        <f>IF(OR(Q140="",T$122=""),"",'I. Stream &amp; Compound Data'!AF195/$J140*(1-T$127)*(1-T$123)*$K140)</f>
        <v/>
      </c>
      <c r="U140" s="1242" t="str">
        <f>IF(OR(R140="",U$122=""),"",'I. Stream &amp; Compound Data'!AI195/$J140*(1-U$127)*(1-U$123)*$K140)</f>
        <v/>
      </c>
      <c r="V140" s="1242" t="str">
        <f>IF(OR(V$122="",$I140=""),"",'I. Stream &amp; Compound Data'!AL195/$J140*(1-V$127)*(1-V$123)*$K140)</f>
        <v/>
      </c>
      <c r="W140" s="1242" t="str">
        <f>IF(OR(W$122="",$I140=""),"",'I. Stream &amp; Compound Data'!AO195/$J140*(1-W$127)*(1-W$123)*$K140)</f>
        <v/>
      </c>
      <c r="X140" s="1242" t="str">
        <f>IF(OR(X$122="",$I140=""),"",'I. Stream &amp; Compound Data'!AR195/$J140*(1-X$127)*(1-X$123)*$K140)</f>
        <v/>
      </c>
      <c r="Y140" s="1242" t="str">
        <f>IF(OR(Y$122="",$I140=""),"",'I. Stream &amp; Compound Data'!AU195/$J140*(1-Y$127)*(1-Y$123)*$K140)</f>
        <v/>
      </c>
      <c r="Z140" s="1242" t="str">
        <f>IF(OR(Z$122="",$I140=""),"",'I. Stream &amp; Compound Data'!AX195/$J140*(1-Z$127)*(1-Z$123)*$K140)</f>
        <v/>
      </c>
      <c r="AA140" s="1242" t="str">
        <f>IF(OR(AA$122="",$I140=""),"",'I. Stream &amp; Compound Data'!BA195/$J140*(1-AA$127)*(1-AA$123)*$K140)</f>
        <v/>
      </c>
      <c r="AB140" s="1242" t="str">
        <f>IF(OR(AB$122="",$I140=""),"",'I. Stream &amp; Compound Data'!BD195/$J140*(1-AB$127)*(1-AB$123)*$K140)</f>
        <v/>
      </c>
      <c r="AC140" s="1242" t="str">
        <f>IF(OR(AC$122="",$I140=""),"",'I. Stream &amp; Compound Data'!BG195/$J140*(1-AC$127)*(1-AC$123)*$K140)</f>
        <v/>
      </c>
      <c r="AD140" s="1242" t="str">
        <f>IF(OR(AD$122="",$I140=""),"",'I. Stream &amp; Compound Data'!BJ195/$J140*(1-AD$127)*(1-AD$123)*$K140)</f>
        <v/>
      </c>
      <c r="AE140" s="1242" t="str">
        <f>IF(OR(AE$122="",$I140=""),"",'I. Stream &amp; Compound Data'!BM195/$J140*(1-AE$127)*(1-AE$123)*$K140)</f>
        <v/>
      </c>
      <c r="AF140" s="1242" t="str">
        <f>IF(OR(AF$122="",$I140=""),"",'I. Stream &amp; Compound Data'!BP195/$J140*(1-AF$127)*(1-AF$123)*$K140)</f>
        <v/>
      </c>
      <c r="AG140" s="1242" t="str">
        <f>IF(OR(AG$122="",$I140=""),"",'I. Stream &amp; Compound Data'!BS195/$J140*(1-AG$127)*(1-AG$123)*$K140)</f>
        <v/>
      </c>
      <c r="AH140" s="1242" t="str">
        <f>IF(OR(AH$122="",$I140=""),"",'I. Stream &amp; Compound Data'!BV195/$J140*(1-AH$127)*(1-AH$123)*$K140)</f>
        <v/>
      </c>
      <c r="AI140" s="1242" t="str">
        <f>IF(OR(AI$122="",$I140=""),"",'I. Stream &amp; Compound Data'!BY195/$J140*(1-AI$127)*(1-AI$123)*$K140)</f>
        <v/>
      </c>
      <c r="AJ140" s="1242" t="str">
        <f>IF(OR(AJ$122="",$I140=""),"",'I. Stream &amp; Compound Data'!CB195/$J140*(1-AJ$127)*(1-AJ$123)*$K140)</f>
        <v/>
      </c>
      <c r="AK140" s="1242" t="str">
        <f>IF(OR(AK$122="",$I140=""),"",'I. Stream &amp; Compound Data'!CE195/$J140*(1-AK$127)*(1-AK$123)*$K140)</f>
        <v/>
      </c>
      <c r="AL140" s="1242" t="str">
        <f>IF(OR(AL$122="",$I140=""),"",'I. Stream &amp; Compound Data'!CH195/$J140*(1-AL$127)*(1-AL$123)*$K140)</f>
        <v/>
      </c>
      <c r="AM140" s="1242" t="str">
        <f>IF(OR(AM$122="",$I140=""),"",'I. Stream &amp; Compound Data'!CK195/$J140*(1-AM$127)*(1-AM$123)*$K140)</f>
        <v/>
      </c>
      <c r="AN140" s="1242" t="str">
        <f>IF(OR(AN$122="",$I140=""),"",'I. Stream &amp; Compound Data'!CN195/$J140*(1-AN$127)*(1-AN$123)*$K140)</f>
        <v/>
      </c>
      <c r="AO140" s="1242" t="str">
        <f>IF(OR(AO$122="",$I140=""),"",'I. Stream &amp; Compound Data'!CQ195/$J140*(1-AO$127)*(1-AO$123)*$K140)</f>
        <v/>
      </c>
      <c r="AP140" s="1242" t="str">
        <f>IF(OR(AP$122="",$I140=""),"",'I. Stream &amp; Compound Data'!CT195/$J140*(1-AP$127)*(1-AP$123)*$K140)</f>
        <v/>
      </c>
      <c r="AQ140" s="1242" t="str">
        <f>IF(OR(AQ$122="",$I140=""),"",'I. Stream &amp; Compound Data'!CW195/$J140*(1-AQ$127)*(1-AQ$123)*$K140)</f>
        <v/>
      </c>
      <c r="AR140" s="1242" t="str">
        <f>IF(OR(AR$122="",$I140=""),"",'I. Stream &amp; Compound Data'!CZ195/$J140*(1-AR$127)*(1-AR$123)*$K140)</f>
        <v/>
      </c>
      <c r="AS140" s="1242" t="str">
        <f>IF(OR(AS$122="",$I140=""),"",'I. Stream &amp; Compound Data'!DC195/$J140*(1-AS$127)*(1-AS$123)*$K140)</f>
        <v/>
      </c>
      <c r="AT140" s="1242" t="str">
        <f>IF(OR(AT$122="",$I140=""),"",'I. Stream &amp; Compound Data'!DF195/$J140*(1-AT$127)*(1-AT$123)*$K140)</f>
        <v/>
      </c>
      <c r="AU140" s="1242" t="str">
        <f>IF(OR(AU$122="",$I140=""),"",'I. Stream &amp; Compound Data'!DI195/$J140*(1-AU$127)*(1-AU$123)*$K140)</f>
        <v/>
      </c>
      <c r="AV140" s="1242" t="str">
        <f>IF(OR(AV$122="",$I140=""),"",'I. Stream &amp; Compound Data'!DL195/$J140*(1-AV$127)*(1-AV$123)*$K140)</f>
        <v/>
      </c>
      <c r="AW140" s="1242" t="str">
        <f>IF(OR(AW$122="",$I140=""),"",'I. Stream &amp; Compound Data'!DO195/$J140*(1-AW$127)*(1-AW$123)*$K140)</f>
        <v/>
      </c>
      <c r="AX140" s="1242" t="str">
        <f>IF(OR(AX$122="",$I140=""),"",'I. Stream &amp; Compound Data'!DR195/$J140*(1-AX$127)*(1-AX$123)*$K140)</f>
        <v/>
      </c>
      <c r="AY140" s="1268" t="str">
        <f>IF(OR(AY$122="",$I140=""),"",'I. Stream &amp; Compound Data'!DU195/$J140*(1-AY$127)*(1-AY$123)*$K140)</f>
        <v/>
      </c>
      <c r="AZ140" s="279"/>
      <c r="BA140" s="279"/>
      <c r="BB140" s="279"/>
      <c r="BC140" s="279"/>
      <c r="BD140" s="279"/>
      <c r="BE140" s="279"/>
      <c r="BF140" s="279"/>
      <c r="BG140" s="279"/>
      <c r="BH140" s="279"/>
      <c r="BI140" s="279"/>
      <c r="BJ140" s="279"/>
      <c r="BK140" s="279"/>
      <c r="BL140" s="279"/>
      <c r="BM140" s="279"/>
      <c r="BN140" s="279"/>
      <c r="BO140" s="279"/>
      <c r="BP140" s="279"/>
      <c r="BQ140" s="279"/>
      <c r="BR140" s="279"/>
      <c r="BS140" s="279"/>
      <c r="BT140" s="279"/>
      <c r="BU140" s="279"/>
      <c r="BV140" s="279"/>
      <c r="BW140" s="279"/>
      <c r="BX140" s="279"/>
      <c r="BY140" s="279"/>
      <c r="BZ140" s="279"/>
      <c r="CA140" s="279"/>
      <c r="CB140" s="279"/>
      <c r="CC140" s="279"/>
      <c r="CD140" s="279"/>
      <c r="CE140" s="279"/>
      <c r="CF140" s="279"/>
      <c r="CG140" s="279"/>
      <c r="CH140" s="279"/>
      <c r="CI140" s="279"/>
      <c r="CJ140" s="279"/>
      <c r="CK140" s="279"/>
      <c r="CL140" s="279"/>
      <c r="CM140" s="279"/>
      <c r="CN140" s="382"/>
    </row>
    <row r="141" ht="15.6" x14ac:dyDescent="0.25">
      <c r="B141" s="361"/>
      <c r="C141" s="279"/>
      <c r="D141" s="280"/>
      <c r="E141" s="287"/>
      <c r="F141" s="287"/>
      <c r="G141" s="287"/>
      <c r="H141" s="1292">
        <f t="shared" si="18"/>
        <v>11</v>
      </c>
      <c r="I141" s="1320" t="str">
        <f>IF('I. Stream &amp; Compound Data'!G272&lt;&gt;"",'I. Stream &amp; Compound Data'!G272,"")</f>
        <v/>
      </c>
      <c r="J141" s="1190" t="str">
        <f>IF('I. Stream &amp; Compound Data'!BH272="","",'I. Stream &amp; Compound Data'!BH272)</f>
        <v/>
      </c>
      <c r="K141" s="1306" t="str">
        <f>IF('I. Stream &amp; Compound Data'!G272="","",IF(OR('I. Stream &amp; Compound Data'!U272=1,'I. Stream &amp; Compound Data'!V272=1,'I. Stream &amp; Compound Data'!AY272&lt;25),0,1))</f>
        <v/>
      </c>
      <c r="L141" s="1242" t="str">
        <f>IF(OR(I141="",L$122=""),"",'I. Stream &amp; Compound Data'!H196/$J141*(1-L$127)*(1-L$123)*$K141)</f>
        <v/>
      </c>
      <c r="M141" s="1242" t="str">
        <f>IF(OR(J141="",M$122=""),"",'I. Stream &amp; Compound Data'!K196/$J141*(1-M$127)*(1-M$123)*$K141)</f>
        <v/>
      </c>
      <c r="N141" s="1242" t="str">
        <f>IF(OR(K141="",N$122=""),"",'I. Stream &amp; Compound Data'!N196/$J141*(1-N$127)*(1-N$123)*$K141)</f>
        <v/>
      </c>
      <c r="O141" s="1242" t="str">
        <f>IF(OR(L141="",O$122=""),"",'I. Stream &amp; Compound Data'!Q196/$J141*(1-O$127)*(1-O$123)*$K141)</f>
        <v/>
      </c>
      <c r="P141" s="1242" t="str">
        <f>IF(OR(M141="",P$122=""),"",'I. Stream &amp; Compound Data'!T196/$J141*(1-P$127)*(1-P$123)*$K141)</f>
        <v/>
      </c>
      <c r="Q141" s="1242" t="str">
        <f>IF(OR(N141="",Q$122=""),"",'I. Stream &amp; Compound Data'!W196/$J141*(1-Q$127)*(1-Q$123)*$K141)</f>
        <v/>
      </c>
      <c r="R141" s="1242" t="str">
        <f>IF(OR(O141="",R$122=""),"",'I. Stream &amp; Compound Data'!Z196/$J141*(1-R$127)*(1-R$123)*$K141)</f>
        <v/>
      </c>
      <c r="S141" s="1242" t="str">
        <f>IF(OR(P141="",S$122=""),"",'I. Stream &amp; Compound Data'!AC196/$J141*(1-S$127)*(1-S$123)*$K141)</f>
        <v/>
      </c>
      <c r="T141" s="1242" t="str">
        <f>IF(OR(Q141="",T$122=""),"",'I. Stream &amp; Compound Data'!AF196/$J141*(1-T$127)*(1-T$123)*$K141)</f>
        <v/>
      </c>
      <c r="U141" s="1242" t="str">
        <f>IF(OR(R141="",U$122=""),"",'I. Stream &amp; Compound Data'!AI196/$J141*(1-U$127)*(1-U$123)*$K141)</f>
        <v/>
      </c>
      <c r="V141" s="1242" t="str">
        <f>IF(OR(V$122="",$I141=""),"",'I. Stream &amp; Compound Data'!AL196/$J141*(1-V$127)*(1-V$123)*$K141)</f>
        <v/>
      </c>
      <c r="W141" s="1242" t="str">
        <f>IF(OR(W$122="",$I141=""),"",'I. Stream &amp; Compound Data'!AO196/$J141*(1-W$127)*(1-W$123)*$K141)</f>
        <v/>
      </c>
      <c r="X141" s="1242" t="str">
        <f>IF(OR(X$122="",$I141=""),"",'I. Stream &amp; Compound Data'!AR196/$J141*(1-X$127)*(1-X$123)*$K141)</f>
        <v/>
      </c>
      <c r="Y141" s="1242" t="str">
        <f>IF(OR(Y$122="",$I141=""),"",'I. Stream &amp; Compound Data'!AU196/$J141*(1-Y$127)*(1-Y$123)*$K141)</f>
        <v/>
      </c>
      <c r="Z141" s="1242" t="str">
        <f>IF(OR(Z$122="",$I141=""),"",'I. Stream &amp; Compound Data'!AX196/$J141*(1-Z$127)*(1-Z$123)*$K141)</f>
        <v/>
      </c>
      <c r="AA141" s="1242" t="str">
        <f>IF(OR(AA$122="",$I141=""),"",'I. Stream &amp; Compound Data'!BA196/$J141*(1-AA$127)*(1-AA$123)*$K141)</f>
        <v/>
      </c>
      <c r="AB141" s="1242" t="str">
        <f>IF(OR(AB$122="",$I141=""),"",'I. Stream &amp; Compound Data'!BD196/$J141*(1-AB$127)*(1-AB$123)*$K141)</f>
        <v/>
      </c>
      <c r="AC141" s="1242" t="str">
        <f>IF(OR(AC$122="",$I141=""),"",'I. Stream &amp; Compound Data'!BG196/$J141*(1-AC$127)*(1-AC$123)*$K141)</f>
        <v/>
      </c>
      <c r="AD141" s="1242" t="str">
        <f>IF(OR(AD$122="",$I141=""),"",'I. Stream &amp; Compound Data'!BJ196/$J141*(1-AD$127)*(1-AD$123)*$K141)</f>
        <v/>
      </c>
      <c r="AE141" s="1242" t="str">
        <f>IF(OR(AE$122="",$I141=""),"",'I. Stream &amp; Compound Data'!BM196/$J141*(1-AE$127)*(1-AE$123)*$K141)</f>
        <v/>
      </c>
      <c r="AF141" s="1242" t="str">
        <f>IF(OR(AF$122="",$I141=""),"",'I. Stream &amp; Compound Data'!BP196/$J141*(1-AF$127)*(1-AF$123)*$K141)</f>
        <v/>
      </c>
      <c r="AG141" s="1242" t="str">
        <f>IF(OR(AG$122="",$I141=""),"",'I. Stream &amp; Compound Data'!BS196/$J141*(1-AG$127)*(1-AG$123)*$K141)</f>
        <v/>
      </c>
      <c r="AH141" s="1242" t="str">
        <f>IF(OR(AH$122="",$I141=""),"",'I. Stream &amp; Compound Data'!BV196/$J141*(1-AH$127)*(1-AH$123)*$K141)</f>
        <v/>
      </c>
      <c r="AI141" s="1242" t="str">
        <f>IF(OR(AI$122="",$I141=""),"",'I. Stream &amp; Compound Data'!BY196/$J141*(1-AI$127)*(1-AI$123)*$K141)</f>
        <v/>
      </c>
      <c r="AJ141" s="1242" t="str">
        <f>IF(OR(AJ$122="",$I141=""),"",'I. Stream &amp; Compound Data'!CB196/$J141*(1-AJ$127)*(1-AJ$123)*$K141)</f>
        <v/>
      </c>
      <c r="AK141" s="1242" t="str">
        <f>IF(OR(AK$122="",$I141=""),"",'I. Stream &amp; Compound Data'!CE196/$J141*(1-AK$127)*(1-AK$123)*$K141)</f>
        <v/>
      </c>
      <c r="AL141" s="1242" t="str">
        <f>IF(OR(AL$122="",$I141=""),"",'I. Stream &amp; Compound Data'!CH196/$J141*(1-AL$127)*(1-AL$123)*$K141)</f>
        <v/>
      </c>
      <c r="AM141" s="1242" t="str">
        <f>IF(OR(AM$122="",$I141=""),"",'I. Stream &amp; Compound Data'!CK196/$J141*(1-AM$127)*(1-AM$123)*$K141)</f>
        <v/>
      </c>
      <c r="AN141" s="1242" t="str">
        <f>IF(OR(AN$122="",$I141=""),"",'I. Stream &amp; Compound Data'!CN196/$J141*(1-AN$127)*(1-AN$123)*$K141)</f>
        <v/>
      </c>
      <c r="AO141" s="1242" t="str">
        <f>IF(OR(AO$122="",$I141=""),"",'I. Stream &amp; Compound Data'!CQ196/$J141*(1-AO$127)*(1-AO$123)*$K141)</f>
        <v/>
      </c>
      <c r="AP141" s="1242" t="str">
        <f>IF(OR(AP$122="",$I141=""),"",'I. Stream &amp; Compound Data'!CT196/$J141*(1-AP$127)*(1-AP$123)*$K141)</f>
        <v/>
      </c>
      <c r="AQ141" s="1242" t="str">
        <f>IF(OR(AQ$122="",$I141=""),"",'I. Stream &amp; Compound Data'!CW196/$J141*(1-AQ$127)*(1-AQ$123)*$K141)</f>
        <v/>
      </c>
      <c r="AR141" s="1242" t="str">
        <f>IF(OR(AR$122="",$I141=""),"",'I. Stream &amp; Compound Data'!CZ196/$J141*(1-AR$127)*(1-AR$123)*$K141)</f>
        <v/>
      </c>
      <c r="AS141" s="1242" t="str">
        <f>IF(OR(AS$122="",$I141=""),"",'I. Stream &amp; Compound Data'!DC196/$J141*(1-AS$127)*(1-AS$123)*$K141)</f>
        <v/>
      </c>
      <c r="AT141" s="1242" t="str">
        <f>IF(OR(AT$122="",$I141=""),"",'I. Stream &amp; Compound Data'!DF196/$J141*(1-AT$127)*(1-AT$123)*$K141)</f>
        <v/>
      </c>
      <c r="AU141" s="1242" t="str">
        <f>IF(OR(AU$122="",$I141=""),"",'I. Stream &amp; Compound Data'!DI196/$J141*(1-AU$127)*(1-AU$123)*$K141)</f>
        <v/>
      </c>
      <c r="AV141" s="1242" t="str">
        <f>IF(OR(AV$122="",$I141=""),"",'I. Stream &amp; Compound Data'!DL196/$J141*(1-AV$127)*(1-AV$123)*$K141)</f>
        <v/>
      </c>
      <c r="AW141" s="1242" t="str">
        <f>IF(OR(AW$122="",$I141=""),"",'I. Stream &amp; Compound Data'!DO196/$J141*(1-AW$127)*(1-AW$123)*$K141)</f>
        <v/>
      </c>
      <c r="AX141" s="1242" t="str">
        <f>IF(OR(AX$122="",$I141=""),"",'I. Stream &amp; Compound Data'!DR196/$J141*(1-AX$127)*(1-AX$123)*$K141)</f>
        <v/>
      </c>
      <c r="AY141" s="1268" t="str">
        <f>IF(OR(AY$122="",$I141=""),"",'I. Stream &amp; Compound Data'!DU196/$J141*(1-AY$127)*(1-AY$123)*$K141)</f>
        <v/>
      </c>
      <c r="AZ141" s="279"/>
      <c r="BA141" s="279"/>
      <c r="BB141" s="279"/>
      <c r="BC141" s="279"/>
      <c r="BD141" s="279"/>
      <c r="BE141" s="279"/>
      <c r="BF141" s="279"/>
      <c r="BG141" s="279"/>
      <c r="BH141" s="279"/>
      <c r="BI141" s="279"/>
      <c r="BJ141" s="279"/>
      <c r="BK141" s="279"/>
      <c r="BL141" s="279"/>
      <c r="BM141" s="279"/>
      <c r="BN141" s="279"/>
      <c r="BO141" s="279"/>
      <c r="BP141" s="279"/>
      <c r="BQ141" s="279"/>
      <c r="BR141" s="279"/>
      <c r="BS141" s="279"/>
      <c r="BT141" s="279"/>
      <c r="BU141" s="279"/>
      <c r="BV141" s="279"/>
      <c r="BW141" s="279"/>
      <c r="BX141" s="279"/>
      <c r="BY141" s="279"/>
      <c r="BZ141" s="279"/>
      <c r="CA141" s="279"/>
      <c r="CB141" s="279"/>
      <c r="CC141" s="279"/>
      <c r="CD141" s="279"/>
      <c r="CE141" s="279"/>
      <c r="CF141" s="279"/>
      <c r="CG141" s="279"/>
      <c r="CH141" s="279"/>
      <c r="CI141" s="279"/>
      <c r="CJ141" s="279"/>
      <c r="CK141" s="279"/>
      <c r="CL141" s="279"/>
      <c r="CM141" s="279"/>
      <c r="CN141" s="382"/>
    </row>
    <row r="142" ht="15.6" x14ac:dyDescent="0.25">
      <c r="B142" s="361"/>
      <c r="C142" s="279"/>
      <c r="D142" s="280"/>
      <c r="E142" s="287"/>
      <c r="F142" s="287"/>
      <c r="G142" s="287"/>
      <c r="H142" s="1292">
        <f t="shared" si="18"/>
        <v>12</v>
      </c>
      <c r="I142" s="1320" t="str">
        <f>IF('I. Stream &amp; Compound Data'!G273&lt;&gt;"",'I. Stream &amp; Compound Data'!G273,"")</f>
        <v/>
      </c>
      <c r="J142" s="1190" t="str">
        <f>IF('I. Stream &amp; Compound Data'!BH273="","",'I. Stream &amp; Compound Data'!BH273)</f>
        <v/>
      </c>
      <c r="K142" s="1306" t="str">
        <f>IF('I. Stream &amp; Compound Data'!G273="","",IF(OR('I. Stream &amp; Compound Data'!U273=1,'I. Stream &amp; Compound Data'!V273=1,'I. Stream &amp; Compound Data'!AY273&lt;25),0,1))</f>
        <v/>
      </c>
      <c r="L142" s="1242" t="str">
        <f>IF(OR(I142="",L$122=""),"",'I. Stream &amp; Compound Data'!H197/$J142*(1-L$127)*(1-L$123)*$K142)</f>
        <v/>
      </c>
      <c r="M142" s="1242" t="str">
        <f>IF(OR(J142="",M$122=""),"",'I. Stream &amp; Compound Data'!K197/$J142*(1-M$127)*(1-M$123)*$K142)</f>
        <v/>
      </c>
      <c r="N142" s="1242" t="str">
        <f>IF(OR(K142="",N$122=""),"",'I. Stream &amp; Compound Data'!N197/$J142*(1-N$127)*(1-N$123)*$K142)</f>
        <v/>
      </c>
      <c r="O142" s="1242" t="str">
        <f>IF(OR(L142="",O$122=""),"",'I. Stream &amp; Compound Data'!Q197/$J142*(1-O$127)*(1-O$123)*$K142)</f>
        <v/>
      </c>
      <c r="P142" s="1242" t="str">
        <f>IF(OR(M142="",P$122=""),"",'I. Stream &amp; Compound Data'!T197/$J142*(1-P$127)*(1-P$123)*$K142)</f>
        <v/>
      </c>
      <c r="Q142" s="1242" t="str">
        <f>IF(OR(N142="",Q$122=""),"",'I. Stream &amp; Compound Data'!W197/$J142*(1-Q$127)*(1-Q$123)*$K142)</f>
        <v/>
      </c>
      <c r="R142" s="1242" t="str">
        <f>IF(OR(O142="",R$122=""),"",'I. Stream &amp; Compound Data'!Z197/$J142*(1-R$127)*(1-R$123)*$K142)</f>
        <v/>
      </c>
      <c r="S142" s="1242" t="str">
        <f>IF(OR(P142="",S$122=""),"",'I. Stream &amp; Compound Data'!AC197/$J142*(1-S$127)*(1-S$123)*$K142)</f>
        <v/>
      </c>
      <c r="T142" s="1242" t="str">
        <f>IF(OR(Q142="",T$122=""),"",'I. Stream &amp; Compound Data'!AF197/$J142*(1-T$127)*(1-T$123)*$K142)</f>
        <v/>
      </c>
      <c r="U142" s="1242" t="str">
        <f>IF(OR(R142="",U$122=""),"",'I. Stream &amp; Compound Data'!AI197/$J142*(1-U$127)*(1-U$123)*$K142)</f>
        <v/>
      </c>
      <c r="V142" s="1242" t="str">
        <f>IF(OR(V$122="",$I142=""),"",'I. Stream &amp; Compound Data'!AL197/$J142*(1-V$127)*(1-V$123)*$K142)</f>
        <v/>
      </c>
      <c r="W142" s="1242" t="str">
        <f>IF(OR(W$122="",$I142=""),"",'I. Stream &amp; Compound Data'!AO197/$J142*(1-W$127)*(1-W$123)*$K142)</f>
        <v/>
      </c>
      <c r="X142" s="1242" t="str">
        <f>IF(OR(X$122="",$I142=""),"",'I. Stream &amp; Compound Data'!AR197/$J142*(1-X$127)*(1-X$123)*$K142)</f>
        <v/>
      </c>
      <c r="Y142" s="1242" t="str">
        <f>IF(OR(Y$122="",$I142=""),"",'I. Stream &amp; Compound Data'!AU197/$J142*(1-Y$127)*(1-Y$123)*$K142)</f>
        <v/>
      </c>
      <c r="Z142" s="1242" t="str">
        <f>IF(OR(Z$122="",$I142=""),"",'I. Stream &amp; Compound Data'!AX197/$J142*(1-Z$127)*(1-Z$123)*$K142)</f>
        <v/>
      </c>
      <c r="AA142" s="1242" t="str">
        <f>IF(OR(AA$122="",$I142=""),"",'I. Stream &amp; Compound Data'!BA197/$J142*(1-AA$127)*(1-AA$123)*$K142)</f>
        <v/>
      </c>
      <c r="AB142" s="1242" t="str">
        <f>IF(OR(AB$122="",$I142=""),"",'I. Stream &amp; Compound Data'!BD197/$J142*(1-AB$127)*(1-AB$123)*$K142)</f>
        <v/>
      </c>
      <c r="AC142" s="1242" t="str">
        <f>IF(OR(AC$122="",$I142=""),"",'I. Stream &amp; Compound Data'!BG197/$J142*(1-AC$127)*(1-AC$123)*$K142)</f>
        <v/>
      </c>
      <c r="AD142" s="1242" t="str">
        <f>IF(OR(AD$122="",$I142=""),"",'I. Stream &amp; Compound Data'!BJ197/$J142*(1-AD$127)*(1-AD$123)*$K142)</f>
        <v/>
      </c>
      <c r="AE142" s="1242" t="str">
        <f>IF(OR(AE$122="",$I142=""),"",'I. Stream &amp; Compound Data'!BM197/$J142*(1-AE$127)*(1-AE$123)*$K142)</f>
        <v/>
      </c>
      <c r="AF142" s="1242" t="str">
        <f>IF(OR(AF$122="",$I142=""),"",'I. Stream &amp; Compound Data'!BP197/$J142*(1-AF$127)*(1-AF$123)*$K142)</f>
        <v/>
      </c>
      <c r="AG142" s="1242" t="str">
        <f>IF(OR(AG$122="",$I142=""),"",'I. Stream &amp; Compound Data'!BS197/$J142*(1-AG$127)*(1-AG$123)*$K142)</f>
        <v/>
      </c>
      <c r="AH142" s="1242" t="str">
        <f>IF(OR(AH$122="",$I142=""),"",'I. Stream &amp; Compound Data'!BV197/$J142*(1-AH$127)*(1-AH$123)*$K142)</f>
        <v/>
      </c>
      <c r="AI142" s="1242" t="str">
        <f>IF(OR(AI$122="",$I142=""),"",'I. Stream &amp; Compound Data'!BY197/$J142*(1-AI$127)*(1-AI$123)*$K142)</f>
        <v/>
      </c>
      <c r="AJ142" s="1242" t="str">
        <f>IF(OR(AJ$122="",$I142=""),"",'I. Stream &amp; Compound Data'!CB197/$J142*(1-AJ$127)*(1-AJ$123)*$K142)</f>
        <v/>
      </c>
      <c r="AK142" s="1242" t="str">
        <f>IF(OR(AK$122="",$I142=""),"",'I. Stream &amp; Compound Data'!CE197/$J142*(1-AK$127)*(1-AK$123)*$K142)</f>
        <v/>
      </c>
      <c r="AL142" s="1242" t="str">
        <f>IF(OR(AL$122="",$I142=""),"",'I. Stream &amp; Compound Data'!CH197/$J142*(1-AL$127)*(1-AL$123)*$K142)</f>
        <v/>
      </c>
      <c r="AM142" s="1242" t="str">
        <f>IF(OR(AM$122="",$I142=""),"",'I. Stream &amp; Compound Data'!CK197/$J142*(1-AM$127)*(1-AM$123)*$K142)</f>
        <v/>
      </c>
      <c r="AN142" s="1242" t="str">
        <f>IF(OR(AN$122="",$I142=""),"",'I. Stream &amp; Compound Data'!CN197/$J142*(1-AN$127)*(1-AN$123)*$K142)</f>
        <v/>
      </c>
      <c r="AO142" s="1242" t="str">
        <f>IF(OR(AO$122="",$I142=""),"",'I. Stream &amp; Compound Data'!CQ197/$J142*(1-AO$127)*(1-AO$123)*$K142)</f>
        <v/>
      </c>
      <c r="AP142" s="1242" t="str">
        <f>IF(OR(AP$122="",$I142=""),"",'I. Stream &amp; Compound Data'!CT197/$J142*(1-AP$127)*(1-AP$123)*$K142)</f>
        <v/>
      </c>
      <c r="AQ142" s="1242" t="str">
        <f>IF(OR(AQ$122="",$I142=""),"",'I. Stream &amp; Compound Data'!CW197/$J142*(1-AQ$127)*(1-AQ$123)*$K142)</f>
        <v/>
      </c>
      <c r="AR142" s="1242" t="str">
        <f>IF(OR(AR$122="",$I142=""),"",'I. Stream &amp; Compound Data'!CZ197/$J142*(1-AR$127)*(1-AR$123)*$K142)</f>
        <v/>
      </c>
      <c r="AS142" s="1242" t="str">
        <f>IF(OR(AS$122="",$I142=""),"",'I. Stream &amp; Compound Data'!DC197/$J142*(1-AS$127)*(1-AS$123)*$K142)</f>
        <v/>
      </c>
      <c r="AT142" s="1242" t="str">
        <f>IF(OR(AT$122="",$I142=""),"",'I. Stream &amp; Compound Data'!DF197/$J142*(1-AT$127)*(1-AT$123)*$K142)</f>
        <v/>
      </c>
      <c r="AU142" s="1242" t="str">
        <f>IF(OR(AU$122="",$I142=""),"",'I. Stream &amp; Compound Data'!DI197/$J142*(1-AU$127)*(1-AU$123)*$K142)</f>
        <v/>
      </c>
      <c r="AV142" s="1242" t="str">
        <f>IF(OR(AV$122="",$I142=""),"",'I. Stream &amp; Compound Data'!DL197/$J142*(1-AV$127)*(1-AV$123)*$K142)</f>
        <v/>
      </c>
      <c r="AW142" s="1242" t="str">
        <f>IF(OR(AW$122="",$I142=""),"",'I. Stream &amp; Compound Data'!DO197/$J142*(1-AW$127)*(1-AW$123)*$K142)</f>
        <v/>
      </c>
      <c r="AX142" s="1242" t="str">
        <f>IF(OR(AX$122="",$I142=""),"",'I. Stream &amp; Compound Data'!DR197/$J142*(1-AX$127)*(1-AX$123)*$K142)</f>
        <v/>
      </c>
      <c r="AY142" s="1268" t="str">
        <f>IF(OR(AY$122="",$I142=""),"",'I. Stream &amp; Compound Data'!DU197/$J142*(1-AY$127)*(1-AY$123)*$K142)</f>
        <v/>
      </c>
      <c r="AZ142" s="279"/>
      <c r="BA142" s="279"/>
      <c r="BB142" s="279"/>
      <c r="BC142" s="279"/>
      <c r="BD142" s="279"/>
      <c r="BE142" s="279"/>
      <c r="BF142" s="279"/>
      <c r="BG142" s="279"/>
      <c r="BH142" s="279"/>
      <c r="BI142" s="279"/>
      <c r="BJ142" s="279"/>
      <c r="BK142" s="279"/>
      <c r="BL142" s="279"/>
      <c r="BM142" s="279"/>
      <c r="BN142" s="279"/>
      <c r="BO142" s="279"/>
      <c r="BP142" s="279"/>
      <c r="BQ142" s="279"/>
      <c r="BR142" s="279"/>
      <c r="BS142" s="279"/>
      <c r="BT142" s="279"/>
      <c r="BU142" s="279"/>
      <c r="BV142" s="279"/>
      <c r="BW142" s="279"/>
      <c r="BX142" s="279"/>
      <c r="BY142" s="279"/>
      <c r="BZ142" s="279"/>
      <c r="CA142" s="279"/>
      <c r="CB142" s="279"/>
      <c r="CC142" s="279"/>
      <c r="CD142" s="279"/>
      <c r="CE142" s="279"/>
      <c r="CF142" s="279"/>
      <c r="CG142" s="279"/>
      <c r="CH142" s="279"/>
      <c r="CI142" s="279"/>
      <c r="CJ142" s="279"/>
      <c r="CK142" s="279"/>
      <c r="CL142" s="279"/>
      <c r="CM142" s="279"/>
      <c r="CN142" s="382"/>
    </row>
    <row r="143" ht="15.6" x14ac:dyDescent="0.25">
      <c r="B143" s="361"/>
      <c r="C143" s="279"/>
      <c r="D143" s="280"/>
      <c r="E143" s="287"/>
      <c r="F143" s="287"/>
      <c r="G143" s="287"/>
      <c r="H143" s="1292">
        <f t="shared" si="18"/>
        <v>13</v>
      </c>
      <c r="I143" s="1320" t="str">
        <f>IF('I. Stream &amp; Compound Data'!G274&lt;&gt;"",'I. Stream &amp; Compound Data'!G274,"")</f>
        <v/>
      </c>
      <c r="J143" s="1190" t="str">
        <f>IF('I. Stream &amp; Compound Data'!BH274="","",'I. Stream &amp; Compound Data'!BH274)</f>
        <v/>
      </c>
      <c r="K143" s="1306" t="str">
        <f>IF('I. Stream &amp; Compound Data'!G274="","",IF(OR('I. Stream &amp; Compound Data'!U274=1,'I. Stream &amp; Compound Data'!V274=1,'I. Stream &amp; Compound Data'!AY274&lt;25),0,1))</f>
        <v/>
      </c>
      <c r="L143" s="1242" t="str">
        <f>IF(OR(I143="",L$122=""),"",'I. Stream &amp; Compound Data'!H198/$J143*(1-L$127)*(1-L$123)*$K143)</f>
        <v/>
      </c>
      <c r="M143" s="1242" t="str">
        <f>IF(OR(J143="",M$122=""),"",'I. Stream &amp; Compound Data'!K198/$J143*(1-M$127)*(1-M$123)*$K143)</f>
        <v/>
      </c>
      <c r="N143" s="1242" t="str">
        <f>IF(OR(K143="",N$122=""),"",'I. Stream &amp; Compound Data'!N198/$J143*(1-N$127)*(1-N$123)*$K143)</f>
        <v/>
      </c>
      <c r="O143" s="1242" t="str">
        <f>IF(OR(L143="",O$122=""),"",'I. Stream &amp; Compound Data'!Q198/$J143*(1-O$127)*(1-O$123)*$K143)</f>
        <v/>
      </c>
      <c r="P143" s="1242" t="str">
        <f>IF(OR(M143="",P$122=""),"",'I. Stream &amp; Compound Data'!T198/$J143*(1-P$127)*(1-P$123)*$K143)</f>
        <v/>
      </c>
      <c r="Q143" s="1242" t="str">
        <f>IF(OR(N143="",Q$122=""),"",'I. Stream &amp; Compound Data'!W198/$J143*(1-Q$127)*(1-Q$123)*$K143)</f>
        <v/>
      </c>
      <c r="R143" s="1242" t="str">
        <f>IF(OR(O143="",R$122=""),"",'I. Stream &amp; Compound Data'!Z198/$J143*(1-R$127)*(1-R$123)*$K143)</f>
        <v/>
      </c>
      <c r="S143" s="1242" t="str">
        <f>IF(OR(P143="",S$122=""),"",'I. Stream &amp; Compound Data'!AC198/$J143*(1-S$127)*(1-S$123)*$K143)</f>
        <v/>
      </c>
      <c r="T143" s="1242" t="str">
        <f>IF(OR(Q143="",T$122=""),"",'I. Stream &amp; Compound Data'!AF198/$J143*(1-T$127)*(1-T$123)*$K143)</f>
        <v/>
      </c>
      <c r="U143" s="1242" t="str">
        <f>IF(OR(R143="",U$122=""),"",'I. Stream &amp; Compound Data'!AI198/$J143*(1-U$127)*(1-U$123)*$K143)</f>
        <v/>
      </c>
      <c r="V143" s="1242" t="str">
        <f>IF(OR(V$122="",$I143=""),"",'I. Stream &amp; Compound Data'!AL198/$J143*(1-V$127)*(1-V$123)*$K143)</f>
        <v/>
      </c>
      <c r="W143" s="1242" t="str">
        <f>IF(OR(W$122="",$I143=""),"",'I. Stream &amp; Compound Data'!AO198/$J143*(1-W$127)*(1-W$123)*$K143)</f>
        <v/>
      </c>
      <c r="X143" s="1242" t="str">
        <f>IF(OR(X$122="",$I143=""),"",'I. Stream &amp; Compound Data'!AR198/$J143*(1-X$127)*(1-X$123)*$K143)</f>
        <v/>
      </c>
      <c r="Y143" s="1242" t="str">
        <f>IF(OR(Y$122="",$I143=""),"",'I. Stream &amp; Compound Data'!AU198/$J143*(1-Y$127)*(1-Y$123)*$K143)</f>
        <v/>
      </c>
      <c r="Z143" s="1242" t="str">
        <f>IF(OR(Z$122="",$I143=""),"",'I. Stream &amp; Compound Data'!AX198/$J143*(1-Z$127)*(1-Z$123)*$K143)</f>
        <v/>
      </c>
      <c r="AA143" s="1242" t="str">
        <f>IF(OR(AA$122="",$I143=""),"",'I. Stream &amp; Compound Data'!BA198/$J143*(1-AA$127)*(1-AA$123)*$K143)</f>
        <v/>
      </c>
      <c r="AB143" s="1242" t="str">
        <f>IF(OR(AB$122="",$I143=""),"",'I. Stream &amp; Compound Data'!BD198/$J143*(1-AB$127)*(1-AB$123)*$K143)</f>
        <v/>
      </c>
      <c r="AC143" s="1242" t="str">
        <f>IF(OR(AC$122="",$I143=""),"",'I. Stream &amp; Compound Data'!BG198/$J143*(1-AC$127)*(1-AC$123)*$K143)</f>
        <v/>
      </c>
      <c r="AD143" s="1242" t="str">
        <f>IF(OR(AD$122="",$I143=""),"",'I. Stream &amp; Compound Data'!BJ198/$J143*(1-AD$127)*(1-AD$123)*$K143)</f>
        <v/>
      </c>
      <c r="AE143" s="1242" t="str">
        <f>IF(OR(AE$122="",$I143=""),"",'I. Stream &amp; Compound Data'!BM198/$J143*(1-AE$127)*(1-AE$123)*$K143)</f>
        <v/>
      </c>
      <c r="AF143" s="1242" t="str">
        <f>IF(OR(AF$122="",$I143=""),"",'I. Stream &amp; Compound Data'!BP198/$J143*(1-AF$127)*(1-AF$123)*$K143)</f>
        <v/>
      </c>
      <c r="AG143" s="1242" t="str">
        <f>IF(OR(AG$122="",$I143=""),"",'I. Stream &amp; Compound Data'!BS198/$J143*(1-AG$127)*(1-AG$123)*$K143)</f>
        <v/>
      </c>
      <c r="AH143" s="1242" t="str">
        <f>IF(OR(AH$122="",$I143=""),"",'I. Stream &amp; Compound Data'!BV198/$J143*(1-AH$127)*(1-AH$123)*$K143)</f>
        <v/>
      </c>
      <c r="AI143" s="1242" t="str">
        <f>IF(OR(AI$122="",$I143=""),"",'I. Stream &amp; Compound Data'!BY198/$J143*(1-AI$127)*(1-AI$123)*$K143)</f>
        <v/>
      </c>
      <c r="AJ143" s="1242" t="str">
        <f>IF(OR(AJ$122="",$I143=""),"",'I. Stream &amp; Compound Data'!CB198/$J143*(1-AJ$127)*(1-AJ$123)*$K143)</f>
        <v/>
      </c>
      <c r="AK143" s="1242" t="str">
        <f>IF(OR(AK$122="",$I143=""),"",'I. Stream &amp; Compound Data'!CE198/$J143*(1-AK$127)*(1-AK$123)*$K143)</f>
        <v/>
      </c>
      <c r="AL143" s="1242" t="str">
        <f>IF(OR(AL$122="",$I143=""),"",'I. Stream &amp; Compound Data'!CH198/$J143*(1-AL$127)*(1-AL$123)*$K143)</f>
        <v/>
      </c>
      <c r="AM143" s="1242" t="str">
        <f>IF(OR(AM$122="",$I143=""),"",'I. Stream &amp; Compound Data'!CK198/$J143*(1-AM$127)*(1-AM$123)*$K143)</f>
        <v/>
      </c>
      <c r="AN143" s="1242" t="str">
        <f>IF(OR(AN$122="",$I143=""),"",'I. Stream &amp; Compound Data'!CN198/$J143*(1-AN$127)*(1-AN$123)*$K143)</f>
        <v/>
      </c>
      <c r="AO143" s="1242" t="str">
        <f>IF(OR(AO$122="",$I143=""),"",'I. Stream &amp; Compound Data'!CQ198/$J143*(1-AO$127)*(1-AO$123)*$K143)</f>
        <v/>
      </c>
      <c r="AP143" s="1242" t="str">
        <f>IF(OR(AP$122="",$I143=""),"",'I. Stream &amp; Compound Data'!CT198/$J143*(1-AP$127)*(1-AP$123)*$K143)</f>
        <v/>
      </c>
      <c r="AQ143" s="1242" t="str">
        <f>IF(OR(AQ$122="",$I143=""),"",'I. Stream &amp; Compound Data'!CW198/$J143*(1-AQ$127)*(1-AQ$123)*$K143)</f>
        <v/>
      </c>
      <c r="AR143" s="1242" t="str">
        <f>IF(OR(AR$122="",$I143=""),"",'I. Stream &amp; Compound Data'!CZ198/$J143*(1-AR$127)*(1-AR$123)*$K143)</f>
        <v/>
      </c>
      <c r="AS143" s="1242" t="str">
        <f>IF(OR(AS$122="",$I143=""),"",'I. Stream &amp; Compound Data'!DC198/$J143*(1-AS$127)*(1-AS$123)*$K143)</f>
        <v/>
      </c>
      <c r="AT143" s="1242" t="str">
        <f>IF(OR(AT$122="",$I143=""),"",'I. Stream &amp; Compound Data'!DF198/$J143*(1-AT$127)*(1-AT$123)*$K143)</f>
        <v/>
      </c>
      <c r="AU143" s="1242" t="str">
        <f>IF(OR(AU$122="",$I143=""),"",'I. Stream &amp; Compound Data'!DI198/$J143*(1-AU$127)*(1-AU$123)*$K143)</f>
        <v/>
      </c>
      <c r="AV143" s="1242" t="str">
        <f>IF(OR(AV$122="",$I143=""),"",'I. Stream &amp; Compound Data'!DL198/$J143*(1-AV$127)*(1-AV$123)*$K143)</f>
        <v/>
      </c>
      <c r="AW143" s="1242" t="str">
        <f>IF(OR(AW$122="",$I143=""),"",'I. Stream &amp; Compound Data'!DO198/$J143*(1-AW$127)*(1-AW$123)*$K143)</f>
        <v/>
      </c>
      <c r="AX143" s="1242" t="str">
        <f>IF(OR(AX$122="",$I143=""),"",'I. Stream &amp; Compound Data'!DR198/$J143*(1-AX$127)*(1-AX$123)*$K143)</f>
        <v/>
      </c>
      <c r="AY143" s="1268" t="str">
        <f>IF(OR(AY$122="",$I143=""),"",'I. Stream &amp; Compound Data'!DU198/$J143*(1-AY$127)*(1-AY$123)*$K143)</f>
        <v/>
      </c>
      <c r="AZ143" s="279"/>
      <c r="BA143" s="279"/>
      <c r="BB143" s="279"/>
      <c r="BC143" s="279"/>
      <c r="BD143" s="279"/>
      <c r="BE143" s="279"/>
      <c r="BF143" s="279"/>
      <c r="BG143" s="279"/>
      <c r="BH143" s="279"/>
      <c r="BI143" s="279"/>
      <c r="BJ143" s="279"/>
      <c r="BK143" s="279"/>
      <c r="BL143" s="279"/>
      <c r="BM143" s="279"/>
      <c r="BN143" s="279"/>
      <c r="BO143" s="279"/>
      <c r="BP143" s="279"/>
      <c r="BQ143" s="279"/>
      <c r="BR143" s="279"/>
      <c r="BS143" s="279"/>
      <c r="BT143" s="279"/>
      <c r="BU143" s="279"/>
      <c r="BV143" s="279"/>
      <c r="BW143" s="279"/>
      <c r="BX143" s="279"/>
      <c r="BY143" s="279"/>
      <c r="BZ143" s="279"/>
      <c r="CA143" s="279"/>
      <c r="CB143" s="279"/>
      <c r="CC143" s="279"/>
      <c r="CD143" s="279"/>
      <c r="CE143" s="279"/>
      <c r="CF143" s="279"/>
      <c r="CG143" s="279"/>
      <c r="CH143" s="279"/>
      <c r="CI143" s="279"/>
      <c r="CJ143" s="279"/>
      <c r="CK143" s="279"/>
      <c r="CL143" s="279"/>
      <c r="CM143" s="279"/>
      <c r="CN143" s="382"/>
    </row>
    <row r="144" ht="15.6" x14ac:dyDescent="0.25">
      <c r="B144" s="361"/>
      <c r="C144" s="279"/>
      <c r="D144" s="280"/>
      <c r="E144" s="287"/>
      <c r="F144" s="287"/>
      <c r="G144" s="287"/>
      <c r="H144" s="1292">
        <f t="shared" si="18"/>
        <v>14</v>
      </c>
      <c r="I144" s="1320" t="str">
        <f>IF('I. Stream &amp; Compound Data'!G275&lt;&gt;"",'I. Stream &amp; Compound Data'!G275,"")</f>
        <v/>
      </c>
      <c r="J144" s="1190" t="str">
        <f>IF('I. Stream &amp; Compound Data'!BH275="","",'I. Stream &amp; Compound Data'!BH275)</f>
        <v/>
      </c>
      <c r="K144" s="1306" t="str">
        <f>IF('I. Stream &amp; Compound Data'!G275="","",IF(OR('I. Stream &amp; Compound Data'!U275=1,'I. Stream &amp; Compound Data'!V275=1,'I. Stream &amp; Compound Data'!AY275&lt;25),0,1))</f>
        <v/>
      </c>
      <c r="L144" s="1242" t="str">
        <f>IF(OR(I144="",L$122=""),"",'I. Stream &amp; Compound Data'!H199/$J144*(1-L$127)*(1-L$123)*$K144)</f>
        <v/>
      </c>
      <c r="M144" s="1242" t="str">
        <f>IF(OR(J144="",M$122=""),"",'I. Stream &amp; Compound Data'!K199/$J144*(1-M$127)*(1-M$123)*$K144)</f>
        <v/>
      </c>
      <c r="N144" s="1242" t="str">
        <f>IF(OR(K144="",N$122=""),"",'I. Stream &amp; Compound Data'!N199/$J144*(1-N$127)*(1-N$123)*$K144)</f>
        <v/>
      </c>
      <c r="O144" s="1242" t="str">
        <f>IF(OR(L144="",O$122=""),"",'I. Stream &amp; Compound Data'!Q199/$J144*(1-O$127)*(1-O$123)*$K144)</f>
        <v/>
      </c>
      <c r="P144" s="1242" t="str">
        <f>IF(OR(M144="",P$122=""),"",'I. Stream &amp; Compound Data'!T199/$J144*(1-P$127)*(1-P$123)*$K144)</f>
        <v/>
      </c>
      <c r="Q144" s="1242" t="str">
        <f>IF(OR(N144="",Q$122=""),"",'I. Stream &amp; Compound Data'!W199/$J144*(1-Q$127)*(1-Q$123)*$K144)</f>
        <v/>
      </c>
      <c r="R144" s="1242" t="str">
        <f>IF(OR(O144="",R$122=""),"",'I. Stream &amp; Compound Data'!Z199/$J144*(1-R$127)*(1-R$123)*$K144)</f>
        <v/>
      </c>
      <c r="S144" s="1242" t="str">
        <f>IF(OR(P144="",S$122=""),"",'I. Stream &amp; Compound Data'!AC199/$J144*(1-S$127)*(1-S$123)*$K144)</f>
        <v/>
      </c>
      <c r="T144" s="1242" t="str">
        <f>IF(OR(Q144="",T$122=""),"",'I. Stream &amp; Compound Data'!AF199/$J144*(1-T$127)*(1-T$123)*$K144)</f>
        <v/>
      </c>
      <c r="U144" s="1242" t="str">
        <f>IF(OR(R144="",U$122=""),"",'I. Stream &amp; Compound Data'!AI199/$J144*(1-U$127)*(1-U$123)*$K144)</f>
        <v/>
      </c>
      <c r="V144" s="1242" t="str">
        <f>IF(OR(V$122="",$I144=""),"",'I. Stream &amp; Compound Data'!AL199/$J144*(1-V$127)*(1-V$123)*$K144)</f>
        <v/>
      </c>
      <c r="W144" s="1242" t="str">
        <f>IF(OR(W$122="",$I144=""),"",'I. Stream &amp; Compound Data'!AO199/$J144*(1-W$127)*(1-W$123)*$K144)</f>
        <v/>
      </c>
      <c r="X144" s="1242" t="str">
        <f>IF(OR(X$122="",$I144=""),"",'I. Stream &amp; Compound Data'!AR199/$J144*(1-X$127)*(1-X$123)*$K144)</f>
        <v/>
      </c>
      <c r="Y144" s="1242" t="str">
        <f>IF(OR(Y$122="",$I144=""),"",'I. Stream &amp; Compound Data'!AU199/$J144*(1-Y$127)*(1-Y$123)*$K144)</f>
        <v/>
      </c>
      <c r="Z144" s="1242" t="str">
        <f>IF(OR(Z$122="",$I144=""),"",'I. Stream &amp; Compound Data'!AX199/$J144*(1-Z$127)*(1-Z$123)*$K144)</f>
        <v/>
      </c>
      <c r="AA144" s="1242" t="str">
        <f>IF(OR(AA$122="",$I144=""),"",'I. Stream &amp; Compound Data'!BA199/$J144*(1-AA$127)*(1-AA$123)*$K144)</f>
        <v/>
      </c>
      <c r="AB144" s="1242" t="str">
        <f>IF(OR(AB$122="",$I144=""),"",'I. Stream &amp; Compound Data'!BD199/$J144*(1-AB$127)*(1-AB$123)*$K144)</f>
        <v/>
      </c>
      <c r="AC144" s="1242" t="str">
        <f>IF(OR(AC$122="",$I144=""),"",'I. Stream &amp; Compound Data'!BG199/$J144*(1-AC$127)*(1-AC$123)*$K144)</f>
        <v/>
      </c>
      <c r="AD144" s="1242" t="str">
        <f>IF(OR(AD$122="",$I144=""),"",'I. Stream &amp; Compound Data'!BJ199/$J144*(1-AD$127)*(1-AD$123)*$K144)</f>
        <v/>
      </c>
      <c r="AE144" s="1242" t="str">
        <f>IF(OR(AE$122="",$I144=""),"",'I. Stream &amp; Compound Data'!BM199/$J144*(1-AE$127)*(1-AE$123)*$K144)</f>
        <v/>
      </c>
      <c r="AF144" s="1242" t="str">
        <f>IF(OR(AF$122="",$I144=""),"",'I. Stream &amp; Compound Data'!BP199/$J144*(1-AF$127)*(1-AF$123)*$K144)</f>
        <v/>
      </c>
      <c r="AG144" s="1242" t="str">
        <f>IF(OR(AG$122="",$I144=""),"",'I. Stream &amp; Compound Data'!BS199/$J144*(1-AG$127)*(1-AG$123)*$K144)</f>
        <v/>
      </c>
      <c r="AH144" s="1242" t="str">
        <f>IF(OR(AH$122="",$I144=""),"",'I. Stream &amp; Compound Data'!BV199/$J144*(1-AH$127)*(1-AH$123)*$K144)</f>
        <v/>
      </c>
      <c r="AI144" s="1242" t="str">
        <f>IF(OR(AI$122="",$I144=""),"",'I. Stream &amp; Compound Data'!BY199/$J144*(1-AI$127)*(1-AI$123)*$K144)</f>
        <v/>
      </c>
      <c r="AJ144" s="1242" t="str">
        <f>IF(OR(AJ$122="",$I144=""),"",'I. Stream &amp; Compound Data'!CB199/$J144*(1-AJ$127)*(1-AJ$123)*$K144)</f>
        <v/>
      </c>
      <c r="AK144" s="1242" t="str">
        <f>IF(OR(AK$122="",$I144=""),"",'I. Stream &amp; Compound Data'!CE199/$J144*(1-AK$127)*(1-AK$123)*$K144)</f>
        <v/>
      </c>
      <c r="AL144" s="1242" t="str">
        <f>IF(OR(AL$122="",$I144=""),"",'I. Stream &amp; Compound Data'!CH199/$J144*(1-AL$127)*(1-AL$123)*$K144)</f>
        <v/>
      </c>
      <c r="AM144" s="1242" t="str">
        <f>IF(OR(AM$122="",$I144=""),"",'I. Stream &amp; Compound Data'!CK199/$J144*(1-AM$127)*(1-AM$123)*$K144)</f>
        <v/>
      </c>
      <c r="AN144" s="1242" t="str">
        <f>IF(OR(AN$122="",$I144=""),"",'I. Stream &amp; Compound Data'!CN199/$J144*(1-AN$127)*(1-AN$123)*$K144)</f>
        <v/>
      </c>
      <c r="AO144" s="1242" t="str">
        <f>IF(OR(AO$122="",$I144=""),"",'I. Stream &amp; Compound Data'!CQ199/$J144*(1-AO$127)*(1-AO$123)*$K144)</f>
        <v/>
      </c>
      <c r="AP144" s="1242" t="str">
        <f>IF(OR(AP$122="",$I144=""),"",'I. Stream &amp; Compound Data'!CT199/$J144*(1-AP$127)*(1-AP$123)*$K144)</f>
        <v/>
      </c>
      <c r="AQ144" s="1242" t="str">
        <f>IF(OR(AQ$122="",$I144=""),"",'I. Stream &amp; Compound Data'!CW199/$J144*(1-AQ$127)*(1-AQ$123)*$K144)</f>
        <v/>
      </c>
      <c r="AR144" s="1242" t="str">
        <f>IF(OR(AR$122="",$I144=""),"",'I. Stream &amp; Compound Data'!CZ199/$J144*(1-AR$127)*(1-AR$123)*$K144)</f>
        <v/>
      </c>
      <c r="AS144" s="1242" t="str">
        <f>IF(OR(AS$122="",$I144=""),"",'I. Stream &amp; Compound Data'!DC199/$J144*(1-AS$127)*(1-AS$123)*$K144)</f>
        <v/>
      </c>
      <c r="AT144" s="1242" t="str">
        <f>IF(OR(AT$122="",$I144=""),"",'I. Stream &amp; Compound Data'!DF199/$J144*(1-AT$127)*(1-AT$123)*$K144)</f>
        <v/>
      </c>
      <c r="AU144" s="1242" t="str">
        <f>IF(OR(AU$122="",$I144=""),"",'I. Stream &amp; Compound Data'!DI199/$J144*(1-AU$127)*(1-AU$123)*$K144)</f>
        <v/>
      </c>
      <c r="AV144" s="1242" t="str">
        <f>IF(OR(AV$122="",$I144=""),"",'I. Stream &amp; Compound Data'!DL199/$J144*(1-AV$127)*(1-AV$123)*$K144)</f>
        <v/>
      </c>
      <c r="AW144" s="1242" t="str">
        <f>IF(OR(AW$122="",$I144=""),"",'I. Stream &amp; Compound Data'!DO199/$J144*(1-AW$127)*(1-AW$123)*$K144)</f>
        <v/>
      </c>
      <c r="AX144" s="1242" t="str">
        <f>IF(OR(AX$122="",$I144=""),"",'I. Stream &amp; Compound Data'!DR199/$J144*(1-AX$127)*(1-AX$123)*$K144)</f>
        <v/>
      </c>
      <c r="AY144" s="1268" t="str">
        <f>IF(OR(AY$122="",$I144=""),"",'I. Stream &amp; Compound Data'!DU199/$J144*(1-AY$127)*(1-AY$123)*$K144)</f>
        <v/>
      </c>
      <c r="AZ144" s="279"/>
      <c r="BA144" s="279"/>
      <c r="BB144" s="279"/>
      <c r="BC144" s="279"/>
      <c r="BD144" s="279"/>
      <c r="BE144" s="279"/>
      <c r="BF144" s="279"/>
      <c r="BG144" s="279"/>
      <c r="BH144" s="279"/>
      <c r="BI144" s="279"/>
      <c r="BJ144" s="279"/>
      <c r="BK144" s="279"/>
      <c r="BL144" s="279"/>
      <c r="BM144" s="279"/>
      <c r="BN144" s="279"/>
      <c r="BO144" s="279"/>
      <c r="BP144" s="279"/>
      <c r="BQ144" s="279"/>
      <c r="BR144" s="279"/>
      <c r="BS144" s="279"/>
      <c r="BT144" s="279"/>
      <c r="BU144" s="279"/>
      <c r="BV144" s="279"/>
      <c r="BW144" s="279"/>
      <c r="BX144" s="279"/>
      <c r="BY144" s="279"/>
      <c r="BZ144" s="279"/>
      <c r="CA144" s="279"/>
      <c r="CB144" s="279"/>
      <c r="CC144" s="279"/>
      <c r="CD144" s="279"/>
      <c r="CE144" s="279"/>
      <c r="CF144" s="279"/>
      <c r="CG144" s="279"/>
      <c r="CH144" s="279"/>
      <c r="CI144" s="279"/>
      <c r="CJ144" s="279"/>
      <c r="CK144" s="279"/>
      <c r="CL144" s="279"/>
      <c r="CM144" s="279"/>
      <c r="CN144" s="382"/>
    </row>
    <row r="145" ht="15.6" x14ac:dyDescent="0.25">
      <c r="B145" s="361"/>
      <c r="C145" s="279"/>
      <c r="D145" s="280"/>
      <c r="E145" s="287"/>
      <c r="F145" s="287"/>
      <c r="G145" s="287"/>
      <c r="H145" s="1292">
        <f t="shared" si="18"/>
        <v>15</v>
      </c>
      <c r="I145" s="1320" t="str">
        <f>IF('I. Stream &amp; Compound Data'!G276&lt;&gt;"",'I. Stream &amp; Compound Data'!G276,"")</f>
        <v/>
      </c>
      <c r="J145" s="1190" t="str">
        <f>IF('I. Stream &amp; Compound Data'!BH276="","",'I. Stream &amp; Compound Data'!BH276)</f>
        <v/>
      </c>
      <c r="K145" s="1306" t="str">
        <f>IF('I. Stream &amp; Compound Data'!G276="","",IF(OR('I. Stream &amp; Compound Data'!U276=1,'I. Stream &amp; Compound Data'!V276=1,'I. Stream &amp; Compound Data'!AY276&lt;25),0,1))</f>
        <v/>
      </c>
      <c r="L145" s="1242" t="str">
        <f>IF(OR(I145="",L$122=""),"",'I. Stream &amp; Compound Data'!H200/$J145*(1-L$127)*(1-L$123)*$K145)</f>
        <v/>
      </c>
      <c r="M145" s="1242" t="str">
        <f>IF(OR(J145="",M$122=""),"",'I. Stream &amp; Compound Data'!K200/$J145*(1-M$127)*(1-M$123)*$K145)</f>
        <v/>
      </c>
      <c r="N145" s="1242" t="str">
        <f>IF(OR(K145="",N$122=""),"",'I. Stream &amp; Compound Data'!N200/$J145*(1-N$127)*(1-N$123)*$K145)</f>
        <v/>
      </c>
      <c r="O145" s="1242" t="str">
        <f>IF(OR(L145="",O$122=""),"",'I. Stream &amp; Compound Data'!Q200/$J145*(1-O$127)*(1-O$123)*$K145)</f>
        <v/>
      </c>
      <c r="P145" s="1242" t="str">
        <f>IF(OR(M145="",P$122=""),"",'I. Stream &amp; Compound Data'!T200/$J145*(1-P$127)*(1-P$123)*$K145)</f>
        <v/>
      </c>
      <c r="Q145" s="1242" t="str">
        <f>IF(OR(N145="",Q$122=""),"",'I. Stream &amp; Compound Data'!W200/$J145*(1-Q$127)*(1-Q$123)*$K145)</f>
        <v/>
      </c>
      <c r="R145" s="1242" t="str">
        <f>IF(OR(O145="",R$122=""),"",'I. Stream &amp; Compound Data'!Z200/$J145*(1-R$127)*(1-R$123)*$K145)</f>
        <v/>
      </c>
      <c r="S145" s="1242" t="str">
        <f>IF(OR(P145="",S$122=""),"",'I. Stream &amp; Compound Data'!AC200/$J145*(1-S$127)*(1-S$123)*$K145)</f>
        <v/>
      </c>
      <c r="T145" s="1242" t="str">
        <f>IF(OR(Q145="",T$122=""),"",'I. Stream &amp; Compound Data'!AF200/$J145*(1-T$127)*(1-T$123)*$K145)</f>
        <v/>
      </c>
      <c r="U145" s="1242" t="str">
        <f>IF(OR(R145="",U$122=""),"",'I. Stream &amp; Compound Data'!AI200/$J145*(1-U$127)*(1-U$123)*$K145)</f>
        <v/>
      </c>
      <c r="V145" s="1242" t="str">
        <f>IF(OR(V$122="",$I145=""),"",'I. Stream &amp; Compound Data'!AL200/$J145*(1-V$127)*(1-V$123)*$K145)</f>
        <v/>
      </c>
      <c r="W145" s="1242" t="str">
        <f>IF(OR(W$122="",$I145=""),"",'I. Stream &amp; Compound Data'!AO200/$J145*(1-W$127)*(1-W$123)*$K145)</f>
        <v/>
      </c>
      <c r="X145" s="1242" t="str">
        <f>IF(OR(X$122="",$I145=""),"",'I. Stream &amp; Compound Data'!AR200/$J145*(1-X$127)*(1-X$123)*$K145)</f>
        <v/>
      </c>
      <c r="Y145" s="1242" t="str">
        <f>IF(OR(Y$122="",$I145=""),"",'I. Stream &amp; Compound Data'!AU200/$J145*(1-Y$127)*(1-Y$123)*$K145)</f>
        <v/>
      </c>
      <c r="Z145" s="1242" t="str">
        <f>IF(OR(Z$122="",$I145=""),"",'I. Stream &amp; Compound Data'!AX200/$J145*(1-Z$127)*(1-Z$123)*$K145)</f>
        <v/>
      </c>
      <c r="AA145" s="1242" t="str">
        <f>IF(OR(AA$122="",$I145=""),"",'I. Stream &amp; Compound Data'!BA200/$J145*(1-AA$127)*(1-AA$123)*$K145)</f>
        <v/>
      </c>
      <c r="AB145" s="1242" t="str">
        <f>IF(OR(AB$122="",$I145=""),"",'I. Stream &amp; Compound Data'!BD200/$J145*(1-AB$127)*(1-AB$123)*$K145)</f>
        <v/>
      </c>
      <c r="AC145" s="1242" t="str">
        <f>IF(OR(AC$122="",$I145=""),"",'I. Stream &amp; Compound Data'!BG200/$J145*(1-AC$127)*(1-AC$123)*$K145)</f>
        <v/>
      </c>
      <c r="AD145" s="1242" t="str">
        <f>IF(OR(AD$122="",$I145=""),"",'I. Stream &amp; Compound Data'!BJ200/$J145*(1-AD$127)*(1-AD$123)*$K145)</f>
        <v/>
      </c>
      <c r="AE145" s="1242" t="str">
        <f>IF(OR(AE$122="",$I145=""),"",'I. Stream &amp; Compound Data'!BM200/$J145*(1-AE$127)*(1-AE$123)*$K145)</f>
        <v/>
      </c>
      <c r="AF145" s="1242" t="str">
        <f>IF(OR(AF$122="",$I145=""),"",'I. Stream &amp; Compound Data'!BP200/$J145*(1-AF$127)*(1-AF$123)*$K145)</f>
        <v/>
      </c>
      <c r="AG145" s="1242" t="str">
        <f>IF(OR(AG$122="",$I145=""),"",'I. Stream &amp; Compound Data'!BS200/$J145*(1-AG$127)*(1-AG$123)*$K145)</f>
        <v/>
      </c>
      <c r="AH145" s="1242" t="str">
        <f>IF(OR(AH$122="",$I145=""),"",'I. Stream &amp; Compound Data'!BV200/$J145*(1-AH$127)*(1-AH$123)*$K145)</f>
        <v/>
      </c>
      <c r="AI145" s="1242" t="str">
        <f>IF(OR(AI$122="",$I145=""),"",'I. Stream &amp; Compound Data'!BY200/$J145*(1-AI$127)*(1-AI$123)*$K145)</f>
        <v/>
      </c>
      <c r="AJ145" s="1242" t="str">
        <f>IF(OR(AJ$122="",$I145=""),"",'I. Stream &amp; Compound Data'!CB200/$J145*(1-AJ$127)*(1-AJ$123)*$K145)</f>
        <v/>
      </c>
      <c r="AK145" s="1242" t="str">
        <f>IF(OR(AK$122="",$I145=""),"",'I. Stream &amp; Compound Data'!CE200/$J145*(1-AK$127)*(1-AK$123)*$K145)</f>
        <v/>
      </c>
      <c r="AL145" s="1242" t="str">
        <f>IF(OR(AL$122="",$I145=""),"",'I. Stream &amp; Compound Data'!CH200/$J145*(1-AL$127)*(1-AL$123)*$K145)</f>
        <v/>
      </c>
      <c r="AM145" s="1242" t="str">
        <f>IF(OR(AM$122="",$I145=""),"",'I. Stream &amp; Compound Data'!CK200/$J145*(1-AM$127)*(1-AM$123)*$K145)</f>
        <v/>
      </c>
      <c r="AN145" s="1242" t="str">
        <f>IF(OR(AN$122="",$I145=""),"",'I. Stream &amp; Compound Data'!CN200/$J145*(1-AN$127)*(1-AN$123)*$K145)</f>
        <v/>
      </c>
      <c r="AO145" s="1242" t="str">
        <f>IF(OR(AO$122="",$I145=""),"",'I. Stream &amp; Compound Data'!CQ200/$J145*(1-AO$127)*(1-AO$123)*$K145)</f>
        <v/>
      </c>
      <c r="AP145" s="1242" t="str">
        <f>IF(OR(AP$122="",$I145=""),"",'I. Stream &amp; Compound Data'!CT200/$J145*(1-AP$127)*(1-AP$123)*$K145)</f>
        <v/>
      </c>
      <c r="AQ145" s="1242" t="str">
        <f>IF(OR(AQ$122="",$I145=""),"",'I. Stream &amp; Compound Data'!CW200/$J145*(1-AQ$127)*(1-AQ$123)*$K145)</f>
        <v/>
      </c>
      <c r="AR145" s="1242" t="str">
        <f>IF(OR(AR$122="",$I145=""),"",'I. Stream &amp; Compound Data'!CZ200/$J145*(1-AR$127)*(1-AR$123)*$K145)</f>
        <v/>
      </c>
      <c r="AS145" s="1242" t="str">
        <f>IF(OR(AS$122="",$I145=""),"",'I. Stream &amp; Compound Data'!DC200/$J145*(1-AS$127)*(1-AS$123)*$K145)</f>
        <v/>
      </c>
      <c r="AT145" s="1242" t="str">
        <f>IF(OR(AT$122="",$I145=""),"",'I. Stream &amp; Compound Data'!DF200/$J145*(1-AT$127)*(1-AT$123)*$K145)</f>
        <v/>
      </c>
      <c r="AU145" s="1242" t="str">
        <f>IF(OR(AU$122="",$I145=""),"",'I. Stream &amp; Compound Data'!DI200/$J145*(1-AU$127)*(1-AU$123)*$K145)</f>
        <v/>
      </c>
      <c r="AV145" s="1242" t="str">
        <f>IF(OR(AV$122="",$I145=""),"",'I. Stream &amp; Compound Data'!DL200/$J145*(1-AV$127)*(1-AV$123)*$K145)</f>
        <v/>
      </c>
      <c r="AW145" s="1242" t="str">
        <f>IF(OR(AW$122="",$I145=""),"",'I. Stream &amp; Compound Data'!DO200/$J145*(1-AW$127)*(1-AW$123)*$K145)</f>
        <v/>
      </c>
      <c r="AX145" s="1242" t="str">
        <f>IF(OR(AX$122="",$I145=""),"",'I. Stream &amp; Compound Data'!DR200/$J145*(1-AX$127)*(1-AX$123)*$K145)</f>
        <v/>
      </c>
      <c r="AY145" s="1268" t="str">
        <f>IF(OR(AY$122="",$I145=""),"",'I. Stream &amp; Compound Data'!DU200/$J145*(1-AY$127)*(1-AY$123)*$K145)</f>
        <v/>
      </c>
      <c r="AZ145" s="279"/>
      <c r="BA145" s="279"/>
      <c r="BB145" s="279"/>
      <c r="BC145" s="279"/>
      <c r="BD145" s="279"/>
      <c r="BE145" s="279"/>
      <c r="BF145" s="279"/>
      <c r="BG145" s="279"/>
      <c r="BH145" s="279"/>
      <c r="BI145" s="279"/>
      <c r="BJ145" s="279"/>
      <c r="BK145" s="279"/>
      <c r="BL145" s="279"/>
      <c r="BM145" s="279"/>
      <c r="BN145" s="279"/>
      <c r="BO145" s="279"/>
      <c r="BP145" s="279"/>
      <c r="BQ145" s="279"/>
      <c r="BR145" s="279"/>
      <c r="BS145" s="279"/>
      <c r="BT145" s="279"/>
      <c r="BU145" s="279"/>
      <c r="BV145" s="279"/>
      <c r="BW145" s="279"/>
      <c r="BX145" s="279"/>
      <c r="BY145" s="279"/>
      <c r="BZ145" s="279"/>
      <c r="CA145" s="279"/>
      <c r="CB145" s="279"/>
      <c r="CC145" s="279"/>
      <c r="CD145" s="279"/>
      <c r="CE145" s="279"/>
      <c r="CF145" s="279"/>
      <c r="CG145" s="279"/>
      <c r="CH145" s="279"/>
      <c r="CI145" s="279"/>
      <c r="CJ145" s="279"/>
      <c r="CK145" s="279"/>
      <c r="CL145" s="279"/>
      <c r="CM145" s="279"/>
      <c r="CN145" s="382"/>
    </row>
    <row r="146" ht="15.6" x14ac:dyDescent="0.25">
      <c r="B146" s="361"/>
      <c r="C146" s="279"/>
      <c r="D146" s="280"/>
      <c r="E146" s="287"/>
      <c r="F146" s="287"/>
      <c r="G146" s="287"/>
      <c r="H146" s="1292">
        <f t="shared" si="18"/>
        <v>16</v>
      </c>
      <c r="I146" s="1320" t="str">
        <f>IF('I. Stream &amp; Compound Data'!G277&lt;&gt;"",'I. Stream &amp; Compound Data'!G277,"")</f>
        <v/>
      </c>
      <c r="J146" s="1190" t="str">
        <f>IF('I. Stream &amp; Compound Data'!BH277="","",'I. Stream &amp; Compound Data'!BH277)</f>
        <v/>
      </c>
      <c r="K146" s="1306" t="str">
        <f>IF('I. Stream &amp; Compound Data'!G277="","",IF(OR('I. Stream &amp; Compound Data'!U277=1,'I. Stream &amp; Compound Data'!V277=1,'I. Stream &amp; Compound Data'!AY277&lt;25),0,1))</f>
        <v/>
      </c>
      <c r="L146" s="1242" t="str">
        <f>IF(OR(I146="",L$122=""),"",'I. Stream &amp; Compound Data'!H201/$J146*(1-L$127)*(1-L$123)*$K146)</f>
        <v/>
      </c>
      <c r="M146" s="1242" t="str">
        <f>IF(OR(J146="",M$122=""),"",'I. Stream &amp; Compound Data'!K201/$J146*(1-M$127)*(1-M$123)*$K146)</f>
        <v/>
      </c>
      <c r="N146" s="1242" t="str">
        <f>IF(OR(K146="",N$122=""),"",'I. Stream &amp; Compound Data'!N201/$J146*(1-N$127)*(1-N$123)*$K146)</f>
        <v/>
      </c>
      <c r="O146" s="1242" t="str">
        <f>IF(OR(L146="",O$122=""),"",'I. Stream &amp; Compound Data'!Q201/$J146*(1-O$127)*(1-O$123)*$K146)</f>
        <v/>
      </c>
      <c r="P146" s="1242" t="str">
        <f>IF(OR(M146="",P$122=""),"",'I. Stream &amp; Compound Data'!T201/$J146*(1-P$127)*(1-P$123)*$K146)</f>
        <v/>
      </c>
      <c r="Q146" s="1242" t="str">
        <f>IF(OR(N146="",Q$122=""),"",'I. Stream &amp; Compound Data'!W201/$J146*(1-Q$127)*(1-Q$123)*$K146)</f>
        <v/>
      </c>
      <c r="R146" s="1242" t="str">
        <f>IF(OR(O146="",R$122=""),"",'I. Stream &amp; Compound Data'!Z201/$J146*(1-R$127)*(1-R$123)*$K146)</f>
        <v/>
      </c>
      <c r="S146" s="1242" t="str">
        <f>IF(OR(P146="",S$122=""),"",'I. Stream &amp; Compound Data'!AC201/$J146*(1-S$127)*(1-S$123)*$K146)</f>
        <v/>
      </c>
      <c r="T146" s="1242" t="str">
        <f>IF(OR(Q146="",T$122=""),"",'I. Stream &amp; Compound Data'!AF201/$J146*(1-T$127)*(1-T$123)*$K146)</f>
        <v/>
      </c>
      <c r="U146" s="1242" t="str">
        <f>IF(OR(R146="",U$122=""),"",'I. Stream &amp; Compound Data'!AI201/$J146*(1-U$127)*(1-U$123)*$K146)</f>
        <v/>
      </c>
      <c r="V146" s="1242" t="str">
        <f>IF(OR(V$122="",$I146=""),"",'I. Stream &amp; Compound Data'!AL201/$J146*(1-V$127)*(1-V$123)*$K146)</f>
        <v/>
      </c>
      <c r="W146" s="1242" t="str">
        <f>IF(OR(W$122="",$I146=""),"",'I. Stream &amp; Compound Data'!AO201/$J146*(1-W$127)*(1-W$123)*$K146)</f>
        <v/>
      </c>
      <c r="X146" s="1242" t="str">
        <f>IF(OR(X$122="",$I146=""),"",'I. Stream &amp; Compound Data'!AR201/$J146*(1-X$127)*(1-X$123)*$K146)</f>
        <v/>
      </c>
      <c r="Y146" s="1242" t="str">
        <f>IF(OR(Y$122="",$I146=""),"",'I. Stream &amp; Compound Data'!AU201/$J146*(1-Y$127)*(1-Y$123)*$K146)</f>
        <v/>
      </c>
      <c r="Z146" s="1242" t="str">
        <f>IF(OR(Z$122="",$I146=""),"",'I. Stream &amp; Compound Data'!AX201/$J146*(1-Z$127)*(1-Z$123)*$K146)</f>
        <v/>
      </c>
      <c r="AA146" s="1242" t="str">
        <f>IF(OR(AA$122="",$I146=""),"",'I. Stream &amp; Compound Data'!BA201/$J146*(1-AA$127)*(1-AA$123)*$K146)</f>
        <v/>
      </c>
      <c r="AB146" s="1242" t="str">
        <f>IF(OR(AB$122="",$I146=""),"",'I. Stream &amp; Compound Data'!BD201/$J146*(1-AB$127)*(1-AB$123)*$K146)</f>
        <v/>
      </c>
      <c r="AC146" s="1242" t="str">
        <f>IF(OR(AC$122="",$I146=""),"",'I. Stream &amp; Compound Data'!BG201/$J146*(1-AC$127)*(1-AC$123)*$K146)</f>
        <v/>
      </c>
      <c r="AD146" s="1242" t="str">
        <f>IF(OR(AD$122="",$I146=""),"",'I. Stream &amp; Compound Data'!BJ201/$J146*(1-AD$127)*(1-AD$123)*$K146)</f>
        <v/>
      </c>
      <c r="AE146" s="1242" t="str">
        <f>IF(OR(AE$122="",$I146=""),"",'I. Stream &amp; Compound Data'!BM201/$J146*(1-AE$127)*(1-AE$123)*$K146)</f>
        <v/>
      </c>
      <c r="AF146" s="1242" t="str">
        <f>IF(OR(AF$122="",$I146=""),"",'I. Stream &amp; Compound Data'!BP201/$J146*(1-AF$127)*(1-AF$123)*$K146)</f>
        <v/>
      </c>
      <c r="AG146" s="1242" t="str">
        <f>IF(OR(AG$122="",$I146=""),"",'I. Stream &amp; Compound Data'!BS201/$J146*(1-AG$127)*(1-AG$123)*$K146)</f>
        <v/>
      </c>
      <c r="AH146" s="1242" t="str">
        <f>IF(OR(AH$122="",$I146=""),"",'I. Stream &amp; Compound Data'!BV201/$J146*(1-AH$127)*(1-AH$123)*$K146)</f>
        <v/>
      </c>
      <c r="AI146" s="1242" t="str">
        <f>IF(OR(AI$122="",$I146=""),"",'I. Stream &amp; Compound Data'!BY201/$J146*(1-AI$127)*(1-AI$123)*$K146)</f>
        <v/>
      </c>
      <c r="AJ146" s="1242" t="str">
        <f>IF(OR(AJ$122="",$I146=""),"",'I. Stream &amp; Compound Data'!CB201/$J146*(1-AJ$127)*(1-AJ$123)*$K146)</f>
        <v/>
      </c>
      <c r="AK146" s="1242" t="str">
        <f>IF(OR(AK$122="",$I146=""),"",'I. Stream &amp; Compound Data'!CE201/$J146*(1-AK$127)*(1-AK$123)*$K146)</f>
        <v/>
      </c>
      <c r="AL146" s="1242" t="str">
        <f>IF(OR(AL$122="",$I146=""),"",'I. Stream &amp; Compound Data'!CH201/$J146*(1-AL$127)*(1-AL$123)*$K146)</f>
        <v/>
      </c>
      <c r="AM146" s="1242" t="str">
        <f>IF(OR(AM$122="",$I146=""),"",'I. Stream &amp; Compound Data'!CK201/$J146*(1-AM$127)*(1-AM$123)*$K146)</f>
        <v/>
      </c>
      <c r="AN146" s="1242" t="str">
        <f>IF(OR(AN$122="",$I146=""),"",'I. Stream &amp; Compound Data'!CN201/$J146*(1-AN$127)*(1-AN$123)*$K146)</f>
        <v/>
      </c>
      <c r="AO146" s="1242" t="str">
        <f>IF(OR(AO$122="",$I146=""),"",'I. Stream &amp; Compound Data'!CQ201/$J146*(1-AO$127)*(1-AO$123)*$K146)</f>
        <v/>
      </c>
      <c r="AP146" s="1242" t="str">
        <f>IF(OR(AP$122="",$I146=""),"",'I. Stream &amp; Compound Data'!CT201/$J146*(1-AP$127)*(1-AP$123)*$K146)</f>
        <v/>
      </c>
      <c r="AQ146" s="1242" t="str">
        <f>IF(OR(AQ$122="",$I146=""),"",'I. Stream &amp; Compound Data'!CW201/$J146*(1-AQ$127)*(1-AQ$123)*$K146)</f>
        <v/>
      </c>
      <c r="AR146" s="1242" t="str">
        <f>IF(OR(AR$122="",$I146=""),"",'I. Stream &amp; Compound Data'!CZ201/$J146*(1-AR$127)*(1-AR$123)*$K146)</f>
        <v/>
      </c>
      <c r="AS146" s="1242" t="str">
        <f>IF(OR(AS$122="",$I146=""),"",'I. Stream &amp; Compound Data'!DC201/$J146*(1-AS$127)*(1-AS$123)*$K146)</f>
        <v/>
      </c>
      <c r="AT146" s="1242" t="str">
        <f>IF(OR(AT$122="",$I146=""),"",'I. Stream &amp; Compound Data'!DF201/$J146*(1-AT$127)*(1-AT$123)*$K146)</f>
        <v/>
      </c>
      <c r="AU146" s="1242" t="str">
        <f>IF(OR(AU$122="",$I146=""),"",'I. Stream &amp; Compound Data'!DI201/$J146*(1-AU$127)*(1-AU$123)*$K146)</f>
        <v/>
      </c>
      <c r="AV146" s="1242" t="str">
        <f>IF(OR(AV$122="",$I146=""),"",'I. Stream &amp; Compound Data'!DL201/$J146*(1-AV$127)*(1-AV$123)*$K146)</f>
        <v/>
      </c>
      <c r="AW146" s="1242" t="str">
        <f>IF(OR(AW$122="",$I146=""),"",'I. Stream &amp; Compound Data'!DO201/$J146*(1-AW$127)*(1-AW$123)*$K146)</f>
        <v/>
      </c>
      <c r="AX146" s="1242" t="str">
        <f>IF(OR(AX$122="",$I146=""),"",'I. Stream &amp; Compound Data'!DR201/$J146*(1-AX$127)*(1-AX$123)*$K146)</f>
        <v/>
      </c>
      <c r="AY146" s="1268" t="str">
        <f>IF(OR(AY$122="",$I146=""),"",'I. Stream &amp; Compound Data'!DU201/$J146*(1-AY$127)*(1-AY$123)*$K146)</f>
        <v/>
      </c>
      <c r="AZ146" s="279"/>
      <c r="BA146" s="279"/>
      <c r="BB146" s="279"/>
      <c r="BC146" s="279"/>
      <c r="BD146" s="279"/>
      <c r="BE146" s="279"/>
      <c r="BF146" s="279"/>
      <c r="BG146" s="279"/>
      <c r="BH146" s="279"/>
      <c r="BI146" s="279"/>
      <c r="BJ146" s="279"/>
      <c r="BK146" s="279"/>
      <c r="BL146" s="279"/>
      <c r="BM146" s="279"/>
      <c r="BN146" s="279"/>
      <c r="BO146" s="279"/>
      <c r="BP146" s="279"/>
      <c r="BQ146" s="279"/>
      <c r="BR146" s="279"/>
      <c r="BS146" s="279"/>
      <c r="BT146" s="279"/>
      <c r="BU146" s="279"/>
      <c r="BV146" s="279"/>
      <c r="BW146" s="279"/>
      <c r="BX146" s="279"/>
      <c r="BY146" s="279"/>
      <c r="BZ146" s="279"/>
      <c r="CA146" s="279"/>
      <c r="CB146" s="279"/>
      <c r="CC146" s="279"/>
      <c r="CD146" s="279"/>
      <c r="CE146" s="279"/>
      <c r="CF146" s="279"/>
      <c r="CG146" s="279"/>
      <c r="CH146" s="279"/>
      <c r="CI146" s="279"/>
      <c r="CJ146" s="279"/>
      <c r="CK146" s="279"/>
      <c r="CL146" s="279"/>
      <c r="CM146" s="279"/>
      <c r="CN146" s="382"/>
    </row>
    <row r="147" ht="15.6" x14ac:dyDescent="0.25">
      <c r="B147" s="361"/>
      <c r="C147" s="279"/>
      <c r="D147" s="280"/>
      <c r="E147" s="287"/>
      <c r="F147" s="287"/>
      <c r="G147" s="287"/>
      <c r="H147" s="1292">
        <f t="shared" si="18"/>
        <v>17</v>
      </c>
      <c r="I147" s="1320" t="str">
        <f>IF('I. Stream &amp; Compound Data'!G278&lt;&gt;"",'I. Stream &amp; Compound Data'!G278,"")</f>
        <v/>
      </c>
      <c r="J147" s="1190" t="str">
        <f>IF('I. Stream &amp; Compound Data'!BH278="","",'I. Stream &amp; Compound Data'!BH278)</f>
        <v/>
      </c>
      <c r="K147" s="1306" t="str">
        <f>IF('I. Stream &amp; Compound Data'!G278="","",IF(OR('I. Stream &amp; Compound Data'!U278=1,'I. Stream &amp; Compound Data'!V278=1,'I. Stream &amp; Compound Data'!AY278&lt;25),0,1))</f>
        <v/>
      </c>
      <c r="L147" s="1242" t="str">
        <f>IF(OR(I147="",L$122=""),"",'I. Stream &amp; Compound Data'!H202/$J147*(1-L$127)*(1-L$123)*$K147)</f>
        <v/>
      </c>
      <c r="M147" s="1242" t="str">
        <f>IF(OR(J147="",M$122=""),"",'I. Stream &amp; Compound Data'!K202/$J147*(1-M$127)*(1-M$123)*$K147)</f>
        <v/>
      </c>
      <c r="N147" s="1242" t="str">
        <f>IF(OR(K147="",N$122=""),"",'I. Stream &amp; Compound Data'!N202/$J147*(1-N$127)*(1-N$123)*$K147)</f>
        <v/>
      </c>
      <c r="O147" s="1242" t="str">
        <f>IF(OR(L147="",O$122=""),"",'I. Stream &amp; Compound Data'!Q202/$J147*(1-O$127)*(1-O$123)*$K147)</f>
        <v/>
      </c>
      <c r="P147" s="1242" t="str">
        <f>IF(OR(M147="",P$122=""),"",'I. Stream &amp; Compound Data'!T202/$J147*(1-P$127)*(1-P$123)*$K147)</f>
        <v/>
      </c>
      <c r="Q147" s="1242" t="str">
        <f>IF(OR(N147="",Q$122=""),"",'I. Stream &amp; Compound Data'!W202/$J147*(1-Q$127)*(1-Q$123)*$K147)</f>
        <v/>
      </c>
      <c r="R147" s="1242" t="str">
        <f>IF(OR(O147="",R$122=""),"",'I. Stream &amp; Compound Data'!Z202/$J147*(1-R$127)*(1-R$123)*$K147)</f>
        <v/>
      </c>
      <c r="S147" s="1242" t="str">
        <f>IF(OR(P147="",S$122=""),"",'I. Stream &amp; Compound Data'!AC202/$J147*(1-S$127)*(1-S$123)*$K147)</f>
        <v/>
      </c>
      <c r="T147" s="1242" t="str">
        <f>IF(OR(Q147="",T$122=""),"",'I. Stream &amp; Compound Data'!AF202/$J147*(1-T$127)*(1-T$123)*$K147)</f>
        <v/>
      </c>
      <c r="U147" s="1242" t="str">
        <f>IF(OR(R147="",U$122=""),"",'I. Stream &amp; Compound Data'!AI202/$J147*(1-U$127)*(1-U$123)*$K147)</f>
        <v/>
      </c>
      <c r="V147" s="1242" t="str">
        <f>IF(OR(V$122="",$I147=""),"",'I. Stream &amp; Compound Data'!AL202/$J147*(1-V$127)*(1-V$123)*$K147)</f>
        <v/>
      </c>
      <c r="W147" s="1242" t="str">
        <f>IF(OR(W$122="",$I147=""),"",'I. Stream &amp; Compound Data'!AO202/$J147*(1-W$127)*(1-W$123)*$K147)</f>
        <v/>
      </c>
      <c r="X147" s="1242" t="str">
        <f>IF(OR(X$122="",$I147=""),"",'I. Stream &amp; Compound Data'!AR202/$J147*(1-X$127)*(1-X$123)*$K147)</f>
        <v/>
      </c>
      <c r="Y147" s="1242" t="str">
        <f>IF(OR(Y$122="",$I147=""),"",'I. Stream &amp; Compound Data'!AU202/$J147*(1-Y$127)*(1-Y$123)*$K147)</f>
        <v/>
      </c>
      <c r="Z147" s="1242" t="str">
        <f>IF(OR(Z$122="",$I147=""),"",'I. Stream &amp; Compound Data'!AX202/$J147*(1-Z$127)*(1-Z$123)*$K147)</f>
        <v/>
      </c>
      <c r="AA147" s="1242" t="str">
        <f>IF(OR(AA$122="",$I147=""),"",'I. Stream &amp; Compound Data'!BA202/$J147*(1-AA$127)*(1-AA$123)*$K147)</f>
        <v/>
      </c>
      <c r="AB147" s="1242" t="str">
        <f>IF(OR(AB$122="",$I147=""),"",'I. Stream &amp; Compound Data'!BD202/$J147*(1-AB$127)*(1-AB$123)*$K147)</f>
        <v/>
      </c>
      <c r="AC147" s="1242" t="str">
        <f>IF(OR(AC$122="",$I147=""),"",'I. Stream &amp; Compound Data'!BG202/$J147*(1-AC$127)*(1-AC$123)*$K147)</f>
        <v/>
      </c>
      <c r="AD147" s="1242" t="str">
        <f>IF(OR(AD$122="",$I147=""),"",'I. Stream &amp; Compound Data'!BJ202/$J147*(1-AD$127)*(1-AD$123)*$K147)</f>
        <v/>
      </c>
      <c r="AE147" s="1242" t="str">
        <f>IF(OR(AE$122="",$I147=""),"",'I. Stream &amp; Compound Data'!BM202/$J147*(1-AE$127)*(1-AE$123)*$K147)</f>
        <v/>
      </c>
      <c r="AF147" s="1242" t="str">
        <f>IF(OR(AF$122="",$I147=""),"",'I. Stream &amp; Compound Data'!BP202/$J147*(1-AF$127)*(1-AF$123)*$K147)</f>
        <v/>
      </c>
      <c r="AG147" s="1242" t="str">
        <f>IF(OR(AG$122="",$I147=""),"",'I. Stream &amp; Compound Data'!BS202/$J147*(1-AG$127)*(1-AG$123)*$K147)</f>
        <v/>
      </c>
      <c r="AH147" s="1242" t="str">
        <f>IF(OR(AH$122="",$I147=""),"",'I. Stream &amp; Compound Data'!BV202/$J147*(1-AH$127)*(1-AH$123)*$K147)</f>
        <v/>
      </c>
      <c r="AI147" s="1242" t="str">
        <f>IF(OR(AI$122="",$I147=""),"",'I. Stream &amp; Compound Data'!BY202/$J147*(1-AI$127)*(1-AI$123)*$K147)</f>
        <v/>
      </c>
      <c r="AJ147" s="1242" t="str">
        <f>IF(OR(AJ$122="",$I147=""),"",'I. Stream &amp; Compound Data'!CB202/$J147*(1-AJ$127)*(1-AJ$123)*$K147)</f>
        <v/>
      </c>
      <c r="AK147" s="1242" t="str">
        <f>IF(OR(AK$122="",$I147=""),"",'I. Stream &amp; Compound Data'!CE202/$J147*(1-AK$127)*(1-AK$123)*$K147)</f>
        <v/>
      </c>
      <c r="AL147" s="1242" t="str">
        <f>IF(OR(AL$122="",$I147=""),"",'I. Stream &amp; Compound Data'!CH202/$J147*(1-AL$127)*(1-AL$123)*$K147)</f>
        <v/>
      </c>
      <c r="AM147" s="1242" t="str">
        <f>IF(OR(AM$122="",$I147=""),"",'I. Stream &amp; Compound Data'!CK202/$J147*(1-AM$127)*(1-AM$123)*$K147)</f>
        <v/>
      </c>
      <c r="AN147" s="1242" t="str">
        <f>IF(OR(AN$122="",$I147=""),"",'I. Stream &amp; Compound Data'!CN202/$J147*(1-AN$127)*(1-AN$123)*$K147)</f>
        <v/>
      </c>
      <c r="AO147" s="1242" t="str">
        <f>IF(OR(AO$122="",$I147=""),"",'I. Stream &amp; Compound Data'!CQ202/$J147*(1-AO$127)*(1-AO$123)*$K147)</f>
        <v/>
      </c>
      <c r="AP147" s="1242" t="str">
        <f>IF(OR(AP$122="",$I147=""),"",'I. Stream &amp; Compound Data'!CT202/$J147*(1-AP$127)*(1-AP$123)*$K147)</f>
        <v/>
      </c>
      <c r="AQ147" s="1242" t="str">
        <f>IF(OR(AQ$122="",$I147=""),"",'I. Stream &amp; Compound Data'!CW202/$J147*(1-AQ$127)*(1-AQ$123)*$K147)</f>
        <v/>
      </c>
      <c r="AR147" s="1242" t="str">
        <f>IF(OR(AR$122="",$I147=""),"",'I. Stream &amp; Compound Data'!CZ202/$J147*(1-AR$127)*(1-AR$123)*$K147)</f>
        <v/>
      </c>
      <c r="AS147" s="1242" t="str">
        <f>IF(OR(AS$122="",$I147=""),"",'I. Stream &amp; Compound Data'!DC202/$J147*(1-AS$127)*(1-AS$123)*$K147)</f>
        <v/>
      </c>
      <c r="AT147" s="1242" t="str">
        <f>IF(OR(AT$122="",$I147=""),"",'I. Stream &amp; Compound Data'!DF202/$J147*(1-AT$127)*(1-AT$123)*$K147)</f>
        <v/>
      </c>
      <c r="AU147" s="1242" t="str">
        <f>IF(OR(AU$122="",$I147=""),"",'I. Stream &amp; Compound Data'!DI202/$J147*(1-AU$127)*(1-AU$123)*$K147)</f>
        <v/>
      </c>
      <c r="AV147" s="1242" t="str">
        <f>IF(OR(AV$122="",$I147=""),"",'I. Stream &amp; Compound Data'!DL202/$J147*(1-AV$127)*(1-AV$123)*$K147)</f>
        <v/>
      </c>
      <c r="AW147" s="1242" t="str">
        <f>IF(OR(AW$122="",$I147=""),"",'I. Stream &amp; Compound Data'!DO202/$J147*(1-AW$127)*(1-AW$123)*$K147)</f>
        <v/>
      </c>
      <c r="AX147" s="1242" t="str">
        <f>IF(OR(AX$122="",$I147=""),"",'I. Stream &amp; Compound Data'!DR202/$J147*(1-AX$127)*(1-AX$123)*$K147)</f>
        <v/>
      </c>
      <c r="AY147" s="1268" t="str">
        <f>IF(OR(AY$122="",$I147=""),"",'I. Stream &amp; Compound Data'!DU202/$J147*(1-AY$127)*(1-AY$123)*$K147)</f>
        <v/>
      </c>
      <c r="AZ147" s="279"/>
      <c r="BA147" s="279"/>
      <c r="BB147" s="279"/>
      <c r="BC147" s="279"/>
      <c r="BD147" s="279"/>
      <c r="BE147" s="279"/>
      <c r="BF147" s="279"/>
      <c r="BG147" s="279"/>
      <c r="BH147" s="279"/>
      <c r="BI147" s="279"/>
      <c r="BJ147" s="279"/>
      <c r="BK147" s="279"/>
      <c r="BL147" s="279"/>
      <c r="BM147" s="279"/>
      <c r="BN147" s="279"/>
      <c r="BO147" s="279"/>
      <c r="BP147" s="279"/>
      <c r="BQ147" s="279"/>
      <c r="BR147" s="279"/>
      <c r="BS147" s="279"/>
      <c r="BT147" s="279"/>
      <c r="BU147" s="279"/>
      <c r="BV147" s="279"/>
      <c r="BW147" s="279"/>
      <c r="BX147" s="279"/>
      <c r="BY147" s="279"/>
      <c r="BZ147" s="279"/>
      <c r="CA147" s="279"/>
      <c r="CB147" s="279"/>
      <c r="CC147" s="279"/>
      <c r="CD147" s="279"/>
      <c r="CE147" s="279"/>
      <c r="CF147" s="279"/>
      <c r="CG147" s="279"/>
      <c r="CH147" s="279"/>
      <c r="CI147" s="279"/>
      <c r="CJ147" s="279"/>
      <c r="CK147" s="279"/>
      <c r="CL147" s="279"/>
      <c r="CM147" s="279"/>
      <c r="CN147" s="382"/>
    </row>
    <row r="148" ht="15.6" x14ac:dyDescent="0.25">
      <c r="B148" s="361"/>
      <c r="C148" s="279"/>
      <c r="D148" s="280"/>
      <c r="E148" s="287"/>
      <c r="F148" s="287"/>
      <c r="G148" s="287"/>
      <c r="H148" s="1292">
        <f t="shared" si="18"/>
        <v>18</v>
      </c>
      <c r="I148" s="1320" t="str">
        <f>IF('I. Stream &amp; Compound Data'!G279&lt;&gt;"",'I. Stream &amp; Compound Data'!G279,"")</f>
        <v/>
      </c>
      <c r="J148" s="1190" t="str">
        <f>IF('I. Stream &amp; Compound Data'!BH279="","",'I. Stream &amp; Compound Data'!BH279)</f>
        <v/>
      </c>
      <c r="K148" s="1306" t="str">
        <f>IF('I. Stream &amp; Compound Data'!G279="","",IF(OR('I. Stream &amp; Compound Data'!U279=1,'I. Stream &amp; Compound Data'!V279=1,'I. Stream &amp; Compound Data'!AY279&lt;25),0,1))</f>
        <v/>
      </c>
      <c r="L148" s="1242" t="str">
        <f>IF(OR(I148="",L$122=""),"",'I. Stream &amp; Compound Data'!H203/$J148*(1-L$127)*(1-L$123)*$K148)</f>
        <v/>
      </c>
      <c r="M148" s="1242" t="str">
        <f>IF(OR(J148="",M$122=""),"",'I. Stream &amp; Compound Data'!K203/$J148*(1-M$127)*(1-M$123)*$K148)</f>
        <v/>
      </c>
      <c r="N148" s="1242" t="str">
        <f>IF(OR(K148="",N$122=""),"",'I. Stream &amp; Compound Data'!N203/$J148*(1-N$127)*(1-N$123)*$K148)</f>
        <v/>
      </c>
      <c r="O148" s="1242" t="str">
        <f>IF(OR(L148="",O$122=""),"",'I. Stream &amp; Compound Data'!Q203/$J148*(1-O$127)*(1-O$123)*$K148)</f>
        <v/>
      </c>
      <c r="P148" s="1242" t="str">
        <f>IF(OR(M148="",P$122=""),"",'I. Stream &amp; Compound Data'!T203/$J148*(1-P$127)*(1-P$123)*$K148)</f>
        <v/>
      </c>
      <c r="Q148" s="1242" t="str">
        <f>IF(OR(N148="",Q$122=""),"",'I. Stream &amp; Compound Data'!W203/$J148*(1-Q$127)*(1-Q$123)*$K148)</f>
        <v/>
      </c>
      <c r="R148" s="1242" t="str">
        <f>IF(OR(O148="",R$122=""),"",'I. Stream &amp; Compound Data'!Z203/$J148*(1-R$127)*(1-R$123)*$K148)</f>
        <v/>
      </c>
      <c r="S148" s="1242" t="str">
        <f>IF(OR(P148="",S$122=""),"",'I. Stream &amp; Compound Data'!AC203/$J148*(1-S$127)*(1-S$123)*$K148)</f>
        <v/>
      </c>
      <c r="T148" s="1242" t="str">
        <f>IF(OR(Q148="",T$122=""),"",'I. Stream &amp; Compound Data'!AF203/$J148*(1-T$127)*(1-T$123)*$K148)</f>
        <v/>
      </c>
      <c r="U148" s="1242" t="str">
        <f>IF(OR(R148="",U$122=""),"",'I. Stream &amp; Compound Data'!AI203/$J148*(1-U$127)*(1-U$123)*$K148)</f>
        <v/>
      </c>
      <c r="V148" s="1242" t="str">
        <f>IF(OR(V$122="",$I148=""),"",'I. Stream &amp; Compound Data'!AL203/$J148*(1-V$127)*(1-V$123)*$K148)</f>
        <v/>
      </c>
      <c r="W148" s="1242" t="str">
        <f>IF(OR(W$122="",$I148=""),"",'I. Stream &amp; Compound Data'!AO203/$J148*(1-W$127)*(1-W$123)*$K148)</f>
        <v/>
      </c>
      <c r="X148" s="1242" t="str">
        <f>IF(OR(X$122="",$I148=""),"",'I. Stream &amp; Compound Data'!AR203/$J148*(1-X$127)*(1-X$123)*$K148)</f>
        <v/>
      </c>
      <c r="Y148" s="1242" t="str">
        <f>IF(OR(Y$122="",$I148=""),"",'I. Stream &amp; Compound Data'!AU203/$J148*(1-Y$127)*(1-Y$123)*$K148)</f>
        <v/>
      </c>
      <c r="Z148" s="1242" t="str">
        <f>IF(OR(Z$122="",$I148=""),"",'I. Stream &amp; Compound Data'!AX203/$J148*(1-Z$127)*(1-Z$123)*$K148)</f>
        <v/>
      </c>
      <c r="AA148" s="1242" t="str">
        <f>IF(OR(AA$122="",$I148=""),"",'I. Stream &amp; Compound Data'!BA203/$J148*(1-AA$127)*(1-AA$123)*$K148)</f>
        <v/>
      </c>
      <c r="AB148" s="1242" t="str">
        <f>IF(OR(AB$122="",$I148=""),"",'I. Stream &amp; Compound Data'!BD203/$J148*(1-AB$127)*(1-AB$123)*$K148)</f>
        <v/>
      </c>
      <c r="AC148" s="1242" t="str">
        <f>IF(OR(AC$122="",$I148=""),"",'I. Stream &amp; Compound Data'!BG203/$J148*(1-AC$127)*(1-AC$123)*$K148)</f>
        <v/>
      </c>
      <c r="AD148" s="1242" t="str">
        <f>IF(OR(AD$122="",$I148=""),"",'I. Stream &amp; Compound Data'!BJ203/$J148*(1-AD$127)*(1-AD$123)*$K148)</f>
        <v/>
      </c>
      <c r="AE148" s="1242" t="str">
        <f>IF(OR(AE$122="",$I148=""),"",'I. Stream &amp; Compound Data'!BM203/$J148*(1-AE$127)*(1-AE$123)*$K148)</f>
        <v/>
      </c>
      <c r="AF148" s="1242" t="str">
        <f>IF(OR(AF$122="",$I148=""),"",'I. Stream &amp; Compound Data'!BP203/$J148*(1-AF$127)*(1-AF$123)*$K148)</f>
        <v/>
      </c>
      <c r="AG148" s="1242" t="str">
        <f>IF(OR(AG$122="",$I148=""),"",'I. Stream &amp; Compound Data'!BS203/$J148*(1-AG$127)*(1-AG$123)*$K148)</f>
        <v/>
      </c>
      <c r="AH148" s="1242" t="str">
        <f>IF(OR(AH$122="",$I148=""),"",'I. Stream &amp; Compound Data'!BV203/$J148*(1-AH$127)*(1-AH$123)*$K148)</f>
        <v/>
      </c>
      <c r="AI148" s="1242" t="str">
        <f>IF(OR(AI$122="",$I148=""),"",'I. Stream &amp; Compound Data'!BY203/$J148*(1-AI$127)*(1-AI$123)*$K148)</f>
        <v/>
      </c>
      <c r="AJ148" s="1242" t="str">
        <f>IF(OR(AJ$122="",$I148=""),"",'I. Stream &amp; Compound Data'!CB203/$J148*(1-AJ$127)*(1-AJ$123)*$K148)</f>
        <v/>
      </c>
      <c r="AK148" s="1242" t="str">
        <f>IF(OR(AK$122="",$I148=""),"",'I. Stream &amp; Compound Data'!CE203/$J148*(1-AK$127)*(1-AK$123)*$K148)</f>
        <v/>
      </c>
      <c r="AL148" s="1242" t="str">
        <f>IF(OR(AL$122="",$I148=""),"",'I. Stream &amp; Compound Data'!CH203/$J148*(1-AL$127)*(1-AL$123)*$K148)</f>
        <v/>
      </c>
      <c r="AM148" s="1242" t="str">
        <f>IF(OR(AM$122="",$I148=""),"",'I. Stream &amp; Compound Data'!CK203/$J148*(1-AM$127)*(1-AM$123)*$K148)</f>
        <v/>
      </c>
      <c r="AN148" s="1242" t="str">
        <f>IF(OR(AN$122="",$I148=""),"",'I. Stream &amp; Compound Data'!CN203/$J148*(1-AN$127)*(1-AN$123)*$K148)</f>
        <v/>
      </c>
      <c r="AO148" s="1242" t="str">
        <f>IF(OR(AO$122="",$I148=""),"",'I. Stream &amp; Compound Data'!CQ203/$J148*(1-AO$127)*(1-AO$123)*$K148)</f>
        <v/>
      </c>
      <c r="AP148" s="1242" t="str">
        <f>IF(OR(AP$122="",$I148=""),"",'I. Stream &amp; Compound Data'!CT203/$J148*(1-AP$127)*(1-AP$123)*$K148)</f>
        <v/>
      </c>
      <c r="AQ148" s="1242" t="str">
        <f>IF(OR(AQ$122="",$I148=""),"",'I. Stream &amp; Compound Data'!CW203/$J148*(1-AQ$127)*(1-AQ$123)*$K148)</f>
        <v/>
      </c>
      <c r="AR148" s="1242" t="str">
        <f>IF(OR(AR$122="",$I148=""),"",'I. Stream &amp; Compound Data'!CZ203/$J148*(1-AR$127)*(1-AR$123)*$K148)</f>
        <v/>
      </c>
      <c r="AS148" s="1242" t="str">
        <f>IF(OR(AS$122="",$I148=""),"",'I. Stream &amp; Compound Data'!DC203/$J148*(1-AS$127)*(1-AS$123)*$K148)</f>
        <v/>
      </c>
      <c r="AT148" s="1242" t="str">
        <f>IF(OR(AT$122="",$I148=""),"",'I. Stream &amp; Compound Data'!DF203/$J148*(1-AT$127)*(1-AT$123)*$K148)</f>
        <v/>
      </c>
      <c r="AU148" s="1242" t="str">
        <f>IF(OR(AU$122="",$I148=""),"",'I. Stream &amp; Compound Data'!DI203/$J148*(1-AU$127)*(1-AU$123)*$K148)</f>
        <v/>
      </c>
      <c r="AV148" s="1242" t="str">
        <f>IF(OR(AV$122="",$I148=""),"",'I. Stream &amp; Compound Data'!DL203/$J148*(1-AV$127)*(1-AV$123)*$K148)</f>
        <v/>
      </c>
      <c r="AW148" s="1242" t="str">
        <f>IF(OR(AW$122="",$I148=""),"",'I. Stream &amp; Compound Data'!DO203/$J148*(1-AW$127)*(1-AW$123)*$K148)</f>
        <v/>
      </c>
      <c r="AX148" s="1242" t="str">
        <f>IF(OR(AX$122="",$I148=""),"",'I. Stream &amp; Compound Data'!DR203/$J148*(1-AX$127)*(1-AX$123)*$K148)</f>
        <v/>
      </c>
      <c r="AY148" s="1268" t="str">
        <f>IF(OR(AY$122="",$I148=""),"",'I. Stream &amp; Compound Data'!DU203/$J148*(1-AY$127)*(1-AY$123)*$K148)</f>
        <v/>
      </c>
      <c r="AZ148" s="279"/>
      <c r="BA148" s="279"/>
      <c r="BB148" s="279"/>
      <c r="BC148" s="279"/>
      <c r="BD148" s="279"/>
      <c r="BE148" s="279"/>
      <c r="BF148" s="279"/>
      <c r="BG148" s="279"/>
      <c r="BH148" s="279"/>
      <c r="BI148" s="279"/>
      <c r="BJ148" s="279"/>
      <c r="BK148" s="279"/>
      <c r="BL148" s="279"/>
      <c r="BM148" s="279"/>
      <c r="BN148" s="279"/>
      <c r="BO148" s="279"/>
      <c r="BP148" s="279"/>
      <c r="BQ148" s="279"/>
      <c r="BR148" s="279"/>
      <c r="BS148" s="279"/>
      <c r="BT148" s="279"/>
      <c r="BU148" s="279"/>
      <c r="BV148" s="279"/>
      <c r="BW148" s="279"/>
      <c r="BX148" s="279"/>
      <c r="BY148" s="279"/>
      <c r="BZ148" s="279"/>
      <c r="CA148" s="279"/>
      <c r="CB148" s="279"/>
      <c r="CC148" s="279"/>
      <c r="CD148" s="279"/>
      <c r="CE148" s="279"/>
      <c r="CF148" s="279"/>
      <c r="CG148" s="279"/>
      <c r="CH148" s="279"/>
      <c r="CI148" s="279"/>
      <c r="CJ148" s="279"/>
      <c r="CK148" s="279"/>
      <c r="CL148" s="279"/>
      <c r="CM148" s="279"/>
      <c r="CN148" s="382"/>
    </row>
    <row r="149" ht="15.6" x14ac:dyDescent="0.25">
      <c r="B149" s="361"/>
      <c r="C149" s="279"/>
      <c r="D149" s="280"/>
      <c r="E149" s="287"/>
      <c r="F149" s="287"/>
      <c r="G149" s="287"/>
      <c r="H149" s="1292">
        <f t="shared" si="18"/>
        <v>19</v>
      </c>
      <c r="I149" s="1320" t="str">
        <f>IF('I. Stream &amp; Compound Data'!G280&lt;&gt;"",'I. Stream &amp; Compound Data'!G280,"")</f>
        <v/>
      </c>
      <c r="J149" s="1190" t="str">
        <f>IF('I. Stream &amp; Compound Data'!BH280="","",'I. Stream &amp; Compound Data'!BH280)</f>
        <v/>
      </c>
      <c r="K149" s="1306" t="str">
        <f>IF('I. Stream &amp; Compound Data'!G280="","",IF(OR('I. Stream &amp; Compound Data'!U280=1,'I. Stream &amp; Compound Data'!V280=1,'I. Stream &amp; Compound Data'!AY280&lt;25),0,1))</f>
        <v/>
      </c>
      <c r="L149" s="1242" t="str">
        <f>IF(OR(I149="",L$122=""),"",'I. Stream &amp; Compound Data'!H204/$J149*(1-L$127)*(1-L$123)*$K149)</f>
        <v/>
      </c>
      <c r="M149" s="1242" t="str">
        <f>IF(OR(J149="",M$122=""),"",'I. Stream &amp; Compound Data'!K204/$J149*(1-M$127)*(1-M$123)*$K149)</f>
        <v/>
      </c>
      <c r="N149" s="1242" t="str">
        <f>IF(OR(K149="",N$122=""),"",'I. Stream &amp; Compound Data'!N204/$J149*(1-N$127)*(1-N$123)*$K149)</f>
        <v/>
      </c>
      <c r="O149" s="1242" t="str">
        <f>IF(OR(L149="",O$122=""),"",'I. Stream &amp; Compound Data'!Q204/$J149*(1-O$127)*(1-O$123)*$K149)</f>
        <v/>
      </c>
      <c r="P149" s="1242" t="str">
        <f>IF(OR(M149="",P$122=""),"",'I. Stream &amp; Compound Data'!T204/$J149*(1-P$127)*(1-P$123)*$K149)</f>
        <v/>
      </c>
      <c r="Q149" s="1242" t="str">
        <f>IF(OR(N149="",Q$122=""),"",'I. Stream &amp; Compound Data'!W204/$J149*(1-Q$127)*(1-Q$123)*$K149)</f>
        <v/>
      </c>
      <c r="R149" s="1242" t="str">
        <f>IF(OR(O149="",R$122=""),"",'I. Stream &amp; Compound Data'!Z204/$J149*(1-R$127)*(1-R$123)*$K149)</f>
        <v/>
      </c>
      <c r="S149" s="1242" t="str">
        <f>IF(OR(P149="",S$122=""),"",'I. Stream &amp; Compound Data'!AC204/$J149*(1-S$127)*(1-S$123)*$K149)</f>
        <v/>
      </c>
      <c r="T149" s="1242" t="str">
        <f>IF(OR(Q149="",T$122=""),"",'I. Stream &amp; Compound Data'!AF204/$J149*(1-T$127)*(1-T$123)*$K149)</f>
        <v/>
      </c>
      <c r="U149" s="1242" t="str">
        <f>IF(OR(R149="",U$122=""),"",'I. Stream &amp; Compound Data'!AI204/$J149*(1-U$127)*(1-U$123)*$K149)</f>
        <v/>
      </c>
      <c r="V149" s="1242" t="str">
        <f>IF(OR(V$122="",$I149=""),"",'I. Stream &amp; Compound Data'!AL204/$J149*(1-V$127)*(1-V$123)*$K149)</f>
        <v/>
      </c>
      <c r="W149" s="1242" t="str">
        <f>IF(OR(W$122="",$I149=""),"",'I. Stream &amp; Compound Data'!AO204/$J149*(1-W$127)*(1-W$123)*$K149)</f>
        <v/>
      </c>
      <c r="X149" s="1242" t="str">
        <f>IF(OR(X$122="",$I149=""),"",'I. Stream &amp; Compound Data'!AR204/$J149*(1-X$127)*(1-X$123)*$K149)</f>
        <v/>
      </c>
      <c r="Y149" s="1242" t="str">
        <f>IF(OR(Y$122="",$I149=""),"",'I. Stream &amp; Compound Data'!AU204/$J149*(1-Y$127)*(1-Y$123)*$K149)</f>
        <v/>
      </c>
      <c r="Z149" s="1242" t="str">
        <f>IF(OR(Z$122="",$I149=""),"",'I. Stream &amp; Compound Data'!AX204/$J149*(1-Z$127)*(1-Z$123)*$K149)</f>
        <v/>
      </c>
      <c r="AA149" s="1242" t="str">
        <f>IF(OR(AA$122="",$I149=""),"",'I. Stream &amp; Compound Data'!BA204/$J149*(1-AA$127)*(1-AA$123)*$K149)</f>
        <v/>
      </c>
      <c r="AB149" s="1242" t="str">
        <f>IF(OR(AB$122="",$I149=""),"",'I. Stream &amp; Compound Data'!BD204/$J149*(1-AB$127)*(1-AB$123)*$K149)</f>
        <v/>
      </c>
      <c r="AC149" s="1242" t="str">
        <f>IF(OR(AC$122="",$I149=""),"",'I. Stream &amp; Compound Data'!BG204/$J149*(1-AC$127)*(1-AC$123)*$K149)</f>
        <v/>
      </c>
      <c r="AD149" s="1242" t="str">
        <f>IF(OR(AD$122="",$I149=""),"",'I. Stream &amp; Compound Data'!BJ204/$J149*(1-AD$127)*(1-AD$123)*$K149)</f>
        <v/>
      </c>
      <c r="AE149" s="1242" t="str">
        <f>IF(OR(AE$122="",$I149=""),"",'I. Stream &amp; Compound Data'!BM204/$J149*(1-AE$127)*(1-AE$123)*$K149)</f>
        <v/>
      </c>
      <c r="AF149" s="1242" t="str">
        <f>IF(OR(AF$122="",$I149=""),"",'I. Stream &amp; Compound Data'!BP204/$J149*(1-AF$127)*(1-AF$123)*$K149)</f>
        <v/>
      </c>
      <c r="AG149" s="1242" t="str">
        <f>IF(OR(AG$122="",$I149=""),"",'I. Stream &amp; Compound Data'!BS204/$J149*(1-AG$127)*(1-AG$123)*$K149)</f>
        <v/>
      </c>
      <c r="AH149" s="1242" t="str">
        <f>IF(OR(AH$122="",$I149=""),"",'I. Stream &amp; Compound Data'!BV204/$J149*(1-AH$127)*(1-AH$123)*$K149)</f>
        <v/>
      </c>
      <c r="AI149" s="1242" t="str">
        <f>IF(OR(AI$122="",$I149=""),"",'I. Stream &amp; Compound Data'!BY204/$J149*(1-AI$127)*(1-AI$123)*$K149)</f>
        <v/>
      </c>
      <c r="AJ149" s="1242" t="str">
        <f>IF(OR(AJ$122="",$I149=""),"",'I. Stream &amp; Compound Data'!CB204/$J149*(1-AJ$127)*(1-AJ$123)*$K149)</f>
        <v/>
      </c>
      <c r="AK149" s="1242" t="str">
        <f>IF(OR(AK$122="",$I149=""),"",'I. Stream &amp; Compound Data'!CE204/$J149*(1-AK$127)*(1-AK$123)*$K149)</f>
        <v/>
      </c>
      <c r="AL149" s="1242" t="str">
        <f>IF(OR(AL$122="",$I149=""),"",'I. Stream &amp; Compound Data'!CH204/$J149*(1-AL$127)*(1-AL$123)*$K149)</f>
        <v/>
      </c>
      <c r="AM149" s="1242" t="str">
        <f>IF(OR(AM$122="",$I149=""),"",'I. Stream &amp; Compound Data'!CK204/$J149*(1-AM$127)*(1-AM$123)*$K149)</f>
        <v/>
      </c>
      <c r="AN149" s="1242" t="str">
        <f>IF(OR(AN$122="",$I149=""),"",'I. Stream &amp; Compound Data'!CN204/$J149*(1-AN$127)*(1-AN$123)*$K149)</f>
        <v/>
      </c>
      <c r="AO149" s="1242" t="str">
        <f>IF(OR(AO$122="",$I149=""),"",'I. Stream &amp; Compound Data'!CQ204/$J149*(1-AO$127)*(1-AO$123)*$K149)</f>
        <v/>
      </c>
      <c r="AP149" s="1242" t="str">
        <f>IF(OR(AP$122="",$I149=""),"",'I. Stream &amp; Compound Data'!CT204/$J149*(1-AP$127)*(1-AP$123)*$K149)</f>
        <v/>
      </c>
      <c r="AQ149" s="1242" t="str">
        <f>IF(OR(AQ$122="",$I149=""),"",'I. Stream &amp; Compound Data'!CW204/$J149*(1-AQ$127)*(1-AQ$123)*$K149)</f>
        <v/>
      </c>
      <c r="AR149" s="1242" t="str">
        <f>IF(OR(AR$122="",$I149=""),"",'I. Stream &amp; Compound Data'!CZ204/$J149*(1-AR$127)*(1-AR$123)*$K149)</f>
        <v/>
      </c>
      <c r="AS149" s="1242" t="str">
        <f>IF(OR(AS$122="",$I149=""),"",'I. Stream &amp; Compound Data'!DC204/$J149*(1-AS$127)*(1-AS$123)*$K149)</f>
        <v/>
      </c>
      <c r="AT149" s="1242" t="str">
        <f>IF(OR(AT$122="",$I149=""),"",'I. Stream &amp; Compound Data'!DF204/$J149*(1-AT$127)*(1-AT$123)*$K149)</f>
        <v/>
      </c>
      <c r="AU149" s="1242" t="str">
        <f>IF(OR(AU$122="",$I149=""),"",'I. Stream &amp; Compound Data'!DI204/$J149*(1-AU$127)*(1-AU$123)*$K149)</f>
        <v/>
      </c>
      <c r="AV149" s="1242" t="str">
        <f>IF(OR(AV$122="",$I149=""),"",'I. Stream &amp; Compound Data'!DL204/$J149*(1-AV$127)*(1-AV$123)*$K149)</f>
        <v/>
      </c>
      <c r="AW149" s="1242" t="str">
        <f>IF(OR(AW$122="",$I149=""),"",'I. Stream &amp; Compound Data'!DO204/$J149*(1-AW$127)*(1-AW$123)*$K149)</f>
        <v/>
      </c>
      <c r="AX149" s="1242" t="str">
        <f>IF(OR(AX$122="",$I149=""),"",'I. Stream &amp; Compound Data'!DR204/$J149*(1-AX$127)*(1-AX$123)*$K149)</f>
        <v/>
      </c>
      <c r="AY149" s="1268" t="str">
        <f>IF(OR(AY$122="",$I149=""),"",'I. Stream &amp; Compound Data'!DU204/$J149*(1-AY$127)*(1-AY$123)*$K149)</f>
        <v/>
      </c>
      <c r="AZ149" s="279"/>
      <c r="BA149" s="279"/>
      <c r="BB149" s="279"/>
      <c r="BC149" s="279"/>
      <c r="BD149" s="279"/>
      <c r="BE149" s="279"/>
      <c r="BF149" s="279"/>
      <c r="BG149" s="279"/>
      <c r="BH149" s="279"/>
      <c r="BI149" s="279"/>
      <c r="BJ149" s="279"/>
      <c r="BK149" s="279"/>
      <c r="BL149" s="279"/>
      <c r="BM149" s="279"/>
      <c r="BN149" s="279"/>
      <c r="BO149" s="279"/>
      <c r="BP149" s="279"/>
      <c r="BQ149" s="279"/>
      <c r="BR149" s="279"/>
      <c r="BS149" s="279"/>
      <c r="BT149" s="279"/>
      <c r="BU149" s="279"/>
      <c r="BV149" s="279"/>
      <c r="BW149" s="279"/>
      <c r="BX149" s="279"/>
      <c r="BY149" s="279"/>
      <c r="BZ149" s="279"/>
      <c r="CA149" s="279"/>
      <c r="CB149" s="279"/>
      <c r="CC149" s="279"/>
      <c r="CD149" s="279"/>
      <c r="CE149" s="279"/>
      <c r="CF149" s="279"/>
      <c r="CG149" s="279"/>
      <c r="CH149" s="279"/>
      <c r="CI149" s="279"/>
      <c r="CJ149" s="279"/>
      <c r="CK149" s="279"/>
      <c r="CL149" s="279"/>
      <c r="CM149" s="279"/>
      <c r="CN149" s="382"/>
    </row>
    <row r="150" ht="15.6" x14ac:dyDescent="0.25">
      <c r="B150" s="361"/>
      <c r="C150" s="279"/>
      <c r="D150" s="280"/>
      <c r="E150" s="287"/>
      <c r="F150" s="287"/>
      <c r="G150" s="287"/>
      <c r="H150" s="1292">
        <f t="shared" si="18"/>
        <v>20</v>
      </c>
      <c r="I150" s="1320" t="str">
        <f>IF('I. Stream &amp; Compound Data'!G281&lt;&gt;"",'I. Stream &amp; Compound Data'!G281,"")</f>
        <v/>
      </c>
      <c r="J150" s="1190" t="str">
        <f>IF('I. Stream &amp; Compound Data'!BH281="","",'I. Stream &amp; Compound Data'!BH281)</f>
        <v/>
      </c>
      <c r="K150" s="1306" t="str">
        <f>IF('I. Stream &amp; Compound Data'!G281="","",IF(OR('I. Stream &amp; Compound Data'!U281=1,'I. Stream &amp; Compound Data'!V281=1,'I. Stream &amp; Compound Data'!AY281&lt;25),0,1))</f>
        <v/>
      </c>
      <c r="L150" s="1242" t="str">
        <f>IF(OR(I150="",L$122=""),"",'I. Stream &amp; Compound Data'!H205/$J150*(1-L$127)*(1-L$123)*$K150)</f>
        <v/>
      </c>
      <c r="M150" s="1242" t="str">
        <f>IF(OR(J150="",M$122=""),"",'I. Stream &amp; Compound Data'!K205/$J150*(1-M$127)*(1-M$123)*$K150)</f>
        <v/>
      </c>
      <c r="N150" s="1242" t="str">
        <f>IF(OR(K150="",N$122=""),"",'I. Stream &amp; Compound Data'!N205/$J150*(1-N$127)*(1-N$123)*$K150)</f>
        <v/>
      </c>
      <c r="O150" s="1242" t="str">
        <f>IF(OR(L150="",O$122=""),"",'I. Stream &amp; Compound Data'!Q205/$J150*(1-O$127)*(1-O$123)*$K150)</f>
        <v/>
      </c>
      <c r="P150" s="1242" t="str">
        <f>IF(OR(M150="",P$122=""),"",'I. Stream &amp; Compound Data'!T205/$J150*(1-P$127)*(1-P$123)*$K150)</f>
        <v/>
      </c>
      <c r="Q150" s="1242" t="str">
        <f>IF(OR(N150="",Q$122=""),"",'I. Stream &amp; Compound Data'!W205/$J150*(1-Q$127)*(1-Q$123)*$K150)</f>
        <v/>
      </c>
      <c r="R150" s="1242" t="str">
        <f>IF(OR(O150="",R$122=""),"",'I. Stream &amp; Compound Data'!Z205/$J150*(1-R$127)*(1-R$123)*$K150)</f>
        <v/>
      </c>
      <c r="S150" s="1242" t="str">
        <f>IF(OR(P150="",S$122=""),"",'I. Stream &amp; Compound Data'!AC205/$J150*(1-S$127)*(1-S$123)*$K150)</f>
        <v/>
      </c>
      <c r="T150" s="1242" t="str">
        <f>IF(OR(Q150="",T$122=""),"",'I. Stream &amp; Compound Data'!AF205/$J150*(1-T$127)*(1-T$123)*$K150)</f>
        <v/>
      </c>
      <c r="U150" s="1242" t="str">
        <f>IF(OR(R150="",U$122=""),"",'I. Stream &amp; Compound Data'!AI205/$J150*(1-U$127)*(1-U$123)*$K150)</f>
        <v/>
      </c>
      <c r="V150" s="1242" t="str">
        <f>IF(OR(V$122="",$I150=""),"",'I. Stream &amp; Compound Data'!AL205/$J150*(1-V$127)*(1-V$123)*$K150)</f>
        <v/>
      </c>
      <c r="W150" s="1242" t="str">
        <f>IF(OR(W$122="",$I150=""),"",'I. Stream &amp; Compound Data'!AO205/$J150*(1-W$127)*(1-W$123)*$K150)</f>
        <v/>
      </c>
      <c r="X150" s="1242" t="str">
        <f>IF(OR(X$122="",$I150=""),"",'I. Stream &amp; Compound Data'!AR205/$J150*(1-X$127)*(1-X$123)*$K150)</f>
        <v/>
      </c>
      <c r="Y150" s="1242" t="str">
        <f>IF(OR(Y$122="",$I150=""),"",'I. Stream &amp; Compound Data'!AU205/$J150*(1-Y$127)*(1-Y$123)*$K150)</f>
        <v/>
      </c>
      <c r="Z150" s="1242" t="str">
        <f>IF(OR(Z$122="",$I150=""),"",'I. Stream &amp; Compound Data'!AX205/$J150*(1-Z$127)*(1-Z$123)*$K150)</f>
        <v/>
      </c>
      <c r="AA150" s="1242" t="str">
        <f>IF(OR(AA$122="",$I150=""),"",'I. Stream &amp; Compound Data'!BA205/$J150*(1-AA$127)*(1-AA$123)*$K150)</f>
        <v/>
      </c>
      <c r="AB150" s="1242" t="str">
        <f>IF(OR(AB$122="",$I150=""),"",'I. Stream &amp; Compound Data'!BD205/$J150*(1-AB$127)*(1-AB$123)*$K150)</f>
        <v/>
      </c>
      <c r="AC150" s="1242" t="str">
        <f>IF(OR(AC$122="",$I150=""),"",'I. Stream &amp; Compound Data'!BG205/$J150*(1-AC$127)*(1-AC$123)*$K150)</f>
        <v/>
      </c>
      <c r="AD150" s="1242" t="str">
        <f>IF(OR(AD$122="",$I150=""),"",'I. Stream &amp; Compound Data'!BJ205/$J150*(1-AD$127)*(1-AD$123)*$K150)</f>
        <v/>
      </c>
      <c r="AE150" s="1242" t="str">
        <f>IF(OR(AE$122="",$I150=""),"",'I. Stream &amp; Compound Data'!BM205/$J150*(1-AE$127)*(1-AE$123)*$K150)</f>
        <v/>
      </c>
      <c r="AF150" s="1242" t="str">
        <f>IF(OR(AF$122="",$I150=""),"",'I. Stream &amp; Compound Data'!BP205/$J150*(1-AF$127)*(1-AF$123)*$K150)</f>
        <v/>
      </c>
      <c r="AG150" s="1242" t="str">
        <f>IF(OR(AG$122="",$I150=""),"",'I. Stream &amp; Compound Data'!BS205/$J150*(1-AG$127)*(1-AG$123)*$K150)</f>
        <v/>
      </c>
      <c r="AH150" s="1242" t="str">
        <f>IF(OR(AH$122="",$I150=""),"",'I. Stream &amp; Compound Data'!BV205/$J150*(1-AH$127)*(1-AH$123)*$K150)</f>
        <v/>
      </c>
      <c r="AI150" s="1242" t="str">
        <f>IF(OR(AI$122="",$I150=""),"",'I. Stream &amp; Compound Data'!BY205/$J150*(1-AI$127)*(1-AI$123)*$K150)</f>
        <v/>
      </c>
      <c r="AJ150" s="1242" t="str">
        <f>IF(OR(AJ$122="",$I150=""),"",'I. Stream &amp; Compound Data'!CB205/$J150*(1-AJ$127)*(1-AJ$123)*$K150)</f>
        <v/>
      </c>
      <c r="AK150" s="1242" t="str">
        <f>IF(OR(AK$122="",$I150=""),"",'I. Stream &amp; Compound Data'!CE205/$J150*(1-AK$127)*(1-AK$123)*$K150)</f>
        <v/>
      </c>
      <c r="AL150" s="1242" t="str">
        <f>IF(OR(AL$122="",$I150=""),"",'I. Stream &amp; Compound Data'!CH205/$J150*(1-AL$127)*(1-AL$123)*$K150)</f>
        <v/>
      </c>
      <c r="AM150" s="1242" t="str">
        <f>IF(OR(AM$122="",$I150=""),"",'I. Stream &amp; Compound Data'!CK205/$J150*(1-AM$127)*(1-AM$123)*$K150)</f>
        <v/>
      </c>
      <c r="AN150" s="1242" t="str">
        <f>IF(OR(AN$122="",$I150=""),"",'I. Stream &amp; Compound Data'!CN205/$J150*(1-AN$127)*(1-AN$123)*$K150)</f>
        <v/>
      </c>
      <c r="AO150" s="1242" t="str">
        <f>IF(OR(AO$122="",$I150=""),"",'I. Stream &amp; Compound Data'!CQ205/$J150*(1-AO$127)*(1-AO$123)*$K150)</f>
        <v/>
      </c>
      <c r="AP150" s="1242" t="str">
        <f>IF(OR(AP$122="",$I150=""),"",'I. Stream &amp; Compound Data'!CT205/$J150*(1-AP$127)*(1-AP$123)*$K150)</f>
        <v/>
      </c>
      <c r="AQ150" s="1242" t="str">
        <f>IF(OR(AQ$122="",$I150=""),"",'I. Stream &amp; Compound Data'!CW205/$J150*(1-AQ$127)*(1-AQ$123)*$K150)</f>
        <v/>
      </c>
      <c r="AR150" s="1242" t="str">
        <f>IF(OR(AR$122="",$I150=""),"",'I. Stream &amp; Compound Data'!CZ205/$J150*(1-AR$127)*(1-AR$123)*$K150)</f>
        <v/>
      </c>
      <c r="AS150" s="1242" t="str">
        <f>IF(OR(AS$122="",$I150=""),"",'I. Stream &amp; Compound Data'!DC205/$J150*(1-AS$127)*(1-AS$123)*$K150)</f>
        <v/>
      </c>
      <c r="AT150" s="1242" t="str">
        <f>IF(OR(AT$122="",$I150=""),"",'I. Stream &amp; Compound Data'!DF205/$J150*(1-AT$127)*(1-AT$123)*$K150)</f>
        <v/>
      </c>
      <c r="AU150" s="1242" t="str">
        <f>IF(OR(AU$122="",$I150=""),"",'I. Stream &amp; Compound Data'!DI205/$J150*(1-AU$127)*(1-AU$123)*$K150)</f>
        <v/>
      </c>
      <c r="AV150" s="1242" t="str">
        <f>IF(OR(AV$122="",$I150=""),"",'I. Stream &amp; Compound Data'!DL205/$J150*(1-AV$127)*(1-AV$123)*$K150)</f>
        <v/>
      </c>
      <c r="AW150" s="1242" t="str">
        <f>IF(OR(AW$122="",$I150=""),"",'I. Stream &amp; Compound Data'!DO205/$J150*(1-AW$127)*(1-AW$123)*$K150)</f>
        <v/>
      </c>
      <c r="AX150" s="1242" t="str">
        <f>IF(OR(AX$122="",$I150=""),"",'I. Stream &amp; Compound Data'!DR205/$J150*(1-AX$127)*(1-AX$123)*$K150)</f>
        <v/>
      </c>
      <c r="AY150" s="1268" t="str">
        <f>IF(OR(AY$122="",$I150=""),"",'I. Stream &amp; Compound Data'!DU205/$J150*(1-AY$127)*(1-AY$123)*$K150)</f>
        <v/>
      </c>
      <c r="AZ150" s="279"/>
      <c r="BA150" s="279"/>
      <c r="BB150" s="279"/>
      <c r="BC150" s="279"/>
      <c r="BD150" s="279"/>
      <c r="BE150" s="279"/>
      <c r="BF150" s="279"/>
      <c r="BG150" s="279"/>
      <c r="BH150" s="279"/>
      <c r="BI150" s="279"/>
      <c r="BJ150" s="279"/>
      <c r="BK150" s="279"/>
      <c r="BL150" s="279"/>
      <c r="BM150" s="279"/>
      <c r="BN150" s="279"/>
      <c r="BO150" s="279"/>
      <c r="BP150" s="279"/>
      <c r="BQ150" s="279"/>
      <c r="BR150" s="279"/>
      <c r="BS150" s="279"/>
      <c r="BT150" s="279"/>
      <c r="BU150" s="279"/>
      <c r="BV150" s="279"/>
      <c r="BW150" s="279"/>
      <c r="BX150" s="279"/>
      <c r="BY150" s="279"/>
      <c r="BZ150" s="279"/>
      <c r="CA150" s="279"/>
      <c r="CB150" s="279"/>
      <c r="CC150" s="279"/>
      <c r="CD150" s="279"/>
      <c r="CE150" s="279"/>
      <c r="CF150" s="279"/>
      <c r="CG150" s="279"/>
      <c r="CH150" s="279"/>
      <c r="CI150" s="279"/>
      <c r="CJ150" s="279"/>
      <c r="CK150" s="279"/>
      <c r="CL150" s="279"/>
      <c r="CM150" s="279"/>
      <c r="CN150" s="382"/>
    </row>
    <row r="151" ht="15.6" x14ac:dyDescent="0.25">
      <c r="B151" s="361"/>
      <c r="C151" s="279"/>
      <c r="D151" s="280"/>
      <c r="E151" s="287"/>
      <c r="F151" s="287"/>
      <c r="G151" s="287"/>
      <c r="H151" s="1292">
        <f t="shared" si="18"/>
        <v>21</v>
      </c>
      <c r="I151" s="1320" t="str">
        <f>IF('I. Stream &amp; Compound Data'!G282&lt;&gt;"",'I. Stream &amp; Compound Data'!G282,"")</f>
        <v/>
      </c>
      <c r="J151" s="1190" t="str">
        <f>IF('I. Stream &amp; Compound Data'!BH282="","",'I. Stream &amp; Compound Data'!BH282)</f>
        <v/>
      </c>
      <c r="K151" s="1306" t="str">
        <f>IF('I. Stream &amp; Compound Data'!G282="","",IF(OR('I. Stream &amp; Compound Data'!U282=1,'I. Stream &amp; Compound Data'!V282=1,'I. Stream &amp; Compound Data'!AY282&lt;25),0,1))</f>
        <v/>
      </c>
      <c r="L151" s="1242" t="str">
        <f>IF(OR(I151="",L$122=""),"",'I. Stream &amp; Compound Data'!H206/$J151*(1-L$127)*(1-L$123)*$K151)</f>
        <v/>
      </c>
      <c r="M151" s="1242" t="str">
        <f>IF(OR(J151="",M$122=""),"",'I. Stream &amp; Compound Data'!K206/$J151*(1-M$127)*(1-M$123)*$K151)</f>
        <v/>
      </c>
      <c r="N151" s="1242" t="str">
        <f>IF(OR(K151="",N$122=""),"",'I. Stream &amp; Compound Data'!N206/$J151*(1-N$127)*(1-N$123)*$K151)</f>
        <v/>
      </c>
      <c r="O151" s="1242" t="str">
        <f>IF(OR(L151="",O$122=""),"",'I. Stream &amp; Compound Data'!Q206/$J151*(1-O$127)*(1-O$123)*$K151)</f>
        <v/>
      </c>
      <c r="P151" s="1242" t="str">
        <f>IF(OR(M151="",P$122=""),"",'I. Stream &amp; Compound Data'!T206/$J151*(1-P$127)*(1-P$123)*$K151)</f>
        <v/>
      </c>
      <c r="Q151" s="1242" t="str">
        <f>IF(OR(N151="",Q$122=""),"",'I. Stream &amp; Compound Data'!W206/$J151*(1-Q$127)*(1-Q$123)*$K151)</f>
        <v/>
      </c>
      <c r="R151" s="1242" t="str">
        <f>IF(OR(O151="",R$122=""),"",'I. Stream &amp; Compound Data'!Z206/$J151*(1-R$127)*(1-R$123)*$K151)</f>
        <v/>
      </c>
      <c r="S151" s="1242" t="str">
        <f>IF(OR(P151="",S$122=""),"",'I. Stream &amp; Compound Data'!AC206/$J151*(1-S$127)*(1-S$123)*$K151)</f>
        <v/>
      </c>
      <c r="T151" s="1242" t="str">
        <f>IF(OR(Q151="",T$122=""),"",'I. Stream &amp; Compound Data'!AF206/$J151*(1-T$127)*(1-T$123)*$K151)</f>
        <v/>
      </c>
      <c r="U151" s="1242" t="str">
        <f>IF(OR(R151="",U$122=""),"",'I. Stream &amp; Compound Data'!AI206/$J151*(1-U$127)*(1-U$123)*$K151)</f>
        <v/>
      </c>
      <c r="V151" s="1242" t="str">
        <f>IF(OR(V$122="",$I151=""),"",'I. Stream &amp; Compound Data'!AL206/$J151*(1-V$127)*(1-V$123)*$K151)</f>
        <v/>
      </c>
      <c r="W151" s="1242" t="str">
        <f>IF(OR(W$122="",$I151=""),"",'I. Stream &amp; Compound Data'!AO206/$J151*(1-W$127)*(1-W$123)*$K151)</f>
        <v/>
      </c>
      <c r="X151" s="1242" t="str">
        <f>IF(OR(X$122="",$I151=""),"",'I. Stream &amp; Compound Data'!AR206/$J151*(1-X$127)*(1-X$123)*$K151)</f>
        <v/>
      </c>
      <c r="Y151" s="1242" t="str">
        <f>IF(OR(Y$122="",$I151=""),"",'I. Stream &amp; Compound Data'!AU206/$J151*(1-Y$127)*(1-Y$123)*$K151)</f>
        <v/>
      </c>
      <c r="Z151" s="1242" t="str">
        <f>IF(OR(Z$122="",$I151=""),"",'I. Stream &amp; Compound Data'!AX206/$J151*(1-Z$127)*(1-Z$123)*$K151)</f>
        <v/>
      </c>
      <c r="AA151" s="1242" t="str">
        <f>IF(OR(AA$122="",$I151=""),"",'I. Stream &amp; Compound Data'!BA206/$J151*(1-AA$127)*(1-AA$123)*$K151)</f>
        <v/>
      </c>
      <c r="AB151" s="1242" t="str">
        <f>IF(OR(AB$122="",$I151=""),"",'I. Stream &amp; Compound Data'!BD206/$J151*(1-AB$127)*(1-AB$123)*$K151)</f>
        <v/>
      </c>
      <c r="AC151" s="1242" t="str">
        <f>IF(OR(AC$122="",$I151=""),"",'I. Stream &amp; Compound Data'!BG206/$J151*(1-AC$127)*(1-AC$123)*$K151)</f>
        <v/>
      </c>
      <c r="AD151" s="1242" t="str">
        <f>IF(OR(AD$122="",$I151=""),"",'I. Stream &amp; Compound Data'!BJ206/$J151*(1-AD$127)*(1-AD$123)*$K151)</f>
        <v/>
      </c>
      <c r="AE151" s="1242" t="str">
        <f>IF(OR(AE$122="",$I151=""),"",'I. Stream &amp; Compound Data'!BM206/$J151*(1-AE$127)*(1-AE$123)*$K151)</f>
        <v/>
      </c>
      <c r="AF151" s="1242" t="str">
        <f>IF(OR(AF$122="",$I151=""),"",'I. Stream &amp; Compound Data'!BP206/$J151*(1-AF$127)*(1-AF$123)*$K151)</f>
        <v/>
      </c>
      <c r="AG151" s="1242" t="str">
        <f>IF(OR(AG$122="",$I151=""),"",'I. Stream &amp; Compound Data'!BS206/$J151*(1-AG$127)*(1-AG$123)*$K151)</f>
        <v/>
      </c>
      <c r="AH151" s="1242" t="str">
        <f>IF(OR(AH$122="",$I151=""),"",'I. Stream &amp; Compound Data'!BV206/$J151*(1-AH$127)*(1-AH$123)*$K151)</f>
        <v/>
      </c>
      <c r="AI151" s="1242" t="str">
        <f>IF(OR(AI$122="",$I151=""),"",'I. Stream &amp; Compound Data'!BY206/$J151*(1-AI$127)*(1-AI$123)*$K151)</f>
        <v/>
      </c>
      <c r="AJ151" s="1242" t="str">
        <f>IF(OR(AJ$122="",$I151=""),"",'I. Stream &amp; Compound Data'!CB206/$J151*(1-AJ$127)*(1-AJ$123)*$K151)</f>
        <v/>
      </c>
      <c r="AK151" s="1242" t="str">
        <f>IF(OR(AK$122="",$I151=""),"",'I. Stream &amp; Compound Data'!CE206/$J151*(1-AK$127)*(1-AK$123)*$K151)</f>
        <v/>
      </c>
      <c r="AL151" s="1242" t="str">
        <f>IF(OR(AL$122="",$I151=""),"",'I. Stream &amp; Compound Data'!CH206/$J151*(1-AL$127)*(1-AL$123)*$K151)</f>
        <v/>
      </c>
      <c r="AM151" s="1242" t="str">
        <f>IF(OR(AM$122="",$I151=""),"",'I. Stream &amp; Compound Data'!CK206/$J151*(1-AM$127)*(1-AM$123)*$K151)</f>
        <v/>
      </c>
      <c r="AN151" s="1242" t="str">
        <f>IF(OR(AN$122="",$I151=""),"",'I. Stream &amp; Compound Data'!CN206/$J151*(1-AN$127)*(1-AN$123)*$K151)</f>
        <v/>
      </c>
      <c r="AO151" s="1242" t="str">
        <f>IF(OR(AO$122="",$I151=""),"",'I. Stream &amp; Compound Data'!CQ206/$J151*(1-AO$127)*(1-AO$123)*$K151)</f>
        <v/>
      </c>
      <c r="AP151" s="1242" t="str">
        <f>IF(OR(AP$122="",$I151=""),"",'I. Stream &amp; Compound Data'!CT206/$J151*(1-AP$127)*(1-AP$123)*$K151)</f>
        <v/>
      </c>
      <c r="AQ151" s="1242" t="str">
        <f>IF(OR(AQ$122="",$I151=""),"",'I. Stream &amp; Compound Data'!CW206/$J151*(1-AQ$127)*(1-AQ$123)*$K151)</f>
        <v/>
      </c>
      <c r="AR151" s="1242" t="str">
        <f>IF(OR(AR$122="",$I151=""),"",'I. Stream &amp; Compound Data'!CZ206/$J151*(1-AR$127)*(1-AR$123)*$K151)</f>
        <v/>
      </c>
      <c r="AS151" s="1242" t="str">
        <f>IF(OR(AS$122="",$I151=""),"",'I. Stream &amp; Compound Data'!DC206/$J151*(1-AS$127)*(1-AS$123)*$K151)</f>
        <v/>
      </c>
      <c r="AT151" s="1242" t="str">
        <f>IF(OR(AT$122="",$I151=""),"",'I. Stream &amp; Compound Data'!DF206/$J151*(1-AT$127)*(1-AT$123)*$K151)</f>
        <v/>
      </c>
      <c r="AU151" s="1242" t="str">
        <f>IF(OR(AU$122="",$I151=""),"",'I. Stream &amp; Compound Data'!DI206/$J151*(1-AU$127)*(1-AU$123)*$K151)</f>
        <v/>
      </c>
      <c r="AV151" s="1242" t="str">
        <f>IF(OR(AV$122="",$I151=""),"",'I. Stream &amp; Compound Data'!DL206/$J151*(1-AV$127)*(1-AV$123)*$K151)</f>
        <v/>
      </c>
      <c r="AW151" s="1242" t="str">
        <f>IF(OR(AW$122="",$I151=""),"",'I. Stream &amp; Compound Data'!DO206/$J151*(1-AW$127)*(1-AW$123)*$K151)</f>
        <v/>
      </c>
      <c r="AX151" s="1242" t="str">
        <f>IF(OR(AX$122="",$I151=""),"",'I. Stream &amp; Compound Data'!DR206/$J151*(1-AX$127)*(1-AX$123)*$K151)</f>
        <v/>
      </c>
      <c r="AY151" s="1268" t="str">
        <f>IF(OR(AY$122="",$I151=""),"",'I. Stream &amp; Compound Data'!DU206/$J151*(1-AY$127)*(1-AY$123)*$K151)</f>
        <v/>
      </c>
      <c r="AZ151" s="279"/>
      <c r="BA151" s="279"/>
      <c r="BB151" s="279"/>
      <c r="BC151" s="279"/>
      <c r="BD151" s="279"/>
      <c r="BE151" s="279"/>
      <c r="BF151" s="279"/>
      <c r="BG151" s="279"/>
      <c r="BH151" s="279"/>
      <c r="BI151" s="279"/>
      <c r="BJ151" s="279"/>
      <c r="BK151" s="279"/>
      <c r="BL151" s="279"/>
      <c r="BM151" s="279"/>
      <c r="BN151" s="279"/>
      <c r="BO151" s="279"/>
      <c r="BP151" s="279"/>
      <c r="BQ151" s="279"/>
      <c r="BR151" s="279"/>
      <c r="BS151" s="279"/>
      <c r="BT151" s="279"/>
      <c r="BU151" s="279"/>
      <c r="BV151" s="279"/>
      <c r="BW151" s="279"/>
      <c r="BX151" s="279"/>
      <c r="BY151" s="279"/>
      <c r="BZ151" s="279"/>
      <c r="CA151" s="279"/>
      <c r="CB151" s="279"/>
      <c r="CC151" s="279"/>
      <c r="CD151" s="279"/>
      <c r="CE151" s="279"/>
      <c r="CF151" s="279"/>
      <c r="CG151" s="279"/>
      <c r="CH151" s="279"/>
      <c r="CI151" s="279"/>
      <c r="CJ151" s="279"/>
      <c r="CK151" s="279"/>
      <c r="CL151" s="279"/>
      <c r="CM151" s="279"/>
      <c r="CN151" s="382"/>
    </row>
    <row r="152" ht="15.6" x14ac:dyDescent="0.25">
      <c r="B152" s="361"/>
      <c r="C152" s="279"/>
      <c r="D152" s="280"/>
      <c r="E152" s="287"/>
      <c r="F152" s="287"/>
      <c r="G152" s="287"/>
      <c r="H152" s="1292">
        <f t="shared" si="18"/>
        <v>22</v>
      </c>
      <c r="I152" s="1320" t="str">
        <f>IF('I. Stream &amp; Compound Data'!G283&lt;&gt;"",'I. Stream &amp; Compound Data'!G283,"")</f>
        <v/>
      </c>
      <c r="J152" s="1190" t="str">
        <f>IF('I. Stream &amp; Compound Data'!BH283="","",'I. Stream &amp; Compound Data'!BH283)</f>
        <v/>
      </c>
      <c r="K152" s="1306" t="str">
        <f>IF('I. Stream &amp; Compound Data'!G283="","",IF(OR('I. Stream &amp; Compound Data'!U283=1,'I. Stream &amp; Compound Data'!V283=1,'I. Stream &amp; Compound Data'!AY283&lt;25),0,1))</f>
        <v/>
      </c>
      <c r="L152" s="1242" t="str">
        <f>IF(OR(I152="",L$122=""),"",'I. Stream &amp; Compound Data'!H207/$J152*(1-L$127)*(1-L$123)*$K152)</f>
        <v/>
      </c>
      <c r="M152" s="1242" t="str">
        <f>IF(OR(J152="",M$122=""),"",'I. Stream &amp; Compound Data'!K207/$J152*(1-M$127)*(1-M$123)*$K152)</f>
        <v/>
      </c>
      <c r="N152" s="1242" t="str">
        <f>IF(OR(K152="",N$122=""),"",'I. Stream &amp; Compound Data'!N207/$J152*(1-N$127)*(1-N$123)*$K152)</f>
        <v/>
      </c>
      <c r="O152" s="1242" t="str">
        <f>IF(OR(L152="",O$122=""),"",'I. Stream &amp; Compound Data'!Q207/$J152*(1-O$127)*(1-O$123)*$K152)</f>
        <v/>
      </c>
      <c r="P152" s="1242" t="str">
        <f>IF(OR(M152="",P$122=""),"",'I. Stream &amp; Compound Data'!T207/$J152*(1-P$127)*(1-P$123)*$K152)</f>
        <v/>
      </c>
      <c r="Q152" s="1242" t="str">
        <f>IF(OR(N152="",Q$122=""),"",'I. Stream &amp; Compound Data'!W207/$J152*(1-Q$127)*(1-Q$123)*$K152)</f>
        <v/>
      </c>
      <c r="R152" s="1242" t="str">
        <f>IF(OR(O152="",R$122=""),"",'I. Stream &amp; Compound Data'!Z207/$J152*(1-R$127)*(1-R$123)*$K152)</f>
        <v/>
      </c>
      <c r="S152" s="1242" t="str">
        <f>IF(OR(P152="",S$122=""),"",'I. Stream &amp; Compound Data'!AC207/$J152*(1-S$127)*(1-S$123)*$K152)</f>
        <v/>
      </c>
      <c r="T152" s="1242" t="str">
        <f>IF(OR(Q152="",T$122=""),"",'I. Stream &amp; Compound Data'!AF207/$J152*(1-T$127)*(1-T$123)*$K152)</f>
        <v/>
      </c>
      <c r="U152" s="1242" t="str">
        <f>IF(OR(R152="",U$122=""),"",'I. Stream &amp; Compound Data'!AI207/$J152*(1-U$127)*(1-U$123)*$K152)</f>
        <v/>
      </c>
      <c r="V152" s="1242" t="str">
        <f>IF(OR(V$122="",$I152=""),"",'I. Stream &amp; Compound Data'!AL207/$J152*(1-V$127)*(1-V$123)*$K152)</f>
        <v/>
      </c>
      <c r="W152" s="1242" t="str">
        <f>IF(OR(W$122="",$I152=""),"",'I. Stream &amp; Compound Data'!AO207/$J152*(1-W$127)*(1-W$123)*$K152)</f>
        <v/>
      </c>
      <c r="X152" s="1242" t="str">
        <f>IF(OR(X$122="",$I152=""),"",'I. Stream &amp; Compound Data'!AR207/$J152*(1-X$127)*(1-X$123)*$K152)</f>
        <v/>
      </c>
      <c r="Y152" s="1242" t="str">
        <f>IF(OR(Y$122="",$I152=""),"",'I. Stream &amp; Compound Data'!AU207/$J152*(1-Y$127)*(1-Y$123)*$K152)</f>
        <v/>
      </c>
      <c r="Z152" s="1242" t="str">
        <f>IF(OR(Z$122="",$I152=""),"",'I. Stream &amp; Compound Data'!AX207/$J152*(1-Z$127)*(1-Z$123)*$K152)</f>
        <v/>
      </c>
      <c r="AA152" s="1242" t="str">
        <f>IF(OR(AA$122="",$I152=""),"",'I. Stream &amp; Compound Data'!BA207/$J152*(1-AA$127)*(1-AA$123)*$K152)</f>
        <v/>
      </c>
      <c r="AB152" s="1242" t="str">
        <f>IF(OR(AB$122="",$I152=""),"",'I. Stream &amp; Compound Data'!BD207/$J152*(1-AB$127)*(1-AB$123)*$K152)</f>
        <v/>
      </c>
      <c r="AC152" s="1242" t="str">
        <f>IF(OR(AC$122="",$I152=""),"",'I. Stream &amp; Compound Data'!BG207/$J152*(1-AC$127)*(1-AC$123)*$K152)</f>
        <v/>
      </c>
      <c r="AD152" s="1242" t="str">
        <f>IF(OR(AD$122="",$I152=""),"",'I. Stream &amp; Compound Data'!BJ207/$J152*(1-AD$127)*(1-AD$123)*$K152)</f>
        <v/>
      </c>
      <c r="AE152" s="1242" t="str">
        <f>IF(OR(AE$122="",$I152=""),"",'I. Stream &amp; Compound Data'!BM207/$J152*(1-AE$127)*(1-AE$123)*$K152)</f>
        <v/>
      </c>
      <c r="AF152" s="1242" t="str">
        <f>IF(OR(AF$122="",$I152=""),"",'I. Stream &amp; Compound Data'!BP207/$J152*(1-AF$127)*(1-AF$123)*$K152)</f>
        <v/>
      </c>
      <c r="AG152" s="1242" t="str">
        <f>IF(OR(AG$122="",$I152=""),"",'I. Stream &amp; Compound Data'!BS207/$J152*(1-AG$127)*(1-AG$123)*$K152)</f>
        <v/>
      </c>
      <c r="AH152" s="1242" t="str">
        <f>IF(OR(AH$122="",$I152=""),"",'I. Stream &amp; Compound Data'!BV207/$J152*(1-AH$127)*(1-AH$123)*$K152)</f>
        <v/>
      </c>
      <c r="AI152" s="1242" t="str">
        <f>IF(OR(AI$122="",$I152=""),"",'I. Stream &amp; Compound Data'!BY207/$J152*(1-AI$127)*(1-AI$123)*$K152)</f>
        <v/>
      </c>
      <c r="AJ152" s="1242" t="str">
        <f>IF(OR(AJ$122="",$I152=""),"",'I. Stream &amp; Compound Data'!CB207/$J152*(1-AJ$127)*(1-AJ$123)*$K152)</f>
        <v/>
      </c>
      <c r="AK152" s="1242" t="str">
        <f>IF(OR(AK$122="",$I152=""),"",'I. Stream &amp; Compound Data'!CE207/$J152*(1-AK$127)*(1-AK$123)*$K152)</f>
        <v/>
      </c>
      <c r="AL152" s="1242" t="str">
        <f>IF(OR(AL$122="",$I152=""),"",'I. Stream &amp; Compound Data'!CH207/$J152*(1-AL$127)*(1-AL$123)*$K152)</f>
        <v/>
      </c>
      <c r="AM152" s="1242" t="str">
        <f>IF(OR(AM$122="",$I152=""),"",'I. Stream &amp; Compound Data'!CK207/$J152*(1-AM$127)*(1-AM$123)*$K152)</f>
        <v/>
      </c>
      <c r="AN152" s="1242" t="str">
        <f>IF(OR(AN$122="",$I152=""),"",'I. Stream &amp; Compound Data'!CN207/$J152*(1-AN$127)*(1-AN$123)*$K152)</f>
        <v/>
      </c>
      <c r="AO152" s="1242" t="str">
        <f>IF(OR(AO$122="",$I152=""),"",'I. Stream &amp; Compound Data'!CQ207/$J152*(1-AO$127)*(1-AO$123)*$K152)</f>
        <v/>
      </c>
      <c r="AP152" s="1242" t="str">
        <f>IF(OR(AP$122="",$I152=""),"",'I. Stream &amp; Compound Data'!CT207/$J152*(1-AP$127)*(1-AP$123)*$K152)</f>
        <v/>
      </c>
      <c r="AQ152" s="1242" t="str">
        <f>IF(OR(AQ$122="",$I152=""),"",'I. Stream &amp; Compound Data'!CW207/$J152*(1-AQ$127)*(1-AQ$123)*$K152)</f>
        <v/>
      </c>
      <c r="AR152" s="1242" t="str">
        <f>IF(OR(AR$122="",$I152=""),"",'I. Stream &amp; Compound Data'!CZ207/$J152*(1-AR$127)*(1-AR$123)*$K152)</f>
        <v/>
      </c>
      <c r="AS152" s="1242" t="str">
        <f>IF(OR(AS$122="",$I152=""),"",'I. Stream &amp; Compound Data'!DC207/$J152*(1-AS$127)*(1-AS$123)*$K152)</f>
        <v/>
      </c>
      <c r="AT152" s="1242" t="str">
        <f>IF(OR(AT$122="",$I152=""),"",'I. Stream &amp; Compound Data'!DF207/$J152*(1-AT$127)*(1-AT$123)*$K152)</f>
        <v/>
      </c>
      <c r="AU152" s="1242" t="str">
        <f>IF(OR(AU$122="",$I152=""),"",'I. Stream &amp; Compound Data'!DI207/$J152*(1-AU$127)*(1-AU$123)*$K152)</f>
        <v/>
      </c>
      <c r="AV152" s="1242" t="str">
        <f>IF(OR(AV$122="",$I152=""),"",'I. Stream &amp; Compound Data'!DL207/$J152*(1-AV$127)*(1-AV$123)*$K152)</f>
        <v/>
      </c>
      <c r="AW152" s="1242" t="str">
        <f>IF(OR(AW$122="",$I152=""),"",'I. Stream &amp; Compound Data'!DO207/$J152*(1-AW$127)*(1-AW$123)*$K152)</f>
        <v/>
      </c>
      <c r="AX152" s="1242" t="str">
        <f>IF(OR(AX$122="",$I152=""),"",'I. Stream &amp; Compound Data'!DR207/$J152*(1-AX$127)*(1-AX$123)*$K152)</f>
        <v/>
      </c>
      <c r="AY152" s="1268" t="str">
        <f>IF(OR(AY$122="",$I152=""),"",'I. Stream &amp; Compound Data'!DU207/$J152*(1-AY$127)*(1-AY$123)*$K152)</f>
        <v/>
      </c>
      <c r="AZ152" s="279"/>
      <c r="BA152" s="279"/>
      <c r="BB152" s="279"/>
      <c r="BC152" s="279"/>
      <c r="BD152" s="279"/>
      <c r="BE152" s="279"/>
      <c r="BF152" s="279"/>
      <c r="BG152" s="279"/>
      <c r="BH152" s="279"/>
      <c r="BI152" s="279"/>
      <c r="BJ152" s="279"/>
      <c r="BK152" s="279"/>
      <c r="BL152" s="279"/>
      <c r="BM152" s="279"/>
      <c r="BN152" s="279"/>
      <c r="BO152" s="279"/>
      <c r="BP152" s="279"/>
      <c r="BQ152" s="279"/>
      <c r="BR152" s="279"/>
      <c r="BS152" s="279"/>
      <c r="BT152" s="279"/>
      <c r="BU152" s="279"/>
      <c r="BV152" s="279"/>
      <c r="BW152" s="279"/>
      <c r="BX152" s="279"/>
      <c r="BY152" s="279"/>
      <c r="BZ152" s="279"/>
      <c r="CA152" s="279"/>
      <c r="CB152" s="279"/>
      <c r="CC152" s="279"/>
      <c r="CD152" s="279"/>
      <c r="CE152" s="279"/>
      <c r="CF152" s="279"/>
      <c r="CG152" s="279"/>
      <c r="CH152" s="279"/>
      <c r="CI152" s="279"/>
      <c r="CJ152" s="279"/>
      <c r="CK152" s="279"/>
      <c r="CL152" s="279"/>
      <c r="CM152" s="279"/>
      <c r="CN152" s="382"/>
    </row>
    <row r="153" ht="15.6" x14ac:dyDescent="0.25">
      <c r="B153" s="361"/>
      <c r="C153" s="279"/>
      <c r="D153" s="280"/>
      <c r="E153" s="287"/>
      <c r="F153" s="287"/>
      <c r="G153" s="287"/>
      <c r="H153" s="1292">
        <f t="shared" si="18"/>
        <v>23</v>
      </c>
      <c r="I153" s="1320" t="str">
        <f>IF('I. Stream &amp; Compound Data'!G284&lt;&gt;"",'I. Stream &amp; Compound Data'!G284,"")</f>
        <v/>
      </c>
      <c r="J153" s="1190" t="str">
        <f>IF('I. Stream &amp; Compound Data'!BH284="","",'I. Stream &amp; Compound Data'!BH284)</f>
        <v/>
      </c>
      <c r="K153" s="1306" t="str">
        <f>IF('I. Stream &amp; Compound Data'!G284="","",IF(OR('I. Stream &amp; Compound Data'!U284=1,'I. Stream &amp; Compound Data'!V284=1,'I. Stream &amp; Compound Data'!AY284&lt;25),0,1))</f>
        <v/>
      </c>
      <c r="L153" s="1242" t="str">
        <f>IF(OR(I153="",L$122=""),"",'I. Stream &amp; Compound Data'!H208/$J153*(1-L$127)*(1-L$123)*$K153)</f>
        <v/>
      </c>
      <c r="M153" s="1242" t="str">
        <f>IF(OR(J153="",M$122=""),"",'I. Stream &amp; Compound Data'!K208/$J153*(1-M$127)*(1-M$123)*$K153)</f>
        <v/>
      </c>
      <c r="N153" s="1242" t="str">
        <f>IF(OR(K153="",N$122=""),"",'I. Stream &amp; Compound Data'!N208/$J153*(1-N$127)*(1-N$123)*$K153)</f>
        <v/>
      </c>
      <c r="O153" s="1242" t="str">
        <f>IF(OR(L153="",O$122=""),"",'I. Stream &amp; Compound Data'!Q208/$J153*(1-O$127)*(1-O$123)*$K153)</f>
        <v/>
      </c>
      <c r="P153" s="1242" t="str">
        <f>IF(OR(M153="",P$122=""),"",'I. Stream &amp; Compound Data'!T208/$J153*(1-P$127)*(1-P$123)*$K153)</f>
        <v/>
      </c>
      <c r="Q153" s="1242" t="str">
        <f>IF(OR(N153="",Q$122=""),"",'I. Stream &amp; Compound Data'!W208/$J153*(1-Q$127)*(1-Q$123)*$K153)</f>
        <v/>
      </c>
      <c r="R153" s="1242" t="str">
        <f>IF(OR(O153="",R$122=""),"",'I. Stream &amp; Compound Data'!Z208/$J153*(1-R$127)*(1-R$123)*$K153)</f>
        <v/>
      </c>
      <c r="S153" s="1242" t="str">
        <f>IF(OR(P153="",S$122=""),"",'I. Stream &amp; Compound Data'!AC208/$J153*(1-S$127)*(1-S$123)*$K153)</f>
        <v/>
      </c>
      <c r="T153" s="1242" t="str">
        <f>IF(OR(Q153="",T$122=""),"",'I. Stream &amp; Compound Data'!AF208/$J153*(1-T$127)*(1-T$123)*$K153)</f>
        <v/>
      </c>
      <c r="U153" s="1242" t="str">
        <f>IF(OR(R153="",U$122=""),"",'I. Stream &amp; Compound Data'!AI208/$J153*(1-U$127)*(1-U$123)*$K153)</f>
        <v/>
      </c>
      <c r="V153" s="1242" t="str">
        <f>IF(OR(V$122="",$I153=""),"",'I. Stream &amp; Compound Data'!AL208/$J153*(1-V$127)*(1-V$123)*$K153)</f>
        <v/>
      </c>
      <c r="W153" s="1242" t="str">
        <f>IF(OR(W$122="",$I153=""),"",'I. Stream &amp; Compound Data'!AO208/$J153*(1-W$127)*(1-W$123)*$K153)</f>
        <v/>
      </c>
      <c r="X153" s="1242" t="str">
        <f>IF(OR(X$122="",$I153=""),"",'I. Stream &amp; Compound Data'!AR208/$J153*(1-X$127)*(1-X$123)*$K153)</f>
        <v/>
      </c>
      <c r="Y153" s="1242" t="str">
        <f>IF(OR(Y$122="",$I153=""),"",'I. Stream &amp; Compound Data'!AU208/$J153*(1-Y$127)*(1-Y$123)*$K153)</f>
        <v/>
      </c>
      <c r="Z153" s="1242" t="str">
        <f>IF(OR(Z$122="",$I153=""),"",'I. Stream &amp; Compound Data'!AX208/$J153*(1-Z$127)*(1-Z$123)*$K153)</f>
        <v/>
      </c>
      <c r="AA153" s="1242" t="str">
        <f>IF(OR(AA$122="",$I153=""),"",'I. Stream &amp; Compound Data'!BA208/$J153*(1-AA$127)*(1-AA$123)*$K153)</f>
        <v/>
      </c>
      <c r="AB153" s="1242" t="str">
        <f>IF(OR(AB$122="",$I153=""),"",'I. Stream &amp; Compound Data'!BD208/$J153*(1-AB$127)*(1-AB$123)*$K153)</f>
        <v/>
      </c>
      <c r="AC153" s="1242" t="str">
        <f>IF(OR(AC$122="",$I153=""),"",'I. Stream &amp; Compound Data'!BG208/$J153*(1-AC$127)*(1-AC$123)*$K153)</f>
        <v/>
      </c>
      <c r="AD153" s="1242" t="str">
        <f>IF(OR(AD$122="",$I153=""),"",'I. Stream &amp; Compound Data'!BJ208/$J153*(1-AD$127)*(1-AD$123)*$K153)</f>
        <v/>
      </c>
      <c r="AE153" s="1242" t="str">
        <f>IF(OR(AE$122="",$I153=""),"",'I. Stream &amp; Compound Data'!BM208/$J153*(1-AE$127)*(1-AE$123)*$K153)</f>
        <v/>
      </c>
      <c r="AF153" s="1242" t="str">
        <f>IF(OR(AF$122="",$I153=""),"",'I. Stream &amp; Compound Data'!BP208/$J153*(1-AF$127)*(1-AF$123)*$K153)</f>
        <v/>
      </c>
      <c r="AG153" s="1242" t="str">
        <f>IF(OR(AG$122="",$I153=""),"",'I. Stream &amp; Compound Data'!BS208/$J153*(1-AG$127)*(1-AG$123)*$K153)</f>
        <v/>
      </c>
      <c r="AH153" s="1242" t="str">
        <f>IF(OR(AH$122="",$I153=""),"",'I. Stream &amp; Compound Data'!BV208/$J153*(1-AH$127)*(1-AH$123)*$K153)</f>
        <v/>
      </c>
      <c r="AI153" s="1242" t="str">
        <f>IF(OR(AI$122="",$I153=""),"",'I. Stream &amp; Compound Data'!BY208/$J153*(1-AI$127)*(1-AI$123)*$K153)</f>
        <v/>
      </c>
      <c r="AJ153" s="1242" t="str">
        <f>IF(OR(AJ$122="",$I153=""),"",'I. Stream &amp; Compound Data'!CB208/$J153*(1-AJ$127)*(1-AJ$123)*$K153)</f>
        <v/>
      </c>
      <c r="AK153" s="1242" t="str">
        <f>IF(OR(AK$122="",$I153=""),"",'I. Stream &amp; Compound Data'!CE208/$J153*(1-AK$127)*(1-AK$123)*$K153)</f>
        <v/>
      </c>
      <c r="AL153" s="1242" t="str">
        <f>IF(OR(AL$122="",$I153=""),"",'I. Stream &amp; Compound Data'!CH208/$J153*(1-AL$127)*(1-AL$123)*$K153)</f>
        <v/>
      </c>
      <c r="AM153" s="1242" t="str">
        <f>IF(OR(AM$122="",$I153=""),"",'I. Stream &amp; Compound Data'!CK208/$J153*(1-AM$127)*(1-AM$123)*$K153)</f>
        <v/>
      </c>
      <c r="AN153" s="1242" t="str">
        <f>IF(OR(AN$122="",$I153=""),"",'I. Stream &amp; Compound Data'!CN208/$J153*(1-AN$127)*(1-AN$123)*$K153)</f>
        <v/>
      </c>
      <c r="AO153" s="1242" t="str">
        <f>IF(OR(AO$122="",$I153=""),"",'I. Stream &amp; Compound Data'!CQ208/$J153*(1-AO$127)*(1-AO$123)*$K153)</f>
        <v/>
      </c>
      <c r="AP153" s="1242" t="str">
        <f>IF(OR(AP$122="",$I153=""),"",'I. Stream &amp; Compound Data'!CT208/$J153*(1-AP$127)*(1-AP$123)*$K153)</f>
        <v/>
      </c>
      <c r="AQ153" s="1242" t="str">
        <f>IF(OR(AQ$122="",$I153=""),"",'I. Stream &amp; Compound Data'!CW208/$J153*(1-AQ$127)*(1-AQ$123)*$K153)</f>
        <v/>
      </c>
      <c r="AR153" s="1242" t="str">
        <f>IF(OR(AR$122="",$I153=""),"",'I. Stream &amp; Compound Data'!CZ208/$J153*(1-AR$127)*(1-AR$123)*$K153)</f>
        <v/>
      </c>
      <c r="AS153" s="1242" t="str">
        <f>IF(OR(AS$122="",$I153=""),"",'I. Stream &amp; Compound Data'!DC208/$J153*(1-AS$127)*(1-AS$123)*$K153)</f>
        <v/>
      </c>
      <c r="AT153" s="1242" t="str">
        <f>IF(OR(AT$122="",$I153=""),"",'I. Stream &amp; Compound Data'!DF208/$J153*(1-AT$127)*(1-AT$123)*$K153)</f>
        <v/>
      </c>
      <c r="AU153" s="1242" t="str">
        <f>IF(OR(AU$122="",$I153=""),"",'I. Stream &amp; Compound Data'!DI208/$J153*(1-AU$127)*(1-AU$123)*$K153)</f>
        <v/>
      </c>
      <c r="AV153" s="1242" t="str">
        <f>IF(OR(AV$122="",$I153=""),"",'I. Stream &amp; Compound Data'!DL208/$J153*(1-AV$127)*(1-AV$123)*$K153)</f>
        <v/>
      </c>
      <c r="AW153" s="1242" t="str">
        <f>IF(OR(AW$122="",$I153=""),"",'I. Stream &amp; Compound Data'!DO208/$J153*(1-AW$127)*(1-AW$123)*$K153)</f>
        <v/>
      </c>
      <c r="AX153" s="1242" t="str">
        <f>IF(OR(AX$122="",$I153=""),"",'I. Stream &amp; Compound Data'!DR208/$J153*(1-AX$127)*(1-AX$123)*$K153)</f>
        <v/>
      </c>
      <c r="AY153" s="1268" t="str">
        <f>IF(OR(AY$122="",$I153=""),"",'I. Stream &amp; Compound Data'!DU208/$J153*(1-AY$127)*(1-AY$123)*$K153)</f>
        <v/>
      </c>
      <c r="AZ153" s="279"/>
      <c r="BA153" s="279"/>
      <c r="BB153" s="279"/>
      <c r="BC153" s="279"/>
      <c r="BD153" s="279"/>
      <c r="BE153" s="279"/>
      <c r="BF153" s="279"/>
      <c r="BG153" s="279"/>
      <c r="BH153" s="279"/>
      <c r="BI153" s="279"/>
      <c r="BJ153" s="279"/>
      <c r="BK153" s="279"/>
      <c r="BL153" s="279"/>
      <c r="BM153" s="279"/>
      <c r="BN153" s="279"/>
      <c r="BO153" s="279"/>
      <c r="BP153" s="279"/>
      <c r="BQ153" s="279"/>
      <c r="BR153" s="279"/>
      <c r="BS153" s="279"/>
      <c r="BT153" s="279"/>
      <c r="BU153" s="279"/>
      <c r="BV153" s="279"/>
      <c r="BW153" s="279"/>
      <c r="BX153" s="279"/>
      <c r="BY153" s="279"/>
      <c r="BZ153" s="279"/>
      <c r="CA153" s="279"/>
      <c r="CB153" s="279"/>
      <c r="CC153" s="279"/>
      <c r="CD153" s="279"/>
      <c r="CE153" s="279"/>
      <c r="CF153" s="279"/>
      <c r="CG153" s="279"/>
      <c r="CH153" s="279"/>
      <c r="CI153" s="279"/>
      <c r="CJ153" s="279"/>
      <c r="CK153" s="279"/>
      <c r="CL153" s="279"/>
      <c r="CM153" s="279"/>
      <c r="CN153" s="382"/>
    </row>
    <row r="154" ht="15.6" x14ac:dyDescent="0.25">
      <c r="B154" s="361"/>
      <c r="C154" s="279"/>
      <c r="D154" s="280"/>
      <c r="E154" s="287"/>
      <c r="F154" s="287"/>
      <c r="G154" s="287"/>
      <c r="H154" s="1292">
        <f t="shared" si="18"/>
        <v>24</v>
      </c>
      <c r="I154" s="1320" t="str">
        <f>IF('I. Stream &amp; Compound Data'!G285&lt;&gt;"",'I. Stream &amp; Compound Data'!G285,"")</f>
        <v/>
      </c>
      <c r="J154" s="1190" t="str">
        <f>IF('I. Stream &amp; Compound Data'!BH285="","",'I. Stream &amp; Compound Data'!BH285)</f>
        <v/>
      </c>
      <c r="K154" s="1306" t="str">
        <f>IF('I. Stream &amp; Compound Data'!G285="","",IF(OR('I. Stream &amp; Compound Data'!U285=1,'I. Stream &amp; Compound Data'!V285=1,'I. Stream &amp; Compound Data'!AY285&lt;25),0,1))</f>
        <v/>
      </c>
      <c r="L154" s="1242" t="str">
        <f>IF(OR(I154="",L$122=""),"",'I. Stream &amp; Compound Data'!H209/$J154*(1-L$127)*(1-L$123)*$K154)</f>
        <v/>
      </c>
      <c r="M154" s="1242" t="str">
        <f>IF(OR(J154="",M$122=""),"",'I. Stream &amp; Compound Data'!K209/$J154*(1-M$127)*(1-M$123)*$K154)</f>
        <v/>
      </c>
      <c r="N154" s="1242" t="str">
        <f>IF(OR(K154="",N$122=""),"",'I. Stream &amp; Compound Data'!N209/$J154*(1-N$127)*(1-N$123)*$K154)</f>
        <v/>
      </c>
      <c r="O154" s="1242" t="str">
        <f>IF(OR(L154="",O$122=""),"",'I. Stream &amp; Compound Data'!Q209/$J154*(1-O$127)*(1-O$123)*$K154)</f>
        <v/>
      </c>
      <c r="P154" s="1242" t="str">
        <f>IF(OR(M154="",P$122=""),"",'I. Stream &amp; Compound Data'!T209/$J154*(1-P$127)*(1-P$123)*$K154)</f>
        <v/>
      </c>
      <c r="Q154" s="1242" t="str">
        <f>IF(OR(N154="",Q$122=""),"",'I. Stream &amp; Compound Data'!W209/$J154*(1-Q$127)*(1-Q$123)*$K154)</f>
        <v/>
      </c>
      <c r="R154" s="1242" t="str">
        <f>IF(OR(O154="",R$122=""),"",'I. Stream &amp; Compound Data'!Z209/$J154*(1-R$127)*(1-R$123)*$K154)</f>
        <v/>
      </c>
      <c r="S154" s="1242" t="str">
        <f>IF(OR(P154="",S$122=""),"",'I. Stream &amp; Compound Data'!AC209/$J154*(1-S$127)*(1-S$123)*$K154)</f>
        <v/>
      </c>
      <c r="T154" s="1242" t="str">
        <f>IF(OR(Q154="",T$122=""),"",'I. Stream &amp; Compound Data'!AF209/$J154*(1-T$127)*(1-T$123)*$K154)</f>
        <v/>
      </c>
      <c r="U154" s="1242" t="str">
        <f>IF(OR(R154="",U$122=""),"",'I. Stream &amp; Compound Data'!AI209/$J154*(1-U$127)*(1-U$123)*$K154)</f>
        <v/>
      </c>
      <c r="V154" s="1242" t="str">
        <f>IF(OR(V$122="",$I154=""),"",'I. Stream &amp; Compound Data'!AL209/$J154*(1-V$127)*(1-V$123)*$K154)</f>
        <v/>
      </c>
      <c r="W154" s="1242" t="str">
        <f>IF(OR(W$122="",$I154=""),"",'I. Stream &amp; Compound Data'!AO209/$J154*(1-W$127)*(1-W$123)*$K154)</f>
        <v/>
      </c>
      <c r="X154" s="1242" t="str">
        <f>IF(OR(X$122="",$I154=""),"",'I. Stream &amp; Compound Data'!AR209/$J154*(1-X$127)*(1-X$123)*$K154)</f>
        <v/>
      </c>
      <c r="Y154" s="1242" t="str">
        <f>IF(OR(Y$122="",$I154=""),"",'I. Stream &amp; Compound Data'!AU209/$J154*(1-Y$127)*(1-Y$123)*$K154)</f>
        <v/>
      </c>
      <c r="Z154" s="1242" t="str">
        <f>IF(OR(Z$122="",$I154=""),"",'I. Stream &amp; Compound Data'!AX209/$J154*(1-Z$127)*(1-Z$123)*$K154)</f>
        <v/>
      </c>
      <c r="AA154" s="1242" t="str">
        <f>IF(OR(AA$122="",$I154=""),"",'I. Stream &amp; Compound Data'!BA209/$J154*(1-AA$127)*(1-AA$123)*$K154)</f>
        <v/>
      </c>
      <c r="AB154" s="1242" t="str">
        <f>IF(OR(AB$122="",$I154=""),"",'I. Stream &amp; Compound Data'!BD209/$J154*(1-AB$127)*(1-AB$123)*$K154)</f>
        <v/>
      </c>
      <c r="AC154" s="1242" t="str">
        <f>IF(OR(AC$122="",$I154=""),"",'I. Stream &amp; Compound Data'!BG209/$J154*(1-AC$127)*(1-AC$123)*$K154)</f>
        <v/>
      </c>
      <c r="AD154" s="1242" t="str">
        <f>IF(OR(AD$122="",$I154=""),"",'I. Stream &amp; Compound Data'!BJ209/$J154*(1-AD$127)*(1-AD$123)*$K154)</f>
        <v/>
      </c>
      <c r="AE154" s="1242" t="str">
        <f>IF(OR(AE$122="",$I154=""),"",'I. Stream &amp; Compound Data'!BM209/$J154*(1-AE$127)*(1-AE$123)*$K154)</f>
        <v/>
      </c>
      <c r="AF154" s="1242" t="str">
        <f>IF(OR(AF$122="",$I154=""),"",'I. Stream &amp; Compound Data'!BP209/$J154*(1-AF$127)*(1-AF$123)*$K154)</f>
        <v/>
      </c>
      <c r="AG154" s="1242" t="str">
        <f>IF(OR(AG$122="",$I154=""),"",'I. Stream &amp; Compound Data'!BS209/$J154*(1-AG$127)*(1-AG$123)*$K154)</f>
        <v/>
      </c>
      <c r="AH154" s="1242" t="str">
        <f>IF(OR(AH$122="",$I154=""),"",'I. Stream &amp; Compound Data'!BV209/$J154*(1-AH$127)*(1-AH$123)*$K154)</f>
        <v/>
      </c>
      <c r="AI154" s="1242" t="str">
        <f>IF(OR(AI$122="",$I154=""),"",'I. Stream &amp; Compound Data'!BY209/$J154*(1-AI$127)*(1-AI$123)*$K154)</f>
        <v/>
      </c>
      <c r="AJ154" s="1242" t="str">
        <f>IF(OR(AJ$122="",$I154=""),"",'I. Stream &amp; Compound Data'!CB209/$J154*(1-AJ$127)*(1-AJ$123)*$K154)</f>
        <v/>
      </c>
      <c r="AK154" s="1242" t="str">
        <f>IF(OR(AK$122="",$I154=""),"",'I. Stream &amp; Compound Data'!CE209/$J154*(1-AK$127)*(1-AK$123)*$K154)</f>
        <v/>
      </c>
      <c r="AL154" s="1242" t="str">
        <f>IF(OR(AL$122="",$I154=""),"",'I. Stream &amp; Compound Data'!CH209/$J154*(1-AL$127)*(1-AL$123)*$K154)</f>
        <v/>
      </c>
      <c r="AM154" s="1242" t="str">
        <f>IF(OR(AM$122="",$I154=""),"",'I. Stream &amp; Compound Data'!CK209/$J154*(1-AM$127)*(1-AM$123)*$K154)</f>
        <v/>
      </c>
      <c r="AN154" s="1242" t="str">
        <f>IF(OR(AN$122="",$I154=""),"",'I. Stream &amp; Compound Data'!CN209/$J154*(1-AN$127)*(1-AN$123)*$K154)</f>
        <v/>
      </c>
      <c r="AO154" s="1242" t="str">
        <f>IF(OR(AO$122="",$I154=""),"",'I. Stream &amp; Compound Data'!CQ209/$J154*(1-AO$127)*(1-AO$123)*$K154)</f>
        <v/>
      </c>
      <c r="AP154" s="1242" t="str">
        <f>IF(OR(AP$122="",$I154=""),"",'I. Stream &amp; Compound Data'!CT209/$J154*(1-AP$127)*(1-AP$123)*$K154)</f>
        <v/>
      </c>
      <c r="AQ154" s="1242" t="str">
        <f>IF(OR(AQ$122="",$I154=""),"",'I. Stream &amp; Compound Data'!CW209/$J154*(1-AQ$127)*(1-AQ$123)*$K154)</f>
        <v/>
      </c>
      <c r="AR154" s="1242" t="str">
        <f>IF(OR(AR$122="",$I154=""),"",'I. Stream &amp; Compound Data'!CZ209/$J154*(1-AR$127)*(1-AR$123)*$K154)</f>
        <v/>
      </c>
      <c r="AS154" s="1242" t="str">
        <f>IF(OR(AS$122="",$I154=""),"",'I. Stream &amp; Compound Data'!DC209/$J154*(1-AS$127)*(1-AS$123)*$K154)</f>
        <v/>
      </c>
      <c r="AT154" s="1242" t="str">
        <f>IF(OR(AT$122="",$I154=""),"",'I. Stream &amp; Compound Data'!DF209/$J154*(1-AT$127)*(1-AT$123)*$K154)</f>
        <v/>
      </c>
      <c r="AU154" s="1242" t="str">
        <f>IF(OR(AU$122="",$I154=""),"",'I. Stream &amp; Compound Data'!DI209/$J154*(1-AU$127)*(1-AU$123)*$K154)</f>
        <v/>
      </c>
      <c r="AV154" s="1242" t="str">
        <f>IF(OR(AV$122="",$I154=""),"",'I. Stream &amp; Compound Data'!DL209/$J154*(1-AV$127)*(1-AV$123)*$K154)</f>
        <v/>
      </c>
      <c r="AW154" s="1242" t="str">
        <f>IF(OR(AW$122="",$I154=""),"",'I. Stream &amp; Compound Data'!DO209/$J154*(1-AW$127)*(1-AW$123)*$K154)</f>
        <v/>
      </c>
      <c r="AX154" s="1242" t="str">
        <f>IF(OR(AX$122="",$I154=""),"",'I. Stream &amp; Compound Data'!DR209/$J154*(1-AX$127)*(1-AX$123)*$K154)</f>
        <v/>
      </c>
      <c r="AY154" s="1268" t="str">
        <f>IF(OR(AY$122="",$I154=""),"",'I. Stream &amp; Compound Data'!DU209/$J154*(1-AY$127)*(1-AY$123)*$K154)</f>
        <v/>
      </c>
      <c r="AZ154" s="279"/>
      <c r="BA154" s="279"/>
      <c r="BB154" s="279"/>
      <c r="BC154" s="279"/>
      <c r="BD154" s="279"/>
      <c r="BE154" s="279"/>
      <c r="BF154" s="279"/>
      <c r="BG154" s="279"/>
      <c r="BH154" s="279"/>
      <c r="BI154" s="279"/>
      <c r="BJ154" s="279"/>
      <c r="BK154" s="279"/>
      <c r="BL154" s="279"/>
      <c r="BM154" s="279"/>
      <c r="BN154" s="279"/>
      <c r="BO154" s="279"/>
      <c r="BP154" s="279"/>
      <c r="BQ154" s="279"/>
      <c r="BR154" s="279"/>
      <c r="BS154" s="279"/>
      <c r="BT154" s="279"/>
      <c r="BU154" s="279"/>
      <c r="BV154" s="279"/>
      <c r="BW154" s="279"/>
      <c r="BX154" s="279"/>
      <c r="BY154" s="279"/>
      <c r="BZ154" s="279"/>
      <c r="CA154" s="279"/>
      <c r="CB154" s="279"/>
      <c r="CC154" s="279"/>
      <c r="CD154" s="279"/>
      <c r="CE154" s="279"/>
      <c r="CF154" s="279"/>
      <c r="CG154" s="279"/>
      <c r="CH154" s="279"/>
      <c r="CI154" s="279"/>
      <c r="CJ154" s="279"/>
      <c r="CK154" s="279"/>
      <c r="CL154" s="279"/>
      <c r="CM154" s="279"/>
      <c r="CN154" s="382"/>
    </row>
    <row r="155" ht="15.6" x14ac:dyDescent="0.25">
      <c r="B155" s="361"/>
      <c r="C155" s="279"/>
      <c r="D155" s="280"/>
      <c r="E155" s="287"/>
      <c r="F155" s="287"/>
      <c r="G155" s="287"/>
      <c r="H155" s="1292">
        <f t="shared" si="18"/>
        <v>25</v>
      </c>
      <c r="I155" s="1320" t="str">
        <f>IF('I. Stream &amp; Compound Data'!G286&lt;&gt;"",'I. Stream &amp; Compound Data'!G286,"")</f>
        <v/>
      </c>
      <c r="J155" s="1190" t="str">
        <f>IF('I. Stream &amp; Compound Data'!BH286="","",'I. Stream &amp; Compound Data'!BH286)</f>
        <v/>
      </c>
      <c r="K155" s="1306" t="str">
        <f>IF('I. Stream &amp; Compound Data'!G286="","",IF(OR('I. Stream &amp; Compound Data'!U286=1,'I. Stream &amp; Compound Data'!V286=1,'I. Stream &amp; Compound Data'!AY286&lt;25),0,1))</f>
        <v/>
      </c>
      <c r="L155" s="1242" t="str">
        <f>IF(OR(I155="",L$122=""),"",'I. Stream &amp; Compound Data'!H210/$J155*(1-L$127)*(1-L$123)*$K155)</f>
        <v/>
      </c>
      <c r="M155" s="1242" t="str">
        <f>IF(OR(J155="",M$122=""),"",'I. Stream &amp; Compound Data'!K210/$J155*(1-M$127)*(1-M$123)*$K155)</f>
        <v/>
      </c>
      <c r="N155" s="1242" t="str">
        <f>IF(OR(K155="",N$122=""),"",'I. Stream &amp; Compound Data'!N210/$J155*(1-N$127)*(1-N$123)*$K155)</f>
        <v/>
      </c>
      <c r="O155" s="1242" t="str">
        <f>IF(OR(L155="",O$122=""),"",'I. Stream &amp; Compound Data'!Q210/$J155*(1-O$127)*(1-O$123)*$K155)</f>
        <v/>
      </c>
      <c r="P155" s="1242" t="str">
        <f>IF(OR(M155="",P$122=""),"",'I. Stream &amp; Compound Data'!T210/$J155*(1-P$127)*(1-P$123)*$K155)</f>
        <v/>
      </c>
      <c r="Q155" s="1242" t="str">
        <f>IF(OR(N155="",Q$122=""),"",'I. Stream &amp; Compound Data'!W210/$J155*(1-Q$127)*(1-Q$123)*$K155)</f>
        <v/>
      </c>
      <c r="R155" s="1242" t="str">
        <f>IF(OR(O155="",R$122=""),"",'I. Stream &amp; Compound Data'!Z210/$J155*(1-R$127)*(1-R$123)*$K155)</f>
        <v/>
      </c>
      <c r="S155" s="1242" t="str">
        <f>IF(OR(P155="",S$122=""),"",'I. Stream &amp; Compound Data'!AC210/$J155*(1-S$127)*(1-S$123)*$K155)</f>
        <v/>
      </c>
      <c r="T155" s="1242" t="str">
        <f>IF(OR(Q155="",T$122=""),"",'I. Stream &amp; Compound Data'!AF210/$J155*(1-T$127)*(1-T$123)*$K155)</f>
        <v/>
      </c>
      <c r="U155" s="1242" t="str">
        <f>IF(OR(R155="",U$122=""),"",'I. Stream &amp; Compound Data'!AI210/$J155*(1-U$127)*(1-U$123)*$K155)</f>
        <v/>
      </c>
      <c r="V155" s="1242" t="str">
        <f>IF(OR(V$122="",$I155=""),"",'I. Stream &amp; Compound Data'!AL210/$J155*(1-V$127)*(1-V$123)*$K155)</f>
        <v/>
      </c>
      <c r="W155" s="1242" t="str">
        <f>IF(OR(W$122="",$I155=""),"",'I. Stream &amp; Compound Data'!AO210/$J155*(1-W$127)*(1-W$123)*$K155)</f>
        <v/>
      </c>
      <c r="X155" s="1242" t="str">
        <f>IF(OR(X$122="",$I155=""),"",'I. Stream &amp; Compound Data'!AR210/$J155*(1-X$127)*(1-X$123)*$K155)</f>
        <v/>
      </c>
      <c r="Y155" s="1242" t="str">
        <f>IF(OR(Y$122="",$I155=""),"",'I. Stream &amp; Compound Data'!AU210/$J155*(1-Y$127)*(1-Y$123)*$K155)</f>
        <v/>
      </c>
      <c r="Z155" s="1242" t="str">
        <f>IF(OR(Z$122="",$I155=""),"",'I. Stream &amp; Compound Data'!AX210/$J155*(1-Z$127)*(1-Z$123)*$K155)</f>
        <v/>
      </c>
      <c r="AA155" s="1242" t="str">
        <f>IF(OR(AA$122="",$I155=""),"",'I. Stream &amp; Compound Data'!BA210/$J155*(1-AA$127)*(1-AA$123)*$K155)</f>
        <v/>
      </c>
      <c r="AB155" s="1242" t="str">
        <f>IF(OR(AB$122="",$I155=""),"",'I. Stream &amp; Compound Data'!BD210/$J155*(1-AB$127)*(1-AB$123)*$K155)</f>
        <v/>
      </c>
      <c r="AC155" s="1242" t="str">
        <f>IF(OR(AC$122="",$I155=""),"",'I. Stream &amp; Compound Data'!BG210/$J155*(1-AC$127)*(1-AC$123)*$K155)</f>
        <v/>
      </c>
      <c r="AD155" s="1242" t="str">
        <f>IF(OR(AD$122="",$I155=""),"",'I. Stream &amp; Compound Data'!BJ210/$J155*(1-AD$127)*(1-AD$123)*$K155)</f>
        <v/>
      </c>
      <c r="AE155" s="1242" t="str">
        <f>IF(OR(AE$122="",$I155=""),"",'I. Stream &amp; Compound Data'!BM210/$J155*(1-AE$127)*(1-AE$123)*$K155)</f>
        <v/>
      </c>
      <c r="AF155" s="1242" t="str">
        <f>IF(OR(AF$122="",$I155=""),"",'I. Stream &amp; Compound Data'!BP210/$J155*(1-AF$127)*(1-AF$123)*$K155)</f>
        <v/>
      </c>
      <c r="AG155" s="1242" t="str">
        <f>IF(OR(AG$122="",$I155=""),"",'I. Stream &amp; Compound Data'!BS210/$J155*(1-AG$127)*(1-AG$123)*$K155)</f>
        <v/>
      </c>
      <c r="AH155" s="1242" t="str">
        <f>IF(OR(AH$122="",$I155=""),"",'I. Stream &amp; Compound Data'!BV210/$J155*(1-AH$127)*(1-AH$123)*$K155)</f>
        <v/>
      </c>
      <c r="AI155" s="1242" t="str">
        <f>IF(OR(AI$122="",$I155=""),"",'I. Stream &amp; Compound Data'!BY210/$J155*(1-AI$127)*(1-AI$123)*$K155)</f>
        <v/>
      </c>
      <c r="AJ155" s="1242" t="str">
        <f>IF(OR(AJ$122="",$I155=""),"",'I. Stream &amp; Compound Data'!CB210/$J155*(1-AJ$127)*(1-AJ$123)*$K155)</f>
        <v/>
      </c>
      <c r="AK155" s="1242" t="str">
        <f>IF(OR(AK$122="",$I155=""),"",'I. Stream &amp; Compound Data'!CE210/$J155*(1-AK$127)*(1-AK$123)*$K155)</f>
        <v/>
      </c>
      <c r="AL155" s="1242" t="str">
        <f>IF(OR(AL$122="",$I155=""),"",'I. Stream &amp; Compound Data'!CH210/$J155*(1-AL$127)*(1-AL$123)*$K155)</f>
        <v/>
      </c>
      <c r="AM155" s="1242" t="str">
        <f>IF(OR(AM$122="",$I155=""),"",'I. Stream &amp; Compound Data'!CK210/$J155*(1-AM$127)*(1-AM$123)*$K155)</f>
        <v/>
      </c>
      <c r="AN155" s="1242" t="str">
        <f>IF(OR(AN$122="",$I155=""),"",'I. Stream &amp; Compound Data'!CN210/$J155*(1-AN$127)*(1-AN$123)*$K155)</f>
        <v/>
      </c>
      <c r="AO155" s="1242" t="str">
        <f>IF(OR(AO$122="",$I155=""),"",'I. Stream &amp; Compound Data'!CQ210/$J155*(1-AO$127)*(1-AO$123)*$K155)</f>
        <v/>
      </c>
      <c r="AP155" s="1242" t="str">
        <f>IF(OR(AP$122="",$I155=""),"",'I. Stream &amp; Compound Data'!CT210/$J155*(1-AP$127)*(1-AP$123)*$K155)</f>
        <v/>
      </c>
      <c r="AQ155" s="1242" t="str">
        <f>IF(OR(AQ$122="",$I155=""),"",'I. Stream &amp; Compound Data'!CW210/$J155*(1-AQ$127)*(1-AQ$123)*$K155)</f>
        <v/>
      </c>
      <c r="AR155" s="1242" t="str">
        <f>IF(OR(AR$122="",$I155=""),"",'I. Stream &amp; Compound Data'!CZ210/$J155*(1-AR$127)*(1-AR$123)*$K155)</f>
        <v/>
      </c>
      <c r="AS155" s="1242" t="str">
        <f>IF(OR(AS$122="",$I155=""),"",'I. Stream &amp; Compound Data'!DC210/$J155*(1-AS$127)*(1-AS$123)*$K155)</f>
        <v/>
      </c>
      <c r="AT155" s="1242" t="str">
        <f>IF(OR(AT$122="",$I155=""),"",'I. Stream &amp; Compound Data'!DF210/$J155*(1-AT$127)*(1-AT$123)*$K155)</f>
        <v/>
      </c>
      <c r="AU155" s="1242" t="str">
        <f>IF(OR(AU$122="",$I155=""),"",'I. Stream &amp; Compound Data'!DI210/$J155*(1-AU$127)*(1-AU$123)*$K155)</f>
        <v/>
      </c>
      <c r="AV155" s="1242" t="str">
        <f>IF(OR(AV$122="",$I155=""),"",'I. Stream &amp; Compound Data'!DL210/$J155*(1-AV$127)*(1-AV$123)*$K155)</f>
        <v/>
      </c>
      <c r="AW155" s="1242" t="str">
        <f>IF(OR(AW$122="",$I155=""),"",'I. Stream &amp; Compound Data'!DO210/$J155*(1-AW$127)*(1-AW$123)*$K155)</f>
        <v/>
      </c>
      <c r="AX155" s="1242" t="str">
        <f>IF(OR(AX$122="",$I155=""),"",'I. Stream &amp; Compound Data'!DR210/$J155*(1-AX$127)*(1-AX$123)*$K155)</f>
        <v/>
      </c>
      <c r="AY155" s="1268" t="str">
        <f>IF(OR(AY$122="",$I155=""),"",'I. Stream &amp; Compound Data'!DU210/$J155*(1-AY$127)*(1-AY$123)*$K155)</f>
        <v/>
      </c>
      <c r="AZ155" s="279"/>
      <c r="BA155" s="279"/>
      <c r="BB155" s="279"/>
      <c r="BC155" s="279"/>
      <c r="BD155" s="279"/>
      <c r="BE155" s="279"/>
      <c r="BF155" s="279"/>
      <c r="BG155" s="279"/>
      <c r="BH155" s="279"/>
      <c r="BI155" s="279"/>
      <c r="BJ155" s="279"/>
      <c r="BK155" s="279"/>
      <c r="BL155" s="279"/>
      <c r="BM155" s="279"/>
      <c r="BN155" s="279"/>
      <c r="BO155" s="279"/>
      <c r="BP155" s="279"/>
      <c r="BQ155" s="279"/>
      <c r="BR155" s="279"/>
      <c r="BS155" s="279"/>
      <c r="BT155" s="279"/>
      <c r="BU155" s="279"/>
      <c r="BV155" s="279"/>
      <c r="BW155" s="279"/>
      <c r="BX155" s="279"/>
      <c r="BY155" s="279"/>
      <c r="BZ155" s="279"/>
      <c r="CA155" s="279"/>
      <c r="CB155" s="279"/>
      <c r="CC155" s="279"/>
      <c r="CD155" s="279"/>
      <c r="CE155" s="279"/>
      <c r="CF155" s="279"/>
      <c r="CG155" s="279"/>
      <c r="CH155" s="279"/>
      <c r="CI155" s="279"/>
      <c r="CJ155" s="279"/>
      <c r="CK155" s="279"/>
      <c r="CL155" s="279"/>
      <c r="CM155" s="279"/>
      <c r="CN155" s="382"/>
    </row>
    <row r="156" ht="15.6" x14ac:dyDescent="0.25">
      <c r="B156" s="361"/>
      <c r="C156" s="279"/>
      <c r="D156" s="280"/>
      <c r="E156" s="287"/>
      <c r="F156" s="287"/>
      <c r="G156" s="287"/>
      <c r="H156" s="1292">
        <f t="shared" si="18"/>
        <v>26</v>
      </c>
      <c r="I156" s="1320" t="str">
        <f>IF('I. Stream &amp; Compound Data'!G287&lt;&gt;"",'I. Stream &amp; Compound Data'!G287,"")</f>
        <v/>
      </c>
      <c r="J156" s="1190" t="str">
        <f>IF('I. Stream &amp; Compound Data'!BH287="","",'I. Stream &amp; Compound Data'!BH287)</f>
        <v/>
      </c>
      <c r="K156" s="1306" t="str">
        <f>IF('I. Stream &amp; Compound Data'!G287="","",IF(OR('I. Stream &amp; Compound Data'!U287=1,'I. Stream &amp; Compound Data'!V287=1,'I. Stream &amp; Compound Data'!AY287&lt;25),0,1))</f>
        <v/>
      </c>
      <c r="L156" s="1242" t="str">
        <f>IF(OR(I156="",L$122=""),"",'I. Stream &amp; Compound Data'!H211/$J156*(1-L$127)*(1-L$123)*$K156)</f>
        <v/>
      </c>
      <c r="M156" s="1242" t="str">
        <f>IF(OR(J156="",M$122=""),"",'I. Stream &amp; Compound Data'!K211/$J156*(1-M$127)*(1-M$123)*$K156)</f>
        <v/>
      </c>
      <c r="N156" s="1242" t="str">
        <f>IF(OR(K156="",N$122=""),"",'I. Stream &amp; Compound Data'!N211/$J156*(1-N$127)*(1-N$123)*$K156)</f>
        <v/>
      </c>
      <c r="O156" s="1242" t="str">
        <f>IF(OR(L156="",O$122=""),"",'I. Stream &amp; Compound Data'!Q211/$J156*(1-O$127)*(1-O$123)*$K156)</f>
        <v/>
      </c>
      <c r="P156" s="1242" t="str">
        <f>IF(OR(M156="",P$122=""),"",'I. Stream &amp; Compound Data'!T211/$J156*(1-P$127)*(1-P$123)*$K156)</f>
        <v/>
      </c>
      <c r="Q156" s="1242" t="str">
        <f>IF(OR(N156="",Q$122=""),"",'I. Stream &amp; Compound Data'!W211/$J156*(1-Q$127)*(1-Q$123)*$K156)</f>
        <v/>
      </c>
      <c r="R156" s="1242" t="str">
        <f>IF(OR(O156="",R$122=""),"",'I. Stream &amp; Compound Data'!Z211/$J156*(1-R$127)*(1-R$123)*$K156)</f>
        <v/>
      </c>
      <c r="S156" s="1242" t="str">
        <f>IF(OR(P156="",S$122=""),"",'I. Stream &amp; Compound Data'!AC211/$J156*(1-S$127)*(1-S$123)*$K156)</f>
        <v/>
      </c>
      <c r="T156" s="1242" t="str">
        <f>IF(OR(Q156="",T$122=""),"",'I. Stream &amp; Compound Data'!AF211/$J156*(1-T$127)*(1-T$123)*$K156)</f>
        <v/>
      </c>
      <c r="U156" s="1242" t="str">
        <f>IF(OR(R156="",U$122=""),"",'I. Stream &amp; Compound Data'!AI211/$J156*(1-U$127)*(1-U$123)*$K156)</f>
        <v/>
      </c>
      <c r="V156" s="1242" t="str">
        <f>IF(OR(V$122="",$I156=""),"",'I. Stream &amp; Compound Data'!AL211/$J156*(1-V$127)*(1-V$123)*$K156)</f>
        <v/>
      </c>
      <c r="W156" s="1242" t="str">
        <f>IF(OR(W$122="",$I156=""),"",'I. Stream &amp; Compound Data'!AO211/$J156*(1-W$127)*(1-W$123)*$K156)</f>
        <v/>
      </c>
      <c r="X156" s="1242" t="str">
        <f>IF(OR(X$122="",$I156=""),"",'I. Stream &amp; Compound Data'!AR211/$J156*(1-X$127)*(1-X$123)*$K156)</f>
        <v/>
      </c>
      <c r="Y156" s="1242" t="str">
        <f>IF(OR(Y$122="",$I156=""),"",'I. Stream &amp; Compound Data'!AU211/$J156*(1-Y$127)*(1-Y$123)*$K156)</f>
        <v/>
      </c>
      <c r="Z156" s="1242" t="str">
        <f>IF(OR(Z$122="",$I156=""),"",'I. Stream &amp; Compound Data'!AX211/$J156*(1-Z$127)*(1-Z$123)*$K156)</f>
        <v/>
      </c>
      <c r="AA156" s="1242" t="str">
        <f>IF(OR(AA$122="",$I156=""),"",'I. Stream &amp; Compound Data'!BA211/$J156*(1-AA$127)*(1-AA$123)*$K156)</f>
        <v/>
      </c>
      <c r="AB156" s="1242" t="str">
        <f>IF(OR(AB$122="",$I156=""),"",'I. Stream &amp; Compound Data'!BD211/$J156*(1-AB$127)*(1-AB$123)*$K156)</f>
        <v/>
      </c>
      <c r="AC156" s="1242" t="str">
        <f>IF(OR(AC$122="",$I156=""),"",'I. Stream &amp; Compound Data'!BG211/$J156*(1-AC$127)*(1-AC$123)*$K156)</f>
        <v/>
      </c>
      <c r="AD156" s="1242" t="str">
        <f>IF(OR(AD$122="",$I156=""),"",'I. Stream &amp; Compound Data'!BJ211/$J156*(1-AD$127)*(1-AD$123)*$K156)</f>
        <v/>
      </c>
      <c r="AE156" s="1242" t="str">
        <f>IF(OR(AE$122="",$I156=""),"",'I. Stream &amp; Compound Data'!BM211/$J156*(1-AE$127)*(1-AE$123)*$K156)</f>
        <v/>
      </c>
      <c r="AF156" s="1242" t="str">
        <f>IF(OR(AF$122="",$I156=""),"",'I. Stream &amp; Compound Data'!BP211/$J156*(1-AF$127)*(1-AF$123)*$K156)</f>
        <v/>
      </c>
      <c r="AG156" s="1242" t="str">
        <f>IF(OR(AG$122="",$I156=""),"",'I. Stream &amp; Compound Data'!BS211/$J156*(1-AG$127)*(1-AG$123)*$K156)</f>
        <v/>
      </c>
      <c r="AH156" s="1242" t="str">
        <f>IF(OR(AH$122="",$I156=""),"",'I. Stream &amp; Compound Data'!BV211/$J156*(1-AH$127)*(1-AH$123)*$K156)</f>
        <v/>
      </c>
      <c r="AI156" s="1242" t="str">
        <f>IF(OR(AI$122="",$I156=""),"",'I. Stream &amp; Compound Data'!BY211/$J156*(1-AI$127)*(1-AI$123)*$K156)</f>
        <v/>
      </c>
      <c r="AJ156" s="1242" t="str">
        <f>IF(OR(AJ$122="",$I156=""),"",'I. Stream &amp; Compound Data'!CB211/$J156*(1-AJ$127)*(1-AJ$123)*$K156)</f>
        <v/>
      </c>
      <c r="AK156" s="1242" t="str">
        <f>IF(OR(AK$122="",$I156=""),"",'I. Stream &amp; Compound Data'!CE211/$J156*(1-AK$127)*(1-AK$123)*$K156)</f>
        <v/>
      </c>
      <c r="AL156" s="1242" t="str">
        <f>IF(OR(AL$122="",$I156=""),"",'I. Stream &amp; Compound Data'!CH211/$J156*(1-AL$127)*(1-AL$123)*$K156)</f>
        <v/>
      </c>
      <c r="AM156" s="1242" t="str">
        <f>IF(OR(AM$122="",$I156=""),"",'I. Stream &amp; Compound Data'!CK211/$J156*(1-AM$127)*(1-AM$123)*$K156)</f>
        <v/>
      </c>
      <c r="AN156" s="1242" t="str">
        <f>IF(OR(AN$122="",$I156=""),"",'I. Stream &amp; Compound Data'!CN211/$J156*(1-AN$127)*(1-AN$123)*$K156)</f>
        <v/>
      </c>
      <c r="AO156" s="1242" t="str">
        <f>IF(OR(AO$122="",$I156=""),"",'I. Stream &amp; Compound Data'!CQ211/$J156*(1-AO$127)*(1-AO$123)*$K156)</f>
        <v/>
      </c>
      <c r="AP156" s="1242" t="str">
        <f>IF(OR(AP$122="",$I156=""),"",'I. Stream &amp; Compound Data'!CT211/$J156*(1-AP$127)*(1-AP$123)*$K156)</f>
        <v/>
      </c>
      <c r="AQ156" s="1242" t="str">
        <f>IF(OR(AQ$122="",$I156=""),"",'I. Stream &amp; Compound Data'!CW211/$J156*(1-AQ$127)*(1-AQ$123)*$K156)</f>
        <v/>
      </c>
      <c r="AR156" s="1242" t="str">
        <f>IF(OR(AR$122="",$I156=""),"",'I. Stream &amp; Compound Data'!CZ211/$J156*(1-AR$127)*(1-AR$123)*$K156)</f>
        <v/>
      </c>
      <c r="AS156" s="1242" t="str">
        <f>IF(OR(AS$122="",$I156=""),"",'I. Stream &amp; Compound Data'!DC211/$J156*(1-AS$127)*(1-AS$123)*$K156)</f>
        <v/>
      </c>
      <c r="AT156" s="1242" t="str">
        <f>IF(OR(AT$122="",$I156=""),"",'I. Stream &amp; Compound Data'!DF211/$J156*(1-AT$127)*(1-AT$123)*$K156)</f>
        <v/>
      </c>
      <c r="AU156" s="1242" t="str">
        <f>IF(OR(AU$122="",$I156=""),"",'I. Stream &amp; Compound Data'!DI211/$J156*(1-AU$127)*(1-AU$123)*$K156)</f>
        <v/>
      </c>
      <c r="AV156" s="1242" t="str">
        <f>IF(OR(AV$122="",$I156=""),"",'I. Stream &amp; Compound Data'!DL211/$J156*(1-AV$127)*(1-AV$123)*$K156)</f>
        <v/>
      </c>
      <c r="AW156" s="1242" t="str">
        <f>IF(OR(AW$122="",$I156=""),"",'I. Stream &amp; Compound Data'!DO211/$J156*(1-AW$127)*(1-AW$123)*$K156)</f>
        <v/>
      </c>
      <c r="AX156" s="1242" t="str">
        <f>IF(OR(AX$122="",$I156=""),"",'I. Stream &amp; Compound Data'!DR211/$J156*(1-AX$127)*(1-AX$123)*$K156)</f>
        <v/>
      </c>
      <c r="AY156" s="1268" t="str">
        <f>IF(OR(AY$122="",$I156=""),"",'I. Stream &amp; Compound Data'!DU211/$J156*(1-AY$127)*(1-AY$123)*$K156)</f>
        <v/>
      </c>
      <c r="AZ156" s="279"/>
      <c r="BA156" s="279"/>
      <c r="BB156" s="279"/>
      <c r="BC156" s="279"/>
      <c r="BD156" s="279"/>
      <c r="BE156" s="279"/>
      <c r="BF156" s="279"/>
      <c r="BG156" s="279"/>
      <c r="BH156" s="279"/>
      <c r="BI156" s="279"/>
      <c r="BJ156" s="279"/>
      <c r="BK156" s="279"/>
      <c r="BL156" s="279"/>
      <c r="BM156" s="279"/>
      <c r="BN156" s="279"/>
      <c r="BO156" s="279"/>
      <c r="BP156" s="279"/>
      <c r="BQ156" s="279"/>
      <c r="BR156" s="279"/>
      <c r="BS156" s="279"/>
      <c r="BT156" s="279"/>
      <c r="BU156" s="279"/>
      <c r="BV156" s="279"/>
      <c r="BW156" s="279"/>
      <c r="BX156" s="279"/>
      <c r="BY156" s="279"/>
      <c r="BZ156" s="279"/>
      <c r="CA156" s="279"/>
      <c r="CB156" s="279"/>
      <c r="CC156" s="279"/>
      <c r="CD156" s="279"/>
      <c r="CE156" s="279"/>
      <c r="CF156" s="279"/>
      <c r="CG156" s="279"/>
      <c r="CH156" s="279"/>
      <c r="CI156" s="279"/>
      <c r="CJ156" s="279"/>
      <c r="CK156" s="279"/>
      <c r="CL156" s="279"/>
      <c r="CM156" s="279"/>
      <c r="CN156" s="382"/>
    </row>
    <row r="157" ht="15.6" x14ac:dyDescent="0.25">
      <c r="B157" s="361"/>
      <c r="C157" s="279"/>
      <c r="D157" s="280"/>
      <c r="E157" s="287"/>
      <c r="F157" s="287"/>
      <c r="G157" s="287"/>
      <c r="H157" s="1292">
        <f t="shared" si="18"/>
        <v>27</v>
      </c>
      <c r="I157" s="1320" t="str">
        <f>IF('I. Stream &amp; Compound Data'!G288&lt;&gt;"",'I. Stream &amp; Compound Data'!G288,"")</f>
        <v/>
      </c>
      <c r="J157" s="1190" t="str">
        <f>IF('I. Stream &amp; Compound Data'!BH288="","",'I. Stream &amp; Compound Data'!BH288)</f>
        <v/>
      </c>
      <c r="K157" s="1306" t="str">
        <f>IF('I. Stream &amp; Compound Data'!G288="","",IF(OR('I. Stream &amp; Compound Data'!U288=1,'I. Stream &amp; Compound Data'!V288=1,'I. Stream &amp; Compound Data'!AY288&lt;25),0,1))</f>
        <v/>
      </c>
      <c r="L157" s="1242" t="str">
        <f>IF(OR(I157="",L$122=""),"",'I. Stream &amp; Compound Data'!H212/$J157*(1-L$127)*(1-L$123)*$K157)</f>
        <v/>
      </c>
      <c r="M157" s="1242" t="str">
        <f>IF(OR(J157="",M$122=""),"",'I. Stream &amp; Compound Data'!K212/$J157*(1-M$127)*(1-M$123)*$K157)</f>
        <v/>
      </c>
      <c r="N157" s="1242" t="str">
        <f>IF(OR(K157="",N$122=""),"",'I. Stream &amp; Compound Data'!N212/$J157*(1-N$127)*(1-N$123)*$K157)</f>
        <v/>
      </c>
      <c r="O157" s="1242" t="str">
        <f>IF(OR(L157="",O$122=""),"",'I. Stream &amp; Compound Data'!Q212/$J157*(1-O$127)*(1-O$123)*$K157)</f>
        <v/>
      </c>
      <c r="P157" s="1242" t="str">
        <f>IF(OR(M157="",P$122=""),"",'I. Stream &amp; Compound Data'!T212/$J157*(1-P$127)*(1-P$123)*$K157)</f>
        <v/>
      </c>
      <c r="Q157" s="1242" t="str">
        <f>IF(OR(N157="",Q$122=""),"",'I. Stream &amp; Compound Data'!W212/$J157*(1-Q$127)*(1-Q$123)*$K157)</f>
        <v/>
      </c>
      <c r="R157" s="1242" t="str">
        <f>IF(OR(O157="",R$122=""),"",'I. Stream &amp; Compound Data'!Z212/$J157*(1-R$127)*(1-R$123)*$K157)</f>
        <v/>
      </c>
      <c r="S157" s="1242" t="str">
        <f>IF(OR(P157="",S$122=""),"",'I. Stream &amp; Compound Data'!AC212/$J157*(1-S$127)*(1-S$123)*$K157)</f>
        <v/>
      </c>
      <c r="T157" s="1242" t="str">
        <f>IF(OR(Q157="",T$122=""),"",'I. Stream &amp; Compound Data'!AF212/$J157*(1-T$127)*(1-T$123)*$K157)</f>
        <v/>
      </c>
      <c r="U157" s="1242" t="str">
        <f>IF(OR(R157="",U$122=""),"",'I. Stream &amp; Compound Data'!AI212/$J157*(1-U$127)*(1-U$123)*$K157)</f>
        <v/>
      </c>
      <c r="V157" s="1242" t="str">
        <f>IF(OR(V$122="",$I157=""),"",'I. Stream &amp; Compound Data'!AL212/$J157*(1-V$127)*(1-V$123)*$K157)</f>
        <v/>
      </c>
      <c r="W157" s="1242" t="str">
        <f>IF(OR(W$122="",$I157=""),"",'I. Stream &amp; Compound Data'!AO212/$J157*(1-W$127)*(1-W$123)*$K157)</f>
        <v/>
      </c>
      <c r="X157" s="1242" t="str">
        <f>IF(OR(X$122="",$I157=""),"",'I. Stream &amp; Compound Data'!AR212/$J157*(1-X$127)*(1-X$123)*$K157)</f>
        <v/>
      </c>
      <c r="Y157" s="1242" t="str">
        <f>IF(OR(Y$122="",$I157=""),"",'I. Stream &amp; Compound Data'!AU212/$J157*(1-Y$127)*(1-Y$123)*$K157)</f>
        <v/>
      </c>
      <c r="Z157" s="1242" t="str">
        <f>IF(OR(Z$122="",$I157=""),"",'I. Stream &amp; Compound Data'!AX212/$J157*(1-Z$127)*(1-Z$123)*$K157)</f>
        <v/>
      </c>
      <c r="AA157" s="1242" t="str">
        <f>IF(OR(AA$122="",$I157=""),"",'I. Stream &amp; Compound Data'!BA212/$J157*(1-AA$127)*(1-AA$123)*$K157)</f>
        <v/>
      </c>
      <c r="AB157" s="1242" t="str">
        <f>IF(OR(AB$122="",$I157=""),"",'I. Stream &amp; Compound Data'!BD212/$J157*(1-AB$127)*(1-AB$123)*$K157)</f>
        <v/>
      </c>
      <c r="AC157" s="1242" t="str">
        <f>IF(OR(AC$122="",$I157=""),"",'I. Stream &amp; Compound Data'!BG212/$J157*(1-AC$127)*(1-AC$123)*$K157)</f>
        <v/>
      </c>
      <c r="AD157" s="1242" t="str">
        <f>IF(OR(AD$122="",$I157=""),"",'I. Stream &amp; Compound Data'!BJ212/$J157*(1-AD$127)*(1-AD$123)*$K157)</f>
        <v/>
      </c>
      <c r="AE157" s="1242" t="str">
        <f>IF(OR(AE$122="",$I157=""),"",'I. Stream &amp; Compound Data'!BM212/$J157*(1-AE$127)*(1-AE$123)*$K157)</f>
        <v/>
      </c>
      <c r="AF157" s="1242" t="str">
        <f>IF(OR(AF$122="",$I157=""),"",'I. Stream &amp; Compound Data'!BP212/$J157*(1-AF$127)*(1-AF$123)*$K157)</f>
        <v/>
      </c>
      <c r="AG157" s="1242" t="str">
        <f>IF(OR(AG$122="",$I157=""),"",'I. Stream &amp; Compound Data'!BS212/$J157*(1-AG$127)*(1-AG$123)*$K157)</f>
        <v/>
      </c>
      <c r="AH157" s="1242" t="str">
        <f>IF(OR(AH$122="",$I157=""),"",'I. Stream &amp; Compound Data'!BV212/$J157*(1-AH$127)*(1-AH$123)*$K157)</f>
        <v/>
      </c>
      <c r="AI157" s="1242" t="str">
        <f>IF(OR(AI$122="",$I157=""),"",'I. Stream &amp; Compound Data'!BY212/$J157*(1-AI$127)*(1-AI$123)*$K157)</f>
        <v/>
      </c>
      <c r="AJ157" s="1242" t="str">
        <f>IF(OR(AJ$122="",$I157=""),"",'I. Stream &amp; Compound Data'!CB212/$J157*(1-AJ$127)*(1-AJ$123)*$K157)</f>
        <v/>
      </c>
      <c r="AK157" s="1242" t="str">
        <f>IF(OR(AK$122="",$I157=""),"",'I. Stream &amp; Compound Data'!CE212/$J157*(1-AK$127)*(1-AK$123)*$K157)</f>
        <v/>
      </c>
      <c r="AL157" s="1242" t="str">
        <f>IF(OR(AL$122="",$I157=""),"",'I. Stream &amp; Compound Data'!CH212/$J157*(1-AL$127)*(1-AL$123)*$K157)</f>
        <v/>
      </c>
      <c r="AM157" s="1242" t="str">
        <f>IF(OR(AM$122="",$I157=""),"",'I. Stream &amp; Compound Data'!CK212/$J157*(1-AM$127)*(1-AM$123)*$K157)</f>
        <v/>
      </c>
      <c r="AN157" s="1242" t="str">
        <f>IF(OR(AN$122="",$I157=""),"",'I. Stream &amp; Compound Data'!CN212/$J157*(1-AN$127)*(1-AN$123)*$K157)</f>
        <v/>
      </c>
      <c r="AO157" s="1242" t="str">
        <f>IF(OR(AO$122="",$I157=""),"",'I. Stream &amp; Compound Data'!CQ212/$J157*(1-AO$127)*(1-AO$123)*$K157)</f>
        <v/>
      </c>
      <c r="AP157" s="1242" t="str">
        <f>IF(OR(AP$122="",$I157=""),"",'I. Stream &amp; Compound Data'!CT212/$J157*(1-AP$127)*(1-AP$123)*$K157)</f>
        <v/>
      </c>
      <c r="AQ157" s="1242" t="str">
        <f>IF(OR(AQ$122="",$I157=""),"",'I. Stream &amp; Compound Data'!CW212/$J157*(1-AQ$127)*(1-AQ$123)*$K157)</f>
        <v/>
      </c>
      <c r="AR157" s="1242" t="str">
        <f>IF(OR(AR$122="",$I157=""),"",'I. Stream &amp; Compound Data'!CZ212/$J157*(1-AR$127)*(1-AR$123)*$K157)</f>
        <v/>
      </c>
      <c r="AS157" s="1242" t="str">
        <f>IF(OR(AS$122="",$I157=""),"",'I. Stream &amp; Compound Data'!DC212/$J157*(1-AS$127)*(1-AS$123)*$K157)</f>
        <v/>
      </c>
      <c r="AT157" s="1242" t="str">
        <f>IF(OR(AT$122="",$I157=""),"",'I. Stream &amp; Compound Data'!DF212/$J157*(1-AT$127)*(1-AT$123)*$K157)</f>
        <v/>
      </c>
      <c r="AU157" s="1242" t="str">
        <f>IF(OR(AU$122="",$I157=""),"",'I. Stream &amp; Compound Data'!DI212/$J157*(1-AU$127)*(1-AU$123)*$K157)</f>
        <v/>
      </c>
      <c r="AV157" s="1242" t="str">
        <f>IF(OR(AV$122="",$I157=""),"",'I. Stream &amp; Compound Data'!DL212/$J157*(1-AV$127)*(1-AV$123)*$K157)</f>
        <v/>
      </c>
      <c r="AW157" s="1242" t="str">
        <f>IF(OR(AW$122="",$I157=""),"",'I. Stream &amp; Compound Data'!DO212/$J157*(1-AW$127)*(1-AW$123)*$K157)</f>
        <v/>
      </c>
      <c r="AX157" s="1242" t="str">
        <f>IF(OR(AX$122="",$I157=""),"",'I. Stream &amp; Compound Data'!DR212/$J157*(1-AX$127)*(1-AX$123)*$K157)</f>
        <v/>
      </c>
      <c r="AY157" s="1268" t="str">
        <f>IF(OR(AY$122="",$I157=""),"",'I. Stream &amp; Compound Data'!DU212/$J157*(1-AY$127)*(1-AY$123)*$K157)</f>
        <v/>
      </c>
      <c r="AZ157" s="279"/>
      <c r="BA157" s="279"/>
      <c r="BB157" s="279"/>
      <c r="BC157" s="279"/>
      <c r="BD157" s="279"/>
      <c r="BE157" s="279"/>
      <c r="BF157" s="279"/>
      <c r="BG157" s="279"/>
      <c r="BH157" s="279"/>
      <c r="BI157" s="279"/>
      <c r="BJ157" s="279"/>
      <c r="BK157" s="279"/>
      <c r="BL157" s="279"/>
      <c r="BM157" s="279"/>
      <c r="BN157" s="279"/>
      <c r="BO157" s="279"/>
      <c r="BP157" s="279"/>
      <c r="BQ157" s="279"/>
      <c r="BR157" s="279"/>
      <c r="BS157" s="279"/>
      <c r="BT157" s="279"/>
      <c r="BU157" s="279"/>
      <c r="BV157" s="279"/>
      <c r="BW157" s="279"/>
      <c r="BX157" s="279"/>
      <c r="BY157" s="279"/>
      <c r="BZ157" s="279"/>
      <c r="CA157" s="279"/>
      <c r="CB157" s="279"/>
      <c r="CC157" s="279"/>
      <c r="CD157" s="279"/>
      <c r="CE157" s="279"/>
      <c r="CF157" s="279"/>
      <c r="CG157" s="279"/>
      <c r="CH157" s="279"/>
      <c r="CI157" s="279"/>
      <c r="CJ157" s="279"/>
      <c r="CK157" s="279"/>
      <c r="CL157" s="279"/>
      <c r="CM157" s="279"/>
      <c r="CN157" s="382"/>
    </row>
    <row r="158" ht="15.6" x14ac:dyDescent="0.25">
      <c r="B158" s="361"/>
      <c r="C158" s="279"/>
      <c r="D158" s="280"/>
      <c r="E158" s="287"/>
      <c r="F158" s="287"/>
      <c r="G158" s="287"/>
      <c r="H158" s="1292">
        <f t="shared" si="18"/>
        <v>28</v>
      </c>
      <c r="I158" s="1320" t="str">
        <f>IF('I. Stream &amp; Compound Data'!G289&lt;&gt;"",'I. Stream &amp; Compound Data'!G289,"")</f>
        <v/>
      </c>
      <c r="J158" s="1190" t="str">
        <f>IF('I. Stream &amp; Compound Data'!BH289="","",'I. Stream &amp; Compound Data'!BH289)</f>
        <v/>
      </c>
      <c r="K158" s="1306" t="str">
        <f>IF('I. Stream &amp; Compound Data'!G289="","",IF(OR('I. Stream &amp; Compound Data'!U289=1,'I. Stream &amp; Compound Data'!V289=1,'I. Stream &amp; Compound Data'!AY289&lt;25),0,1))</f>
        <v/>
      </c>
      <c r="L158" s="1242" t="str">
        <f>IF(OR(I158="",L$122=""),"",'I. Stream &amp; Compound Data'!H213/$J158*(1-L$127)*(1-L$123)*$K158)</f>
        <v/>
      </c>
      <c r="M158" s="1242" t="str">
        <f>IF(OR(J158="",M$122=""),"",'I. Stream &amp; Compound Data'!K213/$J158*(1-M$127)*(1-M$123)*$K158)</f>
        <v/>
      </c>
      <c r="N158" s="1242" t="str">
        <f>IF(OR(K158="",N$122=""),"",'I. Stream &amp; Compound Data'!N213/$J158*(1-N$127)*(1-N$123)*$K158)</f>
        <v/>
      </c>
      <c r="O158" s="1242" t="str">
        <f>IF(OR(L158="",O$122=""),"",'I. Stream &amp; Compound Data'!Q213/$J158*(1-O$127)*(1-O$123)*$K158)</f>
        <v/>
      </c>
      <c r="P158" s="1242" t="str">
        <f>IF(OR(M158="",P$122=""),"",'I. Stream &amp; Compound Data'!T213/$J158*(1-P$127)*(1-P$123)*$K158)</f>
        <v/>
      </c>
      <c r="Q158" s="1242" t="str">
        <f>IF(OR(N158="",Q$122=""),"",'I. Stream &amp; Compound Data'!W213/$J158*(1-Q$127)*(1-Q$123)*$K158)</f>
        <v/>
      </c>
      <c r="R158" s="1242" t="str">
        <f>IF(OR(O158="",R$122=""),"",'I. Stream &amp; Compound Data'!Z213/$J158*(1-R$127)*(1-R$123)*$K158)</f>
        <v/>
      </c>
      <c r="S158" s="1242" t="str">
        <f>IF(OR(P158="",S$122=""),"",'I. Stream &amp; Compound Data'!AC213/$J158*(1-S$127)*(1-S$123)*$K158)</f>
        <v/>
      </c>
      <c r="T158" s="1242" t="str">
        <f>IF(OR(Q158="",T$122=""),"",'I. Stream &amp; Compound Data'!AF213/$J158*(1-T$127)*(1-T$123)*$K158)</f>
        <v/>
      </c>
      <c r="U158" s="1242" t="str">
        <f>IF(OR(R158="",U$122=""),"",'I. Stream &amp; Compound Data'!AI213/$J158*(1-U$127)*(1-U$123)*$K158)</f>
        <v/>
      </c>
      <c r="V158" s="1242" t="str">
        <f>IF(OR(V$122="",$I158=""),"",'I. Stream &amp; Compound Data'!AL213/$J158*(1-V$127)*(1-V$123)*$K158)</f>
        <v/>
      </c>
      <c r="W158" s="1242" t="str">
        <f>IF(OR(W$122="",$I158=""),"",'I. Stream &amp; Compound Data'!AO213/$J158*(1-W$127)*(1-W$123)*$K158)</f>
        <v/>
      </c>
      <c r="X158" s="1242" t="str">
        <f>IF(OR(X$122="",$I158=""),"",'I. Stream &amp; Compound Data'!AR213/$J158*(1-X$127)*(1-X$123)*$K158)</f>
        <v/>
      </c>
      <c r="Y158" s="1242" t="str">
        <f>IF(OR(Y$122="",$I158=""),"",'I. Stream &amp; Compound Data'!AU213/$J158*(1-Y$127)*(1-Y$123)*$K158)</f>
        <v/>
      </c>
      <c r="Z158" s="1242" t="str">
        <f>IF(OR(Z$122="",$I158=""),"",'I. Stream &amp; Compound Data'!AX213/$J158*(1-Z$127)*(1-Z$123)*$K158)</f>
        <v/>
      </c>
      <c r="AA158" s="1242" t="str">
        <f>IF(OR(AA$122="",$I158=""),"",'I. Stream &amp; Compound Data'!BA213/$J158*(1-AA$127)*(1-AA$123)*$K158)</f>
        <v/>
      </c>
      <c r="AB158" s="1242" t="str">
        <f>IF(OR(AB$122="",$I158=""),"",'I. Stream &amp; Compound Data'!BD213/$J158*(1-AB$127)*(1-AB$123)*$K158)</f>
        <v/>
      </c>
      <c r="AC158" s="1242" t="str">
        <f>IF(OR(AC$122="",$I158=""),"",'I. Stream &amp; Compound Data'!BG213/$J158*(1-AC$127)*(1-AC$123)*$K158)</f>
        <v/>
      </c>
      <c r="AD158" s="1242" t="str">
        <f>IF(OR(AD$122="",$I158=""),"",'I. Stream &amp; Compound Data'!BJ213/$J158*(1-AD$127)*(1-AD$123)*$K158)</f>
        <v/>
      </c>
      <c r="AE158" s="1242" t="str">
        <f>IF(OR(AE$122="",$I158=""),"",'I. Stream &amp; Compound Data'!BM213/$J158*(1-AE$127)*(1-AE$123)*$K158)</f>
        <v/>
      </c>
      <c r="AF158" s="1242" t="str">
        <f>IF(OR(AF$122="",$I158=""),"",'I. Stream &amp; Compound Data'!BP213/$J158*(1-AF$127)*(1-AF$123)*$K158)</f>
        <v/>
      </c>
      <c r="AG158" s="1242" t="str">
        <f>IF(OR(AG$122="",$I158=""),"",'I. Stream &amp; Compound Data'!BS213/$J158*(1-AG$127)*(1-AG$123)*$K158)</f>
        <v/>
      </c>
      <c r="AH158" s="1242" t="str">
        <f>IF(OR(AH$122="",$I158=""),"",'I. Stream &amp; Compound Data'!BV213/$J158*(1-AH$127)*(1-AH$123)*$K158)</f>
        <v/>
      </c>
      <c r="AI158" s="1242" t="str">
        <f>IF(OR(AI$122="",$I158=""),"",'I. Stream &amp; Compound Data'!BY213/$J158*(1-AI$127)*(1-AI$123)*$K158)</f>
        <v/>
      </c>
      <c r="AJ158" s="1242" t="str">
        <f>IF(OR(AJ$122="",$I158=""),"",'I. Stream &amp; Compound Data'!CB213/$J158*(1-AJ$127)*(1-AJ$123)*$K158)</f>
        <v/>
      </c>
      <c r="AK158" s="1242" t="str">
        <f>IF(OR(AK$122="",$I158=""),"",'I. Stream &amp; Compound Data'!CE213/$J158*(1-AK$127)*(1-AK$123)*$K158)</f>
        <v/>
      </c>
      <c r="AL158" s="1242" t="str">
        <f>IF(OR(AL$122="",$I158=""),"",'I. Stream &amp; Compound Data'!CH213/$J158*(1-AL$127)*(1-AL$123)*$K158)</f>
        <v/>
      </c>
      <c r="AM158" s="1242" t="str">
        <f>IF(OR(AM$122="",$I158=""),"",'I. Stream &amp; Compound Data'!CK213/$J158*(1-AM$127)*(1-AM$123)*$K158)</f>
        <v/>
      </c>
      <c r="AN158" s="1242" t="str">
        <f>IF(OR(AN$122="",$I158=""),"",'I. Stream &amp; Compound Data'!CN213/$J158*(1-AN$127)*(1-AN$123)*$K158)</f>
        <v/>
      </c>
      <c r="AO158" s="1242" t="str">
        <f>IF(OR(AO$122="",$I158=""),"",'I. Stream &amp; Compound Data'!CQ213/$J158*(1-AO$127)*(1-AO$123)*$K158)</f>
        <v/>
      </c>
      <c r="AP158" s="1242" t="str">
        <f>IF(OR(AP$122="",$I158=""),"",'I. Stream &amp; Compound Data'!CT213/$J158*(1-AP$127)*(1-AP$123)*$K158)</f>
        <v/>
      </c>
      <c r="AQ158" s="1242" t="str">
        <f>IF(OR(AQ$122="",$I158=""),"",'I. Stream &amp; Compound Data'!CW213/$J158*(1-AQ$127)*(1-AQ$123)*$K158)</f>
        <v/>
      </c>
      <c r="AR158" s="1242" t="str">
        <f>IF(OR(AR$122="",$I158=""),"",'I. Stream &amp; Compound Data'!CZ213/$J158*(1-AR$127)*(1-AR$123)*$K158)</f>
        <v/>
      </c>
      <c r="AS158" s="1242" t="str">
        <f>IF(OR(AS$122="",$I158=""),"",'I. Stream &amp; Compound Data'!DC213/$J158*(1-AS$127)*(1-AS$123)*$K158)</f>
        <v/>
      </c>
      <c r="AT158" s="1242" t="str">
        <f>IF(OR(AT$122="",$I158=""),"",'I. Stream &amp; Compound Data'!DF213/$J158*(1-AT$127)*(1-AT$123)*$K158)</f>
        <v/>
      </c>
      <c r="AU158" s="1242" t="str">
        <f>IF(OR(AU$122="",$I158=""),"",'I. Stream &amp; Compound Data'!DI213/$J158*(1-AU$127)*(1-AU$123)*$K158)</f>
        <v/>
      </c>
      <c r="AV158" s="1242" t="str">
        <f>IF(OR(AV$122="",$I158=""),"",'I. Stream &amp; Compound Data'!DL213/$J158*(1-AV$127)*(1-AV$123)*$K158)</f>
        <v/>
      </c>
      <c r="AW158" s="1242" t="str">
        <f>IF(OR(AW$122="",$I158=""),"",'I. Stream &amp; Compound Data'!DO213/$J158*(1-AW$127)*(1-AW$123)*$K158)</f>
        <v/>
      </c>
      <c r="AX158" s="1242" t="str">
        <f>IF(OR(AX$122="",$I158=""),"",'I. Stream &amp; Compound Data'!DR213/$J158*(1-AX$127)*(1-AX$123)*$K158)</f>
        <v/>
      </c>
      <c r="AY158" s="1268" t="str">
        <f>IF(OR(AY$122="",$I158=""),"",'I. Stream &amp; Compound Data'!DU213/$J158*(1-AY$127)*(1-AY$123)*$K158)</f>
        <v/>
      </c>
      <c r="AZ158" s="279"/>
      <c r="BA158" s="279"/>
      <c r="BB158" s="279"/>
      <c r="BC158" s="279"/>
      <c r="BD158" s="279"/>
      <c r="BE158" s="279"/>
      <c r="BF158" s="279"/>
      <c r="BG158" s="279"/>
      <c r="BH158" s="279"/>
      <c r="BI158" s="279"/>
      <c r="BJ158" s="279"/>
      <c r="BK158" s="279"/>
      <c r="BL158" s="279"/>
      <c r="BM158" s="279"/>
      <c r="BN158" s="279"/>
      <c r="BO158" s="279"/>
      <c r="BP158" s="279"/>
      <c r="BQ158" s="279"/>
      <c r="BR158" s="279"/>
      <c r="BS158" s="279"/>
      <c r="BT158" s="279"/>
      <c r="BU158" s="279"/>
      <c r="BV158" s="279"/>
      <c r="BW158" s="279"/>
      <c r="BX158" s="279"/>
      <c r="BY158" s="279"/>
      <c r="BZ158" s="279"/>
      <c r="CA158" s="279"/>
      <c r="CB158" s="279"/>
      <c r="CC158" s="279"/>
      <c r="CD158" s="279"/>
      <c r="CE158" s="279"/>
      <c r="CF158" s="279"/>
      <c r="CG158" s="279"/>
      <c r="CH158" s="279"/>
      <c r="CI158" s="279"/>
      <c r="CJ158" s="279"/>
      <c r="CK158" s="279"/>
      <c r="CL158" s="279"/>
      <c r="CM158" s="279"/>
      <c r="CN158" s="382"/>
    </row>
    <row r="159" ht="15.6" x14ac:dyDescent="0.25">
      <c r="B159" s="361"/>
      <c r="C159" s="279"/>
      <c r="D159" s="280"/>
      <c r="E159" s="287"/>
      <c r="F159" s="287"/>
      <c r="G159" s="287"/>
      <c r="H159" s="1292">
        <f t="shared" si="18"/>
        <v>29</v>
      </c>
      <c r="I159" s="1320" t="str">
        <f>IF('I. Stream &amp; Compound Data'!G290&lt;&gt;"",'I. Stream &amp; Compound Data'!G290,"")</f>
        <v/>
      </c>
      <c r="J159" s="1190" t="str">
        <f>IF('I. Stream &amp; Compound Data'!BH290="","",'I. Stream &amp; Compound Data'!BH290)</f>
        <v/>
      </c>
      <c r="K159" s="1306" t="str">
        <f>IF('I. Stream &amp; Compound Data'!G290="","",IF(OR('I. Stream &amp; Compound Data'!U290=1,'I. Stream &amp; Compound Data'!V290=1,'I. Stream &amp; Compound Data'!AY290&lt;25),0,1))</f>
        <v/>
      </c>
      <c r="L159" s="1242" t="str">
        <f>IF(OR(I159="",L$122=""),"",'I. Stream &amp; Compound Data'!H214/$J159*(1-L$127)*(1-L$123)*$K159)</f>
        <v/>
      </c>
      <c r="M159" s="1242" t="str">
        <f>IF(OR(J159="",M$122=""),"",'I. Stream &amp; Compound Data'!K214/$J159*(1-M$127)*(1-M$123)*$K159)</f>
        <v/>
      </c>
      <c r="N159" s="1242" t="str">
        <f>IF(OR(K159="",N$122=""),"",'I. Stream &amp; Compound Data'!N214/$J159*(1-N$127)*(1-N$123)*$K159)</f>
        <v/>
      </c>
      <c r="O159" s="1242" t="str">
        <f>IF(OR(L159="",O$122=""),"",'I. Stream &amp; Compound Data'!Q214/$J159*(1-O$127)*(1-O$123)*$K159)</f>
        <v/>
      </c>
      <c r="P159" s="1242" t="str">
        <f>IF(OR(M159="",P$122=""),"",'I. Stream &amp; Compound Data'!T214/$J159*(1-P$127)*(1-P$123)*$K159)</f>
        <v/>
      </c>
      <c r="Q159" s="1242" t="str">
        <f>IF(OR(N159="",Q$122=""),"",'I. Stream &amp; Compound Data'!W214/$J159*(1-Q$127)*(1-Q$123)*$K159)</f>
        <v/>
      </c>
      <c r="R159" s="1242" t="str">
        <f>IF(OR(O159="",R$122=""),"",'I. Stream &amp; Compound Data'!Z214/$J159*(1-R$127)*(1-R$123)*$K159)</f>
        <v/>
      </c>
      <c r="S159" s="1242" t="str">
        <f>IF(OR(P159="",S$122=""),"",'I. Stream &amp; Compound Data'!AC214/$J159*(1-S$127)*(1-S$123)*$K159)</f>
        <v/>
      </c>
      <c r="T159" s="1242" t="str">
        <f>IF(OR(Q159="",T$122=""),"",'I. Stream &amp; Compound Data'!AF214/$J159*(1-T$127)*(1-T$123)*$K159)</f>
        <v/>
      </c>
      <c r="U159" s="1242" t="str">
        <f>IF(OR(R159="",U$122=""),"",'I. Stream &amp; Compound Data'!AI214/$J159*(1-U$127)*(1-U$123)*$K159)</f>
        <v/>
      </c>
      <c r="V159" s="1242" t="str">
        <f>IF(OR(V$122="",$I159=""),"",'I. Stream &amp; Compound Data'!AL214/$J159*(1-V$127)*(1-V$123)*$K159)</f>
        <v/>
      </c>
      <c r="W159" s="1242" t="str">
        <f>IF(OR(W$122="",$I159=""),"",'I. Stream &amp; Compound Data'!AO214/$J159*(1-W$127)*(1-W$123)*$K159)</f>
        <v/>
      </c>
      <c r="X159" s="1242" t="str">
        <f>IF(OR(X$122="",$I159=""),"",'I. Stream &amp; Compound Data'!AR214/$J159*(1-X$127)*(1-X$123)*$K159)</f>
        <v/>
      </c>
      <c r="Y159" s="1242" t="str">
        <f>IF(OR(Y$122="",$I159=""),"",'I. Stream &amp; Compound Data'!AU214/$J159*(1-Y$127)*(1-Y$123)*$K159)</f>
        <v/>
      </c>
      <c r="Z159" s="1242" t="str">
        <f>IF(OR(Z$122="",$I159=""),"",'I. Stream &amp; Compound Data'!AX214/$J159*(1-Z$127)*(1-Z$123)*$K159)</f>
        <v/>
      </c>
      <c r="AA159" s="1242" t="str">
        <f>IF(OR(AA$122="",$I159=""),"",'I. Stream &amp; Compound Data'!BA214/$J159*(1-AA$127)*(1-AA$123)*$K159)</f>
        <v/>
      </c>
      <c r="AB159" s="1242" t="str">
        <f>IF(OR(AB$122="",$I159=""),"",'I. Stream &amp; Compound Data'!BD214/$J159*(1-AB$127)*(1-AB$123)*$K159)</f>
        <v/>
      </c>
      <c r="AC159" s="1242" t="str">
        <f>IF(OR(AC$122="",$I159=""),"",'I. Stream &amp; Compound Data'!BG214/$J159*(1-AC$127)*(1-AC$123)*$K159)</f>
        <v/>
      </c>
      <c r="AD159" s="1242" t="str">
        <f>IF(OR(AD$122="",$I159=""),"",'I. Stream &amp; Compound Data'!BJ214/$J159*(1-AD$127)*(1-AD$123)*$K159)</f>
        <v/>
      </c>
      <c r="AE159" s="1242" t="str">
        <f>IF(OR(AE$122="",$I159=""),"",'I. Stream &amp; Compound Data'!BM214/$J159*(1-AE$127)*(1-AE$123)*$K159)</f>
        <v/>
      </c>
      <c r="AF159" s="1242" t="str">
        <f>IF(OR(AF$122="",$I159=""),"",'I. Stream &amp; Compound Data'!BP214/$J159*(1-AF$127)*(1-AF$123)*$K159)</f>
        <v/>
      </c>
      <c r="AG159" s="1242" t="str">
        <f>IF(OR(AG$122="",$I159=""),"",'I. Stream &amp; Compound Data'!BS214/$J159*(1-AG$127)*(1-AG$123)*$K159)</f>
        <v/>
      </c>
      <c r="AH159" s="1242" t="str">
        <f>IF(OR(AH$122="",$I159=""),"",'I. Stream &amp; Compound Data'!BV214/$J159*(1-AH$127)*(1-AH$123)*$K159)</f>
        <v/>
      </c>
      <c r="AI159" s="1242" t="str">
        <f>IF(OR(AI$122="",$I159=""),"",'I. Stream &amp; Compound Data'!BY214/$J159*(1-AI$127)*(1-AI$123)*$K159)</f>
        <v/>
      </c>
      <c r="AJ159" s="1242" t="str">
        <f>IF(OR(AJ$122="",$I159=""),"",'I. Stream &amp; Compound Data'!CB214/$J159*(1-AJ$127)*(1-AJ$123)*$K159)</f>
        <v/>
      </c>
      <c r="AK159" s="1242" t="str">
        <f>IF(OR(AK$122="",$I159=""),"",'I. Stream &amp; Compound Data'!CE214/$J159*(1-AK$127)*(1-AK$123)*$K159)</f>
        <v/>
      </c>
      <c r="AL159" s="1242" t="str">
        <f>IF(OR(AL$122="",$I159=""),"",'I. Stream &amp; Compound Data'!CH214/$J159*(1-AL$127)*(1-AL$123)*$K159)</f>
        <v/>
      </c>
      <c r="AM159" s="1242" t="str">
        <f>IF(OR(AM$122="",$I159=""),"",'I. Stream &amp; Compound Data'!CK214/$J159*(1-AM$127)*(1-AM$123)*$K159)</f>
        <v/>
      </c>
      <c r="AN159" s="1242" t="str">
        <f>IF(OR(AN$122="",$I159=""),"",'I. Stream &amp; Compound Data'!CN214/$J159*(1-AN$127)*(1-AN$123)*$K159)</f>
        <v/>
      </c>
      <c r="AO159" s="1242" t="str">
        <f>IF(OR(AO$122="",$I159=""),"",'I. Stream &amp; Compound Data'!CQ214/$J159*(1-AO$127)*(1-AO$123)*$K159)</f>
        <v/>
      </c>
      <c r="AP159" s="1242" t="str">
        <f>IF(OR(AP$122="",$I159=""),"",'I. Stream &amp; Compound Data'!CT214/$J159*(1-AP$127)*(1-AP$123)*$K159)</f>
        <v/>
      </c>
      <c r="AQ159" s="1242" t="str">
        <f>IF(OR(AQ$122="",$I159=""),"",'I. Stream &amp; Compound Data'!CW214/$J159*(1-AQ$127)*(1-AQ$123)*$K159)</f>
        <v/>
      </c>
      <c r="AR159" s="1242" t="str">
        <f>IF(OR(AR$122="",$I159=""),"",'I. Stream &amp; Compound Data'!CZ214/$J159*(1-AR$127)*(1-AR$123)*$K159)</f>
        <v/>
      </c>
      <c r="AS159" s="1242" t="str">
        <f>IF(OR(AS$122="",$I159=""),"",'I. Stream &amp; Compound Data'!DC214/$J159*(1-AS$127)*(1-AS$123)*$K159)</f>
        <v/>
      </c>
      <c r="AT159" s="1242" t="str">
        <f>IF(OR(AT$122="",$I159=""),"",'I. Stream &amp; Compound Data'!DF214/$J159*(1-AT$127)*(1-AT$123)*$K159)</f>
        <v/>
      </c>
      <c r="AU159" s="1242" t="str">
        <f>IF(OR(AU$122="",$I159=""),"",'I. Stream &amp; Compound Data'!DI214/$J159*(1-AU$127)*(1-AU$123)*$K159)</f>
        <v/>
      </c>
      <c r="AV159" s="1242" t="str">
        <f>IF(OR(AV$122="",$I159=""),"",'I. Stream &amp; Compound Data'!DL214/$J159*(1-AV$127)*(1-AV$123)*$K159)</f>
        <v/>
      </c>
      <c r="AW159" s="1242" t="str">
        <f>IF(OR(AW$122="",$I159=""),"",'I. Stream &amp; Compound Data'!DO214/$J159*(1-AW$127)*(1-AW$123)*$K159)</f>
        <v/>
      </c>
      <c r="AX159" s="1242" t="str">
        <f>IF(OR(AX$122="",$I159=""),"",'I. Stream &amp; Compound Data'!DR214/$J159*(1-AX$127)*(1-AX$123)*$K159)</f>
        <v/>
      </c>
      <c r="AY159" s="1268" t="str">
        <f>IF(OR(AY$122="",$I159=""),"",'I. Stream &amp; Compound Data'!DU214/$J159*(1-AY$127)*(1-AY$123)*$K159)</f>
        <v/>
      </c>
      <c r="AZ159" s="279"/>
      <c r="BA159" s="279"/>
      <c r="BB159" s="279"/>
      <c r="BC159" s="279"/>
      <c r="BD159" s="279"/>
      <c r="BE159" s="279"/>
      <c r="BF159" s="279"/>
      <c r="BG159" s="279"/>
      <c r="BH159" s="279"/>
      <c r="BI159" s="279"/>
      <c r="BJ159" s="279"/>
      <c r="BK159" s="279"/>
      <c r="BL159" s="279"/>
      <c r="BM159" s="279"/>
      <c r="BN159" s="279"/>
      <c r="BO159" s="279"/>
      <c r="BP159" s="279"/>
      <c r="BQ159" s="279"/>
      <c r="BR159" s="279"/>
      <c r="BS159" s="279"/>
      <c r="BT159" s="279"/>
      <c r="BU159" s="279"/>
      <c r="BV159" s="279"/>
      <c r="BW159" s="279"/>
      <c r="BX159" s="279"/>
      <c r="BY159" s="279"/>
      <c r="BZ159" s="279"/>
      <c r="CA159" s="279"/>
      <c r="CB159" s="279"/>
      <c r="CC159" s="279"/>
      <c r="CD159" s="279"/>
      <c r="CE159" s="279"/>
      <c r="CF159" s="279"/>
      <c r="CG159" s="279"/>
      <c r="CH159" s="279"/>
      <c r="CI159" s="279"/>
      <c r="CJ159" s="279"/>
      <c r="CK159" s="279"/>
      <c r="CL159" s="279"/>
      <c r="CM159" s="279"/>
      <c r="CN159" s="382"/>
    </row>
    <row r="160" ht="15.6" x14ac:dyDescent="0.25">
      <c r="B160" s="361"/>
      <c r="C160" s="279"/>
      <c r="D160" s="280"/>
      <c r="E160" s="287"/>
      <c r="F160" s="287"/>
      <c r="G160" s="287"/>
      <c r="H160" s="1292">
        <f t="shared" si="18"/>
        <v>30</v>
      </c>
      <c r="I160" s="1320" t="str">
        <f>IF('I. Stream &amp; Compound Data'!G291&lt;&gt;"",'I. Stream &amp; Compound Data'!G291,"")</f>
        <v/>
      </c>
      <c r="J160" s="1190" t="str">
        <f>IF('I. Stream &amp; Compound Data'!BH291="","",'I. Stream &amp; Compound Data'!BH291)</f>
        <v/>
      </c>
      <c r="K160" s="1306" t="str">
        <f>IF('I. Stream &amp; Compound Data'!G291="","",IF(OR('I. Stream &amp; Compound Data'!U291=1,'I. Stream &amp; Compound Data'!V291=1,'I. Stream &amp; Compound Data'!AY291&lt;25),0,1))</f>
        <v/>
      </c>
      <c r="L160" s="1242" t="str">
        <f>IF(OR(I160="",L$122=""),"",'I. Stream &amp; Compound Data'!H215/$J160*(1-L$127)*(1-L$123)*$K160)</f>
        <v/>
      </c>
      <c r="M160" s="1242" t="str">
        <f>IF(OR(J160="",M$122=""),"",'I. Stream &amp; Compound Data'!K215/$J160*(1-M$127)*(1-M$123)*$K160)</f>
        <v/>
      </c>
      <c r="N160" s="1242" t="str">
        <f>IF(OR(K160="",N$122=""),"",'I. Stream &amp; Compound Data'!N215/$J160*(1-N$127)*(1-N$123)*$K160)</f>
        <v/>
      </c>
      <c r="O160" s="1242" t="str">
        <f>IF(OR(L160="",O$122=""),"",'I. Stream &amp; Compound Data'!Q215/$J160*(1-O$127)*(1-O$123)*$K160)</f>
        <v/>
      </c>
      <c r="P160" s="1242" t="str">
        <f>IF(OR(M160="",P$122=""),"",'I. Stream &amp; Compound Data'!T215/$J160*(1-P$127)*(1-P$123)*$K160)</f>
        <v/>
      </c>
      <c r="Q160" s="1242" t="str">
        <f>IF(OR(N160="",Q$122=""),"",'I. Stream &amp; Compound Data'!W215/$J160*(1-Q$127)*(1-Q$123)*$K160)</f>
        <v/>
      </c>
      <c r="R160" s="1242" t="str">
        <f>IF(OR(O160="",R$122=""),"",'I. Stream &amp; Compound Data'!Z215/$J160*(1-R$127)*(1-R$123)*$K160)</f>
        <v/>
      </c>
      <c r="S160" s="1242" t="str">
        <f>IF(OR(P160="",S$122=""),"",'I. Stream &amp; Compound Data'!AC215/$J160*(1-S$127)*(1-S$123)*$K160)</f>
        <v/>
      </c>
      <c r="T160" s="1242" t="str">
        <f>IF(OR(Q160="",T$122=""),"",'I. Stream &amp; Compound Data'!AF215/$J160*(1-T$127)*(1-T$123)*$K160)</f>
        <v/>
      </c>
      <c r="U160" s="1242" t="str">
        <f>IF(OR(R160="",U$122=""),"",'I. Stream &amp; Compound Data'!AI215/$J160*(1-U$127)*(1-U$123)*$K160)</f>
        <v/>
      </c>
      <c r="V160" s="1242" t="str">
        <f>IF(OR(V$122="",$I160=""),"",'I. Stream &amp; Compound Data'!AL215/$J160*(1-V$127)*(1-V$123)*$K160)</f>
        <v/>
      </c>
      <c r="W160" s="1242" t="str">
        <f>IF(OR(W$122="",$I160=""),"",'I. Stream &amp; Compound Data'!AO215/$J160*(1-W$127)*(1-W$123)*$K160)</f>
        <v/>
      </c>
      <c r="X160" s="1242" t="str">
        <f>IF(OR(X$122="",$I160=""),"",'I. Stream &amp; Compound Data'!AR215/$J160*(1-X$127)*(1-X$123)*$K160)</f>
        <v/>
      </c>
      <c r="Y160" s="1242" t="str">
        <f>IF(OR(Y$122="",$I160=""),"",'I. Stream &amp; Compound Data'!AU215/$J160*(1-Y$127)*(1-Y$123)*$K160)</f>
        <v/>
      </c>
      <c r="Z160" s="1242" t="str">
        <f>IF(OR(Z$122="",$I160=""),"",'I. Stream &amp; Compound Data'!AX215/$J160*(1-Z$127)*(1-Z$123)*$K160)</f>
        <v/>
      </c>
      <c r="AA160" s="1242" t="str">
        <f>IF(OR(AA$122="",$I160=""),"",'I. Stream &amp; Compound Data'!BA215/$J160*(1-AA$127)*(1-AA$123)*$K160)</f>
        <v/>
      </c>
      <c r="AB160" s="1242" t="str">
        <f>IF(OR(AB$122="",$I160=""),"",'I. Stream &amp; Compound Data'!BD215/$J160*(1-AB$127)*(1-AB$123)*$K160)</f>
        <v/>
      </c>
      <c r="AC160" s="1242" t="str">
        <f>IF(OR(AC$122="",$I160=""),"",'I. Stream &amp; Compound Data'!BG215/$J160*(1-AC$127)*(1-AC$123)*$K160)</f>
        <v/>
      </c>
      <c r="AD160" s="1242" t="str">
        <f>IF(OR(AD$122="",$I160=""),"",'I. Stream &amp; Compound Data'!BJ215/$J160*(1-AD$127)*(1-AD$123)*$K160)</f>
        <v/>
      </c>
      <c r="AE160" s="1242" t="str">
        <f>IF(OR(AE$122="",$I160=""),"",'I. Stream &amp; Compound Data'!BM215/$J160*(1-AE$127)*(1-AE$123)*$K160)</f>
        <v/>
      </c>
      <c r="AF160" s="1242" t="str">
        <f>IF(OR(AF$122="",$I160=""),"",'I. Stream &amp; Compound Data'!BP215/$J160*(1-AF$127)*(1-AF$123)*$K160)</f>
        <v/>
      </c>
      <c r="AG160" s="1242" t="str">
        <f>IF(OR(AG$122="",$I160=""),"",'I. Stream &amp; Compound Data'!BS215/$J160*(1-AG$127)*(1-AG$123)*$K160)</f>
        <v/>
      </c>
      <c r="AH160" s="1242" t="str">
        <f>IF(OR(AH$122="",$I160=""),"",'I. Stream &amp; Compound Data'!BV215/$J160*(1-AH$127)*(1-AH$123)*$K160)</f>
        <v/>
      </c>
      <c r="AI160" s="1242" t="str">
        <f>IF(OR(AI$122="",$I160=""),"",'I. Stream &amp; Compound Data'!BY215/$J160*(1-AI$127)*(1-AI$123)*$K160)</f>
        <v/>
      </c>
      <c r="AJ160" s="1242" t="str">
        <f>IF(OR(AJ$122="",$I160=""),"",'I. Stream &amp; Compound Data'!CB215/$J160*(1-AJ$127)*(1-AJ$123)*$K160)</f>
        <v/>
      </c>
      <c r="AK160" s="1242" t="str">
        <f>IF(OR(AK$122="",$I160=""),"",'I. Stream &amp; Compound Data'!CE215/$J160*(1-AK$127)*(1-AK$123)*$K160)</f>
        <v/>
      </c>
      <c r="AL160" s="1242" t="str">
        <f>IF(OR(AL$122="",$I160=""),"",'I. Stream &amp; Compound Data'!CH215/$J160*(1-AL$127)*(1-AL$123)*$K160)</f>
        <v/>
      </c>
      <c r="AM160" s="1242" t="str">
        <f>IF(OR(AM$122="",$I160=""),"",'I. Stream &amp; Compound Data'!CK215/$J160*(1-AM$127)*(1-AM$123)*$K160)</f>
        <v/>
      </c>
      <c r="AN160" s="1242" t="str">
        <f>IF(OR(AN$122="",$I160=""),"",'I. Stream &amp; Compound Data'!CN215/$J160*(1-AN$127)*(1-AN$123)*$K160)</f>
        <v/>
      </c>
      <c r="AO160" s="1242" t="str">
        <f>IF(OR(AO$122="",$I160=""),"",'I. Stream &amp; Compound Data'!CQ215/$J160*(1-AO$127)*(1-AO$123)*$K160)</f>
        <v/>
      </c>
      <c r="AP160" s="1242" t="str">
        <f>IF(OR(AP$122="",$I160=""),"",'I. Stream &amp; Compound Data'!CT215/$J160*(1-AP$127)*(1-AP$123)*$K160)</f>
        <v/>
      </c>
      <c r="AQ160" s="1242" t="str">
        <f>IF(OR(AQ$122="",$I160=""),"",'I. Stream &amp; Compound Data'!CW215/$J160*(1-AQ$127)*(1-AQ$123)*$K160)</f>
        <v/>
      </c>
      <c r="AR160" s="1242" t="str">
        <f>IF(OR(AR$122="",$I160=""),"",'I. Stream &amp; Compound Data'!CZ215/$J160*(1-AR$127)*(1-AR$123)*$K160)</f>
        <v/>
      </c>
      <c r="AS160" s="1242" t="str">
        <f>IF(OR(AS$122="",$I160=""),"",'I. Stream &amp; Compound Data'!DC215/$J160*(1-AS$127)*(1-AS$123)*$K160)</f>
        <v/>
      </c>
      <c r="AT160" s="1242" t="str">
        <f>IF(OR(AT$122="",$I160=""),"",'I. Stream &amp; Compound Data'!DF215/$J160*(1-AT$127)*(1-AT$123)*$K160)</f>
        <v/>
      </c>
      <c r="AU160" s="1242" t="str">
        <f>IF(OR(AU$122="",$I160=""),"",'I. Stream &amp; Compound Data'!DI215/$J160*(1-AU$127)*(1-AU$123)*$K160)</f>
        <v/>
      </c>
      <c r="AV160" s="1242" t="str">
        <f>IF(OR(AV$122="",$I160=""),"",'I. Stream &amp; Compound Data'!DL215/$J160*(1-AV$127)*(1-AV$123)*$K160)</f>
        <v/>
      </c>
      <c r="AW160" s="1242" t="str">
        <f>IF(OR(AW$122="",$I160=""),"",'I. Stream &amp; Compound Data'!DO215/$J160*(1-AW$127)*(1-AW$123)*$K160)</f>
        <v/>
      </c>
      <c r="AX160" s="1242" t="str">
        <f>IF(OR(AX$122="",$I160=""),"",'I. Stream &amp; Compound Data'!DR215/$J160*(1-AX$127)*(1-AX$123)*$K160)</f>
        <v/>
      </c>
      <c r="AY160" s="1268" t="str">
        <f>IF(OR(AY$122="",$I160=""),"",'I. Stream &amp; Compound Data'!DU215/$J160*(1-AY$127)*(1-AY$123)*$K160)</f>
        <v/>
      </c>
      <c r="AZ160" s="279"/>
      <c r="BA160" s="279"/>
      <c r="BB160" s="279"/>
      <c r="BC160" s="279"/>
      <c r="BD160" s="279"/>
      <c r="BE160" s="279"/>
      <c r="BF160" s="279"/>
      <c r="BG160" s="279"/>
      <c r="BH160" s="279"/>
      <c r="BI160" s="279"/>
      <c r="BJ160" s="279"/>
      <c r="BK160" s="279"/>
      <c r="BL160" s="279"/>
      <c r="BM160" s="279"/>
      <c r="BN160" s="279"/>
      <c r="BO160" s="279"/>
      <c r="BP160" s="279"/>
      <c r="BQ160" s="279"/>
      <c r="BR160" s="279"/>
      <c r="BS160" s="279"/>
      <c r="BT160" s="279"/>
      <c r="BU160" s="279"/>
      <c r="BV160" s="279"/>
      <c r="BW160" s="279"/>
      <c r="BX160" s="279"/>
      <c r="BY160" s="279"/>
      <c r="BZ160" s="279"/>
      <c r="CA160" s="279"/>
      <c r="CB160" s="279"/>
      <c r="CC160" s="279"/>
      <c r="CD160" s="279"/>
      <c r="CE160" s="279"/>
      <c r="CF160" s="279"/>
      <c r="CG160" s="279"/>
      <c r="CH160" s="279"/>
      <c r="CI160" s="279"/>
      <c r="CJ160" s="279"/>
      <c r="CK160" s="279"/>
      <c r="CL160" s="279"/>
      <c r="CM160" s="279"/>
      <c r="CN160" s="382"/>
    </row>
    <row r="161" ht="15.6" x14ac:dyDescent="0.25">
      <c r="B161" s="361"/>
      <c r="C161" s="279"/>
      <c r="D161" s="280"/>
      <c r="E161" s="287"/>
      <c r="F161" s="287"/>
      <c r="G161" s="287"/>
      <c r="H161" s="1292">
        <f t="shared" si="18"/>
        <v>31</v>
      </c>
      <c r="I161" s="1320" t="str">
        <f>IF('I. Stream &amp; Compound Data'!G292&lt;&gt;"",'I. Stream &amp; Compound Data'!G292,"")</f>
        <v/>
      </c>
      <c r="J161" s="1190" t="str">
        <f>IF('I. Stream &amp; Compound Data'!BH292="","",'I. Stream &amp; Compound Data'!BH292)</f>
        <v/>
      </c>
      <c r="K161" s="1306" t="str">
        <f>IF('I. Stream &amp; Compound Data'!G292="","",IF(OR('I. Stream &amp; Compound Data'!U292=1,'I. Stream &amp; Compound Data'!V292=1,'I. Stream &amp; Compound Data'!AY292&lt;25),0,1))</f>
        <v/>
      </c>
      <c r="L161" s="1242" t="str">
        <f>IF(OR(I161="",L$122=""),"",'I. Stream &amp; Compound Data'!H216/$J161*(1-L$127)*(1-L$123)*$K161)</f>
        <v/>
      </c>
      <c r="M161" s="1242" t="str">
        <f>IF(OR(J161="",M$122=""),"",'I. Stream &amp; Compound Data'!K216/$J161*(1-M$127)*(1-M$123)*$K161)</f>
        <v/>
      </c>
      <c r="N161" s="1242" t="str">
        <f>IF(OR(K161="",N$122=""),"",'I. Stream &amp; Compound Data'!N216/$J161*(1-N$127)*(1-N$123)*$K161)</f>
        <v/>
      </c>
      <c r="O161" s="1242" t="str">
        <f>IF(OR(L161="",O$122=""),"",'I. Stream &amp; Compound Data'!Q216/$J161*(1-O$127)*(1-O$123)*$K161)</f>
        <v/>
      </c>
      <c r="P161" s="1242" t="str">
        <f>IF(OR(M161="",P$122=""),"",'I. Stream &amp; Compound Data'!T216/$J161*(1-P$127)*(1-P$123)*$K161)</f>
        <v/>
      </c>
      <c r="Q161" s="1242" t="str">
        <f>IF(OR(N161="",Q$122=""),"",'I. Stream &amp; Compound Data'!W216/$J161*(1-Q$127)*(1-Q$123)*$K161)</f>
        <v/>
      </c>
      <c r="R161" s="1242" t="str">
        <f>IF(OR(O161="",R$122=""),"",'I. Stream &amp; Compound Data'!Z216/$J161*(1-R$127)*(1-R$123)*$K161)</f>
        <v/>
      </c>
      <c r="S161" s="1242" t="str">
        <f>IF(OR(P161="",S$122=""),"",'I. Stream &amp; Compound Data'!AC216/$J161*(1-S$127)*(1-S$123)*$K161)</f>
        <v/>
      </c>
      <c r="T161" s="1242" t="str">
        <f>IF(OR(Q161="",T$122=""),"",'I. Stream &amp; Compound Data'!AF216/$J161*(1-T$127)*(1-T$123)*$K161)</f>
        <v/>
      </c>
      <c r="U161" s="1242" t="str">
        <f>IF(OR(R161="",U$122=""),"",'I. Stream &amp; Compound Data'!AI216/$J161*(1-U$127)*(1-U$123)*$K161)</f>
        <v/>
      </c>
      <c r="V161" s="1242" t="str">
        <f>IF(OR(V$122="",$I161=""),"",'I. Stream &amp; Compound Data'!AL216/$J161*(1-V$127)*(1-V$123)*$K161)</f>
        <v/>
      </c>
      <c r="W161" s="1242" t="str">
        <f>IF(OR(W$122="",$I161=""),"",'I. Stream &amp; Compound Data'!AO216/$J161*(1-W$127)*(1-W$123)*$K161)</f>
        <v/>
      </c>
      <c r="X161" s="1242" t="str">
        <f>IF(OR(X$122="",$I161=""),"",'I. Stream &amp; Compound Data'!AR216/$J161*(1-X$127)*(1-X$123)*$K161)</f>
        <v/>
      </c>
      <c r="Y161" s="1242" t="str">
        <f>IF(OR(Y$122="",$I161=""),"",'I. Stream &amp; Compound Data'!AU216/$J161*(1-Y$127)*(1-Y$123)*$K161)</f>
        <v/>
      </c>
      <c r="Z161" s="1242" t="str">
        <f>IF(OR(Z$122="",$I161=""),"",'I. Stream &amp; Compound Data'!AX216/$J161*(1-Z$127)*(1-Z$123)*$K161)</f>
        <v/>
      </c>
      <c r="AA161" s="1242" t="str">
        <f>IF(OR(AA$122="",$I161=""),"",'I. Stream &amp; Compound Data'!BA216/$J161*(1-AA$127)*(1-AA$123)*$K161)</f>
        <v/>
      </c>
      <c r="AB161" s="1242" t="str">
        <f>IF(OR(AB$122="",$I161=""),"",'I. Stream &amp; Compound Data'!BD216/$J161*(1-AB$127)*(1-AB$123)*$K161)</f>
        <v/>
      </c>
      <c r="AC161" s="1242" t="str">
        <f>IF(OR(AC$122="",$I161=""),"",'I. Stream &amp; Compound Data'!BG216/$J161*(1-AC$127)*(1-AC$123)*$K161)</f>
        <v/>
      </c>
      <c r="AD161" s="1242" t="str">
        <f>IF(OR(AD$122="",$I161=""),"",'I. Stream &amp; Compound Data'!BJ216/$J161*(1-AD$127)*(1-AD$123)*$K161)</f>
        <v/>
      </c>
      <c r="AE161" s="1242" t="str">
        <f>IF(OR(AE$122="",$I161=""),"",'I. Stream &amp; Compound Data'!BM216/$J161*(1-AE$127)*(1-AE$123)*$K161)</f>
        <v/>
      </c>
      <c r="AF161" s="1242" t="str">
        <f>IF(OR(AF$122="",$I161=""),"",'I. Stream &amp; Compound Data'!BP216/$J161*(1-AF$127)*(1-AF$123)*$K161)</f>
        <v/>
      </c>
      <c r="AG161" s="1242" t="str">
        <f>IF(OR(AG$122="",$I161=""),"",'I. Stream &amp; Compound Data'!BS216/$J161*(1-AG$127)*(1-AG$123)*$K161)</f>
        <v/>
      </c>
      <c r="AH161" s="1242" t="str">
        <f>IF(OR(AH$122="",$I161=""),"",'I. Stream &amp; Compound Data'!BV216/$J161*(1-AH$127)*(1-AH$123)*$K161)</f>
        <v/>
      </c>
      <c r="AI161" s="1242" t="str">
        <f>IF(OR(AI$122="",$I161=""),"",'I. Stream &amp; Compound Data'!BY216/$J161*(1-AI$127)*(1-AI$123)*$K161)</f>
        <v/>
      </c>
      <c r="AJ161" s="1242" t="str">
        <f>IF(OR(AJ$122="",$I161=""),"",'I. Stream &amp; Compound Data'!CB216/$J161*(1-AJ$127)*(1-AJ$123)*$K161)</f>
        <v/>
      </c>
      <c r="AK161" s="1242" t="str">
        <f>IF(OR(AK$122="",$I161=""),"",'I. Stream &amp; Compound Data'!CE216/$J161*(1-AK$127)*(1-AK$123)*$K161)</f>
        <v/>
      </c>
      <c r="AL161" s="1242" t="str">
        <f>IF(OR(AL$122="",$I161=""),"",'I. Stream &amp; Compound Data'!CH216/$J161*(1-AL$127)*(1-AL$123)*$K161)</f>
        <v/>
      </c>
      <c r="AM161" s="1242" t="str">
        <f>IF(OR(AM$122="",$I161=""),"",'I. Stream &amp; Compound Data'!CK216/$J161*(1-AM$127)*(1-AM$123)*$K161)</f>
        <v/>
      </c>
      <c r="AN161" s="1242" t="str">
        <f>IF(OR(AN$122="",$I161=""),"",'I. Stream &amp; Compound Data'!CN216/$J161*(1-AN$127)*(1-AN$123)*$K161)</f>
        <v/>
      </c>
      <c r="AO161" s="1242" t="str">
        <f>IF(OR(AO$122="",$I161=""),"",'I. Stream &amp; Compound Data'!CQ216/$J161*(1-AO$127)*(1-AO$123)*$K161)</f>
        <v/>
      </c>
      <c r="AP161" s="1242" t="str">
        <f>IF(OR(AP$122="",$I161=""),"",'I. Stream &amp; Compound Data'!CT216/$J161*(1-AP$127)*(1-AP$123)*$K161)</f>
        <v/>
      </c>
      <c r="AQ161" s="1242" t="str">
        <f>IF(OR(AQ$122="",$I161=""),"",'I. Stream &amp; Compound Data'!CW216/$J161*(1-AQ$127)*(1-AQ$123)*$K161)</f>
        <v/>
      </c>
      <c r="AR161" s="1242" t="str">
        <f>IF(OR(AR$122="",$I161=""),"",'I. Stream &amp; Compound Data'!CZ216/$J161*(1-AR$127)*(1-AR$123)*$K161)</f>
        <v/>
      </c>
      <c r="AS161" s="1242" t="str">
        <f>IF(OR(AS$122="",$I161=""),"",'I. Stream &amp; Compound Data'!DC216/$J161*(1-AS$127)*(1-AS$123)*$K161)</f>
        <v/>
      </c>
      <c r="AT161" s="1242" t="str">
        <f>IF(OR(AT$122="",$I161=""),"",'I. Stream &amp; Compound Data'!DF216/$J161*(1-AT$127)*(1-AT$123)*$K161)</f>
        <v/>
      </c>
      <c r="AU161" s="1242" t="str">
        <f>IF(OR(AU$122="",$I161=""),"",'I. Stream &amp; Compound Data'!DI216/$J161*(1-AU$127)*(1-AU$123)*$K161)</f>
        <v/>
      </c>
      <c r="AV161" s="1242" t="str">
        <f>IF(OR(AV$122="",$I161=""),"",'I. Stream &amp; Compound Data'!DL216/$J161*(1-AV$127)*(1-AV$123)*$K161)</f>
        <v/>
      </c>
      <c r="AW161" s="1242" t="str">
        <f>IF(OR(AW$122="",$I161=""),"",'I. Stream &amp; Compound Data'!DO216/$J161*(1-AW$127)*(1-AW$123)*$K161)</f>
        <v/>
      </c>
      <c r="AX161" s="1242" t="str">
        <f>IF(OR(AX$122="",$I161=""),"",'I. Stream &amp; Compound Data'!DR216/$J161*(1-AX$127)*(1-AX$123)*$K161)</f>
        <v/>
      </c>
      <c r="AY161" s="1268" t="str">
        <f>IF(OR(AY$122="",$I161=""),"",'I. Stream &amp; Compound Data'!DU216/$J161*(1-AY$127)*(1-AY$123)*$K161)</f>
        <v/>
      </c>
      <c r="AZ161" s="279"/>
      <c r="BA161" s="279"/>
      <c r="BB161" s="279"/>
      <c r="BC161" s="279"/>
      <c r="BD161" s="279"/>
      <c r="BE161" s="279"/>
      <c r="BF161" s="279"/>
      <c r="BG161" s="279"/>
      <c r="BH161" s="279"/>
      <c r="BI161" s="279"/>
      <c r="BJ161" s="279"/>
      <c r="BK161" s="279"/>
      <c r="BL161" s="279"/>
      <c r="BM161" s="279"/>
      <c r="BN161" s="279"/>
      <c r="BO161" s="279"/>
      <c r="BP161" s="279"/>
      <c r="BQ161" s="279"/>
      <c r="BR161" s="279"/>
      <c r="BS161" s="279"/>
      <c r="BT161" s="279"/>
      <c r="BU161" s="279"/>
      <c r="BV161" s="279"/>
      <c r="BW161" s="279"/>
      <c r="BX161" s="279"/>
      <c r="BY161" s="279"/>
      <c r="BZ161" s="279"/>
      <c r="CA161" s="279"/>
      <c r="CB161" s="279"/>
      <c r="CC161" s="279"/>
      <c r="CD161" s="279"/>
      <c r="CE161" s="279"/>
      <c r="CF161" s="279"/>
      <c r="CG161" s="279"/>
      <c r="CH161" s="279"/>
      <c r="CI161" s="279"/>
      <c r="CJ161" s="279"/>
      <c r="CK161" s="279"/>
      <c r="CL161" s="279"/>
      <c r="CM161" s="279"/>
      <c r="CN161" s="382"/>
    </row>
    <row r="162" ht="15.6" x14ac:dyDescent="0.25">
      <c r="B162" s="361"/>
      <c r="C162" s="279"/>
      <c r="D162" s="280"/>
      <c r="E162" s="287"/>
      <c r="F162" s="287"/>
      <c r="G162" s="287"/>
      <c r="H162" s="1292">
        <f t="shared" si="18"/>
        <v>32</v>
      </c>
      <c r="I162" s="1320" t="str">
        <f>IF('I. Stream &amp; Compound Data'!G293&lt;&gt;"",'I. Stream &amp; Compound Data'!G293,"")</f>
        <v/>
      </c>
      <c r="J162" s="1190" t="str">
        <f>IF('I. Stream &amp; Compound Data'!BH293="","",'I. Stream &amp; Compound Data'!BH293)</f>
        <v/>
      </c>
      <c r="K162" s="1306" t="str">
        <f>IF('I. Stream &amp; Compound Data'!G293="","",IF(OR('I. Stream &amp; Compound Data'!U293=1,'I. Stream &amp; Compound Data'!V293=1,'I. Stream &amp; Compound Data'!AY293&lt;25),0,1))</f>
        <v/>
      </c>
      <c r="L162" s="1242" t="str">
        <f>IF(OR(I162="",L$122=""),"",'I. Stream &amp; Compound Data'!H217/$J162*(1-L$127)*(1-L$123)*$K162)</f>
        <v/>
      </c>
      <c r="M162" s="1242" t="str">
        <f>IF(OR(J162="",M$122=""),"",'I. Stream &amp; Compound Data'!K217/$J162*(1-M$127)*(1-M$123)*$K162)</f>
        <v/>
      </c>
      <c r="N162" s="1242" t="str">
        <f>IF(OR(K162="",N$122=""),"",'I. Stream &amp; Compound Data'!N217/$J162*(1-N$127)*(1-N$123)*$K162)</f>
        <v/>
      </c>
      <c r="O162" s="1242" t="str">
        <f>IF(OR(L162="",O$122=""),"",'I. Stream &amp; Compound Data'!Q217/$J162*(1-O$127)*(1-O$123)*$K162)</f>
        <v/>
      </c>
      <c r="P162" s="1242" t="str">
        <f>IF(OR(M162="",P$122=""),"",'I. Stream &amp; Compound Data'!T217/$J162*(1-P$127)*(1-P$123)*$K162)</f>
        <v/>
      </c>
      <c r="Q162" s="1242" t="str">
        <f>IF(OR(N162="",Q$122=""),"",'I. Stream &amp; Compound Data'!W217/$J162*(1-Q$127)*(1-Q$123)*$K162)</f>
        <v/>
      </c>
      <c r="R162" s="1242" t="str">
        <f>IF(OR(O162="",R$122=""),"",'I. Stream &amp; Compound Data'!Z217/$J162*(1-R$127)*(1-R$123)*$K162)</f>
        <v/>
      </c>
      <c r="S162" s="1242" t="str">
        <f>IF(OR(P162="",S$122=""),"",'I. Stream &amp; Compound Data'!AC217/$J162*(1-S$127)*(1-S$123)*$K162)</f>
        <v/>
      </c>
      <c r="T162" s="1242" t="str">
        <f>IF(OR(Q162="",T$122=""),"",'I. Stream &amp; Compound Data'!AF217/$J162*(1-T$127)*(1-T$123)*$K162)</f>
        <v/>
      </c>
      <c r="U162" s="1242" t="str">
        <f>IF(OR(R162="",U$122=""),"",'I. Stream &amp; Compound Data'!AI217/$J162*(1-U$127)*(1-U$123)*$K162)</f>
        <v/>
      </c>
      <c r="V162" s="1242" t="str">
        <f>IF(OR(V$122="",$I162=""),"",'I. Stream &amp; Compound Data'!AL217/$J162*(1-V$127)*(1-V$123)*$K162)</f>
        <v/>
      </c>
      <c r="W162" s="1242" t="str">
        <f>IF(OR(W$122="",$I162=""),"",'I. Stream &amp; Compound Data'!AO217/$J162*(1-W$127)*(1-W$123)*$K162)</f>
        <v/>
      </c>
      <c r="X162" s="1242" t="str">
        <f>IF(OR(X$122="",$I162=""),"",'I. Stream &amp; Compound Data'!AR217/$J162*(1-X$127)*(1-X$123)*$K162)</f>
        <v/>
      </c>
      <c r="Y162" s="1242" t="str">
        <f>IF(OR(Y$122="",$I162=""),"",'I. Stream &amp; Compound Data'!AU217/$J162*(1-Y$127)*(1-Y$123)*$K162)</f>
        <v/>
      </c>
      <c r="Z162" s="1242" t="str">
        <f>IF(OR(Z$122="",$I162=""),"",'I. Stream &amp; Compound Data'!AX217/$J162*(1-Z$127)*(1-Z$123)*$K162)</f>
        <v/>
      </c>
      <c r="AA162" s="1242" t="str">
        <f>IF(OR(AA$122="",$I162=""),"",'I. Stream &amp; Compound Data'!BA217/$J162*(1-AA$127)*(1-AA$123)*$K162)</f>
        <v/>
      </c>
      <c r="AB162" s="1242" t="str">
        <f>IF(OR(AB$122="",$I162=""),"",'I. Stream &amp; Compound Data'!BD217/$J162*(1-AB$127)*(1-AB$123)*$K162)</f>
        <v/>
      </c>
      <c r="AC162" s="1242" t="str">
        <f>IF(OR(AC$122="",$I162=""),"",'I. Stream &amp; Compound Data'!BG217/$J162*(1-AC$127)*(1-AC$123)*$K162)</f>
        <v/>
      </c>
      <c r="AD162" s="1242" t="str">
        <f>IF(OR(AD$122="",$I162=""),"",'I. Stream &amp; Compound Data'!BJ217/$J162*(1-AD$127)*(1-AD$123)*$K162)</f>
        <v/>
      </c>
      <c r="AE162" s="1242" t="str">
        <f>IF(OR(AE$122="",$I162=""),"",'I. Stream &amp; Compound Data'!BM217/$J162*(1-AE$127)*(1-AE$123)*$K162)</f>
        <v/>
      </c>
      <c r="AF162" s="1242" t="str">
        <f>IF(OR(AF$122="",$I162=""),"",'I. Stream &amp; Compound Data'!BP217/$J162*(1-AF$127)*(1-AF$123)*$K162)</f>
        <v/>
      </c>
      <c r="AG162" s="1242" t="str">
        <f>IF(OR(AG$122="",$I162=""),"",'I. Stream &amp; Compound Data'!BS217/$J162*(1-AG$127)*(1-AG$123)*$K162)</f>
        <v/>
      </c>
      <c r="AH162" s="1242" t="str">
        <f>IF(OR(AH$122="",$I162=""),"",'I. Stream &amp; Compound Data'!BV217/$J162*(1-AH$127)*(1-AH$123)*$K162)</f>
        <v/>
      </c>
      <c r="AI162" s="1242" t="str">
        <f>IF(OR(AI$122="",$I162=""),"",'I. Stream &amp; Compound Data'!BY217/$J162*(1-AI$127)*(1-AI$123)*$K162)</f>
        <v/>
      </c>
      <c r="AJ162" s="1242" t="str">
        <f>IF(OR(AJ$122="",$I162=""),"",'I. Stream &amp; Compound Data'!CB217/$J162*(1-AJ$127)*(1-AJ$123)*$K162)</f>
        <v/>
      </c>
      <c r="AK162" s="1242" t="str">
        <f>IF(OR(AK$122="",$I162=""),"",'I. Stream &amp; Compound Data'!CE217/$J162*(1-AK$127)*(1-AK$123)*$K162)</f>
        <v/>
      </c>
      <c r="AL162" s="1242" t="str">
        <f>IF(OR(AL$122="",$I162=""),"",'I. Stream &amp; Compound Data'!CH217/$J162*(1-AL$127)*(1-AL$123)*$K162)</f>
        <v/>
      </c>
      <c r="AM162" s="1242" t="str">
        <f>IF(OR(AM$122="",$I162=""),"",'I. Stream &amp; Compound Data'!CK217/$J162*(1-AM$127)*(1-AM$123)*$K162)</f>
        <v/>
      </c>
      <c r="AN162" s="1242" t="str">
        <f>IF(OR(AN$122="",$I162=""),"",'I. Stream &amp; Compound Data'!CN217/$J162*(1-AN$127)*(1-AN$123)*$K162)</f>
        <v/>
      </c>
      <c r="AO162" s="1242" t="str">
        <f>IF(OR(AO$122="",$I162=""),"",'I. Stream &amp; Compound Data'!CQ217/$J162*(1-AO$127)*(1-AO$123)*$K162)</f>
        <v/>
      </c>
      <c r="AP162" s="1242" t="str">
        <f>IF(OR(AP$122="",$I162=""),"",'I. Stream &amp; Compound Data'!CT217/$J162*(1-AP$127)*(1-AP$123)*$K162)</f>
        <v/>
      </c>
      <c r="AQ162" s="1242" t="str">
        <f>IF(OR(AQ$122="",$I162=""),"",'I. Stream &amp; Compound Data'!CW217/$J162*(1-AQ$127)*(1-AQ$123)*$K162)</f>
        <v/>
      </c>
      <c r="AR162" s="1242" t="str">
        <f>IF(OR(AR$122="",$I162=""),"",'I. Stream &amp; Compound Data'!CZ217/$J162*(1-AR$127)*(1-AR$123)*$K162)</f>
        <v/>
      </c>
      <c r="AS162" s="1242" t="str">
        <f>IF(OR(AS$122="",$I162=""),"",'I. Stream &amp; Compound Data'!DC217/$J162*(1-AS$127)*(1-AS$123)*$K162)</f>
        <v/>
      </c>
      <c r="AT162" s="1242" t="str">
        <f>IF(OR(AT$122="",$I162=""),"",'I. Stream &amp; Compound Data'!DF217/$J162*(1-AT$127)*(1-AT$123)*$K162)</f>
        <v/>
      </c>
      <c r="AU162" s="1242" t="str">
        <f>IF(OR(AU$122="",$I162=""),"",'I. Stream &amp; Compound Data'!DI217/$J162*(1-AU$127)*(1-AU$123)*$K162)</f>
        <v/>
      </c>
      <c r="AV162" s="1242" t="str">
        <f>IF(OR(AV$122="",$I162=""),"",'I. Stream &amp; Compound Data'!DL217/$J162*(1-AV$127)*(1-AV$123)*$K162)</f>
        <v/>
      </c>
      <c r="AW162" s="1242" t="str">
        <f>IF(OR(AW$122="",$I162=""),"",'I. Stream &amp; Compound Data'!DO217/$J162*(1-AW$127)*(1-AW$123)*$K162)</f>
        <v/>
      </c>
      <c r="AX162" s="1242" t="str">
        <f>IF(OR(AX$122="",$I162=""),"",'I. Stream &amp; Compound Data'!DR217/$J162*(1-AX$127)*(1-AX$123)*$K162)</f>
        <v/>
      </c>
      <c r="AY162" s="1268" t="str">
        <f>IF(OR(AY$122="",$I162=""),"",'I. Stream &amp; Compound Data'!DU217/$J162*(1-AY$127)*(1-AY$123)*$K162)</f>
        <v/>
      </c>
      <c r="AZ162" s="279"/>
      <c r="BA162" s="279"/>
      <c r="BB162" s="279"/>
      <c r="BC162" s="279"/>
      <c r="BD162" s="279"/>
      <c r="BE162" s="279"/>
      <c r="BF162" s="279"/>
      <c r="BG162" s="279"/>
      <c r="BH162" s="279"/>
      <c r="BI162" s="279"/>
      <c r="BJ162" s="279"/>
      <c r="BK162" s="279"/>
      <c r="BL162" s="279"/>
      <c r="BM162" s="279"/>
      <c r="BN162" s="279"/>
      <c r="BO162" s="279"/>
      <c r="BP162" s="279"/>
      <c r="BQ162" s="279"/>
      <c r="BR162" s="279"/>
      <c r="BS162" s="279"/>
      <c r="BT162" s="279"/>
      <c r="BU162" s="279"/>
      <c r="BV162" s="279"/>
      <c r="BW162" s="279"/>
      <c r="BX162" s="279"/>
      <c r="BY162" s="279"/>
      <c r="BZ162" s="279"/>
      <c r="CA162" s="279"/>
      <c r="CB162" s="279"/>
      <c r="CC162" s="279"/>
      <c r="CD162" s="279"/>
      <c r="CE162" s="279"/>
      <c r="CF162" s="279"/>
      <c r="CG162" s="279"/>
      <c r="CH162" s="279"/>
      <c r="CI162" s="279"/>
      <c r="CJ162" s="279"/>
      <c r="CK162" s="279"/>
      <c r="CL162" s="279"/>
      <c r="CM162" s="279"/>
      <c r="CN162" s="382"/>
    </row>
    <row r="163" ht="15.6" x14ac:dyDescent="0.25">
      <c r="B163" s="361"/>
      <c r="C163" s="279"/>
      <c r="D163" s="280"/>
      <c r="E163" s="287"/>
      <c r="F163" s="287"/>
      <c r="G163" s="287"/>
      <c r="H163" s="1292">
        <f t="shared" si="18"/>
        <v>33</v>
      </c>
      <c r="I163" s="1320" t="str">
        <f>IF('I. Stream &amp; Compound Data'!G294&lt;&gt;"",'I. Stream &amp; Compound Data'!G294,"")</f>
        <v/>
      </c>
      <c r="J163" s="1190" t="str">
        <f>IF('I. Stream &amp; Compound Data'!BH294="","",'I. Stream &amp; Compound Data'!BH294)</f>
        <v/>
      </c>
      <c r="K163" s="1306" t="str">
        <f>IF('I. Stream &amp; Compound Data'!G294="","",IF(OR('I. Stream &amp; Compound Data'!U294=1,'I. Stream &amp; Compound Data'!V294=1,'I. Stream &amp; Compound Data'!AY294&lt;25),0,1))</f>
        <v/>
      </c>
      <c r="L163" s="1242" t="str">
        <f>IF(OR(I163="",L$122=""),"",'I. Stream &amp; Compound Data'!H218/$J163*(1-L$127)*(1-L$123)*$K163)</f>
        <v/>
      </c>
      <c r="M163" s="1242" t="str">
        <f>IF(OR(J163="",M$122=""),"",'I. Stream &amp; Compound Data'!K218/$J163*(1-M$127)*(1-M$123)*$K163)</f>
        <v/>
      </c>
      <c r="N163" s="1242" t="str">
        <f>IF(OR(K163="",N$122=""),"",'I. Stream &amp; Compound Data'!N218/$J163*(1-N$127)*(1-N$123)*$K163)</f>
        <v/>
      </c>
      <c r="O163" s="1242" t="str">
        <f>IF(OR(L163="",O$122=""),"",'I. Stream &amp; Compound Data'!Q218/$J163*(1-O$127)*(1-O$123)*$K163)</f>
        <v/>
      </c>
      <c r="P163" s="1242" t="str">
        <f>IF(OR(M163="",P$122=""),"",'I. Stream &amp; Compound Data'!T218/$J163*(1-P$127)*(1-P$123)*$K163)</f>
        <v/>
      </c>
      <c r="Q163" s="1242" t="str">
        <f>IF(OR(N163="",Q$122=""),"",'I. Stream &amp; Compound Data'!W218/$J163*(1-Q$127)*(1-Q$123)*$K163)</f>
        <v/>
      </c>
      <c r="R163" s="1242" t="str">
        <f>IF(OR(O163="",R$122=""),"",'I. Stream &amp; Compound Data'!Z218/$J163*(1-R$127)*(1-R$123)*$K163)</f>
        <v/>
      </c>
      <c r="S163" s="1242" t="str">
        <f>IF(OR(P163="",S$122=""),"",'I. Stream &amp; Compound Data'!AC218/$J163*(1-S$127)*(1-S$123)*$K163)</f>
        <v/>
      </c>
      <c r="T163" s="1242" t="str">
        <f>IF(OR(Q163="",T$122=""),"",'I. Stream &amp; Compound Data'!AF218/$J163*(1-T$127)*(1-T$123)*$K163)</f>
        <v/>
      </c>
      <c r="U163" s="1242" t="str">
        <f>IF(OR(R163="",U$122=""),"",'I. Stream &amp; Compound Data'!AI218/$J163*(1-U$127)*(1-U$123)*$K163)</f>
        <v/>
      </c>
      <c r="V163" s="1242" t="str">
        <f>IF(OR(V$122="",$I163=""),"",'I. Stream &amp; Compound Data'!AL218/$J163*(1-V$127)*(1-V$123)*$K163)</f>
        <v/>
      </c>
      <c r="W163" s="1242" t="str">
        <f>IF(OR(W$122="",$I163=""),"",'I. Stream &amp; Compound Data'!AO218/$J163*(1-W$127)*(1-W$123)*$K163)</f>
        <v/>
      </c>
      <c r="X163" s="1242" t="str">
        <f>IF(OR(X$122="",$I163=""),"",'I. Stream &amp; Compound Data'!AR218/$J163*(1-X$127)*(1-X$123)*$K163)</f>
        <v/>
      </c>
      <c r="Y163" s="1242" t="str">
        <f>IF(OR(Y$122="",$I163=""),"",'I. Stream &amp; Compound Data'!AU218/$J163*(1-Y$127)*(1-Y$123)*$K163)</f>
        <v/>
      </c>
      <c r="Z163" s="1242" t="str">
        <f>IF(OR(Z$122="",$I163=""),"",'I. Stream &amp; Compound Data'!AX218/$J163*(1-Z$127)*(1-Z$123)*$K163)</f>
        <v/>
      </c>
      <c r="AA163" s="1242" t="str">
        <f>IF(OR(AA$122="",$I163=""),"",'I. Stream &amp; Compound Data'!BA218/$J163*(1-AA$127)*(1-AA$123)*$K163)</f>
        <v/>
      </c>
      <c r="AB163" s="1242" t="str">
        <f>IF(OR(AB$122="",$I163=""),"",'I. Stream &amp; Compound Data'!BD218/$J163*(1-AB$127)*(1-AB$123)*$K163)</f>
        <v/>
      </c>
      <c r="AC163" s="1242" t="str">
        <f>IF(OR(AC$122="",$I163=""),"",'I. Stream &amp; Compound Data'!BG218/$J163*(1-AC$127)*(1-AC$123)*$K163)</f>
        <v/>
      </c>
      <c r="AD163" s="1242" t="str">
        <f>IF(OR(AD$122="",$I163=""),"",'I. Stream &amp; Compound Data'!BJ218/$J163*(1-AD$127)*(1-AD$123)*$K163)</f>
        <v/>
      </c>
      <c r="AE163" s="1242" t="str">
        <f>IF(OR(AE$122="",$I163=""),"",'I. Stream &amp; Compound Data'!BM218/$J163*(1-AE$127)*(1-AE$123)*$K163)</f>
        <v/>
      </c>
      <c r="AF163" s="1242" t="str">
        <f>IF(OR(AF$122="",$I163=""),"",'I. Stream &amp; Compound Data'!BP218/$J163*(1-AF$127)*(1-AF$123)*$K163)</f>
        <v/>
      </c>
      <c r="AG163" s="1242" t="str">
        <f>IF(OR(AG$122="",$I163=""),"",'I. Stream &amp; Compound Data'!BS218/$J163*(1-AG$127)*(1-AG$123)*$K163)</f>
        <v/>
      </c>
      <c r="AH163" s="1242" t="str">
        <f>IF(OR(AH$122="",$I163=""),"",'I. Stream &amp; Compound Data'!BV218/$J163*(1-AH$127)*(1-AH$123)*$K163)</f>
        <v/>
      </c>
      <c r="AI163" s="1242" t="str">
        <f>IF(OR(AI$122="",$I163=""),"",'I. Stream &amp; Compound Data'!BY218/$J163*(1-AI$127)*(1-AI$123)*$K163)</f>
        <v/>
      </c>
      <c r="AJ163" s="1242" t="str">
        <f>IF(OR(AJ$122="",$I163=""),"",'I. Stream &amp; Compound Data'!CB218/$J163*(1-AJ$127)*(1-AJ$123)*$K163)</f>
        <v/>
      </c>
      <c r="AK163" s="1242" t="str">
        <f>IF(OR(AK$122="",$I163=""),"",'I. Stream &amp; Compound Data'!CE218/$J163*(1-AK$127)*(1-AK$123)*$K163)</f>
        <v/>
      </c>
      <c r="AL163" s="1242" t="str">
        <f>IF(OR(AL$122="",$I163=""),"",'I. Stream &amp; Compound Data'!CH218/$J163*(1-AL$127)*(1-AL$123)*$K163)</f>
        <v/>
      </c>
      <c r="AM163" s="1242" t="str">
        <f>IF(OR(AM$122="",$I163=""),"",'I. Stream &amp; Compound Data'!CK218/$J163*(1-AM$127)*(1-AM$123)*$K163)</f>
        <v/>
      </c>
      <c r="AN163" s="1242" t="str">
        <f>IF(OR(AN$122="",$I163=""),"",'I. Stream &amp; Compound Data'!CN218/$J163*(1-AN$127)*(1-AN$123)*$K163)</f>
        <v/>
      </c>
      <c r="AO163" s="1242" t="str">
        <f>IF(OR(AO$122="",$I163=""),"",'I. Stream &amp; Compound Data'!CQ218/$J163*(1-AO$127)*(1-AO$123)*$K163)</f>
        <v/>
      </c>
      <c r="AP163" s="1242" t="str">
        <f>IF(OR(AP$122="",$I163=""),"",'I. Stream &amp; Compound Data'!CT218/$J163*(1-AP$127)*(1-AP$123)*$K163)</f>
        <v/>
      </c>
      <c r="AQ163" s="1242" t="str">
        <f>IF(OR(AQ$122="",$I163=""),"",'I. Stream &amp; Compound Data'!CW218/$J163*(1-AQ$127)*(1-AQ$123)*$K163)</f>
        <v/>
      </c>
      <c r="AR163" s="1242" t="str">
        <f>IF(OR(AR$122="",$I163=""),"",'I. Stream &amp; Compound Data'!CZ218/$J163*(1-AR$127)*(1-AR$123)*$K163)</f>
        <v/>
      </c>
      <c r="AS163" s="1242" t="str">
        <f>IF(OR(AS$122="",$I163=""),"",'I. Stream &amp; Compound Data'!DC218/$J163*(1-AS$127)*(1-AS$123)*$K163)</f>
        <v/>
      </c>
      <c r="AT163" s="1242" t="str">
        <f>IF(OR(AT$122="",$I163=""),"",'I. Stream &amp; Compound Data'!DF218/$J163*(1-AT$127)*(1-AT$123)*$K163)</f>
        <v/>
      </c>
      <c r="AU163" s="1242" t="str">
        <f>IF(OR(AU$122="",$I163=""),"",'I. Stream &amp; Compound Data'!DI218/$J163*(1-AU$127)*(1-AU$123)*$K163)</f>
        <v/>
      </c>
      <c r="AV163" s="1242" t="str">
        <f>IF(OR(AV$122="",$I163=""),"",'I. Stream &amp; Compound Data'!DL218/$J163*(1-AV$127)*(1-AV$123)*$K163)</f>
        <v/>
      </c>
      <c r="AW163" s="1242" t="str">
        <f>IF(OR(AW$122="",$I163=""),"",'I. Stream &amp; Compound Data'!DO218/$J163*(1-AW$127)*(1-AW$123)*$K163)</f>
        <v/>
      </c>
      <c r="AX163" s="1242" t="str">
        <f>IF(OR(AX$122="",$I163=""),"",'I. Stream &amp; Compound Data'!DR218/$J163*(1-AX$127)*(1-AX$123)*$K163)</f>
        <v/>
      </c>
      <c r="AY163" s="1268" t="str">
        <f>IF(OR(AY$122="",$I163=""),"",'I. Stream &amp; Compound Data'!DU218/$J163*(1-AY$127)*(1-AY$123)*$K163)</f>
        <v/>
      </c>
      <c r="AZ163" s="279"/>
      <c r="BA163" s="279"/>
      <c r="BB163" s="279"/>
      <c r="BC163" s="279"/>
      <c r="BD163" s="279"/>
      <c r="BE163" s="279"/>
      <c r="BF163" s="279"/>
      <c r="BG163" s="279"/>
      <c r="BH163" s="279"/>
      <c r="BI163" s="279"/>
      <c r="BJ163" s="279"/>
      <c r="BK163" s="279"/>
      <c r="BL163" s="279"/>
      <c r="BM163" s="279"/>
      <c r="BN163" s="279"/>
      <c r="BO163" s="279"/>
      <c r="BP163" s="279"/>
      <c r="BQ163" s="279"/>
      <c r="BR163" s="279"/>
      <c r="BS163" s="279"/>
      <c r="BT163" s="279"/>
      <c r="BU163" s="279"/>
      <c r="BV163" s="279"/>
      <c r="BW163" s="279"/>
      <c r="BX163" s="279"/>
      <c r="BY163" s="279"/>
      <c r="BZ163" s="279"/>
      <c r="CA163" s="279"/>
      <c r="CB163" s="279"/>
      <c r="CC163" s="279"/>
      <c r="CD163" s="279"/>
      <c r="CE163" s="279"/>
      <c r="CF163" s="279"/>
      <c r="CG163" s="279"/>
      <c r="CH163" s="279"/>
      <c r="CI163" s="279"/>
      <c r="CJ163" s="279"/>
      <c r="CK163" s="279"/>
      <c r="CL163" s="279"/>
      <c r="CM163" s="279"/>
      <c r="CN163" s="382"/>
    </row>
    <row r="164" ht="15.6" x14ac:dyDescent="0.25">
      <c r="B164" s="361"/>
      <c r="C164" s="279"/>
      <c r="D164" s="280"/>
      <c r="E164" s="287"/>
      <c r="F164" s="287"/>
      <c r="G164" s="287"/>
      <c r="H164" s="1292">
        <f t="shared" si="18"/>
        <v>34</v>
      </c>
      <c r="I164" s="1320" t="str">
        <f>IF('I. Stream &amp; Compound Data'!G295&lt;&gt;"",'I. Stream &amp; Compound Data'!G295,"")</f>
        <v/>
      </c>
      <c r="J164" s="1190" t="str">
        <f>IF('I. Stream &amp; Compound Data'!BH295="","",'I. Stream &amp; Compound Data'!BH295)</f>
        <v/>
      </c>
      <c r="K164" s="1306" t="str">
        <f>IF('I. Stream &amp; Compound Data'!G295="","",IF(OR('I. Stream &amp; Compound Data'!U295=1,'I. Stream &amp; Compound Data'!V295=1,'I. Stream &amp; Compound Data'!AY295&lt;25),0,1))</f>
        <v/>
      </c>
      <c r="L164" s="1242" t="str">
        <f>IF(OR(I164="",L$122=""),"",'I. Stream &amp; Compound Data'!H219/$J164*(1-L$127)*(1-L$123)*$K164)</f>
        <v/>
      </c>
      <c r="M164" s="1242" t="str">
        <f>IF(OR(J164="",M$122=""),"",'I. Stream &amp; Compound Data'!K219/$J164*(1-M$127)*(1-M$123)*$K164)</f>
        <v/>
      </c>
      <c r="N164" s="1242" t="str">
        <f>IF(OR(K164="",N$122=""),"",'I. Stream &amp; Compound Data'!N219/$J164*(1-N$127)*(1-N$123)*$K164)</f>
        <v/>
      </c>
      <c r="O164" s="1242" t="str">
        <f>IF(OR(L164="",O$122=""),"",'I. Stream &amp; Compound Data'!Q219/$J164*(1-O$127)*(1-O$123)*$K164)</f>
        <v/>
      </c>
      <c r="P164" s="1242" t="str">
        <f>IF(OR(M164="",P$122=""),"",'I. Stream &amp; Compound Data'!T219/$J164*(1-P$127)*(1-P$123)*$K164)</f>
        <v/>
      </c>
      <c r="Q164" s="1242" t="str">
        <f>IF(OR(N164="",Q$122=""),"",'I. Stream &amp; Compound Data'!W219/$J164*(1-Q$127)*(1-Q$123)*$K164)</f>
        <v/>
      </c>
      <c r="R164" s="1242" t="str">
        <f>IF(OR(O164="",R$122=""),"",'I. Stream &amp; Compound Data'!Z219/$J164*(1-R$127)*(1-R$123)*$K164)</f>
        <v/>
      </c>
      <c r="S164" s="1242" t="str">
        <f>IF(OR(P164="",S$122=""),"",'I. Stream &amp; Compound Data'!AC219/$J164*(1-S$127)*(1-S$123)*$K164)</f>
        <v/>
      </c>
      <c r="T164" s="1242" t="str">
        <f>IF(OR(Q164="",T$122=""),"",'I. Stream &amp; Compound Data'!AF219/$J164*(1-T$127)*(1-T$123)*$K164)</f>
        <v/>
      </c>
      <c r="U164" s="1242" t="str">
        <f>IF(OR(R164="",U$122=""),"",'I. Stream &amp; Compound Data'!AI219/$J164*(1-U$127)*(1-U$123)*$K164)</f>
        <v/>
      </c>
      <c r="V164" s="1242" t="str">
        <f>IF(OR(V$122="",$I164=""),"",'I. Stream &amp; Compound Data'!AL219/$J164*(1-V$127)*(1-V$123)*$K164)</f>
        <v/>
      </c>
      <c r="W164" s="1242" t="str">
        <f>IF(OR(W$122="",$I164=""),"",'I. Stream &amp; Compound Data'!AO219/$J164*(1-W$127)*(1-W$123)*$K164)</f>
        <v/>
      </c>
      <c r="X164" s="1242" t="str">
        <f>IF(OR(X$122="",$I164=""),"",'I. Stream &amp; Compound Data'!AR219/$J164*(1-X$127)*(1-X$123)*$K164)</f>
        <v/>
      </c>
      <c r="Y164" s="1242" t="str">
        <f>IF(OR(Y$122="",$I164=""),"",'I. Stream &amp; Compound Data'!AU219/$J164*(1-Y$127)*(1-Y$123)*$K164)</f>
        <v/>
      </c>
      <c r="Z164" s="1242" t="str">
        <f>IF(OR(Z$122="",$I164=""),"",'I. Stream &amp; Compound Data'!AX219/$J164*(1-Z$127)*(1-Z$123)*$K164)</f>
        <v/>
      </c>
      <c r="AA164" s="1242" t="str">
        <f>IF(OR(AA$122="",$I164=""),"",'I. Stream &amp; Compound Data'!BA219/$J164*(1-AA$127)*(1-AA$123)*$K164)</f>
        <v/>
      </c>
      <c r="AB164" s="1242" t="str">
        <f>IF(OR(AB$122="",$I164=""),"",'I. Stream &amp; Compound Data'!BD219/$J164*(1-AB$127)*(1-AB$123)*$K164)</f>
        <v/>
      </c>
      <c r="AC164" s="1242" t="str">
        <f>IF(OR(AC$122="",$I164=""),"",'I. Stream &amp; Compound Data'!BG219/$J164*(1-AC$127)*(1-AC$123)*$K164)</f>
        <v/>
      </c>
      <c r="AD164" s="1242" t="str">
        <f>IF(OR(AD$122="",$I164=""),"",'I. Stream &amp; Compound Data'!BJ219/$J164*(1-AD$127)*(1-AD$123)*$K164)</f>
        <v/>
      </c>
      <c r="AE164" s="1242" t="str">
        <f>IF(OR(AE$122="",$I164=""),"",'I. Stream &amp; Compound Data'!BM219/$J164*(1-AE$127)*(1-AE$123)*$K164)</f>
        <v/>
      </c>
      <c r="AF164" s="1242" t="str">
        <f>IF(OR(AF$122="",$I164=""),"",'I. Stream &amp; Compound Data'!BP219/$J164*(1-AF$127)*(1-AF$123)*$K164)</f>
        <v/>
      </c>
      <c r="AG164" s="1242" t="str">
        <f>IF(OR(AG$122="",$I164=""),"",'I. Stream &amp; Compound Data'!BS219/$J164*(1-AG$127)*(1-AG$123)*$K164)</f>
        <v/>
      </c>
      <c r="AH164" s="1242" t="str">
        <f>IF(OR(AH$122="",$I164=""),"",'I. Stream &amp; Compound Data'!BV219/$J164*(1-AH$127)*(1-AH$123)*$K164)</f>
        <v/>
      </c>
      <c r="AI164" s="1242" t="str">
        <f>IF(OR(AI$122="",$I164=""),"",'I. Stream &amp; Compound Data'!BY219/$J164*(1-AI$127)*(1-AI$123)*$K164)</f>
        <v/>
      </c>
      <c r="AJ164" s="1242" t="str">
        <f>IF(OR(AJ$122="",$I164=""),"",'I. Stream &amp; Compound Data'!CB219/$J164*(1-AJ$127)*(1-AJ$123)*$K164)</f>
        <v/>
      </c>
      <c r="AK164" s="1242" t="str">
        <f>IF(OR(AK$122="",$I164=""),"",'I. Stream &amp; Compound Data'!CE219/$J164*(1-AK$127)*(1-AK$123)*$K164)</f>
        <v/>
      </c>
      <c r="AL164" s="1242" t="str">
        <f>IF(OR(AL$122="",$I164=""),"",'I. Stream &amp; Compound Data'!CH219/$J164*(1-AL$127)*(1-AL$123)*$K164)</f>
        <v/>
      </c>
      <c r="AM164" s="1242" t="str">
        <f>IF(OR(AM$122="",$I164=""),"",'I. Stream &amp; Compound Data'!CK219/$J164*(1-AM$127)*(1-AM$123)*$K164)</f>
        <v/>
      </c>
      <c r="AN164" s="1242" t="str">
        <f>IF(OR(AN$122="",$I164=""),"",'I. Stream &amp; Compound Data'!CN219/$J164*(1-AN$127)*(1-AN$123)*$K164)</f>
        <v/>
      </c>
      <c r="AO164" s="1242" t="str">
        <f>IF(OR(AO$122="",$I164=""),"",'I. Stream &amp; Compound Data'!CQ219/$J164*(1-AO$127)*(1-AO$123)*$K164)</f>
        <v/>
      </c>
      <c r="AP164" s="1242" t="str">
        <f>IF(OR(AP$122="",$I164=""),"",'I. Stream &amp; Compound Data'!CT219/$J164*(1-AP$127)*(1-AP$123)*$K164)</f>
        <v/>
      </c>
      <c r="AQ164" s="1242" t="str">
        <f>IF(OR(AQ$122="",$I164=""),"",'I. Stream &amp; Compound Data'!CW219/$J164*(1-AQ$127)*(1-AQ$123)*$K164)</f>
        <v/>
      </c>
      <c r="AR164" s="1242" t="str">
        <f>IF(OR(AR$122="",$I164=""),"",'I. Stream &amp; Compound Data'!CZ219/$J164*(1-AR$127)*(1-AR$123)*$K164)</f>
        <v/>
      </c>
      <c r="AS164" s="1242" t="str">
        <f>IF(OR(AS$122="",$I164=""),"",'I. Stream &amp; Compound Data'!DC219/$J164*(1-AS$127)*(1-AS$123)*$K164)</f>
        <v/>
      </c>
      <c r="AT164" s="1242" t="str">
        <f>IF(OR(AT$122="",$I164=""),"",'I. Stream &amp; Compound Data'!DF219/$J164*(1-AT$127)*(1-AT$123)*$K164)</f>
        <v/>
      </c>
      <c r="AU164" s="1242" t="str">
        <f>IF(OR(AU$122="",$I164=""),"",'I. Stream &amp; Compound Data'!DI219/$J164*(1-AU$127)*(1-AU$123)*$K164)</f>
        <v/>
      </c>
      <c r="AV164" s="1242" t="str">
        <f>IF(OR(AV$122="",$I164=""),"",'I. Stream &amp; Compound Data'!DL219/$J164*(1-AV$127)*(1-AV$123)*$K164)</f>
        <v/>
      </c>
      <c r="AW164" s="1242" t="str">
        <f>IF(OR(AW$122="",$I164=""),"",'I. Stream &amp; Compound Data'!DO219/$J164*(1-AW$127)*(1-AW$123)*$K164)</f>
        <v/>
      </c>
      <c r="AX164" s="1242" t="str">
        <f>IF(OR(AX$122="",$I164=""),"",'I. Stream &amp; Compound Data'!DR219/$J164*(1-AX$127)*(1-AX$123)*$K164)</f>
        <v/>
      </c>
      <c r="AY164" s="1268" t="str">
        <f>IF(OR(AY$122="",$I164=""),"",'I. Stream &amp; Compound Data'!DU219/$J164*(1-AY$127)*(1-AY$123)*$K164)</f>
        <v/>
      </c>
      <c r="AZ164" s="279"/>
      <c r="BA164" s="279"/>
      <c r="BB164" s="279"/>
      <c r="BC164" s="279"/>
      <c r="BD164" s="279"/>
      <c r="BE164" s="279"/>
      <c r="BF164" s="279"/>
      <c r="BG164" s="279"/>
      <c r="BH164" s="279"/>
      <c r="BI164" s="279"/>
      <c r="BJ164" s="279"/>
      <c r="BK164" s="279"/>
      <c r="BL164" s="279"/>
      <c r="BM164" s="279"/>
      <c r="BN164" s="279"/>
      <c r="BO164" s="279"/>
      <c r="BP164" s="279"/>
      <c r="BQ164" s="279"/>
      <c r="BR164" s="279"/>
      <c r="BS164" s="279"/>
      <c r="BT164" s="279"/>
      <c r="BU164" s="279"/>
      <c r="BV164" s="279"/>
      <c r="BW164" s="279"/>
      <c r="BX164" s="279"/>
      <c r="BY164" s="279"/>
      <c r="BZ164" s="279"/>
      <c r="CA164" s="279"/>
      <c r="CB164" s="279"/>
      <c r="CC164" s="279"/>
      <c r="CD164" s="279"/>
      <c r="CE164" s="279"/>
      <c r="CF164" s="279"/>
      <c r="CG164" s="279"/>
      <c r="CH164" s="279"/>
      <c r="CI164" s="279"/>
      <c r="CJ164" s="279"/>
      <c r="CK164" s="279"/>
      <c r="CL164" s="279"/>
      <c r="CM164" s="279"/>
      <c r="CN164" s="382"/>
    </row>
    <row r="165" ht="15.6" x14ac:dyDescent="0.25">
      <c r="B165" s="361"/>
      <c r="C165" s="279"/>
      <c r="D165" s="280"/>
      <c r="E165" s="287"/>
      <c r="F165" s="287"/>
      <c r="G165" s="287"/>
      <c r="H165" s="1292">
        <f t="shared" si="18"/>
        <v>35</v>
      </c>
      <c r="I165" s="1320" t="str">
        <f>IF('I. Stream &amp; Compound Data'!G296&lt;&gt;"",'I. Stream &amp; Compound Data'!G296,"")</f>
        <v/>
      </c>
      <c r="J165" s="1190" t="str">
        <f>IF('I. Stream &amp; Compound Data'!BH296="","",'I. Stream &amp; Compound Data'!BH296)</f>
        <v/>
      </c>
      <c r="K165" s="1306" t="str">
        <f>IF('I. Stream &amp; Compound Data'!G296="","",IF(OR('I. Stream &amp; Compound Data'!U296=1,'I. Stream &amp; Compound Data'!V296=1,'I. Stream &amp; Compound Data'!AY296&lt;25),0,1))</f>
        <v/>
      </c>
      <c r="L165" s="1242" t="str">
        <f>IF(OR(I165="",L$122=""),"",'I. Stream &amp; Compound Data'!H220/$J165*(1-L$127)*(1-L$123)*$K165)</f>
        <v/>
      </c>
      <c r="M165" s="1242" t="str">
        <f>IF(OR(J165="",M$122=""),"",'I. Stream &amp; Compound Data'!K220/$J165*(1-M$127)*(1-M$123)*$K165)</f>
        <v/>
      </c>
      <c r="N165" s="1242" t="str">
        <f>IF(OR(K165="",N$122=""),"",'I. Stream &amp; Compound Data'!N220/$J165*(1-N$127)*(1-N$123)*$K165)</f>
        <v/>
      </c>
      <c r="O165" s="1242" t="str">
        <f>IF(OR(L165="",O$122=""),"",'I. Stream &amp; Compound Data'!Q220/$J165*(1-O$127)*(1-O$123)*$K165)</f>
        <v/>
      </c>
      <c r="P165" s="1242" t="str">
        <f>IF(OR(M165="",P$122=""),"",'I. Stream &amp; Compound Data'!T220/$J165*(1-P$127)*(1-P$123)*$K165)</f>
        <v/>
      </c>
      <c r="Q165" s="1242" t="str">
        <f>IF(OR(N165="",Q$122=""),"",'I. Stream &amp; Compound Data'!W220/$J165*(1-Q$127)*(1-Q$123)*$K165)</f>
        <v/>
      </c>
      <c r="R165" s="1242" t="str">
        <f>IF(OR(O165="",R$122=""),"",'I. Stream &amp; Compound Data'!Z220/$J165*(1-R$127)*(1-R$123)*$K165)</f>
        <v/>
      </c>
      <c r="S165" s="1242" t="str">
        <f>IF(OR(P165="",S$122=""),"",'I. Stream &amp; Compound Data'!AC220/$J165*(1-S$127)*(1-S$123)*$K165)</f>
        <v/>
      </c>
      <c r="T165" s="1242" t="str">
        <f>IF(OR(Q165="",T$122=""),"",'I. Stream &amp; Compound Data'!AF220/$J165*(1-T$127)*(1-T$123)*$K165)</f>
        <v/>
      </c>
      <c r="U165" s="1242" t="str">
        <f>IF(OR(R165="",U$122=""),"",'I. Stream &amp; Compound Data'!AI220/$J165*(1-U$127)*(1-U$123)*$K165)</f>
        <v/>
      </c>
      <c r="V165" s="1242" t="str">
        <f>IF(OR(V$122="",$I165=""),"",'I. Stream &amp; Compound Data'!AL220/$J165*(1-V$127)*(1-V$123)*$K165)</f>
        <v/>
      </c>
      <c r="W165" s="1242" t="str">
        <f>IF(OR(W$122="",$I165=""),"",'I. Stream &amp; Compound Data'!AO220/$J165*(1-W$127)*(1-W$123)*$K165)</f>
        <v/>
      </c>
      <c r="X165" s="1242" t="str">
        <f>IF(OR(X$122="",$I165=""),"",'I. Stream &amp; Compound Data'!AR220/$J165*(1-X$127)*(1-X$123)*$K165)</f>
        <v/>
      </c>
      <c r="Y165" s="1242" t="str">
        <f>IF(OR(Y$122="",$I165=""),"",'I. Stream &amp; Compound Data'!AU220/$J165*(1-Y$127)*(1-Y$123)*$K165)</f>
        <v/>
      </c>
      <c r="Z165" s="1242" t="str">
        <f>IF(OR(Z$122="",$I165=""),"",'I. Stream &amp; Compound Data'!AX220/$J165*(1-Z$127)*(1-Z$123)*$K165)</f>
        <v/>
      </c>
      <c r="AA165" s="1242" t="str">
        <f>IF(OR(AA$122="",$I165=""),"",'I. Stream &amp; Compound Data'!BA220/$J165*(1-AA$127)*(1-AA$123)*$K165)</f>
        <v/>
      </c>
      <c r="AB165" s="1242" t="str">
        <f>IF(OR(AB$122="",$I165=""),"",'I. Stream &amp; Compound Data'!BD220/$J165*(1-AB$127)*(1-AB$123)*$K165)</f>
        <v/>
      </c>
      <c r="AC165" s="1242" t="str">
        <f>IF(OR(AC$122="",$I165=""),"",'I. Stream &amp; Compound Data'!BG220/$J165*(1-AC$127)*(1-AC$123)*$K165)</f>
        <v/>
      </c>
      <c r="AD165" s="1242" t="str">
        <f>IF(OR(AD$122="",$I165=""),"",'I. Stream &amp; Compound Data'!BJ220/$J165*(1-AD$127)*(1-AD$123)*$K165)</f>
        <v/>
      </c>
      <c r="AE165" s="1242" t="str">
        <f>IF(OR(AE$122="",$I165=""),"",'I. Stream &amp; Compound Data'!BM220/$J165*(1-AE$127)*(1-AE$123)*$K165)</f>
        <v/>
      </c>
      <c r="AF165" s="1242" t="str">
        <f>IF(OR(AF$122="",$I165=""),"",'I. Stream &amp; Compound Data'!BP220/$J165*(1-AF$127)*(1-AF$123)*$K165)</f>
        <v/>
      </c>
      <c r="AG165" s="1242" t="str">
        <f>IF(OR(AG$122="",$I165=""),"",'I. Stream &amp; Compound Data'!BS220/$J165*(1-AG$127)*(1-AG$123)*$K165)</f>
        <v/>
      </c>
      <c r="AH165" s="1242" t="str">
        <f>IF(OR(AH$122="",$I165=""),"",'I. Stream &amp; Compound Data'!BV220/$J165*(1-AH$127)*(1-AH$123)*$K165)</f>
        <v/>
      </c>
      <c r="AI165" s="1242" t="str">
        <f>IF(OR(AI$122="",$I165=""),"",'I. Stream &amp; Compound Data'!BY220/$J165*(1-AI$127)*(1-AI$123)*$K165)</f>
        <v/>
      </c>
      <c r="AJ165" s="1242" t="str">
        <f>IF(OR(AJ$122="",$I165=""),"",'I. Stream &amp; Compound Data'!CB220/$J165*(1-AJ$127)*(1-AJ$123)*$K165)</f>
        <v/>
      </c>
      <c r="AK165" s="1242" t="str">
        <f>IF(OR(AK$122="",$I165=""),"",'I. Stream &amp; Compound Data'!CE220/$J165*(1-AK$127)*(1-AK$123)*$K165)</f>
        <v/>
      </c>
      <c r="AL165" s="1242" t="str">
        <f>IF(OR(AL$122="",$I165=""),"",'I. Stream &amp; Compound Data'!CH220/$J165*(1-AL$127)*(1-AL$123)*$K165)</f>
        <v/>
      </c>
      <c r="AM165" s="1242" t="str">
        <f>IF(OR(AM$122="",$I165=""),"",'I. Stream &amp; Compound Data'!CK220/$J165*(1-AM$127)*(1-AM$123)*$K165)</f>
        <v/>
      </c>
      <c r="AN165" s="1242" t="str">
        <f>IF(OR(AN$122="",$I165=""),"",'I. Stream &amp; Compound Data'!CN220/$J165*(1-AN$127)*(1-AN$123)*$K165)</f>
        <v/>
      </c>
      <c r="AO165" s="1242" t="str">
        <f>IF(OR(AO$122="",$I165=""),"",'I. Stream &amp; Compound Data'!CQ220/$J165*(1-AO$127)*(1-AO$123)*$K165)</f>
        <v/>
      </c>
      <c r="AP165" s="1242" t="str">
        <f>IF(OR(AP$122="",$I165=""),"",'I. Stream &amp; Compound Data'!CT220/$J165*(1-AP$127)*(1-AP$123)*$K165)</f>
        <v/>
      </c>
      <c r="AQ165" s="1242" t="str">
        <f>IF(OR(AQ$122="",$I165=""),"",'I. Stream &amp; Compound Data'!CW220/$J165*(1-AQ$127)*(1-AQ$123)*$K165)</f>
        <v/>
      </c>
      <c r="AR165" s="1242" t="str">
        <f>IF(OR(AR$122="",$I165=""),"",'I. Stream &amp; Compound Data'!CZ220/$J165*(1-AR$127)*(1-AR$123)*$K165)</f>
        <v/>
      </c>
      <c r="AS165" s="1242" t="str">
        <f>IF(OR(AS$122="",$I165=""),"",'I. Stream &amp; Compound Data'!DC220/$J165*(1-AS$127)*(1-AS$123)*$K165)</f>
        <v/>
      </c>
      <c r="AT165" s="1242" t="str">
        <f>IF(OR(AT$122="",$I165=""),"",'I. Stream &amp; Compound Data'!DF220/$J165*(1-AT$127)*(1-AT$123)*$K165)</f>
        <v/>
      </c>
      <c r="AU165" s="1242" t="str">
        <f>IF(OR(AU$122="",$I165=""),"",'I. Stream &amp; Compound Data'!DI220/$J165*(1-AU$127)*(1-AU$123)*$K165)</f>
        <v/>
      </c>
      <c r="AV165" s="1242" t="str">
        <f>IF(OR(AV$122="",$I165=""),"",'I. Stream &amp; Compound Data'!DL220/$J165*(1-AV$127)*(1-AV$123)*$K165)</f>
        <v/>
      </c>
      <c r="AW165" s="1242" t="str">
        <f>IF(OR(AW$122="",$I165=""),"",'I. Stream &amp; Compound Data'!DO220/$J165*(1-AW$127)*(1-AW$123)*$K165)</f>
        <v/>
      </c>
      <c r="AX165" s="1242" t="str">
        <f>IF(OR(AX$122="",$I165=""),"",'I. Stream &amp; Compound Data'!DR220/$J165*(1-AX$127)*(1-AX$123)*$K165)</f>
        <v/>
      </c>
      <c r="AY165" s="1268" t="str">
        <f>IF(OR(AY$122="",$I165=""),"",'I. Stream &amp; Compound Data'!DU220/$J165*(1-AY$127)*(1-AY$123)*$K165)</f>
        <v/>
      </c>
      <c r="AZ165" s="279"/>
      <c r="BA165" s="279"/>
      <c r="BB165" s="279"/>
      <c r="BC165" s="279"/>
      <c r="BD165" s="279"/>
      <c r="BE165" s="279"/>
      <c r="BF165" s="279"/>
      <c r="BG165" s="279"/>
      <c r="BH165" s="279"/>
      <c r="BI165" s="279"/>
      <c r="BJ165" s="279"/>
      <c r="BK165" s="279"/>
      <c r="BL165" s="279"/>
      <c r="BM165" s="279"/>
      <c r="BN165" s="279"/>
      <c r="BO165" s="279"/>
      <c r="BP165" s="279"/>
      <c r="BQ165" s="279"/>
      <c r="BR165" s="279"/>
      <c r="BS165" s="279"/>
      <c r="BT165" s="279"/>
      <c r="BU165" s="279"/>
      <c r="BV165" s="279"/>
      <c r="BW165" s="279"/>
      <c r="BX165" s="279"/>
      <c r="BY165" s="279"/>
      <c r="BZ165" s="279"/>
      <c r="CA165" s="279"/>
      <c r="CB165" s="279"/>
      <c r="CC165" s="279"/>
      <c r="CD165" s="279"/>
      <c r="CE165" s="279"/>
      <c r="CF165" s="279"/>
      <c r="CG165" s="279"/>
      <c r="CH165" s="279"/>
      <c r="CI165" s="279"/>
      <c r="CJ165" s="279"/>
      <c r="CK165" s="279"/>
      <c r="CL165" s="279"/>
      <c r="CM165" s="279"/>
      <c r="CN165" s="382"/>
    </row>
    <row r="166" ht="15.6" x14ac:dyDescent="0.25">
      <c r="B166" s="361"/>
      <c r="C166" s="279"/>
      <c r="D166" s="280"/>
      <c r="E166" s="287"/>
      <c r="F166" s="287"/>
      <c r="G166" s="287"/>
      <c r="H166" s="1292">
        <f t="shared" si="18"/>
        <v>36</v>
      </c>
      <c r="I166" s="1320" t="str">
        <f>IF('I. Stream &amp; Compound Data'!G297&lt;&gt;"",'I. Stream &amp; Compound Data'!G297,"")</f>
        <v/>
      </c>
      <c r="J166" s="1190" t="str">
        <f>IF('I. Stream &amp; Compound Data'!BH297="","",'I. Stream &amp; Compound Data'!BH297)</f>
        <v/>
      </c>
      <c r="K166" s="1306" t="str">
        <f>IF('I. Stream &amp; Compound Data'!G297="","",IF(OR('I. Stream &amp; Compound Data'!U297=1,'I. Stream &amp; Compound Data'!V297=1,'I. Stream &amp; Compound Data'!AY297&lt;25),0,1))</f>
        <v/>
      </c>
      <c r="L166" s="1242" t="str">
        <f>IF(OR(I166="",L$122=""),"",'I. Stream &amp; Compound Data'!H221/$J166*(1-L$127)*(1-L$123)*$K166)</f>
        <v/>
      </c>
      <c r="M166" s="1242" t="str">
        <f>IF(OR(J166="",M$122=""),"",'I. Stream &amp; Compound Data'!K221/$J166*(1-M$127)*(1-M$123)*$K166)</f>
        <v/>
      </c>
      <c r="N166" s="1242" t="str">
        <f>IF(OR(K166="",N$122=""),"",'I. Stream &amp; Compound Data'!N221/$J166*(1-N$127)*(1-N$123)*$K166)</f>
        <v/>
      </c>
      <c r="O166" s="1242" t="str">
        <f>IF(OR(L166="",O$122=""),"",'I. Stream &amp; Compound Data'!Q221/$J166*(1-O$127)*(1-O$123)*$K166)</f>
        <v/>
      </c>
      <c r="P166" s="1242" t="str">
        <f>IF(OR(M166="",P$122=""),"",'I. Stream &amp; Compound Data'!T221/$J166*(1-P$127)*(1-P$123)*$K166)</f>
        <v/>
      </c>
      <c r="Q166" s="1242" t="str">
        <f>IF(OR(N166="",Q$122=""),"",'I. Stream &amp; Compound Data'!W221/$J166*(1-Q$127)*(1-Q$123)*$K166)</f>
        <v/>
      </c>
      <c r="R166" s="1242" t="str">
        <f>IF(OR(O166="",R$122=""),"",'I. Stream &amp; Compound Data'!Z221/$J166*(1-R$127)*(1-R$123)*$K166)</f>
        <v/>
      </c>
      <c r="S166" s="1242" t="str">
        <f>IF(OR(P166="",S$122=""),"",'I. Stream &amp; Compound Data'!AC221/$J166*(1-S$127)*(1-S$123)*$K166)</f>
        <v/>
      </c>
      <c r="T166" s="1242" t="str">
        <f>IF(OR(Q166="",T$122=""),"",'I. Stream &amp; Compound Data'!AF221/$J166*(1-T$127)*(1-T$123)*$K166)</f>
        <v/>
      </c>
      <c r="U166" s="1242" t="str">
        <f>IF(OR(R166="",U$122=""),"",'I. Stream &amp; Compound Data'!AI221/$J166*(1-U$127)*(1-U$123)*$K166)</f>
        <v/>
      </c>
      <c r="V166" s="1242" t="str">
        <f>IF(OR(V$122="",$I166=""),"",'I. Stream &amp; Compound Data'!AL221/$J166*(1-V$127)*(1-V$123)*$K166)</f>
        <v/>
      </c>
      <c r="W166" s="1242" t="str">
        <f>IF(OR(W$122="",$I166=""),"",'I. Stream &amp; Compound Data'!AO221/$J166*(1-W$127)*(1-W$123)*$K166)</f>
        <v/>
      </c>
      <c r="X166" s="1242" t="str">
        <f>IF(OR(X$122="",$I166=""),"",'I. Stream &amp; Compound Data'!AR221/$J166*(1-X$127)*(1-X$123)*$K166)</f>
        <v/>
      </c>
      <c r="Y166" s="1242" t="str">
        <f>IF(OR(Y$122="",$I166=""),"",'I. Stream &amp; Compound Data'!AU221/$J166*(1-Y$127)*(1-Y$123)*$K166)</f>
        <v/>
      </c>
      <c r="Z166" s="1242" t="str">
        <f>IF(OR(Z$122="",$I166=""),"",'I. Stream &amp; Compound Data'!AX221/$J166*(1-Z$127)*(1-Z$123)*$K166)</f>
        <v/>
      </c>
      <c r="AA166" s="1242" t="str">
        <f>IF(OR(AA$122="",$I166=""),"",'I. Stream &amp; Compound Data'!BA221/$J166*(1-AA$127)*(1-AA$123)*$K166)</f>
        <v/>
      </c>
      <c r="AB166" s="1242" t="str">
        <f>IF(OR(AB$122="",$I166=""),"",'I. Stream &amp; Compound Data'!BD221/$J166*(1-AB$127)*(1-AB$123)*$K166)</f>
        <v/>
      </c>
      <c r="AC166" s="1242" t="str">
        <f>IF(OR(AC$122="",$I166=""),"",'I. Stream &amp; Compound Data'!BG221/$J166*(1-AC$127)*(1-AC$123)*$K166)</f>
        <v/>
      </c>
      <c r="AD166" s="1242" t="str">
        <f>IF(OR(AD$122="",$I166=""),"",'I. Stream &amp; Compound Data'!BJ221/$J166*(1-AD$127)*(1-AD$123)*$K166)</f>
        <v/>
      </c>
      <c r="AE166" s="1242" t="str">
        <f>IF(OR(AE$122="",$I166=""),"",'I. Stream &amp; Compound Data'!BM221/$J166*(1-AE$127)*(1-AE$123)*$K166)</f>
        <v/>
      </c>
      <c r="AF166" s="1242" t="str">
        <f>IF(OR(AF$122="",$I166=""),"",'I. Stream &amp; Compound Data'!BP221/$J166*(1-AF$127)*(1-AF$123)*$K166)</f>
        <v/>
      </c>
      <c r="AG166" s="1242" t="str">
        <f>IF(OR(AG$122="",$I166=""),"",'I. Stream &amp; Compound Data'!BS221/$J166*(1-AG$127)*(1-AG$123)*$K166)</f>
        <v/>
      </c>
      <c r="AH166" s="1242" t="str">
        <f>IF(OR(AH$122="",$I166=""),"",'I. Stream &amp; Compound Data'!BV221/$J166*(1-AH$127)*(1-AH$123)*$K166)</f>
        <v/>
      </c>
      <c r="AI166" s="1242" t="str">
        <f>IF(OR(AI$122="",$I166=""),"",'I. Stream &amp; Compound Data'!BY221/$J166*(1-AI$127)*(1-AI$123)*$K166)</f>
        <v/>
      </c>
      <c r="AJ166" s="1242" t="str">
        <f>IF(OR(AJ$122="",$I166=""),"",'I. Stream &amp; Compound Data'!CB221/$J166*(1-AJ$127)*(1-AJ$123)*$K166)</f>
        <v/>
      </c>
      <c r="AK166" s="1242" t="str">
        <f>IF(OR(AK$122="",$I166=""),"",'I. Stream &amp; Compound Data'!CE221/$J166*(1-AK$127)*(1-AK$123)*$K166)</f>
        <v/>
      </c>
      <c r="AL166" s="1242" t="str">
        <f>IF(OR(AL$122="",$I166=""),"",'I. Stream &amp; Compound Data'!CH221/$J166*(1-AL$127)*(1-AL$123)*$K166)</f>
        <v/>
      </c>
      <c r="AM166" s="1242" t="str">
        <f>IF(OR(AM$122="",$I166=""),"",'I. Stream &amp; Compound Data'!CK221/$J166*(1-AM$127)*(1-AM$123)*$K166)</f>
        <v/>
      </c>
      <c r="AN166" s="1242" t="str">
        <f>IF(OR(AN$122="",$I166=""),"",'I. Stream &amp; Compound Data'!CN221/$J166*(1-AN$127)*(1-AN$123)*$K166)</f>
        <v/>
      </c>
      <c r="AO166" s="1242" t="str">
        <f>IF(OR(AO$122="",$I166=""),"",'I. Stream &amp; Compound Data'!CQ221/$J166*(1-AO$127)*(1-AO$123)*$K166)</f>
        <v/>
      </c>
      <c r="AP166" s="1242" t="str">
        <f>IF(OR(AP$122="",$I166=""),"",'I. Stream &amp; Compound Data'!CT221/$J166*(1-AP$127)*(1-AP$123)*$K166)</f>
        <v/>
      </c>
      <c r="AQ166" s="1242" t="str">
        <f>IF(OR(AQ$122="",$I166=""),"",'I. Stream &amp; Compound Data'!CW221/$J166*(1-AQ$127)*(1-AQ$123)*$K166)</f>
        <v/>
      </c>
      <c r="AR166" s="1242" t="str">
        <f>IF(OR(AR$122="",$I166=""),"",'I. Stream &amp; Compound Data'!CZ221/$J166*(1-AR$127)*(1-AR$123)*$K166)</f>
        <v/>
      </c>
      <c r="AS166" s="1242" t="str">
        <f>IF(OR(AS$122="",$I166=""),"",'I. Stream &amp; Compound Data'!DC221/$J166*(1-AS$127)*(1-AS$123)*$K166)</f>
        <v/>
      </c>
      <c r="AT166" s="1242" t="str">
        <f>IF(OR(AT$122="",$I166=""),"",'I. Stream &amp; Compound Data'!DF221/$J166*(1-AT$127)*(1-AT$123)*$K166)</f>
        <v/>
      </c>
      <c r="AU166" s="1242" t="str">
        <f>IF(OR(AU$122="",$I166=""),"",'I. Stream &amp; Compound Data'!DI221/$J166*(1-AU$127)*(1-AU$123)*$K166)</f>
        <v/>
      </c>
      <c r="AV166" s="1242" t="str">
        <f>IF(OR(AV$122="",$I166=""),"",'I. Stream &amp; Compound Data'!DL221/$J166*(1-AV$127)*(1-AV$123)*$K166)</f>
        <v/>
      </c>
      <c r="AW166" s="1242" t="str">
        <f>IF(OR(AW$122="",$I166=""),"",'I. Stream &amp; Compound Data'!DO221/$J166*(1-AW$127)*(1-AW$123)*$K166)</f>
        <v/>
      </c>
      <c r="AX166" s="1242" t="str">
        <f>IF(OR(AX$122="",$I166=""),"",'I. Stream &amp; Compound Data'!DR221/$J166*(1-AX$127)*(1-AX$123)*$K166)</f>
        <v/>
      </c>
      <c r="AY166" s="1268" t="str">
        <f>IF(OR(AY$122="",$I166=""),"",'I. Stream &amp; Compound Data'!DU221/$J166*(1-AY$127)*(1-AY$123)*$K166)</f>
        <v/>
      </c>
      <c r="AZ166" s="279"/>
      <c r="BA166" s="279"/>
      <c r="BB166" s="279"/>
      <c r="BC166" s="279"/>
      <c r="BD166" s="279"/>
      <c r="BE166" s="279"/>
      <c r="BF166" s="279"/>
      <c r="BG166" s="279"/>
      <c r="BH166" s="279"/>
      <c r="BI166" s="279"/>
      <c r="BJ166" s="279"/>
      <c r="BK166" s="279"/>
      <c r="BL166" s="279"/>
      <c r="BM166" s="279"/>
      <c r="BN166" s="279"/>
      <c r="BO166" s="279"/>
      <c r="BP166" s="279"/>
      <c r="BQ166" s="279"/>
      <c r="BR166" s="279"/>
      <c r="BS166" s="279"/>
      <c r="BT166" s="279"/>
      <c r="BU166" s="279"/>
      <c r="BV166" s="279"/>
      <c r="BW166" s="279"/>
      <c r="BX166" s="279"/>
      <c r="BY166" s="279"/>
      <c r="BZ166" s="279"/>
      <c r="CA166" s="279"/>
      <c r="CB166" s="279"/>
      <c r="CC166" s="279"/>
      <c r="CD166" s="279"/>
      <c r="CE166" s="279"/>
      <c r="CF166" s="279"/>
      <c r="CG166" s="279"/>
      <c r="CH166" s="279"/>
      <c r="CI166" s="279"/>
      <c r="CJ166" s="279"/>
      <c r="CK166" s="279"/>
      <c r="CL166" s="279"/>
      <c r="CM166" s="279"/>
      <c r="CN166" s="382"/>
    </row>
    <row r="167" ht="15.6" x14ac:dyDescent="0.25">
      <c r="B167" s="361"/>
      <c r="C167" s="279"/>
      <c r="D167" s="280"/>
      <c r="E167" s="287"/>
      <c r="F167" s="287"/>
      <c r="G167" s="287"/>
      <c r="H167" s="1292">
        <f t="shared" si="18"/>
        <v>37</v>
      </c>
      <c r="I167" s="1320" t="str">
        <f>IF('I. Stream &amp; Compound Data'!G298&lt;&gt;"",'I. Stream &amp; Compound Data'!G298,"")</f>
        <v/>
      </c>
      <c r="J167" s="1190" t="str">
        <f>IF('I. Stream &amp; Compound Data'!BH298="","",'I. Stream &amp; Compound Data'!BH298)</f>
        <v/>
      </c>
      <c r="K167" s="1306" t="str">
        <f>IF('I. Stream &amp; Compound Data'!G298="","",IF(OR('I. Stream &amp; Compound Data'!U298=1,'I. Stream &amp; Compound Data'!V298=1,'I. Stream &amp; Compound Data'!AY298&lt;25),0,1))</f>
        <v/>
      </c>
      <c r="L167" s="1242" t="str">
        <f>IF(OR(I167="",L$122=""),"",'I. Stream &amp; Compound Data'!H222/$J167*(1-L$127)*(1-L$123)*$K167)</f>
        <v/>
      </c>
      <c r="M167" s="1242" t="str">
        <f>IF(OR(J167="",M$122=""),"",'I. Stream &amp; Compound Data'!K222/$J167*(1-M$127)*(1-M$123)*$K167)</f>
        <v/>
      </c>
      <c r="N167" s="1242" t="str">
        <f>IF(OR(K167="",N$122=""),"",'I. Stream &amp; Compound Data'!N222/$J167*(1-N$127)*(1-N$123)*$K167)</f>
        <v/>
      </c>
      <c r="O167" s="1242" t="str">
        <f>IF(OR(L167="",O$122=""),"",'I. Stream &amp; Compound Data'!Q222/$J167*(1-O$127)*(1-O$123)*$K167)</f>
        <v/>
      </c>
      <c r="P167" s="1242" t="str">
        <f>IF(OR(M167="",P$122=""),"",'I. Stream &amp; Compound Data'!T222/$J167*(1-P$127)*(1-P$123)*$K167)</f>
        <v/>
      </c>
      <c r="Q167" s="1242" t="str">
        <f>IF(OR(N167="",Q$122=""),"",'I. Stream &amp; Compound Data'!W222/$J167*(1-Q$127)*(1-Q$123)*$K167)</f>
        <v/>
      </c>
      <c r="R167" s="1242" t="str">
        <f>IF(OR(O167="",R$122=""),"",'I. Stream &amp; Compound Data'!Z222/$J167*(1-R$127)*(1-R$123)*$K167)</f>
        <v/>
      </c>
      <c r="S167" s="1242" t="str">
        <f>IF(OR(P167="",S$122=""),"",'I. Stream &amp; Compound Data'!AC222/$J167*(1-S$127)*(1-S$123)*$K167)</f>
        <v/>
      </c>
      <c r="T167" s="1242" t="str">
        <f>IF(OR(Q167="",T$122=""),"",'I. Stream &amp; Compound Data'!AF222/$J167*(1-T$127)*(1-T$123)*$K167)</f>
        <v/>
      </c>
      <c r="U167" s="1242" t="str">
        <f>IF(OR(R167="",U$122=""),"",'I. Stream &amp; Compound Data'!AI222/$J167*(1-U$127)*(1-U$123)*$K167)</f>
        <v/>
      </c>
      <c r="V167" s="1242" t="str">
        <f>IF(OR(V$122="",$I167=""),"",'I. Stream &amp; Compound Data'!AL222/$J167*(1-V$127)*(1-V$123)*$K167)</f>
        <v/>
      </c>
      <c r="W167" s="1242" t="str">
        <f>IF(OR(W$122="",$I167=""),"",'I. Stream &amp; Compound Data'!AO222/$J167*(1-W$127)*(1-W$123)*$K167)</f>
        <v/>
      </c>
      <c r="X167" s="1242" t="str">
        <f>IF(OR(X$122="",$I167=""),"",'I. Stream &amp; Compound Data'!AR222/$J167*(1-X$127)*(1-X$123)*$K167)</f>
        <v/>
      </c>
      <c r="Y167" s="1242" t="str">
        <f>IF(OR(Y$122="",$I167=""),"",'I. Stream &amp; Compound Data'!AU222/$J167*(1-Y$127)*(1-Y$123)*$K167)</f>
        <v/>
      </c>
      <c r="Z167" s="1242" t="str">
        <f>IF(OR(Z$122="",$I167=""),"",'I. Stream &amp; Compound Data'!AX222/$J167*(1-Z$127)*(1-Z$123)*$K167)</f>
        <v/>
      </c>
      <c r="AA167" s="1242" t="str">
        <f>IF(OR(AA$122="",$I167=""),"",'I. Stream &amp; Compound Data'!BA222/$J167*(1-AA$127)*(1-AA$123)*$K167)</f>
        <v/>
      </c>
      <c r="AB167" s="1242" t="str">
        <f>IF(OR(AB$122="",$I167=""),"",'I. Stream &amp; Compound Data'!BD222/$J167*(1-AB$127)*(1-AB$123)*$K167)</f>
        <v/>
      </c>
      <c r="AC167" s="1242" t="str">
        <f>IF(OR(AC$122="",$I167=""),"",'I. Stream &amp; Compound Data'!BG222/$J167*(1-AC$127)*(1-AC$123)*$K167)</f>
        <v/>
      </c>
      <c r="AD167" s="1242" t="str">
        <f>IF(OR(AD$122="",$I167=""),"",'I. Stream &amp; Compound Data'!BJ222/$J167*(1-AD$127)*(1-AD$123)*$K167)</f>
        <v/>
      </c>
      <c r="AE167" s="1242" t="str">
        <f>IF(OR(AE$122="",$I167=""),"",'I. Stream &amp; Compound Data'!BM222/$J167*(1-AE$127)*(1-AE$123)*$K167)</f>
        <v/>
      </c>
      <c r="AF167" s="1242" t="str">
        <f>IF(OR(AF$122="",$I167=""),"",'I. Stream &amp; Compound Data'!BP222/$J167*(1-AF$127)*(1-AF$123)*$K167)</f>
        <v/>
      </c>
      <c r="AG167" s="1242" t="str">
        <f>IF(OR(AG$122="",$I167=""),"",'I. Stream &amp; Compound Data'!BS222/$J167*(1-AG$127)*(1-AG$123)*$K167)</f>
        <v/>
      </c>
      <c r="AH167" s="1242" t="str">
        <f>IF(OR(AH$122="",$I167=""),"",'I. Stream &amp; Compound Data'!BV222/$J167*(1-AH$127)*(1-AH$123)*$K167)</f>
        <v/>
      </c>
      <c r="AI167" s="1242" t="str">
        <f>IF(OR(AI$122="",$I167=""),"",'I. Stream &amp; Compound Data'!BY222/$J167*(1-AI$127)*(1-AI$123)*$K167)</f>
        <v/>
      </c>
      <c r="AJ167" s="1242" t="str">
        <f>IF(OR(AJ$122="",$I167=""),"",'I. Stream &amp; Compound Data'!CB222/$J167*(1-AJ$127)*(1-AJ$123)*$K167)</f>
        <v/>
      </c>
      <c r="AK167" s="1242" t="str">
        <f>IF(OR(AK$122="",$I167=""),"",'I. Stream &amp; Compound Data'!CE222/$J167*(1-AK$127)*(1-AK$123)*$K167)</f>
        <v/>
      </c>
      <c r="AL167" s="1242" t="str">
        <f>IF(OR(AL$122="",$I167=""),"",'I. Stream &amp; Compound Data'!CH222/$J167*(1-AL$127)*(1-AL$123)*$K167)</f>
        <v/>
      </c>
      <c r="AM167" s="1242" t="str">
        <f>IF(OR(AM$122="",$I167=""),"",'I. Stream &amp; Compound Data'!CK222/$J167*(1-AM$127)*(1-AM$123)*$K167)</f>
        <v/>
      </c>
      <c r="AN167" s="1242" t="str">
        <f>IF(OR(AN$122="",$I167=""),"",'I. Stream &amp; Compound Data'!CN222/$J167*(1-AN$127)*(1-AN$123)*$K167)</f>
        <v/>
      </c>
      <c r="AO167" s="1242" t="str">
        <f>IF(OR(AO$122="",$I167=""),"",'I. Stream &amp; Compound Data'!CQ222/$J167*(1-AO$127)*(1-AO$123)*$K167)</f>
        <v/>
      </c>
      <c r="AP167" s="1242" t="str">
        <f>IF(OR(AP$122="",$I167=""),"",'I. Stream &amp; Compound Data'!CT222/$J167*(1-AP$127)*(1-AP$123)*$K167)</f>
        <v/>
      </c>
      <c r="AQ167" s="1242" t="str">
        <f>IF(OR(AQ$122="",$I167=""),"",'I. Stream &amp; Compound Data'!CW222/$J167*(1-AQ$127)*(1-AQ$123)*$K167)</f>
        <v/>
      </c>
      <c r="AR167" s="1242" t="str">
        <f>IF(OR(AR$122="",$I167=""),"",'I. Stream &amp; Compound Data'!CZ222/$J167*(1-AR$127)*(1-AR$123)*$K167)</f>
        <v/>
      </c>
      <c r="AS167" s="1242" t="str">
        <f>IF(OR(AS$122="",$I167=""),"",'I. Stream &amp; Compound Data'!DC222/$J167*(1-AS$127)*(1-AS$123)*$K167)</f>
        <v/>
      </c>
      <c r="AT167" s="1242" t="str">
        <f>IF(OR(AT$122="",$I167=""),"",'I. Stream &amp; Compound Data'!DF222/$J167*(1-AT$127)*(1-AT$123)*$K167)</f>
        <v/>
      </c>
      <c r="AU167" s="1242" t="str">
        <f>IF(OR(AU$122="",$I167=""),"",'I. Stream &amp; Compound Data'!DI222/$J167*(1-AU$127)*(1-AU$123)*$K167)</f>
        <v/>
      </c>
      <c r="AV167" s="1242" t="str">
        <f>IF(OR(AV$122="",$I167=""),"",'I. Stream &amp; Compound Data'!DL222/$J167*(1-AV$127)*(1-AV$123)*$K167)</f>
        <v/>
      </c>
      <c r="AW167" s="1242" t="str">
        <f>IF(OR(AW$122="",$I167=""),"",'I. Stream &amp; Compound Data'!DO222/$J167*(1-AW$127)*(1-AW$123)*$K167)</f>
        <v/>
      </c>
      <c r="AX167" s="1242" t="str">
        <f>IF(OR(AX$122="",$I167=""),"",'I. Stream &amp; Compound Data'!DR222/$J167*(1-AX$127)*(1-AX$123)*$K167)</f>
        <v/>
      </c>
      <c r="AY167" s="1268" t="str">
        <f>IF(OR(AY$122="",$I167=""),"",'I. Stream &amp; Compound Data'!DU222/$J167*(1-AY$127)*(1-AY$123)*$K167)</f>
        <v/>
      </c>
      <c r="AZ167" s="279"/>
      <c r="BA167" s="279"/>
      <c r="BB167" s="279"/>
      <c r="BC167" s="279"/>
      <c r="BD167" s="279"/>
      <c r="BE167" s="279"/>
      <c r="BF167" s="279"/>
      <c r="BG167" s="279"/>
      <c r="BH167" s="279"/>
      <c r="BI167" s="279"/>
      <c r="BJ167" s="279"/>
      <c r="BK167" s="279"/>
      <c r="BL167" s="279"/>
      <c r="BM167" s="279"/>
      <c r="BN167" s="279"/>
      <c r="BO167" s="279"/>
      <c r="BP167" s="279"/>
      <c r="BQ167" s="279"/>
      <c r="BR167" s="279"/>
      <c r="BS167" s="279"/>
      <c r="BT167" s="279"/>
      <c r="BU167" s="279"/>
      <c r="BV167" s="279"/>
      <c r="BW167" s="279"/>
      <c r="BX167" s="279"/>
      <c r="BY167" s="279"/>
      <c r="BZ167" s="279"/>
      <c r="CA167" s="279"/>
      <c r="CB167" s="279"/>
      <c r="CC167" s="279"/>
      <c r="CD167" s="279"/>
      <c r="CE167" s="279"/>
      <c r="CF167" s="279"/>
      <c r="CG167" s="279"/>
      <c r="CH167" s="279"/>
      <c r="CI167" s="279"/>
      <c r="CJ167" s="279"/>
      <c r="CK167" s="279"/>
      <c r="CL167" s="279"/>
      <c r="CM167" s="279"/>
      <c r="CN167" s="382"/>
    </row>
    <row r="168" ht="15.6" x14ac:dyDescent="0.25">
      <c r="B168" s="361"/>
      <c r="C168" s="279"/>
      <c r="D168" s="280"/>
      <c r="E168" s="287"/>
      <c r="F168" s="287"/>
      <c r="G168" s="287"/>
      <c r="H168" s="1292">
        <f t="shared" si="18"/>
        <v>38</v>
      </c>
      <c r="I168" s="1320" t="str">
        <f>IF('I. Stream &amp; Compound Data'!G299&lt;&gt;"",'I. Stream &amp; Compound Data'!G299,"")</f>
        <v/>
      </c>
      <c r="J168" s="1190" t="str">
        <f>IF('I. Stream &amp; Compound Data'!BH299="","",'I. Stream &amp; Compound Data'!BH299)</f>
        <v/>
      </c>
      <c r="K168" s="1306" t="str">
        <f>IF('I. Stream &amp; Compound Data'!G299="","",IF(OR('I. Stream &amp; Compound Data'!U299=1,'I. Stream &amp; Compound Data'!V299=1,'I. Stream &amp; Compound Data'!AY299&lt;25),0,1))</f>
        <v/>
      </c>
      <c r="L168" s="1242" t="str">
        <f>IF(OR(I168="",L$122=""),"",'I. Stream &amp; Compound Data'!H223/$J168*(1-L$127)*(1-L$123)*$K168)</f>
        <v/>
      </c>
      <c r="M168" s="1242" t="str">
        <f>IF(OR(J168="",M$122=""),"",'I. Stream &amp; Compound Data'!K223/$J168*(1-M$127)*(1-M$123)*$K168)</f>
        <v/>
      </c>
      <c r="N168" s="1242" t="str">
        <f>IF(OR(K168="",N$122=""),"",'I. Stream &amp; Compound Data'!N223/$J168*(1-N$127)*(1-N$123)*$K168)</f>
        <v/>
      </c>
      <c r="O168" s="1242" t="str">
        <f>IF(OR(L168="",O$122=""),"",'I. Stream &amp; Compound Data'!Q223/$J168*(1-O$127)*(1-O$123)*$K168)</f>
        <v/>
      </c>
      <c r="P168" s="1242" t="str">
        <f>IF(OR(M168="",P$122=""),"",'I. Stream &amp; Compound Data'!T223/$J168*(1-P$127)*(1-P$123)*$K168)</f>
        <v/>
      </c>
      <c r="Q168" s="1242" t="str">
        <f>IF(OR(N168="",Q$122=""),"",'I. Stream &amp; Compound Data'!W223/$J168*(1-Q$127)*(1-Q$123)*$K168)</f>
        <v/>
      </c>
      <c r="R168" s="1242" t="str">
        <f>IF(OR(O168="",R$122=""),"",'I. Stream &amp; Compound Data'!Z223/$J168*(1-R$127)*(1-R$123)*$K168)</f>
        <v/>
      </c>
      <c r="S168" s="1242" t="str">
        <f>IF(OR(P168="",S$122=""),"",'I. Stream &amp; Compound Data'!AC223/$J168*(1-S$127)*(1-S$123)*$K168)</f>
        <v/>
      </c>
      <c r="T168" s="1242" t="str">
        <f>IF(OR(Q168="",T$122=""),"",'I. Stream &amp; Compound Data'!AF223/$J168*(1-T$127)*(1-T$123)*$K168)</f>
        <v/>
      </c>
      <c r="U168" s="1242" t="str">
        <f>IF(OR(R168="",U$122=""),"",'I. Stream &amp; Compound Data'!AI223/$J168*(1-U$127)*(1-U$123)*$K168)</f>
        <v/>
      </c>
      <c r="V168" s="1242" t="str">
        <f>IF(OR(V$122="",$I168=""),"",'I. Stream &amp; Compound Data'!AL223/$J168*(1-V$127)*(1-V$123)*$K168)</f>
        <v/>
      </c>
      <c r="W168" s="1242" t="str">
        <f>IF(OR(W$122="",$I168=""),"",'I. Stream &amp; Compound Data'!AO223/$J168*(1-W$127)*(1-W$123)*$K168)</f>
        <v/>
      </c>
      <c r="X168" s="1242" t="str">
        <f>IF(OR(X$122="",$I168=""),"",'I. Stream &amp; Compound Data'!AR223/$J168*(1-X$127)*(1-X$123)*$K168)</f>
        <v/>
      </c>
      <c r="Y168" s="1242" t="str">
        <f>IF(OR(Y$122="",$I168=""),"",'I. Stream &amp; Compound Data'!AU223/$J168*(1-Y$127)*(1-Y$123)*$K168)</f>
        <v/>
      </c>
      <c r="Z168" s="1242" t="str">
        <f>IF(OR(Z$122="",$I168=""),"",'I. Stream &amp; Compound Data'!AX223/$J168*(1-Z$127)*(1-Z$123)*$K168)</f>
        <v/>
      </c>
      <c r="AA168" s="1242" t="str">
        <f>IF(OR(AA$122="",$I168=""),"",'I. Stream &amp; Compound Data'!BA223/$J168*(1-AA$127)*(1-AA$123)*$K168)</f>
        <v/>
      </c>
      <c r="AB168" s="1242" t="str">
        <f>IF(OR(AB$122="",$I168=""),"",'I. Stream &amp; Compound Data'!BD223/$J168*(1-AB$127)*(1-AB$123)*$K168)</f>
        <v/>
      </c>
      <c r="AC168" s="1242" t="str">
        <f>IF(OR(AC$122="",$I168=""),"",'I. Stream &amp; Compound Data'!BG223/$J168*(1-AC$127)*(1-AC$123)*$K168)</f>
        <v/>
      </c>
      <c r="AD168" s="1242" t="str">
        <f>IF(OR(AD$122="",$I168=""),"",'I. Stream &amp; Compound Data'!BJ223/$J168*(1-AD$127)*(1-AD$123)*$K168)</f>
        <v/>
      </c>
      <c r="AE168" s="1242" t="str">
        <f>IF(OR(AE$122="",$I168=""),"",'I. Stream &amp; Compound Data'!BM223/$J168*(1-AE$127)*(1-AE$123)*$K168)</f>
        <v/>
      </c>
      <c r="AF168" s="1242" t="str">
        <f>IF(OR(AF$122="",$I168=""),"",'I. Stream &amp; Compound Data'!BP223/$J168*(1-AF$127)*(1-AF$123)*$K168)</f>
        <v/>
      </c>
      <c r="AG168" s="1242" t="str">
        <f>IF(OR(AG$122="",$I168=""),"",'I. Stream &amp; Compound Data'!BS223/$J168*(1-AG$127)*(1-AG$123)*$K168)</f>
        <v/>
      </c>
      <c r="AH168" s="1242" t="str">
        <f>IF(OR(AH$122="",$I168=""),"",'I. Stream &amp; Compound Data'!BV223/$J168*(1-AH$127)*(1-AH$123)*$K168)</f>
        <v/>
      </c>
      <c r="AI168" s="1242" t="str">
        <f>IF(OR(AI$122="",$I168=""),"",'I. Stream &amp; Compound Data'!BY223/$J168*(1-AI$127)*(1-AI$123)*$K168)</f>
        <v/>
      </c>
      <c r="AJ168" s="1242" t="str">
        <f>IF(OR(AJ$122="",$I168=""),"",'I. Stream &amp; Compound Data'!CB223/$J168*(1-AJ$127)*(1-AJ$123)*$K168)</f>
        <v/>
      </c>
      <c r="AK168" s="1242" t="str">
        <f>IF(OR(AK$122="",$I168=""),"",'I. Stream &amp; Compound Data'!CE223/$J168*(1-AK$127)*(1-AK$123)*$K168)</f>
        <v/>
      </c>
      <c r="AL168" s="1242" t="str">
        <f>IF(OR(AL$122="",$I168=""),"",'I. Stream &amp; Compound Data'!CH223/$J168*(1-AL$127)*(1-AL$123)*$K168)</f>
        <v/>
      </c>
      <c r="AM168" s="1242" t="str">
        <f>IF(OR(AM$122="",$I168=""),"",'I. Stream &amp; Compound Data'!CK223/$J168*(1-AM$127)*(1-AM$123)*$K168)</f>
        <v/>
      </c>
      <c r="AN168" s="1242" t="str">
        <f>IF(OR(AN$122="",$I168=""),"",'I. Stream &amp; Compound Data'!CN223/$J168*(1-AN$127)*(1-AN$123)*$K168)</f>
        <v/>
      </c>
      <c r="AO168" s="1242" t="str">
        <f>IF(OR(AO$122="",$I168=""),"",'I. Stream &amp; Compound Data'!CQ223/$J168*(1-AO$127)*(1-AO$123)*$K168)</f>
        <v/>
      </c>
      <c r="AP168" s="1242" t="str">
        <f>IF(OR(AP$122="",$I168=""),"",'I. Stream &amp; Compound Data'!CT223/$J168*(1-AP$127)*(1-AP$123)*$K168)</f>
        <v/>
      </c>
      <c r="AQ168" s="1242" t="str">
        <f>IF(OR(AQ$122="",$I168=""),"",'I. Stream &amp; Compound Data'!CW223/$J168*(1-AQ$127)*(1-AQ$123)*$K168)</f>
        <v/>
      </c>
      <c r="AR168" s="1242" t="str">
        <f>IF(OR(AR$122="",$I168=""),"",'I. Stream &amp; Compound Data'!CZ223/$J168*(1-AR$127)*(1-AR$123)*$K168)</f>
        <v/>
      </c>
      <c r="AS168" s="1242" t="str">
        <f>IF(OR(AS$122="",$I168=""),"",'I. Stream &amp; Compound Data'!DC223/$J168*(1-AS$127)*(1-AS$123)*$K168)</f>
        <v/>
      </c>
      <c r="AT168" s="1242" t="str">
        <f>IF(OR(AT$122="",$I168=""),"",'I. Stream &amp; Compound Data'!DF223/$J168*(1-AT$127)*(1-AT$123)*$K168)</f>
        <v/>
      </c>
      <c r="AU168" s="1242" t="str">
        <f>IF(OR(AU$122="",$I168=""),"",'I. Stream &amp; Compound Data'!DI223/$J168*(1-AU$127)*(1-AU$123)*$K168)</f>
        <v/>
      </c>
      <c r="AV168" s="1242" t="str">
        <f>IF(OR(AV$122="",$I168=""),"",'I. Stream &amp; Compound Data'!DL223/$J168*(1-AV$127)*(1-AV$123)*$K168)</f>
        <v/>
      </c>
      <c r="AW168" s="1242" t="str">
        <f>IF(OR(AW$122="",$I168=""),"",'I. Stream &amp; Compound Data'!DO223/$J168*(1-AW$127)*(1-AW$123)*$K168)</f>
        <v/>
      </c>
      <c r="AX168" s="1242" t="str">
        <f>IF(OR(AX$122="",$I168=""),"",'I. Stream &amp; Compound Data'!DR223/$J168*(1-AX$127)*(1-AX$123)*$K168)</f>
        <v/>
      </c>
      <c r="AY168" s="1268" t="str">
        <f>IF(OR(AY$122="",$I168=""),"",'I. Stream &amp; Compound Data'!DU223/$J168*(1-AY$127)*(1-AY$123)*$K168)</f>
        <v/>
      </c>
      <c r="AZ168" s="279"/>
      <c r="BA168" s="279"/>
      <c r="BB168" s="279"/>
      <c r="BC168" s="279"/>
      <c r="BD168" s="279"/>
      <c r="BE168" s="279"/>
      <c r="BF168" s="279"/>
      <c r="BG168" s="279"/>
      <c r="BH168" s="279"/>
      <c r="BI168" s="279"/>
      <c r="BJ168" s="279"/>
      <c r="BK168" s="279"/>
      <c r="BL168" s="279"/>
      <c r="BM168" s="279"/>
      <c r="BN168" s="279"/>
      <c r="BO168" s="279"/>
      <c r="BP168" s="279"/>
      <c r="BQ168" s="279"/>
      <c r="BR168" s="279"/>
      <c r="BS168" s="279"/>
      <c r="BT168" s="279"/>
      <c r="BU168" s="279"/>
      <c r="BV168" s="279"/>
      <c r="BW168" s="279"/>
      <c r="BX168" s="279"/>
      <c r="BY168" s="279"/>
      <c r="BZ168" s="279"/>
      <c r="CA168" s="279"/>
      <c r="CB168" s="279"/>
      <c r="CC168" s="279"/>
      <c r="CD168" s="279"/>
      <c r="CE168" s="279"/>
      <c r="CF168" s="279"/>
      <c r="CG168" s="279"/>
      <c r="CH168" s="279"/>
      <c r="CI168" s="279"/>
      <c r="CJ168" s="279"/>
      <c r="CK168" s="279"/>
      <c r="CL168" s="279"/>
      <c r="CM168" s="279"/>
      <c r="CN168" s="382"/>
    </row>
    <row r="169" ht="15.6" x14ac:dyDescent="0.25">
      <c r="B169" s="361"/>
      <c r="C169" s="279"/>
      <c r="D169" s="280"/>
      <c r="E169" s="287"/>
      <c r="F169" s="287"/>
      <c r="G169" s="287"/>
      <c r="H169" s="1292">
        <f t="shared" si="18"/>
        <v>39</v>
      </c>
      <c r="I169" s="1320" t="str">
        <f>IF('I. Stream &amp; Compound Data'!G300&lt;&gt;"",'I. Stream &amp; Compound Data'!G300,"")</f>
        <v/>
      </c>
      <c r="J169" s="1190" t="str">
        <f>IF('I. Stream &amp; Compound Data'!BH300="","",'I. Stream &amp; Compound Data'!BH300)</f>
        <v/>
      </c>
      <c r="K169" s="1306" t="str">
        <f>IF('I. Stream &amp; Compound Data'!G300="","",IF(OR('I. Stream &amp; Compound Data'!U300=1,'I. Stream &amp; Compound Data'!V300=1,'I. Stream &amp; Compound Data'!AY300&lt;25),0,1))</f>
        <v/>
      </c>
      <c r="L169" s="1242" t="str">
        <f>IF(OR(I169="",L$122=""),"",'I. Stream &amp; Compound Data'!H224/$J169*(1-L$127)*(1-L$123)*$K169)</f>
        <v/>
      </c>
      <c r="M169" s="1242" t="str">
        <f>IF(OR(J169="",M$122=""),"",'I. Stream &amp; Compound Data'!K224/$J169*(1-M$127)*(1-M$123)*$K169)</f>
        <v/>
      </c>
      <c r="N169" s="1242" t="str">
        <f>IF(OR(K169="",N$122=""),"",'I. Stream &amp; Compound Data'!N224/$J169*(1-N$127)*(1-N$123)*$K169)</f>
        <v/>
      </c>
      <c r="O169" s="1242" t="str">
        <f>IF(OR(L169="",O$122=""),"",'I. Stream &amp; Compound Data'!Q224/$J169*(1-O$127)*(1-O$123)*$K169)</f>
        <v/>
      </c>
      <c r="P169" s="1242" t="str">
        <f>IF(OR(M169="",P$122=""),"",'I. Stream &amp; Compound Data'!T224/$J169*(1-P$127)*(1-P$123)*$K169)</f>
        <v/>
      </c>
      <c r="Q169" s="1242" t="str">
        <f>IF(OR(N169="",Q$122=""),"",'I. Stream &amp; Compound Data'!W224/$J169*(1-Q$127)*(1-Q$123)*$K169)</f>
        <v/>
      </c>
      <c r="R169" s="1242" t="str">
        <f>IF(OR(O169="",R$122=""),"",'I. Stream &amp; Compound Data'!Z224/$J169*(1-R$127)*(1-R$123)*$K169)</f>
        <v/>
      </c>
      <c r="S169" s="1242" t="str">
        <f>IF(OR(P169="",S$122=""),"",'I. Stream &amp; Compound Data'!AC224/$J169*(1-S$127)*(1-S$123)*$K169)</f>
        <v/>
      </c>
      <c r="T169" s="1242" t="str">
        <f>IF(OR(Q169="",T$122=""),"",'I. Stream &amp; Compound Data'!AF224/$J169*(1-T$127)*(1-T$123)*$K169)</f>
        <v/>
      </c>
      <c r="U169" s="1242" t="str">
        <f>IF(OR(R169="",U$122=""),"",'I. Stream &amp; Compound Data'!AI224/$J169*(1-U$127)*(1-U$123)*$K169)</f>
        <v/>
      </c>
      <c r="V169" s="1242" t="str">
        <f>IF(OR(V$122="",$I169=""),"",'I. Stream &amp; Compound Data'!AL224/$J169*(1-V$127)*(1-V$123)*$K169)</f>
        <v/>
      </c>
      <c r="W169" s="1242" t="str">
        <f>IF(OR(W$122="",$I169=""),"",'I. Stream &amp; Compound Data'!AO224/$J169*(1-W$127)*(1-W$123)*$K169)</f>
        <v/>
      </c>
      <c r="X169" s="1242" t="str">
        <f>IF(OR(X$122="",$I169=""),"",'I. Stream &amp; Compound Data'!AR224/$J169*(1-X$127)*(1-X$123)*$K169)</f>
        <v/>
      </c>
      <c r="Y169" s="1242" t="str">
        <f>IF(OR(Y$122="",$I169=""),"",'I. Stream &amp; Compound Data'!AU224/$J169*(1-Y$127)*(1-Y$123)*$K169)</f>
        <v/>
      </c>
      <c r="Z169" s="1242" t="str">
        <f>IF(OR(Z$122="",$I169=""),"",'I. Stream &amp; Compound Data'!AX224/$J169*(1-Z$127)*(1-Z$123)*$K169)</f>
        <v/>
      </c>
      <c r="AA169" s="1242" t="str">
        <f>IF(OR(AA$122="",$I169=""),"",'I. Stream &amp; Compound Data'!BA224/$J169*(1-AA$127)*(1-AA$123)*$K169)</f>
        <v/>
      </c>
      <c r="AB169" s="1242" t="str">
        <f>IF(OR(AB$122="",$I169=""),"",'I. Stream &amp; Compound Data'!BD224/$J169*(1-AB$127)*(1-AB$123)*$K169)</f>
        <v/>
      </c>
      <c r="AC169" s="1242" t="str">
        <f>IF(OR(AC$122="",$I169=""),"",'I. Stream &amp; Compound Data'!BG224/$J169*(1-AC$127)*(1-AC$123)*$K169)</f>
        <v/>
      </c>
      <c r="AD169" s="1242" t="str">
        <f>IF(OR(AD$122="",$I169=""),"",'I. Stream &amp; Compound Data'!BJ224/$J169*(1-AD$127)*(1-AD$123)*$K169)</f>
        <v/>
      </c>
      <c r="AE169" s="1242" t="str">
        <f>IF(OR(AE$122="",$I169=""),"",'I. Stream &amp; Compound Data'!BM224/$J169*(1-AE$127)*(1-AE$123)*$K169)</f>
        <v/>
      </c>
      <c r="AF169" s="1242" t="str">
        <f>IF(OR(AF$122="",$I169=""),"",'I. Stream &amp; Compound Data'!BP224/$J169*(1-AF$127)*(1-AF$123)*$K169)</f>
        <v/>
      </c>
      <c r="AG169" s="1242" t="str">
        <f>IF(OR(AG$122="",$I169=""),"",'I. Stream &amp; Compound Data'!BS224/$J169*(1-AG$127)*(1-AG$123)*$K169)</f>
        <v/>
      </c>
      <c r="AH169" s="1242" t="str">
        <f>IF(OR(AH$122="",$I169=""),"",'I. Stream &amp; Compound Data'!BV224/$J169*(1-AH$127)*(1-AH$123)*$K169)</f>
        <v/>
      </c>
      <c r="AI169" s="1242" t="str">
        <f>IF(OR(AI$122="",$I169=""),"",'I. Stream &amp; Compound Data'!BY224/$J169*(1-AI$127)*(1-AI$123)*$K169)</f>
        <v/>
      </c>
      <c r="AJ169" s="1242" t="str">
        <f>IF(OR(AJ$122="",$I169=""),"",'I. Stream &amp; Compound Data'!CB224/$J169*(1-AJ$127)*(1-AJ$123)*$K169)</f>
        <v/>
      </c>
      <c r="AK169" s="1242" t="str">
        <f>IF(OR(AK$122="",$I169=""),"",'I. Stream &amp; Compound Data'!CE224/$J169*(1-AK$127)*(1-AK$123)*$K169)</f>
        <v/>
      </c>
      <c r="AL169" s="1242" t="str">
        <f>IF(OR(AL$122="",$I169=""),"",'I. Stream &amp; Compound Data'!CH224/$J169*(1-AL$127)*(1-AL$123)*$K169)</f>
        <v/>
      </c>
      <c r="AM169" s="1242" t="str">
        <f>IF(OR(AM$122="",$I169=""),"",'I. Stream &amp; Compound Data'!CK224/$J169*(1-AM$127)*(1-AM$123)*$K169)</f>
        <v/>
      </c>
      <c r="AN169" s="1242" t="str">
        <f>IF(OR(AN$122="",$I169=""),"",'I. Stream &amp; Compound Data'!CN224/$J169*(1-AN$127)*(1-AN$123)*$K169)</f>
        <v/>
      </c>
      <c r="AO169" s="1242" t="str">
        <f>IF(OR(AO$122="",$I169=""),"",'I. Stream &amp; Compound Data'!CQ224/$J169*(1-AO$127)*(1-AO$123)*$K169)</f>
        <v/>
      </c>
      <c r="AP169" s="1242" t="str">
        <f>IF(OR(AP$122="",$I169=""),"",'I. Stream &amp; Compound Data'!CT224/$J169*(1-AP$127)*(1-AP$123)*$K169)</f>
        <v/>
      </c>
      <c r="AQ169" s="1242" t="str">
        <f>IF(OR(AQ$122="",$I169=""),"",'I. Stream &amp; Compound Data'!CW224/$J169*(1-AQ$127)*(1-AQ$123)*$K169)</f>
        <v/>
      </c>
      <c r="AR169" s="1242" t="str">
        <f>IF(OR(AR$122="",$I169=""),"",'I. Stream &amp; Compound Data'!CZ224/$J169*(1-AR$127)*(1-AR$123)*$K169)</f>
        <v/>
      </c>
      <c r="AS169" s="1242" t="str">
        <f>IF(OR(AS$122="",$I169=""),"",'I. Stream &amp; Compound Data'!DC224/$J169*(1-AS$127)*(1-AS$123)*$K169)</f>
        <v/>
      </c>
      <c r="AT169" s="1242" t="str">
        <f>IF(OR(AT$122="",$I169=""),"",'I. Stream &amp; Compound Data'!DF224/$J169*(1-AT$127)*(1-AT$123)*$K169)</f>
        <v/>
      </c>
      <c r="AU169" s="1242" t="str">
        <f>IF(OR(AU$122="",$I169=""),"",'I. Stream &amp; Compound Data'!DI224/$J169*(1-AU$127)*(1-AU$123)*$K169)</f>
        <v/>
      </c>
      <c r="AV169" s="1242" t="str">
        <f>IF(OR(AV$122="",$I169=""),"",'I. Stream &amp; Compound Data'!DL224/$J169*(1-AV$127)*(1-AV$123)*$K169)</f>
        <v/>
      </c>
      <c r="AW169" s="1242" t="str">
        <f>IF(OR(AW$122="",$I169=""),"",'I. Stream &amp; Compound Data'!DO224/$J169*(1-AW$127)*(1-AW$123)*$K169)</f>
        <v/>
      </c>
      <c r="AX169" s="1242" t="str">
        <f>IF(OR(AX$122="",$I169=""),"",'I. Stream &amp; Compound Data'!DR224/$J169*(1-AX$127)*(1-AX$123)*$K169)</f>
        <v/>
      </c>
      <c r="AY169" s="1268" t="str">
        <f>IF(OR(AY$122="",$I169=""),"",'I. Stream &amp; Compound Data'!DU224/$J169*(1-AY$127)*(1-AY$123)*$K169)</f>
        <v/>
      </c>
      <c r="AZ169" s="279"/>
      <c r="BA169" s="279"/>
      <c r="BB169" s="279"/>
      <c r="BC169" s="279"/>
      <c r="BD169" s="279"/>
      <c r="BE169" s="279"/>
      <c r="BF169" s="279"/>
      <c r="BG169" s="279"/>
      <c r="BH169" s="279"/>
      <c r="BI169" s="279"/>
      <c r="BJ169" s="279"/>
      <c r="BK169" s="279"/>
      <c r="BL169" s="279"/>
      <c r="BM169" s="279"/>
      <c r="BN169" s="279"/>
      <c r="BO169" s="279"/>
      <c r="BP169" s="279"/>
      <c r="BQ169" s="279"/>
      <c r="BR169" s="279"/>
      <c r="BS169" s="279"/>
      <c r="BT169" s="279"/>
      <c r="BU169" s="279"/>
      <c r="BV169" s="279"/>
      <c r="BW169" s="279"/>
      <c r="BX169" s="279"/>
      <c r="BY169" s="279"/>
      <c r="BZ169" s="279"/>
      <c r="CA169" s="279"/>
      <c r="CB169" s="279"/>
      <c r="CC169" s="279"/>
      <c r="CD169" s="279"/>
      <c r="CE169" s="279"/>
      <c r="CF169" s="279"/>
      <c r="CG169" s="279"/>
      <c r="CH169" s="279"/>
      <c r="CI169" s="279"/>
      <c r="CJ169" s="279"/>
      <c r="CK169" s="279"/>
      <c r="CL169" s="279"/>
      <c r="CM169" s="279"/>
      <c r="CN169" s="382"/>
    </row>
    <row r="170" ht="15.6" x14ac:dyDescent="0.25">
      <c r="B170" s="361"/>
      <c r="C170" s="279"/>
      <c r="D170" s="280"/>
      <c r="E170" s="287"/>
      <c r="F170" s="287"/>
      <c r="G170" s="287"/>
      <c r="H170" s="1292">
        <f t="shared" si="18"/>
        <v>40</v>
      </c>
      <c r="I170" s="1320" t="str">
        <f>IF('I. Stream &amp; Compound Data'!G301&lt;&gt;"",'I. Stream &amp; Compound Data'!G301,"")</f>
        <v/>
      </c>
      <c r="J170" s="1190" t="str">
        <f>IF('I. Stream &amp; Compound Data'!BH301="","",'I. Stream &amp; Compound Data'!BH301)</f>
        <v/>
      </c>
      <c r="K170" s="1306" t="str">
        <f>IF('I. Stream &amp; Compound Data'!G301="","",IF(OR('I. Stream &amp; Compound Data'!U301=1,'I. Stream &amp; Compound Data'!V301=1,'I. Stream &amp; Compound Data'!AY301&lt;25),0,1))</f>
        <v/>
      </c>
      <c r="L170" s="1242" t="str">
        <f>IF(OR(I170="",L$122=""),"",'I. Stream &amp; Compound Data'!H225/$J170*(1-L$127)*(1-L$123)*$K170)</f>
        <v/>
      </c>
      <c r="M170" s="1242" t="str">
        <f>IF(OR(J170="",M$122=""),"",'I. Stream &amp; Compound Data'!K225/$J170*(1-M$127)*(1-M$123)*$K170)</f>
        <v/>
      </c>
      <c r="N170" s="1242" t="str">
        <f>IF(OR(K170="",N$122=""),"",'I. Stream &amp; Compound Data'!N225/$J170*(1-N$127)*(1-N$123)*$K170)</f>
        <v/>
      </c>
      <c r="O170" s="1242" t="str">
        <f>IF(OR(L170="",O$122=""),"",'I. Stream &amp; Compound Data'!Q225/$J170*(1-O$127)*(1-O$123)*$K170)</f>
        <v/>
      </c>
      <c r="P170" s="1242" t="str">
        <f>IF(OR(M170="",P$122=""),"",'I. Stream &amp; Compound Data'!T225/$J170*(1-P$127)*(1-P$123)*$K170)</f>
        <v/>
      </c>
      <c r="Q170" s="1242" t="str">
        <f>IF(OR(N170="",Q$122=""),"",'I. Stream &amp; Compound Data'!W225/$J170*(1-Q$127)*(1-Q$123)*$K170)</f>
        <v/>
      </c>
      <c r="R170" s="1242" t="str">
        <f>IF(OR(O170="",R$122=""),"",'I. Stream &amp; Compound Data'!Z225/$J170*(1-R$127)*(1-R$123)*$K170)</f>
        <v/>
      </c>
      <c r="S170" s="1242" t="str">
        <f>IF(OR(P170="",S$122=""),"",'I. Stream &amp; Compound Data'!AC225/$J170*(1-S$127)*(1-S$123)*$K170)</f>
        <v/>
      </c>
      <c r="T170" s="1242" t="str">
        <f>IF(OR(Q170="",T$122=""),"",'I. Stream &amp; Compound Data'!AF225/$J170*(1-T$127)*(1-T$123)*$K170)</f>
        <v/>
      </c>
      <c r="U170" s="1242" t="str">
        <f>IF(OR(R170="",U$122=""),"",'I. Stream &amp; Compound Data'!AI225/$J170*(1-U$127)*(1-U$123)*$K170)</f>
        <v/>
      </c>
      <c r="V170" s="1242" t="str">
        <f>IF(OR(V$122="",$I170=""),"",'I. Stream &amp; Compound Data'!AL225/$J170*(1-V$127)*(1-V$123)*$K170)</f>
        <v/>
      </c>
      <c r="W170" s="1242" t="str">
        <f>IF(OR(W$122="",$I170=""),"",'I. Stream &amp; Compound Data'!AO225/$J170*(1-W$127)*(1-W$123)*$K170)</f>
        <v/>
      </c>
      <c r="X170" s="1242" t="str">
        <f>IF(OR(X$122="",$I170=""),"",'I. Stream &amp; Compound Data'!AR225/$J170*(1-X$127)*(1-X$123)*$K170)</f>
        <v/>
      </c>
      <c r="Y170" s="1242" t="str">
        <f>IF(OR(Y$122="",$I170=""),"",'I. Stream &amp; Compound Data'!AU225/$J170*(1-Y$127)*(1-Y$123)*$K170)</f>
        <v/>
      </c>
      <c r="Z170" s="1242" t="str">
        <f>IF(OR(Z$122="",$I170=""),"",'I. Stream &amp; Compound Data'!AX225/$J170*(1-Z$127)*(1-Z$123)*$K170)</f>
        <v/>
      </c>
      <c r="AA170" s="1242" t="str">
        <f>IF(OR(AA$122="",$I170=""),"",'I. Stream &amp; Compound Data'!BA225/$J170*(1-AA$127)*(1-AA$123)*$K170)</f>
        <v/>
      </c>
      <c r="AB170" s="1242" t="str">
        <f>IF(OR(AB$122="",$I170=""),"",'I. Stream &amp; Compound Data'!BD225/$J170*(1-AB$127)*(1-AB$123)*$K170)</f>
        <v/>
      </c>
      <c r="AC170" s="1242" t="str">
        <f>IF(OR(AC$122="",$I170=""),"",'I. Stream &amp; Compound Data'!BG225/$J170*(1-AC$127)*(1-AC$123)*$K170)</f>
        <v/>
      </c>
      <c r="AD170" s="1242" t="str">
        <f>IF(OR(AD$122="",$I170=""),"",'I. Stream &amp; Compound Data'!BJ225/$J170*(1-AD$127)*(1-AD$123)*$K170)</f>
        <v/>
      </c>
      <c r="AE170" s="1242" t="str">
        <f>IF(OR(AE$122="",$I170=""),"",'I. Stream &amp; Compound Data'!BM225/$J170*(1-AE$127)*(1-AE$123)*$K170)</f>
        <v/>
      </c>
      <c r="AF170" s="1242" t="str">
        <f>IF(OR(AF$122="",$I170=""),"",'I. Stream &amp; Compound Data'!BP225/$J170*(1-AF$127)*(1-AF$123)*$K170)</f>
        <v/>
      </c>
      <c r="AG170" s="1242" t="str">
        <f>IF(OR(AG$122="",$I170=""),"",'I. Stream &amp; Compound Data'!BS225/$J170*(1-AG$127)*(1-AG$123)*$K170)</f>
        <v/>
      </c>
      <c r="AH170" s="1242" t="str">
        <f>IF(OR(AH$122="",$I170=""),"",'I. Stream &amp; Compound Data'!BV225/$J170*(1-AH$127)*(1-AH$123)*$K170)</f>
        <v/>
      </c>
      <c r="AI170" s="1242" t="str">
        <f>IF(OR(AI$122="",$I170=""),"",'I. Stream &amp; Compound Data'!BY225/$J170*(1-AI$127)*(1-AI$123)*$K170)</f>
        <v/>
      </c>
      <c r="AJ170" s="1242" t="str">
        <f>IF(OR(AJ$122="",$I170=""),"",'I. Stream &amp; Compound Data'!CB225/$J170*(1-AJ$127)*(1-AJ$123)*$K170)</f>
        <v/>
      </c>
      <c r="AK170" s="1242" t="str">
        <f>IF(OR(AK$122="",$I170=""),"",'I. Stream &amp; Compound Data'!CE225/$J170*(1-AK$127)*(1-AK$123)*$K170)</f>
        <v/>
      </c>
      <c r="AL170" s="1242" t="str">
        <f>IF(OR(AL$122="",$I170=""),"",'I. Stream &amp; Compound Data'!CH225/$J170*(1-AL$127)*(1-AL$123)*$K170)</f>
        <v/>
      </c>
      <c r="AM170" s="1242" t="str">
        <f>IF(OR(AM$122="",$I170=""),"",'I. Stream &amp; Compound Data'!CK225/$J170*(1-AM$127)*(1-AM$123)*$K170)</f>
        <v/>
      </c>
      <c r="AN170" s="1242" t="str">
        <f>IF(OR(AN$122="",$I170=""),"",'I. Stream &amp; Compound Data'!CN225/$J170*(1-AN$127)*(1-AN$123)*$K170)</f>
        <v/>
      </c>
      <c r="AO170" s="1242" t="str">
        <f>IF(OR(AO$122="",$I170=""),"",'I. Stream &amp; Compound Data'!CQ225/$J170*(1-AO$127)*(1-AO$123)*$K170)</f>
        <v/>
      </c>
      <c r="AP170" s="1242" t="str">
        <f>IF(OR(AP$122="",$I170=""),"",'I. Stream &amp; Compound Data'!CT225/$J170*(1-AP$127)*(1-AP$123)*$K170)</f>
        <v/>
      </c>
      <c r="AQ170" s="1242" t="str">
        <f>IF(OR(AQ$122="",$I170=""),"",'I. Stream &amp; Compound Data'!CW225/$J170*(1-AQ$127)*(1-AQ$123)*$K170)</f>
        <v/>
      </c>
      <c r="AR170" s="1242" t="str">
        <f>IF(OR(AR$122="",$I170=""),"",'I. Stream &amp; Compound Data'!CZ225/$J170*(1-AR$127)*(1-AR$123)*$K170)</f>
        <v/>
      </c>
      <c r="AS170" s="1242" t="str">
        <f>IF(OR(AS$122="",$I170=""),"",'I. Stream &amp; Compound Data'!DC225/$J170*(1-AS$127)*(1-AS$123)*$K170)</f>
        <v/>
      </c>
      <c r="AT170" s="1242" t="str">
        <f>IF(OR(AT$122="",$I170=""),"",'I. Stream &amp; Compound Data'!DF225/$J170*(1-AT$127)*(1-AT$123)*$K170)</f>
        <v/>
      </c>
      <c r="AU170" s="1242" t="str">
        <f>IF(OR(AU$122="",$I170=""),"",'I. Stream &amp; Compound Data'!DI225/$J170*(1-AU$127)*(1-AU$123)*$K170)</f>
        <v/>
      </c>
      <c r="AV170" s="1242" t="str">
        <f>IF(OR(AV$122="",$I170=""),"",'I. Stream &amp; Compound Data'!DL225/$J170*(1-AV$127)*(1-AV$123)*$K170)</f>
        <v/>
      </c>
      <c r="AW170" s="1242" t="str">
        <f>IF(OR(AW$122="",$I170=""),"",'I. Stream &amp; Compound Data'!DO225/$J170*(1-AW$127)*(1-AW$123)*$K170)</f>
        <v/>
      </c>
      <c r="AX170" s="1242" t="str">
        <f>IF(OR(AX$122="",$I170=""),"",'I. Stream &amp; Compound Data'!DR225/$J170*(1-AX$127)*(1-AX$123)*$K170)</f>
        <v/>
      </c>
      <c r="AY170" s="1268" t="str">
        <f>IF(OR(AY$122="",$I170=""),"",'I. Stream &amp; Compound Data'!DU225/$J170*(1-AY$127)*(1-AY$123)*$K170)</f>
        <v/>
      </c>
      <c r="AZ170" s="279"/>
      <c r="BA170" s="279"/>
      <c r="BB170" s="279"/>
      <c r="BC170" s="279"/>
      <c r="BD170" s="279"/>
      <c r="BE170" s="279"/>
      <c r="BF170" s="279"/>
      <c r="BG170" s="279"/>
      <c r="BH170" s="279"/>
      <c r="BI170" s="279"/>
      <c r="BJ170" s="279"/>
      <c r="BK170" s="279"/>
      <c r="BL170" s="279"/>
      <c r="BM170" s="279"/>
      <c r="BN170" s="279"/>
      <c r="BO170" s="279"/>
      <c r="BP170" s="279"/>
      <c r="BQ170" s="279"/>
      <c r="BR170" s="279"/>
      <c r="BS170" s="279"/>
      <c r="BT170" s="279"/>
      <c r="BU170" s="279"/>
      <c r="BV170" s="279"/>
      <c r="BW170" s="279"/>
      <c r="BX170" s="279"/>
      <c r="BY170" s="279"/>
      <c r="BZ170" s="279"/>
      <c r="CA170" s="279"/>
      <c r="CB170" s="279"/>
      <c r="CC170" s="279"/>
      <c r="CD170" s="279"/>
      <c r="CE170" s="279"/>
      <c r="CF170" s="279"/>
      <c r="CG170" s="279"/>
      <c r="CH170" s="279"/>
      <c r="CI170" s="279"/>
      <c r="CJ170" s="279"/>
      <c r="CK170" s="279"/>
      <c r="CL170" s="279"/>
      <c r="CM170" s="279"/>
      <c r="CN170" s="382"/>
    </row>
    <row r="171" ht="15.6" x14ac:dyDescent="0.25">
      <c r="B171" s="361"/>
      <c r="C171" s="279"/>
      <c r="D171" s="280"/>
      <c r="E171" s="287"/>
      <c r="F171" s="287"/>
      <c r="G171" s="287"/>
      <c r="H171" s="1292">
        <f t="shared" si="18"/>
        <v>41</v>
      </c>
      <c r="I171" s="1320" t="str">
        <f>IF('I. Stream &amp; Compound Data'!G302&lt;&gt;"",'I. Stream &amp; Compound Data'!G302,"")</f>
        <v/>
      </c>
      <c r="J171" s="1190" t="str">
        <f>IF('I. Stream &amp; Compound Data'!BH302="","",'I. Stream &amp; Compound Data'!BH302)</f>
        <v/>
      </c>
      <c r="K171" s="1306" t="str">
        <f>IF('I. Stream &amp; Compound Data'!G302="","",IF(OR('I. Stream &amp; Compound Data'!U302=1,'I. Stream &amp; Compound Data'!V302=1,'I. Stream &amp; Compound Data'!AY302&lt;25),0,1))</f>
        <v/>
      </c>
      <c r="L171" s="1242" t="str">
        <f>IF(OR(I171="",L$122=""),"",'I. Stream &amp; Compound Data'!H226/$J171*(1-L$127)*(1-L$123)*$K171)</f>
        <v/>
      </c>
      <c r="M171" s="1242" t="str">
        <f>IF(OR(J171="",M$122=""),"",'I. Stream &amp; Compound Data'!K226/$J171*(1-M$127)*(1-M$123)*$K171)</f>
        <v/>
      </c>
      <c r="N171" s="1242" t="str">
        <f>IF(OR(K171="",N$122=""),"",'I. Stream &amp; Compound Data'!N226/$J171*(1-N$127)*(1-N$123)*$K171)</f>
        <v/>
      </c>
      <c r="O171" s="1242" t="str">
        <f>IF(OR(L171="",O$122=""),"",'I. Stream &amp; Compound Data'!Q226/$J171*(1-O$127)*(1-O$123)*$K171)</f>
        <v/>
      </c>
      <c r="P171" s="1242" t="str">
        <f>IF(OR(M171="",P$122=""),"",'I. Stream &amp; Compound Data'!T226/$J171*(1-P$127)*(1-P$123)*$K171)</f>
        <v/>
      </c>
      <c r="Q171" s="1242" t="str">
        <f>IF(OR(N171="",Q$122=""),"",'I. Stream &amp; Compound Data'!W226/$J171*(1-Q$127)*(1-Q$123)*$K171)</f>
        <v/>
      </c>
      <c r="R171" s="1242" t="str">
        <f>IF(OR(O171="",R$122=""),"",'I. Stream &amp; Compound Data'!Z226/$J171*(1-R$127)*(1-R$123)*$K171)</f>
        <v/>
      </c>
      <c r="S171" s="1242" t="str">
        <f>IF(OR(P171="",S$122=""),"",'I. Stream &amp; Compound Data'!AC226/$J171*(1-S$127)*(1-S$123)*$K171)</f>
        <v/>
      </c>
      <c r="T171" s="1242" t="str">
        <f>IF(OR(Q171="",T$122=""),"",'I. Stream &amp; Compound Data'!AF226/$J171*(1-T$127)*(1-T$123)*$K171)</f>
        <v/>
      </c>
      <c r="U171" s="1242" t="str">
        <f>IF(OR(R171="",U$122=""),"",'I. Stream &amp; Compound Data'!AI226/$J171*(1-U$127)*(1-U$123)*$K171)</f>
        <v/>
      </c>
      <c r="V171" s="1242" t="str">
        <f>IF(OR(V$122="",$I171=""),"",'I. Stream &amp; Compound Data'!AL226/$J171*(1-V$127)*(1-V$123)*$K171)</f>
        <v/>
      </c>
      <c r="W171" s="1242" t="str">
        <f>IF(OR(W$122="",$I171=""),"",'I. Stream &amp; Compound Data'!AO226/$J171*(1-W$127)*(1-W$123)*$K171)</f>
        <v/>
      </c>
      <c r="X171" s="1242" t="str">
        <f>IF(OR(X$122="",$I171=""),"",'I. Stream &amp; Compound Data'!AR226/$J171*(1-X$127)*(1-X$123)*$K171)</f>
        <v/>
      </c>
      <c r="Y171" s="1242" t="str">
        <f>IF(OR(Y$122="",$I171=""),"",'I. Stream &amp; Compound Data'!AU226/$J171*(1-Y$127)*(1-Y$123)*$K171)</f>
        <v/>
      </c>
      <c r="Z171" s="1242" t="str">
        <f>IF(OR(Z$122="",$I171=""),"",'I. Stream &amp; Compound Data'!AX226/$J171*(1-Z$127)*(1-Z$123)*$K171)</f>
        <v/>
      </c>
      <c r="AA171" s="1242" t="str">
        <f>IF(OR(AA$122="",$I171=""),"",'I. Stream &amp; Compound Data'!BA226/$J171*(1-AA$127)*(1-AA$123)*$K171)</f>
        <v/>
      </c>
      <c r="AB171" s="1242" t="str">
        <f>IF(OR(AB$122="",$I171=""),"",'I. Stream &amp; Compound Data'!BD226/$J171*(1-AB$127)*(1-AB$123)*$K171)</f>
        <v/>
      </c>
      <c r="AC171" s="1242" t="str">
        <f>IF(OR(AC$122="",$I171=""),"",'I. Stream &amp; Compound Data'!BG226/$J171*(1-AC$127)*(1-AC$123)*$K171)</f>
        <v/>
      </c>
      <c r="AD171" s="1242" t="str">
        <f>IF(OR(AD$122="",$I171=""),"",'I. Stream &amp; Compound Data'!BJ226/$J171*(1-AD$127)*(1-AD$123)*$K171)</f>
        <v/>
      </c>
      <c r="AE171" s="1242" t="str">
        <f>IF(OR(AE$122="",$I171=""),"",'I. Stream &amp; Compound Data'!BM226/$J171*(1-AE$127)*(1-AE$123)*$K171)</f>
        <v/>
      </c>
      <c r="AF171" s="1242" t="str">
        <f>IF(OR(AF$122="",$I171=""),"",'I. Stream &amp; Compound Data'!BP226/$J171*(1-AF$127)*(1-AF$123)*$K171)</f>
        <v/>
      </c>
      <c r="AG171" s="1242" t="str">
        <f>IF(OR(AG$122="",$I171=""),"",'I. Stream &amp; Compound Data'!BS226/$J171*(1-AG$127)*(1-AG$123)*$K171)</f>
        <v/>
      </c>
      <c r="AH171" s="1242" t="str">
        <f>IF(OR(AH$122="",$I171=""),"",'I. Stream &amp; Compound Data'!BV226/$J171*(1-AH$127)*(1-AH$123)*$K171)</f>
        <v/>
      </c>
      <c r="AI171" s="1242" t="str">
        <f>IF(OR(AI$122="",$I171=""),"",'I. Stream &amp; Compound Data'!BY226/$J171*(1-AI$127)*(1-AI$123)*$K171)</f>
        <v/>
      </c>
      <c r="AJ171" s="1242" t="str">
        <f>IF(OR(AJ$122="",$I171=""),"",'I. Stream &amp; Compound Data'!CB226/$J171*(1-AJ$127)*(1-AJ$123)*$K171)</f>
        <v/>
      </c>
      <c r="AK171" s="1242" t="str">
        <f>IF(OR(AK$122="",$I171=""),"",'I. Stream &amp; Compound Data'!CE226/$J171*(1-AK$127)*(1-AK$123)*$K171)</f>
        <v/>
      </c>
      <c r="AL171" s="1242" t="str">
        <f>IF(OR(AL$122="",$I171=""),"",'I. Stream &amp; Compound Data'!CH226/$J171*(1-AL$127)*(1-AL$123)*$K171)</f>
        <v/>
      </c>
      <c r="AM171" s="1242" t="str">
        <f>IF(OR(AM$122="",$I171=""),"",'I. Stream &amp; Compound Data'!CK226/$J171*(1-AM$127)*(1-AM$123)*$K171)</f>
        <v/>
      </c>
      <c r="AN171" s="1242" t="str">
        <f>IF(OR(AN$122="",$I171=""),"",'I. Stream &amp; Compound Data'!CN226/$J171*(1-AN$127)*(1-AN$123)*$K171)</f>
        <v/>
      </c>
      <c r="AO171" s="1242" t="str">
        <f>IF(OR(AO$122="",$I171=""),"",'I. Stream &amp; Compound Data'!CQ226/$J171*(1-AO$127)*(1-AO$123)*$K171)</f>
        <v/>
      </c>
      <c r="AP171" s="1242" t="str">
        <f>IF(OR(AP$122="",$I171=""),"",'I. Stream &amp; Compound Data'!CT226/$J171*(1-AP$127)*(1-AP$123)*$K171)</f>
        <v/>
      </c>
      <c r="AQ171" s="1242" t="str">
        <f>IF(OR(AQ$122="",$I171=""),"",'I. Stream &amp; Compound Data'!CW226/$J171*(1-AQ$127)*(1-AQ$123)*$K171)</f>
        <v/>
      </c>
      <c r="AR171" s="1242" t="str">
        <f>IF(OR(AR$122="",$I171=""),"",'I. Stream &amp; Compound Data'!CZ226/$J171*(1-AR$127)*(1-AR$123)*$K171)</f>
        <v/>
      </c>
      <c r="AS171" s="1242" t="str">
        <f>IF(OR(AS$122="",$I171=""),"",'I. Stream &amp; Compound Data'!DC226/$J171*(1-AS$127)*(1-AS$123)*$K171)</f>
        <v/>
      </c>
      <c r="AT171" s="1242" t="str">
        <f>IF(OR(AT$122="",$I171=""),"",'I. Stream &amp; Compound Data'!DF226/$J171*(1-AT$127)*(1-AT$123)*$K171)</f>
        <v/>
      </c>
      <c r="AU171" s="1242" t="str">
        <f>IF(OR(AU$122="",$I171=""),"",'I. Stream &amp; Compound Data'!DI226/$J171*(1-AU$127)*(1-AU$123)*$K171)</f>
        <v/>
      </c>
      <c r="AV171" s="1242" t="str">
        <f>IF(OR(AV$122="",$I171=""),"",'I. Stream &amp; Compound Data'!DL226/$J171*(1-AV$127)*(1-AV$123)*$K171)</f>
        <v/>
      </c>
      <c r="AW171" s="1242" t="str">
        <f>IF(OR(AW$122="",$I171=""),"",'I. Stream &amp; Compound Data'!DO226/$J171*(1-AW$127)*(1-AW$123)*$K171)</f>
        <v/>
      </c>
      <c r="AX171" s="1242" t="str">
        <f>IF(OR(AX$122="",$I171=""),"",'I. Stream &amp; Compound Data'!DR226/$J171*(1-AX$127)*(1-AX$123)*$K171)</f>
        <v/>
      </c>
      <c r="AY171" s="1268" t="str">
        <f>IF(OR(AY$122="",$I171=""),"",'I. Stream &amp; Compound Data'!DU226/$J171*(1-AY$127)*(1-AY$123)*$K171)</f>
        <v/>
      </c>
      <c r="AZ171" s="279"/>
      <c r="BA171" s="279"/>
      <c r="BB171" s="279"/>
      <c r="BC171" s="279"/>
      <c r="BD171" s="279"/>
      <c r="BE171" s="279"/>
      <c r="BF171" s="279"/>
      <c r="BG171" s="279"/>
      <c r="BH171" s="279"/>
      <c r="BI171" s="279"/>
      <c r="BJ171" s="279"/>
      <c r="BK171" s="279"/>
      <c r="BL171" s="279"/>
      <c r="BM171" s="279"/>
      <c r="BN171" s="279"/>
      <c r="BO171" s="279"/>
      <c r="BP171" s="279"/>
      <c r="BQ171" s="279"/>
      <c r="BR171" s="279"/>
      <c r="BS171" s="279"/>
      <c r="BT171" s="279"/>
      <c r="BU171" s="279"/>
      <c r="BV171" s="279"/>
      <c r="BW171" s="279"/>
      <c r="BX171" s="279"/>
      <c r="BY171" s="279"/>
      <c r="BZ171" s="279"/>
      <c r="CA171" s="279"/>
      <c r="CB171" s="279"/>
      <c r="CC171" s="279"/>
      <c r="CD171" s="279"/>
      <c r="CE171" s="279"/>
      <c r="CF171" s="279"/>
      <c r="CG171" s="279"/>
      <c r="CH171" s="279"/>
      <c r="CI171" s="279"/>
      <c r="CJ171" s="279"/>
      <c r="CK171" s="279"/>
      <c r="CL171" s="279"/>
      <c r="CM171" s="279"/>
      <c r="CN171" s="382"/>
    </row>
    <row r="172" ht="15.6" x14ac:dyDescent="0.25">
      <c r="B172" s="361"/>
      <c r="C172" s="279"/>
      <c r="D172" s="280"/>
      <c r="E172" s="287"/>
      <c r="F172" s="287"/>
      <c r="G172" s="287"/>
      <c r="H172" s="1292">
        <f t="shared" si="18"/>
        <v>42</v>
      </c>
      <c r="I172" s="1320" t="str">
        <f>IF('I. Stream &amp; Compound Data'!G303&lt;&gt;"",'I. Stream &amp; Compound Data'!G303,"")</f>
        <v/>
      </c>
      <c r="J172" s="1190" t="str">
        <f>IF('I. Stream &amp; Compound Data'!BH303="","",'I. Stream &amp; Compound Data'!BH303)</f>
        <v/>
      </c>
      <c r="K172" s="1306" t="str">
        <f>IF('I. Stream &amp; Compound Data'!G303="","",IF(OR('I. Stream &amp; Compound Data'!U303=1,'I. Stream &amp; Compound Data'!V303=1,'I. Stream &amp; Compound Data'!AY303&lt;25),0,1))</f>
        <v/>
      </c>
      <c r="L172" s="1242" t="str">
        <f>IF(OR(I172="",L$122=""),"",'I. Stream &amp; Compound Data'!H227/$J172*(1-L$127)*(1-L$123)*$K172)</f>
        <v/>
      </c>
      <c r="M172" s="1242" t="str">
        <f>IF(OR(J172="",M$122=""),"",'I. Stream &amp; Compound Data'!K227/$J172*(1-M$127)*(1-M$123)*$K172)</f>
        <v/>
      </c>
      <c r="N172" s="1242" t="str">
        <f>IF(OR(K172="",N$122=""),"",'I. Stream &amp; Compound Data'!N227/$J172*(1-N$127)*(1-N$123)*$K172)</f>
        <v/>
      </c>
      <c r="O172" s="1242" t="str">
        <f>IF(OR(L172="",O$122=""),"",'I. Stream &amp; Compound Data'!Q227/$J172*(1-O$127)*(1-O$123)*$K172)</f>
        <v/>
      </c>
      <c r="P172" s="1242" t="str">
        <f>IF(OR(M172="",P$122=""),"",'I. Stream &amp; Compound Data'!T227/$J172*(1-P$127)*(1-P$123)*$K172)</f>
        <v/>
      </c>
      <c r="Q172" s="1242" t="str">
        <f>IF(OR(N172="",Q$122=""),"",'I. Stream &amp; Compound Data'!W227/$J172*(1-Q$127)*(1-Q$123)*$K172)</f>
        <v/>
      </c>
      <c r="R172" s="1242" t="str">
        <f>IF(OR(O172="",R$122=""),"",'I. Stream &amp; Compound Data'!Z227/$J172*(1-R$127)*(1-R$123)*$K172)</f>
        <v/>
      </c>
      <c r="S172" s="1242" t="str">
        <f>IF(OR(P172="",S$122=""),"",'I. Stream &amp; Compound Data'!AC227/$J172*(1-S$127)*(1-S$123)*$K172)</f>
        <v/>
      </c>
      <c r="T172" s="1242" t="str">
        <f>IF(OR(Q172="",T$122=""),"",'I. Stream &amp; Compound Data'!AF227/$J172*(1-T$127)*(1-T$123)*$K172)</f>
        <v/>
      </c>
      <c r="U172" s="1242" t="str">
        <f>IF(OR(R172="",U$122=""),"",'I. Stream &amp; Compound Data'!AI227/$J172*(1-U$127)*(1-U$123)*$K172)</f>
        <v/>
      </c>
      <c r="V172" s="1242" t="str">
        <f>IF(OR(V$122="",$I172=""),"",'I. Stream &amp; Compound Data'!AL227/$J172*(1-V$127)*(1-V$123)*$K172)</f>
        <v/>
      </c>
      <c r="W172" s="1242" t="str">
        <f>IF(OR(W$122="",$I172=""),"",'I. Stream &amp; Compound Data'!AO227/$J172*(1-W$127)*(1-W$123)*$K172)</f>
        <v/>
      </c>
      <c r="X172" s="1242" t="str">
        <f>IF(OR(X$122="",$I172=""),"",'I. Stream &amp; Compound Data'!AR227/$J172*(1-X$127)*(1-X$123)*$K172)</f>
        <v/>
      </c>
      <c r="Y172" s="1242" t="str">
        <f>IF(OR(Y$122="",$I172=""),"",'I. Stream &amp; Compound Data'!AU227/$J172*(1-Y$127)*(1-Y$123)*$K172)</f>
        <v/>
      </c>
      <c r="Z172" s="1242" t="str">
        <f>IF(OR(Z$122="",$I172=""),"",'I. Stream &amp; Compound Data'!AX227/$J172*(1-Z$127)*(1-Z$123)*$K172)</f>
        <v/>
      </c>
      <c r="AA172" s="1242" t="str">
        <f>IF(OR(AA$122="",$I172=""),"",'I. Stream &amp; Compound Data'!BA227/$J172*(1-AA$127)*(1-AA$123)*$K172)</f>
        <v/>
      </c>
      <c r="AB172" s="1242" t="str">
        <f>IF(OR(AB$122="",$I172=""),"",'I. Stream &amp; Compound Data'!BD227/$J172*(1-AB$127)*(1-AB$123)*$K172)</f>
        <v/>
      </c>
      <c r="AC172" s="1242" t="str">
        <f>IF(OR(AC$122="",$I172=""),"",'I. Stream &amp; Compound Data'!BG227/$J172*(1-AC$127)*(1-AC$123)*$K172)</f>
        <v/>
      </c>
      <c r="AD172" s="1242" t="str">
        <f>IF(OR(AD$122="",$I172=""),"",'I. Stream &amp; Compound Data'!BJ227/$J172*(1-AD$127)*(1-AD$123)*$K172)</f>
        <v/>
      </c>
      <c r="AE172" s="1242" t="str">
        <f>IF(OR(AE$122="",$I172=""),"",'I. Stream &amp; Compound Data'!BM227/$J172*(1-AE$127)*(1-AE$123)*$K172)</f>
        <v/>
      </c>
      <c r="AF172" s="1242" t="str">
        <f>IF(OR(AF$122="",$I172=""),"",'I. Stream &amp; Compound Data'!BP227/$J172*(1-AF$127)*(1-AF$123)*$K172)</f>
        <v/>
      </c>
      <c r="AG172" s="1242" t="str">
        <f>IF(OR(AG$122="",$I172=""),"",'I. Stream &amp; Compound Data'!BS227/$J172*(1-AG$127)*(1-AG$123)*$K172)</f>
        <v/>
      </c>
      <c r="AH172" s="1242" t="str">
        <f>IF(OR(AH$122="",$I172=""),"",'I. Stream &amp; Compound Data'!BV227/$J172*(1-AH$127)*(1-AH$123)*$K172)</f>
        <v/>
      </c>
      <c r="AI172" s="1242" t="str">
        <f>IF(OR(AI$122="",$I172=""),"",'I. Stream &amp; Compound Data'!BY227/$J172*(1-AI$127)*(1-AI$123)*$K172)</f>
        <v/>
      </c>
      <c r="AJ172" s="1242" t="str">
        <f>IF(OR(AJ$122="",$I172=""),"",'I. Stream &amp; Compound Data'!CB227/$J172*(1-AJ$127)*(1-AJ$123)*$K172)</f>
        <v/>
      </c>
      <c r="AK172" s="1242" t="str">
        <f>IF(OR(AK$122="",$I172=""),"",'I. Stream &amp; Compound Data'!CE227/$J172*(1-AK$127)*(1-AK$123)*$K172)</f>
        <v/>
      </c>
      <c r="AL172" s="1242" t="str">
        <f>IF(OR(AL$122="",$I172=""),"",'I. Stream &amp; Compound Data'!CH227/$J172*(1-AL$127)*(1-AL$123)*$K172)</f>
        <v/>
      </c>
      <c r="AM172" s="1242" t="str">
        <f>IF(OR(AM$122="",$I172=""),"",'I. Stream &amp; Compound Data'!CK227/$J172*(1-AM$127)*(1-AM$123)*$K172)</f>
        <v/>
      </c>
      <c r="AN172" s="1242" t="str">
        <f>IF(OR(AN$122="",$I172=""),"",'I. Stream &amp; Compound Data'!CN227/$J172*(1-AN$127)*(1-AN$123)*$K172)</f>
        <v/>
      </c>
      <c r="AO172" s="1242" t="str">
        <f>IF(OR(AO$122="",$I172=""),"",'I. Stream &amp; Compound Data'!CQ227/$J172*(1-AO$127)*(1-AO$123)*$K172)</f>
        <v/>
      </c>
      <c r="AP172" s="1242" t="str">
        <f>IF(OR(AP$122="",$I172=""),"",'I. Stream &amp; Compound Data'!CT227/$J172*(1-AP$127)*(1-AP$123)*$K172)</f>
        <v/>
      </c>
      <c r="AQ172" s="1242" t="str">
        <f>IF(OR(AQ$122="",$I172=""),"",'I. Stream &amp; Compound Data'!CW227/$J172*(1-AQ$127)*(1-AQ$123)*$K172)</f>
        <v/>
      </c>
      <c r="AR172" s="1242" t="str">
        <f>IF(OR(AR$122="",$I172=""),"",'I. Stream &amp; Compound Data'!CZ227/$J172*(1-AR$127)*(1-AR$123)*$K172)</f>
        <v/>
      </c>
      <c r="AS172" s="1242" t="str">
        <f>IF(OR(AS$122="",$I172=""),"",'I. Stream &amp; Compound Data'!DC227/$J172*(1-AS$127)*(1-AS$123)*$K172)</f>
        <v/>
      </c>
      <c r="AT172" s="1242" t="str">
        <f>IF(OR(AT$122="",$I172=""),"",'I. Stream &amp; Compound Data'!DF227/$J172*(1-AT$127)*(1-AT$123)*$K172)</f>
        <v/>
      </c>
      <c r="AU172" s="1242" t="str">
        <f>IF(OR(AU$122="",$I172=""),"",'I. Stream &amp; Compound Data'!DI227/$J172*(1-AU$127)*(1-AU$123)*$K172)</f>
        <v/>
      </c>
      <c r="AV172" s="1242" t="str">
        <f>IF(OR(AV$122="",$I172=""),"",'I. Stream &amp; Compound Data'!DL227/$J172*(1-AV$127)*(1-AV$123)*$K172)</f>
        <v/>
      </c>
      <c r="AW172" s="1242" t="str">
        <f>IF(OR(AW$122="",$I172=""),"",'I. Stream &amp; Compound Data'!DO227/$J172*(1-AW$127)*(1-AW$123)*$K172)</f>
        <v/>
      </c>
      <c r="AX172" s="1242" t="str">
        <f>IF(OR(AX$122="",$I172=""),"",'I. Stream &amp; Compound Data'!DR227/$J172*(1-AX$127)*(1-AX$123)*$K172)</f>
        <v/>
      </c>
      <c r="AY172" s="1268" t="str">
        <f>IF(OR(AY$122="",$I172=""),"",'I. Stream &amp; Compound Data'!DU227/$J172*(1-AY$127)*(1-AY$123)*$K172)</f>
        <v/>
      </c>
      <c r="AZ172" s="279"/>
      <c r="BA172" s="279"/>
      <c r="BB172" s="279"/>
      <c r="BC172" s="279"/>
      <c r="BD172" s="279"/>
      <c r="BE172" s="279"/>
      <c r="BF172" s="279"/>
      <c r="BG172" s="279"/>
      <c r="BH172" s="279"/>
      <c r="BI172" s="279"/>
      <c r="BJ172" s="279"/>
      <c r="BK172" s="279"/>
      <c r="BL172" s="279"/>
      <c r="BM172" s="279"/>
      <c r="BN172" s="279"/>
      <c r="BO172" s="279"/>
      <c r="BP172" s="279"/>
      <c r="BQ172" s="279"/>
      <c r="BR172" s="279"/>
      <c r="BS172" s="279"/>
      <c r="BT172" s="279"/>
      <c r="BU172" s="279"/>
      <c r="BV172" s="279"/>
      <c r="BW172" s="279"/>
      <c r="BX172" s="279"/>
      <c r="BY172" s="279"/>
      <c r="BZ172" s="279"/>
      <c r="CA172" s="279"/>
      <c r="CB172" s="279"/>
      <c r="CC172" s="279"/>
      <c r="CD172" s="279"/>
      <c r="CE172" s="279"/>
      <c r="CF172" s="279"/>
      <c r="CG172" s="279"/>
      <c r="CH172" s="279"/>
      <c r="CI172" s="279"/>
      <c r="CJ172" s="279"/>
      <c r="CK172" s="279"/>
      <c r="CL172" s="279"/>
      <c r="CM172" s="279"/>
      <c r="CN172" s="382"/>
    </row>
    <row r="173" ht="15.6" x14ac:dyDescent="0.25">
      <c r="B173" s="361"/>
      <c r="C173" s="279"/>
      <c r="D173" s="280"/>
      <c r="E173" s="287"/>
      <c r="F173" s="287"/>
      <c r="G173" s="287"/>
      <c r="H173" s="1292">
        <f t="shared" si="18"/>
        <v>43</v>
      </c>
      <c r="I173" s="1320" t="str">
        <f>IF('I. Stream &amp; Compound Data'!G304&lt;&gt;"",'I. Stream &amp; Compound Data'!G304,"")</f>
        <v/>
      </c>
      <c r="J173" s="1190" t="str">
        <f>IF('I. Stream &amp; Compound Data'!BH304="","",'I. Stream &amp; Compound Data'!BH304)</f>
        <v/>
      </c>
      <c r="K173" s="1306" t="str">
        <f>IF('I. Stream &amp; Compound Data'!G304="","",IF(OR('I. Stream &amp; Compound Data'!U304=1,'I. Stream &amp; Compound Data'!V304=1,'I. Stream &amp; Compound Data'!AY304&lt;25),0,1))</f>
        <v/>
      </c>
      <c r="L173" s="1242" t="str">
        <f>IF(OR(I173="",L$122=""),"",'I. Stream &amp; Compound Data'!H228/$J173*(1-L$127)*(1-L$123)*$K173)</f>
        <v/>
      </c>
      <c r="M173" s="1242" t="str">
        <f>IF(OR(J173="",M$122=""),"",'I. Stream &amp; Compound Data'!K228/$J173*(1-M$127)*(1-M$123)*$K173)</f>
        <v/>
      </c>
      <c r="N173" s="1242" t="str">
        <f>IF(OR(K173="",N$122=""),"",'I. Stream &amp; Compound Data'!N228/$J173*(1-N$127)*(1-N$123)*$K173)</f>
        <v/>
      </c>
      <c r="O173" s="1242" t="str">
        <f>IF(OR(L173="",O$122=""),"",'I. Stream &amp; Compound Data'!Q228/$J173*(1-O$127)*(1-O$123)*$K173)</f>
        <v/>
      </c>
      <c r="P173" s="1242" t="str">
        <f>IF(OR(M173="",P$122=""),"",'I. Stream &amp; Compound Data'!T228/$J173*(1-P$127)*(1-P$123)*$K173)</f>
        <v/>
      </c>
      <c r="Q173" s="1242" t="str">
        <f>IF(OR(N173="",Q$122=""),"",'I. Stream &amp; Compound Data'!W228/$J173*(1-Q$127)*(1-Q$123)*$K173)</f>
        <v/>
      </c>
      <c r="R173" s="1242" t="str">
        <f>IF(OR(O173="",R$122=""),"",'I. Stream &amp; Compound Data'!Z228/$J173*(1-R$127)*(1-R$123)*$K173)</f>
        <v/>
      </c>
      <c r="S173" s="1242" t="str">
        <f>IF(OR(P173="",S$122=""),"",'I. Stream &amp; Compound Data'!AC228/$J173*(1-S$127)*(1-S$123)*$K173)</f>
        <v/>
      </c>
      <c r="T173" s="1242" t="str">
        <f>IF(OR(Q173="",T$122=""),"",'I. Stream &amp; Compound Data'!AF228/$J173*(1-T$127)*(1-T$123)*$K173)</f>
        <v/>
      </c>
      <c r="U173" s="1242" t="str">
        <f>IF(OR(R173="",U$122=""),"",'I. Stream &amp; Compound Data'!AI228/$J173*(1-U$127)*(1-U$123)*$K173)</f>
        <v/>
      </c>
      <c r="V173" s="1242" t="str">
        <f>IF(OR(V$122="",$I173=""),"",'I. Stream &amp; Compound Data'!AL228/$J173*(1-V$127)*(1-V$123)*$K173)</f>
        <v/>
      </c>
      <c r="W173" s="1242" t="str">
        <f>IF(OR(W$122="",$I173=""),"",'I. Stream &amp; Compound Data'!AO228/$J173*(1-W$127)*(1-W$123)*$K173)</f>
        <v/>
      </c>
      <c r="X173" s="1242" t="str">
        <f>IF(OR(X$122="",$I173=""),"",'I. Stream &amp; Compound Data'!AR228/$J173*(1-X$127)*(1-X$123)*$K173)</f>
        <v/>
      </c>
      <c r="Y173" s="1242" t="str">
        <f>IF(OR(Y$122="",$I173=""),"",'I. Stream &amp; Compound Data'!AU228/$J173*(1-Y$127)*(1-Y$123)*$K173)</f>
        <v/>
      </c>
      <c r="Z173" s="1242" t="str">
        <f>IF(OR(Z$122="",$I173=""),"",'I. Stream &amp; Compound Data'!AX228/$J173*(1-Z$127)*(1-Z$123)*$K173)</f>
        <v/>
      </c>
      <c r="AA173" s="1242" t="str">
        <f>IF(OR(AA$122="",$I173=""),"",'I. Stream &amp; Compound Data'!BA228/$J173*(1-AA$127)*(1-AA$123)*$K173)</f>
        <v/>
      </c>
      <c r="AB173" s="1242" t="str">
        <f>IF(OR(AB$122="",$I173=""),"",'I. Stream &amp; Compound Data'!BD228/$J173*(1-AB$127)*(1-AB$123)*$K173)</f>
        <v/>
      </c>
      <c r="AC173" s="1242" t="str">
        <f>IF(OR(AC$122="",$I173=""),"",'I. Stream &amp; Compound Data'!BG228/$J173*(1-AC$127)*(1-AC$123)*$K173)</f>
        <v/>
      </c>
      <c r="AD173" s="1242" t="str">
        <f>IF(OR(AD$122="",$I173=""),"",'I. Stream &amp; Compound Data'!BJ228/$J173*(1-AD$127)*(1-AD$123)*$K173)</f>
        <v/>
      </c>
      <c r="AE173" s="1242" t="str">
        <f>IF(OR(AE$122="",$I173=""),"",'I. Stream &amp; Compound Data'!BM228/$J173*(1-AE$127)*(1-AE$123)*$K173)</f>
        <v/>
      </c>
      <c r="AF173" s="1242" t="str">
        <f>IF(OR(AF$122="",$I173=""),"",'I. Stream &amp; Compound Data'!BP228/$J173*(1-AF$127)*(1-AF$123)*$K173)</f>
        <v/>
      </c>
      <c r="AG173" s="1242" t="str">
        <f>IF(OR(AG$122="",$I173=""),"",'I. Stream &amp; Compound Data'!BS228/$J173*(1-AG$127)*(1-AG$123)*$K173)</f>
        <v/>
      </c>
      <c r="AH173" s="1242" t="str">
        <f>IF(OR(AH$122="",$I173=""),"",'I. Stream &amp; Compound Data'!BV228/$J173*(1-AH$127)*(1-AH$123)*$K173)</f>
        <v/>
      </c>
      <c r="AI173" s="1242" t="str">
        <f>IF(OR(AI$122="",$I173=""),"",'I. Stream &amp; Compound Data'!BY228/$J173*(1-AI$127)*(1-AI$123)*$K173)</f>
        <v/>
      </c>
      <c r="AJ173" s="1242" t="str">
        <f>IF(OR(AJ$122="",$I173=""),"",'I. Stream &amp; Compound Data'!CB228/$J173*(1-AJ$127)*(1-AJ$123)*$K173)</f>
        <v/>
      </c>
      <c r="AK173" s="1242" t="str">
        <f>IF(OR(AK$122="",$I173=""),"",'I. Stream &amp; Compound Data'!CE228/$J173*(1-AK$127)*(1-AK$123)*$K173)</f>
        <v/>
      </c>
      <c r="AL173" s="1242" t="str">
        <f>IF(OR(AL$122="",$I173=""),"",'I. Stream &amp; Compound Data'!CH228/$J173*(1-AL$127)*(1-AL$123)*$K173)</f>
        <v/>
      </c>
      <c r="AM173" s="1242" t="str">
        <f>IF(OR(AM$122="",$I173=""),"",'I. Stream &amp; Compound Data'!CK228/$J173*(1-AM$127)*(1-AM$123)*$K173)</f>
        <v/>
      </c>
      <c r="AN173" s="1242" t="str">
        <f>IF(OR(AN$122="",$I173=""),"",'I. Stream &amp; Compound Data'!CN228/$J173*(1-AN$127)*(1-AN$123)*$K173)</f>
        <v/>
      </c>
      <c r="AO173" s="1242" t="str">
        <f>IF(OR(AO$122="",$I173=""),"",'I. Stream &amp; Compound Data'!CQ228/$J173*(1-AO$127)*(1-AO$123)*$K173)</f>
        <v/>
      </c>
      <c r="AP173" s="1242" t="str">
        <f>IF(OR(AP$122="",$I173=""),"",'I. Stream &amp; Compound Data'!CT228/$J173*(1-AP$127)*(1-AP$123)*$K173)</f>
        <v/>
      </c>
      <c r="AQ173" s="1242" t="str">
        <f>IF(OR(AQ$122="",$I173=""),"",'I. Stream &amp; Compound Data'!CW228/$J173*(1-AQ$127)*(1-AQ$123)*$K173)</f>
        <v/>
      </c>
      <c r="AR173" s="1242" t="str">
        <f>IF(OR(AR$122="",$I173=""),"",'I. Stream &amp; Compound Data'!CZ228/$J173*(1-AR$127)*(1-AR$123)*$K173)</f>
        <v/>
      </c>
      <c r="AS173" s="1242" t="str">
        <f>IF(OR(AS$122="",$I173=""),"",'I. Stream &amp; Compound Data'!DC228/$J173*(1-AS$127)*(1-AS$123)*$K173)</f>
        <v/>
      </c>
      <c r="AT173" s="1242" t="str">
        <f>IF(OR(AT$122="",$I173=""),"",'I. Stream &amp; Compound Data'!DF228/$J173*(1-AT$127)*(1-AT$123)*$K173)</f>
        <v/>
      </c>
      <c r="AU173" s="1242" t="str">
        <f>IF(OR(AU$122="",$I173=""),"",'I. Stream &amp; Compound Data'!DI228/$J173*(1-AU$127)*(1-AU$123)*$K173)</f>
        <v/>
      </c>
      <c r="AV173" s="1242" t="str">
        <f>IF(OR(AV$122="",$I173=""),"",'I. Stream &amp; Compound Data'!DL228/$J173*(1-AV$127)*(1-AV$123)*$K173)</f>
        <v/>
      </c>
      <c r="AW173" s="1242" t="str">
        <f>IF(OR(AW$122="",$I173=""),"",'I. Stream &amp; Compound Data'!DO228/$J173*(1-AW$127)*(1-AW$123)*$K173)</f>
        <v/>
      </c>
      <c r="AX173" s="1242" t="str">
        <f>IF(OR(AX$122="",$I173=""),"",'I. Stream &amp; Compound Data'!DR228/$J173*(1-AX$127)*(1-AX$123)*$K173)</f>
        <v/>
      </c>
      <c r="AY173" s="1268" t="str">
        <f>IF(OR(AY$122="",$I173=""),"",'I. Stream &amp; Compound Data'!DU228/$J173*(1-AY$127)*(1-AY$123)*$K173)</f>
        <v/>
      </c>
      <c r="AZ173" s="279"/>
      <c r="BA173" s="279"/>
      <c r="BB173" s="279"/>
      <c r="BC173" s="279"/>
      <c r="BD173" s="279"/>
      <c r="BE173" s="279"/>
      <c r="BF173" s="279"/>
      <c r="BG173" s="279"/>
      <c r="BH173" s="279"/>
      <c r="BI173" s="279"/>
      <c r="BJ173" s="279"/>
      <c r="BK173" s="279"/>
      <c r="BL173" s="279"/>
      <c r="BM173" s="279"/>
      <c r="BN173" s="279"/>
      <c r="BO173" s="279"/>
      <c r="BP173" s="279"/>
      <c r="BQ173" s="279"/>
      <c r="BR173" s="279"/>
      <c r="BS173" s="279"/>
      <c r="BT173" s="279"/>
      <c r="BU173" s="279"/>
      <c r="BV173" s="279"/>
      <c r="BW173" s="279"/>
      <c r="BX173" s="279"/>
      <c r="BY173" s="279"/>
      <c r="BZ173" s="279"/>
      <c r="CA173" s="279"/>
      <c r="CB173" s="279"/>
      <c r="CC173" s="279"/>
      <c r="CD173" s="279"/>
      <c r="CE173" s="279"/>
      <c r="CF173" s="279"/>
      <c r="CG173" s="279"/>
      <c r="CH173" s="279"/>
      <c r="CI173" s="279"/>
      <c r="CJ173" s="279"/>
      <c r="CK173" s="279"/>
      <c r="CL173" s="279"/>
      <c r="CM173" s="279"/>
      <c r="CN173" s="382"/>
    </row>
    <row r="174" ht="15.6" x14ac:dyDescent="0.25">
      <c r="B174" s="361"/>
      <c r="C174" s="279"/>
      <c r="D174" s="280"/>
      <c r="E174" s="287"/>
      <c r="F174" s="287"/>
      <c r="G174" s="287"/>
      <c r="H174" s="1292">
        <f t="shared" si="18"/>
        <v>44</v>
      </c>
      <c r="I174" s="1320" t="str">
        <f>IF('I. Stream &amp; Compound Data'!G305&lt;&gt;"",'I. Stream &amp; Compound Data'!G305,"")</f>
        <v/>
      </c>
      <c r="J174" s="1190" t="str">
        <f>IF('I. Stream &amp; Compound Data'!BH305="","",'I. Stream &amp; Compound Data'!BH305)</f>
        <v/>
      </c>
      <c r="K174" s="1306" t="str">
        <f>IF('I. Stream &amp; Compound Data'!G305="","",IF(OR('I. Stream &amp; Compound Data'!U305=1,'I. Stream &amp; Compound Data'!V305=1,'I. Stream &amp; Compound Data'!AY305&lt;25),0,1))</f>
        <v/>
      </c>
      <c r="L174" s="1242" t="str">
        <f>IF(OR(I174="",L$122=""),"",'I. Stream &amp; Compound Data'!H229/$J174*(1-L$127)*(1-L$123)*$K174)</f>
        <v/>
      </c>
      <c r="M174" s="1242" t="str">
        <f>IF(OR(J174="",M$122=""),"",'I. Stream &amp; Compound Data'!K229/$J174*(1-M$127)*(1-M$123)*$K174)</f>
        <v/>
      </c>
      <c r="N174" s="1242" t="str">
        <f>IF(OR(K174="",N$122=""),"",'I. Stream &amp; Compound Data'!N229/$J174*(1-N$127)*(1-N$123)*$K174)</f>
        <v/>
      </c>
      <c r="O174" s="1242" t="str">
        <f>IF(OR(L174="",O$122=""),"",'I. Stream &amp; Compound Data'!Q229/$J174*(1-O$127)*(1-O$123)*$K174)</f>
        <v/>
      </c>
      <c r="P174" s="1242" t="str">
        <f>IF(OR(M174="",P$122=""),"",'I. Stream &amp; Compound Data'!T229/$J174*(1-P$127)*(1-P$123)*$K174)</f>
        <v/>
      </c>
      <c r="Q174" s="1242" t="str">
        <f>IF(OR(N174="",Q$122=""),"",'I. Stream &amp; Compound Data'!W229/$J174*(1-Q$127)*(1-Q$123)*$K174)</f>
        <v/>
      </c>
      <c r="R174" s="1242" t="str">
        <f>IF(OR(O174="",R$122=""),"",'I. Stream &amp; Compound Data'!Z229/$J174*(1-R$127)*(1-R$123)*$K174)</f>
        <v/>
      </c>
      <c r="S174" s="1242" t="str">
        <f>IF(OR(P174="",S$122=""),"",'I. Stream &amp; Compound Data'!AC229/$J174*(1-S$127)*(1-S$123)*$K174)</f>
        <v/>
      </c>
      <c r="T174" s="1242" t="str">
        <f>IF(OR(Q174="",T$122=""),"",'I. Stream &amp; Compound Data'!AF229/$J174*(1-T$127)*(1-T$123)*$K174)</f>
        <v/>
      </c>
      <c r="U174" s="1242" t="str">
        <f>IF(OR(R174="",U$122=""),"",'I. Stream &amp; Compound Data'!AI229/$J174*(1-U$127)*(1-U$123)*$K174)</f>
        <v/>
      </c>
      <c r="V174" s="1242" t="str">
        <f>IF(OR(V$122="",$I174=""),"",'I. Stream &amp; Compound Data'!AL229/$J174*(1-V$127)*(1-V$123)*$K174)</f>
        <v/>
      </c>
      <c r="W174" s="1242" t="str">
        <f>IF(OR(W$122="",$I174=""),"",'I. Stream &amp; Compound Data'!AO229/$J174*(1-W$127)*(1-W$123)*$K174)</f>
        <v/>
      </c>
      <c r="X174" s="1242" t="str">
        <f>IF(OR(X$122="",$I174=""),"",'I. Stream &amp; Compound Data'!AR229/$J174*(1-X$127)*(1-X$123)*$K174)</f>
        <v/>
      </c>
      <c r="Y174" s="1242" t="str">
        <f>IF(OR(Y$122="",$I174=""),"",'I. Stream &amp; Compound Data'!AU229/$J174*(1-Y$127)*(1-Y$123)*$K174)</f>
        <v/>
      </c>
      <c r="Z174" s="1242" t="str">
        <f>IF(OR(Z$122="",$I174=""),"",'I. Stream &amp; Compound Data'!AX229/$J174*(1-Z$127)*(1-Z$123)*$K174)</f>
        <v/>
      </c>
      <c r="AA174" s="1242" t="str">
        <f>IF(OR(AA$122="",$I174=""),"",'I. Stream &amp; Compound Data'!BA229/$J174*(1-AA$127)*(1-AA$123)*$K174)</f>
        <v/>
      </c>
      <c r="AB174" s="1242" t="str">
        <f>IF(OR(AB$122="",$I174=""),"",'I. Stream &amp; Compound Data'!BD229/$J174*(1-AB$127)*(1-AB$123)*$K174)</f>
        <v/>
      </c>
      <c r="AC174" s="1242" t="str">
        <f>IF(OR(AC$122="",$I174=""),"",'I. Stream &amp; Compound Data'!BG229/$J174*(1-AC$127)*(1-AC$123)*$K174)</f>
        <v/>
      </c>
      <c r="AD174" s="1242" t="str">
        <f>IF(OR(AD$122="",$I174=""),"",'I. Stream &amp; Compound Data'!BJ229/$J174*(1-AD$127)*(1-AD$123)*$K174)</f>
        <v/>
      </c>
      <c r="AE174" s="1242" t="str">
        <f>IF(OR(AE$122="",$I174=""),"",'I. Stream &amp; Compound Data'!BM229/$J174*(1-AE$127)*(1-AE$123)*$K174)</f>
        <v/>
      </c>
      <c r="AF174" s="1242" t="str">
        <f>IF(OR(AF$122="",$I174=""),"",'I. Stream &amp; Compound Data'!BP229/$J174*(1-AF$127)*(1-AF$123)*$K174)</f>
        <v/>
      </c>
      <c r="AG174" s="1242" t="str">
        <f>IF(OR(AG$122="",$I174=""),"",'I. Stream &amp; Compound Data'!BS229/$J174*(1-AG$127)*(1-AG$123)*$K174)</f>
        <v/>
      </c>
      <c r="AH174" s="1242" t="str">
        <f>IF(OR(AH$122="",$I174=""),"",'I. Stream &amp; Compound Data'!BV229/$J174*(1-AH$127)*(1-AH$123)*$K174)</f>
        <v/>
      </c>
      <c r="AI174" s="1242" t="str">
        <f>IF(OR(AI$122="",$I174=""),"",'I. Stream &amp; Compound Data'!BY229/$J174*(1-AI$127)*(1-AI$123)*$K174)</f>
        <v/>
      </c>
      <c r="AJ174" s="1242" t="str">
        <f>IF(OR(AJ$122="",$I174=""),"",'I. Stream &amp; Compound Data'!CB229/$J174*(1-AJ$127)*(1-AJ$123)*$K174)</f>
        <v/>
      </c>
      <c r="AK174" s="1242" t="str">
        <f>IF(OR(AK$122="",$I174=""),"",'I. Stream &amp; Compound Data'!CE229/$J174*(1-AK$127)*(1-AK$123)*$K174)</f>
        <v/>
      </c>
      <c r="AL174" s="1242" t="str">
        <f>IF(OR(AL$122="",$I174=""),"",'I. Stream &amp; Compound Data'!CH229/$J174*(1-AL$127)*(1-AL$123)*$K174)</f>
        <v/>
      </c>
      <c r="AM174" s="1242" t="str">
        <f>IF(OR(AM$122="",$I174=""),"",'I. Stream &amp; Compound Data'!CK229/$J174*(1-AM$127)*(1-AM$123)*$K174)</f>
        <v/>
      </c>
      <c r="AN174" s="1242" t="str">
        <f>IF(OR(AN$122="",$I174=""),"",'I. Stream &amp; Compound Data'!CN229/$J174*(1-AN$127)*(1-AN$123)*$K174)</f>
        <v/>
      </c>
      <c r="AO174" s="1242" t="str">
        <f>IF(OR(AO$122="",$I174=""),"",'I. Stream &amp; Compound Data'!CQ229/$J174*(1-AO$127)*(1-AO$123)*$K174)</f>
        <v/>
      </c>
      <c r="AP174" s="1242" t="str">
        <f>IF(OR(AP$122="",$I174=""),"",'I. Stream &amp; Compound Data'!CT229/$J174*(1-AP$127)*(1-AP$123)*$K174)</f>
        <v/>
      </c>
      <c r="AQ174" s="1242" t="str">
        <f>IF(OR(AQ$122="",$I174=""),"",'I. Stream &amp; Compound Data'!CW229/$J174*(1-AQ$127)*(1-AQ$123)*$K174)</f>
        <v/>
      </c>
      <c r="AR174" s="1242" t="str">
        <f>IF(OR(AR$122="",$I174=""),"",'I. Stream &amp; Compound Data'!CZ229/$J174*(1-AR$127)*(1-AR$123)*$K174)</f>
        <v/>
      </c>
      <c r="AS174" s="1242" t="str">
        <f>IF(OR(AS$122="",$I174=""),"",'I. Stream &amp; Compound Data'!DC229/$J174*(1-AS$127)*(1-AS$123)*$K174)</f>
        <v/>
      </c>
      <c r="AT174" s="1242" t="str">
        <f>IF(OR(AT$122="",$I174=""),"",'I. Stream &amp; Compound Data'!DF229/$J174*(1-AT$127)*(1-AT$123)*$K174)</f>
        <v/>
      </c>
      <c r="AU174" s="1242" t="str">
        <f>IF(OR(AU$122="",$I174=""),"",'I. Stream &amp; Compound Data'!DI229/$J174*(1-AU$127)*(1-AU$123)*$K174)</f>
        <v/>
      </c>
      <c r="AV174" s="1242" t="str">
        <f>IF(OR(AV$122="",$I174=""),"",'I. Stream &amp; Compound Data'!DL229/$J174*(1-AV$127)*(1-AV$123)*$K174)</f>
        <v/>
      </c>
      <c r="AW174" s="1242" t="str">
        <f>IF(OR(AW$122="",$I174=""),"",'I. Stream &amp; Compound Data'!DO229/$J174*(1-AW$127)*(1-AW$123)*$K174)</f>
        <v/>
      </c>
      <c r="AX174" s="1242" t="str">
        <f>IF(OR(AX$122="",$I174=""),"",'I. Stream &amp; Compound Data'!DR229/$J174*(1-AX$127)*(1-AX$123)*$K174)</f>
        <v/>
      </c>
      <c r="AY174" s="1268" t="str">
        <f>IF(OR(AY$122="",$I174=""),"",'I. Stream &amp; Compound Data'!DU229/$J174*(1-AY$127)*(1-AY$123)*$K174)</f>
        <v/>
      </c>
      <c r="AZ174" s="279"/>
      <c r="BA174" s="279"/>
      <c r="BB174" s="279"/>
      <c r="BC174" s="279"/>
      <c r="BD174" s="279"/>
      <c r="BE174" s="279"/>
      <c r="BF174" s="279"/>
      <c r="BG174" s="279"/>
      <c r="BH174" s="279"/>
      <c r="BI174" s="279"/>
      <c r="BJ174" s="279"/>
      <c r="BK174" s="279"/>
      <c r="BL174" s="279"/>
      <c r="BM174" s="279"/>
      <c r="BN174" s="279"/>
      <c r="BO174" s="279"/>
      <c r="BP174" s="279"/>
      <c r="BQ174" s="279"/>
      <c r="BR174" s="279"/>
      <c r="BS174" s="279"/>
      <c r="BT174" s="279"/>
      <c r="BU174" s="279"/>
      <c r="BV174" s="279"/>
      <c r="BW174" s="279"/>
      <c r="BX174" s="279"/>
      <c r="BY174" s="279"/>
      <c r="BZ174" s="279"/>
      <c r="CA174" s="279"/>
      <c r="CB174" s="279"/>
      <c r="CC174" s="279"/>
      <c r="CD174" s="279"/>
      <c r="CE174" s="279"/>
      <c r="CF174" s="279"/>
      <c r="CG174" s="279"/>
      <c r="CH174" s="279"/>
      <c r="CI174" s="279"/>
      <c r="CJ174" s="279"/>
      <c r="CK174" s="279"/>
      <c r="CL174" s="279"/>
      <c r="CM174" s="279"/>
      <c r="CN174" s="382"/>
    </row>
    <row r="175" ht="15.6" x14ac:dyDescent="0.25">
      <c r="B175" s="361"/>
      <c r="C175" s="279"/>
      <c r="D175" s="280"/>
      <c r="E175" s="287"/>
      <c r="F175" s="287"/>
      <c r="G175" s="287"/>
      <c r="H175" s="1292">
        <f t="shared" si="18"/>
        <v>45</v>
      </c>
      <c r="I175" s="1320" t="str">
        <f>IF('I. Stream &amp; Compound Data'!G306&lt;&gt;"",'I. Stream &amp; Compound Data'!G306,"")</f>
        <v/>
      </c>
      <c r="J175" s="1190" t="str">
        <f>IF('I. Stream &amp; Compound Data'!BH306="","",'I. Stream &amp; Compound Data'!BH306)</f>
        <v/>
      </c>
      <c r="K175" s="1306" t="str">
        <f>IF('I. Stream &amp; Compound Data'!G306="","",IF(OR('I. Stream &amp; Compound Data'!U306=1,'I. Stream &amp; Compound Data'!V306=1,'I. Stream &amp; Compound Data'!AY306&lt;25),0,1))</f>
        <v/>
      </c>
      <c r="L175" s="1242" t="str">
        <f>IF(OR(I175="",L$122=""),"",'I. Stream &amp; Compound Data'!H230/$J175*(1-L$127)*(1-L$123)*$K175)</f>
        <v/>
      </c>
      <c r="M175" s="1242" t="str">
        <f>IF(OR(J175="",M$122=""),"",'I. Stream &amp; Compound Data'!K230/$J175*(1-M$127)*(1-M$123)*$K175)</f>
        <v/>
      </c>
      <c r="N175" s="1242" t="str">
        <f>IF(OR(K175="",N$122=""),"",'I. Stream &amp; Compound Data'!N230/$J175*(1-N$127)*(1-N$123)*$K175)</f>
        <v/>
      </c>
      <c r="O175" s="1242" t="str">
        <f>IF(OR(L175="",O$122=""),"",'I. Stream &amp; Compound Data'!Q230/$J175*(1-O$127)*(1-O$123)*$K175)</f>
        <v/>
      </c>
      <c r="P175" s="1242" t="str">
        <f>IF(OR(M175="",P$122=""),"",'I. Stream &amp; Compound Data'!T230/$J175*(1-P$127)*(1-P$123)*$K175)</f>
        <v/>
      </c>
      <c r="Q175" s="1242" t="str">
        <f>IF(OR(N175="",Q$122=""),"",'I. Stream &amp; Compound Data'!W230/$J175*(1-Q$127)*(1-Q$123)*$K175)</f>
        <v/>
      </c>
      <c r="R175" s="1242" t="str">
        <f>IF(OR(O175="",R$122=""),"",'I. Stream &amp; Compound Data'!Z230/$J175*(1-R$127)*(1-R$123)*$K175)</f>
        <v/>
      </c>
      <c r="S175" s="1242" t="str">
        <f>IF(OR(P175="",S$122=""),"",'I. Stream &amp; Compound Data'!AC230/$J175*(1-S$127)*(1-S$123)*$K175)</f>
        <v/>
      </c>
      <c r="T175" s="1242" t="str">
        <f>IF(OR(Q175="",T$122=""),"",'I. Stream &amp; Compound Data'!AF230/$J175*(1-T$127)*(1-T$123)*$K175)</f>
        <v/>
      </c>
      <c r="U175" s="1242" t="str">
        <f>IF(OR(R175="",U$122=""),"",'I. Stream &amp; Compound Data'!AI230/$J175*(1-U$127)*(1-U$123)*$K175)</f>
        <v/>
      </c>
      <c r="V175" s="1242" t="str">
        <f>IF(OR(V$122="",$I175=""),"",'I. Stream &amp; Compound Data'!AL230/$J175*(1-V$127)*(1-V$123)*$K175)</f>
        <v/>
      </c>
      <c r="W175" s="1242" t="str">
        <f>IF(OR(W$122="",$I175=""),"",'I. Stream &amp; Compound Data'!AO230/$J175*(1-W$127)*(1-W$123)*$K175)</f>
        <v/>
      </c>
      <c r="X175" s="1242" t="str">
        <f>IF(OR(X$122="",$I175=""),"",'I. Stream &amp; Compound Data'!AR230/$J175*(1-X$127)*(1-X$123)*$K175)</f>
        <v/>
      </c>
      <c r="Y175" s="1242" t="str">
        <f>IF(OR(Y$122="",$I175=""),"",'I. Stream &amp; Compound Data'!AU230/$J175*(1-Y$127)*(1-Y$123)*$K175)</f>
        <v/>
      </c>
      <c r="Z175" s="1242" t="str">
        <f>IF(OR(Z$122="",$I175=""),"",'I. Stream &amp; Compound Data'!AX230/$J175*(1-Z$127)*(1-Z$123)*$K175)</f>
        <v/>
      </c>
      <c r="AA175" s="1242" t="str">
        <f>IF(OR(AA$122="",$I175=""),"",'I. Stream &amp; Compound Data'!BA230/$J175*(1-AA$127)*(1-AA$123)*$K175)</f>
        <v/>
      </c>
      <c r="AB175" s="1242" t="str">
        <f>IF(OR(AB$122="",$I175=""),"",'I. Stream &amp; Compound Data'!BD230/$J175*(1-AB$127)*(1-AB$123)*$K175)</f>
        <v/>
      </c>
      <c r="AC175" s="1242" t="str">
        <f>IF(OR(AC$122="",$I175=""),"",'I. Stream &amp; Compound Data'!BG230/$J175*(1-AC$127)*(1-AC$123)*$K175)</f>
        <v/>
      </c>
      <c r="AD175" s="1242" t="str">
        <f>IF(OR(AD$122="",$I175=""),"",'I. Stream &amp; Compound Data'!BJ230/$J175*(1-AD$127)*(1-AD$123)*$K175)</f>
        <v/>
      </c>
      <c r="AE175" s="1242" t="str">
        <f>IF(OR(AE$122="",$I175=""),"",'I. Stream &amp; Compound Data'!BM230/$J175*(1-AE$127)*(1-AE$123)*$K175)</f>
        <v/>
      </c>
      <c r="AF175" s="1242" t="str">
        <f>IF(OR(AF$122="",$I175=""),"",'I. Stream &amp; Compound Data'!BP230/$J175*(1-AF$127)*(1-AF$123)*$K175)</f>
        <v/>
      </c>
      <c r="AG175" s="1242" t="str">
        <f>IF(OR(AG$122="",$I175=""),"",'I. Stream &amp; Compound Data'!BS230/$J175*(1-AG$127)*(1-AG$123)*$K175)</f>
        <v/>
      </c>
      <c r="AH175" s="1242" t="str">
        <f>IF(OR(AH$122="",$I175=""),"",'I. Stream &amp; Compound Data'!BV230/$J175*(1-AH$127)*(1-AH$123)*$K175)</f>
        <v/>
      </c>
      <c r="AI175" s="1242" t="str">
        <f>IF(OR(AI$122="",$I175=""),"",'I. Stream &amp; Compound Data'!BY230/$J175*(1-AI$127)*(1-AI$123)*$K175)</f>
        <v/>
      </c>
      <c r="AJ175" s="1242" t="str">
        <f>IF(OR(AJ$122="",$I175=""),"",'I. Stream &amp; Compound Data'!CB230/$J175*(1-AJ$127)*(1-AJ$123)*$K175)</f>
        <v/>
      </c>
      <c r="AK175" s="1242" t="str">
        <f>IF(OR(AK$122="",$I175=""),"",'I. Stream &amp; Compound Data'!CE230/$J175*(1-AK$127)*(1-AK$123)*$K175)</f>
        <v/>
      </c>
      <c r="AL175" s="1242" t="str">
        <f>IF(OR(AL$122="",$I175=""),"",'I. Stream &amp; Compound Data'!CH230/$J175*(1-AL$127)*(1-AL$123)*$K175)</f>
        <v/>
      </c>
      <c r="AM175" s="1242" t="str">
        <f>IF(OR(AM$122="",$I175=""),"",'I. Stream &amp; Compound Data'!CK230/$J175*(1-AM$127)*(1-AM$123)*$K175)</f>
        <v/>
      </c>
      <c r="AN175" s="1242" t="str">
        <f>IF(OR(AN$122="",$I175=""),"",'I. Stream &amp; Compound Data'!CN230/$J175*(1-AN$127)*(1-AN$123)*$K175)</f>
        <v/>
      </c>
      <c r="AO175" s="1242" t="str">
        <f>IF(OR(AO$122="",$I175=""),"",'I. Stream &amp; Compound Data'!CQ230/$J175*(1-AO$127)*(1-AO$123)*$K175)</f>
        <v/>
      </c>
      <c r="AP175" s="1242" t="str">
        <f>IF(OR(AP$122="",$I175=""),"",'I. Stream &amp; Compound Data'!CT230/$J175*(1-AP$127)*(1-AP$123)*$K175)</f>
        <v/>
      </c>
      <c r="AQ175" s="1242" t="str">
        <f>IF(OR(AQ$122="",$I175=""),"",'I. Stream &amp; Compound Data'!CW230/$J175*(1-AQ$127)*(1-AQ$123)*$K175)</f>
        <v/>
      </c>
      <c r="AR175" s="1242" t="str">
        <f>IF(OR(AR$122="",$I175=""),"",'I. Stream &amp; Compound Data'!CZ230/$J175*(1-AR$127)*(1-AR$123)*$K175)</f>
        <v/>
      </c>
      <c r="AS175" s="1242" t="str">
        <f>IF(OR(AS$122="",$I175=""),"",'I. Stream &amp; Compound Data'!DC230/$J175*(1-AS$127)*(1-AS$123)*$K175)</f>
        <v/>
      </c>
      <c r="AT175" s="1242" t="str">
        <f>IF(OR(AT$122="",$I175=""),"",'I. Stream &amp; Compound Data'!DF230/$J175*(1-AT$127)*(1-AT$123)*$K175)</f>
        <v/>
      </c>
      <c r="AU175" s="1242" t="str">
        <f>IF(OR(AU$122="",$I175=""),"",'I. Stream &amp; Compound Data'!DI230/$J175*(1-AU$127)*(1-AU$123)*$K175)</f>
        <v/>
      </c>
      <c r="AV175" s="1242" t="str">
        <f>IF(OR(AV$122="",$I175=""),"",'I. Stream &amp; Compound Data'!DL230/$J175*(1-AV$127)*(1-AV$123)*$K175)</f>
        <v/>
      </c>
      <c r="AW175" s="1242" t="str">
        <f>IF(OR(AW$122="",$I175=""),"",'I. Stream &amp; Compound Data'!DO230/$J175*(1-AW$127)*(1-AW$123)*$K175)</f>
        <v/>
      </c>
      <c r="AX175" s="1242" t="str">
        <f>IF(OR(AX$122="",$I175=""),"",'I. Stream &amp; Compound Data'!DR230/$J175*(1-AX$127)*(1-AX$123)*$K175)</f>
        <v/>
      </c>
      <c r="AY175" s="1268" t="str">
        <f>IF(OR(AY$122="",$I175=""),"",'I. Stream &amp; Compound Data'!DU230/$J175*(1-AY$127)*(1-AY$123)*$K175)</f>
        <v/>
      </c>
      <c r="AZ175" s="279"/>
      <c r="BA175" s="279"/>
      <c r="BB175" s="279"/>
      <c r="BC175" s="279"/>
      <c r="BD175" s="279"/>
      <c r="BE175" s="279"/>
      <c r="BF175" s="279"/>
      <c r="BG175" s="279"/>
      <c r="BH175" s="279"/>
      <c r="BI175" s="279"/>
      <c r="BJ175" s="279"/>
      <c r="BK175" s="279"/>
      <c r="BL175" s="279"/>
      <c r="BM175" s="279"/>
      <c r="BN175" s="279"/>
      <c r="BO175" s="279"/>
      <c r="BP175" s="279"/>
      <c r="BQ175" s="279"/>
      <c r="BR175" s="279"/>
      <c r="BS175" s="279"/>
      <c r="BT175" s="279"/>
      <c r="BU175" s="279"/>
      <c r="BV175" s="279"/>
      <c r="BW175" s="279"/>
      <c r="BX175" s="279"/>
      <c r="BY175" s="279"/>
      <c r="BZ175" s="279"/>
      <c r="CA175" s="279"/>
      <c r="CB175" s="279"/>
      <c r="CC175" s="279"/>
      <c r="CD175" s="279"/>
      <c r="CE175" s="279"/>
      <c r="CF175" s="279"/>
      <c r="CG175" s="279"/>
      <c r="CH175" s="279"/>
      <c r="CI175" s="279"/>
      <c r="CJ175" s="279"/>
      <c r="CK175" s="279"/>
      <c r="CL175" s="279"/>
      <c r="CM175" s="279"/>
      <c r="CN175" s="382"/>
    </row>
    <row r="176" ht="15.6" x14ac:dyDescent="0.25">
      <c r="B176" s="361"/>
      <c r="C176" s="279"/>
      <c r="D176" s="280"/>
      <c r="E176" s="287"/>
      <c r="F176" s="287"/>
      <c r="G176" s="287"/>
      <c r="H176" s="1292">
        <f t="shared" si="18"/>
        <v>46</v>
      </c>
      <c r="I176" s="1320" t="str">
        <f>IF('I. Stream &amp; Compound Data'!G307&lt;&gt;"",'I. Stream &amp; Compound Data'!G307,"")</f>
        <v/>
      </c>
      <c r="J176" s="1190" t="str">
        <f>IF('I. Stream &amp; Compound Data'!BH307="","",'I. Stream &amp; Compound Data'!BH307)</f>
        <v/>
      </c>
      <c r="K176" s="1306" t="str">
        <f>IF('I. Stream &amp; Compound Data'!G307="","",IF(OR('I. Stream &amp; Compound Data'!U307=1,'I. Stream &amp; Compound Data'!V307=1,'I. Stream &amp; Compound Data'!AY307&lt;25),0,1))</f>
        <v/>
      </c>
      <c r="L176" s="1242" t="str">
        <f>IF(OR(I176="",L$122=""),"",'I. Stream &amp; Compound Data'!H231/$J176*(1-L$127)*(1-L$123)*$K176)</f>
        <v/>
      </c>
      <c r="M176" s="1242" t="str">
        <f>IF(OR(J176="",M$122=""),"",'I. Stream &amp; Compound Data'!K231/$J176*(1-M$127)*(1-M$123)*$K176)</f>
        <v/>
      </c>
      <c r="N176" s="1242" t="str">
        <f>IF(OR(K176="",N$122=""),"",'I. Stream &amp; Compound Data'!N231/$J176*(1-N$127)*(1-N$123)*$K176)</f>
        <v/>
      </c>
      <c r="O176" s="1242" t="str">
        <f>IF(OR(L176="",O$122=""),"",'I. Stream &amp; Compound Data'!Q231/$J176*(1-O$127)*(1-O$123)*$K176)</f>
        <v/>
      </c>
      <c r="P176" s="1242" t="str">
        <f>IF(OR(M176="",P$122=""),"",'I. Stream &amp; Compound Data'!T231/$J176*(1-P$127)*(1-P$123)*$K176)</f>
        <v/>
      </c>
      <c r="Q176" s="1242" t="str">
        <f>IF(OR(N176="",Q$122=""),"",'I. Stream &amp; Compound Data'!W231/$J176*(1-Q$127)*(1-Q$123)*$K176)</f>
        <v/>
      </c>
      <c r="R176" s="1242" t="str">
        <f>IF(OR(O176="",R$122=""),"",'I. Stream &amp; Compound Data'!Z231/$J176*(1-R$127)*(1-R$123)*$K176)</f>
        <v/>
      </c>
      <c r="S176" s="1242" t="str">
        <f>IF(OR(P176="",S$122=""),"",'I. Stream &amp; Compound Data'!AC231/$J176*(1-S$127)*(1-S$123)*$K176)</f>
        <v/>
      </c>
      <c r="T176" s="1242" t="str">
        <f>IF(OR(Q176="",T$122=""),"",'I. Stream &amp; Compound Data'!AF231/$J176*(1-T$127)*(1-T$123)*$K176)</f>
        <v/>
      </c>
      <c r="U176" s="1242" t="str">
        <f>IF(OR(R176="",U$122=""),"",'I. Stream &amp; Compound Data'!AI231/$J176*(1-U$127)*(1-U$123)*$K176)</f>
        <v/>
      </c>
      <c r="V176" s="1242" t="str">
        <f>IF(OR(V$122="",$I176=""),"",'I. Stream &amp; Compound Data'!AL231/$J176*(1-V$127)*(1-V$123)*$K176)</f>
        <v/>
      </c>
      <c r="W176" s="1242" t="str">
        <f>IF(OR(W$122="",$I176=""),"",'I. Stream &amp; Compound Data'!AO231/$J176*(1-W$127)*(1-W$123)*$K176)</f>
        <v/>
      </c>
      <c r="X176" s="1242" t="str">
        <f>IF(OR(X$122="",$I176=""),"",'I. Stream &amp; Compound Data'!AR231/$J176*(1-X$127)*(1-X$123)*$K176)</f>
        <v/>
      </c>
      <c r="Y176" s="1242" t="str">
        <f>IF(OR(Y$122="",$I176=""),"",'I. Stream &amp; Compound Data'!AU231/$J176*(1-Y$127)*(1-Y$123)*$K176)</f>
        <v/>
      </c>
      <c r="Z176" s="1242" t="str">
        <f>IF(OR(Z$122="",$I176=""),"",'I. Stream &amp; Compound Data'!AX231/$J176*(1-Z$127)*(1-Z$123)*$K176)</f>
        <v/>
      </c>
      <c r="AA176" s="1242" t="str">
        <f>IF(OR(AA$122="",$I176=""),"",'I. Stream &amp; Compound Data'!BA231/$J176*(1-AA$127)*(1-AA$123)*$K176)</f>
        <v/>
      </c>
      <c r="AB176" s="1242" t="str">
        <f>IF(OR(AB$122="",$I176=""),"",'I. Stream &amp; Compound Data'!BD231/$J176*(1-AB$127)*(1-AB$123)*$K176)</f>
        <v/>
      </c>
      <c r="AC176" s="1242" t="str">
        <f>IF(OR(AC$122="",$I176=""),"",'I. Stream &amp; Compound Data'!BG231/$J176*(1-AC$127)*(1-AC$123)*$K176)</f>
        <v/>
      </c>
      <c r="AD176" s="1242" t="str">
        <f>IF(OR(AD$122="",$I176=""),"",'I. Stream &amp; Compound Data'!BJ231/$J176*(1-AD$127)*(1-AD$123)*$K176)</f>
        <v/>
      </c>
      <c r="AE176" s="1242" t="str">
        <f>IF(OR(AE$122="",$I176=""),"",'I. Stream &amp; Compound Data'!BM231/$J176*(1-AE$127)*(1-AE$123)*$K176)</f>
        <v/>
      </c>
      <c r="AF176" s="1242" t="str">
        <f>IF(OR(AF$122="",$I176=""),"",'I. Stream &amp; Compound Data'!BP231/$J176*(1-AF$127)*(1-AF$123)*$K176)</f>
        <v/>
      </c>
      <c r="AG176" s="1242" t="str">
        <f>IF(OR(AG$122="",$I176=""),"",'I. Stream &amp; Compound Data'!BS231/$J176*(1-AG$127)*(1-AG$123)*$K176)</f>
        <v/>
      </c>
      <c r="AH176" s="1242" t="str">
        <f>IF(OR(AH$122="",$I176=""),"",'I. Stream &amp; Compound Data'!BV231/$J176*(1-AH$127)*(1-AH$123)*$K176)</f>
        <v/>
      </c>
      <c r="AI176" s="1242" t="str">
        <f>IF(OR(AI$122="",$I176=""),"",'I. Stream &amp; Compound Data'!BY231/$J176*(1-AI$127)*(1-AI$123)*$K176)</f>
        <v/>
      </c>
      <c r="AJ176" s="1242" t="str">
        <f>IF(OR(AJ$122="",$I176=""),"",'I. Stream &amp; Compound Data'!CB231/$J176*(1-AJ$127)*(1-AJ$123)*$K176)</f>
        <v/>
      </c>
      <c r="AK176" s="1242" t="str">
        <f>IF(OR(AK$122="",$I176=""),"",'I. Stream &amp; Compound Data'!CE231/$J176*(1-AK$127)*(1-AK$123)*$K176)</f>
        <v/>
      </c>
      <c r="AL176" s="1242" t="str">
        <f>IF(OR(AL$122="",$I176=""),"",'I. Stream &amp; Compound Data'!CH231/$J176*(1-AL$127)*(1-AL$123)*$K176)</f>
        <v/>
      </c>
      <c r="AM176" s="1242" t="str">
        <f>IF(OR(AM$122="",$I176=""),"",'I. Stream &amp; Compound Data'!CK231/$J176*(1-AM$127)*(1-AM$123)*$K176)</f>
        <v/>
      </c>
      <c r="AN176" s="1242" t="str">
        <f>IF(OR(AN$122="",$I176=""),"",'I. Stream &amp; Compound Data'!CN231/$J176*(1-AN$127)*(1-AN$123)*$K176)</f>
        <v/>
      </c>
      <c r="AO176" s="1242" t="str">
        <f>IF(OR(AO$122="",$I176=""),"",'I. Stream &amp; Compound Data'!CQ231/$J176*(1-AO$127)*(1-AO$123)*$K176)</f>
        <v/>
      </c>
      <c r="AP176" s="1242" t="str">
        <f>IF(OR(AP$122="",$I176=""),"",'I. Stream &amp; Compound Data'!CT231/$J176*(1-AP$127)*(1-AP$123)*$K176)</f>
        <v/>
      </c>
      <c r="AQ176" s="1242" t="str">
        <f>IF(OR(AQ$122="",$I176=""),"",'I. Stream &amp; Compound Data'!CW231/$J176*(1-AQ$127)*(1-AQ$123)*$K176)</f>
        <v/>
      </c>
      <c r="AR176" s="1242" t="str">
        <f>IF(OR(AR$122="",$I176=""),"",'I. Stream &amp; Compound Data'!CZ231/$J176*(1-AR$127)*(1-AR$123)*$K176)</f>
        <v/>
      </c>
      <c r="AS176" s="1242" t="str">
        <f>IF(OR(AS$122="",$I176=""),"",'I. Stream &amp; Compound Data'!DC231/$J176*(1-AS$127)*(1-AS$123)*$K176)</f>
        <v/>
      </c>
      <c r="AT176" s="1242" t="str">
        <f>IF(OR(AT$122="",$I176=""),"",'I. Stream &amp; Compound Data'!DF231/$J176*(1-AT$127)*(1-AT$123)*$K176)</f>
        <v/>
      </c>
      <c r="AU176" s="1242" t="str">
        <f>IF(OR(AU$122="",$I176=""),"",'I. Stream &amp; Compound Data'!DI231/$J176*(1-AU$127)*(1-AU$123)*$K176)</f>
        <v/>
      </c>
      <c r="AV176" s="1242" t="str">
        <f>IF(OR(AV$122="",$I176=""),"",'I. Stream &amp; Compound Data'!DL231/$J176*(1-AV$127)*(1-AV$123)*$K176)</f>
        <v/>
      </c>
      <c r="AW176" s="1242" t="str">
        <f>IF(OR(AW$122="",$I176=""),"",'I. Stream &amp; Compound Data'!DO231/$J176*(1-AW$127)*(1-AW$123)*$K176)</f>
        <v/>
      </c>
      <c r="AX176" s="1242" t="str">
        <f>IF(OR(AX$122="",$I176=""),"",'I. Stream &amp; Compound Data'!DR231/$J176*(1-AX$127)*(1-AX$123)*$K176)</f>
        <v/>
      </c>
      <c r="AY176" s="1268" t="str">
        <f>IF(OR(AY$122="",$I176=""),"",'I. Stream &amp; Compound Data'!DU231/$J176*(1-AY$127)*(1-AY$123)*$K176)</f>
        <v/>
      </c>
      <c r="AZ176" s="279"/>
      <c r="BA176" s="279"/>
      <c r="BB176" s="279"/>
      <c r="BC176" s="279"/>
      <c r="BD176" s="279"/>
      <c r="BE176" s="279"/>
      <c r="BF176" s="279"/>
      <c r="BG176" s="279"/>
      <c r="BH176" s="279"/>
      <c r="BI176" s="279"/>
      <c r="BJ176" s="279"/>
      <c r="BK176" s="279"/>
      <c r="BL176" s="279"/>
      <c r="BM176" s="279"/>
      <c r="BN176" s="279"/>
      <c r="BO176" s="279"/>
      <c r="BP176" s="279"/>
      <c r="BQ176" s="279"/>
      <c r="BR176" s="279"/>
      <c r="BS176" s="279"/>
      <c r="BT176" s="279"/>
      <c r="BU176" s="279"/>
      <c r="BV176" s="279"/>
      <c r="BW176" s="279"/>
      <c r="BX176" s="279"/>
      <c r="BY176" s="279"/>
      <c r="BZ176" s="279"/>
      <c r="CA176" s="279"/>
      <c r="CB176" s="279"/>
      <c r="CC176" s="279"/>
      <c r="CD176" s="279"/>
      <c r="CE176" s="279"/>
      <c r="CF176" s="279"/>
      <c r="CG176" s="279"/>
      <c r="CH176" s="279"/>
      <c r="CI176" s="279"/>
      <c r="CJ176" s="279"/>
      <c r="CK176" s="279"/>
      <c r="CL176" s="279"/>
      <c r="CM176" s="279"/>
      <c r="CN176" s="382"/>
    </row>
    <row r="177" ht="15.6" x14ac:dyDescent="0.25">
      <c r="B177" s="361"/>
      <c r="C177" s="279"/>
      <c r="D177" s="280"/>
      <c r="E177" s="287"/>
      <c r="F177" s="287"/>
      <c r="G177" s="287"/>
      <c r="H177" s="1292">
        <f t="shared" si="18"/>
        <v>47</v>
      </c>
      <c r="I177" s="1320" t="str">
        <f>IF('I. Stream &amp; Compound Data'!G308&lt;&gt;"",'I. Stream &amp; Compound Data'!G308,"")</f>
        <v/>
      </c>
      <c r="J177" s="1190" t="str">
        <f>IF('I. Stream &amp; Compound Data'!BH308="","",'I. Stream &amp; Compound Data'!BH308)</f>
        <v/>
      </c>
      <c r="K177" s="1306" t="str">
        <f>IF('I. Stream &amp; Compound Data'!G308="","",IF(OR('I. Stream &amp; Compound Data'!U308=1,'I. Stream &amp; Compound Data'!V308=1,'I. Stream &amp; Compound Data'!AY308&lt;25),0,1))</f>
        <v/>
      </c>
      <c r="L177" s="1242" t="str">
        <f>IF(OR(I177="",L$122=""),"",'I. Stream &amp; Compound Data'!H232/$J177*(1-L$127)*(1-L$123)*$K177)</f>
        <v/>
      </c>
      <c r="M177" s="1242" t="str">
        <f>IF(OR(J177="",M$122=""),"",'I. Stream &amp; Compound Data'!K232/$J177*(1-M$127)*(1-M$123)*$K177)</f>
        <v/>
      </c>
      <c r="N177" s="1242" t="str">
        <f>IF(OR(K177="",N$122=""),"",'I. Stream &amp; Compound Data'!N232/$J177*(1-N$127)*(1-N$123)*$K177)</f>
        <v/>
      </c>
      <c r="O177" s="1242" t="str">
        <f>IF(OR(L177="",O$122=""),"",'I. Stream &amp; Compound Data'!Q232/$J177*(1-O$127)*(1-O$123)*$K177)</f>
        <v/>
      </c>
      <c r="P177" s="1242" t="str">
        <f>IF(OR(M177="",P$122=""),"",'I. Stream &amp; Compound Data'!T232/$J177*(1-P$127)*(1-P$123)*$K177)</f>
        <v/>
      </c>
      <c r="Q177" s="1242" t="str">
        <f>IF(OR(N177="",Q$122=""),"",'I. Stream &amp; Compound Data'!W232/$J177*(1-Q$127)*(1-Q$123)*$K177)</f>
        <v/>
      </c>
      <c r="R177" s="1242" t="str">
        <f>IF(OR(O177="",R$122=""),"",'I. Stream &amp; Compound Data'!Z232/$J177*(1-R$127)*(1-R$123)*$K177)</f>
        <v/>
      </c>
      <c r="S177" s="1242" t="str">
        <f>IF(OR(P177="",S$122=""),"",'I. Stream &amp; Compound Data'!AC232/$J177*(1-S$127)*(1-S$123)*$K177)</f>
        <v/>
      </c>
      <c r="T177" s="1242" t="str">
        <f>IF(OR(Q177="",T$122=""),"",'I. Stream &amp; Compound Data'!AF232/$J177*(1-T$127)*(1-T$123)*$K177)</f>
        <v/>
      </c>
      <c r="U177" s="1242" t="str">
        <f>IF(OR(R177="",U$122=""),"",'I. Stream &amp; Compound Data'!AI232/$J177*(1-U$127)*(1-U$123)*$K177)</f>
        <v/>
      </c>
      <c r="V177" s="1242" t="str">
        <f>IF(OR(V$122="",$I177=""),"",'I. Stream &amp; Compound Data'!AL232/$J177*(1-V$127)*(1-V$123)*$K177)</f>
        <v/>
      </c>
      <c r="W177" s="1242" t="str">
        <f>IF(OR(W$122="",$I177=""),"",'I. Stream &amp; Compound Data'!AO232/$J177*(1-W$127)*(1-W$123)*$K177)</f>
        <v/>
      </c>
      <c r="X177" s="1242" t="str">
        <f>IF(OR(X$122="",$I177=""),"",'I. Stream &amp; Compound Data'!AR232/$J177*(1-X$127)*(1-X$123)*$K177)</f>
        <v/>
      </c>
      <c r="Y177" s="1242" t="str">
        <f>IF(OR(Y$122="",$I177=""),"",'I. Stream &amp; Compound Data'!AU232/$J177*(1-Y$127)*(1-Y$123)*$K177)</f>
        <v/>
      </c>
      <c r="Z177" s="1242" t="str">
        <f>IF(OR(Z$122="",$I177=""),"",'I. Stream &amp; Compound Data'!AX232/$J177*(1-Z$127)*(1-Z$123)*$K177)</f>
        <v/>
      </c>
      <c r="AA177" s="1242" t="str">
        <f>IF(OR(AA$122="",$I177=""),"",'I. Stream &amp; Compound Data'!BA232/$J177*(1-AA$127)*(1-AA$123)*$K177)</f>
        <v/>
      </c>
      <c r="AB177" s="1242" t="str">
        <f>IF(OR(AB$122="",$I177=""),"",'I. Stream &amp; Compound Data'!BD232/$J177*(1-AB$127)*(1-AB$123)*$K177)</f>
        <v/>
      </c>
      <c r="AC177" s="1242" t="str">
        <f>IF(OR(AC$122="",$I177=""),"",'I. Stream &amp; Compound Data'!BG232/$J177*(1-AC$127)*(1-AC$123)*$K177)</f>
        <v/>
      </c>
      <c r="AD177" s="1242" t="str">
        <f>IF(OR(AD$122="",$I177=""),"",'I. Stream &amp; Compound Data'!BJ232/$J177*(1-AD$127)*(1-AD$123)*$K177)</f>
        <v/>
      </c>
      <c r="AE177" s="1242" t="str">
        <f>IF(OR(AE$122="",$I177=""),"",'I. Stream &amp; Compound Data'!BM232/$J177*(1-AE$127)*(1-AE$123)*$K177)</f>
        <v/>
      </c>
      <c r="AF177" s="1242" t="str">
        <f>IF(OR(AF$122="",$I177=""),"",'I. Stream &amp; Compound Data'!BP232/$J177*(1-AF$127)*(1-AF$123)*$K177)</f>
        <v/>
      </c>
      <c r="AG177" s="1242" t="str">
        <f>IF(OR(AG$122="",$I177=""),"",'I. Stream &amp; Compound Data'!BS232/$J177*(1-AG$127)*(1-AG$123)*$K177)</f>
        <v/>
      </c>
      <c r="AH177" s="1242" t="str">
        <f>IF(OR(AH$122="",$I177=""),"",'I. Stream &amp; Compound Data'!BV232/$J177*(1-AH$127)*(1-AH$123)*$K177)</f>
        <v/>
      </c>
      <c r="AI177" s="1242" t="str">
        <f>IF(OR(AI$122="",$I177=""),"",'I. Stream &amp; Compound Data'!BY232/$J177*(1-AI$127)*(1-AI$123)*$K177)</f>
        <v/>
      </c>
      <c r="AJ177" s="1242" t="str">
        <f>IF(OR(AJ$122="",$I177=""),"",'I. Stream &amp; Compound Data'!CB232/$J177*(1-AJ$127)*(1-AJ$123)*$K177)</f>
        <v/>
      </c>
      <c r="AK177" s="1242" t="str">
        <f>IF(OR(AK$122="",$I177=""),"",'I. Stream &amp; Compound Data'!CE232/$J177*(1-AK$127)*(1-AK$123)*$K177)</f>
        <v/>
      </c>
      <c r="AL177" s="1242" t="str">
        <f>IF(OR(AL$122="",$I177=""),"",'I. Stream &amp; Compound Data'!CH232/$J177*(1-AL$127)*(1-AL$123)*$K177)</f>
        <v/>
      </c>
      <c r="AM177" s="1242" t="str">
        <f>IF(OR(AM$122="",$I177=""),"",'I. Stream &amp; Compound Data'!CK232/$J177*(1-AM$127)*(1-AM$123)*$K177)</f>
        <v/>
      </c>
      <c r="AN177" s="1242" t="str">
        <f>IF(OR(AN$122="",$I177=""),"",'I. Stream &amp; Compound Data'!CN232/$J177*(1-AN$127)*(1-AN$123)*$K177)</f>
        <v/>
      </c>
      <c r="AO177" s="1242" t="str">
        <f>IF(OR(AO$122="",$I177=""),"",'I. Stream &amp; Compound Data'!CQ232/$J177*(1-AO$127)*(1-AO$123)*$K177)</f>
        <v/>
      </c>
      <c r="AP177" s="1242" t="str">
        <f>IF(OR(AP$122="",$I177=""),"",'I. Stream &amp; Compound Data'!CT232/$J177*(1-AP$127)*(1-AP$123)*$K177)</f>
        <v/>
      </c>
      <c r="AQ177" s="1242" t="str">
        <f>IF(OR(AQ$122="",$I177=""),"",'I. Stream &amp; Compound Data'!CW232/$J177*(1-AQ$127)*(1-AQ$123)*$K177)</f>
        <v/>
      </c>
      <c r="AR177" s="1242" t="str">
        <f>IF(OR(AR$122="",$I177=""),"",'I. Stream &amp; Compound Data'!CZ232/$J177*(1-AR$127)*(1-AR$123)*$K177)</f>
        <v/>
      </c>
      <c r="AS177" s="1242" t="str">
        <f>IF(OR(AS$122="",$I177=""),"",'I. Stream &amp; Compound Data'!DC232/$J177*(1-AS$127)*(1-AS$123)*$K177)</f>
        <v/>
      </c>
      <c r="AT177" s="1242" t="str">
        <f>IF(OR(AT$122="",$I177=""),"",'I. Stream &amp; Compound Data'!DF232/$J177*(1-AT$127)*(1-AT$123)*$K177)</f>
        <v/>
      </c>
      <c r="AU177" s="1242" t="str">
        <f>IF(OR(AU$122="",$I177=""),"",'I. Stream &amp; Compound Data'!DI232/$J177*(1-AU$127)*(1-AU$123)*$K177)</f>
        <v/>
      </c>
      <c r="AV177" s="1242" t="str">
        <f>IF(OR(AV$122="",$I177=""),"",'I. Stream &amp; Compound Data'!DL232/$J177*(1-AV$127)*(1-AV$123)*$K177)</f>
        <v/>
      </c>
      <c r="AW177" s="1242" t="str">
        <f>IF(OR(AW$122="",$I177=""),"",'I. Stream &amp; Compound Data'!DO232/$J177*(1-AW$127)*(1-AW$123)*$K177)</f>
        <v/>
      </c>
      <c r="AX177" s="1242" t="str">
        <f>IF(OR(AX$122="",$I177=""),"",'I. Stream &amp; Compound Data'!DR232/$J177*(1-AX$127)*(1-AX$123)*$K177)</f>
        <v/>
      </c>
      <c r="AY177" s="1268" t="str">
        <f>IF(OR(AY$122="",$I177=""),"",'I. Stream &amp; Compound Data'!DU232/$J177*(1-AY$127)*(1-AY$123)*$K177)</f>
        <v/>
      </c>
      <c r="AZ177" s="279"/>
      <c r="BA177" s="279"/>
      <c r="BB177" s="279"/>
      <c r="BC177" s="279"/>
      <c r="BD177" s="279"/>
      <c r="BE177" s="279"/>
      <c r="BF177" s="279"/>
      <c r="BG177" s="279"/>
      <c r="BH177" s="279"/>
      <c r="BI177" s="279"/>
      <c r="BJ177" s="279"/>
      <c r="BK177" s="279"/>
      <c r="BL177" s="279"/>
      <c r="BM177" s="279"/>
      <c r="BN177" s="279"/>
      <c r="BO177" s="279"/>
      <c r="BP177" s="279"/>
      <c r="BQ177" s="279"/>
      <c r="BR177" s="279"/>
      <c r="BS177" s="279"/>
      <c r="BT177" s="279"/>
      <c r="BU177" s="279"/>
      <c r="BV177" s="279"/>
      <c r="BW177" s="279"/>
      <c r="BX177" s="279"/>
      <c r="BY177" s="279"/>
      <c r="BZ177" s="279"/>
      <c r="CA177" s="279"/>
      <c r="CB177" s="279"/>
      <c r="CC177" s="279"/>
      <c r="CD177" s="279"/>
      <c r="CE177" s="279"/>
      <c r="CF177" s="279"/>
      <c r="CG177" s="279"/>
      <c r="CH177" s="279"/>
      <c r="CI177" s="279"/>
      <c r="CJ177" s="279"/>
      <c r="CK177" s="279"/>
      <c r="CL177" s="279"/>
      <c r="CM177" s="279"/>
      <c r="CN177" s="382"/>
    </row>
    <row r="178" ht="15.6" x14ac:dyDescent="0.25">
      <c r="B178" s="361"/>
      <c r="C178" s="279"/>
      <c r="D178" s="280"/>
      <c r="E178" s="287"/>
      <c r="F178" s="287"/>
      <c r="G178" s="287"/>
      <c r="H178" s="1292">
        <f t="shared" si="18"/>
        <v>48</v>
      </c>
      <c r="I178" s="1320" t="str">
        <f>IF('I. Stream &amp; Compound Data'!G309&lt;&gt;"",'I. Stream &amp; Compound Data'!G309,"")</f>
        <v/>
      </c>
      <c r="J178" s="1190" t="str">
        <f>IF('I. Stream &amp; Compound Data'!BH309="","",'I. Stream &amp; Compound Data'!BH309)</f>
        <v/>
      </c>
      <c r="K178" s="1306" t="str">
        <f>IF('I. Stream &amp; Compound Data'!G309="","",IF(OR('I. Stream &amp; Compound Data'!U309=1,'I. Stream &amp; Compound Data'!V309=1,'I. Stream &amp; Compound Data'!AY309&lt;25),0,1))</f>
        <v/>
      </c>
      <c r="L178" s="1242" t="str">
        <f>IF(OR(I178="",L$122=""),"",'I. Stream &amp; Compound Data'!H233/$J178*(1-L$127)*(1-L$123)*$K178)</f>
        <v/>
      </c>
      <c r="M178" s="1242" t="str">
        <f>IF(OR(J178="",M$122=""),"",'I. Stream &amp; Compound Data'!K233/$J178*(1-M$127)*(1-M$123)*$K178)</f>
        <v/>
      </c>
      <c r="N178" s="1242" t="str">
        <f>IF(OR(K178="",N$122=""),"",'I. Stream &amp; Compound Data'!N233/$J178*(1-N$127)*(1-N$123)*$K178)</f>
        <v/>
      </c>
      <c r="O178" s="1242" t="str">
        <f>IF(OR(L178="",O$122=""),"",'I. Stream &amp; Compound Data'!Q233/$J178*(1-O$127)*(1-O$123)*$K178)</f>
        <v/>
      </c>
      <c r="P178" s="1242" t="str">
        <f>IF(OR(M178="",P$122=""),"",'I. Stream &amp; Compound Data'!T233/$J178*(1-P$127)*(1-P$123)*$K178)</f>
        <v/>
      </c>
      <c r="Q178" s="1242" t="str">
        <f>IF(OR(N178="",Q$122=""),"",'I. Stream &amp; Compound Data'!W233/$J178*(1-Q$127)*(1-Q$123)*$K178)</f>
        <v/>
      </c>
      <c r="R178" s="1242" t="str">
        <f>IF(OR(O178="",R$122=""),"",'I. Stream &amp; Compound Data'!Z233/$J178*(1-R$127)*(1-R$123)*$K178)</f>
        <v/>
      </c>
      <c r="S178" s="1242" t="str">
        <f>IF(OR(P178="",S$122=""),"",'I. Stream &amp; Compound Data'!AC233/$J178*(1-S$127)*(1-S$123)*$K178)</f>
        <v/>
      </c>
      <c r="T178" s="1242" t="str">
        <f>IF(OR(Q178="",T$122=""),"",'I. Stream &amp; Compound Data'!AF233/$J178*(1-T$127)*(1-T$123)*$K178)</f>
        <v/>
      </c>
      <c r="U178" s="1242" t="str">
        <f>IF(OR(R178="",U$122=""),"",'I. Stream &amp; Compound Data'!AI233/$J178*(1-U$127)*(1-U$123)*$K178)</f>
        <v/>
      </c>
      <c r="V178" s="1242" t="str">
        <f>IF(OR(V$122="",$I178=""),"",'I. Stream &amp; Compound Data'!AL233/$J178*(1-V$127)*(1-V$123)*$K178)</f>
        <v/>
      </c>
      <c r="W178" s="1242" t="str">
        <f>IF(OR(W$122="",$I178=""),"",'I. Stream &amp; Compound Data'!AO233/$J178*(1-W$127)*(1-W$123)*$K178)</f>
        <v/>
      </c>
      <c r="X178" s="1242" t="str">
        <f>IF(OR(X$122="",$I178=""),"",'I. Stream &amp; Compound Data'!AR233/$J178*(1-X$127)*(1-X$123)*$K178)</f>
        <v/>
      </c>
      <c r="Y178" s="1242" t="str">
        <f>IF(OR(Y$122="",$I178=""),"",'I. Stream &amp; Compound Data'!AU233/$J178*(1-Y$127)*(1-Y$123)*$K178)</f>
        <v/>
      </c>
      <c r="Z178" s="1242" t="str">
        <f>IF(OR(Z$122="",$I178=""),"",'I. Stream &amp; Compound Data'!AX233/$J178*(1-Z$127)*(1-Z$123)*$K178)</f>
        <v/>
      </c>
      <c r="AA178" s="1242" t="str">
        <f>IF(OR(AA$122="",$I178=""),"",'I. Stream &amp; Compound Data'!BA233/$J178*(1-AA$127)*(1-AA$123)*$K178)</f>
        <v/>
      </c>
      <c r="AB178" s="1242" t="str">
        <f>IF(OR(AB$122="",$I178=""),"",'I. Stream &amp; Compound Data'!BD233/$J178*(1-AB$127)*(1-AB$123)*$K178)</f>
        <v/>
      </c>
      <c r="AC178" s="1242" t="str">
        <f>IF(OR(AC$122="",$I178=""),"",'I. Stream &amp; Compound Data'!BG233/$J178*(1-AC$127)*(1-AC$123)*$K178)</f>
        <v/>
      </c>
      <c r="AD178" s="1242" t="str">
        <f>IF(OR(AD$122="",$I178=""),"",'I. Stream &amp; Compound Data'!BJ233/$J178*(1-AD$127)*(1-AD$123)*$K178)</f>
        <v/>
      </c>
      <c r="AE178" s="1242" t="str">
        <f>IF(OR(AE$122="",$I178=""),"",'I. Stream &amp; Compound Data'!BM233/$J178*(1-AE$127)*(1-AE$123)*$K178)</f>
        <v/>
      </c>
      <c r="AF178" s="1242" t="str">
        <f>IF(OR(AF$122="",$I178=""),"",'I. Stream &amp; Compound Data'!BP233/$J178*(1-AF$127)*(1-AF$123)*$K178)</f>
        <v/>
      </c>
      <c r="AG178" s="1242" t="str">
        <f>IF(OR(AG$122="",$I178=""),"",'I. Stream &amp; Compound Data'!BS233/$J178*(1-AG$127)*(1-AG$123)*$K178)</f>
        <v/>
      </c>
      <c r="AH178" s="1242" t="str">
        <f>IF(OR(AH$122="",$I178=""),"",'I. Stream &amp; Compound Data'!BV233/$J178*(1-AH$127)*(1-AH$123)*$K178)</f>
        <v/>
      </c>
      <c r="AI178" s="1242" t="str">
        <f>IF(OR(AI$122="",$I178=""),"",'I. Stream &amp; Compound Data'!BY233/$J178*(1-AI$127)*(1-AI$123)*$K178)</f>
        <v/>
      </c>
      <c r="AJ178" s="1242" t="str">
        <f>IF(OR(AJ$122="",$I178=""),"",'I. Stream &amp; Compound Data'!CB233/$J178*(1-AJ$127)*(1-AJ$123)*$K178)</f>
        <v/>
      </c>
      <c r="AK178" s="1242" t="str">
        <f>IF(OR(AK$122="",$I178=""),"",'I. Stream &amp; Compound Data'!CE233/$J178*(1-AK$127)*(1-AK$123)*$K178)</f>
        <v/>
      </c>
      <c r="AL178" s="1242" t="str">
        <f>IF(OR(AL$122="",$I178=""),"",'I. Stream &amp; Compound Data'!CH233/$J178*(1-AL$127)*(1-AL$123)*$K178)</f>
        <v/>
      </c>
      <c r="AM178" s="1242" t="str">
        <f>IF(OR(AM$122="",$I178=""),"",'I. Stream &amp; Compound Data'!CK233/$J178*(1-AM$127)*(1-AM$123)*$K178)</f>
        <v/>
      </c>
      <c r="AN178" s="1242" t="str">
        <f>IF(OR(AN$122="",$I178=""),"",'I. Stream &amp; Compound Data'!CN233/$J178*(1-AN$127)*(1-AN$123)*$K178)</f>
        <v/>
      </c>
      <c r="AO178" s="1242" t="str">
        <f>IF(OR(AO$122="",$I178=""),"",'I. Stream &amp; Compound Data'!CQ233/$J178*(1-AO$127)*(1-AO$123)*$K178)</f>
        <v/>
      </c>
      <c r="AP178" s="1242" t="str">
        <f>IF(OR(AP$122="",$I178=""),"",'I. Stream &amp; Compound Data'!CT233/$J178*(1-AP$127)*(1-AP$123)*$K178)</f>
        <v/>
      </c>
      <c r="AQ178" s="1242" t="str">
        <f>IF(OR(AQ$122="",$I178=""),"",'I. Stream &amp; Compound Data'!CW233/$J178*(1-AQ$127)*(1-AQ$123)*$K178)</f>
        <v/>
      </c>
      <c r="AR178" s="1242" t="str">
        <f>IF(OR(AR$122="",$I178=""),"",'I. Stream &amp; Compound Data'!CZ233/$J178*(1-AR$127)*(1-AR$123)*$K178)</f>
        <v/>
      </c>
      <c r="AS178" s="1242" t="str">
        <f>IF(OR(AS$122="",$I178=""),"",'I. Stream &amp; Compound Data'!DC233/$J178*(1-AS$127)*(1-AS$123)*$K178)</f>
        <v/>
      </c>
      <c r="AT178" s="1242" t="str">
        <f>IF(OR(AT$122="",$I178=""),"",'I. Stream &amp; Compound Data'!DF233/$J178*(1-AT$127)*(1-AT$123)*$K178)</f>
        <v/>
      </c>
      <c r="AU178" s="1242" t="str">
        <f>IF(OR(AU$122="",$I178=""),"",'I. Stream &amp; Compound Data'!DI233/$J178*(1-AU$127)*(1-AU$123)*$K178)</f>
        <v/>
      </c>
      <c r="AV178" s="1242" t="str">
        <f>IF(OR(AV$122="",$I178=""),"",'I. Stream &amp; Compound Data'!DL233/$J178*(1-AV$127)*(1-AV$123)*$K178)</f>
        <v/>
      </c>
      <c r="AW178" s="1242" t="str">
        <f>IF(OR(AW$122="",$I178=""),"",'I. Stream &amp; Compound Data'!DO233/$J178*(1-AW$127)*(1-AW$123)*$K178)</f>
        <v/>
      </c>
      <c r="AX178" s="1242" t="str">
        <f>IF(OR(AX$122="",$I178=""),"",'I. Stream &amp; Compound Data'!DR233/$J178*(1-AX$127)*(1-AX$123)*$K178)</f>
        <v/>
      </c>
      <c r="AY178" s="1268" t="str">
        <f>IF(OR(AY$122="",$I178=""),"",'I. Stream &amp; Compound Data'!DU233/$J178*(1-AY$127)*(1-AY$123)*$K178)</f>
        <v/>
      </c>
      <c r="AZ178" s="279"/>
      <c r="BA178" s="279"/>
      <c r="BB178" s="279"/>
      <c r="BC178" s="279"/>
      <c r="BD178" s="279"/>
      <c r="BE178" s="279"/>
      <c r="BF178" s="279"/>
      <c r="BG178" s="279"/>
      <c r="BH178" s="279"/>
      <c r="BI178" s="279"/>
      <c r="BJ178" s="279"/>
      <c r="BK178" s="279"/>
      <c r="BL178" s="279"/>
      <c r="BM178" s="279"/>
      <c r="BN178" s="279"/>
      <c r="BO178" s="279"/>
      <c r="BP178" s="279"/>
      <c r="BQ178" s="279"/>
      <c r="BR178" s="279"/>
      <c r="BS178" s="279"/>
      <c r="BT178" s="279"/>
      <c r="BU178" s="279"/>
      <c r="BV178" s="279"/>
      <c r="BW178" s="279"/>
      <c r="BX178" s="279"/>
      <c r="BY178" s="279"/>
      <c r="BZ178" s="279"/>
      <c r="CA178" s="279"/>
      <c r="CB178" s="279"/>
      <c r="CC178" s="279"/>
      <c r="CD178" s="279"/>
      <c r="CE178" s="279"/>
      <c r="CF178" s="279"/>
      <c r="CG178" s="279"/>
      <c r="CH178" s="279"/>
      <c r="CI178" s="279"/>
      <c r="CJ178" s="279"/>
      <c r="CK178" s="279"/>
      <c r="CL178" s="279"/>
      <c r="CM178" s="279"/>
      <c r="CN178" s="382"/>
    </row>
    <row r="179" ht="15.6" x14ac:dyDescent="0.25">
      <c r="B179" s="361"/>
      <c r="C179" s="279"/>
      <c r="D179" s="280"/>
      <c r="E179" s="287"/>
      <c r="F179" s="287"/>
      <c r="G179" s="287"/>
      <c r="H179" s="1292">
        <f t="shared" si="18"/>
        <v>49</v>
      </c>
      <c r="I179" s="1320" t="str">
        <f>IF('I. Stream &amp; Compound Data'!G310&lt;&gt;"",'I. Stream &amp; Compound Data'!G310,"")</f>
        <v/>
      </c>
      <c r="J179" s="1190" t="str">
        <f>IF('I. Stream &amp; Compound Data'!BH310="","",'I. Stream &amp; Compound Data'!BH310)</f>
        <v/>
      </c>
      <c r="K179" s="1306" t="str">
        <f>IF('I. Stream &amp; Compound Data'!G310="","",IF(OR('I. Stream &amp; Compound Data'!U310=1,'I. Stream &amp; Compound Data'!V310=1,'I. Stream &amp; Compound Data'!AY310&lt;25),0,1))</f>
        <v/>
      </c>
      <c r="L179" s="1242" t="str">
        <f>IF(OR(I179="",L$122=""),"",'I. Stream &amp; Compound Data'!H234/$J179*(1-L$127)*(1-L$123)*$K179)</f>
        <v/>
      </c>
      <c r="M179" s="1242" t="str">
        <f>IF(OR(J179="",M$122=""),"",'I. Stream &amp; Compound Data'!K234/$J179*(1-M$127)*(1-M$123)*$K179)</f>
        <v/>
      </c>
      <c r="N179" s="1242" t="str">
        <f>IF(OR(K179="",N$122=""),"",'I. Stream &amp; Compound Data'!N234/$J179*(1-N$127)*(1-N$123)*$K179)</f>
        <v/>
      </c>
      <c r="O179" s="1242" t="str">
        <f>IF(OR(L179="",O$122=""),"",'I. Stream &amp; Compound Data'!Q234/$J179*(1-O$127)*(1-O$123)*$K179)</f>
        <v/>
      </c>
      <c r="P179" s="1242" t="str">
        <f>IF(OR(M179="",P$122=""),"",'I. Stream &amp; Compound Data'!T234/$J179*(1-P$127)*(1-P$123)*$K179)</f>
        <v/>
      </c>
      <c r="Q179" s="1242" t="str">
        <f>IF(OR(N179="",Q$122=""),"",'I. Stream &amp; Compound Data'!W234/$J179*(1-Q$127)*(1-Q$123)*$K179)</f>
        <v/>
      </c>
      <c r="R179" s="1242" t="str">
        <f>IF(OR(O179="",R$122=""),"",'I. Stream &amp; Compound Data'!Z234/$J179*(1-R$127)*(1-R$123)*$K179)</f>
        <v/>
      </c>
      <c r="S179" s="1242" t="str">
        <f>IF(OR(P179="",S$122=""),"",'I. Stream &amp; Compound Data'!AC234/$J179*(1-S$127)*(1-S$123)*$K179)</f>
        <v/>
      </c>
      <c r="T179" s="1242" t="str">
        <f>IF(OR(Q179="",T$122=""),"",'I. Stream &amp; Compound Data'!AF234/$J179*(1-T$127)*(1-T$123)*$K179)</f>
        <v/>
      </c>
      <c r="U179" s="1242" t="str">
        <f>IF(OR(R179="",U$122=""),"",'I. Stream &amp; Compound Data'!AI234/$J179*(1-U$127)*(1-U$123)*$K179)</f>
        <v/>
      </c>
      <c r="V179" s="1242" t="str">
        <f>IF(OR(V$122="",$I179=""),"",'I. Stream &amp; Compound Data'!AL234/$J179*(1-V$127)*(1-V$123)*$K179)</f>
        <v/>
      </c>
      <c r="W179" s="1242" t="str">
        <f>IF(OR(W$122="",$I179=""),"",'I. Stream &amp; Compound Data'!AO234/$J179*(1-W$127)*(1-W$123)*$K179)</f>
        <v/>
      </c>
      <c r="X179" s="1242" t="str">
        <f>IF(OR(X$122="",$I179=""),"",'I. Stream &amp; Compound Data'!AR234/$J179*(1-X$127)*(1-X$123)*$K179)</f>
        <v/>
      </c>
      <c r="Y179" s="1242" t="str">
        <f>IF(OR(Y$122="",$I179=""),"",'I. Stream &amp; Compound Data'!AU234/$J179*(1-Y$127)*(1-Y$123)*$K179)</f>
        <v/>
      </c>
      <c r="Z179" s="1242" t="str">
        <f>IF(OR(Z$122="",$I179=""),"",'I. Stream &amp; Compound Data'!AX234/$J179*(1-Z$127)*(1-Z$123)*$K179)</f>
        <v/>
      </c>
      <c r="AA179" s="1242" t="str">
        <f>IF(OR(AA$122="",$I179=""),"",'I. Stream &amp; Compound Data'!BA234/$J179*(1-AA$127)*(1-AA$123)*$K179)</f>
        <v/>
      </c>
      <c r="AB179" s="1242" t="str">
        <f>IF(OR(AB$122="",$I179=""),"",'I. Stream &amp; Compound Data'!BD234/$J179*(1-AB$127)*(1-AB$123)*$K179)</f>
        <v/>
      </c>
      <c r="AC179" s="1242" t="str">
        <f>IF(OR(AC$122="",$I179=""),"",'I. Stream &amp; Compound Data'!BG234/$J179*(1-AC$127)*(1-AC$123)*$K179)</f>
        <v/>
      </c>
      <c r="AD179" s="1242" t="str">
        <f>IF(OR(AD$122="",$I179=""),"",'I. Stream &amp; Compound Data'!BJ234/$J179*(1-AD$127)*(1-AD$123)*$K179)</f>
        <v/>
      </c>
      <c r="AE179" s="1242" t="str">
        <f>IF(OR(AE$122="",$I179=""),"",'I. Stream &amp; Compound Data'!BM234/$J179*(1-AE$127)*(1-AE$123)*$K179)</f>
        <v/>
      </c>
      <c r="AF179" s="1242" t="str">
        <f>IF(OR(AF$122="",$I179=""),"",'I. Stream &amp; Compound Data'!BP234/$J179*(1-AF$127)*(1-AF$123)*$K179)</f>
        <v/>
      </c>
      <c r="AG179" s="1242" t="str">
        <f>IF(OR(AG$122="",$I179=""),"",'I. Stream &amp; Compound Data'!BS234/$J179*(1-AG$127)*(1-AG$123)*$K179)</f>
        <v/>
      </c>
      <c r="AH179" s="1242" t="str">
        <f>IF(OR(AH$122="",$I179=""),"",'I. Stream &amp; Compound Data'!BV234/$J179*(1-AH$127)*(1-AH$123)*$K179)</f>
        <v/>
      </c>
      <c r="AI179" s="1242" t="str">
        <f>IF(OR(AI$122="",$I179=""),"",'I. Stream &amp; Compound Data'!BY234/$J179*(1-AI$127)*(1-AI$123)*$K179)</f>
        <v/>
      </c>
      <c r="AJ179" s="1242" t="str">
        <f>IF(OR(AJ$122="",$I179=""),"",'I. Stream &amp; Compound Data'!CB234/$J179*(1-AJ$127)*(1-AJ$123)*$K179)</f>
        <v/>
      </c>
      <c r="AK179" s="1242" t="str">
        <f>IF(OR(AK$122="",$I179=""),"",'I. Stream &amp; Compound Data'!CE234/$J179*(1-AK$127)*(1-AK$123)*$K179)</f>
        <v/>
      </c>
      <c r="AL179" s="1242" t="str">
        <f>IF(OR(AL$122="",$I179=""),"",'I. Stream &amp; Compound Data'!CH234/$J179*(1-AL$127)*(1-AL$123)*$K179)</f>
        <v/>
      </c>
      <c r="AM179" s="1242" t="str">
        <f>IF(OR(AM$122="",$I179=""),"",'I. Stream &amp; Compound Data'!CK234/$J179*(1-AM$127)*(1-AM$123)*$K179)</f>
        <v/>
      </c>
      <c r="AN179" s="1242" t="str">
        <f>IF(OR(AN$122="",$I179=""),"",'I. Stream &amp; Compound Data'!CN234/$J179*(1-AN$127)*(1-AN$123)*$K179)</f>
        <v/>
      </c>
      <c r="AO179" s="1242" t="str">
        <f>IF(OR(AO$122="",$I179=""),"",'I. Stream &amp; Compound Data'!CQ234/$J179*(1-AO$127)*(1-AO$123)*$K179)</f>
        <v/>
      </c>
      <c r="AP179" s="1242" t="str">
        <f>IF(OR(AP$122="",$I179=""),"",'I. Stream &amp; Compound Data'!CT234/$J179*(1-AP$127)*(1-AP$123)*$K179)</f>
        <v/>
      </c>
      <c r="AQ179" s="1242" t="str">
        <f>IF(OR(AQ$122="",$I179=""),"",'I. Stream &amp; Compound Data'!CW234/$J179*(1-AQ$127)*(1-AQ$123)*$K179)</f>
        <v/>
      </c>
      <c r="AR179" s="1242" t="str">
        <f>IF(OR(AR$122="",$I179=""),"",'I. Stream &amp; Compound Data'!CZ234/$J179*(1-AR$127)*(1-AR$123)*$K179)</f>
        <v/>
      </c>
      <c r="AS179" s="1242" t="str">
        <f>IF(OR(AS$122="",$I179=""),"",'I. Stream &amp; Compound Data'!DC234/$J179*(1-AS$127)*(1-AS$123)*$K179)</f>
        <v/>
      </c>
      <c r="AT179" s="1242" t="str">
        <f>IF(OR(AT$122="",$I179=""),"",'I. Stream &amp; Compound Data'!DF234/$J179*(1-AT$127)*(1-AT$123)*$K179)</f>
        <v/>
      </c>
      <c r="AU179" s="1242" t="str">
        <f>IF(OR(AU$122="",$I179=""),"",'I. Stream &amp; Compound Data'!DI234/$J179*(1-AU$127)*(1-AU$123)*$K179)</f>
        <v/>
      </c>
      <c r="AV179" s="1242" t="str">
        <f>IF(OR(AV$122="",$I179=""),"",'I. Stream &amp; Compound Data'!DL234/$J179*(1-AV$127)*(1-AV$123)*$K179)</f>
        <v/>
      </c>
      <c r="AW179" s="1242" t="str">
        <f>IF(OR(AW$122="",$I179=""),"",'I. Stream &amp; Compound Data'!DO234/$J179*(1-AW$127)*(1-AW$123)*$K179)</f>
        <v/>
      </c>
      <c r="AX179" s="1242" t="str">
        <f>IF(OR(AX$122="",$I179=""),"",'I. Stream &amp; Compound Data'!DR234/$J179*(1-AX$127)*(1-AX$123)*$K179)</f>
        <v/>
      </c>
      <c r="AY179" s="1268" t="str">
        <f>IF(OR(AY$122="",$I179=""),"",'I. Stream &amp; Compound Data'!DU234/$J179*(1-AY$127)*(1-AY$123)*$K179)</f>
        <v/>
      </c>
      <c r="AZ179" s="279"/>
      <c r="BA179" s="279"/>
      <c r="BB179" s="279"/>
      <c r="BC179" s="279"/>
      <c r="BD179" s="279"/>
      <c r="BE179" s="279"/>
      <c r="BF179" s="279"/>
      <c r="BG179" s="279"/>
      <c r="BH179" s="279"/>
      <c r="BI179" s="279"/>
      <c r="BJ179" s="279"/>
      <c r="BK179" s="279"/>
      <c r="BL179" s="279"/>
      <c r="BM179" s="279"/>
      <c r="BN179" s="279"/>
      <c r="BO179" s="279"/>
      <c r="BP179" s="279"/>
      <c r="BQ179" s="279"/>
      <c r="BR179" s="279"/>
      <c r="BS179" s="279"/>
      <c r="BT179" s="279"/>
      <c r="BU179" s="279"/>
      <c r="BV179" s="279"/>
      <c r="BW179" s="279"/>
      <c r="BX179" s="279"/>
      <c r="BY179" s="279"/>
      <c r="BZ179" s="279"/>
      <c r="CA179" s="279"/>
      <c r="CB179" s="279"/>
      <c r="CC179" s="279"/>
      <c r="CD179" s="279"/>
      <c r="CE179" s="279"/>
      <c r="CF179" s="279"/>
      <c r="CG179" s="279"/>
      <c r="CH179" s="279"/>
      <c r="CI179" s="279"/>
      <c r="CJ179" s="279"/>
      <c r="CK179" s="279"/>
      <c r="CL179" s="279"/>
      <c r="CM179" s="279"/>
      <c r="CN179" s="382"/>
    </row>
    <row r="180" ht="16.2" thickBot="true" x14ac:dyDescent="0.3">
      <c r="B180" s="361"/>
      <c r="C180" s="279"/>
      <c r="D180" s="280"/>
      <c r="E180" s="287"/>
      <c r="F180" s="287"/>
      <c r="G180" s="287"/>
      <c r="H180" s="1292">
        <f t="shared" si="18"/>
        <v>50</v>
      </c>
      <c r="I180" s="1321" t="str">
        <f>IF('I. Stream &amp; Compound Data'!G311&lt;&gt;"",'I. Stream &amp; Compound Data'!G311,"")</f>
        <v/>
      </c>
      <c r="J180" s="1259" t="str">
        <f>IF('I. Stream &amp; Compound Data'!BH311="","",'I. Stream &amp; Compound Data'!BH311)</f>
        <v/>
      </c>
      <c r="K180" s="1210" t="str">
        <f>IF('I. Stream &amp; Compound Data'!G311="","",IF(OR('I. Stream &amp; Compound Data'!U311=1,'I. Stream &amp; Compound Data'!V311=1,'I. Stream &amp; Compound Data'!AY311&lt;25),0,1))</f>
        <v/>
      </c>
      <c r="L180" s="1210" t="str">
        <f>IF(OR(I180="",L$122=""),"",'I. Stream &amp; Compound Data'!H235/$J180*(1-L$127)*(1-L$123)*$K180)</f>
        <v/>
      </c>
      <c r="M180" s="1210" t="str">
        <f>IF(OR(J180="",M$122=""),"",'I. Stream &amp; Compound Data'!K235/$J180*(1-M$127)*(1-M$123)*$K180)</f>
        <v/>
      </c>
      <c r="N180" s="1210" t="str">
        <f>IF(OR(K180="",N$122=""),"",'I. Stream &amp; Compound Data'!N235/$J180*(1-N$127)*(1-N$123)*$K180)</f>
        <v/>
      </c>
      <c r="O180" s="1210" t="str">
        <f>IF(OR(L180="",O$122=""),"",'I. Stream &amp; Compound Data'!Q235/$J180*(1-O$127)*(1-O$123)*$K180)</f>
        <v/>
      </c>
      <c r="P180" s="1210" t="str">
        <f>IF(OR(M180="",P$122=""),"",'I. Stream &amp; Compound Data'!T235/$J180*(1-P$127)*(1-P$123)*$K180)</f>
        <v/>
      </c>
      <c r="Q180" s="1210" t="str">
        <f>IF(OR(N180="",Q$122=""),"",'I. Stream &amp; Compound Data'!W235/$J180*(1-Q$127)*(1-Q$123)*$K180)</f>
        <v/>
      </c>
      <c r="R180" s="1210" t="str">
        <f>IF(OR(O180="",R$122=""),"",'I. Stream &amp; Compound Data'!Z235/$J180*(1-R$127)*(1-R$123)*$K180)</f>
        <v/>
      </c>
      <c r="S180" s="1210" t="str">
        <f>IF(OR(P180="",S$122=""),"",'I. Stream &amp; Compound Data'!AC235/$J180*(1-S$127)*(1-S$123)*$K180)</f>
        <v/>
      </c>
      <c r="T180" s="1210" t="str">
        <f>IF(OR(Q180="",T$122=""),"",'I. Stream &amp; Compound Data'!AF235/$J180*(1-T$127)*(1-T$123)*$K180)</f>
        <v/>
      </c>
      <c r="U180" s="1210" t="str">
        <f>IF(OR(R180="",U$122=""),"",'I. Stream &amp; Compound Data'!AI235/$J180*(1-U$127)*(1-U$123)*$K180)</f>
        <v/>
      </c>
      <c r="V180" s="1210" t="str">
        <f>IF(OR(V$122="",$I180=""),"",'I. Stream &amp; Compound Data'!AL235/$J180*(1-V$127)*(1-V$123)*$K180)</f>
        <v/>
      </c>
      <c r="W180" s="1210" t="str">
        <f>IF(OR(W$122="",$I180=""),"",'I. Stream &amp; Compound Data'!AO235/$J180*(1-W$127)*(1-W$123)*$K180)</f>
        <v/>
      </c>
      <c r="X180" s="1210" t="str">
        <f>IF(OR(X$122="",$I180=""),"",'I. Stream &amp; Compound Data'!AR235/$J180*(1-X$127)*(1-X$123)*$K180)</f>
        <v/>
      </c>
      <c r="Y180" s="1210" t="str">
        <f>IF(OR(Y$122="",$I180=""),"",'I. Stream &amp; Compound Data'!AU235/$J180*(1-Y$127)*(1-Y$123)*$K180)</f>
        <v/>
      </c>
      <c r="Z180" s="1210" t="str">
        <f>IF(OR(Z$122="",$I180=""),"",'I. Stream &amp; Compound Data'!AX235/$J180*(1-Z$127)*(1-Z$123)*$K180)</f>
        <v/>
      </c>
      <c r="AA180" s="1210" t="str">
        <f>IF(OR(AA$122="",$I180=""),"",'I. Stream &amp; Compound Data'!BA235/$J180*(1-AA$127)*(1-AA$123)*$K180)</f>
        <v/>
      </c>
      <c r="AB180" s="1210" t="str">
        <f>IF(OR(AB$122="",$I180=""),"",'I. Stream &amp; Compound Data'!BD235/$J180*(1-AB$127)*(1-AB$123)*$K180)</f>
        <v/>
      </c>
      <c r="AC180" s="1210" t="str">
        <f>IF(OR(AC$122="",$I180=""),"",'I. Stream &amp; Compound Data'!BG235/$J180*(1-AC$127)*(1-AC$123)*$K180)</f>
        <v/>
      </c>
      <c r="AD180" s="1210" t="str">
        <f>IF(OR(AD$122="",$I180=""),"",'I. Stream &amp; Compound Data'!BJ235/$J180*(1-AD$127)*(1-AD$123)*$K180)</f>
        <v/>
      </c>
      <c r="AE180" s="1210" t="str">
        <f>IF(OR(AE$122="",$I180=""),"",'I. Stream &amp; Compound Data'!BM235/$J180*(1-AE$127)*(1-AE$123)*$K180)</f>
        <v/>
      </c>
      <c r="AF180" s="1210" t="str">
        <f>IF(OR(AF$122="",$I180=""),"",'I. Stream &amp; Compound Data'!BP235/$J180*(1-AF$127)*(1-AF$123)*$K180)</f>
        <v/>
      </c>
      <c r="AG180" s="1210" t="str">
        <f>IF(OR(AG$122="",$I180=""),"",'I. Stream &amp; Compound Data'!BS235/$J180*(1-AG$127)*(1-AG$123)*$K180)</f>
        <v/>
      </c>
      <c r="AH180" s="1210" t="str">
        <f>IF(OR(AH$122="",$I180=""),"",'I. Stream &amp; Compound Data'!BV235/$J180*(1-AH$127)*(1-AH$123)*$K180)</f>
        <v/>
      </c>
      <c r="AI180" s="1210" t="str">
        <f>IF(OR(AI$122="",$I180=""),"",'I. Stream &amp; Compound Data'!BY235/$J180*(1-AI$127)*(1-AI$123)*$K180)</f>
        <v/>
      </c>
      <c r="AJ180" s="1210" t="str">
        <f>IF(OR(AJ$122="",$I180=""),"",'I. Stream &amp; Compound Data'!CB235/$J180*(1-AJ$127)*(1-AJ$123)*$K180)</f>
        <v/>
      </c>
      <c r="AK180" s="1210" t="str">
        <f>IF(OR(AK$122="",$I180=""),"",'I. Stream &amp; Compound Data'!CE235/$J180*(1-AK$127)*(1-AK$123)*$K180)</f>
        <v/>
      </c>
      <c r="AL180" s="1210" t="str">
        <f>IF(OR(AL$122="",$I180=""),"",'I. Stream &amp; Compound Data'!CH235/$J180*(1-AL$127)*(1-AL$123)*$K180)</f>
        <v/>
      </c>
      <c r="AM180" s="1210" t="str">
        <f>IF(OR(AM$122="",$I180=""),"",'I. Stream &amp; Compound Data'!CK235/$J180*(1-AM$127)*(1-AM$123)*$K180)</f>
        <v/>
      </c>
      <c r="AN180" s="1210" t="str">
        <f>IF(OR(AN$122="",$I180=""),"",'I. Stream &amp; Compound Data'!CN235/$J180*(1-AN$127)*(1-AN$123)*$K180)</f>
        <v/>
      </c>
      <c r="AO180" s="1210" t="str">
        <f>IF(OR(AO$122="",$I180=""),"",'I. Stream &amp; Compound Data'!CQ235/$J180*(1-AO$127)*(1-AO$123)*$K180)</f>
        <v/>
      </c>
      <c r="AP180" s="1210" t="str">
        <f>IF(OR(AP$122="",$I180=""),"",'I. Stream &amp; Compound Data'!CT235/$J180*(1-AP$127)*(1-AP$123)*$K180)</f>
        <v/>
      </c>
      <c r="AQ180" s="1210" t="str">
        <f>IF(OR(AQ$122="",$I180=""),"",'I. Stream &amp; Compound Data'!CW235/$J180*(1-AQ$127)*(1-AQ$123)*$K180)</f>
        <v/>
      </c>
      <c r="AR180" s="1210" t="str">
        <f>IF(OR(AR$122="",$I180=""),"",'I. Stream &amp; Compound Data'!CZ235/$J180*(1-AR$127)*(1-AR$123)*$K180)</f>
        <v/>
      </c>
      <c r="AS180" s="1210" t="str">
        <f>IF(OR(AS$122="",$I180=""),"",'I. Stream &amp; Compound Data'!DC235/$J180*(1-AS$127)*(1-AS$123)*$K180)</f>
        <v/>
      </c>
      <c r="AT180" s="1210" t="str">
        <f>IF(OR(AT$122="",$I180=""),"",'I. Stream &amp; Compound Data'!DF235/$J180*(1-AT$127)*(1-AT$123)*$K180)</f>
        <v/>
      </c>
      <c r="AU180" s="1210" t="str">
        <f>IF(OR(AU$122="",$I180=""),"",'I. Stream &amp; Compound Data'!DI235/$J180*(1-AU$127)*(1-AU$123)*$K180)</f>
        <v/>
      </c>
      <c r="AV180" s="1210" t="str">
        <f>IF(OR(AV$122="",$I180=""),"",'I. Stream &amp; Compound Data'!DL235/$J180*(1-AV$127)*(1-AV$123)*$K180)</f>
        <v/>
      </c>
      <c r="AW180" s="1210" t="str">
        <f>IF(OR(AW$122="",$I180=""),"",'I. Stream &amp; Compound Data'!DO235/$J180*(1-AW$127)*(1-AW$123)*$K180)</f>
        <v/>
      </c>
      <c r="AX180" s="1210" t="str">
        <f>IF(OR(AX$122="",$I180=""),"",'I. Stream &amp; Compound Data'!DR235/$J180*(1-AX$127)*(1-AX$123)*$K180)</f>
        <v/>
      </c>
      <c r="AY180" s="1270" t="str">
        <f>IF(OR(AY$122="",$I180=""),"",'I. Stream &amp; Compound Data'!DU235/$J180*(1-AY$127)*(1-AY$123)*$K180)</f>
        <v/>
      </c>
      <c r="AZ180" s="279"/>
      <c r="BA180" s="279"/>
      <c r="BB180" s="279"/>
      <c r="BC180" s="279"/>
      <c r="BD180" s="279"/>
      <c r="BE180" s="279"/>
      <c r="BF180" s="279"/>
      <c r="BG180" s="279"/>
      <c r="BH180" s="279"/>
      <c r="BI180" s="279"/>
      <c r="BJ180" s="279"/>
      <c r="BK180" s="279"/>
      <c r="BL180" s="279"/>
      <c r="BM180" s="279"/>
      <c r="BN180" s="279"/>
      <c r="BO180" s="279"/>
      <c r="BP180" s="279"/>
      <c r="BQ180" s="279"/>
      <c r="BR180" s="279"/>
      <c r="BS180" s="279"/>
      <c r="BT180" s="279"/>
      <c r="BU180" s="279"/>
      <c r="BV180" s="279"/>
      <c r="BW180" s="279"/>
      <c r="BX180" s="279"/>
      <c r="BY180" s="279"/>
      <c r="BZ180" s="279"/>
      <c r="CA180" s="279"/>
      <c r="CB180" s="279"/>
      <c r="CC180" s="279"/>
      <c r="CD180" s="279"/>
      <c r="CE180" s="279"/>
      <c r="CF180" s="279"/>
      <c r="CG180" s="279"/>
      <c r="CH180" s="279"/>
      <c r="CI180" s="279"/>
      <c r="CJ180" s="279"/>
      <c r="CK180" s="279"/>
      <c r="CL180" s="279"/>
      <c r="CM180" s="279"/>
      <c r="CN180" s="382"/>
    </row>
    <row r="181" ht="30" x14ac:dyDescent="0.25">
      <c r="B181" s="361"/>
      <c r="C181" s="279"/>
      <c r="D181" s="280"/>
      <c r="E181" s="2058" t="s">
        <v>2391</v>
      </c>
      <c r="F181" s="2059"/>
      <c r="G181" s="1511">
        <f>SUM(L181:AY181)</f>
        <v>0</v>
      </c>
      <c r="H181" s="280"/>
      <c r="I181" s="570"/>
      <c r="J181" s="570"/>
      <c r="K181" s="324" t="s">
        <v>1587</v>
      </c>
      <c r="L181" s="1512">
        <f t="shared" ref="L181:AY181" si="19">IF(L$122="","",SUM(L131:L180))</f>
        <v>0</v>
      </c>
      <c r="M181" s="1512">
        <f t="shared" si="19"/>
        <v>0</v>
      </c>
      <c r="N181" s="1512" t="str">
        <f t="shared" si="19"/>
        <v/>
      </c>
      <c r="O181" s="1512" t="str">
        <f t="shared" si="19"/>
        <v/>
      </c>
      <c r="P181" s="1512" t="str">
        <f t="shared" si="19"/>
        <v/>
      </c>
      <c r="Q181" s="1512">
        <f t="shared" si="19"/>
        <v>0</v>
      </c>
      <c r="R181" s="1512" t="str">
        <f t="shared" si="19"/>
        <v/>
      </c>
      <c r="S181" s="1512" t="str">
        <f t="shared" si="19"/>
        <v/>
      </c>
      <c r="T181" s="1512" t="str">
        <f t="shared" si="19"/>
        <v/>
      </c>
      <c r="U181" s="1512" t="str">
        <f t="shared" si="19"/>
        <v/>
      </c>
      <c r="V181" s="1512" t="str">
        <f t="shared" si="19"/>
        <v/>
      </c>
      <c r="W181" s="1512" t="str">
        <f t="shared" si="19"/>
        <v/>
      </c>
      <c r="X181" s="1512" t="str">
        <f t="shared" si="19"/>
        <v/>
      </c>
      <c r="Y181" s="1512" t="str">
        <f t="shared" si="19"/>
        <v/>
      </c>
      <c r="Z181" s="1512" t="str">
        <f t="shared" si="19"/>
        <v/>
      </c>
      <c r="AA181" s="1512" t="str">
        <f t="shared" si="19"/>
        <v/>
      </c>
      <c r="AB181" s="1512" t="str">
        <f t="shared" si="19"/>
        <v/>
      </c>
      <c r="AC181" s="1512" t="str">
        <f t="shared" si="19"/>
        <v/>
      </c>
      <c r="AD181" s="1512" t="str">
        <f t="shared" si="19"/>
        <v/>
      </c>
      <c r="AE181" s="1512" t="str">
        <f t="shared" si="19"/>
        <v/>
      </c>
      <c r="AF181" s="1512" t="str">
        <f t="shared" si="19"/>
        <v/>
      </c>
      <c r="AG181" s="1512" t="str">
        <f t="shared" si="19"/>
        <v/>
      </c>
      <c r="AH181" s="1512" t="str">
        <f t="shared" si="19"/>
        <v/>
      </c>
      <c r="AI181" s="1512" t="str">
        <f t="shared" si="19"/>
        <v/>
      </c>
      <c r="AJ181" s="1512" t="str">
        <f t="shared" si="19"/>
        <v/>
      </c>
      <c r="AK181" s="1512" t="str">
        <f t="shared" si="19"/>
        <v/>
      </c>
      <c r="AL181" s="1512" t="str">
        <f t="shared" si="19"/>
        <v/>
      </c>
      <c r="AM181" s="1512" t="str">
        <f t="shared" si="19"/>
        <v/>
      </c>
      <c r="AN181" s="1512" t="str">
        <f t="shared" si="19"/>
        <v/>
      </c>
      <c r="AO181" s="1512" t="str">
        <f t="shared" si="19"/>
        <v/>
      </c>
      <c r="AP181" s="1512" t="str">
        <f t="shared" si="19"/>
        <v/>
      </c>
      <c r="AQ181" s="1512" t="str">
        <f t="shared" si="19"/>
        <v/>
      </c>
      <c r="AR181" s="1512" t="str">
        <f t="shared" si="19"/>
        <v/>
      </c>
      <c r="AS181" s="1512" t="str">
        <f t="shared" si="19"/>
        <v/>
      </c>
      <c r="AT181" s="1512" t="str">
        <f t="shared" si="19"/>
        <v/>
      </c>
      <c r="AU181" s="1512" t="str">
        <f t="shared" si="19"/>
        <v/>
      </c>
      <c r="AV181" s="1512" t="str">
        <f t="shared" si="19"/>
        <v/>
      </c>
      <c r="AW181" s="1512" t="str">
        <f t="shared" si="19"/>
        <v/>
      </c>
      <c r="AX181" s="1512" t="str">
        <f t="shared" si="19"/>
        <v/>
      </c>
      <c r="AY181" s="1513" t="str">
        <f t="shared" si="19"/>
        <v/>
      </c>
      <c r="AZ181" s="279"/>
      <c r="BA181" s="279"/>
      <c r="BB181" s="279"/>
      <c r="BC181" s="279"/>
      <c r="BD181" s="279"/>
      <c r="BE181" s="279"/>
      <c r="BF181" s="279"/>
      <c r="BG181" s="279"/>
      <c r="BH181" s="279"/>
      <c r="BI181" s="279"/>
      <c r="BJ181" s="279"/>
      <c r="BK181" s="279"/>
      <c r="BL181" s="279"/>
      <c r="BM181" s="279"/>
      <c r="BN181" s="279"/>
      <c r="BO181" s="279"/>
      <c r="BP181" s="279"/>
      <c r="BQ181" s="279"/>
      <c r="BR181" s="279"/>
      <c r="BS181" s="279"/>
      <c r="BT181" s="279"/>
      <c r="BU181" s="279"/>
      <c r="BV181" s="279"/>
      <c r="BW181" s="279"/>
      <c r="BX181" s="279"/>
      <c r="BY181" s="279"/>
      <c r="BZ181" s="279"/>
      <c r="CA181" s="279"/>
      <c r="CB181" s="279"/>
      <c r="CC181" s="279"/>
      <c r="CD181" s="279"/>
      <c r="CE181" s="279"/>
      <c r="CF181" s="279"/>
      <c r="CG181" s="279"/>
      <c r="CH181" s="279"/>
      <c r="CI181" s="279"/>
      <c r="CJ181" s="279"/>
      <c r="CK181" s="279"/>
      <c r="CL181" s="279"/>
      <c r="CM181" s="279"/>
      <c r="CN181" s="382"/>
    </row>
    <row r="182" ht="30" x14ac:dyDescent="0.25">
      <c r="B182" s="361"/>
      <c r="C182" s="279"/>
      <c r="D182" s="280"/>
      <c r="E182" s="2052" t="s">
        <v>1027</v>
      </c>
      <c r="F182" s="2053"/>
      <c r="G182" s="1393">
        <f>SUMIF(L128:AY128,"=1",L181:AY181)</f>
        <v>0</v>
      </c>
      <c r="H182" s="280"/>
      <c r="I182" s="371"/>
      <c r="J182" s="570"/>
      <c r="K182" s="1194" t="s">
        <v>1588</v>
      </c>
      <c r="L182" s="1242">
        <f t="shared" ref="L182:AY182" si="20">IF(L$122="","",SUMPRODUCT($J131:$J180,L131:L180))</f>
        <v>0</v>
      </c>
      <c r="M182" s="1242">
        <f t="shared" si="20"/>
        <v>0</v>
      </c>
      <c r="N182" s="1242" t="str">
        <f t="shared" si="20"/>
        <v/>
      </c>
      <c r="O182" s="1242" t="str">
        <f t="shared" si="20"/>
        <v/>
      </c>
      <c r="P182" s="1242" t="str">
        <f t="shared" si="20"/>
        <v/>
      </c>
      <c r="Q182" s="1242">
        <f t="shared" si="20"/>
        <v>0</v>
      </c>
      <c r="R182" s="1242" t="str">
        <f t="shared" si="20"/>
        <v/>
      </c>
      <c r="S182" s="1242" t="str">
        <f t="shared" si="20"/>
        <v/>
      </c>
      <c r="T182" s="1242" t="str">
        <f t="shared" si="20"/>
        <v/>
      </c>
      <c r="U182" s="1242" t="str">
        <f t="shared" si="20"/>
        <v/>
      </c>
      <c r="V182" s="1242" t="str">
        <f t="shared" si="20"/>
        <v/>
      </c>
      <c r="W182" s="1242" t="str">
        <f t="shared" si="20"/>
        <v/>
      </c>
      <c r="X182" s="1242" t="str">
        <f t="shared" si="20"/>
        <v/>
      </c>
      <c r="Y182" s="1242" t="str">
        <f t="shared" si="20"/>
        <v/>
      </c>
      <c r="Z182" s="1242" t="str">
        <f t="shared" si="20"/>
        <v/>
      </c>
      <c r="AA182" s="1242" t="str">
        <f t="shared" si="20"/>
        <v/>
      </c>
      <c r="AB182" s="1242" t="str">
        <f t="shared" si="20"/>
        <v/>
      </c>
      <c r="AC182" s="1242" t="str">
        <f t="shared" si="20"/>
        <v/>
      </c>
      <c r="AD182" s="1242" t="str">
        <f t="shared" si="20"/>
        <v/>
      </c>
      <c r="AE182" s="1242" t="str">
        <f t="shared" si="20"/>
        <v/>
      </c>
      <c r="AF182" s="1242" t="str">
        <f t="shared" si="20"/>
        <v/>
      </c>
      <c r="AG182" s="1242" t="str">
        <f t="shared" si="20"/>
        <v/>
      </c>
      <c r="AH182" s="1242" t="str">
        <f t="shared" si="20"/>
        <v/>
      </c>
      <c r="AI182" s="1242" t="str">
        <f t="shared" si="20"/>
        <v/>
      </c>
      <c r="AJ182" s="1242" t="str">
        <f t="shared" si="20"/>
        <v/>
      </c>
      <c r="AK182" s="1242" t="str">
        <f t="shared" si="20"/>
        <v/>
      </c>
      <c r="AL182" s="1242" t="str">
        <f t="shared" si="20"/>
        <v/>
      </c>
      <c r="AM182" s="1242" t="str">
        <f t="shared" si="20"/>
        <v/>
      </c>
      <c r="AN182" s="1242" t="str">
        <f t="shared" si="20"/>
        <v/>
      </c>
      <c r="AO182" s="1242" t="str">
        <f t="shared" si="20"/>
        <v/>
      </c>
      <c r="AP182" s="1242" t="str">
        <f t="shared" si="20"/>
        <v/>
      </c>
      <c r="AQ182" s="1242" t="str">
        <f t="shared" si="20"/>
        <v/>
      </c>
      <c r="AR182" s="1242" t="str">
        <f t="shared" si="20"/>
        <v/>
      </c>
      <c r="AS182" s="1242" t="str">
        <f t="shared" si="20"/>
        <v/>
      </c>
      <c r="AT182" s="1242" t="str">
        <f t="shared" si="20"/>
        <v/>
      </c>
      <c r="AU182" s="1242" t="str">
        <f t="shared" si="20"/>
        <v/>
      </c>
      <c r="AV182" s="1242" t="str">
        <f t="shared" si="20"/>
        <v/>
      </c>
      <c r="AW182" s="1242" t="str">
        <f t="shared" si="20"/>
        <v/>
      </c>
      <c r="AX182" s="1242" t="str">
        <f t="shared" si="20"/>
        <v/>
      </c>
      <c r="AY182" s="1268" t="str">
        <f t="shared" si="20"/>
        <v/>
      </c>
      <c r="AZ182" s="279"/>
      <c r="BA182" s="279"/>
      <c r="BB182" s="279"/>
      <c r="BC182" s="279"/>
      <c r="BD182" s="279"/>
      <c r="BE182" s="279"/>
      <c r="BF182" s="279"/>
      <c r="BG182" s="279"/>
      <c r="BH182" s="279"/>
      <c r="BI182" s="279"/>
      <c r="BJ182" s="279"/>
      <c r="BK182" s="279"/>
      <c r="BL182" s="279"/>
      <c r="BM182" s="279"/>
      <c r="BN182" s="279"/>
      <c r="BO182" s="279"/>
      <c r="BP182" s="279"/>
      <c r="BQ182" s="279"/>
      <c r="BR182" s="279"/>
      <c r="BS182" s="279"/>
      <c r="BT182" s="279"/>
      <c r="BU182" s="279"/>
      <c r="BV182" s="279"/>
      <c r="BW182" s="279"/>
      <c r="BX182" s="279"/>
      <c r="BY182" s="279"/>
      <c r="BZ182" s="279"/>
      <c r="CA182" s="279"/>
      <c r="CB182" s="279"/>
      <c r="CC182" s="279"/>
      <c r="CD182" s="279"/>
      <c r="CE182" s="279"/>
      <c r="CF182" s="279"/>
      <c r="CG182" s="279"/>
      <c r="CH182" s="279"/>
      <c r="CI182" s="279"/>
      <c r="CJ182" s="279"/>
      <c r="CK182" s="279"/>
      <c r="CL182" s="279"/>
      <c r="CM182" s="279"/>
      <c r="CN182" s="382"/>
    </row>
    <row r="183" ht="30" x14ac:dyDescent="0.25">
      <c r="B183" s="361"/>
      <c r="C183" s="279"/>
      <c r="D183" s="280"/>
      <c r="E183" s="2052" t="s">
        <v>2392</v>
      </c>
      <c r="F183" s="2053"/>
      <c r="G183" s="1297">
        <f>SUMIF(L129:AY129,"=1",L181:AY181)</f>
        <v>0</v>
      </c>
      <c r="H183" s="280"/>
      <c r="I183" s="304"/>
      <c r="J183" s="279"/>
      <c r="K183" s="1194" t="s">
        <v>1603</v>
      </c>
      <c r="L183" s="1208">
        <f t="shared" ref="L183:AY183" si="21">IF(L182="","",IF(L129=1,L182,0))</f>
        <v>0</v>
      </c>
      <c r="M183" s="1208">
        <f t="shared" si="21"/>
        <v>0</v>
      </c>
      <c r="N183" s="1208" t="str">
        <f t="shared" si="21"/>
        <v/>
      </c>
      <c r="O183" s="1208" t="str">
        <f t="shared" si="21"/>
        <v/>
      </c>
      <c r="P183" s="1208" t="str">
        <f t="shared" si="21"/>
        <v/>
      </c>
      <c r="Q183" s="1208">
        <f t="shared" si="21"/>
        <v>0</v>
      </c>
      <c r="R183" s="1208" t="str">
        <f t="shared" si="21"/>
        <v/>
      </c>
      <c r="S183" s="1208" t="str">
        <f t="shared" si="21"/>
        <v/>
      </c>
      <c r="T183" s="1208" t="str">
        <f t="shared" si="21"/>
        <v/>
      </c>
      <c r="U183" s="1208" t="str">
        <f t="shared" si="21"/>
        <v/>
      </c>
      <c r="V183" s="1208" t="str">
        <f t="shared" si="21"/>
        <v/>
      </c>
      <c r="W183" s="1208" t="str">
        <f t="shared" si="21"/>
        <v/>
      </c>
      <c r="X183" s="1208" t="str">
        <f t="shared" si="21"/>
        <v/>
      </c>
      <c r="Y183" s="1208" t="str">
        <f t="shared" si="21"/>
        <v/>
      </c>
      <c r="Z183" s="1208" t="str">
        <f t="shared" si="21"/>
        <v/>
      </c>
      <c r="AA183" s="1208" t="str">
        <f t="shared" si="21"/>
        <v/>
      </c>
      <c r="AB183" s="1208" t="str">
        <f t="shared" si="21"/>
        <v/>
      </c>
      <c r="AC183" s="1208" t="str">
        <f t="shared" si="21"/>
        <v/>
      </c>
      <c r="AD183" s="1208" t="str">
        <f t="shared" si="21"/>
        <v/>
      </c>
      <c r="AE183" s="1208" t="str">
        <f t="shared" si="21"/>
        <v/>
      </c>
      <c r="AF183" s="1208" t="str">
        <f t="shared" si="21"/>
        <v/>
      </c>
      <c r="AG183" s="1208" t="str">
        <f t="shared" si="21"/>
        <v/>
      </c>
      <c r="AH183" s="1208" t="str">
        <f t="shared" si="21"/>
        <v/>
      </c>
      <c r="AI183" s="1208" t="str">
        <f t="shared" si="21"/>
        <v/>
      </c>
      <c r="AJ183" s="1208" t="str">
        <f t="shared" si="21"/>
        <v/>
      </c>
      <c r="AK183" s="1208" t="str">
        <f t="shared" si="21"/>
        <v/>
      </c>
      <c r="AL183" s="1208" t="str">
        <f t="shared" si="21"/>
        <v/>
      </c>
      <c r="AM183" s="1208" t="str">
        <f t="shared" si="21"/>
        <v/>
      </c>
      <c r="AN183" s="1208" t="str">
        <f t="shared" si="21"/>
        <v/>
      </c>
      <c r="AO183" s="1208" t="str">
        <f t="shared" si="21"/>
        <v/>
      </c>
      <c r="AP183" s="1208" t="str">
        <f t="shared" si="21"/>
        <v/>
      </c>
      <c r="AQ183" s="1208" t="str">
        <f t="shared" si="21"/>
        <v/>
      </c>
      <c r="AR183" s="1208" t="str">
        <f t="shared" si="21"/>
        <v/>
      </c>
      <c r="AS183" s="1208" t="str">
        <f t="shared" si="21"/>
        <v/>
      </c>
      <c r="AT183" s="1208" t="str">
        <f t="shared" si="21"/>
        <v/>
      </c>
      <c r="AU183" s="1208" t="str">
        <f t="shared" si="21"/>
        <v/>
      </c>
      <c r="AV183" s="1208" t="str">
        <f t="shared" si="21"/>
        <v/>
      </c>
      <c r="AW183" s="1208" t="str">
        <f t="shared" si="21"/>
        <v/>
      </c>
      <c r="AX183" s="1208" t="str">
        <f t="shared" si="21"/>
        <v/>
      </c>
      <c r="AY183" s="1209" t="str">
        <f t="shared" si="21"/>
        <v/>
      </c>
      <c r="AZ183" s="279"/>
      <c r="BA183" s="279"/>
      <c r="BB183" s="279"/>
      <c r="BC183" s="279"/>
      <c r="BD183" s="279"/>
      <c r="BE183" s="279"/>
      <c r="BF183" s="279"/>
      <c r="BG183" s="279"/>
      <c r="BH183" s="279"/>
      <c r="BI183" s="279"/>
      <c r="BJ183" s="279"/>
      <c r="BK183" s="279"/>
      <c r="BL183" s="279"/>
      <c r="BM183" s="279"/>
      <c r="BN183" s="279"/>
      <c r="BO183" s="279"/>
      <c r="BP183" s="279"/>
      <c r="BQ183" s="279"/>
      <c r="BR183" s="279"/>
      <c r="BS183" s="279"/>
      <c r="BT183" s="279"/>
      <c r="BU183" s="279"/>
      <c r="BV183" s="279"/>
      <c r="BW183" s="279"/>
      <c r="BX183" s="279"/>
      <c r="BY183" s="279"/>
      <c r="BZ183" s="279"/>
      <c r="CA183" s="279"/>
      <c r="CB183" s="279"/>
      <c r="CC183" s="279"/>
      <c r="CD183" s="279"/>
      <c r="CE183" s="279"/>
      <c r="CF183" s="279"/>
      <c r="CG183" s="279"/>
      <c r="CH183" s="279"/>
      <c r="CI183" s="279"/>
      <c r="CJ183" s="279"/>
      <c r="CK183" s="279"/>
      <c r="CL183" s="279"/>
      <c r="CM183" s="279"/>
      <c r="CN183" s="382"/>
    </row>
    <row r="184" s="1515" customFormat="true" ht="30.6" thickBot="true" x14ac:dyDescent="0.3">
      <c r="A184"/>
      <c r="B184" s="279"/>
      <c r="C184" s="280"/>
      <c r="D184" s="279"/>
      <c r="E184" s="2056" t="s">
        <v>1604</v>
      </c>
      <c r="F184" s="2057"/>
      <c r="G184" s="1149">
        <f>SUM(L182:AY182)</f>
        <v>0</v>
      </c>
      <c r="H184" s="279"/>
      <c r="I184" s="280"/>
      <c r="J184" s="279"/>
      <c r="K184" s="1147" t="s">
        <v>1605</v>
      </c>
      <c r="L184" s="1514">
        <f t="shared" ref="L184:AY184" si="22">IF(L122="","",IF(AND(L127=1,L123=0),L126,0))</f>
        <v>0</v>
      </c>
      <c r="M184" s="1514">
        <f t="shared" si="22"/>
        <v>0</v>
      </c>
      <c r="N184" s="1514" t="str">
        <f>IF(N122="","",IF(AND(N127=1,N123=0),N126,0))</f>
        <v/>
      </c>
      <c r="O184" s="1514" t="str">
        <f t="shared" si="22"/>
        <v/>
      </c>
      <c r="P184" s="1514" t="str">
        <f t="shared" si="22"/>
        <v/>
      </c>
      <c r="Q184" s="1514">
        <f t="shared" si="22"/>
        <v>0</v>
      </c>
      <c r="R184" s="1514" t="str">
        <f t="shared" si="22"/>
        <v/>
      </c>
      <c r="S184" s="1514" t="str">
        <f t="shared" si="22"/>
        <v/>
      </c>
      <c r="T184" s="1514" t="str">
        <f t="shared" si="22"/>
        <v/>
      </c>
      <c r="U184" s="1514" t="str">
        <f t="shared" si="22"/>
        <v/>
      </c>
      <c r="V184" s="1514" t="str">
        <f t="shared" si="22"/>
        <v/>
      </c>
      <c r="W184" s="1514" t="str">
        <f t="shared" si="22"/>
        <v/>
      </c>
      <c r="X184" s="1514" t="str">
        <f t="shared" si="22"/>
        <v/>
      </c>
      <c r="Y184" s="1514" t="str">
        <f t="shared" si="22"/>
        <v/>
      </c>
      <c r="Z184" s="1514" t="str">
        <f t="shared" si="22"/>
        <v/>
      </c>
      <c r="AA184" s="1514" t="str">
        <f t="shared" si="22"/>
        <v/>
      </c>
      <c r="AB184" s="1514" t="str">
        <f t="shared" si="22"/>
        <v/>
      </c>
      <c r="AC184" s="1514" t="str">
        <f t="shared" si="22"/>
        <v/>
      </c>
      <c r="AD184" s="1514" t="str">
        <f t="shared" si="22"/>
        <v/>
      </c>
      <c r="AE184" s="1514" t="str">
        <f t="shared" si="22"/>
        <v/>
      </c>
      <c r="AF184" s="1514" t="str">
        <f t="shared" si="22"/>
        <v/>
      </c>
      <c r="AG184" s="1514" t="str">
        <f t="shared" si="22"/>
        <v/>
      </c>
      <c r="AH184" s="1514" t="str">
        <f t="shared" si="22"/>
        <v/>
      </c>
      <c r="AI184" s="1514" t="str">
        <f t="shared" si="22"/>
        <v/>
      </c>
      <c r="AJ184" s="1514" t="str">
        <f t="shared" si="22"/>
        <v/>
      </c>
      <c r="AK184" s="1514" t="str">
        <f t="shared" si="22"/>
        <v/>
      </c>
      <c r="AL184" s="1514" t="str">
        <f t="shared" si="22"/>
        <v/>
      </c>
      <c r="AM184" s="1514" t="str">
        <f t="shared" si="22"/>
        <v/>
      </c>
      <c r="AN184" s="1514" t="str">
        <f t="shared" si="22"/>
        <v/>
      </c>
      <c r="AO184" s="1514" t="str">
        <f t="shared" si="22"/>
        <v/>
      </c>
      <c r="AP184" s="1514" t="str">
        <f t="shared" si="22"/>
        <v/>
      </c>
      <c r="AQ184" s="1514" t="str">
        <f t="shared" si="22"/>
        <v/>
      </c>
      <c r="AR184" s="1514" t="str">
        <f t="shared" si="22"/>
        <v/>
      </c>
      <c r="AS184" s="1514" t="str">
        <f t="shared" si="22"/>
        <v/>
      </c>
      <c r="AT184" s="1514" t="str">
        <f t="shared" si="22"/>
        <v/>
      </c>
      <c r="AU184" s="1514" t="str">
        <f t="shared" si="22"/>
        <v/>
      </c>
      <c r="AV184" s="1514" t="str">
        <f t="shared" si="22"/>
        <v/>
      </c>
      <c r="AW184" s="1514" t="str">
        <f t="shared" si="22"/>
        <v/>
      </c>
      <c r="AX184" s="1514" t="str">
        <f t="shared" si="22"/>
        <v/>
      </c>
      <c r="AY184" s="1514" t="str">
        <f t="shared" si="22"/>
        <v/>
      </c>
      <c r="AZ184" s="1146"/>
      <c r="BA184" s="1146"/>
      <c r="BB184" s="1146"/>
      <c r="BC184" s="1146"/>
      <c r="BD184" s="1146"/>
      <c r="BE184" s="1146"/>
      <c r="BF184" s="1146"/>
      <c r="BG184" s="1146"/>
      <c r="BH184" s="1146"/>
      <c r="BI184" s="1146"/>
      <c r="BJ184" s="1146"/>
      <c r="BK184" s="1146"/>
      <c r="BL184" s="1146"/>
      <c r="BM184" s="1146"/>
      <c r="BN184" s="1146"/>
      <c r="BO184" s="1146"/>
      <c r="BP184" s="1146"/>
      <c r="BQ184" s="1146"/>
      <c r="BR184" s="1146"/>
      <c r="BS184" s="1146"/>
      <c r="BT184" s="1146"/>
      <c r="BU184" s="1146"/>
      <c r="BV184" s="1146"/>
      <c r="BW184" s="1146"/>
      <c r="BX184" s="1146"/>
      <c r="BY184" s="1146"/>
      <c r="BZ184" s="1146"/>
      <c r="CA184" s="1146"/>
      <c r="CB184" s="1146"/>
      <c r="CC184" s="1146"/>
      <c r="CD184" s="1146"/>
      <c r="CE184" s="1146"/>
      <c r="CF184" s="1146"/>
      <c r="CG184" s="1146"/>
      <c r="CH184" s="1146"/>
      <c r="CI184" s="1146"/>
      <c r="CJ184" s="1146"/>
      <c r="CK184" s="1146"/>
      <c r="CL184" s="1146"/>
      <c r="CM184" s="1146"/>
      <c r="CN184" s="1148"/>
    </row>
    <row r="185" ht="15.6" x14ac:dyDescent="0.3">
      <c r="B185" s="361"/>
      <c r="C185" s="279"/>
      <c r="D185" s="280"/>
      <c r="E185" s="2052" t="s">
        <v>1603</v>
      </c>
      <c r="F185" s="2053"/>
      <c r="G185" s="1393">
        <f>SUM(L183:AY183)</f>
        <v>0</v>
      </c>
      <c r="H185" s="280"/>
      <c r="I185" s="304"/>
      <c r="J185" s="279"/>
      <c r="K185" s="280"/>
      <c r="L185" s="362"/>
      <c r="M185" s="287"/>
      <c r="N185" s="296"/>
      <c r="O185" s="292"/>
      <c r="P185" s="292"/>
      <c r="Q185" s="279"/>
      <c r="R185" s="297"/>
      <c r="S185" s="298"/>
      <c r="T185" s="298"/>
      <c r="U185" s="299"/>
      <c r="V185" s="279"/>
      <c r="W185" s="279"/>
      <c r="X185" s="279"/>
      <c r="Y185" s="279"/>
      <c r="Z185" s="279"/>
      <c r="AA185" s="279"/>
      <c r="AB185" s="279"/>
      <c r="AC185" s="279"/>
      <c r="AD185" s="279"/>
      <c r="AE185" s="279"/>
      <c r="AF185" s="279"/>
      <c r="AG185" s="279"/>
      <c r="AH185" s="279"/>
      <c r="AI185" s="279"/>
      <c r="AJ185" s="279"/>
      <c r="AK185" s="279"/>
      <c r="AL185" s="279"/>
      <c r="AM185" s="279"/>
      <c r="AN185" s="279"/>
      <c r="AO185" s="279"/>
      <c r="AP185" s="279"/>
      <c r="AQ185" s="279"/>
      <c r="AR185" s="279"/>
      <c r="AS185" s="279"/>
      <c r="AT185" s="279"/>
      <c r="AU185" s="279"/>
      <c r="AV185" s="279"/>
      <c r="AW185" s="279"/>
      <c r="AX185" s="279"/>
      <c r="AY185" s="279"/>
      <c r="AZ185" s="279"/>
      <c r="BA185" s="279"/>
      <c r="BB185" s="279"/>
      <c r="BC185" s="279"/>
      <c r="BD185" s="279"/>
      <c r="BE185" s="279"/>
      <c r="BF185" s="279"/>
      <c r="BG185" s="279"/>
      <c r="BH185" s="279"/>
      <c r="BI185" s="279"/>
      <c r="BJ185" s="279"/>
      <c r="BK185" s="279"/>
      <c r="BL185" s="279"/>
      <c r="BM185" s="279"/>
      <c r="BN185" s="279"/>
      <c r="BO185" s="279"/>
      <c r="BP185" s="279"/>
      <c r="BQ185" s="279"/>
      <c r="BR185" s="279"/>
      <c r="BS185" s="279"/>
      <c r="BT185" s="279"/>
      <c r="BU185" s="279"/>
      <c r="BV185" s="279"/>
      <c r="BW185" s="279"/>
      <c r="BX185" s="279"/>
      <c r="BY185" s="279"/>
      <c r="BZ185" s="279"/>
      <c r="CA185" s="279"/>
      <c r="CB185" s="279"/>
      <c r="CC185" s="279"/>
      <c r="CD185" s="279"/>
      <c r="CE185" s="279"/>
      <c r="CF185" s="279"/>
      <c r="CG185" s="279"/>
      <c r="CH185" s="279"/>
      <c r="CI185" s="279"/>
      <c r="CJ185" s="279"/>
      <c r="CK185" s="279"/>
      <c r="CL185" s="279"/>
      <c r="CM185" s="279"/>
      <c r="CN185" s="382"/>
    </row>
    <row r="186" ht="15.6" x14ac:dyDescent="0.3">
      <c r="B186" s="361"/>
      <c r="C186" s="279"/>
      <c r="D186" s="280"/>
      <c r="E186" s="2060" t="s">
        <v>1606</v>
      </c>
      <c r="F186" s="2061"/>
      <c r="G186" s="1297">
        <f>SUM(L242:AY242)</f>
        <v>1656.8929704280156</v>
      </c>
      <c r="H186" s="280"/>
      <c r="I186" s="304"/>
      <c r="J186" s="279"/>
      <c r="K186" s="280"/>
      <c r="L186" s="362"/>
      <c r="M186" s="287"/>
      <c r="N186" s="296"/>
      <c r="O186" s="292"/>
      <c r="P186" s="292"/>
      <c r="Q186" s="279"/>
      <c r="R186" s="297"/>
      <c r="S186" s="298"/>
      <c r="T186" s="298"/>
      <c r="U186" s="299"/>
      <c r="V186" s="279"/>
      <c r="W186" s="279"/>
      <c r="X186" s="279"/>
      <c r="Y186" s="279"/>
      <c r="Z186" s="279"/>
      <c r="AA186" s="279"/>
      <c r="AB186" s="279"/>
      <c r="AC186" s="279"/>
      <c r="AD186" s="279"/>
      <c r="AE186" s="279"/>
      <c r="AF186" s="279"/>
      <c r="AG186" s="279"/>
      <c r="AH186" s="279"/>
      <c r="AI186" s="279"/>
      <c r="AJ186" s="279"/>
      <c r="AK186" s="279"/>
      <c r="AL186" s="279"/>
      <c r="AM186" s="279"/>
      <c r="AN186" s="279"/>
      <c r="AO186" s="279"/>
      <c r="AP186" s="279"/>
      <c r="AQ186" s="279"/>
      <c r="AR186" s="279"/>
      <c r="AS186" s="279"/>
      <c r="AT186" s="279"/>
      <c r="AU186" s="279"/>
      <c r="AV186" s="279"/>
      <c r="AW186" s="279"/>
      <c r="AX186" s="279"/>
      <c r="AY186" s="279"/>
      <c r="AZ186" s="279"/>
      <c r="BA186" s="279"/>
      <c r="BB186" s="279"/>
      <c r="BC186" s="279"/>
      <c r="BD186" s="279"/>
      <c r="BE186" s="279"/>
      <c r="BF186" s="279"/>
      <c r="BG186" s="279"/>
      <c r="BH186" s="279"/>
      <c r="BI186" s="279"/>
      <c r="BJ186" s="279"/>
      <c r="BK186" s="279"/>
      <c r="BL186" s="279"/>
      <c r="BM186" s="279"/>
      <c r="BN186" s="279"/>
      <c r="BO186" s="279"/>
      <c r="BP186" s="279"/>
      <c r="BQ186" s="279"/>
      <c r="BR186" s="279"/>
      <c r="BS186" s="279"/>
      <c r="BT186" s="279"/>
      <c r="BU186" s="279"/>
      <c r="BV186" s="279"/>
      <c r="BW186" s="279"/>
      <c r="BX186" s="279"/>
      <c r="BY186" s="279"/>
      <c r="BZ186" s="279"/>
      <c r="CA186" s="279"/>
      <c r="CB186" s="279"/>
      <c r="CC186" s="279"/>
      <c r="CD186" s="279"/>
      <c r="CE186" s="279"/>
      <c r="CF186" s="279"/>
      <c r="CG186" s="279"/>
      <c r="CH186" s="279"/>
      <c r="CI186" s="279"/>
      <c r="CJ186" s="279"/>
      <c r="CK186" s="279"/>
      <c r="CL186" s="279"/>
      <c r="CM186" s="279"/>
      <c r="CN186" s="382"/>
    </row>
    <row r="187" ht="16.2" thickBot="true" x14ac:dyDescent="0.35">
      <c r="B187" s="361"/>
      <c r="C187" s="279"/>
      <c r="D187" s="280"/>
      <c r="E187" s="2054" t="s">
        <v>1607</v>
      </c>
      <c r="F187" s="2055"/>
      <c r="G187" s="1398">
        <f>SUM(L184:AY184)</f>
        <v>0</v>
      </c>
      <c r="H187" s="280"/>
      <c r="I187" s="304"/>
      <c r="J187" s="279"/>
      <c r="K187" s="280"/>
      <c r="L187" s="362"/>
      <c r="M187" s="287"/>
      <c r="N187" s="296"/>
      <c r="O187" s="292"/>
      <c r="P187" s="292"/>
      <c r="Q187" s="279"/>
      <c r="R187" s="297"/>
      <c r="S187" s="298"/>
      <c r="T187" s="298"/>
      <c r="U187" s="299"/>
      <c r="V187" s="279"/>
      <c r="W187" s="279"/>
      <c r="X187" s="279"/>
      <c r="Y187" s="279"/>
      <c r="Z187" s="279"/>
      <c r="AA187" s="279"/>
      <c r="AB187" s="279"/>
      <c r="AC187" s="279"/>
      <c r="AD187" s="279"/>
      <c r="AE187" s="279"/>
      <c r="AF187" s="279"/>
      <c r="AG187" s="279"/>
      <c r="AH187" s="279"/>
      <c r="AI187" s="279"/>
      <c r="AJ187" s="279"/>
      <c r="AK187" s="279"/>
      <c r="AL187" s="279"/>
      <c r="AM187" s="279"/>
      <c r="AN187" s="279"/>
      <c r="AO187" s="279"/>
      <c r="AP187" s="279"/>
      <c r="AQ187" s="279"/>
      <c r="AR187" s="279"/>
      <c r="AS187" s="279"/>
      <c r="AT187" s="279"/>
      <c r="AU187" s="279"/>
      <c r="AV187" s="279"/>
      <c r="AW187" s="279"/>
      <c r="AX187" s="279"/>
      <c r="AY187" s="279"/>
      <c r="AZ187" s="279"/>
      <c r="BA187" s="279"/>
      <c r="BB187" s="279"/>
      <c r="BC187" s="279"/>
      <c r="BD187" s="279"/>
      <c r="BE187" s="279"/>
      <c r="BF187" s="279"/>
      <c r="BG187" s="279"/>
      <c r="BH187" s="279"/>
      <c r="BI187" s="279"/>
      <c r="BJ187" s="279"/>
      <c r="BK187" s="279"/>
      <c r="BL187" s="279"/>
      <c r="BM187" s="279"/>
      <c r="BN187" s="279"/>
      <c r="BO187" s="279"/>
      <c r="BP187" s="279"/>
      <c r="BQ187" s="279"/>
      <c r="BR187" s="279"/>
      <c r="BS187" s="279"/>
      <c r="BT187" s="279"/>
      <c r="BU187" s="279"/>
      <c r="BV187" s="279"/>
      <c r="BW187" s="279"/>
      <c r="BX187" s="279"/>
      <c r="BY187" s="279"/>
      <c r="BZ187" s="279"/>
      <c r="CA187" s="279"/>
      <c r="CB187" s="279"/>
      <c r="CC187" s="279"/>
      <c r="CD187" s="279"/>
      <c r="CE187" s="279"/>
      <c r="CF187" s="279"/>
      <c r="CG187" s="279"/>
      <c r="CH187" s="279"/>
      <c r="CI187" s="279"/>
      <c r="CJ187" s="279"/>
      <c r="CK187" s="279"/>
      <c r="CL187" s="279"/>
      <c r="CM187" s="279"/>
      <c r="CN187" s="382"/>
    </row>
    <row r="188" ht="15.6" x14ac:dyDescent="0.3">
      <c r="B188" s="361"/>
      <c r="C188" s="279"/>
      <c r="D188" s="280"/>
      <c r="E188" s="280"/>
      <c r="F188" s="280"/>
      <c r="G188" s="280"/>
      <c r="H188" s="280"/>
      <c r="I188" s="304"/>
      <c r="J188" s="279"/>
      <c r="K188" s="280"/>
      <c r="L188" s="362"/>
      <c r="M188" s="287"/>
      <c r="N188" s="296"/>
      <c r="O188" s="292"/>
      <c r="P188" s="292"/>
      <c r="Q188" s="279"/>
      <c r="R188" s="297"/>
      <c r="S188" s="298"/>
      <c r="T188" s="298"/>
      <c r="U188" s="299"/>
      <c r="V188" s="279"/>
      <c r="W188" s="279"/>
      <c r="X188" s="279"/>
      <c r="Y188" s="279"/>
      <c r="Z188" s="279"/>
      <c r="AA188" s="279"/>
      <c r="AB188" s="279"/>
      <c r="AC188" s="279"/>
      <c r="AD188" s="279"/>
      <c r="AE188" s="279"/>
      <c r="AF188" s="279"/>
      <c r="AG188" s="279"/>
      <c r="AH188" s="279"/>
      <c r="AI188" s="279"/>
      <c r="AJ188" s="279"/>
      <c r="AK188" s="279"/>
      <c r="AL188" s="279"/>
      <c r="AM188" s="279"/>
      <c r="AN188" s="279"/>
      <c r="AO188" s="279"/>
      <c r="AP188" s="279"/>
      <c r="AQ188" s="279"/>
      <c r="AR188" s="279"/>
      <c r="AS188" s="279"/>
      <c r="AT188" s="279"/>
      <c r="AU188" s="279"/>
      <c r="AV188" s="279"/>
      <c r="AW188" s="279"/>
      <c r="AX188" s="279"/>
      <c r="AY188" s="279"/>
      <c r="AZ188" s="279"/>
      <c r="BA188" s="279"/>
      <c r="BB188" s="279"/>
      <c r="BC188" s="279"/>
      <c r="BD188" s="279"/>
      <c r="BE188" s="279"/>
      <c r="BF188" s="279"/>
      <c r="BG188" s="279"/>
      <c r="BH188" s="279"/>
      <c r="BI188" s="279"/>
      <c r="BJ188" s="279"/>
      <c r="BK188" s="279"/>
      <c r="BL188" s="279"/>
      <c r="BM188" s="279"/>
      <c r="BN188" s="279"/>
      <c r="BO188" s="279"/>
      <c r="BP188" s="279"/>
      <c r="BQ188" s="279"/>
      <c r="BR188" s="279"/>
      <c r="BS188" s="279"/>
      <c r="BT188" s="279"/>
      <c r="BU188" s="279"/>
      <c r="BV188" s="279"/>
      <c r="BW188" s="279"/>
      <c r="BX188" s="279"/>
      <c r="BY188" s="279"/>
      <c r="BZ188" s="279"/>
      <c r="CA188" s="279"/>
      <c r="CB188" s="279"/>
      <c r="CC188" s="279"/>
      <c r="CD188" s="279"/>
      <c r="CE188" s="279"/>
      <c r="CF188" s="279"/>
      <c r="CG188" s="279"/>
      <c r="CH188" s="279"/>
      <c r="CI188" s="279"/>
      <c r="CJ188" s="279"/>
      <c r="CK188" s="279"/>
      <c r="CL188" s="279"/>
      <c r="CM188" s="279"/>
      <c r="CN188" s="382"/>
    </row>
    <row r="189" ht="15.6" x14ac:dyDescent="0.3">
      <c r="B189" s="361"/>
      <c r="C189" s="279"/>
      <c r="D189" s="280"/>
      <c r="E189" s="287"/>
      <c r="F189" s="287"/>
      <c r="G189" s="287"/>
      <c r="H189" s="280"/>
      <c r="I189" s="304"/>
      <c r="J189" s="279"/>
      <c r="K189" s="280"/>
      <c r="L189" s="362"/>
      <c r="M189" s="287"/>
      <c r="N189" s="296"/>
      <c r="O189" s="292"/>
      <c r="P189" s="292"/>
      <c r="Q189" s="279"/>
      <c r="R189" s="297"/>
      <c r="S189" s="298"/>
      <c r="T189" s="298"/>
      <c r="U189" s="299"/>
      <c r="V189" s="279"/>
      <c r="W189" s="279"/>
      <c r="X189" s="279"/>
      <c r="Y189" s="279"/>
      <c r="Z189" s="279"/>
      <c r="AA189" s="279"/>
      <c r="AB189" s="279"/>
      <c r="AC189" s="279"/>
      <c r="AD189" s="279"/>
      <c r="AE189" s="279"/>
      <c r="AF189" s="279"/>
      <c r="AG189" s="279"/>
      <c r="AH189" s="279"/>
      <c r="AI189" s="279"/>
      <c r="AJ189" s="279"/>
      <c r="AK189" s="279"/>
      <c r="AL189" s="279"/>
      <c r="AM189" s="279"/>
      <c r="AN189" s="279"/>
      <c r="AO189" s="279"/>
      <c r="AP189" s="279"/>
      <c r="AQ189" s="279"/>
      <c r="AR189" s="279"/>
      <c r="AS189" s="279"/>
      <c r="AT189" s="279"/>
      <c r="AU189" s="279"/>
      <c r="AV189" s="279"/>
      <c r="AW189" s="279"/>
      <c r="AX189" s="279"/>
      <c r="AY189" s="279"/>
      <c r="AZ189" s="279"/>
      <c r="BA189" s="279"/>
      <c r="BB189" s="279"/>
      <c r="BC189" s="279"/>
      <c r="BD189" s="279"/>
      <c r="BE189" s="279"/>
      <c r="BF189" s="279"/>
      <c r="BG189" s="279"/>
      <c r="BH189" s="279"/>
      <c r="BI189" s="279"/>
      <c r="BJ189" s="279"/>
      <c r="BK189" s="279"/>
      <c r="BL189" s="279"/>
      <c r="BM189" s="279"/>
      <c r="BN189" s="279"/>
      <c r="BO189" s="279"/>
      <c r="BP189" s="279"/>
      <c r="BQ189" s="279"/>
      <c r="BR189" s="279"/>
      <c r="BS189" s="279"/>
      <c r="BT189" s="279"/>
      <c r="BU189" s="279"/>
      <c r="BV189" s="279"/>
      <c r="BW189" s="279"/>
      <c r="BX189" s="279"/>
      <c r="BY189" s="279"/>
      <c r="BZ189" s="279"/>
      <c r="CA189" s="279"/>
      <c r="CB189" s="279"/>
      <c r="CC189" s="279"/>
      <c r="CD189" s="279"/>
      <c r="CE189" s="279"/>
      <c r="CF189" s="279"/>
      <c r="CG189" s="279"/>
      <c r="CH189" s="279"/>
      <c r="CI189" s="279"/>
      <c r="CJ189" s="279"/>
      <c r="CK189" s="279"/>
      <c r="CL189" s="279"/>
      <c r="CM189" s="279"/>
      <c r="CN189" s="382"/>
    </row>
    <row r="190" ht="16.2" thickBot="true" x14ac:dyDescent="0.35">
      <c r="B190" s="361"/>
      <c r="C190" s="279"/>
      <c r="D190" s="280"/>
      <c r="E190" s="287"/>
      <c r="F190" s="287"/>
      <c r="G190" s="287"/>
      <c r="H190" s="280"/>
      <c r="I190" s="304"/>
      <c r="J190" s="279"/>
      <c r="K190" s="280"/>
      <c r="L190" s="362"/>
      <c r="M190" s="287"/>
      <c r="N190" s="296"/>
      <c r="O190" s="292"/>
      <c r="P190" s="292"/>
      <c r="Q190" s="279"/>
      <c r="R190" s="297"/>
      <c r="S190" s="298"/>
      <c r="T190" s="298"/>
      <c r="U190" s="299"/>
      <c r="V190" s="279"/>
      <c r="W190" s="279"/>
      <c r="X190" s="279"/>
      <c r="Y190" s="279"/>
      <c r="Z190" s="279"/>
      <c r="AA190" s="279"/>
      <c r="AB190" s="279"/>
      <c r="AC190" s="279"/>
      <c r="AD190" s="279"/>
      <c r="AE190" s="279"/>
      <c r="AF190" s="279"/>
      <c r="AG190" s="279"/>
      <c r="AH190" s="279"/>
      <c r="AI190" s="279"/>
      <c r="AJ190" s="279"/>
      <c r="AK190" s="279"/>
      <c r="AL190" s="279"/>
      <c r="AM190" s="279"/>
      <c r="AN190" s="279"/>
      <c r="AO190" s="279"/>
      <c r="AP190" s="279"/>
      <c r="AQ190" s="279"/>
      <c r="AR190" s="279"/>
      <c r="AS190" s="279"/>
      <c r="AT190" s="279"/>
      <c r="AU190" s="279"/>
      <c r="AV190" s="279"/>
      <c r="AW190" s="279"/>
      <c r="AX190" s="279"/>
      <c r="AY190" s="279"/>
      <c r="AZ190" s="279"/>
      <c r="BA190" s="279"/>
      <c r="BB190" s="279"/>
      <c r="BC190" s="279"/>
      <c r="BD190" s="279"/>
      <c r="BE190" s="279"/>
      <c r="BF190" s="279"/>
      <c r="BG190" s="279"/>
      <c r="BH190" s="279"/>
      <c r="BI190" s="279"/>
      <c r="BJ190" s="279"/>
      <c r="BK190" s="279"/>
      <c r="BL190" s="279"/>
      <c r="BM190" s="279"/>
      <c r="BN190" s="279"/>
      <c r="BO190" s="279"/>
      <c r="BP190" s="279"/>
      <c r="BQ190" s="279"/>
      <c r="BR190" s="279"/>
      <c r="BS190" s="279"/>
      <c r="BT190" s="279"/>
      <c r="BU190" s="279"/>
      <c r="BV190" s="279"/>
      <c r="BW190" s="279"/>
      <c r="BX190" s="279"/>
      <c r="BY190" s="279"/>
      <c r="BZ190" s="279"/>
      <c r="CA190" s="279"/>
      <c r="CB190" s="279"/>
      <c r="CC190" s="279"/>
      <c r="CD190" s="279"/>
      <c r="CE190" s="279"/>
      <c r="CF190" s="279"/>
      <c r="CG190" s="279"/>
      <c r="CH190" s="279"/>
      <c r="CI190" s="279"/>
      <c r="CJ190" s="279"/>
      <c r="CK190" s="279"/>
      <c r="CL190" s="279"/>
      <c r="CM190" s="279"/>
      <c r="CN190" s="382"/>
    </row>
    <row r="191" ht="55.2" x14ac:dyDescent="0.25">
      <c r="B191" s="361"/>
      <c r="C191" s="279"/>
      <c r="D191" s="280"/>
      <c r="E191" s="287"/>
      <c r="F191" s="287"/>
      <c r="G191" s="287"/>
      <c r="H191" s="280"/>
      <c r="I191" s="304"/>
      <c r="J191" s="282" t="s">
        <v>1469</v>
      </c>
      <c r="K191" s="325" t="s">
        <v>1592</v>
      </c>
      <c r="L191" s="267" t="s">
        <v>1589</v>
      </c>
      <c r="M191" s="267" t="s">
        <v>1589</v>
      </c>
      <c r="N191" s="267" t="s">
        <v>1589</v>
      </c>
      <c r="O191" s="267" t="s">
        <v>1589</v>
      </c>
      <c r="P191" s="267" t="s">
        <v>1589</v>
      </c>
      <c r="Q191" s="267" t="s">
        <v>1589</v>
      </c>
      <c r="R191" s="267" t="s">
        <v>1589</v>
      </c>
      <c r="S191" s="267" t="s">
        <v>1589</v>
      </c>
      <c r="T191" s="267" t="s">
        <v>1589</v>
      </c>
      <c r="U191" s="1184" t="s">
        <v>1589</v>
      </c>
      <c r="V191" s="1184" t="s">
        <v>1589</v>
      </c>
      <c r="W191" s="1184" t="s">
        <v>1589</v>
      </c>
      <c r="X191" s="1184" t="s">
        <v>1589</v>
      </c>
      <c r="Y191" s="1184" t="s">
        <v>1589</v>
      </c>
      <c r="Z191" s="1184" t="s">
        <v>1589</v>
      </c>
      <c r="AA191" s="1184" t="s">
        <v>1589</v>
      </c>
      <c r="AB191" s="1184" t="s">
        <v>1589</v>
      </c>
      <c r="AC191" s="1184" t="s">
        <v>1589</v>
      </c>
      <c r="AD191" s="1184" t="s">
        <v>1589</v>
      </c>
      <c r="AE191" s="1184" t="s">
        <v>1589</v>
      </c>
      <c r="AF191" s="1184" t="s">
        <v>1589</v>
      </c>
      <c r="AG191" s="1184" t="s">
        <v>1589</v>
      </c>
      <c r="AH191" s="1184" t="s">
        <v>1589</v>
      </c>
      <c r="AI191" s="1184" t="s">
        <v>1589</v>
      </c>
      <c r="AJ191" s="1184" t="s">
        <v>1589</v>
      </c>
      <c r="AK191" s="1184" t="s">
        <v>1589</v>
      </c>
      <c r="AL191" s="1184" t="s">
        <v>1589</v>
      </c>
      <c r="AM191" s="1184" t="s">
        <v>1589</v>
      </c>
      <c r="AN191" s="1184" t="s">
        <v>1589</v>
      </c>
      <c r="AO191" s="1184" t="s">
        <v>1589</v>
      </c>
      <c r="AP191" s="1184" t="s">
        <v>1589</v>
      </c>
      <c r="AQ191" s="1184" t="s">
        <v>1589</v>
      </c>
      <c r="AR191" s="1184" t="s">
        <v>1589</v>
      </c>
      <c r="AS191" s="1184" t="s">
        <v>1589</v>
      </c>
      <c r="AT191" s="1184" t="s">
        <v>1589</v>
      </c>
      <c r="AU191" s="1184" t="s">
        <v>1589</v>
      </c>
      <c r="AV191" s="1184" t="s">
        <v>1589</v>
      </c>
      <c r="AW191" s="1184" t="s">
        <v>1589</v>
      </c>
      <c r="AX191" s="1184" t="s">
        <v>1589</v>
      </c>
      <c r="AY191" s="309" t="s">
        <v>1589</v>
      </c>
      <c r="AZ191" s="279"/>
      <c r="BA191" s="279"/>
      <c r="BB191" s="279"/>
      <c r="BC191" s="279"/>
      <c r="BD191" s="279"/>
      <c r="BE191" s="279"/>
      <c r="BF191" s="279"/>
      <c r="BG191" s="279"/>
      <c r="BH191" s="279"/>
      <c r="BI191" s="279"/>
      <c r="BJ191" s="279"/>
      <c r="BK191" s="279"/>
      <c r="BL191" s="279"/>
      <c r="BM191" s="279"/>
      <c r="BN191" s="279"/>
      <c r="BO191" s="279"/>
      <c r="BP191" s="279"/>
      <c r="BQ191" s="279"/>
      <c r="BR191" s="279"/>
      <c r="BS191" s="279"/>
      <c r="BT191" s="279"/>
      <c r="BU191" s="279"/>
      <c r="BV191" s="279"/>
      <c r="BW191" s="279"/>
      <c r="BX191" s="279"/>
      <c r="BY191" s="279"/>
      <c r="BZ191" s="279"/>
      <c r="CA191" s="279"/>
      <c r="CB191" s="279"/>
      <c r="CC191" s="279"/>
      <c r="CD191" s="279"/>
      <c r="CE191" s="279"/>
      <c r="CF191" s="279"/>
      <c r="CG191" s="279"/>
      <c r="CH191" s="279"/>
      <c r="CI191" s="279"/>
      <c r="CJ191" s="279"/>
      <c r="CK191" s="279"/>
      <c r="CL191" s="279"/>
      <c r="CM191" s="279"/>
      <c r="CN191" s="382"/>
    </row>
    <row r="192" ht="15.6" x14ac:dyDescent="0.25">
      <c r="B192" s="361"/>
      <c r="C192" s="279"/>
      <c r="D192" s="280"/>
      <c r="E192" s="287"/>
      <c r="F192" s="287"/>
      <c r="G192" s="287"/>
      <c r="H192" s="280"/>
      <c r="I192" s="304"/>
      <c r="J192" s="1292">
        <v>1</v>
      </c>
      <c r="K192" s="1242">
        <f>IF('I. Stream &amp; Compound Data'!G262="","",IF('I. Stream &amp; Compound Data'!V262=1,0,1))</f>
        <v>1</v>
      </c>
      <c r="L192" s="1242">
        <f>IF(OR(L$122="",I131=""),"",'I. Stream &amp; Compound Data'!H186/$J131*(1-L$127)*(1-L$123)*$K192)</f>
        <v>0</v>
      </c>
      <c r="M192" s="1242">
        <f>IF(OR(M$122="",I131=""),"",'I. Stream &amp; Compound Data'!K186/$J131*(1-M$127)*(1-M$123)*$K192)</f>
        <v>1656.8929704280156</v>
      </c>
      <c r="N192" s="1306" t="str">
        <f>IF(OR(N$122="",I131=""),"",'I. Stream &amp; Compound Data'!N186/$J131*(1-N$127)*(1-N$123)*$K192)</f>
        <v/>
      </c>
      <c r="O192" s="1242" t="str">
        <f>IF(OR(O$122="",I131=""),"",'I. Stream &amp; Compound Data'!Q186/$J131*(1-O$127)*(1-O$123)*$K192)</f>
        <v/>
      </c>
      <c r="P192" s="1242" t="str">
        <f>IF(OR(P$122="",I131=""),"",'I. Stream &amp; Compound Data'!T186/$J131*(1-P$127)*(1-P$123)*$K192)</f>
        <v/>
      </c>
      <c r="Q192" s="202">
        <f>IF(OR(Q$122="",I131=""),"",'I. Stream &amp; Compound Data'!W186/$J131*(1-Q$127)*(1-Q$123)*$K192)</f>
        <v>0</v>
      </c>
      <c r="R192" s="1168" t="str">
        <f>IF(OR(R$122="",I131=""),"",'I. Stream &amp; Compound Data'!Z186/$J131*(1-R$127)*(1-R$123)*$K192)</f>
        <v/>
      </c>
      <c r="S192" s="1168" t="str">
        <f>IF(OR(S$122="",I131=""),"",'I. Stream &amp; Compound Data'!AC186/$J131*(1-S$127)*(1-S$123)*$K192)</f>
        <v/>
      </c>
      <c r="T192" s="1168" t="str">
        <f>IF(OR(T$122="",I131=""),"",'I. Stream &amp; Compound Data'!AF186/$J131*(1-T$127)*(1-T$123)*$K192)</f>
        <v/>
      </c>
      <c r="U192" s="1222" t="str">
        <f>IF(OR(U$122="",I131=""),"",'I. Stream &amp; Compound Data'!AI186/$J131*(1-U$127)*(1-U$123)*$K192)</f>
        <v/>
      </c>
      <c r="V192" s="1222" t="str">
        <f>IF(OR(V$122="",I131=""),"",'I. Stream &amp; Compound Data'!AL186/$J131*(1-V$127)*(1-V$123)*$K192)</f>
        <v/>
      </c>
      <c r="W192" s="1222" t="str">
        <f>IF(OR(W$122="",I131=""),"",'I. Stream &amp; Compound Data'!AO186/$J131*(1-W$127)*(1-W$123)*$K192)</f>
        <v/>
      </c>
      <c r="X192" s="1222" t="str">
        <f>IF(OR(X$122="",I131=""),"",'I. Stream &amp; Compound Data'!AR186/$J131*(1-X$127)*(1-X$123)*$K192)</f>
        <v/>
      </c>
      <c r="Y192" s="1222" t="str">
        <f>IF(OR(Y$122="",I131=""),"",'I. Stream &amp; Compound Data'!AU186/$J131*(1-Y$127)*(1-Y$123)*$K192)</f>
        <v/>
      </c>
      <c r="Z192" s="1222" t="str">
        <f>IF(OR(Z$122="",I131=""),"",'I. Stream &amp; Compound Data'!AX186/$J131*(1-Z$127)*(1-Z$123)*$K192)</f>
        <v/>
      </c>
      <c r="AA192" s="1222" t="str">
        <f>IF(OR(AA$122="",I131=""),"",'I. Stream &amp; Compound Data'!BA186/$J131*(1-AA$127)*(1-AA$123)*$K192)</f>
        <v/>
      </c>
      <c r="AB192" s="1222" t="str">
        <f>IF(OR(AB$122="",I131=""),"",'I. Stream &amp; Compound Data'!BD186/$J131*(1-AB$127)*(1-AB$123)*$K192)</f>
        <v/>
      </c>
      <c r="AC192" s="1222" t="str">
        <f>IF(OR(AC$122="",I131=""),"",'I. Stream &amp; Compound Data'!BG186/$J131*(1-AC$127)*(1-AC$123)*$K192)</f>
        <v/>
      </c>
      <c r="AD192" s="1222" t="str">
        <f>IF(OR(AD$122="",I131=""),"",'I. Stream &amp; Compound Data'!BJ186/$J131*(1-AD$127)*(1-AD$123)*$K192)</f>
        <v/>
      </c>
      <c r="AE192" s="1222" t="str">
        <f>IF(OR(AE$122="",I131=""),"",'I. Stream &amp; Compound Data'!BM186/$J131*(1-AE$127)*(1-AE$123)*$K192)</f>
        <v/>
      </c>
      <c r="AF192" s="1222" t="str">
        <f>IF(OR(AF$122="",I131=""),"",'I. Stream &amp; Compound Data'!BP186/$J131*(1-AF$127)*(1-AF$123)*$K192)</f>
        <v/>
      </c>
      <c r="AG192" s="1222" t="str">
        <f>IF(OR(AG$122="",I131=""),"",'I. Stream &amp; Compound Data'!BS186/$J131*(1-AG$127)*(1-AG$123)*$K192)</f>
        <v/>
      </c>
      <c r="AH192" s="1222" t="str">
        <f>IF(OR(AH$122="",I131=""),"",'I. Stream &amp; Compound Data'!BV186/$J131*(1-AH$127)*(1-AH$123)*$K192)</f>
        <v/>
      </c>
      <c r="AI192" s="1222" t="str">
        <f>IF(OR(AI$122="",I131=""),"",'I. Stream &amp; Compound Data'!BY186/$J131*(1-AI$127)*(1-AI$123)*$K192)</f>
        <v/>
      </c>
      <c r="AJ192" s="1222" t="str">
        <f>IF(OR(AJ$122="",I131=""),"",'I. Stream &amp; Compound Data'!CB186/$J131*(1-AJ$127)*(1-AJ$123)*$K192)</f>
        <v/>
      </c>
      <c r="AK192" s="1222" t="str">
        <f>IF(OR(AK$122="",I131=""),"",'I. Stream &amp; Compound Data'!CE186/$J131*(1-AK$127)*(1-AK$123)*$K192)</f>
        <v/>
      </c>
      <c r="AL192" s="1222" t="str">
        <f>IF(OR(AL$122="",I131=""),"",'I. Stream &amp; Compound Data'!CH186/$J131*(1-AL$127)*(1-AL$123)*$K192)</f>
        <v/>
      </c>
      <c r="AM192" s="1222" t="str">
        <f>IF(OR(AM$122="",I131=""),"",'I. Stream &amp; Compound Data'!CK186/$J131*(1-AM$127)*(1-AM$123)*$K192)</f>
        <v/>
      </c>
      <c r="AN192" s="1222" t="str">
        <f>IF(OR(AN$122="",I131=""),"",'I. Stream &amp; Compound Data'!CN186/$J131*(1-AN$127)*(1-AN$123)*$K192)</f>
        <v/>
      </c>
      <c r="AO192" s="1222" t="str">
        <f>IF(OR(AO$122="",I131=""),"",'I. Stream &amp; Compound Data'!CQ186/$J131*(1-AO$127)*(1-AO$123)*$K192)</f>
        <v/>
      </c>
      <c r="AP192" s="1222" t="str">
        <f>IF(OR(AP$122="",I131=""),"",'I. Stream &amp; Compound Data'!CT186/$J131*(1-AP$127)*(1-AP$123)*$K192)</f>
        <v/>
      </c>
      <c r="AQ192" s="1222" t="str">
        <f>IF(OR(AQ$122="",I131=""),"",'I. Stream &amp; Compound Data'!CW186/$J131*(1-AQ$127)*(1-AQ$123)*$K192)</f>
        <v/>
      </c>
      <c r="AR192" s="1222" t="str">
        <f>IF(OR(AR$122="",I131=""),"",'I. Stream &amp; Compound Data'!CZ186/$J131*(1-AR$127)*(1-AR$123)*$K192)</f>
        <v/>
      </c>
      <c r="AS192" s="1222" t="str">
        <f>IF(OR(AS$122="",I131=""),"",'I. Stream &amp; Compound Data'!DC186/$J131*(1-AS$127)*(1-AS$123)*$K192)</f>
        <v/>
      </c>
      <c r="AT192" s="1222" t="str">
        <f>IF(OR(AT$122="",I131=""),"",'I. Stream &amp; Compound Data'!DF186/$J131*(1-AT$127)*(1-AT$123)*$K192)</f>
        <v/>
      </c>
      <c r="AU192" s="1222" t="str">
        <f>IF(OR(AU$122="",I131=""),"",'I. Stream &amp; Compound Data'!DI186/$J131*(1-AU$127)*(1-AU$123)*$K192)</f>
        <v/>
      </c>
      <c r="AV192" s="1222" t="str">
        <f>IF(OR(AV$122="",I131=""),"",'I. Stream &amp; Compound Data'!DL186/$J131*(1-AV$127)*(1-AV$123)*$K192)</f>
        <v/>
      </c>
      <c r="AW192" s="1222" t="str">
        <f>IF(OR(AW$122="",I131=""),"",'I. Stream &amp; Compound Data'!DO186/$J131*(1-AW$127)*(1-AW$123)*$K192)</f>
        <v/>
      </c>
      <c r="AX192" s="1222" t="str">
        <f>IF(OR(AX$122="",I131=""),"",'I. Stream &amp; Compound Data'!DR186/$J131*(1-AX$127)*(1-AX$123)*$K192)</f>
        <v/>
      </c>
      <c r="AY192" s="1516" t="str">
        <f>IF(OR(AY$122="",I131=""),"",'I. Stream &amp; Compound Data'!DU186/$J131*(1-AY$127)*(1-AY$123)*$K192)</f>
        <v/>
      </c>
      <c r="AZ192" s="279"/>
      <c r="BA192" s="279"/>
      <c r="BB192" s="279"/>
      <c r="BC192" s="279"/>
      <c r="BD192" s="279"/>
      <c r="BE192" s="279"/>
      <c r="BF192" s="279"/>
      <c r="BG192" s="279"/>
      <c r="BH192" s="279"/>
      <c r="BI192" s="279"/>
      <c r="BJ192" s="279"/>
      <c r="BK192" s="279"/>
      <c r="BL192" s="279"/>
      <c r="BM192" s="279"/>
      <c r="BN192" s="279"/>
      <c r="BO192" s="279"/>
      <c r="BP192" s="279"/>
      <c r="BQ192" s="279"/>
      <c r="BR192" s="279"/>
      <c r="BS192" s="279"/>
      <c r="BT192" s="279"/>
      <c r="BU192" s="279"/>
      <c r="BV192" s="279"/>
      <c r="BW192" s="279"/>
      <c r="BX192" s="279"/>
      <c r="BY192" s="279"/>
      <c r="BZ192" s="279"/>
      <c r="CA192" s="279"/>
      <c r="CB192" s="279"/>
      <c r="CC192" s="279"/>
      <c r="CD192" s="279"/>
      <c r="CE192" s="279"/>
      <c r="CF192" s="279"/>
      <c r="CG192" s="279"/>
      <c r="CH192" s="279"/>
      <c r="CI192" s="279"/>
      <c r="CJ192" s="279"/>
      <c r="CK192" s="279"/>
      <c r="CL192" s="279"/>
      <c r="CM192" s="279"/>
      <c r="CN192" s="382"/>
    </row>
    <row r="193" ht="15.6" x14ac:dyDescent="0.25">
      <c r="B193" s="361"/>
      <c r="C193" s="279"/>
      <c r="D193" s="280"/>
      <c r="E193" s="287"/>
      <c r="F193" s="287"/>
      <c r="G193" s="287"/>
      <c r="H193" s="280"/>
      <c r="I193" s="304"/>
      <c r="J193" s="1292">
        <f>J192+1</f>
        <v>2</v>
      </c>
      <c r="K193" s="1242">
        <f>IF('I. Stream &amp; Compound Data'!G263="","",IF('I. Stream &amp; Compound Data'!V263=1,0,1))</f>
        <v>1</v>
      </c>
      <c r="L193" s="1242">
        <f>IF(OR(L$122="",I132=""),"",'I. Stream &amp; Compound Data'!H187/$J132*(1-L$127)*(1-L$123)*$K193)</f>
        <v>0</v>
      </c>
      <c r="M193" s="1242">
        <f>IF(OR(M$122="",I132=""),"",'I. Stream &amp; Compound Data'!K187/$J132*(1-M$127)*(1-M$123)*$K193)</f>
        <v>0</v>
      </c>
      <c r="N193" s="1306" t="str">
        <f>IF(OR(N$122="",I132=""),"",'I. Stream &amp; Compound Data'!N187/$J132*(1-N$127)*(1-N$123)*$K193)</f>
        <v/>
      </c>
      <c r="O193" s="1242" t="str">
        <f>IF(OR(O$122="",I132=""),"",'I. Stream &amp; Compound Data'!Q187/$J132*(1-O$127)*(1-O$123)*$K193)</f>
        <v/>
      </c>
      <c r="P193" s="1242" t="str">
        <f>IF(OR(P$122="",I132=""),"",'I. Stream &amp; Compound Data'!T187/$J132*(1-P$127)*(1-P$123)*$K193)</f>
        <v/>
      </c>
      <c r="Q193" s="202">
        <f>IF(OR(Q$122="",I132=""),"",'I. Stream &amp; Compound Data'!W187/$J132*(1-Q$127)*(1-Q$123)*$K193)</f>
        <v>0</v>
      </c>
      <c r="R193" s="1168" t="str">
        <f>IF(OR(R$122="",I132=""),"",'I. Stream &amp; Compound Data'!Z187/$J132*(1-R$127)*(1-R$123)*$K193)</f>
        <v/>
      </c>
      <c r="S193" s="1168" t="str">
        <f>IF(OR(S$122="",I132=""),"",'I. Stream &amp; Compound Data'!AC187/$J132*(1-S$127)*(1-S$123)*$K193)</f>
        <v/>
      </c>
      <c r="T193" s="1168" t="str">
        <f>IF(OR(T$122="",I132=""),"",'I. Stream &amp; Compound Data'!AF187/$J132*(1-T$127)*(1-T$123)*$K193)</f>
        <v/>
      </c>
      <c r="U193" s="1222" t="str">
        <f>IF(OR(U$122="",I132=""),"",'I. Stream &amp; Compound Data'!AI187/$J132*(1-U$127)*(1-U$123)*$K193)</f>
        <v/>
      </c>
      <c r="V193" s="1222" t="str">
        <f>IF(OR(V$122="",I132=""),"",'I. Stream &amp; Compound Data'!AL187/$J132*(1-V$127)*(1-V$123)*$K193)</f>
        <v/>
      </c>
      <c r="W193" s="1222" t="str">
        <f>IF(OR(W$122="",I132=""),"",'I. Stream &amp; Compound Data'!AO187/$J132*(1-W$127)*(1-W$123)*$K193)</f>
        <v/>
      </c>
      <c r="X193" s="1222" t="str">
        <f>IF(OR(X$122="",I132=""),"",'I. Stream &amp; Compound Data'!AR187/$J132*(1-X$127)*(1-X$123)*$K193)</f>
        <v/>
      </c>
      <c r="Y193" s="1222" t="str">
        <f>IF(OR(Y$122="",I132=""),"",'I. Stream &amp; Compound Data'!AU187/$J132*(1-Y$127)*(1-Y$123)*$K193)</f>
        <v/>
      </c>
      <c r="Z193" s="1222" t="str">
        <f>IF(OR(Z$122="",I132=""),"",'I. Stream &amp; Compound Data'!AX187/$J132*(1-Z$127)*(1-Z$123)*$K193)</f>
        <v/>
      </c>
      <c r="AA193" s="1222" t="str">
        <f>IF(OR(AA$122="",I132=""),"",'I. Stream &amp; Compound Data'!BA187/$J132*(1-AA$127)*(1-AA$123)*$K193)</f>
        <v/>
      </c>
      <c r="AB193" s="1222" t="str">
        <f>IF(OR(AB$122="",I132=""),"",'I. Stream &amp; Compound Data'!BD187/$J132*(1-AB$127)*(1-AB$123)*$K193)</f>
        <v/>
      </c>
      <c r="AC193" s="1222" t="str">
        <f>IF(OR(AC$122="",I132=""),"",'I. Stream &amp; Compound Data'!BG187/$J132*(1-AC$127)*(1-AC$123)*$K193)</f>
        <v/>
      </c>
      <c r="AD193" s="1222" t="str">
        <f>IF(OR(AD$122="",I132=""),"",'I. Stream &amp; Compound Data'!BJ187/$J132*(1-AD$127)*(1-AD$123)*$K193)</f>
        <v/>
      </c>
      <c r="AE193" s="1222" t="str">
        <f>IF(OR(AE$122="",I132=""),"",'I. Stream &amp; Compound Data'!BM187/$J132*(1-AE$127)*(1-AE$123)*$K193)</f>
        <v/>
      </c>
      <c r="AF193" s="1222" t="str">
        <f>IF(OR(AF$122="",I132=""),"",'I. Stream &amp; Compound Data'!BP187/$J132*(1-AF$127)*(1-AF$123)*$K193)</f>
        <v/>
      </c>
      <c r="AG193" s="1222" t="str">
        <f>IF(OR(AG$122="",I132=""),"",'I. Stream &amp; Compound Data'!BS187/$J132*(1-AG$127)*(1-AG$123)*$K193)</f>
        <v/>
      </c>
      <c r="AH193" s="1222" t="str">
        <f>IF(OR(AH$122="",I132=""),"",'I. Stream &amp; Compound Data'!BV187/$J132*(1-AH$127)*(1-AH$123)*$K193)</f>
        <v/>
      </c>
      <c r="AI193" s="1222" t="str">
        <f>IF(OR(AI$122="",I132=""),"",'I. Stream &amp; Compound Data'!BY187/$J132*(1-AI$127)*(1-AI$123)*$K193)</f>
        <v/>
      </c>
      <c r="AJ193" s="1222" t="str">
        <f>IF(OR(AJ$122="",I132=""),"",'I. Stream &amp; Compound Data'!CB187/$J132*(1-AJ$127)*(1-AJ$123)*$K193)</f>
        <v/>
      </c>
      <c r="AK193" s="1222" t="str">
        <f>IF(OR(AK$122="",I132=""),"",'I. Stream &amp; Compound Data'!CE187/$J132*(1-AK$127)*(1-AK$123)*$K193)</f>
        <v/>
      </c>
      <c r="AL193" s="1222" t="str">
        <f>IF(OR(AL$122="",I132=""),"",'I. Stream &amp; Compound Data'!CH187/$J132*(1-AL$127)*(1-AL$123)*$K193)</f>
        <v/>
      </c>
      <c r="AM193" s="1222" t="str">
        <f>IF(OR(AM$122="",I132=""),"",'I. Stream &amp; Compound Data'!CK187/$J132*(1-AM$127)*(1-AM$123)*$K193)</f>
        <v/>
      </c>
      <c r="AN193" s="1222" t="str">
        <f>IF(OR(AN$122="",I132=""),"",'I. Stream &amp; Compound Data'!CN187/$J132*(1-AN$127)*(1-AN$123)*$K193)</f>
        <v/>
      </c>
      <c r="AO193" s="1222" t="str">
        <f>IF(OR(AO$122="",I132=""),"",'I. Stream &amp; Compound Data'!CQ187/$J132*(1-AO$127)*(1-AO$123)*$K193)</f>
        <v/>
      </c>
      <c r="AP193" s="1222" t="str">
        <f>IF(OR(AP$122="",I132=""),"",'I. Stream &amp; Compound Data'!CT187/$J132*(1-AP$127)*(1-AP$123)*$K193)</f>
        <v/>
      </c>
      <c r="AQ193" s="1222" t="str">
        <f>IF(OR(AQ$122="",I132=""),"",'I. Stream &amp; Compound Data'!CW187/$J132*(1-AQ$127)*(1-AQ$123)*$K193)</f>
        <v/>
      </c>
      <c r="AR193" s="1222" t="str">
        <f>IF(OR(AR$122="",I132=""),"",'I. Stream &amp; Compound Data'!CZ187/$J132*(1-AR$127)*(1-AR$123)*$K193)</f>
        <v/>
      </c>
      <c r="AS193" s="1222" t="str">
        <f>IF(OR(AS$122="",I132=""),"",'I. Stream &amp; Compound Data'!DC187/$J132*(1-AS$127)*(1-AS$123)*$K193)</f>
        <v/>
      </c>
      <c r="AT193" s="1222" t="str">
        <f>IF(OR(AT$122="",I132=""),"",'I. Stream &amp; Compound Data'!DF187/$J132*(1-AT$127)*(1-AT$123)*$K193)</f>
        <v/>
      </c>
      <c r="AU193" s="1222" t="str">
        <f>IF(OR(AU$122="",I132=""),"",'I. Stream &amp; Compound Data'!DI187/$J132*(1-AU$127)*(1-AU$123)*$K193)</f>
        <v/>
      </c>
      <c r="AV193" s="1222" t="str">
        <f>IF(OR(AV$122="",I132=""),"",'I. Stream &amp; Compound Data'!DL187/$J132*(1-AV$127)*(1-AV$123)*$K193)</f>
        <v/>
      </c>
      <c r="AW193" s="1222" t="str">
        <f>IF(OR(AW$122="",I132=""),"",'I. Stream &amp; Compound Data'!DO187/$J132*(1-AW$127)*(1-AW$123)*$K193)</f>
        <v/>
      </c>
      <c r="AX193" s="1222" t="str">
        <f>IF(OR(AX$122="",I132=""),"",'I. Stream &amp; Compound Data'!DR187/$J132*(1-AX$127)*(1-AX$123)*$K193)</f>
        <v/>
      </c>
      <c r="AY193" s="1516" t="str">
        <f>IF(OR(AY$122="",I132=""),"",'I. Stream &amp; Compound Data'!DU187/$J132*(1-AY$127)*(1-AY$123)*$K193)</f>
        <v/>
      </c>
      <c r="AZ193" s="279"/>
      <c r="BA193" s="279"/>
      <c r="BB193" s="279"/>
      <c r="BC193" s="279"/>
      <c r="BD193" s="279"/>
      <c r="BE193" s="279"/>
      <c r="BF193" s="279"/>
      <c r="BG193" s="279"/>
      <c r="BH193" s="279"/>
      <c r="BI193" s="279"/>
      <c r="BJ193" s="279"/>
      <c r="BK193" s="279"/>
      <c r="BL193" s="279"/>
      <c r="BM193" s="279"/>
      <c r="BN193" s="279"/>
      <c r="BO193" s="279"/>
      <c r="BP193" s="279"/>
      <c r="BQ193" s="279"/>
      <c r="BR193" s="279"/>
      <c r="BS193" s="279"/>
      <c r="BT193" s="279"/>
      <c r="BU193" s="279"/>
      <c r="BV193" s="279"/>
      <c r="BW193" s="279"/>
      <c r="BX193" s="279"/>
      <c r="BY193" s="279"/>
      <c r="BZ193" s="279"/>
      <c r="CA193" s="279"/>
      <c r="CB193" s="279"/>
      <c r="CC193" s="279"/>
      <c r="CD193" s="279"/>
      <c r="CE193" s="279"/>
      <c r="CF193" s="279"/>
      <c r="CG193" s="279"/>
      <c r="CH193" s="279"/>
      <c r="CI193" s="279"/>
      <c r="CJ193" s="279"/>
      <c r="CK193" s="279"/>
      <c r="CL193" s="279"/>
      <c r="CM193" s="279"/>
      <c r="CN193" s="382"/>
    </row>
    <row r="194" ht="15.6" x14ac:dyDescent="0.25">
      <c r="B194" s="361"/>
      <c r="C194" s="279"/>
      <c r="D194" s="280"/>
      <c r="E194" s="287"/>
      <c r="F194" s="287"/>
      <c r="G194" s="287"/>
      <c r="H194" s="280"/>
      <c r="I194" s="304"/>
      <c r="J194" s="1292">
        <f t="shared" ref="J194:J241" si="23">J193+1</f>
        <v>3</v>
      </c>
      <c r="K194" s="1242">
        <f>IF('I. Stream &amp; Compound Data'!G264="","",IF('I. Stream &amp; Compound Data'!V264=1,0,1))</f>
        <v>0</v>
      </c>
      <c r="L194" s="1242">
        <f>IF(OR(L$122="",I133=""),"",'I. Stream &amp; Compound Data'!H188/$J133*(1-L$127)*(1-L$123)*$K194)</f>
        <v>0</v>
      </c>
      <c r="M194" s="1242">
        <f>IF(OR(M$122="",I133=""),"",'I. Stream &amp; Compound Data'!K188/$J133*(1-M$127)*(1-M$123)*$K194)</f>
        <v>0</v>
      </c>
      <c r="N194" s="1306" t="str">
        <f>IF(OR(N$122="",I133=""),"",'I. Stream &amp; Compound Data'!N188/$J133*(1-N$127)*(1-N$123)*$K194)</f>
        <v/>
      </c>
      <c r="O194" s="1242" t="str">
        <f>IF(OR(O$122="",I133=""),"",'I. Stream &amp; Compound Data'!Q188/$J133*(1-O$127)*(1-O$123)*$K194)</f>
        <v/>
      </c>
      <c r="P194" s="1242" t="str">
        <f>IF(OR(P$122="",I133=""),"",'I. Stream &amp; Compound Data'!T188/$J133*(1-P$127)*(1-P$123)*$K194)</f>
        <v/>
      </c>
      <c r="Q194" s="202">
        <f>IF(OR(Q$122="",I133=""),"",'I. Stream &amp; Compound Data'!W188/$J133*(1-Q$127)*(1-Q$123)*$K194)</f>
        <v>0</v>
      </c>
      <c r="R194" s="1168" t="str">
        <f>IF(OR(R$122="",I133=""),"",'I. Stream &amp; Compound Data'!Z188/$J133*(1-R$127)*(1-R$123)*$K194)</f>
        <v/>
      </c>
      <c r="S194" s="1168" t="str">
        <f>IF(OR(S$122="",I133=""),"",'I. Stream &amp; Compound Data'!AC188/$J133*(1-S$127)*(1-S$123)*$K194)</f>
        <v/>
      </c>
      <c r="T194" s="1168" t="str">
        <f>IF(OR(T$122="",I133=""),"",'I. Stream &amp; Compound Data'!AF188/$J133*(1-T$127)*(1-T$123)*$K194)</f>
        <v/>
      </c>
      <c r="U194" s="1222" t="str">
        <f>IF(OR(U$122="",I133=""),"",'I. Stream &amp; Compound Data'!AI188/$J133*(1-U$127)*(1-U$123)*$K194)</f>
        <v/>
      </c>
      <c r="V194" s="1222" t="str">
        <f>IF(OR(V$122="",I133=""),"",'I. Stream &amp; Compound Data'!AL188/$J133*(1-V$127)*(1-V$123)*$K194)</f>
        <v/>
      </c>
      <c r="W194" s="1222" t="str">
        <f>IF(OR(W$122="",I133=""),"",'I. Stream &amp; Compound Data'!AO188/$J133*(1-W$127)*(1-W$123)*$K194)</f>
        <v/>
      </c>
      <c r="X194" s="1222" t="str">
        <f>IF(OR(X$122="",I133=""),"",'I. Stream &amp; Compound Data'!AR188/$J133*(1-X$127)*(1-X$123)*$K194)</f>
        <v/>
      </c>
      <c r="Y194" s="1222" t="str">
        <f>IF(OR(Y$122="",I133=""),"",'I. Stream &amp; Compound Data'!AU188/$J133*(1-Y$127)*(1-Y$123)*$K194)</f>
        <v/>
      </c>
      <c r="Z194" s="1222" t="str">
        <f>IF(OR(Z$122="",I133=""),"",'I. Stream &amp; Compound Data'!AX188/$J133*(1-Z$127)*(1-Z$123)*$K194)</f>
        <v/>
      </c>
      <c r="AA194" s="1222" t="str">
        <f>IF(OR(AA$122="",I133=""),"",'I. Stream &amp; Compound Data'!BA188/$J133*(1-AA$127)*(1-AA$123)*$K194)</f>
        <v/>
      </c>
      <c r="AB194" s="1222" t="str">
        <f>IF(OR(AB$122="",I133=""),"",'I. Stream &amp; Compound Data'!BD188/$J133*(1-AB$127)*(1-AB$123)*$K194)</f>
        <v/>
      </c>
      <c r="AC194" s="1222" t="str">
        <f>IF(OR(AC$122="",I133=""),"",'I. Stream &amp; Compound Data'!BG188/$J133*(1-AC$127)*(1-AC$123)*$K194)</f>
        <v/>
      </c>
      <c r="AD194" s="1222" t="str">
        <f>IF(OR(AD$122="",I133=""),"",'I. Stream &amp; Compound Data'!BJ188/$J133*(1-AD$127)*(1-AD$123)*$K194)</f>
        <v/>
      </c>
      <c r="AE194" s="1222" t="str">
        <f>IF(OR(AE$122="",I133=""),"",'I. Stream &amp; Compound Data'!BM188/$J133*(1-AE$127)*(1-AE$123)*$K194)</f>
        <v/>
      </c>
      <c r="AF194" s="1222" t="str">
        <f>IF(OR(AF$122="",I133=""),"",'I. Stream &amp; Compound Data'!BP188/$J133*(1-AF$127)*(1-AF$123)*$K194)</f>
        <v/>
      </c>
      <c r="AG194" s="1222" t="str">
        <f>IF(OR(AG$122="",I133=""),"",'I. Stream &amp; Compound Data'!BS188/$J133*(1-AG$127)*(1-AG$123)*$K194)</f>
        <v/>
      </c>
      <c r="AH194" s="1222" t="str">
        <f>IF(OR(AH$122="",I133=""),"",'I. Stream &amp; Compound Data'!BV188/$J133*(1-AH$127)*(1-AH$123)*$K194)</f>
        <v/>
      </c>
      <c r="AI194" s="1222" t="str">
        <f>IF(OR(AI$122="",I133=""),"",'I. Stream &amp; Compound Data'!BY188/$J133*(1-AI$127)*(1-AI$123)*$K194)</f>
        <v/>
      </c>
      <c r="AJ194" s="1222" t="str">
        <f>IF(OR(AJ$122="",I133=""),"",'I. Stream &amp; Compound Data'!CB188/$J133*(1-AJ$127)*(1-AJ$123)*$K194)</f>
        <v/>
      </c>
      <c r="AK194" s="1222" t="str">
        <f>IF(OR(AK$122="",I133=""),"",'I. Stream &amp; Compound Data'!CE188/$J133*(1-AK$127)*(1-AK$123)*$K194)</f>
        <v/>
      </c>
      <c r="AL194" s="1222" t="str">
        <f>IF(OR(AL$122="",I133=""),"",'I. Stream &amp; Compound Data'!CH188/$J133*(1-AL$127)*(1-AL$123)*$K194)</f>
        <v/>
      </c>
      <c r="AM194" s="1222" t="str">
        <f>IF(OR(AM$122="",I133=""),"",'I. Stream &amp; Compound Data'!CK188/$J133*(1-AM$127)*(1-AM$123)*$K194)</f>
        <v/>
      </c>
      <c r="AN194" s="1222" t="str">
        <f>IF(OR(AN$122="",I133=""),"",'I. Stream &amp; Compound Data'!CN188/$J133*(1-AN$127)*(1-AN$123)*$K194)</f>
        <v/>
      </c>
      <c r="AO194" s="1222" t="str">
        <f>IF(OR(AO$122="",I133=""),"",'I. Stream &amp; Compound Data'!CQ188/$J133*(1-AO$127)*(1-AO$123)*$K194)</f>
        <v/>
      </c>
      <c r="AP194" s="1222" t="str">
        <f>IF(OR(AP$122="",I133=""),"",'I. Stream &amp; Compound Data'!CT188/$J133*(1-AP$127)*(1-AP$123)*$K194)</f>
        <v/>
      </c>
      <c r="AQ194" s="1222" t="str">
        <f>IF(OR(AQ$122="",I133=""),"",'I. Stream &amp; Compound Data'!CW188/$J133*(1-AQ$127)*(1-AQ$123)*$K194)</f>
        <v/>
      </c>
      <c r="AR194" s="1222" t="str">
        <f>IF(OR(AR$122="",I133=""),"",'I. Stream &amp; Compound Data'!CZ188/$J133*(1-AR$127)*(1-AR$123)*$K194)</f>
        <v/>
      </c>
      <c r="AS194" s="1222" t="str">
        <f>IF(OR(AS$122="",I133=""),"",'I. Stream &amp; Compound Data'!DC188/$J133*(1-AS$127)*(1-AS$123)*$K194)</f>
        <v/>
      </c>
      <c r="AT194" s="1222" t="str">
        <f>IF(OR(AT$122="",I133=""),"",'I. Stream &amp; Compound Data'!DF188/$J133*(1-AT$127)*(1-AT$123)*$K194)</f>
        <v/>
      </c>
      <c r="AU194" s="1222" t="str">
        <f>IF(OR(AU$122="",I133=""),"",'I. Stream &amp; Compound Data'!DI188/$J133*(1-AU$127)*(1-AU$123)*$K194)</f>
        <v/>
      </c>
      <c r="AV194" s="1222" t="str">
        <f>IF(OR(AV$122="",I133=""),"",'I. Stream &amp; Compound Data'!DL188/$J133*(1-AV$127)*(1-AV$123)*$K194)</f>
        <v/>
      </c>
      <c r="AW194" s="1222" t="str">
        <f>IF(OR(AW$122="",I133=""),"",'I. Stream &amp; Compound Data'!DO188/$J133*(1-AW$127)*(1-AW$123)*$K194)</f>
        <v/>
      </c>
      <c r="AX194" s="1222" t="str">
        <f>IF(OR(AX$122="",I133=""),"",'I. Stream &amp; Compound Data'!DR188/$J133*(1-AX$127)*(1-AX$123)*$K194)</f>
        <v/>
      </c>
      <c r="AY194" s="1516" t="str">
        <f>IF(OR(AY$122="",I133=""),"",'I. Stream &amp; Compound Data'!DU188/$J133*(1-AY$127)*(1-AY$123)*$K194)</f>
        <v/>
      </c>
      <c r="AZ194" s="279"/>
      <c r="BA194" s="279"/>
      <c r="BB194" s="279"/>
      <c r="BC194" s="279"/>
      <c r="BD194" s="279"/>
      <c r="BE194" s="279"/>
      <c r="BF194" s="279"/>
      <c r="BG194" s="279"/>
      <c r="BH194" s="279"/>
      <c r="BI194" s="279"/>
      <c r="BJ194" s="279"/>
      <c r="BK194" s="279"/>
      <c r="BL194" s="279"/>
      <c r="BM194" s="279"/>
      <c r="BN194" s="279"/>
      <c r="BO194" s="279"/>
      <c r="BP194" s="279"/>
      <c r="BQ194" s="279"/>
      <c r="BR194" s="279"/>
      <c r="BS194" s="279"/>
      <c r="BT194" s="279"/>
      <c r="BU194" s="279"/>
      <c r="BV194" s="279"/>
      <c r="BW194" s="279"/>
      <c r="BX194" s="279"/>
      <c r="BY194" s="279"/>
      <c r="BZ194" s="279"/>
      <c r="CA194" s="279"/>
      <c r="CB194" s="279"/>
      <c r="CC194" s="279"/>
      <c r="CD194" s="279"/>
      <c r="CE194" s="279"/>
      <c r="CF194" s="279"/>
      <c r="CG194" s="279"/>
      <c r="CH194" s="279"/>
      <c r="CI194" s="279"/>
      <c r="CJ194" s="279"/>
      <c r="CK194" s="279"/>
      <c r="CL194" s="279"/>
      <c r="CM194" s="279"/>
      <c r="CN194" s="382"/>
    </row>
    <row r="195" ht="15.6" x14ac:dyDescent="0.25">
      <c r="B195" s="361"/>
      <c r="C195" s="279"/>
      <c r="D195" s="280"/>
      <c r="E195" s="287"/>
      <c r="F195" s="287"/>
      <c r="G195" s="287"/>
      <c r="H195" s="280"/>
      <c r="I195" s="304"/>
      <c r="J195" s="1292">
        <f t="shared" si="23"/>
        <v>4</v>
      </c>
      <c r="K195" s="1242">
        <f>IF('I. Stream &amp; Compound Data'!G265="","",IF('I. Stream &amp; Compound Data'!V265=1,0,1))</f>
        <v>0</v>
      </c>
      <c r="L195" s="1242">
        <f>IF(OR(L$122="",I134=""),"",'I. Stream &amp; Compound Data'!H189/$J134*(1-L$127)*(1-L$123)*$K195)</f>
        <v>0</v>
      </c>
      <c r="M195" s="1242">
        <f>IF(OR(M$122="",I134=""),"",'I. Stream &amp; Compound Data'!K189/$J134*(1-M$127)*(1-M$123)*$K195)</f>
        <v>0</v>
      </c>
      <c r="N195" s="1306" t="str">
        <f>IF(OR(N$122="",I134=""),"",'I. Stream &amp; Compound Data'!N189/$J134*(1-N$127)*(1-N$123)*$K195)</f>
        <v/>
      </c>
      <c r="O195" s="1242" t="str">
        <f>IF(OR(O$122="",I134=""),"",'I. Stream &amp; Compound Data'!Q189/$J134*(1-O$127)*(1-O$123)*$K195)</f>
        <v/>
      </c>
      <c r="P195" s="1242" t="str">
        <f>IF(OR(P$122="",I134=""),"",'I. Stream &amp; Compound Data'!T189/$J134*(1-P$127)*(1-P$123)*$K195)</f>
        <v/>
      </c>
      <c r="Q195" s="202">
        <f>IF(OR(Q$122="",I134=""),"",'I. Stream &amp; Compound Data'!W189/$J134*(1-Q$127)*(1-Q$123)*$K195)</f>
        <v>0</v>
      </c>
      <c r="R195" s="1168" t="str">
        <f>IF(OR(R$122="",I134=""),"",'I. Stream &amp; Compound Data'!Z189/$J134*(1-R$127)*(1-R$123)*$K195)</f>
        <v/>
      </c>
      <c r="S195" s="1168" t="str">
        <f>IF(OR(S$122="",I134=""),"",'I. Stream &amp; Compound Data'!AC189/$J134*(1-S$127)*(1-S$123)*$K195)</f>
        <v/>
      </c>
      <c r="T195" s="1168" t="str">
        <f>IF(OR(T$122="",I134=""),"",'I. Stream &amp; Compound Data'!AF189/$J134*(1-T$127)*(1-T$123)*$K195)</f>
        <v/>
      </c>
      <c r="U195" s="1222" t="str">
        <f>IF(OR(U$122="",I134=""),"",'I. Stream &amp; Compound Data'!AI189/$J134*(1-U$127)*(1-U$123)*$K195)</f>
        <v/>
      </c>
      <c r="V195" s="1222" t="str">
        <f>IF(OR(V$122="",I134=""),"",'I. Stream &amp; Compound Data'!AL189/$J134*(1-V$127)*(1-V$123)*$K195)</f>
        <v/>
      </c>
      <c r="W195" s="1222" t="str">
        <f>IF(OR(W$122="",I134=""),"",'I. Stream &amp; Compound Data'!AO189/$J134*(1-W$127)*(1-W$123)*$K195)</f>
        <v/>
      </c>
      <c r="X195" s="1222" t="str">
        <f>IF(OR(X$122="",I134=""),"",'I. Stream &amp; Compound Data'!AR189/$J134*(1-X$127)*(1-X$123)*$K195)</f>
        <v/>
      </c>
      <c r="Y195" s="1222" t="str">
        <f>IF(OR(Y$122="",I134=""),"",'I. Stream &amp; Compound Data'!AU189/$J134*(1-Y$127)*(1-Y$123)*$K195)</f>
        <v/>
      </c>
      <c r="Z195" s="1222" t="str">
        <f>IF(OR(Z$122="",I134=""),"",'I. Stream &amp; Compound Data'!AX189/$J134*(1-Z$127)*(1-Z$123)*$K195)</f>
        <v/>
      </c>
      <c r="AA195" s="1222" t="str">
        <f>IF(OR(AA$122="",I134=""),"",'I. Stream &amp; Compound Data'!BA189/$J134*(1-AA$127)*(1-AA$123)*$K195)</f>
        <v/>
      </c>
      <c r="AB195" s="1222" t="str">
        <f>IF(OR(AB$122="",I134=""),"",'I. Stream &amp; Compound Data'!BD189/$J134*(1-AB$127)*(1-AB$123)*$K195)</f>
        <v/>
      </c>
      <c r="AC195" s="1222" t="str">
        <f>IF(OR(AC$122="",I134=""),"",'I. Stream &amp; Compound Data'!BG189/$J134*(1-AC$127)*(1-AC$123)*$K195)</f>
        <v/>
      </c>
      <c r="AD195" s="1222" t="str">
        <f>IF(OR(AD$122="",I134=""),"",'I. Stream &amp; Compound Data'!BJ189/$J134*(1-AD$127)*(1-AD$123)*$K195)</f>
        <v/>
      </c>
      <c r="AE195" s="1222" t="str">
        <f>IF(OR(AE$122="",I134=""),"",'I. Stream &amp; Compound Data'!BM189/$J134*(1-AE$127)*(1-AE$123)*$K195)</f>
        <v/>
      </c>
      <c r="AF195" s="1222" t="str">
        <f>IF(OR(AF$122="",I134=""),"",'I. Stream &amp; Compound Data'!BP189/$J134*(1-AF$127)*(1-AF$123)*$K195)</f>
        <v/>
      </c>
      <c r="AG195" s="1222" t="str">
        <f>IF(OR(AG$122="",I134=""),"",'I. Stream &amp; Compound Data'!BS189/$J134*(1-AG$127)*(1-AG$123)*$K195)</f>
        <v/>
      </c>
      <c r="AH195" s="1222" t="str">
        <f>IF(OR(AH$122="",I134=""),"",'I. Stream &amp; Compound Data'!BV189/$J134*(1-AH$127)*(1-AH$123)*$K195)</f>
        <v/>
      </c>
      <c r="AI195" s="1222" t="str">
        <f>IF(OR(AI$122="",I134=""),"",'I. Stream &amp; Compound Data'!BY189/$J134*(1-AI$127)*(1-AI$123)*$K195)</f>
        <v/>
      </c>
      <c r="AJ195" s="1222" t="str">
        <f>IF(OR(AJ$122="",I134=""),"",'I. Stream &amp; Compound Data'!CB189/$J134*(1-AJ$127)*(1-AJ$123)*$K195)</f>
        <v/>
      </c>
      <c r="AK195" s="1222" t="str">
        <f>IF(OR(AK$122="",I134=""),"",'I. Stream &amp; Compound Data'!CE189/$J134*(1-AK$127)*(1-AK$123)*$K195)</f>
        <v/>
      </c>
      <c r="AL195" s="1222" t="str">
        <f>IF(OR(AL$122="",I134=""),"",'I. Stream &amp; Compound Data'!CH189/$J134*(1-AL$127)*(1-AL$123)*$K195)</f>
        <v/>
      </c>
      <c r="AM195" s="1222" t="str">
        <f>IF(OR(AM$122="",I134=""),"",'I. Stream &amp; Compound Data'!CK189/$J134*(1-AM$127)*(1-AM$123)*$K195)</f>
        <v/>
      </c>
      <c r="AN195" s="1222" t="str">
        <f>IF(OR(AN$122="",I134=""),"",'I. Stream &amp; Compound Data'!CN189/$J134*(1-AN$127)*(1-AN$123)*$K195)</f>
        <v/>
      </c>
      <c r="AO195" s="1222" t="str">
        <f>IF(OR(AO$122="",I134=""),"",'I. Stream &amp; Compound Data'!CQ189/$J134*(1-AO$127)*(1-AO$123)*$K195)</f>
        <v/>
      </c>
      <c r="AP195" s="1222" t="str">
        <f>IF(OR(AP$122="",I134=""),"",'I. Stream &amp; Compound Data'!CT189/$J134*(1-AP$127)*(1-AP$123)*$K195)</f>
        <v/>
      </c>
      <c r="AQ195" s="1222" t="str">
        <f>IF(OR(AQ$122="",I134=""),"",'I. Stream &amp; Compound Data'!CW189/$J134*(1-AQ$127)*(1-AQ$123)*$K195)</f>
        <v/>
      </c>
      <c r="AR195" s="1222" t="str">
        <f>IF(OR(AR$122="",I134=""),"",'I. Stream &amp; Compound Data'!CZ189/$J134*(1-AR$127)*(1-AR$123)*$K195)</f>
        <v/>
      </c>
      <c r="AS195" s="1222" t="str">
        <f>IF(OR(AS$122="",I134=""),"",'I. Stream &amp; Compound Data'!DC189/$J134*(1-AS$127)*(1-AS$123)*$K195)</f>
        <v/>
      </c>
      <c r="AT195" s="1222" t="str">
        <f>IF(OR(AT$122="",I134=""),"",'I. Stream &amp; Compound Data'!DF189/$J134*(1-AT$127)*(1-AT$123)*$K195)</f>
        <v/>
      </c>
      <c r="AU195" s="1222" t="str">
        <f>IF(OR(AU$122="",I134=""),"",'I. Stream &amp; Compound Data'!DI189/$J134*(1-AU$127)*(1-AU$123)*$K195)</f>
        <v/>
      </c>
      <c r="AV195" s="1222" t="str">
        <f>IF(OR(AV$122="",I134=""),"",'I. Stream &amp; Compound Data'!DL189/$J134*(1-AV$127)*(1-AV$123)*$K195)</f>
        <v/>
      </c>
      <c r="AW195" s="1222" t="str">
        <f>IF(OR(AW$122="",I134=""),"",'I. Stream &amp; Compound Data'!DO189/$J134*(1-AW$127)*(1-AW$123)*$K195)</f>
        <v/>
      </c>
      <c r="AX195" s="1222" t="str">
        <f>IF(OR(AX$122="",I134=""),"",'I. Stream &amp; Compound Data'!DR189/$J134*(1-AX$127)*(1-AX$123)*$K195)</f>
        <v/>
      </c>
      <c r="AY195" s="1516" t="str">
        <f>IF(OR(AY$122="",I134=""),"",'I. Stream &amp; Compound Data'!DU189/$J134*(1-AY$127)*(1-AY$123)*$K195)</f>
        <v/>
      </c>
      <c r="AZ195" s="279"/>
      <c r="BA195" s="279"/>
      <c r="BB195" s="279"/>
      <c r="BC195" s="279"/>
      <c r="BD195" s="279"/>
      <c r="BE195" s="279"/>
      <c r="BF195" s="279"/>
      <c r="BG195" s="279"/>
      <c r="BH195" s="279"/>
      <c r="BI195" s="279"/>
      <c r="BJ195" s="279"/>
      <c r="BK195" s="279"/>
      <c r="BL195" s="279"/>
      <c r="BM195" s="279"/>
      <c r="BN195" s="279"/>
      <c r="BO195" s="279"/>
      <c r="BP195" s="279"/>
      <c r="BQ195" s="279"/>
      <c r="BR195" s="279"/>
      <c r="BS195" s="279"/>
      <c r="BT195" s="279"/>
      <c r="BU195" s="279"/>
      <c r="BV195" s="279"/>
      <c r="BW195" s="279"/>
      <c r="BX195" s="279"/>
      <c r="BY195" s="279"/>
      <c r="BZ195" s="279"/>
      <c r="CA195" s="279"/>
      <c r="CB195" s="279"/>
      <c r="CC195" s="279"/>
      <c r="CD195" s="279"/>
      <c r="CE195" s="279"/>
      <c r="CF195" s="279"/>
      <c r="CG195" s="279"/>
      <c r="CH195" s="279"/>
      <c r="CI195" s="279"/>
      <c r="CJ195" s="279"/>
      <c r="CK195" s="279"/>
      <c r="CL195" s="279"/>
      <c r="CM195" s="279"/>
      <c r="CN195" s="382"/>
    </row>
    <row r="196" ht="15.6" x14ac:dyDescent="0.25">
      <c r="B196" s="361"/>
      <c r="C196" s="279"/>
      <c r="D196" s="280"/>
      <c r="E196" s="287"/>
      <c r="F196" s="287"/>
      <c r="G196" s="287"/>
      <c r="H196" s="280"/>
      <c r="I196" s="304"/>
      <c r="J196" s="1292">
        <f t="shared" si="23"/>
        <v>5</v>
      </c>
      <c r="K196" s="1242" t="str">
        <f>IF('I. Stream &amp; Compound Data'!G266="","",IF('I. Stream &amp; Compound Data'!V266=1,0,1))</f>
        <v/>
      </c>
      <c r="L196" s="1242" t="str">
        <f>IF(OR(L$122="",I135=""),"",'I. Stream &amp; Compound Data'!H190/$J135*(1-L$127)*(1-L$123)*$K196)</f>
        <v/>
      </c>
      <c r="M196" s="1242" t="str">
        <f>IF(OR(M$122="",I135=""),"",'I. Stream &amp; Compound Data'!K190/$J135*(1-M$127)*(1-M$123)*$K196)</f>
        <v/>
      </c>
      <c r="N196" s="1306" t="str">
        <f>IF(OR(N$122="",I135=""),"",'I. Stream &amp; Compound Data'!N190/$J135*(1-N$127)*(1-N$123)*$K196)</f>
        <v/>
      </c>
      <c r="O196" s="1242" t="str">
        <f>IF(OR(O$122="",I135=""),"",'I. Stream &amp; Compound Data'!Q190/$J135*(1-O$127)*(1-O$123)*$K196)</f>
        <v/>
      </c>
      <c r="P196" s="1242" t="str">
        <f>IF(OR(P$122="",I135=""),"",'I. Stream &amp; Compound Data'!T190/$J135*(1-P$127)*(1-P$123)*$K196)</f>
        <v/>
      </c>
      <c r="Q196" s="202" t="str">
        <f>IF(OR(Q$122="",I135=""),"",'I. Stream &amp; Compound Data'!W190/$J135*(1-Q$127)*(1-Q$123)*$K196)</f>
        <v/>
      </c>
      <c r="R196" s="1168" t="str">
        <f>IF(OR(R$122="",I135=""),"",'I. Stream &amp; Compound Data'!Z190/$J135*(1-R$127)*(1-R$123)*$K196)</f>
        <v/>
      </c>
      <c r="S196" s="1168" t="str">
        <f>IF(OR(S$122="",I135=""),"",'I. Stream &amp; Compound Data'!AC190/$J135*(1-S$127)*(1-S$123)*$K196)</f>
        <v/>
      </c>
      <c r="T196" s="1168" t="str">
        <f>IF(OR(T$122="",I135=""),"",'I. Stream &amp; Compound Data'!AF190/$J135*(1-T$127)*(1-T$123)*$K196)</f>
        <v/>
      </c>
      <c r="U196" s="1222" t="str">
        <f>IF(OR(U$122="",I135=""),"",'I. Stream &amp; Compound Data'!AI190/$J135*(1-U$127)*(1-U$123)*$K196)</f>
        <v/>
      </c>
      <c r="V196" s="1222" t="str">
        <f>IF(OR(V$122="",I135=""),"",'I. Stream &amp; Compound Data'!AL190/$J135*(1-V$127)*(1-V$123)*$K196)</f>
        <v/>
      </c>
      <c r="W196" s="1222" t="str">
        <f>IF(OR(W$122="",I135=""),"",'I. Stream &amp; Compound Data'!AO190/$J135*(1-W$127)*(1-W$123)*$K196)</f>
        <v/>
      </c>
      <c r="X196" s="1222" t="str">
        <f>IF(OR(X$122="",I135=""),"",'I. Stream &amp; Compound Data'!AR190/$J135*(1-X$127)*(1-X$123)*$K196)</f>
        <v/>
      </c>
      <c r="Y196" s="1222" t="str">
        <f>IF(OR(Y$122="",I135=""),"",'I. Stream &amp; Compound Data'!AU190/$J135*(1-Y$127)*(1-Y$123)*$K196)</f>
        <v/>
      </c>
      <c r="Z196" s="1222" t="str">
        <f>IF(OR(Z$122="",I135=""),"",'I. Stream &amp; Compound Data'!AX190/$J135*(1-Z$127)*(1-Z$123)*$K196)</f>
        <v/>
      </c>
      <c r="AA196" s="1222" t="str">
        <f>IF(OR(AA$122="",I135=""),"",'I. Stream &amp; Compound Data'!BA190/$J135*(1-AA$127)*(1-AA$123)*$K196)</f>
        <v/>
      </c>
      <c r="AB196" s="1222" t="str">
        <f>IF(OR(AB$122="",I135=""),"",'I. Stream &amp; Compound Data'!BD190/$J135*(1-AB$127)*(1-AB$123)*$K196)</f>
        <v/>
      </c>
      <c r="AC196" s="1222" t="str">
        <f>IF(OR(AC$122="",I135=""),"",'I. Stream &amp; Compound Data'!BG190/$J135*(1-AC$127)*(1-AC$123)*$K196)</f>
        <v/>
      </c>
      <c r="AD196" s="1222" t="str">
        <f>IF(OR(AD$122="",I135=""),"",'I. Stream &amp; Compound Data'!BJ190/$J135*(1-AD$127)*(1-AD$123)*$K196)</f>
        <v/>
      </c>
      <c r="AE196" s="1222" t="str">
        <f>IF(OR(AE$122="",I135=""),"",'I. Stream &amp; Compound Data'!BM190/$J135*(1-AE$127)*(1-AE$123)*$K196)</f>
        <v/>
      </c>
      <c r="AF196" s="1222" t="str">
        <f>IF(OR(AF$122="",I135=""),"",'I. Stream &amp; Compound Data'!BP190/$J135*(1-AF$127)*(1-AF$123)*$K196)</f>
        <v/>
      </c>
      <c r="AG196" s="1222" t="str">
        <f>IF(OR(AG$122="",I135=""),"",'I. Stream &amp; Compound Data'!BS190/$J135*(1-AG$127)*(1-AG$123)*$K196)</f>
        <v/>
      </c>
      <c r="AH196" s="1222" t="str">
        <f>IF(OR(AH$122="",I135=""),"",'I. Stream &amp; Compound Data'!BV190/$J135*(1-AH$127)*(1-AH$123)*$K196)</f>
        <v/>
      </c>
      <c r="AI196" s="1222" t="str">
        <f>IF(OR(AI$122="",I135=""),"",'I. Stream &amp; Compound Data'!BY190/$J135*(1-AI$127)*(1-AI$123)*$K196)</f>
        <v/>
      </c>
      <c r="AJ196" s="1222" t="str">
        <f>IF(OR(AJ$122="",I135=""),"",'I. Stream &amp; Compound Data'!CB190/$J135*(1-AJ$127)*(1-AJ$123)*$K196)</f>
        <v/>
      </c>
      <c r="AK196" s="1222" t="str">
        <f>IF(OR(AK$122="",I135=""),"",'I. Stream &amp; Compound Data'!CE190/$J135*(1-AK$127)*(1-AK$123)*$K196)</f>
        <v/>
      </c>
      <c r="AL196" s="1222" t="str">
        <f>IF(OR(AL$122="",I135=""),"",'I. Stream &amp; Compound Data'!CH190/$J135*(1-AL$127)*(1-AL$123)*$K196)</f>
        <v/>
      </c>
      <c r="AM196" s="1222" t="str">
        <f>IF(OR(AM$122="",I135=""),"",'I. Stream &amp; Compound Data'!CK190/$J135*(1-AM$127)*(1-AM$123)*$K196)</f>
        <v/>
      </c>
      <c r="AN196" s="1222" t="str">
        <f>IF(OR(AN$122="",I135=""),"",'I. Stream &amp; Compound Data'!CN190/$J135*(1-AN$127)*(1-AN$123)*$K196)</f>
        <v/>
      </c>
      <c r="AO196" s="1222" t="str">
        <f>IF(OR(AO$122="",I135=""),"",'I. Stream &amp; Compound Data'!CQ190/$J135*(1-AO$127)*(1-AO$123)*$K196)</f>
        <v/>
      </c>
      <c r="AP196" s="1222" t="str">
        <f>IF(OR(AP$122="",I135=""),"",'I. Stream &amp; Compound Data'!CT190/$J135*(1-AP$127)*(1-AP$123)*$K196)</f>
        <v/>
      </c>
      <c r="AQ196" s="1222" t="str">
        <f>IF(OR(AQ$122="",I135=""),"",'I. Stream &amp; Compound Data'!CW190/$J135*(1-AQ$127)*(1-AQ$123)*$K196)</f>
        <v/>
      </c>
      <c r="AR196" s="1222" t="str">
        <f>IF(OR(AR$122="",I135=""),"",'I. Stream &amp; Compound Data'!CZ190/$J135*(1-AR$127)*(1-AR$123)*$K196)</f>
        <v/>
      </c>
      <c r="AS196" s="1222" t="str">
        <f>IF(OR(AS$122="",I135=""),"",'I. Stream &amp; Compound Data'!DC190/$J135*(1-AS$127)*(1-AS$123)*$K196)</f>
        <v/>
      </c>
      <c r="AT196" s="1222" t="str">
        <f>IF(OR(AT$122="",I135=""),"",'I. Stream &amp; Compound Data'!DF190/$J135*(1-AT$127)*(1-AT$123)*$K196)</f>
        <v/>
      </c>
      <c r="AU196" s="1222" t="str">
        <f>IF(OR(AU$122="",I135=""),"",'I. Stream &amp; Compound Data'!DI190/$J135*(1-AU$127)*(1-AU$123)*$K196)</f>
        <v/>
      </c>
      <c r="AV196" s="1222" t="str">
        <f>IF(OR(AV$122="",I135=""),"",'I. Stream &amp; Compound Data'!DL190/$J135*(1-AV$127)*(1-AV$123)*$K196)</f>
        <v/>
      </c>
      <c r="AW196" s="1222" t="str">
        <f>IF(OR(AW$122="",I135=""),"",'I. Stream &amp; Compound Data'!DO190/$J135*(1-AW$127)*(1-AW$123)*$K196)</f>
        <v/>
      </c>
      <c r="AX196" s="1222" t="str">
        <f>IF(OR(AX$122="",I135=""),"",'I. Stream &amp; Compound Data'!DR190/$J135*(1-AX$127)*(1-AX$123)*$K196)</f>
        <v/>
      </c>
      <c r="AY196" s="1516" t="str">
        <f>IF(OR(AY$122="",I135=""),"",'I. Stream &amp; Compound Data'!DU190/$J135*(1-AY$127)*(1-AY$123)*$K196)</f>
        <v/>
      </c>
      <c r="AZ196" s="279"/>
      <c r="BA196" s="279"/>
      <c r="BB196" s="279"/>
      <c r="BC196" s="279"/>
      <c r="BD196" s="279"/>
      <c r="BE196" s="279"/>
      <c r="BF196" s="279"/>
      <c r="BG196" s="279"/>
      <c r="BH196" s="279"/>
      <c r="BI196" s="279"/>
      <c r="BJ196" s="279"/>
      <c r="BK196" s="279"/>
      <c r="BL196" s="279"/>
      <c r="BM196" s="279"/>
      <c r="BN196" s="279"/>
      <c r="BO196" s="279"/>
      <c r="BP196" s="279"/>
      <c r="BQ196" s="279"/>
      <c r="BR196" s="279"/>
      <c r="BS196" s="279"/>
      <c r="BT196" s="279"/>
      <c r="BU196" s="279"/>
      <c r="BV196" s="279"/>
      <c r="BW196" s="279"/>
      <c r="BX196" s="279"/>
      <c r="BY196" s="279"/>
      <c r="BZ196" s="279"/>
      <c r="CA196" s="279"/>
      <c r="CB196" s="279"/>
      <c r="CC196" s="279"/>
      <c r="CD196" s="279"/>
      <c r="CE196" s="279"/>
      <c r="CF196" s="279"/>
      <c r="CG196" s="279"/>
      <c r="CH196" s="279"/>
      <c r="CI196" s="279"/>
      <c r="CJ196" s="279"/>
      <c r="CK196" s="279"/>
      <c r="CL196" s="279"/>
      <c r="CM196" s="279"/>
      <c r="CN196" s="382"/>
    </row>
    <row r="197" ht="15.6" x14ac:dyDescent="0.25">
      <c r="B197" s="361"/>
      <c r="C197" s="279"/>
      <c r="D197" s="280"/>
      <c r="E197" s="287"/>
      <c r="F197" s="287"/>
      <c r="G197" s="287"/>
      <c r="H197" s="280"/>
      <c r="I197" s="304"/>
      <c r="J197" s="1292">
        <f t="shared" si="23"/>
        <v>6</v>
      </c>
      <c r="K197" s="1242" t="str">
        <f>IF('I. Stream &amp; Compound Data'!G267="","",IF('I. Stream &amp; Compound Data'!V267=1,0,1))</f>
        <v/>
      </c>
      <c r="L197" s="1242" t="str">
        <f>IF(OR(L$122="",I136=""),"",'I. Stream &amp; Compound Data'!H191/$J136*(1-L$127)*(1-L$123)*$K197)</f>
        <v/>
      </c>
      <c r="M197" s="1242" t="str">
        <f>IF(OR(M$122="",I136=""),"",'I. Stream &amp; Compound Data'!K191/$J136*(1-M$127)*(1-M$123)*$K197)</f>
        <v/>
      </c>
      <c r="N197" s="1306" t="str">
        <f>IF(OR(N$122="",I136=""),"",'I. Stream &amp; Compound Data'!N191/$J136*(1-N$127)*(1-N$123)*$K197)</f>
        <v/>
      </c>
      <c r="O197" s="1242" t="str">
        <f>IF(OR(O$122="",I136=""),"",'I. Stream &amp; Compound Data'!Q191/$J136*(1-O$127)*(1-O$123)*$K197)</f>
        <v/>
      </c>
      <c r="P197" s="1242" t="str">
        <f>IF(OR(P$122="",I136=""),"",'I. Stream &amp; Compound Data'!T191/$J136*(1-P$127)*(1-P$123)*$K197)</f>
        <v/>
      </c>
      <c r="Q197" s="202" t="str">
        <f>IF(OR(Q$122="",I136=""),"",'I. Stream &amp; Compound Data'!W191/$J136*(1-Q$127)*(1-Q$123)*$K197)</f>
        <v/>
      </c>
      <c r="R197" s="1168" t="str">
        <f>IF(OR(R$122="",I136=""),"",'I. Stream &amp; Compound Data'!Z191/$J136*(1-R$127)*(1-R$123)*$K197)</f>
        <v/>
      </c>
      <c r="S197" s="1168" t="str">
        <f>IF(OR(S$122="",I136=""),"",'I. Stream &amp; Compound Data'!AC191/$J136*(1-S$127)*(1-S$123)*$K197)</f>
        <v/>
      </c>
      <c r="T197" s="1168" t="str">
        <f>IF(OR(T$122="",I136=""),"",'I. Stream &amp; Compound Data'!AF191/$J136*(1-T$127)*(1-T$123)*$K197)</f>
        <v/>
      </c>
      <c r="U197" s="1222" t="str">
        <f>IF(OR(U$122="",I136=""),"",'I. Stream &amp; Compound Data'!AI191/$J136*(1-U$127)*(1-U$123)*$K197)</f>
        <v/>
      </c>
      <c r="V197" s="1222" t="str">
        <f>IF(OR(V$122="",I136=""),"",'I. Stream &amp; Compound Data'!AL191/$J136*(1-V$127)*(1-V$123)*$K197)</f>
        <v/>
      </c>
      <c r="W197" s="1222" t="str">
        <f>IF(OR(W$122="",I136=""),"",'I. Stream &amp; Compound Data'!AO191/$J136*(1-W$127)*(1-W$123)*$K197)</f>
        <v/>
      </c>
      <c r="X197" s="1222" t="str">
        <f>IF(OR(X$122="",I136=""),"",'I. Stream &amp; Compound Data'!AR191/$J136*(1-X$127)*(1-X$123)*$K197)</f>
        <v/>
      </c>
      <c r="Y197" s="1222" t="str">
        <f>IF(OR(Y$122="",I136=""),"",'I. Stream &amp; Compound Data'!AU191/$J136*(1-Y$127)*(1-Y$123)*$K197)</f>
        <v/>
      </c>
      <c r="Z197" s="1222" t="str">
        <f>IF(OR(Z$122="",I136=""),"",'I. Stream &amp; Compound Data'!AX191/$J136*(1-Z$127)*(1-Z$123)*$K197)</f>
        <v/>
      </c>
      <c r="AA197" s="1222" t="str">
        <f>IF(OR(AA$122="",I136=""),"",'I. Stream &amp; Compound Data'!BA191/$J136*(1-AA$127)*(1-AA$123)*$K197)</f>
        <v/>
      </c>
      <c r="AB197" s="1222" t="str">
        <f>IF(OR(AB$122="",I136=""),"",'I. Stream &amp; Compound Data'!BD191/$J136*(1-AB$127)*(1-AB$123)*$K197)</f>
        <v/>
      </c>
      <c r="AC197" s="1222" t="str">
        <f>IF(OR(AC$122="",I136=""),"",'I. Stream &amp; Compound Data'!BG191/$J136*(1-AC$127)*(1-AC$123)*$K197)</f>
        <v/>
      </c>
      <c r="AD197" s="1222" t="str">
        <f>IF(OR(AD$122="",I136=""),"",'I. Stream &amp; Compound Data'!BJ191/$J136*(1-AD$127)*(1-AD$123)*$K197)</f>
        <v/>
      </c>
      <c r="AE197" s="1222" t="str">
        <f>IF(OR(AE$122="",I136=""),"",'I. Stream &amp; Compound Data'!BM191/$J136*(1-AE$127)*(1-AE$123)*$K197)</f>
        <v/>
      </c>
      <c r="AF197" s="1222" t="str">
        <f>IF(OR(AF$122="",I136=""),"",'I. Stream &amp; Compound Data'!BP191/$J136*(1-AF$127)*(1-AF$123)*$K197)</f>
        <v/>
      </c>
      <c r="AG197" s="1222" t="str">
        <f>IF(OR(AG$122="",I136=""),"",'I. Stream &amp; Compound Data'!BS191/$J136*(1-AG$127)*(1-AG$123)*$K197)</f>
        <v/>
      </c>
      <c r="AH197" s="1222" t="str">
        <f>IF(OR(AH$122="",I136=""),"",'I. Stream &amp; Compound Data'!BV191/$J136*(1-AH$127)*(1-AH$123)*$K197)</f>
        <v/>
      </c>
      <c r="AI197" s="1222" t="str">
        <f>IF(OR(AI$122="",I136=""),"",'I. Stream &amp; Compound Data'!BY191/$J136*(1-AI$127)*(1-AI$123)*$K197)</f>
        <v/>
      </c>
      <c r="AJ197" s="1222" t="str">
        <f>IF(OR(AJ$122="",I136=""),"",'I. Stream &amp; Compound Data'!CB191/$J136*(1-AJ$127)*(1-AJ$123)*$K197)</f>
        <v/>
      </c>
      <c r="AK197" s="1222" t="str">
        <f>IF(OR(AK$122="",I136=""),"",'I. Stream &amp; Compound Data'!CE191/$J136*(1-AK$127)*(1-AK$123)*$K197)</f>
        <v/>
      </c>
      <c r="AL197" s="1222" t="str">
        <f>IF(OR(AL$122="",I136=""),"",'I. Stream &amp; Compound Data'!CH191/$J136*(1-AL$127)*(1-AL$123)*$K197)</f>
        <v/>
      </c>
      <c r="AM197" s="1222" t="str">
        <f>IF(OR(AM$122="",I136=""),"",'I. Stream &amp; Compound Data'!CK191/$J136*(1-AM$127)*(1-AM$123)*$K197)</f>
        <v/>
      </c>
      <c r="AN197" s="1222" t="str">
        <f>IF(OR(AN$122="",I136=""),"",'I. Stream &amp; Compound Data'!CN191/$J136*(1-AN$127)*(1-AN$123)*$K197)</f>
        <v/>
      </c>
      <c r="AO197" s="1222" t="str">
        <f>IF(OR(AO$122="",I136=""),"",'I. Stream &amp; Compound Data'!CQ191/$J136*(1-AO$127)*(1-AO$123)*$K197)</f>
        <v/>
      </c>
      <c r="AP197" s="1222" t="str">
        <f>IF(OR(AP$122="",I136=""),"",'I. Stream &amp; Compound Data'!CT191/$J136*(1-AP$127)*(1-AP$123)*$K197)</f>
        <v/>
      </c>
      <c r="AQ197" s="1222" t="str">
        <f>IF(OR(AQ$122="",I136=""),"",'I. Stream &amp; Compound Data'!CW191/$J136*(1-AQ$127)*(1-AQ$123)*$K197)</f>
        <v/>
      </c>
      <c r="AR197" s="1222" t="str">
        <f>IF(OR(AR$122="",I136=""),"",'I. Stream &amp; Compound Data'!CZ191/$J136*(1-AR$127)*(1-AR$123)*$K197)</f>
        <v/>
      </c>
      <c r="AS197" s="1222" t="str">
        <f>IF(OR(AS$122="",I136=""),"",'I. Stream &amp; Compound Data'!DC191/$J136*(1-AS$127)*(1-AS$123)*$K197)</f>
        <v/>
      </c>
      <c r="AT197" s="1222" t="str">
        <f>IF(OR(AT$122="",I136=""),"",'I. Stream &amp; Compound Data'!DF191/$J136*(1-AT$127)*(1-AT$123)*$K197)</f>
        <v/>
      </c>
      <c r="AU197" s="1222" t="str">
        <f>IF(OR(AU$122="",I136=""),"",'I. Stream &amp; Compound Data'!DI191/$J136*(1-AU$127)*(1-AU$123)*$K197)</f>
        <v/>
      </c>
      <c r="AV197" s="1222" t="str">
        <f>IF(OR(AV$122="",I136=""),"",'I. Stream &amp; Compound Data'!DL191/$J136*(1-AV$127)*(1-AV$123)*$K197)</f>
        <v/>
      </c>
      <c r="AW197" s="1222" t="str">
        <f>IF(OR(AW$122="",I136=""),"",'I. Stream &amp; Compound Data'!DO191/$J136*(1-AW$127)*(1-AW$123)*$K197)</f>
        <v/>
      </c>
      <c r="AX197" s="1222" t="str">
        <f>IF(OR(AX$122="",I136=""),"",'I. Stream &amp; Compound Data'!DR191/$J136*(1-AX$127)*(1-AX$123)*$K197)</f>
        <v/>
      </c>
      <c r="AY197" s="1516" t="str">
        <f>IF(OR(AY$122="",I136=""),"",'I. Stream &amp; Compound Data'!DU191/$J136*(1-AY$127)*(1-AY$123)*$K197)</f>
        <v/>
      </c>
      <c r="AZ197" s="279"/>
      <c r="BA197" s="279"/>
      <c r="BB197" s="279"/>
      <c r="BC197" s="279"/>
      <c r="BD197" s="279"/>
      <c r="BE197" s="279"/>
      <c r="BF197" s="279"/>
      <c r="BG197" s="279"/>
      <c r="BH197" s="279"/>
      <c r="BI197" s="279"/>
      <c r="BJ197" s="279"/>
      <c r="BK197" s="279"/>
      <c r="BL197" s="279"/>
      <c r="BM197" s="279"/>
      <c r="BN197" s="279"/>
      <c r="BO197" s="279"/>
      <c r="BP197" s="279"/>
      <c r="BQ197" s="279"/>
      <c r="BR197" s="279"/>
      <c r="BS197" s="279"/>
      <c r="BT197" s="279"/>
      <c r="BU197" s="279"/>
      <c r="BV197" s="279"/>
      <c r="BW197" s="279"/>
      <c r="BX197" s="279"/>
      <c r="BY197" s="279"/>
      <c r="BZ197" s="279"/>
      <c r="CA197" s="279"/>
      <c r="CB197" s="279"/>
      <c r="CC197" s="279"/>
      <c r="CD197" s="279"/>
      <c r="CE197" s="279"/>
      <c r="CF197" s="279"/>
      <c r="CG197" s="279"/>
      <c r="CH197" s="279"/>
      <c r="CI197" s="279"/>
      <c r="CJ197" s="279"/>
      <c r="CK197" s="279"/>
      <c r="CL197" s="279"/>
      <c r="CM197" s="279"/>
      <c r="CN197" s="382"/>
    </row>
    <row r="198" ht="15.6" x14ac:dyDescent="0.25">
      <c r="B198" s="361"/>
      <c r="C198" s="279"/>
      <c r="D198" s="280"/>
      <c r="E198" s="287"/>
      <c r="F198" s="287"/>
      <c r="G198" s="287"/>
      <c r="H198" s="280"/>
      <c r="I198" s="304"/>
      <c r="J198" s="1292">
        <f t="shared" si="23"/>
        <v>7</v>
      </c>
      <c r="K198" s="1242" t="str">
        <f>IF('I. Stream &amp; Compound Data'!G268="","",IF('I. Stream &amp; Compound Data'!V268=1,0,1))</f>
        <v/>
      </c>
      <c r="L198" s="1242" t="str">
        <f>IF(OR(L$122="",I137=""),"",'I. Stream &amp; Compound Data'!H192/$J137*(1-L$127)*(1-L$123)*$K198)</f>
        <v/>
      </c>
      <c r="M198" s="1242" t="str">
        <f>IF(OR(M$122="",I137=""),"",'I. Stream &amp; Compound Data'!K192/$J137*(1-M$127)*(1-M$123)*$K198)</f>
        <v/>
      </c>
      <c r="N198" s="1306" t="str">
        <f>IF(OR(N$122="",I137=""),"",'I. Stream &amp; Compound Data'!N192/$J137*(1-N$127)*(1-N$123)*$K198)</f>
        <v/>
      </c>
      <c r="O198" s="1242" t="str">
        <f>IF(OR(O$122="",I137=""),"",'I. Stream &amp; Compound Data'!Q192/$J137*(1-O$127)*(1-O$123)*$K198)</f>
        <v/>
      </c>
      <c r="P198" s="1242" t="str">
        <f>IF(OR(P$122="",I137=""),"",'I. Stream &amp; Compound Data'!T192/$J137*(1-P$127)*(1-P$123)*$K198)</f>
        <v/>
      </c>
      <c r="Q198" s="202" t="str">
        <f>IF(OR(Q$122="",I137=""),"",'I. Stream &amp; Compound Data'!W192/$J137*(1-Q$127)*(1-Q$123)*$K198)</f>
        <v/>
      </c>
      <c r="R198" s="1168" t="str">
        <f>IF(OR(R$122="",I137=""),"",'I. Stream &amp; Compound Data'!Z192/$J137*(1-R$127)*(1-R$123)*$K198)</f>
        <v/>
      </c>
      <c r="S198" s="1168" t="str">
        <f>IF(OR(S$122="",I137=""),"",'I. Stream &amp; Compound Data'!AC192/$J137*(1-S$127)*(1-S$123)*$K198)</f>
        <v/>
      </c>
      <c r="T198" s="1168" t="str">
        <f>IF(OR(T$122="",I137=""),"",'I. Stream &amp; Compound Data'!AF192/$J137*(1-T$127)*(1-T$123)*$K198)</f>
        <v/>
      </c>
      <c r="U198" s="1222" t="str">
        <f>IF(OR(U$122="",I137=""),"",'I. Stream &amp; Compound Data'!AI192/$J137*(1-U$127)*(1-U$123)*$K198)</f>
        <v/>
      </c>
      <c r="V198" s="1222" t="str">
        <f>IF(OR(V$122="",I137=""),"",'I. Stream &amp; Compound Data'!AL192/$J137*(1-V$127)*(1-V$123)*$K198)</f>
        <v/>
      </c>
      <c r="W198" s="1222" t="str">
        <f>IF(OR(W$122="",I137=""),"",'I. Stream &amp; Compound Data'!AO192/$J137*(1-W$127)*(1-W$123)*$K198)</f>
        <v/>
      </c>
      <c r="X198" s="1222" t="str">
        <f>IF(OR(X$122="",I137=""),"",'I. Stream &amp; Compound Data'!AR192/$J137*(1-X$127)*(1-X$123)*$K198)</f>
        <v/>
      </c>
      <c r="Y198" s="1222" t="str">
        <f>IF(OR(Y$122="",I137=""),"",'I. Stream &amp; Compound Data'!AU192/$J137*(1-Y$127)*(1-Y$123)*$K198)</f>
        <v/>
      </c>
      <c r="Z198" s="1222" t="str">
        <f>IF(OR(Z$122="",I137=""),"",'I. Stream &amp; Compound Data'!AX192/$J137*(1-Z$127)*(1-Z$123)*$K198)</f>
        <v/>
      </c>
      <c r="AA198" s="1222" t="str">
        <f>IF(OR(AA$122="",I137=""),"",'I. Stream &amp; Compound Data'!BA192/$J137*(1-AA$127)*(1-AA$123)*$K198)</f>
        <v/>
      </c>
      <c r="AB198" s="1222" t="str">
        <f>IF(OR(AB$122="",I137=""),"",'I. Stream &amp; Compound Data'!BD192/$J137*(1-AB$127)*(1-AB$123)*$K198)</f>
        <v/>
      </c>
      <c r="AC198" s="1222" t="str">
        <f>IF(OR(AC$122="",I137=""),"",'I. Stream &amp; Compound Data'!BG192/$J137*(1-AC$127)*(1-AC$123)*$K198)</f>
        <v/>
      </c>
      <c r="AD198" s="1222" t="str">
        <f>IF(OR(AD$122="",I137=""),"",'I. Stream &amp; Compound Data'!BJ192/$J137*(1-AD$127)*(1-AD$123)*$K198)</f>
        <v/>
      </c>
      <c r="AE198" s="1222" t="str">
        <f>IF(OR(AE$122="",I137=""),"",'I. Stream &amp; Compound Data'!BM192/$J137*(1-AE$127)*(1-AE$123)*$K198)</f>
        <v/>
      </c>
      <c r="AF198" s="1222" t="str">
        <f>IF(OR(AF$122="",I137=""),"",'I. Stream &amp; Compound Data'!BP192/$J137*(1-AF$127)*(1-AF$123)*$K198)</f>
        <v/>
      </c>
      <c r="AG198" s="1222" t="str">
        <f>IF(OR(AG$122="",I137=""),"",'I. Stream &amp; Compound Data'!BS192/$J137*(1-AG$127)*(1-AG$123)*$K198)</f>
        <v/>
      </c>
      <c r="AH198" s="1222" t="str">
        <f>IF(OR(AH$122="",I137=""),"",'I. Stream &amp; Compound Data'!BV192/$J137*(1-AH$127)*(1-AH$123)*$K198)</f>
        <v/>
      </c>
      <c r="AI198" s="1222" t="str">
        <f>IF(OR(AI$122="",I137=""),"",'I. Stream &amp; Compound Data'!BY192/$J137*(1-AI$127)*(1-AI$123)*$K198)</f>
        <v/>
      </c>
      <c r="AJ198" s="1222" t="str">
        <f>IF(OR(AJ$122="",I137=""),"",'I. Stream &amp; Compound Data'!CB192/$J137*(1-AJ$127)*(1-AJ$123)*$K198)</f>
        <v/>
      </c>
      <c r="AK198" s="1222" t="str">
        <f>IF(OR(AK$122="",I137=""),"",'I. Stream &amp; Compound Data'!CE192/$J137*(1-AK$127)*(1-AK$123)*$K198)</f>
        <v/>
      </c>
      <c r="AL198" s="1222" t="str">
        <f>IF(OR(AL$122="",I137=""),"",'I. Stream &amp; Compound Data'!CH192/$J137*(1-AL$127)*(1-AL$123)*$K198)</f>
        <v/>
      </c>
      <c r="AM198" s="1222" t="str">
        <f>IF(OR(AM$122="",I137=""),"",'I. Stream &amp; Compound Data'!CK192/$J137*(1-AM$127)*(1-AM$123)*$K198)</f>
        <v/>
      </c>
      <c r="AN198" s="1222" t="str">
        <f>IF(OR(AN$122="",I137=""),"",'I. Stream &amp; Compound Data'!CN192/$J137*(1-AN$127)*(1-AN$123)*$K198)</f>
        <v/>
      </c>
      <c r="AO198" s="1222" t="str">
        <f>IF(OR(AO$122="",I137=""),"",'I. Stream &amp; Compound Data'!CQ192/$J137*(1-AO$127)*(1-AO$123)*$K198)</f>
        <v/>
      </c>
      <c r="AP198" s="1222" t="str">
        <f>IF(OR(AP$122="",I137=""),"",'I. Stream &amp; Compound Data'!CT192/$J137*(1-AP$127)*(1-AP$123)*$K198)</f>
        <v/>
      </c>
      <c r="AQ198" s="1222" t="str">
        <f>IF(OR(AQ$122="",I137=""),"",'I. Stream &amp; Compound Data'!CW192/$J137*(1-AQ$127)*(1-AQ$123)*$K198)</f>
        <v/>
      </c>
      <c r="AR198" s="1222" t="str">
        <f>IF(OR(AR$122="",I137=""),"",'I. Stream &amp; Compound Data'!CZ192/$J137*(1-AR$127)*(1-AR$123)*$K198)</f>
        <v/>
      </c>
      <c r="AS198" s="1222" t="str">
        <f>IF(OR(AS$122="",I137=""),"",'I. Stream &amp; Compound Data'!DC192/$J137*(1-AS$127)*(1-AS$123)*$K198)</f>
        <v/>
      </c>
      <c r="AT198" s="1222" t="str">
        <f>IF(OR(AT$122="",I137=""),"",'I. Stream &amp; Compound Data'!DF192/$J137*(1-AT$127)*(1-AT$123)*$K198)</f>
        <v/>
      </c>
      <c r="AU198" s="1222" t="str">
        <f>IF(OR(AU$122="",I137=""),"",'I. Stream &amp; Compound Data'!DI192/$J137*(1-AU$127)*(1-AU$123)*$K198)</f>
        <v/>
      </c>
      <c r="AV198" s="1222" t="str">
        <f>IF(OR(AV$122="",I137=""),"",'I. Stream &amp; Compound Data'!DL192/$J137*(1-AV$127)*(1-AV$123)*$K198)</f>
        <v/>
      </c>
      <c r="AW198" s="1222" t="str">
        <f>IF(OR(AW$122="",I137=""),"",'I. Stream &amp; Compound Data'!DO192/$J137*(1-AW$127)*(1-AW$123)*$K198)</f>
        <v/>
      </c>
      <c r="AX198" s="1222" t="str">
        <f>IF(OR(AX$122="",I137=""),"",'I. Stream &amp; Compound Data'!DR192/$J137*(1-AX$127)*(1-AX$123)*$K198)</f>
        <v/>
      </c>
      <c r="AY198" s="1516" t="str">
        <f>IF(OR(AY$122="",I137=""),"",'I. Stream &amp; Compound Data'!DU192/$J137*(1-AY$127)*(1-AY$123)*$K198)</f>
        <v/>
      </c>
      <c r="AZ198" s="279"/>
      <c r="BA198" s="279"/>
      <c r="BB198" s="279"/>
      <c r="BC198" s="279"/>
      <c r="BD198" s="279"/>
      <c r="BE198" s="279"/>
      <c r="BF198" s="279"/>
      <c r="BG198" s="279"/>
      <c r="BH198" s="279"/>
      <c r="BI198" s="279"/>
      <c r="BJ198" s="279"/>
      <c r="BK198" s="279"/>
      <c r="BL198" s="279"/>
      <c r="BM198" s="279"/>
      <c r="BN198" s="279"/>
      <c r="BO198" s="279"/>
      <c r="BP198" s="279"/>
      <c r="BQ198" s="279"/>
      <c r="BR198" s="279"/>
      <c r="BS198" s="279"/>
      <c r="BT198" s="279"/>
      <c r="BU198" s="279"/>
      <c r="BV198" s="279"/>
      <c r="BW198" s="279"/>
      <c r="BX198" s="279"/>
      <c r="BY198" s="279"/>
      <c r="BZ198" s="279"/>
      <c r="CA198" s="279"/>
      <c r="CB198" s="279"/>
      <c r="CC198" s="279"/>
      <c r="CD198" s="279"/>
      <c r="CE198" s="279"/>
      <c r="CF198" s="279"/>
      <c r="CG198" s="279"/>
      <c r="CH198" s="279"/>
      <c r="CI198" s="279"/>
      <c r="CJ198" s="279"/>
      <c r="CK198" s="279"/>
      <c r="CL198" s="279"/>
      <c r="CM198" s="279"/>
      <c r="CN198" s="382"/>
    </row>
    <row r="199" ht="15.6" x14ac:dyDescent="0.25">
      <c r="B199" s="361"/>
      <c r="C199" s="279"/>
      <c r="D199" s="280"/>
      <c r="E199" s="287"/>
      <c r="F199" s="287"/>
      <c r="G199" s="287"/>
      <c r="H199" s="280"/>
      <c r="I199" s="304"/>
      <c r="J199" s="1292">
        <f t="shared" si="23"/>
        <v>8</v>
      </c>
      <c r="K199" s="1242" t="str">
        <f>IF('I. Stream &amp; Compound Data'!G269="","",IF('I. Stream &amp; Compound Data'!V269=1,0,1))</f>
        <v/>
      </c>
      <c r="L199" s="1242" t="str">
        <f>IF(OR(L$122="",I138=""),"",'I. Stream &amp; Compound Data'!H193/$J138*(1-L$127)*(1-L$123)*$K199)</f>
        <v/>
      </c>
      <c r="M199" s="1242" t="str">
        <f>IF(OR(M$122="",I138=""),"",'I. Stream &amp; Compound Data'!K193/$J138*(1-M$127)*(1-M$123)*$K199)</f>
        <v/>
      </c>
      <c r="N199" s="1306" t="str">
        <f>IF(OR(N$122="",I138=""),"",'I. Stream &amp; Compound Data'!N193/$J138*(1-N$127)*(1-N$123)*$K199)</f>
        <v/>
      </c>
      <c r="O199" s="1242" t="str">
        <f>IF(OR(O$122="",I138=""),"",'I. Stream &amp; Compound Data'!Q193/$J138*(1-O$127)*(1-O$123)*$K199)</f>
        <v/>
      </c>
      <c r="P199" s="1242" t="str">
        <f>IF(OR(P$122="",I138=""),"",'I. Stream &amp; Compound Data'!T193/$J138*(1-P$127)*(1-P$123)*$K199)</f>
        <v/>
      </c>
      <c r="Q199" s="202" t="str">
        <f>IF(OR(Q$122="",I138=""),"",'I. Stream &amp; Compound Data'!W193/$J138*(1-Q$127)*(1-Q$123)*$K199)</f>
        <v/>
      </c>
      <c r="R199" s="1168" t="str">
        <f>IF(OR(R$122="",I138=""),"",'I. Stream &amp; Compound Data'!Z193/$J138*(1-R$127)*(1-R$123)*$K199)</f>
        <v/>
      </c>
      <c r="S199" s="1168" t="str">
        <f>IF(OR(S$122="",I138=""),"",'I. Stream &amp; Compound Data'!AC193/$J138*(1-S$127)*(1-S$123)*$K199)</f>
        <v/>
      </c>
      <c r="T199" s="1168" t="str">
        <f>IF(OR(T$122="",I138=""),"",'I. Stream &amp; Compound Data'!AF193/$J138*(1-T$127)*(1-T$123)*$K199)</f>
        <v/>
      </c>
      <c r="U199" s="1222" t="str">
        <f>IF(OR(U$122="",I138=""),"",'I. Stream &amp; Compound Data'!AI193/$J138*(1-U$127)*(1-U$123)*$K199)</f>
        <v/>
      </c>
      <c r="V199" s="1222" t="str">
        <f>IF(OR(V$122="",I138=""),"",'I. Stream &amp; Compound Data'!AL193/$J138*(1-V$127)*(1-V$123)*$K199)</f>
        <v/>
      </c>
      <c r="W199" s="1222" t="str">
        <f>IF(OR(W$122="",I138=""),"",'I. Stream &amp; Compound Data'!AO193/$J138*(1-W$127)*(1-W$123)*$K199)</f>
        <v/>
      </c>
      <c r="X199" s="1222" t="str">
        <f>IF(OR(X$122="",I138=""),"",'I. Stream &amp; Compound Data'!AR193/$J138*(1-X$127)*(1-X$123)*$K199)</f>
        <v/>
      </c>
      <c r="Y199" s="1222" t="str">
        <f>IF(OR(Y$122="",I138=""),"",'I. Stream &amp; Compound Data'!AU193/$J138*(1-Y$127)*(1-Y$123)*$K199)</f>
        <v/>
      </c>
      <c r="Z199" s="1222" t="str">
        <f>IF(OR(Z$122="",I138=""),"",'I. Stream &amp; Compound Data'!AX193/$J138*(1-Z$127)*(1-Z$123)*$K199)</f>
        <v/>
      </c>
      <c r="AA199" s="1222" t="str">
        <f>IF(OR(AA$122="",I138=""),"",'I. Stream &amp; Compound Data'!BA193/$J138*(1-AA$127)*(1-AA$123)*$K199)</f>
        <v/>
      </c>
      <c r="AB199" s="1222" t="str">
        <f>IF(OR(AB$122="",I138=""),"",'I. Stream &amp; Compound Data'!BD193/$J138*(1-AB$127)*(1-AB$123)*$K199)</f>
        <v/>
      </c>
      <c r="AC199" s="1222" t="str">
        <f>IF(OR(AC$122="",I138=""),"",'I. Stream &amp; Compound Data'!BG193/$J138*(1-AC$127)*(1-AC$123)*$K199)</f>
        <v/>
      </c>
      <c r="AD199" s="1222" t="str">
        <f>IF(OR(AD$122="",I138=""),"",'I. Stream &amp; Compound Data'!BJ193/$J138*(1-AD$127)*(1-AD$123)*$K199)</f>
        <v/>
      </c>
      <c r="AE199" s="1222" t="str">
        <f>IF(OR(AE$122="",I138=""),"",'I. Stream &amp; Compound Data'!BM193/$J138*(1-AE$127)*(1-AE$123)*$K199)</f>
        <v/>
      </c>
      <c r="AF199" s="1222" t="str">
        <f>IF(OR(AF$122="",I138=""),"",'I. Stream &amp; Compound Data'!BP193/$J138*(1-AF$127)*(1-AF$123)*$K199)</f>
        <v/>
      </c>
      <c r="AG199" s="1222" t="str">
        <f>IF(OR(AG$122="",I138=""),"",'I. Stream &amp; Compound Data'!BS193/$J138*(1-AG$127)*(1-AG$123)*$K199)</f>
        <v/>
      </c>
      <c r="AH199" s="1222" t="str">
        <f>IF(OR(AH$122="",I138=""),"",'I. Stream &amp; Compound Data'!BV193/$J138*(1-AH$127)*(1-AH$123)*$K199)</f>
        <v/>
      </c>
      <c r="AI199" s="1222" t="str">
        <f>IF(OR(AI$122="",I138=""),"",'I. Stream &amp; Compound Data'!BY193/$J138*(1-AI$127)*(1-AI$123)*$K199)</f>
        <v/>
      </c>
      <c r="AJ199" s="1222" t="str">
        <f>IF(OR(AJ$122="",I138=""),"",'I. Stream &amp; Compound Data'!CB193/$J138*(1-AJ$127)*(1-AJ$123)*$K199)</f>
        <v/>
      </c>
      <c r="AK199" s="1222" t="str">
        <f>IF(OR(AK$122="",I138=""),"",'I. Stream &amp; Compound Data'!CE193/$J138*(1-AK$127)*(1-AK$123)*$K199)</f>
        <v/>
      </c>
      <c r="AL199" s="1222" t="str">
        <f>IF(OR(AL$122="",I138=""),"",'I. Stream &amp; Compound Data'!CH193/$J138*(1-AL$127)*(1-AL$123)*$K199)</f>
        <v/>
      </c>
      <c r="AM199" s="1222" t="str">
        <f>IF(OR(AM$122="",I138=""),"",'I. Stream &amp; Compound Data'!CK193/$J138*(1-AM$127)*(1-AM$123)*$K199)</f>
        <v/>
      </c>
      <c r="AN199" s="1222" t="str">
        <f>IF(OR(AN$122="",I138=""),"",'I. Stream &amp; Compound Data'!CN193/$J138*(1-AN$127)*(1-AN$123)*$K199)</f>
        <v/>
      </c>
      <c r="AO199" s="1222" t="str">
        <f>IF(OR(AO$122="",I138=""),"",'I. Stream &amp; Compound Data'!CQ193/$J138*(1-AO$127)*(1-AO$123)*$K199)</f>
        <v/>
      </c>
      <c r="AP199" s="1222" t="str">
        <f>IF(OR(AP$122="",I138=""),"",'I. Stream &amp; Compound Data'!CT193/$J138*(1-AP$127)*(1-AP$123)*$K199)</f>
        <v/>
      </c>
      <c r="AQ199" s="1222" t="str">
        <f>IF(OR(AQ$122="",I138=""),"",'I. Stream &amp; Compound Data'!CW193/$J138*(1-AQ$127)*(1-AQ$123)*$K199)</f>
        <v/>
      </c>
      <c r="AR199" s="1222" t="str">
        <f>IF(OR(AR$122="",I138=""),"",'I. Stream &amp; Compound Data'!CZ193/$J138*(1-AR$127)*(1-AR$123)*$K199)</f>
        <v/>
      </c>
      <c r="AS199" s="1222" t="str">
        <f>IF(OR(AS$122="",I138=""),"",'I. Stream &amp; Compound Data'!DC193/$J138*(1-AS$127)*(1-AS$123)*$K199)</f>
        <v/>
      </c>
      <c r="AT199" s="1222" t="str">
        <f>IF(OR(AT$122="",I138=""),"",'I. Stream &amp; Compound Data'!DF193/$J138*(1-AT$127)*(1-AT$123)*$K199)</f>
        <v/>
      </c>
      <c r="AU199" s="1222" t="str">
        <f>IF(OR(AU$122="",I138=""),"",'I. Stream &amp; Compound Data'!DI193/$J138*(1-AU$127)*(1-AU$123)*$K199)</f>
        <v/>
      </c>
      <c r="AV199" s="1222" t="str">
        <f>IF(OR(AV$122="",I138=""),"",'I. Stream &amp; Compound Data'!DL193/$J138*(1-AV$127)*(1-AV$123)*$K199)</f>
        <v/>
      </c>
      <c r="AW199" s="1222" t="str">
        <f>IF(OR(AW$122="",I138=""),"",'I. Stream &amp; Compound Data'!DO193/$J138*(1-AW$127)*(1-AW$123)*$K199)</f>
        <v/>
      </c>
      <c r="AX199" s="1222" t="str">
        <f>IF(OR(AX$122="",I138=""),"",'I. Stream &amp; Compound Data'!DR193/$J138*(1-AX$127)*(1-AX$123)*$K199)</f>
        <v/>
      </c>
      <c r="AY199" s="1516" t="str">
        <f>IF(OR(AY$122="",I138=""),"",'I. Stream &amp; Compound Data'!DU193/$J138*(1-AY$127)*(1-AY$123)*$K199)</f>
        <v/>
      </c>
      <c r="AZ199" s="279"/>
      <c r="BA199" s="279"/>
      <c r="BB199" s="279"/>
      <c r="BC199" s="279"/>
      <c r="BD199" s="279"/>
      <c r="BE199" s="279"/>
      <c r="BF199" s="279"/>
      <c r="BG199" s="279"/>
      <c r="BH199" s="279"/>
      <c r="BI199" s="279"/>
      <c r="BJ199" s="279"/>
      <c r="BK199" s="279"/>
      <c r="BL199" s="279"/>
      <c r="BM199" s="279"/>
      <c r="BN199" s="279"/>
      <c r="BO199" s="279"/>
      <c r="BP199" s="279"/>
      <c r="BQ199" s="279"/>
      <c r="BR199" s="279"/>
      <c r="BS199" s="279"/>
      <c r="BT199" s="279"/>
      <c r="BU199" s="279"/>
      <c r="BV199" s="279"/>
      <c r="BW199" s="279"/>
      <c r="BX199" s="279"/>
      <c r="BY199" s="279"/>
      <c r="BZ199" s="279"/>
      <c r="CA199" s="279"/>
      <c r="CB199" s="279"/>
      <c r="CC199" s="279"/>
      <c r="CD199" s="279"/>
      <c r="CE199" s="279"/>
      <c r="CF199" s="279"/>
      <c r="CG199" s="279"/>
      <c r="CH199" s="279"/>
      <c r="CI199" s="279"/>
      <c r="CJ199" s="279"/>
      <c r="CK199" s="279"/>
      <c r="CL199" s="279"/>
      <c r="CM199" s="279"/>
      <c r="CN199" s="382"/>
    </row>
    <row r="200" ht="15.6" x14ac:dyDescent="0.25">
      <c r="B200" s="361"/>
      <c r="C200" s="279"/>
      <c r="D200" s="280"/>
      <c r="E200" s="287"/>
      <c r="F200" s="287"/>
      <c r="G200" s="287"/>
      <c r="H200" s="280"/>
      <c r="I200" s="304"/>
      <c r="J200" s="1292">
        <f t="shared" si="23"/>
        <v>9</v>
      </c>
      <c r="K200" s="1242" t="str">
        <f>IF('I. Stream &amp; Compound Data'!G270="","",IF('I. Stream &amp; Compound Data'!V270=1,0,1))</f>
        <v/>
      </c>
      <c r="L200" s="1242" t="str">
        <f>IF(OR(L$122="",I139=""),"",'I. Stream &amp; Compound Data'!H194/$J139*(1-L$127)*(1-L$123)*$K200)</f>
        <v/>
      </c>
      <c r="M200" s="1242" t="str">
        <f>IF(OR(M$122="",I139=""),"",'I. Stream &amp; Compound Data'!K194/$J139*(1-M$127)*(1-M$123)*$K200)</f>
        <v/>
      </c>
      <c r="N200" s="1306" t="str">
        <f>IF(OR(N$122="",I139=""),"",'I. Stream &amp; Compound Data'!N194/$J139*(1-N$127)*(1-N$123)*$K200)</f>
        <v/>
      </c>
      <c r="O200" s="1242" t="str">
        <f>IF(OR(O$122="",I139=""),"",'I. Stream &amp; Compound Data'!Q194/$J139*(1-O$127)*(1-O$123)*$K200)</f>
        <v/>
      </c>
      <c r="P200" s="1242" t="str">
        <f>IF(OR(P$122="",I139=""),"",'I. Stream &amp; Compound Data'!T194/$J139*(1-P$127)*(1-P$123)*$K200)</f>
        <v/>
      </c>
      <c r="Q200" s="202" t="str">
        <f>IF(OR(Q$122="",I139=""),"",'I. Stream &amp; Compound Data'!W194/$J139*(1-Q$127)*(1-Q$123)*$K200)</f>
        <v/>
      </c>
      <c r="R200" s="1168" t="str">
        <f>IF(OR(R$122="",I139=""),"",'I. Stream &amp; Compound Data'!Z194/$J139*(1-R$127)*(1-R$123)*$K200)</f>
        <v/>
      </c>
      <c r="S200" s="1168" t="str">
        <f>IF(OR(S$122="",I139=""),"",'I. Stream &amp; Compound Data'!AC194/$J139*(1-S$127)*(1-S$123)*$K200)</f>
        <v/>
      </c>
      <c r="T200" s="1168" t="str">
        <f>IF(OR(T$122="",I139=""),"",'I. Stream &amp; Compound Data'!AF194/$J139*(1-T$127)*(1-T$123)*$K200)</f>
        <v/>
      </c>
      <c r="U200" s="1222" t="str">
        <f>IF(OR(U$122="",I139=""),"",'I. Stream &amp; Compound Data'!AI194/$J139*(1-U$127)*(1-U$123)*$K200)</f>
        <v/>
      </c>
      <c r="V200" s="1222" t="str">
        <f>IF(OR(V$122="",I139=""),"",'I. Stream &amp; Compound Data'!AL194/$J139*(1-V$127)*(1-V$123)*$K200)</f>
        <v/>
      </c>
      <c r="W200" s="1222" t="str">
        <f>IF(OR(W$122="",I139=""),"",'I. Stream &amp; Compound Data'!AO194/$J139*(1-W$127)*(1-W$123)*$K200)</f>
        <v/>
      </c>
      <c r="X200" s="1222" t="str">
        <f>IF(OR(X$122="",I139=""),"",'I. Stream &amp; Compound Data'!AR194/$J139*(1-X$127)*(1-X$123)*$K200)</f>
        <v/>
      </c>
      <c r="Y200" s="1222" t="str">
        <f>IF(OR(Y$122="",I139=""),"",'I. Stream &amp; Compound Data'!AU194/$J139*(1-Y$127)*(1-Y$123)*$K200)</f>
        <v/>
      </c>
      <c r="Z200" s="1222" t="str">
        <f>IF(OR(Z$122="",I139=""),"",'I. Stream &amp; Compound Data'!AX194/$J139*(1-Z$127)*(1-Z$123)*$K200)</f>
        <v/>
      </c>
      <c r="AA200" s="1222" t="str">
        <f>IF(OR(AA$122="",I139=""),"",'I. Stream &amp; Compound Data'!BA194/$J139*(1-AA$127)*(1-AA$123)*$K200)</f>
        <v/>
      </c>
      <c r="AB200" s="1222" t="str">
        <f>IF(OR(AB$122="",I139=""),"",'I. Stream &amp; Compound Data'!BD194/$J139*(1-AB$127)*(1-AB$123)*$K200)</f>
        <v/>
      </c>
      <c r="AC200" s="1222" t="str">
        <f>IF(OR(AC$122="",I139=""),"",'I. Stream &amp; Compound Data'!BG194/$J139*(1-AC$127)*(1-AC$123)*$K200)</f>
        <v/>
      </c>
      <c r="AD200" s="1222" t="str">
        <f>IF(OR(AD$122="",I139=""),"",'I. Stream &amp; Compound Data'!BJ194/$J139*(1-AD$127)*(1-AD$123)*$K200)</f>
        <v/>
      </c>
      <c r="AE200" s="1222" t="str">
        <f>IF(OR(AE$122="",I139=""),"",'I. Stream &amp; Compound Data'!BM194/$J139*(1-AE$127)*(1-AE$123)*$K200)</f>
        <v/>
      </c>
      <c r="AF200" s="1222" t="str">
        <f>IF(OR(AF$122="",I139=""),"",'I. Stream &amp; Compound Data'!BP194/$J139*(1-AF$127)*(1-AF$123)*$K200)</f>
        <v/>
      </c>
      <c r="AG200" s="1222" t="str">
        <f>IF(OR(AG$122="",I139=""),"",'I. Stream &amp; Compound Data'!BS194/$J139*(1-AG$127)*(1-AG$123)*$K200)</f>
        <v/>
      </c>
      <c r="AH200" s="1222" t="str">
        <f>IF(OR(AH$122="",I139=""),"",'I. Stream &amp; Compound Data'!BV194/$J139*(1-AH$127)*(1-AH$123)*$K200)</f>
        <v/>
      </c>
      <c r="AI200" s="1222" t="str">
        <f>IF(OR(AI$122="",I139=""),"",'I. Stream &amp; Compound Data'!BY194/$J139*(1-AI$127)*(1-AI$123)*$K200)</f>
        <v/>
      </c>
      <c r="AJ200" s="1222" t="str">
        <f>IF(OR(AJ$122="",I139=""),"",'I. Stream &amp; Compound Data'!CB194/$J139*(1-AJ$127)*(1-AJ$123)*$K200)</f>
        <v/>
      </c>
      <c r="AK200" s="1222" t="str">
        <f>IF(OR(AK$122="",I139=""),"",'I. Stream &amp; Compound Data'!CE194/$J139*(1-AK$127)*(1-AK$123)*$K200)</f>
        <v/>
      </c>
      <c r="AL200" s="1222" t="str">
        <f>IF(OR(AL$122="",I139=""),"",'I. Stream &amp; Compound Data'!CH194/$J139*(1-AL$127)*(1-AL$123)*$K200)</f>
        <v/>
      </c>
      <c r="AM200" s="1222" t="str">
        <f>IF(OR(AM$122="",I139=""),"",'I. Stream &amp; Compound Data'!CK194/$J139*(1-AM$127)*(1-AM$123)*$K200)</f>
        <v/>
      </c>
      <c r="AN200" s="1222" t="str">
        <f>IF(OR(AN$122="",I139=""),"",'I. Stream &amp; Compound Data'!CN194/$J139*(1-AN$127)*(1-AN$123)*$K200)</f>
        <v/>
      </c>
      <c r="AO200" s="1222" t="str">
        <f>IF(OR(AO$122="",I139=""),"",'I. Stream &amp; Compound Data'!CQ194/$J139*(1-AO$127)*(1-AO$123)*$K200)</f>
        <v/>
      </c>
      <c r="AP200" s="1222" t="str">
        <f>IF(OR(AP$122="",I139=""),"",'I. Stream &amp; Compound Data'!CT194/$J139*(1-AP$127)*(1-AP$123)*$K200)</f>
        <v/>
      </c>
      <c r="AQ200" s="1222" t="str">
        <f>IF(OR(AQ$122="",I139=""),"",'I. Stream &amp; Compound Data'!CW194/$J139*(1-AQ$127)*(1-AQ$123)*$K200)</f>
        <v/>
      </c>
      <c r="AR200" s="1222" t="str">
        <f>IF(OR(AR$122="",I139=""),"",'I. Stream &amp; Compound Data'!CZ194/$J139*(1-AR$127)*(1-AR$123)*$K200)</f>
        <v/>
      </c>
      <c r="AS200" s="1222" t="str">
        <f>IF(OR(AS$122="",I139=""),"",'I. Stream &amp; Compound Data'!DC194/$J139*(1-AS$127)*(1-AS$123)*$K200)</f>
        <v/>
      </c>
      <c r="AT200" s="1222" t="str">
        <f>IF(OR(AT$122="",I139=""),"",'I. Stream &amp; Compound Data'!DF194/$J139*(1-AT$127)*(1-AT$123)*$K200)</f>
        <v/>
      </c>
      <c r="AU200" s="1222" t="str">
        <f>IF(OR(AU$122="",I139=""),"",'I. Stream &amp; Compound Data'!DI194/$J139*(1-AU$127)*(1-AU$123)*$K200)</f>
        <v/>
      </c>
      <c r="AV200" s="1222" t="str">
        <f>IF(OR(AV$122="",I139=""),"",'I. Stream &amp; Compound Data'!DL194/$J139*(1-AV$127)*(1-AV$123)*$K200)</f>
        <v/>
      </c>
      <c r="AW200" s="1222" t="str">
        <f>IF(OR(AW$122="",I139=""),"",'I. Stream &amp; Compound Data'!DO194/$J139*(1-AW$127)*(1-AW$123)*$K200)</f>
        <v/>
      </c>
      <c r="AX200" s="1222" t="str">
        <f>IF(OR(AX$122="",I139=""),"",'I. Stream &amp; Compound Data'!DR194/$J139*(1-AX$127)*(1-AX$123)*$K200)</f>
        <v/>
      </c>
      <c r="AY200" s="1516" t="str">
        <f>IF(OR(AY$122="",I139=""),"",'I. Stream &amp; Compound Data'!DU194/$J139*(1-AY$127)*(1-AY$123)*$K200)</f>
        <v/>
      </c>
      <c r="AZ200" s="279"/>
      <c r="BA200" s="279"/>
      <c r="BB200" s="279"/>
      <c r="BC200" s="279"/>
      <c r="BD200" s="279"/>
      <c r="BE200" s="279"/>
      <c r="BF200" s="279"/>
      <c r="BG200" s="279"/>
      <c r="BH200" s="279"/>
      <c r="BI200" s="279"/>
      <c r="BJ200" s="279"/>
      <c r="BK200" s="279"/>
      <c r="BL200" s="279"/>
      <c r="BM200" s="279"/>
      <c r="BN200" s="279"/>
      <c r="BO200" s="279"/>
      <c r="BP200" s="279"/>
      <c r="BQ200" s="279"/>
      <c r="BR200" s="279"/>
      <c r="BS200" s="279"/>
      <c r="BT200" s="279"/>
      <c r="BU200" s="279"/>
      <c r="BV200" s="279"/>
      <c r="BW200" s="279"/>
      <c r="BX200" s="279"/>
      <c r="BY200" s="279"/>
      <c r="BZ200" s="279"/>
      <c r="CA200" s="279"/>
      <c r="CB200" s="279"/>
      <c r="CC200" s="279"/>
      <c r="CD200" s="279"/>
      <c r="CE200" s="279"/>
      <c r="CF200" s="279"/>
      <c r="CG200" s="279"/>
      <c r="CH200" s="279"/>
      <c r="CI200" s="279"/>
      <c r="CJ200" s="279"/>
      <c r="CK200" s="279"/>
      <c r="CL200" s="279"/>
      <c r="CM200" s="279"/>
      <c r="CN200" s="382"/>
    </row>
    <row r="201" ht="15.6" x14ac:dyDescent="0.25">
      <c r="B201" s="361"/>
      <c r="C201" s="279"/>
      <c r="D201" s="280"/>
      <c r="E201" s="287"/>
      <c r="F201" s="287"/>
      <c r="G201" s="287"/>
      <c r="H201" s="280"/>
      <c r="I201" s="304"/>
      <c r="J201" s="1292">
        <f t="shared" si="23"/>
        <v>10</v>
      </c>
      <c r="K201" s="1242" t="str">
        <f>IF('I. Stream &amp; Compound Data'!G271="","",IF('I. Stream &amp; Compound Data'!V271=1,0,1))</f>
        <v/>
      </c>
      <c r="L201" s="1242" t="str">
        <f>IF(OR(L$122="",I140=""),"",'I. Stream &amp; Compound Data'!H195/$J140*(1-L$127)*(1-L$123)*$K201)</f>
        <v/>
      </c>
      <c r="M201" s="1242" t="str">
        <f>IF(OR(M$122="",I140=""),"",'I. Stream &amp; Compound Data'!K195/$J140*(1-M$127)*(1-M$123)*$K201)</f>
        <v/>
      </c>
      <c r="N201" s="1306" t="str">
        <f>IF(OR(N$122="",I140=""),"",'I. Stream &amp; Compound Data'!N195/$J140*(1-N$127)*(1-N$123)*$K201)</f>
        <v/>
      </c>
      <c r="O201" s="1242" t="str">
        <f>IF(OR(O$122="",I140=""),"",'I. Stream &amp; Compound Data'!Q195/$J140*(1-O$127)*(1-O$123)*$K201)</f>
        <v/>
      </c>
      <c r="P201" s="1242" t="str">
        <f>IF(OR(P$122="",I140=""),"",'I. Stream &amp; Compound Data'!T195/$J140*(1-P$127)*(1-P$123)*$K201)</f>
        <v/>
      </c>
      <c r="Q201" s="202" t="str">
        <f>IF(OR(Q$122="",I140=""),"",'I. Stream &amp; Compound Data'!W195/$J140*(1-Q$127)*(1-Q$123)*$K201)</f>
        <v/>
      </c>
      <c r="R201" s="1168" t="str">
        <f>IF(OR(R$122="",I140=""),"",'I. Stream &amp; Compound Data'!Z195/$J140*(1-R$127)*(1-R$123)*$K201)</f>
        <v/>
      </c>
      <c r="S201" s="1168" t="str">
        <f>IF(OR(S$122="",I140=""),"",'I. Stream &amp; Compound Data'!AC195/$J140*(1-S$127)*(1-S$123)*$K201)</f>
        <v/>
      </c>
      <c r="T201" s="1168" t="str">
        <f>IF(OR(T$122="",I140=""),"",'I. Stream &amp; Compound Data'!AF195/$J140*(1-T$127)*(1-T$123)*$K201)</f>
        <v/>
      </c>
      <c r="U201" s="1222" t="str">
        <f>IF(OR(U$122="",I140=""),"",'I. Stream &amp; Compound Data'!AI195/$J140*(1-U$127)*(1-U$123)*$K201)</f>
        <v/>
      </c>
      <c r="V201" s="1222" t="str">
        <f>IF(OR(V$122="",I140=""),"",'I. Stream &amp; Compound Data'!AL195/$J140*(1-V$127)*(1-V$123)*$K201)</f>
        <v/>
      </c>
      <c r="W201" s="1222" t="str">
        <f>IF(OR(W$122="",I140=""),"",'I. Stream &amp; Compound Data'!AO195/$J140*(1-W$127)*(1-W$123)*$K201)</f>
        <v/>
      </c>
      <c r="X201" s="1222" t="str">
        <f>IF(OR(X$122="",I140=""),"",'I. Stream &amp; Compound Data'!AR195/$J140*(1-X$127)*(1-X$123)*$K201)</f>
        <v/>
      </c>
      <c r="Y201" s="1222" t="str">
        <f>IF(OR(Y$122="",I140=""),"",'I. Stream &amp; Compound Data'!AU195/$J140*(1-Y$127)*(1-Y$123)*$K201)</f>
        <v/>
      </c>
      <c r="Z201" s="1222" t="str">
        <f>IF(OR(Z$122="",I140=""),"",'I. Stream &amp; Compound Data'!AX195/$J140*(1-Z$127)*(1-Z$123)*$K201)</f>
        <v/>
      </c>
      <c r="AA201" s="1222" t="str">
        <f>IF(OR(AA$122="",I140=""),"",'I. Stream &amp; Compound Data'!BA195/$J140*(1-AA$127)*(1-AA$123)*$K201)</f>
        <v/>
      </c>
      <c r="AB201" s="1222" t="str">
        <f>IF(OR(AB$122="",I140=""),"",'I. Stream &amp; Compound Data'!BD195/$J140*(1-AB$127)*(1-AB$123)*$K201)</f>
        <v/>
      </c>
      <c r="AC201" s="1222" t="str">
        <f>IF(OR(AC$122="",I140=""),"",'I. Stream &amp; Compound Data'!BG195/$J140*(1-AC$127)*(1-AC$123)*$K201)</f>
        <v/>
      </c>
      <c r="AD201" s="1222" t="str">
        <f>IF(OR(AD$122="",I140=""),"",'I. Stream &amp; Compound Data'!BJ195/$J140*(1-AD$127)*(1-AD$123)*$K201)</f>
        <v/>
      </c>
      <c r="AE201" s="1222" t="str">
        <f>IF(OR(AE$122="",I140=""),"",'I. Stream &amp; Compound Data'!BM195/$J140*(1-AE$127)*(1-AE$123)*$K201)</f>
        <v/>
      </c>
      <c r="AF201" s="1222" t="str">
        <f>IF(OR(AF$122="",I140=""),"",'I. Stream &amp; Compound Data'!BP195/$J140*(1-AF$127)*(1-AF$123)*$K201)</f>
        <v/>
      </c>
      <c r="AG201" s="1222" t="str">
        <f>IF(OR(AG$122="",I140=""),"",'I. Stream &amp; Compound Data'!BS195/$J140*(1-AG$127)*(1-AG$123)*$K201)</f>
        <v/>
      </c>
      <c r="AH201" s="1222" t="str">
        <f>IF(OR(AH$122="",I140=""),"",'I. Stream &amp; Compound Data'!BV195/$J140*(1-AH$127)*(1-AH$123)*$K201)</f>
        <v/>
      </c>
      <c r="AI201" s="1222" t="str">
        <f>IF(OR(AI$122="",I140=""),"",'I. Stream &amp; Compound Data'!BY195/$J140*(1-AI$127)*(1-AI$123)*$K201)</f>
        <v/>
      </c>
      <c r="AJ201" s="1222" t="str">
        <f>IF(OR(AJ$122="",I140=""),"",'I. Stream &amp; Compound Data'!CB195/$J140*(1-AJ$127)*(1-AJ$123)*$K201)</f>
        <v/>
      </c>
      <c r="AK201" s="1222" t="str">
        <f>IF(OR(AK$122="",I140=""),"",'I. Stream &amp; Compound Data'!CE195/$J140*(1-AK$127)*(1-AK$123)*$K201)</f>
        <v/>
      </c>
      <c r="AL201" s="1222" t="str">
        <f>IF(OR(AL$122="",I140=""),"",'I. Stream &amp; Compound Data'!CH195/$J140*(1-AL$127)*(1-AL$123)*$K201)</f>
        <v/>
      </c>
      <c r="AM201" s="1222" t="str">
        <f>IF(OR(AM$122="",I140=""),"",'I. Stream &amp; Compound Data'!CK195/$J140*(1-AM$127)*(1-AM$123)*$K201)</f>
        <v/>
      </c>
      <c r="AN201" s="1222" t="str">
        <f>IF(OR(AN$122="",I140=""),"",'I. Stream &amp; Compound Data'!CN195/$J140*(1-AN$127)*(1-AN$123)*$K201)</f>
        <v/>
      </c>
      <c r="AO201" s="1222" t="str">
        <f>IF(OR(AO$122="",I140=""),"",'I. Stream &amp; Compound Data'!CQ195/$J140*(1-AO$127)*(1-AO$123)*$K201)</f>
        <v/>
      </c>
      <c r="AP201" s="1222" t="str">
        <f>IF(OR(AP$122="",I140=""),"",'I. Stream &amp; Compound Data'!CT195/$J140*(1-AP$127)*(1-AP$123)*$K201)</f>
        <v/>
      </c>
      <c r="AQ201" s="1222" t="str">
        <f>IF(OR(AQ$122="",I140=""),"",'I. Stream &amp; Compound Data'!CW195/$J140*(1-AQ$127)*(1-AQ$123)*$K201)</f>
        <v/>
      </c>
      <c r="AR201" s="1222" t="str">
        <f>IF(OR(AR$122="",I140=""),"",'I. Stream &amp; Compound Data'!CZ195/$J140*(1-AR$127)*(1-AR$123)*$K201)</f>
        <v/>
      </c>
      <c r="AS201" s="1222" t="str">
        <f>IF(OR(AS$122="",I140=""),"",'I. Stream &amp; Compound Data'!DC195/$J140*(1-AS$127)*(1-AS$123)*$K201)</f>
        <v/>
      </c>
      <c r="AT201" s="1222" t="str">
        <f>IF(OR(AT$122="",I140=""),"",'I. Stream &amp; Compound Data'!DF195/$J140*(1-AT$127)*(1-AT$123)*$K201)</f>
        <v/>
      </c>
      <c r="AU201" s="1222" t="str">
        <f>IF(OR(AU$122="",I140=""),"",'I. Stream &amp; Compound Data'!DI195/$J140*(1-AU$127)*(1-AU$123)*$K201)</f>
        <v/>
      </c>
      <c r="AV201" s="1222" t="str">
        <f>IF(OR(AV$122="",I140=""),"",'I. Stream &amp; Compound Data'!DL195/$J140*(1-AV$127)*(1-AV$123)*$K201)</f>
        <v/>
      </c>
      <c r="AW201" s="1222" t="str">
        <f>IF(OR(AW$122="",I140=""),"",'I. Stream &amp; Compound Data'!DO195/$J140*(1-AW$127)*(1-AW$123)*$K201)</f>
        <v/>
      </c>
      <c r="AX201" s="1222" t="str">
        <f>IF(OR(AX$122="",I140=""),"",'I. Stream &amp; Compound Data'!DR195/$J140*(1-AX$127)*(1-AX$123)*$K201)</f>
        <v/>
      </c>
      <c r="AY201" s="1516" t="str">
        <f>IF(OR(AY$122="",I140=""),"",'I. Stream &amp; Compound Data'!DU195/$J140*(1-AY$127)*(1-AY$123)*$K201)</f>
        <v/>
      </c>
      <c r="AZ201" s="279"/>
      <c r="BA201" s="279"/>
      <c r="BB201" s="279"/>
      <c r="BC201" s="279"/>
      <c r="BD201" s="279"/>
      <c r="BE201" s="279"/>
      <c r="BF201" s="279"/>
      <c r="BG201" s="279"/>
      <c r="BH201" s="279"/>
      <c r="BI201" s="279"/>
      <c r="BJ201" s="279"/>
      <c r="BK201" s="279"/>
      <c r="BL201" s="279"/>
      <c r="BM201" s="279"/>
      <c r="BN201" s="279"/>
      <c r="BO201" s="279"/>
      <c r="BP201" s="279"/>
      <c r="BQ201" s="279"/>
      <c r="BR201" s="279"/>
      <c r="BS201" s="279"/>
      <c r="BT201" s="279"/>
      <c r="BU201" s="279"/>
      <c r="BV201" s="279"/>
      <c r="BW201" s="279"/>
      <c r="BX201" s="279"/>
      <c r="BY201" s="279"/>
      <c r="BZ201" s="279"/>
      <c r="CA201" s="279"/>
      <c r="CB201" s="279"/>
      <c r="CC201" s="279"/>
      <c r="CD201" s="279"/>
      <c r="CE201" s="279"/>
      <c r="CF201" s="279"/>
      <c r="CG201" s="279"/>
      <c r="CH201" s="279"/>
      <c r="CI201" s="279"/>
      <c r="CJ201" s="279"/>
      <c r="CK201" s="279"/>
      <c r="CL201" s="279"/>
      <c r="CM201" s="279"/>
      <c r="CN201" s="382"/>
    </row>
    <row r="202" ht="15.6" x14ac:dyDescent="0.25">
      <c r="B202" s="361"/>
      <c r="C202" s="279"/>
      <c r="D202" s="280"/>
      <c r="E202" s="287"/>
      <c r="F202" s="287"/>
      <c r="G202" s="287"/>
      <c r="H202" s="280"/>
      <c r="I202" s="304"/>
      <c r="J202" s="1292">
        <f t="shared" si="23"/>
        <v>11</v>
      </c>
      <c r="K202" s="1242" t="str">
        <f>IF('I. Stream &amp; Compound Data'!G272="","",IF('I. Stream &amp; Compound Data'!V272=1,0,1))</f>
        <v/>
      </c>
      <c r="L202" s="1242" t="str">
        <f>IF(OR(L$122="",I141=""),"",'I. Stream &amp; Compound Data'!H196/$J141*(1-L$127)*(1-L$123)*$K202)</f>
        <v/>
      </c>
      <c r="M202" s="1242" t="str">
        <f>IF(OR(M$122="",I141=""),"",'I. Stream &amp; Compound Data'!K196/$J141*(1-M$127)*(1-M$123)*$K202)</f>
        <v/>
      </c>
      <c r="N202" s="1306" t="str">
        <f>IF(OR(N$122="",I141=""),"",'I. Stream &amp; Compound Data'!N196/$J141*(1-N$127)*(1-N$123)*$K202)</f>
        <v/>
      </c>
      <c r="O202" s="1242" t="str">
        <f>IF(OR(O$122="",I141=""),"",'I. Stream &amp; Compound Data'!Q196/$J141*(1-O$127)*(1-O$123)*$K202)</f>
        <v/>
      </c>
      <c r="P202" s="1242" t="str">
        <f>IF(OR(P$122="",I141=""),"",'I. Stream &amp; Compound Data'!T196/$J141*(1-P$127)*(1-P$123)*$K202)</f>
        <v/>
      </c>
      <c r="Q202" s="202" t="str">
        <f>IF(OR(Q$122="",I141=""),"",'I. Stream &amp; Compound Data'!W196/$J141*(1-Q$127)*(1-Q$123)*$K202)</f>
        <v/>
      </c>
      <c r="R202" s="1168" t="str">
        <f>IF(OR(R$122="",I141=""),"",'I. Stream &amp; Compound Data'!Z196/$J141*(1-R$127)*(1-R$123)*$K202)</f>
        <v/>
      </c>
      <c r="S202" s="1168" t="str">
        <f>IF(OR(S$122="",I141=""),"",'I. Stream &amp; Compound Data'!AC196/$J141*(1-S$127)*(1-S$123)*$K202)</f>
        <v/>
      </c>
      <c r="T202" s="1168" t="str">
        <f>IF(OR(T$122="",I141=""),"",'I. Stream &amp; Compound Data'!AF196/$J141*(1-T$127)*(1-T$123)*$K202)</f>
        <v/>
      </c>
      <c r="U202" s="1222" t="str">
        <f>IF(OR(U$122="",I141=""),"",'I. Stream &amp; Compound Data'!AI196/$J141*(1-U$127)*(1-U$123)*$K202)</f>
        <v/>
      </c>
      <c r="V202" s="1222" t="str">
        <f>IF(OR(V$122="",I141=""),"",'I. Stream &amp; Compound Data'!AL196/$J141*(1-V$127)*(1-V$123)*$K202)</f>
        <v/>
      </c>
      <c r="W202" s="1222" t="str">
        <f>IF(OR(W$122="",I141=""),"",'I. Stream &amp; Compound Data'!AO196/$J141*(1-W$127)*(1-W$123)*$K202)</f>
        <v/>
      </c>
      <c r="X202" s="1222" t="str">
        <f>IF(OR(X$122="",I141=""),"",'I. Stream &amp; Compound Data'!AR196/$J141*(1-X$127)*(1-X$123)*$K202)</f>
        <v/>
      </c>
      <c r="Y202" s="1222" t="str">
        <f>IF(OR(Y$122="",I141=""),"",'I. Stream &amp; Compound Data'!AU196/$J141*(1-Y$127)*(1-Y$123)*$K202)</f>
        <v/>
      </c>
      <c r="Z202" s="1222" t="str">
        <f>IF(OR(Z$122="",I141=""),"",'I. Stream &amp; Compound Data'!AX196/$J141*(1-Z$127)*(1-Z$123)*$K202)</f>
        <v/>
      </c>
      <c r="AA202" s="1222" t="str">
        <f>IF(OR(AA$122="",I141=""),"",'I. Stream &amp; Compound Data'!BA196/$J141*(1-AA$127)*(1-AA$123)*$K202)</f>
        <v/>
      </c>
      <c r="AB202" s="1222" t="str">
        <f>IF(OR(AB$122="",I141=""),"",'I. Stream &amp; Compound Data'!BD196/$J141*(1-AB$127)*(1-AB$123)*$K202)</f>
        <v/>
      </c>
      <c r="AC202" s="1222" t="str">
        <f>IF(OR(AC$122="",I141=""),"",'I. Stream &amp; Compound Data'!BG196/$J141*(1-AC$127)*(1-AC$123)*$K202)</f>
        <v/>
      </c>
      <c r="AD202" s="1222" t="str">
        <f>IF(OR(AD$122="",I141=""),"",'I. Stream &amp; Compound Data'!BJ196/$J141*(1-AD$127)*(1-AD$123)*$K202)</f>
        <v/>
      </c>
      <c r="AE202" s="1222" t="str">
        <f>IF(OR(AE$122="",I141=""),"",'I. Stream &amp; Compound Data'!BM196/$J141*(1-AE$127)*(1-AE$123)*$K202)</f>
        <v/>
      </c>
      <c r="AF202" s="1222" t="str">
        <f>IF(OR(AF$122="",I141=""),"",'I. Stream &amp; Compound Data'!BP196/$J141*(1-AF$127)*(1-AF$123)*$K202)</f>
        <v/>
      </c>
      <c r="AG202" s="1222" t="str">
        <f>IF(OR(AG$122="",I141=""),"",'I. Stream &amp; Compound Data'!BS196/$J141*(1-AG$127)*(1-AG$123)*$K202)</f>
        <v/>
      </c>
      <c r="AH202" s="1222" t="str">
        <f>IF(OR(AH$122="",I141=""),"",'I. Stream &amp; Compound Data'!BV196/$J141*(1-AH$127)*(1-AH$123)*$K202)</f>
        <v/>
      </c>
      <c r="AI202" s="1222" t="str">
        <f>IF(OR(AI$122="",I141=""),"",'I. Stream &amp; Compound Data'!BY196/$J141*(1-AI$127)*(1-AI$123)*$K202)</f>
        <v/>
      </c>
      <c r="AJ202" s="1222" t="str">
        <f>IF(OR(AJ$122="",I141=""),"",'I. Stream &amp; Compound Data'!CB196/$J141*(1-AJ$127)*(1-AJ$123)*$K202)</f>
        <v/>
      </c>
      <c r="AK202" s="1222" t="str">
        <f>IF(OR(AK$122="",I141=""),"",'I. Stream &amp; Compound Data'!CE196/$J141*(1-AK$127)*(1-AK$123)*$K202)</f>
        <v/>
      </c>
      <c r="AL202" s="1222" t="str">
        <f>IF(OR(AL$122="",I141=""),"",'I. Stream &amp; Compound Data'!CH196/$J141*(1-AL$127)*(1-AL$123)*$K202)</f>
        <v/>
      </c>
      <c r="AM202" s="1222" t="str">
        <f>IF(OR(AM$122="",I141=""),"",'I. Stream &amp; Compound Data'!CK196/$J141*(1-AM$127)*(1-AM$123)*$K202)</f>
        <v/>
      </c>
      <c r="AN202" s="1222" t="str">
        <f>IF(OR(AN$122="",I141=""),"",'I. Stream &amp; Compound Data'!CN196/$J141*(1-AN$127)*(1-AN$123)*$K202)</f>
        <v/>
      </c>
      <c r="AO202" s="1222" t="str">
        <f>IF(OR(AO$122="",I141=""),"",'I. Stream &amp; Compound Data'!CQ196/$J141*(1-AO$127)*(1-AO$123)*$K202)</f>
        <v/>
      </c>
      <c r="AP202" s="1222" t="str">
        <f>IF(OR(AP$122="",I141=""),"",'I. Stream &amp; Compound Data'!CT196/$J141*(1-AP$127)*(1-AP$123)*$K202)</f>
        <v/>
      </c>
      <c r="AQ202" s="1222" t="str">
        <f>IF(OR(AQ$122="",I141=""),"",'I. Stream &amp; Compound Data'!CW196/$J141*(1-AQ$127)*(1-AQ$123)*$K202)</f>
        <v/>
      </c>
      <c r="AR202" s="1222" t="str">
        <f>IF(OR(AR$122="",I141=""),"",'I. Stream &amp; Compound Data'!CZ196/$J141*(1-AR$127)*(1-AR$123)*$K202)</f>
        <v/>
      </c>
      <c r="AS202" s="1222" t="str">
        <f>IF(OR(AS$122="",I141=""),"",'I. Stream &amp; Compound Data'!DC196/$J141*(1-AS$127)*(1-AS$123)*$K202)</f>
        <v/>
      </c>
      <c r="AT202" s="1222" t="str">
        <f>IF(OR(AT$122="",I141=""),"",'I. Stream &amp; Compound Data'!DF196/$J141*(1-AT$127)*(1-AT$123)*$K202)</f>
        <v/>
      </c>
      <c r="AU202" s="1222" t="str">
        <f>IF(OR(AU$122="",I141=""),"",'I. Stream &amp; Compound Data'!DI196/$J141*(1-AU$127)*(1-AU$123)*$K202)</f>
        <v/>
      </c>
      <c r="AV202" s="1222" t="str">
        <f>IF(OR(AV$122="",I141=""),"",'I. Stream &amp; Compound Data'!DL196/$J141*(1-AV$127)*(1-AV$123)*$K202)</f>
        <v/>
      </c>
      <c r="AW202" s="1222" t="str">
        <f>IF(OR(AW$122="",I141=""),"",'I. Stream &amp; Compound Data'!DO196/$J141*(1-AW$127)*(1-AW$123)*$K202)</f>
        <v/>
      </c>
      <c r="AX202" s="1222" t="str">
        <f>IF(OR(AX$122="",I141=""),"",'I. Stream &amp; Compound Data'!DR196/$J141*(1-AX$127)*(1-AX$123)*$K202)</f>
        <v/>
      </c>
      <c r="AY202" s="1516" t="str">
        <f>IF(OR(AY$122="",I141=""),"",'I. Stream &amp; Compound Data'!DU196/$J141*(1-AY$127)*(1-AY$123)*$K202)</f>
        <v/>
      </c>
      <c r="AZ202" s="279"/>
      <c r="BA202" s="279"/>
      <c r="BB202" s="279"/>
      <c r="BC202" s="279"/>
      <c r="BD202" s="279"/>
      <c r="BE202" s="279"/>
      <c r="BF202" s="279"/>
      <c r="BG202" s="279"/>
      <c r="BH202" s="279"/>
      <c r="BI202" s="279"/>
      <c r="BJ202" s="279"/>
      <c r="BK202" s="279"/>
      <c r="BL202" s="279"/>
      <c r="BM202" s="279"/>
      <c r="BN202" s="279"/>
      <c r="BO202" s="279"/>
      <c r="BP202" s="279"/>
      <c r="BQ202" s="279"/>
      <c r="BR202" s="279"/>
      <c r="BS202" s="279"/>
      <c r="BT202" s="279"/>
      <c r="BU202" s="279"/>
      <c r="BV202" s="279"/>
      <c r="BW202" s="279"/>
      <c r="BX202" s="279"/>
      <c r="BY202" s="279"/>
      <c r="BZ202" s="279"/>
      <c r="CA202" s="279"/>
      <c r="CB202" s="279"/>
      <c r="CC202" s="279"/>
      <c r="CD202" s="279"/>
      <c r="CE202" s="279"/>
      <c r="CF202" s="279"/>
      <c r="CG202" s="279"/>
      <c r="CH202" s="279"/>
      <c r="CI202" s="279"/>
      <c r="CJ202" s="279"/>
      <c r="CK202" s="279"/>
      <c r="CL202" s="279"/>
      <c r="CM202" s="279"/>
      <c r="CN202" s="382"/>
    </row>
    <row r="203" ht="15.6" x14ac:dyDescent="0.25">
      <c r="B203" s="361"/>
      <c r="C203" s="279"/>
      <c r="D203" s="280"/>
      <c r="E203" s="287"/>
      <c r="F203" s="287"/>
      <c r="G203" s="287"/>
      <c r="H203" s="280"/>
      <c r="I203" s="304"/>
      <c r="J203" s="1292">
        <f t="shared" si="23"/>
        <v>12</v>
      </c>
      <c r="K203" s="1242" t="str">
        <f>IF('I. Stream &amp; Compound Data'!G273="","",IF('I. Stream &amp; Compound Data'!V273=1,0,1))</f>
        <v/>
      </c>
      <c r="L203" s="1242" t="str">
        <f>IF(OR(L$122="",I142=""),"",'I. Stream &amp; Compound Data'!H197/$J142*(1-L$127)*(1-L$123)*$K203)</f>
        <v/>
      </c>
      <c r="M203" s="1242" t="str">
        <f>IF(OR(M$122="",I142=""),"",'I. Stream &amp; Compound Data'!K197/$J142*(1-M$127)*(1-M$123)*$K203)</f>
        <v/>
      </c>
      <c r="N203" s="1306" t="str">
        <f>IF(OR(N$122="",I142=""),"",'I. Stream &amp; Compound Data'!N197/$J142*(1-N$127)*(1-N$123)*$K203)</f>
        <v/>
      </c>
      <c r="O203" s="1242" t="str">
        <f>IF(OR(O$122="",I142=""),"",'I. Stream &amp; Compound Data'!Q197/$J142*(1-O$127)*(1-O$123)*$K203)</f>
        <v/>
      </c>
      <c r="P203" s="1242" t="str">
        <f>IF(OR(P$122="",I142=""),"",'I. Stream &amp; Compound Data'!T197/$J142*(1-P$127)*(1-P$123)*$K203)</f>
        <v/>
      </c>
      <c r="Q203" s="202" t="str">
        <f>IF(OR(Q$122="",I142=""),"",'I. Stream &amp; Compound Data'!W197/$J142*(1-Q$127)*(1-Q$123)*$K203)</f>
        <v/>
      </c>
      <c r="R203" s="1168" t="str">
        <f>IF(OR(R$122="",I142=""),"",'I. Stream &amp; Compound Data'!Z197/$J142*(1-R$127)*(1-R$123)*$K203)</f>
        <v/>
      </c>
      <c r="S203" s="1168" t="str">
        <f>IF(OR(S$122="",I142=""),"",'I. Stream &amp; Compound Data'!AC197/$J142*(1-S$127)*(1-S$123)*$K203)</f>
        <v/>
      </c>
      <c r="T203" s="1168" t="str">
        <f>IF(OR(T$122="",I142=""),"",'I. Stream &amp; Compound Data'!AF197/$J142*(1-T$127)*(1-T$123)*$K203)</f>
        <v/>
      </c>
      <c r="U203" s="1222" t="str">
        <f>IF(OR(U$122="",I142=""),"",'I. Stream &amp; Compound Data'!AI197/$J142*(1-U$127)*(1-U$123)*$K203)</f>
        <v/>
      </c>
      <c r="V203" s="1222" t="str">
        <f>IF(OR(V$122="",I142=""),"",'I. Stream &amp; Compound Data'!AL197/$J142*(1-V$127)*(1-V$123)*$K203)</f>
        <v/>
      </c>
      <c r="W203" s="1222" t="str">
        <f>IF(OR(W$122="",I142=""),"",'I. Stream &amp; Compound Data'!AO197/$J142*(1-W$127)*(1-W$123)*$K203)</f>
        <v/>
      </c>
      <c r="X203" s="1222" t="str">
        <f>IF(OR(X$122="",I142=""),"",'I. Stream &amp; Compound Data'!AR197/$J142*(1-X$127)*(1-X$123)*$K203)</f>
        <v/>
      </c>
      <c r="Y203" s="1222" t="str">
        <f>IF(OR(Y$122="",I142=""),"",'I. Stream &amp; Compound Data'!AU197/$J142*(1-Y$127)*(1-Y$123)*$K203)</f>
        <v/>
      </c>
      <c r="Z203" s="1222" t="str">
        <f>IF(OR(Z$122="",I142=""),"",'I. Stream &amp; Compound Data'!AX197/$J142*(1-Z$127)*(1-Z$123)*$K203)</f>
        <v/>
      </c>
      <c r="AA203" s="1222" t="str">
        <f>IF(OR(AA$122="",I142=""),"",'I. Stream &amp; Compound Data'!BA197/$J142*(1-AA$127)*(1-AA$123)*$K203)</f>
        <v/>
      </c>
      <c r="AB203" s="1222" t="str">
        <f>IF(OR(AB$122="",I142=""),"",'I. Stream &amp; Compound Data'!BD197/$J142*(1-AB$127)*(1-AB$123)*$K203)</f>
        <v/>
      </c>
      <c r="AC203" s="1222" t="str">
        <f>IF(OR(AC$122="",I142=""),"",'I. Stream &amp; Compound Data'!BG197/$J142*(1-AC$127)*(1-AC$123)*$K203)</f>
        <v/>
      </c>
      <c r="AD203" s="1222" t="str">
        <f>IF(OR(AD$122="",I142=""),"",'I. Stream &amp; Compound Data'!BJ197/$J142*(1-AD$127)*(1-AD$123)*$K203)</f>
        <v/>
      </c>
      <c r="AE203" s="1222" t="str">
        <f>IF(OR(AE$122="",I142=""),"",'I. Stream &amp; Compound Data'!BM197/$J142*(1-AE$127)*(1-AE$123)*$K203)</f>
        <v/>
      </c>
      <c r="AF203" s="1222" t="str">
        <f>IF(OR(AF$122="",I142=""),"",'I. Stream &amp; Compound Data'!BP197/$J142*(1-AF$127)*(1-AF$123)*$K203)</f>
        <v/>
      </c>
      <c r="AG203" s="1222" t="str">
        <f>IF(OR(AG$122="",I142=""),"",'I. Stream &amp; Compound Data'!BS197/$J142*(1-AG$127)*(1-AG$123)*$K203)</f>
        <v/>
      </c>
      <c r="AH203" s="1222" t="str">
        <f>IF(OR(AH$122="",I142=""),"",'I. Stream &amp; Compound Data'!BV197/$J142*(1-AH$127)*(1-AH$123)*$K203)</f>
        <v/>
      </c>
      <c r="AI203" s="1222" t="str">
        <f>IF(OR(AI$122="",I142=""),"",'I. Stream &amp; Compound Data'!BY197/$J142*(1-AI$127)*(1-AI$123)*$K203)</f>
        <v/>
      </c>
      <c r="AJ203" s="1222" t="str">
        <f>IF(OR(AJ$122="",I142=""),"",'I. Stream &amp; Compound Data'!CB197/$J142*(1-AJ$127)*(1-AJ$123)*$K203)</f>
        <v/>
      </c>
      <c r="AK203" s="1222" t="str">
        <f>IF(OR(AK$122="",I142=""),"",'I. Stream &amp; Compound Data'!CE197/$J142*(1-AK$127)*(1-AK$123)*$K203)</f>
        <v/>
      </c>
      <c r="AL203" s="1222" t="str">
        <f>IF(OR(AL$122="",I142=""),"",'I. Stream &amp; Compound Data'!CH197/$J142*(1-AL$127)*(1-AL$123)*$K203)</f>
        <v/>
      </c>
      <c r="AM203" s="1222" t="str">
        <f>IF(OR(AM$122="",I142=""),"",'I. Stream &amp; Compound Data'!CK197/$J142*(1-AM$127)*(1-AM$123)*$K203)</f>
        <v/>
      </c>
      <c r="AN203" s="1222" t="str">
        <f>IF(OR(AN$122="",I142=""),"",'I. Stream &amp; Compound Data'!CN197/$J142*(1-AN$127)*(1-AN$123)*$K203)</f>
        <v/>
      </c>
      <c r="AO203" s="1222" t="str">
        <f>IF(OR(AO$122="",I142=""),"",'I. Stream &amp; Compound Data'!CQ197/$J142*(1-AO$127)*(1-AO$123)*$K203)</f>
        <v/>
      </c>
      <c r="AP203" s="1222" t="str">
        <f>IF(OR(AP$122="",I142=""),"",'I. Stream &amp; Compound Data'!CT197/$J142*(1-AP$127)*(1-AP$123)*$K203)</f>
        <v/>
      </c>
      <c r="AQ203" s="1222" t="str">
        <f>IF(OR(AQ$122="",I142=""),"",'I. Stream &amp; Compound Data'!CW197/$J142*(1-AQ$127)*(1-AQ$123)*$K203)</f>
        <v/>
      </c>
      <c r="AR203" s="1222" t="str">
        <f>IF(OR(AR$122="",I142=""),"",'I. Stream &amp; Compound Data'!CZ197/$J142*(1-AR$127)*(1-AR$123)*$K203)</f>
        <v/>
      </c>
      <c r="AS203" s="1222" t="str">
        <f>IF(OR(AS$122="",I142=""),"",'I. Stream &amp; Compound Data'!DC197/$J142*(1-AS$127)*(1-AS$123)*$K203)</f>
        <v/>
      </c>
      <c r="AT203" s="1222" t="str">
        <f>IF(OR(AT$122="",I142=""),"",'I. Stream &amp; Compound Data'!DF197/$J142*(1-AT$127)*(1-AT$123)*$K203)</f>
        <v/>
      </c>
      <c r="AU203" s="1222" t="str">
        <f>IF(OR(AU$122="",I142=""),"",'I. Stream &amp; Compound Data'!DI197/$J142*(1-AU$127)*(1-AU$123)*$K203)</f>
        <v/>
      </c>
      <c r="AV203" s="1222" t="str">
        <f>IF(OR(AV$122="",I142=""),"",'I. Stream &amp; Compound Data'!DL197/$J142*(1-AV$127)*(1-AV$123)*$K203)</f>
        <v/>
      </c>
      <c r="AW203" s="1222" t="str">
        <f>IF(OR(AW$122="",I142=""),"",'I. Stream &amp; Compound Data'!DO197/$J142*(1-AW$127)*(1-AW$123)*$K203)</f>
        <v/>
      </c>
      <c r="AX203" s="1222" t="str">
        <f>IF(OR(AX$122="",I142=""),"",'I. Stream &amp; Compound Data'!DR197/$J142*(1-AX$127)*(1-AX$123)*$K203)</f>
        <v/>
      </c>
      <c r="AY203" s="1516" t="str">
        <f>IF(OR(AY$122="",I142=""),"",'I. Stream &amp; Compound Data'!DU197/$J142*(1-AY$127)*(1-AY$123)*$K203)</f>
        <v/>
      </c>
      <c r="AZ203" s="279"/>
      <c r="BA203" s="279"/>
      <c r="BB203" s="279"/>
      <c r="BC203" s="279"/>
      <c r="BD203" s="279"/>
      <c r="BE203" s="279"/>
      <c r="BF203" s="279"/>
      <c r="BG203" s="279"/>
      <c r="BH203" s="279"/>
      <c r="BI203" s="279"/>
      <c r="BJ203" s="279"/>
      <c r="BK203" s="279"/>
      <c r="BL203" s="279"/>
      <c r="BM203" s="279"/>
      <c r="BN203" s="279"/>
      <c r="BO203" s="279"/>
      <c r="BP203" s="279"/>
      <c r="BQ203" s="279"/>
      <c r="BR203" s="279"/>
      <c r="BS203" s="279"/>
      <c r="BT203" s="279"/>
      <c r="BU203" s="279"/>
      <c r="BV203" s="279"/>
      <c r="BW203" s="279"/>
      <c r="BX203" s="279"/>
      <c r="BY203" s="279"/>
      <c r="BZ203" s="279"/>
      <c r="CA203" s="279"/>
      <c r="CB203" s="279"/>
      <c r="CC203" s="279"/>
      <c r="CD203" s="279"/>
      <c r="CE203" s="279"/>
      <c r="CF203" s="279"/>
      <c r="CG203" s="279"/>
      <c r="CH203" s="279"/>
      <c r="CI203" s="279"/>
      <c r="CJ203" s="279"/>
      <c r="CK203" s="279"/>
      <c r="CL203" s="279"/>
      <c r="CM203" s="279"/>
      <c r="CN203" s="382"/>
    </row>
    <row r="204" ht="15.6" x14ac:dyDescent="0.25">
      <c r="B204" s="361"/>
      <c r="C204" s="279"/>
      <c r="D204" s="280"/>
      <c r="E204" s="287"/>
      <c r="F204" s="287"/>
      <c r="G204" s="287"/>
      <c r="H204" s="280"/>
      <c r="I204" s="304"/>
      <c r="J204" s="1292">
        <f t="shared" si="23"/>
        <v>13</v>
      </c>
      <c r="K204" s="1242" t="str">
        <f>IF('I. Stream &amp; Compound Data'!G274="","",IF('I. Stream &amp; Compound Data'!V274=1,0,1))</f>
        <v/>
      </c>
      <c r="L204" s="1242" t="str">
        <f>IF(OR(L$122="",I143=""),"",'I. Stream &amp; Compound Data'!H198/$J143*(1-L$127)*(1-L$123)*$K204)</f>
        <v/>
      </c>
      <c r="M204" s="1242" t="str">
        <f>IF(OR(M$122="",I143=""),"",'I. Stream &amp; Compound Data'!K198/$J143*(1-M$127)*(1-M$123)*$K204)</f>
        <v/>
      </c>
      <c r="N204" s="1306" t="str">
        <f>IF(OR(N$122="",I143=""),"",'I. Stream &amp; Compound Data'!N198/$J143*(1-N$127)*(1-N$123)*$K204)</f>
        <v/>
      </c>
      <c r="O204" s="1242" t="str">
        <f>IF(OR(O$122="",I143=""),"",'I. Stream &amp; Compound Data'!Q198/$J143*(1-O$127)*(1-O$123)*$K204)</f>
        <v/>
      </c>
      <c r="P204" s="1242" t="str">
        <f>IF(OR(P$122="",I143=""),"",'I. Stream &amp; Compound Data'!T198/$J143*(1-P$127)*(1-P$123)*$K204)</f>
        <v/>
      </c>
      <c r="Q204" s="202" t="str">
        <f>IF(OR(Q$122="",I143=""),"",'I. Stream &amp; Compound Data'!W198/$J143*(1-Q$127)*(1-Q$123)*$K204)</f>
        <v/>
      </c>
      <c r="R204" s="1168" t="str">
        <f>IF(OR(R$122="",I143=""),"",'I. Stream &amp; Compound Data'!Z198/$J143*(1-R$127)*(1-R$123)*$K204)</f>
        <v/>
      </c>
      <c r="S204" s="1168" t="str">
        <f>IF(OR(S$122="",I143=""),"",'I. Stream &amp; Compound Data'!AC198/$J143*(1-S$127)*(1-S$123)*$K204)</f>
        <v/>
      </c>
      <c r="T204" s="1168" t="str">
        <f>IF(OR(T$122="",I143=""),"",'I. Stream &amp; Compound Data'!AF198/$J143*(1-T$127)*(1-T$123)*$K204)</f>
        <v/>
      </c>
      <c r="U204" s="1222" t="str">
        <f>IF(OR(U$122="",I143=""),"",'I. Stream &amp; Compound Data'!AI198/$J143*(1-U$127)*(1-U$123)*$K204)</f>
        <v/>
      </c>
      <c r="V204" s="1222" t="str">
        <f>IF(OR(V$122="",I143=""),"",'I. Stream &amp; Compound Data'!AL198/$J143*(1-V$127)*(1-V$123)*$K204)</f>
        <v/>
      </c>
      <c r="W204" s="1222" t="str">
        <f>IF(OR(W$122="",I143=""),"",'I. Stream &amp; Compound Data'!AO198/$J143*(1-W$127)*(1-W$123)*$K204)</f>
        <v/>
      </c>
      <c r="X204" s="1222" t="str">
        <f>IF(OR(X$122="",I143=""),"",'I. Stream &amp; Compound Data'!AR198/$J143*(1-X$127)*(1-X$123)*$K204)</f>
        <v/>
      </c>
      <c r="Y204" s="1222" t="str">
        <f>IF(OR(Y$122="",I143=""),"",'I. Stream &amp; Compound Data'!AU198/$J143*(1-Y$127)*(1-Y$123)*$K204)</f>
        <v/>
      </c>
      <c r="Z204" s="1222" t="str">
        <f>IF(OR(Z$122="",I143=""),"",'I. Stream &amp; Compound Data'!AX198/$J143*(1-Z$127)*(1-Z$123)*$K204)</f>
        <v/>
      </c>
      <c r="AA204" s="1222" t="str">
        <f>IF(OR(AA$122="",I143=""),"",'I. Stream &amp; Compound Data'!BA198/$J143*(1-AA$127)*(1-AA$123)*$K204)</f>
        <v/>
      </c>
      <c r="AB204" s="1222" t="str">
        <f>IF(OR(AB$122="",I143=""),"",'I. Stream &amp; Compound Data'!BD198/$J143*(1-AB$127)*(1-AB$123)*$K204)</f>
        <v/>
      </c>
      <c r="AC204" s="1222" t="str">
        <f>IF(OR(AC$122="",I143=""),"",'I. Stream &amp; Compound Data'!BG198/$J143*(1-AC$127)*(1-AC$123)*$K204)</f>
        <v/>
      </c>
      <c r="AD204" s="1222" t="str">
        <f>IF(OR(AD$122="",I143=""),"",'I. Stream &amp; Compound Data'!BJ198/$J143*(1-AD$127)*(1-AD$123)*$K204)</f>
        <v/>
      </c>
      <c r="AE204" s="1222" t="str">
        <f>IF(OR(AE$122="",I143=""),"",'I. Stream &amp; Compound Data'!BM198/$J143*(1-AE$127)*(1-AE$123)*$K204)</f>
        <v/>
      </c>
      <c r="AF204" s="1222" t="str">
        <f>IF(OR(AF$122="",I143=""),"",'I. Stream &amp; Compound Data'!BP198/$J143*(1-AF$127)*(1-AF$123)*$K204)</f>
        <v/>
      </c>
      <c r="AG204" s="1222" t="str">
        <f>IF(OR(AG$122="",I143=""),"",'I. Stream &amp; Compound Data'!BS198/$J143*(1-AG$127)*(1-AG$123)*$K204)</f>
        <v/>
      </c>
      <c r="AH204" s="1222" t="str">
        <f>IF(OR(AH$122="",I143=""),"",'I. Stream &amp; Compound Data'!BV198/$J143*(1-AH$127)*(1-AH$123)*$K204)</f>
        <v/>
      </c>
      <c r="AI204" s="1222" t="str">
        <f>IF(OR(AI$122="",I143=""),"",'I. Stream &amp; Compound Data'!BY198/$J143*(1-AI$127)*(1-AI$123)*$K204)</f>
        <v/>
      </c>
      <c r="AJ204" s="1222" t="str">
        <f>IF(OR(AJ$122="",I143=""),"",'I. Stream &amp; Compound Data'!CB198/$J143*(1-AJ$127)*(1-AJ$123)*$K204)</f>
        <v/>
      </c>
      <c r="AK204" s="1222" t="str">
        <f>IF(OR(AK$122="",I143=""),"",'I. Stream &amp; Compound Data'!CE198/$J143*(1-AK$127)*(1-AK$123)*$K204)</f>
        <v/>
      </c>
      <c r="AL204" s="1222" t="str">
        <f>IF(OR(AL$122="",I143=""),"",'I. Stream &amp; Compound Data'!CH198/$J143*(1-AL$127)*(1-AL$123)*$K204)</f>
        <v/>
      </c>
      <c r="AM204" s="1222" t="str">
        <f>IF(OR(AM$122="",I143=""),"",'I. Stream &amp; Compound Data'!CK198/$J143*(1-AM$127)*(1-AM$123)*$K204)</f>
        <v/>
      </c>
      <c r="AN204" s="1222" t="str">
        <f>IF(OR(AN$122="",I143=""),"",'I. Stream &amp; Compound Data'!CN198/$J143*(1-AN$127)*(1-AN$123)*$K204)</f>
        <v/>
      </c>
      <c r="AO204" s="1222" t="str">
        <f>IF(OR(AO$122="",I143=""),"",'I. Stream &amp; Compound Data'!CQ198/$J143*(1-AO$127)*(1-AO$123)*$K204)</f>
        <v/>
      </c>
      <c r="AP204" s="1222" t="str">
        <f>IF(OR(AP$122="",I143=""),"",'I. Stream &amp; Compound Data'!CT198/$J143*(1-AP$127)*(1-AP$123)*$K204)</f>
        <v/>
      </c>
      <c r="AQ204" s="1222" t="str">
        <f>IF(OR(AQ$122="",I143=""),"",'I. Stream &amp; Compound Data'!CW198/$J143*(1-AQ$127)*(1-AQ$123)*$K204)</f>
        <v/>
      </c>
      <c r="AR204" s="1222" t="str">
        <f>IF(OR(AR$122="",I143=""),"",'I. Stream &amp; Compound Data'!CZ198/$J143*(1-AR$127)*(1-AR$123)*$K204)</f>
        <v/>
      </c>
      <c r="AS204" s="1222" t="str">
        <f>IF(OR(AS$122="",I143=""),"",'I. Stream &amp; Compound Data'!DC198/$J143*(1-AS$127)*(1-AS$123)*$K204)</f>
        <v/>
      </c>
      <c r="AT204" s="1222" t="str">
        <f>IF(OR(AT$122="",I143=""),"",'I. Stream &amp; Compound Data'!DF198/$J143*(1-AT$127)*(1-AT$123)*$K204)</f>
        <v/>
      </c>
      <c r="AU204" s="1222" t="str">
        <f>IF(OR(AU$122="",I143=""),"",'I. Stream &amp; Compound Data'!DI198/$J143*(1-AU$127)*(1-AU$123)*$K204)</f>
        <v/>
      </c>
      <c r="AV204" s="1222" t="str">
        <f>IF(OR(AV$122="",I143=""),"",'I. Stream &amp; Compound Data'!DL198/$J143*(1-AV$127)*(1-AV$123)*$K204)</f>
        <v/>
      </c>
      <c r="AW204" s="1222" t="str">
        <f>IF(OR(AW$122="",I143=""),"",'I. Stream &amp; Compound Data'!DO198/$J143*(1-AW$127)*(1-AW$123)*$K204)</f>
        <v/>
      </c>
      <c r="AX204" s="1222" t="str">
        <f>IF(OR(AX$122="",I143=""),"",'I. Stream &amp; Compound Data'!DR198/$J143*(1-AX$127)*(1-AX$123)*$K204)</f>
        <v/>
      </c>
      <c r="AY204" s="1516" t="str">
        <f>IF(OR(AY$122="",I143=""),"",'I. Stream &amp; Compound Data'!DU198/$J143*(1-AY$127)*(1-AY$123)*$K204)</f>
        <v/>
      </c>
      <c r="AZ204" s="279"/>
      <c r="BA204" s="279"/>
      <c r="BB204" s="279"/>
      <c r="BC204" s="279"/>
      <c r="BD204" s="279"/>
      <c r="BE204" s="279"/>
      <c r="BF204" s="279"/>
      <c r="BG204" s="279"/>
      <c r="BH204" s="279"/>
      <c r="BI204" s="279"/>
      <c r="BJ204" s="279"/>
      <c r="BK204" s="279"/>
      <c r="BL204" s="279"/>
      <c r="BM204" s="279"/>
      <c r="BN204" s="279"/>
      <c r="BO204" s="279"/>
      <c r="BP204" s="279"/>
      <c r="BQ204" s="279"/>
      <c r="BR204" s="279"/>
      <c r="BS204" s="279"/>
      <c r="BT204" s="279"/>
      <c r="BU204" s="279"/>
      <c r="BV204" s="279"/>
      <c r="BW204" s="279"/>
      <c r="BX204" s="279"/>
      <c r="BY204" s="279"/>
      <c r="BZ204" s="279"/>
      <c r="CA204" s="279"/>
      <c r="CB204" s="279"/>
      <c r="CC204" s="279"/>
      <c r="CD204" s="279"/>
      <c r="CE204" s="279"/>
      <c r="CF204" s="279"/>
      <c r="CG204" s="279"/>
      <c r="CH204" s="279"/>
      <c r="CI204" s="279"/>
      <c r="CJ204" s="279"/>
      <c r="CK204" s="279"/>
      <c r="CL204" s="279"/>
      <c r="CM204" s="279"/>
      <c r="CN204" s="382"/>
    </row>
    <row r="205" ht="15.6" x14ac:dyDescent="0.25">
      <c r="B205" s="361"/>
      <c r="C205" s="279"/>
      <c r="D205" s="280"/>
      <c r="E205" s="287"/>
      <c r="F205" s="287"/>
      <c r="G205" s="287"/>
      <c r="H205" s="280"/>
      <c r="I205" s="304"/>
      <c r="J205" s="1292">
        <f t="shared" si="23"/>
        <v>14</v>
      </c>
      <c r="K205" s="1242" t="str">
        <f>IF('I. Stream &amp; Compound Data'!G275="","",IF('I. Stream &amp; Compound Data'!V275=1,0,1))</f>
        <v/>
      </c>
      <c r="L205" s="1242" t="str">
        <f>IF(OR(L$122="",I144=""),"",'I. Stream &amp; Compound Data'!H199/$J144*(1-L$127)*(1-L$123)*$K205)</f>
        <v/>
      </c>
      <c r="M205" s="1242" t="str">
        <f>IF(OR(M$122="",I144=""),"",'I. Stream &amp; Compound Data'!K199/$J144*(1-M$127)*(1-M$123)*$K205)</f>
        <v/>
      </c>
      <c r="N205" s="1306" t="str">
        <f>IF(OR(N$122="",I144=""),"",'I. Stream &amp; Compound Data'!N199/$J144*(1-N$127)*(1-N$123)*$K205)</f>
        <v/>
      </c>
      <c r="O205" s="1242" t="str">
        <f>IF(OR(O$122="",I144=""),"",'I. Stream &amp; Compound Data'!Q199/$J144*(1-O$127)*(1-O$123)*$K205)</f>
        <v/>
      </c>
      <c r="P205" s="1242" t="str">
        <f>IF(OR(P$122="",I144=""),"",'I. Stream &amp; Compound Data'!T199/$J144*(1-P$127)*(1-P$123)*$K205)</f>
        <v/>
      </c>
      <c r="Q205" s="202" t="str">
        <f>IF(OR(Q$122="",I144=""),"",'I. Stream &amp; Compound Data'!W199/$J144*(1-Q$127)*(1-Q$123)*$K205)</f>
        <v/>
      </c>
      <c r="R205" s="1168" t="str">
        <f>IF(OR(R$122="",I144=""),"",'I. Stream &amp; Compound Data'!Z199/$J144*(1-R$127)*(1-R$123)*$K205)</f>
        <v/>
      </c>
      <c r="S205" s="1168" t="str">
        <f>IF(OR(S$122="",I144=""),"",'I. Stream &amp; Compound Data'!AC199/$J144*(1-S$127)*(1-S$123)*$K205)</f>
        <v/>
      </c>
      <c r="T205" s="1168" t="str">
        <f>IF(OR(T$122="",I144=""),"",'I. Stream &amp; Compound Data'!AF199/$J144*(1-T$127)*(1-T$123)*$K205)</f>
        <v/>
      </c>
      <c r="U205" s="1222" t="str">
        <f>IF(OR(U$122="",I144=""),"",'I. Stream &amp; Compound Data'!AI199/$J144*(1-U$127)*(1-U$123)*$K205)</f>
        <v/>
      </c>
      <c r="V205" s="1222" t="str">
        <f>IF(OR(V$122="",I144=""),"",'I. Stream &amp; Compound Data'!AL199/$J144*(1-V$127)*(1-V$123)*$K205)</f>
        <v/>
      </c>
      <c r="W205" s="1222" t="str">
        <f>IF(OR(W$122="",I144=""),"",'I. Stream &amp; Compound Data'!AO199/$J144*(1-W$127)*(1-W$123)*$K205)</f>
        <v/>
      </c>
      <c r="X205" s="1222" t="str">
        <f>IF(OR(X$122="",I144=""),"",'I. Stream &amp; Compound Data'!AR199/$J144*(1-X$127)*(1-X$123)*$K205)</f>
        <v/>
      </c>
      <c r="Y205" s="1222" t="str">
        <f>IF(OR(Y$122="",I144=""),"",'I. Stream &amp; Compound Data'!AU199/$J144*(1-Y$127)*(1-Y$123)*$K205)</f>
        <v/>
      </c>
      <c r="Z205" s="1222" t="str">
        <f>IF(OR(Z$122="",I144=""),"",'I. Stream &amp; Compound Data'!AX199/$J144*(1-Z$127)*(1-Z$123)*$K205)</f>
        <v/>
      </c>
      <c r="AA205" s="1222" t="str">
        <f>IF(OR(AA$122="",I144=""),"",'I. Stream &amp; Compound Data'!BA199/$J144*(1-AA$127)*(1-AA$123)*$K205)</f>
        <v/>
      </c>
      <c r="AB205" s="1222" t="str">
        <f>IF(OR(AB$122="",I144=""),"",'I. Stream &amp; Compound Data'!BD199/$J144*(1-AB$127)*(1-AB$123)*$K205)</f>
        <v/>
      </c>
      <c r="AC205" s="1222" t="str">
        <f>IF(OR(AC$122="",I144=""),"",'I. Stream &amp; Compound Data'!BG199/$J144*(1-AC$127)*(1-AC$123)*$K205)</f>
        <v/>
      </c>
      <c r="AD205" s="1222" t="str">
        <f>IF(OR(AD$122="",I144=""),"",'I. Stream &amp; Compound Data'!BJ199/$J144*(1-AD$127)*(1-AD$123)*$K205)</f>
        <v/>
      </c>
      <c r="AE205" s="1222" t="str">
        <f>IF(OR(AE$122="",I144=""),"",'I. Stream &amp; Compound Data'!BM199/$J144*(1-AE$127)*(1-AE$123)*$K205)</f>
        <v/>
      </c>
      <c r="AF205" s="1222" t="str">
        <f>IF(OR(AF$122="",I144=""),"",'I. Stream &amp; Compound Data'!BP199/$J144*(1-AF$127)*(1-AF$123)*$K205)</f>
        <v/>
      </c>
      <c r="AG205" s="1222" t="str">
        <f>IF(OR(AG$122="",I144=""),"",'I. Stream &amp; Compound Data'!BS199/$J144*(1-AG$127)*(1-AG$123)*$K205)</f>
        <v/>
      </c>
      <c r="AH205" s="1222" t="str">
        <f>IF(OR(AH$122="",I144=""),"",'I. Stream &amp; Compound Data'!BV199/$J144*(1-AH$127)*(1-AH$123)*$K205)</f>
        <v/>
      </c>
      <c r="AI205" s="1222" t="str">
        <f>IF(OR(AI$122="",I144=""),"",'I. Stream &amp; Compound Data'!BY199/$J144*(1-AI$127)*(1-AI$123)*$K205)</f>
        <v/>
      </c>
      <c r="AJ205" s="1222" t="str">
        <f>IF(OR(AJ$122="",I144=""),"",'I. Stream &amp; Compound Data'!CB199/$J144*(1-AJ$127)*(1-AJ$123)*$K205)</f>
        <v/>
      </c>
      <c r="AK205" s="1222" t="str">
        <f>IF(OR(AK$122="",I144=""),"",'I. Stream &amp; Compound Data'!CE199/$J144*(1-AK$127)*(1-AK$123)*$K205)</f>
        <v/>
      </c>
      <c r="AL205" s="1222" t="str">
        <f>IF(OR(AL$122="",I144=""),"",'I. Stream &amp; Compound Data'!CH199/$J144*(1-AL$127)*(1-AL$123)*$K205)</f>
        <v/>
      </c>
      <c r="AM205" s="1222" t="str">
        <f>IF(OR(AM$122="",I144=""),"",'I. Stream &amp; Compound Data'!CK199/$J144*(1-AM$127)*(1-AM$123)*$K205)</f>
        <v/>
      </c>
      <c r="AN205" s="1222" t="str">
        <f>IF(OR(AN$122="",I144=""),"",'I. Stream &amp; Compound Data'!CN199/$J144*(1-AN$127)*(1-AN$123)*$K205)</f>
        <v/>
      </c>
      <c r="AO205" s="1222" t="str">
        <f>IF(OR(AO$122="",I144=""),"",'I. Stream &amp; Compound Data'!CQ199/$J144*(1-AO$127)*(1-AO$123)*$K205)</f>
        <v/>
      </c>
      <c r="AP205" s="1222" t="str">
        <f>IF(OR(AP$122="",I144=""),"",'I. Stream &amp; Compound Data'!CT199/$J144*(1-AP$127)*(1-AP$123)*$K205)</f>
        <v/>
      </c>
      <c r="AQ205" s="1222" t="str">
        <f>IF(OR(AQ$122="",I144=""),"",'I. Stream &amp; Compound Data'!CW199/$J144*(1-AQ$127)*(1-AQ$123)*$K205)</f>
        <v/>
      </c>
      <c r="AR205" s="1222" t="str">
        <f>IF(OR(AR$122="",I144=""),"",'I. Stream &amp; Compound Data'!CZ199/$J144*(1-AR$127)*(1-AR$123)*$K205)</f>
        <v/>
      </c>
      <c r="AS205" s="1222" t="str">
        <f>IF(OR(AS$122="",I144=""),"",'I. Stream &amp; Compound Data'!DC199/$J144*(1-AS$127)*(1-AS$123)*$K205)</f>
        <v/>
      </c>
      <c r="AT205" s="1222" t="str">
        <f>IF(OR(AT$122="",I144=""),"",'I. Stream &amp; Compound Data'!DF199/$J144*(1-AT$127)*(1-AT$123)*$K205)</f>
        <v/>
      </c>
      <c r="AU205" s="1222" t="str">
        <f>IF(OR(AU$122="",I144=""),"",'I. Stream &amp; Compound Data'!DI199/$J144*(1-AU$127)*(1-AU$123)*$K205)</f>
        <v/>
      </c>
      <c r="AV205" s="1222" t="str">
        <f>IF(OR(AV$122="",I144=""),"",'I. Stream &amp; Compound Data'!DL199/$J144*(1-AV$127)*(1-AV$123)*$K205)</f>
        <v/>
      </c>
      <c r="AW205" s="1222" t="str">
        <f>IF(OR(AW$122="",I144=""),"",'I. Stream &amp; Compound Data'!DO199/$J144*(1-AW$127)*(1-AW$123)*$K205)</f>
        <v/>
      </c>
      <c r="AX205" s="1222" t="str">
        <f>IF(OR(AX$122="",I144=""),"",'I. Stream &amp; Compound Data'!DR199/$J144*(1-AX$127)*(1-AX$123)*$K205)</f>
        <v/>
      </c>
      <c r="AY205" s="1516" t="str">
        <f>IF(OR(AY$122="",I144=""),"",'I. Stream &amp; Compound Data'!DU199/$J144*(1-AY$127)*(1-AY$123)*$K205)</f>
        <v/>
      </c>
      <c r="AZ205" s="279"/>
      <c r="BA205" s="279"/>
      <c r="BB205" s="279"/>
      <c r="BC205" s="279"/>
      <c r="BD205" s="279"/>
      <c r="BE205" s="279"/>
      <c r="BF205" s="279"/>
      <c r="BG205" s="279"/>
      <c r="BH205" s="279"/>
      <c r="BI205" s="279"/>
      <c r="BJ205" s="279"/>
      <c r="BK205" s="279"/>
      <c r="BL205" s="279"/>
      <c r="BM205" s="279"/>
      <c r="BN205" s="279"/>
      <c r="BO205" s="279"/>
      <c r="BP205" s="279"/>
      <c r="BQ205" s="279"/>
      <c r="BR205" s="279"/>
      <c r="BS205" s="279"/>
      <c r="BT205" s="279"/>
      <c r="BU205" s="279"/>
      <c r="BV205" s="279"/>
      <c r="BW205" s="279"/>
      <c r="BX205" s="279"/>
      <c r="BY205" s="279"/>
      <c r="BZ205" s="279"/>
      <c r="CA205" s="279"/>
      <c r="CB205" s="279"/>
      <c r="CC205" s="279"/>
      <c r="CD205" s="279"/>
      <c r="CE205" s="279"/>
      <c r="CF205" s="279"/>
      <c r="CG205" s="279"/>
      <c r="CH205" s="279"/>
      <c r="CI205" s="279"/>
      <c r="CJ205" s="279"/>
      <c r="CK205" s="279"/>
      <c r="CL205" s="279"/>
      <c r="CM205" s="279"/>
      <c r="CN205" s="382"/>
    </row>
    <row r="206" ht="15.6" x14ac:dyDescent="0.25">
      <c r="B206" s="361"/>
      <c r="C206" s="279"/>
      <c r="D206" s="280"/>
      <c r="E206" s="287"/>
      <c r="F206" s="287"/>
      <c r="G206" s="287"/>
      <c r="H206" s="280"/>
      <c r="I206" s="304"/>
      <c r="J206" s="1292">
        <f t="shared" si="23"/>
        <v>15</v>
      </c>
      <c r="K206" s="1242" t="str">
        <f>IF('I. Stream &amp; Compound Data'!G276="","",IF('I. Stream &amp; Compound Data'!V276=1,0,1))</f>
        <v/>
      </c>
      <c r="L206" s="1242" t="str">
        <f>IF(OR(L$122="",I145=""),"",'I. Stream &amp; Compound Data'!H200/$J145*(1-L$127)*(1-L$123)*$K206)</f>
        <v/>
      </c>
      <c r="M206" s="1242" t="str">
        <f>IF(OR(M$122="",I145=""),"",'I. Stream &amp; Compound Data'!K200/$J145*(1-M$127)*(1-M$123)*$K206)</f>
        <v/>
      </c>
      <c r="N206" s="1306" t="str">
        <f>IF(OR(N$122="",I145=""),"",'I. Stream &amp; Compound Data'!N200/$J145*(1-N$127)*(1-N$123)*$K206)</f>
        <v/>
      </c>
      <c r="O206" s="1242" t="str">
        <f>IF(OR(O$122="",I145=""),"",'I. Stream &amp; Compound Data'!Q200/$J145*(1-O$127)*(1-O$123)*$K206)</f>
        <v/>
      </c>
      <c r="P206" s="1242" t="str">
        <f>IF(OR(P$122="",I145=""),"",'I. Stream &amp; Compound Data'!T200/$J145*(1-P$127)*(1-P$123)*$K206)</f>
        <v/>
      </c>
      <c r="Q206" s="202" t="str">
        <f>IF(OR(Q$122="",I145=""),"",'I. Stream &amp; Compound Data'!W200/$J145*(1-Q$127)*(1-Q$123)*$K206)</f>
        <v/>
      </c>
      <c r="R206" s="1168" t="str">
        <f>IF(OR(R$122="",I145=""),"",'I. Stream &amp; Compound Data'!Z200/$J145*(1-R$127)*(1-R$123)*$K206)</f>
        <v/>
      </c>
      <c r="S206" s="1168" t="str">
        <f>IF(OR(S$122="",I145=""),"",'I. Stream &amp; Compound Data'!AC200/$J145*(1-S$127)*(1-S$123)*$K206)</f>
        <v/>
      </c>
      <c r="T206" s="1168" t="str">
        <f>IF(OR(T$122="",I145=""),"",'I. Stream &amp; Compound Data'!AF200/$J145*(1-T$127)*(1-T$123)*$K206)</f>
        <v/>
      </c>
      <c r="U206" s="1222" t="str">
        <f>IF(OR(U$122="",I145=""),"",'I. Stream &amp; Compound Data'!AI200/$J145*(1-U$127)*(1-U$123)*$K206)</f>
        <v/>
      </c>
      <c r="V206" s="1222" t="str">
        <f>IF(OR(V$122="",I145=""),"",'I. Stream &amp; Compound Data'!AL200/$J145*(1-V$127)*(1-V$123)*$K206)</f>
        <v/>
      </c>
      <c r="W206" s="1222" t="str">
        <f>IF(OR(W$122="",I145=""),"",'I. Stream &amp; Compound Data'!AO200/$J145*(1-W$127)*(1-W$123)*$K206)</f>
        <v/>
      </c>
      <c r="X206" s="1222" t="str">
        <f>IF(OR(X$122="",I145=""),"",'I. Stream &amp; Compound Data'!AR200/$J145*(1-X$127)*(1-X$123)*$K206)</f>
        <v/>
      </c>
      <c r="Y206" s="1222" t="str">
        <f>IF(OR(Y$122="",I145=""),"",'I. Stream &amp; Compound Data'!AU200/$J145*(1-Y$127)*(1-Y$123)*$K206)</f>
        <v/>
      </c>
      <c r="Z206" s="1222" t="str">
        <f>IF(OR(Z$122="",I145=""),"",'I. Stream &amp; Compound Data'!AX200/$J145*(1-Z$127)*(1-Z$123)*$K206)</f>
        <v/>
      </c>
      <c r="AA206" s="1222" t="str">
        <f>IF(OR(AA$122="",I145=""),"",'I. Stream &amp; Compound Data'!BA200/$J145*(1-AA$127)*(1-AA$123)*$K206)</f>
        <v/>
      </c>
      <c r="AB206" s="1222" t="str">
        <f>IF(OR(AB$122="",I145=""),"",'I. Stream &amp; Compound Data'!BD200/$J145*(1-AB$127)*(1-AB$123)*$K206)</f>
        <v/>
      </c>
      <c r="AC206" s="1222" t="str">
        <f>IF(OR(AC$122="",I145=""),"",'I. Stream &amp; Compound Data'!BG200/$J145*(1-AC$127)*(1-AC$123)*$K206)</f>
        <v/>
      </c>
      <c r="AD206" s="1222" t="str">
        <f>IF(OR(AD$122="",I145=""),"",'I. Stream &amp; Compound Data'!BJ200/$J145*(1-AD$127)*(1-AD$123)*$K206)</f>
        <v/>
      </c>
      <c r="AE206" s="1222" t="str">
        <f>IF(OR(AE$122="",I145=""),"",'I. Stream &amp; Compound Data'!BM200/$J145*(1-AE$127)*(1-AE$123)*$K206)</f>
        <v/>
      </c>
      <c r="AF206" s="1222" t="str">
        <f>IF(OR(AF$122="",I145=""),"",'I. Stream &amp; Compound Data'!BP200/$J145*(1-AF$127)*(1-AF$123)*$K206)</f>
        <v/>
      </c>
      <c r="AG206" s="1222" t="str">
        <f>IF(OR(AG$122="",I145=""),"",'I. Stream &amp; Compound Data'!BS200/$J145*(1-AG$127)*(1-AG$123)*$K206)</f>
        <v/>
      </c>
      <c r="AH206" s="1222" t="str">
        <f>IF(OR(AH$122="",I145=""),"",'I. Stream &amp; Compound Data'!BV200/$J145*(1-AH$127)*(1-AH$123)*$K206)</f>
        <v/>
      </c>
      <c r="AI206" s="1222" t="str">
        <f>IF(OR(AI$122="",I145=""),"",'I. Stream &amp; Compound Data'!BY200/$J145*(1-AI$127)*(1-AI$123)*$K206)</f>
        <v/>
      </c>
      <c r="AJ206" s="1222" t="str">
        <f>IF(OR(AJ$122="",I145=""),"",'I. Stream &amp; Compound Data'!CB200/$J145*(1-AJ$127)*(1-AJ$123)*$K206)</f>
        <v/>
      </c>
      <c r="AK206" s="1222" t="str">
        <f>IF(OR(AK$122="",I145=""),"",'I. Stream &amp; Compound Data'!CE200/$J145*(1-AK$127)*(1-AK$123)*$K206)</f>
        <v/>
      </c>
      <c r="AL206" s="1222" t="str">
        <f>IF(OR(AL$122="",I145=""),"",'I. Stream &amp; Compound Data'!CH200/$J145*(1-AL$127)*(1-AL$123)*$K206)</f>
        <v/>
      </c>
      <c r="AM206" s="1222" t="str">
        <f>IF(OR(AM$122="",I145=""),"",'I. Stream &amp; Compound Data'!CK200/$J145*(1-AM$127)*(1-AM$123)*$K206)</f>
        <v/>
      </c>
      <c r="AN206" s="1222" t="str">
        <f>IF(OR(AN$122="",I145=""),"",'I. Stream &amp; Compound Data'!CN200/$J145*(1-AN$127)*(1-AN$123)*$K206)</f>
        <v/>
      </c>
      <c r="AO206" s="1222" t="str">
        <f>IF(OR(AO$122="",I145=""),"",'I. Stream &amp; Compound Data'!CQ200/$J145*(1-AO$127)*(1-AO$123)*$K206)</f>
        <v/>
      </c>
      <c r="AP206" s="1222" t="str">
        <f>IF(OR(AP$122="",I145=""),"",'I. Stream &amp; Compound Data'!CT200/$J145*(1-AP$127)*(1-AP$123)*$K206)</f>
        <v/>
      </c>
      <c r="AQ206" s="1222" t="str">
        <f>IF(OR(AQ$122="",I145=""),"",'I. Stream &amp; Compound Data'!CW200/$J145*(1-AQ$127)*(1-AQ$123)*$K206)</f>
        <v/>
      </c>
      <c r="AR206" s="1222" t="str">
        <f>IF(OR(AR$122="",I145=""),"",'I. Stream &amp; Compound Data'!CZ200/$J145*(1-AR$127)*(1-AR$123)*$K206)</f>
        <v/>
      </c>
      <c r="AS206" s="1222" t="str">
        <f>IF(OR(AS$122="",I145=""),"",'I. Stream &amp; Compound Data'!DC200/$J145*(1-AS$127)*(1-AS$123)*$K206)</f>
        <v/>
      </c>
      <c r="AT206" s="1222" t="str">
        <f>IF(OR(AT$122="",I145=""),"",'I. Stream &amp; Compound Data'!DF200/$J145*(1-AT$127)*(1-AT$123)*$K206)</f>
        <v/>
      </c>
      <c r="AU206" s="1222" t="str">
        <f>IF(OR(AU$122="",I145=""),"",'I. Stream &amp; Compound Data'!DI200/$J145*(1-AU$127)*(1-AU$123)*$K206)</f>
        <v/>
      </c>
      <c r="AV206" s="1222" t="str">
        <f>IF(OR(AV$122="",I145=""),"",'I. Stream &amp; Compound Data'!DL200/$J145*(1-AV$127)*(1-AV$123)*$K206)</f>
        <v/>
      </c>
      <c r="AW206" s="1222" t="str">
        <f>IF(OR(AW$122="",I145=""),"",'I. Stream &amp; Compound Data'!DO200/$J145*(1-AW$127)*(1-AW$123)*$K206)</f>
        <v/>
      </c>
      <c r="AX206" s="1222" t="str">
        <f>IF(OR(AX$122="",I145=""),"",'I. Stream &amp; Compound Data'!DR200/$J145*(1-AX$127)*(1-AX$123)*$K206)</f>
        <v/>
      </c>
      <c r="AY206" s="1516" t="str">
        <f>IF(OR(AY$122="",I145=""),"",'I. Stream &amp; Compound Data'!DU200/$J145*(1-AY$127)*(1-AY$123)*$K206)</f>
        <v/>
      </c>
      <c r="AZ206" s="279"/>
      <c r="BA206" s="279"/>
      <c r="BB206" s="279"/>
      <c r="BC206" s="279"/>
      <c r="BD206" s="279"/>
      <c r="BE206" s="279"/>
      <c r="BF206" s="279"/>
      <c r="BG206" s="279"/>
      <c r="BH206" s="279"/>
      <c r="BI206" s="279"/>
      <c r="BJ206" s="279"/>
      <c r="BK206" s="279"/>
      <c r="BL206" s="279"/>
      <c r="BM206" s="279"/>
      <c r="BN206" s="279"/>
      <c r="BO206" s="279"/>
      <c r="BP206" s="279"/>
      <c r="BQ206" s="279"/>
      <c r="BR206" s="279"/>
      <c r="BS206" s="279"/>
      <c r="BT206" s="279"/>
      <c r="BU206" s="279"/>
      <c r="BV206" s="279"/>
      <c r="BW206" s="279"/>
      <c r="BX206" s="279"/>
      <c r="BY206" s="279"/>
      <c r="BZ206" s="279"/>
      <c r="CA206" s="279"/>
      <c r="CB206" s="279"/>
      <c r="CC206" s="279"/>
      <c r="CD206" s="279"/>
      <c r="CE206" s="279"/>
      <c r="CF206" s="279"/>
      <c r="CG206" s="279"/>
      <c r="CH206" s="279"/>
      <c r="CI206" s="279"/>
      <c r="CJ206" s="279"/>
      <c r="CK206" s="279"/>
      <c r="CL206" s="279"/>
      <c r="CM206" s="279"/>
      <c r="CN206" s="382"/>
    </row>
    <row r="207" ht="15.6" x14ac:dyDescent="0.25">
      <c r="B207" s="361"/>
      <c r="C207" s="279"/>
      <c r="D207" s="280"/>
      <c r="E207" s="287"/>
      <c r="F207" s="287"/>
      <c r="G207" s="287"/>
      <c r="H207" s="280"/>
      <c r="I207" s="304"/>
      <c r="J207" s="1292">
        <f t="shared" si="23"/>
        <v>16</v>
      </c>
      <c r="K207" s="1242" t="str">
        <f>IF('I. Stream &amp; Compound Data'!G277="","",IF('I. Stream &amp; Compound Data'!V277=1,0,1))</f>
        <v/>
      </c>
      <c r="L207" s="1242" t="str">
        <f>IF(OR(L$122="",I146=""),"",'I. Stream &amp; Compound Data'!H201/$J146*(1-L$127)*(1-L$123)*$K207)</f>
        <v/>
      </c>
      <c r="M207" s="1242" t="str">
        <f>IF(OR(M$122="",I146=""),"",'I. Stream &amp; Compound Data'!K201/$J146*(1-M$127)*(1-M$123)*$K207)</f>
        <v/>
      </c>
      <c r="N207" s="1306" t="str">
        <f>IF(OR(N$122="",I146=""),"",'I. Stream &amp; Compound Data'!N201/$J146*(1-N$127)*(1-N$123)*$K207)</f>
        <v/>
      </c>
      <c r="O207" s="1242" t="str">
        <f>IF(OR(O$122="",I146=""),"",'I. Stream &amp; Compound Data'!Q201/$J146*(1-O$127)*(1-O$123)*$K207)</f>
        <v/>
      </c>
      <c r="P207" s="1242" t="str">
        <f>IF(OR(P$122="",I146=""),"",'I. Stream &amp; Compound Data'!T201/$J146*(1-P$127)*(1-P$123)*$K207)</f>
        <v/>
      </c>
      <c r="Q207" s="202" t="str">
        <f>IF(OR(Q$122="",I146=""),"",'I. Stream &amp; Compound Data'!W201/$J146*(1-Q$127)*(1-Q$123)*$K207)</f>
        <v/>
      </c>
      <c r="R207" s="1168" t="str">
        <f>IF(OR(R$122="",I146=""),"",'I. Stream &amp; Compound Data'!Z201/$J146*(1-R$127)*(1-R$123)*$K207)</f>
        <v/>
      </c>
      <c r="S207" s="1168" t="str">
        <f>IF(OR(S$122="",I146=""),"",'I. Stream &amp; Compound Data'!AC201/$J146*(1-S$127)*(1-S$123)*$K207)</f>
        <v/>
      </c>
      <c r="T207" s="1168" t="str">
        <f>IF(OR(T$122="",I146=""),"",'I. Stream &amp; Compound Data'!AF201/$J146*(1-T$127)*(1-T$123)*$K207)</f>
        <v/>
      </c>
      <c r="U207" s="1222" t="str">
        <f>IF(OR(U$122="",I146=""),"",'I. Stream &amp; Compound Data'!AI201/$J146*(1-U$127)*(1-U$123)*$K207)</f>
        <v/>
      </c>
      <c r="V207" s="1222" t="str">
        <f>IF(OR(V$122="",I146=""),"",'I. Stream &amp; Compound Data'!AL201/$J146*(1-V$127)*(1-V$123)*$K207)</f>
        <v/>
      </c>
      <c r="W207" s="1222" t="str">
        <f>IF(OR(W$122="",I146=""),"",'I. Stream &amp; Compound Data'!AO201/$J146*(1-W$127)*(1-W$123)*$K207)</f>
        <v/>
      </c>
      <c r="X207" s="1222" t="str">
        <f>IF(OR(X$122="",I146=""),"",'I. Stream &amp; Compound Data'!AR201/$J146*(1-X$127)*(1-X$123)*$K207)</f>
        <v/>
      </c>
      <c r="Y207" s="1222" t="str">
        <f>IF(OR(Y$122="",I146=""),"",'I. Stream &amp; Compound Data'!AU201/$J146*(1-Y$127)*(1-Y$123)*$K207)</f>
        <v/>
      </c>
      <c r="Z207" s="1222" t="str">
        <f>IF(OR(Z$122="",I146=""),"",'I. Stream &amp; Compound Data'!AX201/$J146*(1-Z$127)*(1-Z$123)*$K207)</f>
        <v/>
      </c>
      <c r="AA207" s="1222" t="str">
        <f>IF(OR(AA$122="",I146=""),"",'I. Stream &amp; Compound Data'!BA201/$J146*(1-AA$127)*(1-AA$123)*$K207)</f>
        <v/>
      </c>
      <c r="AB207" s="1222" t="str">
        <f>IF(OR(AB$122="",I146=""),"",'I. Stream &amp; Compound Data'!BD201/$J146*(1-AB$127)*(1-AB$123)*$K207)</f>
        <v/>
      </c>
      <c r="AC207" s="1222" t="str">
        <f>IF(OR(AC$122="",I146=""),"",'I. Stream &amp; Compound Data'!BG201/$J146*(1-AC$127)*(1-AC$123)*$K207)</f>
        <v/>
      </c>
      <c r="AD207" s="1222" t="str">
        <f>IF(OR(AD$122="",I146=""),"",'I. Stream &amp; Compound Data'!BJ201/$J146*(1-AD$127)*(1-AD$123)*$K207)</f>
        <v/>
      </c>
      <c r="AE207" s="1222" t="str">
        <f>IF(OR(AE$122="",I146=""),"",'I. Stream &amp; Compound Data'!BM201/$J146*(1-AE$127)*(1-AE$123)*$K207)</f>
        <v/>
      </c>
      <c r="AF207" s="1222" t="str">
        <f>IF(OR(AF$122="",I146=""),"",'I. Stream &amp; Compound Data'!BP201/$J146*(1-AF$127)*(1-AF$123)*$K207)</f>
        <v/>
      </c>
      <c r="AG207" s="1222" t="str">
        <f>IF(OR(AG$122="",I146=""),"",'I. Stream &amp; Compound Data'!BS201/$J146*(1-AG$127)*(1-AG$123)*$K207)</f>
        <v/>
      </c>
      <c r="AH207" s="1222" t="str">
        <f>IF(OR(AH$122="",I146=""),"",'I. Stream &amp; Compound Data'!BV201/$J146*(1-AH$127)*(1-AH$123)*$K207)</f>
        <v/>
      </c>
      <c r="AI207" s="1222" t="str">
        <f>IF(OR(AI$122="",I146=""),"",'I. Stream &amp; Compound Data'!BY201/$J146*(1-AI$127)*(1-AI$123)*$K207)</f>
        <v/>
      </c>
      <c r="AJ207" s="1222" t="str">
        <f>IF(OR(AJ$122="",I146=""),"",'I. Stream &amp; Compound Data'!CB201/$J146*(1-AJ$127)*(1-AJ$123)*$K207)</f>
        <v/>
      </c>
      <c r="AK207" s="1222" t="str">
        <f>IF(OR(AK$122="",I146=""),"",'I. Stream &amp; Compound Data'!CE201/$J146*(1-AK$127)*(1-AK$123)*$K207)</f>
        <v/>
      </c>
      <c r="AL207" s="1222" t="str">
        <f>IF(OR(AL$122="",I146=""),"",'I. Stream &amp; Compound Data'!CH201/$J146*(1-AL$127)*(1-AL$123)*$K207)</f>
        <v/>
      </c>
      <c r="AM207" s="1222" t="str">
        <f>IF(OR(AM$122="",I146=""),"",'I. Stream &amp; Compound Data'!CK201/$J146*(1-AM$127)*(1-AM$123)*$K207)</f>
        <v/>
      </c>
      <c r="AN207" s="1222" t="str">
        <f>IF(OR(AN$122="",I146=""),"",'I. Stream &amp; Compound Data'!CN201/$J146*(1-AN$127)*(1-AN$123)*$K207)</f>
        <v/>
      </c>
      <c r="AO207" s="1222" t="str">
        <f>IF(OR(AO$122="",I146=""),"",'I. Stream &amp; Compound Data'!CQ201/$J146*(1-AO$127)*(1-AO$123)*$K207)</f>
        <v/>
      </c>
      <c r="AP207" s="1222" t="str">
        <f>IF(OR(AP$122="",I146=""),"",'I. Stream &amp; Compound Data'!CT201/$J146*(1-AP$127)*(1-AP$123)*$K207)</f>
        <v/>
      </c>
      <c r="AQ207" s="1222" t="str">
        <f>IF(OR(AQ$122="",I146=""),"",'I. Stream &amp; Compound Data'!CW201/$J146*(1-AQ$127)*(1-AQ$123)*$K207)</f>
        <v/>
      </c>
      <c r="AR207" s="1222" t="str">
        <f>IF(OR(AR$122="",I146=""),"",'I. Stream &amp; Compound Data'!CZ201/$J146*(1-AR$127)*(1-AR$123)*$K207)</f>
        <v/>
      </c>
      <c r="AS207" s="1222" t="str">
        <f>IF(OR(AS$122="",I146=""),"",'I. Stream &amp; Compound Data'!DC201/$J146*(1-AS$127)*(1-AS$123)*$K207)</f>
        <v/>
      </c>
      <c r="AT207" s="1222" t="str">
        <f>IF(OR(AT$122="",I146=""),"",'I. Stream &amp; Compound Data'!DF201/$J146*(1-AT$127)*(1-AT$123)*$K207)</f>
        <v/>
      </c>
      <c r="AU207" s="1222" t="str">
        <f>IF(OR(AU$122="",I146=""),"",'I. Stream &amp; Compound Data'!DI201/$J146*(1-AU$127)*(1-AU$123)*$K207)</f>
        <v/>
      </c>
      <c r="AV207" s="1222" t="str">
        <f>IF(OR(AV$122="",I146=""),"",'I. Stream &amp; Compound Data'!DL201/$J146*(1-AV$127)*(1-AV$123)*$K207)</f>
        <v/>
      </c>
      <c r="AW207" s="1222" t="str">
        <f>IF(OR(AW$122="",I146=""),"",'I. Stream &amp; Compound Data'!DO201/$J146*(1-AW$127)*(1-AW$123)*$K207)</f>
        <v/>
      </c>
      <c r="AX207" s="1222" t="str">
        <f>IF(OR(AX$122="",I146=""),"",'I. Stream &amp; Compound Data'!DR201/$J146*(1-AX$127)*(1-AX$123)*$K207)</f>
        <v/>
      </c>
      <c r="AY207" s="1516" t="str">
        <f>IF(OR(AY$122="",I146=""),"",'I. Stream &amp; Compound Data'!DU201/$J146*(1-AY$127)*(1-AY$123)*$K207)</f>
        <v/>
      </c>
      <c r="AZ207" s="279"/>
      <c r="BA207" s="279"/>
      <c r="BB207" s="279"/>
      <c r="BC207" s="279"/>
      <c r="BD207" s="279"/>
      <c r="BE207" s="279"/>
      <c r="BF207" s="279"/>
      <c r="BG207" s="279"/>
      <c r="BH207" s="279"/>
      <c r="BI207" s="279"/>
      <c r="BJ207" s="279"/>
      <c r="BK207" s="279"/>
      <c r="BL207" s="279"/>
      <c r="BM207" s="279"/>
      <c r="BN207" s="279"/>
      <c r="BO207" s="279"/>
      <c r="BP207" s="279"/>
      <c r="BQ207" s="279"/>
      <c r="BR207" s="279"/>
      <c r="BS207" s="279"/>
      <c r="BT207" s="279"/>
      <c r="BU207" s="279"/>
      <c r="BV207" s="279"/>
      <c r="BW207" s="279"/>
      <c r="BX207" s="279"/>
      <c r="BY207" s="279"/>
      <c r="BZ207" s="279"/>
      <c r="CA207" s="279"/>
      <c r="CB207" s="279"/>
      <c r="CC207" s="279"/>
      <c r="CD207" s="279"/>
      <c r="CE207" s="279"/>
      <c r="CF207" s="279"/>
      <c r="CG207" s="279"/>
      <c r="CH207" s="279"/>
      <c r="CI207" s="279"/>
      <c r="CJ207" s="279"/>
      <c r="CK207" s="279"/>
      <c r="CL207" s="279"/>
      <c r="CM207" s="279"/>
      <c r="CN207" s="382"/>
    </row>
    <row r="208" ht="15.6" x14ac:dyDescent="0.25">
      <c r="B208" s="361"/>
      <c r="C208" s="279"/>
      <c r="D208" s="280"/>
      <c r="E208" s="287"/>
      <c r="F208" s="287"/>
      <c r="G208" s="287"/>
      <c r="H208" s="280"/>
      <c r="I208" s="304"/>
      <c r="J208" s="1292">
        <f t="shared" si="23"/>
        <v>17</v>
      </c>
      <c r="K208" s="1242" t="str">
        <f>IF('I. Stream &amp; Compound Data'!G278="","",IF('I. Stream &amp; Compound Data'!V278=1,0,1))</f>
        <v/>
      </c>
      <c r="L208" s="1242" t="str">
        <f>IF(OR(L$122="",I147=""),"",'I. Stream &amp; Compound Data'!H202/$J147*(1-L$127)*(1-L$123)*$K208)</f>
        <v/>
      </c>
      <c r="M208" s="1242" t="str">
        <f>IF(OR(M$122="",I147=""),"",'I. Stream &amp; Compound Data'!K202/$J147*(1-M$127)*(1-M$123)*$K208)</f>
        <v/>
      </c>
      <c r="N208" s="1306" t="str">
        <f>IF(OR(N$122="",I147=""),"",'I. Stream &amp; Compound Data'!N202/$J147*(1-N$127)*(1-N$123)*$K208)</f>
        <v/>
      </c>
      <c r="O208" s="1242" t="str">
        <f>IF(OR(O$122="",I147=""),"",'I. Stream &amp; Compound Data'!Q202/$J147*(1-O$127)*(1-O$123)*$K208)</f>
        <v/>
      </c>
      <c r="P208" s="1242" t="str">
        <f>IF(OR(P$122="",I147=""),"",'I. Stream &amp; Compound Data'!T202/$J147*(1-P$127)*(1-P$123)*$K208)</f>
        <v/>
      </c>
      <c r="Q208" s="202" t="str">
        <f>IF(OR(Q$122="",I147=""),"",'I. Stream &amp; Compound Data'!W202/$J147*(1-Q$127)*(1-Q$123)*$K208)</f>
        <v/>
      </c>
      <c r="R208" s="1168" t="str">
        <f>IF(OR(R$122="",I147=""),"",'I. Stream &amp; Compound Data'!Z202/$J147*(1-R$127)*(1-R$123)*$K208)</f>
        <v/>
      </c>
      <c r="S208" s="1168" t="str">
        <f>IF(OR(S$122="",I147=""),"",'I. Stream &amp; Compound Data'!AC202/$J147*(1-S$127)*(1-S$123)*$K208)</f>
        <v/>
      </c>
      <c r="T208" s="1168" t="str">
        <f>IF(OR(T$122="",I147=""),"",'I. Stream &amp; Compound Data'!AF202/$J147*(1-T$127)*(1-T$123)*$K208)</f>
        <v/>
      </c>
      <c r="U208" s="1222" t="str">
        <f>IF(OR(U$122="",I147=""),"",'I. Stream &amp; Compound Data'!AI202/$J147*(1-U$127)*(1-U$123)*$K208)</f>
        <v/>
      </c>
      <c r="V208" s="1222" t="str">
        <f>IF(OR(V$122="",I147=""),"",'I. Stream &amp; Compound Data'!AL202/$J147*(1-V$127)*(1-V$123)*$K208)</f>
        <v/>
      </c>
      <c r="W208" s="1222" t="str">
        <f>IF(OR(W$122="",I147=""),"",'I. Stream &amp; Compound Data'!AO202/$J147*(1-W$127)*(1-W$123)*$K208)</f>
        <v/>
      </c>
      <c r="X208" s="1222" t="str">
        <f>IF(OR(X$122="",I147=""),"",'I. Stream &amp; Compound Data'!AR202/$J147*(1-X$127)*(1-X$123)*$K208)</f>
        <v/>
      </c>
      <c r="Y208" s="1222" t="str">
        <f>IF(OR(Y$122="",I147=""),"",'I. Stream &amp; Compound Data'!AU202/$J147*(1-Y$127)*(1-Y$123)*$K208)</f>
        <v/>
      </c>
      <c r="Z208" s="1222" t="str">
        <f>IF(OR(Z$122="",I147=""),"",'I. Stream &amp; Compound Data'!AX202/$J147*(1-Z$127)*(1-Z$123)*$K208)</f>
        <v/>
      </c>
      <c r="AA208" s="1222" t="str">
        <f>IF(OR(AA$122="",I147=""),"",'I. Stream &amp; Compound Data'!BA202/$J147*(1-AA$127)*(1-AA$123)*$K208)</f>
        <v/>
      </c>
      <c r="AB208" s="1222" t="str">
        <f>IF(OR(AB$122="",I147=""),"",'I. Stream &amp; Compound Data'!BD202/$J147*(1-AB$127)*(1-AB$123)*$K208)</f>
        <v/>
      </c>
      <c r="AC208" s="1222" t="str">
        <f>IF(OR(AC$122="",I147=""),"",'I. Stream &amp; Compound Data'!BG202/$J147*(1-AC$127)*(1-AC$123)*$K208)</f>
        <v/>
      </c>
      <c r="AD208" s="1222" t="str">
        <f>IF(OR(AD$122="",I147=""),"",'I. Stream &amp; Compound Data'!BJ202/$J147*(1-AD$127)*(1-AD$123)*$K208)</f>
        <v/>
      </c>
      <c r="AE208" s="1222" t="str">
        <f>IF(OR(AE$122="",I147=""),"",'I. Stream &amp; Compound Data'!BM202/$J147*(1-AE$127)*(1-AE$123)*$K208)</f>
        <v/>
      </c>
      <c r="AF208" s="1222" t="str">
        <f>IF(OR(AF$122="",I147=""),"",'I. Stream &amp; Compound Data'!BP202/$J147*(1-AF$127)*(1-AF$123)*$K208)</f>
        <v/>
      </c>
      <c r="AG208" s="1222" t="str">
        <f>IF(OR(AG$122="",I147=""),"",'I. Stream &amp; Compound Data'!BS202/$J147*(1-AG$127)*(1-AG$123)*$K208)</f>
        <v/>
      </c>
      <c r="AH208" s="1222" t="str">
        <f>IF(OR(AH$122="",I147=""),"",'I. Stream &amp; Compound Data'!BV202/$J147*(1-AH$127)*(1-AH$123)*$K208)</f>
        <v/>
      </c>
      <c r="AI208" s="1222" t="str">
        <f>IF(OR(AI$122="",I147=""),"",'I. Stream &amp; Compound Data'!BY202/$J147*(1-AI$127)*(1-AI$123)*$K208)</f>
        <v/>
      </c>
      <c r="AJ208" s="1222" t="str">
        <f>IF(OR(AJ$122="",I147=""),"",'I. Stream &amp; Compound Data'!CB202/$J147*(1-AJ$127)*(1-AJ$123)*$K208)</f>
        <v/>
      </c>
      <c r="AK208" s="1222" t="str">
        <f>IF(OR(AK$122="",I147=""),"",'I. Stream &amp; Compound Data'!CE202/$J147*(1-AK$127)*(1-AK$123)*$K208)</f>
        <v/>
      </c>
      <c r="AL208" s="1222" t="str">
        <f>IF(OR(AL$122="",I147=""),"",'I. Stream &amp; Compound Data'!CH202/$J147*(1-AL$127)*(1-AL$123)*$K208)</f>
        <v/>
      </c>
      <c r="AM208" s="1222" t="str">
        <f>IF(OR(AM$122="",I147=""),"",'I. Stream &amp; Compound Data'!CK202/$J147*(1-AM$127)*(1-AM$123)*$K208)</f>
        <v/>
      </c>
      <c r="AN208" s="1222" t="str">
        <f>IF(OR(AN$122="",I147=""),"",'I. Stream &amp; Compound Data'!CN202/$J147*(1-AN$127)*(1-AN$123)*$K208)</f>
        <v/>
      </c>
      <c r="AO208" s="1222" t="str">
        <f>IF(OR(AO$122="",I147=""),"",'I. Stream &amp; Compound Data'!CQ202/$J147*(1-AO$127)*(1-AO$123)*$K208)</f>
        <v/>
      </c>
      <c r="AP208" s="1222" t="str">
        <f>IF(OR(AP$122="",I147=""),"",'I. Stream &amp; Compound Data'!CT202/$J147*(1-AP$127)*(1-AP$123)*$K208)</f>
        <v/>
      </c>
      <c r="AQ208" s="1222" t="str">
        <f>IF(OR(AQ$122="",I147=""),"",'I. Stream &amp; Compound Data'!CW202/$J147*(1-AQ$127)*(1-AQ$123)*$K208)</f>
        <v/>
      </c>
      <c r="AR208" s="1222" t="str">
        <f>IF(OR(AR$122="",I147=""),"",'I. Stream &amp; Compound Data'!CZ202/$J147*(1-AR$127)*(1-AR$123)*$K208)</f>
        <v/>
      </c>
      <c r="AS208" s="1222" t="str">
        <f>IF(OR(AS$122="",I147=""),"",'I. Stream &amp; Compound Data'!DC202/$J147*(1-AS$127)*(1-AS$123)*$K208)</f>
        <v/>
      </c>
      <c r="AT208" s="1222" t="str">
        <f>IF(OR(AT$122="",I147=""),"",'I. Stream &amp; Compound Data'!DF202/$J147*(1-AT$127)*(1-AT$123)*$K208)</f>
        <v/>
      </c>
      <c r="AU208" s="1222" t="str">
        <f>IF(OR(AU$122="",I147=""),"",'I. Stream &amp; Compound Data'!DI202/$J147*(1-AU$127)*(1-AU$123)*$K208)</f>
        <v/>
      </c>
      <c r="AV208" s="1222" t="str">
        <f>IF(OR(AV$122="",I147=""),"",'I. Stream &amp; Compound Data'!DL202/$J147*(1-AV$127)*(1-AV$123)*$K208)</f>
        <v/>
      </c>
      <c r="AW208" s="1222" t="str">
        <f>IF(OR(AW$122="",I147=""),"",'I. Stream &amp; Compound Data'!DO202/$J147*(1-AW$127)*(1-AW$123)*$K208)</f>
        <v/>
      </c>
      <c r="AX208" s="1222" t="str">
        <f>IF(OR(AX$122="",I147=""),"",'I. Stream &amp; Compound Data'!DR202/$J147*(1-AX$127)*(1-AX$123)*$K208)</f>
        <v/>
      </c>
      <c r="AY208" s="1516" t="str">
        <f>IF(OR(AY$122="",I147=""),"",'I. Stream &amp; Compound Data'!DU202/$J147*(1-AY$127)*(1-AY$123)*$K208)</f>
        <v/>
      </c>
      <c r="AZ208" s="279"/>
      <c r="BA208" s="279"/>
      <c r="BB208" s="279"/>
      <c r="BC208" s="279"/>
      <c r="BD208" s="279"/>
      <c r="BE208" s="279"/>
      <c r="BF208" s="279"/>
      <c r="BG208" s="279"/>
      <c r="BH208" s="279"/>
      <c r="BI208" s="279"/>
      <c r="BJ208" s="279"/>
      <c r="BK208" s="279"/>
      <c r="BL208" s="279"/>
      <c r="BM208" s="279"/>
      <c r="BN208" s="279"/>
      <c r="BO208" s="279"/>
      <c r="BP208" s="279"/>
      <c r="BQ208" s="279"/>
      <c r="BR208" s="279"/>
      <c r="BS208" s="279"/>
      <c r="BT208" s="279"/>
      <c r="BU208" s="279"/>
      <c r="BV208" s="279"/>
      <c r="BW208" s="279"/>
      <c r="BX208" s="279"/>
      <c r="BY208" s="279"/>
      <c r="BZ208" s="279"/>
      <c r="CA208" s="279"/>
      <c r="CB208" s="279"/>
      <c r="CC208" s="279"/>
      <c r="CD208" s="279"/>
      <c r="CE208" s="279"/>
      <c r="CF208" s="279"/>
      <c r="CG208" s="279"/>
      <c r="CH208" s="279"/>
      <c r="CI208" s="279"/>
      <c r="CJ208" s="279"/>
      <c r="CK208" s="279"/>
      <c r="CL208" s="279"/>
      <c r="CM208" s="279"/>
      <c r="CN208" s="382"/>
    </row>
    <row r="209" ht="15.6" x14ac:dyDescent="0.25">
      <c r="B209" s="361"/>
      <c r="C209" s="279"/>
      <c r="D209" s="280"/>
      <c r="E209" s="287"/>
      <c r="F209" s="287"/>
      <c r="G209" s="287"/>
      <c r="H209" s="280"/>
      <c r="I209" s="304"/>
      <c r="J209" s="1292">
        <f t="shared" si="23"/>
        <v>18</v>
      </c>
      <c r="K209" s="1242" t="str">
        <f>IF('I. Stream &amp; Compound Data'!G279="","",IF('I. Stream &amp; Compound Data'!V279=1,0,1))</f>
        <v/>
      </c>
      <c r="L209" s="1242" t="str">
        <f>IF(OR(L$122="",I148=""),"",'I. Stream &amp; Compound Data'!H203/$J148*(1-L$127)*(1-L$123)*$K209)</f>
        <v/>
      </c>
      <c r="M209" s="1242" t="str">
        <f>IF(OR(M$122="",I148=""),"",'I. Stream &amp; Compound Data'!K203/$J148*(1-M$127)*(1-M$123)*$K209)</f>
        <v/>
      </c>
      <c r="N209" s="1306" t="str">
        <f>IF(OR(N$122="",I148=""),"",'I. Stream &amp; Compound Data'!N203/$J148*(1-N$127)*(1-N$123)*$K209)</f>
        <v/>
      </c>
      <c r="O209" s="1242" t="str">
        <f>IF(OR(O$122="",I148=""),"",'I. Stream &amp; Compound Data'!Q203/$J148*(1-O$127)*(1-O$123)*$K209)</f>
        <v/>
      </c>
      <c r="P209" s="1242" t="str">
        <f>IF(OR(P$122="",I148=""),"",'I. Stream &amp; Compound Data'!T203/$J148*(1-P$127)*(1-P$123)*$K209)</f>
        <v/>
      </c>
      <c r="Q209" s="202" t="str">
        <f>IF(OR(Q$122="",I148=""),"",'I. Stream &amp; Compound Data'!W203/$J148*(1-Q$127)*(1-Q$123)*$K209)</f>
        <v/>
      </c>
      <c r="R209" s="1168" t="str">
        <f>IF(OR(R$122="",I148=""),"",'I. Stream &amp; Compound Data'!Z203/$J148*(1-R$127)*(1-R$123)*$K209)</f>
        <v/>
      </c>
      <c r="S209" s="1168" t="str">
        <f>IF(OR(S$122="",I148=""),"",'I. Stream &amp; Compound Data'!AC203/$J148*(1-S$127)*(1-S$123)*$K209)</f>
        <v/>
      </c>
      <c r="T209" s="1168" t="str">
        <f>IF(OR(T$122="",I148=""),"",'I. Stream &amp; Compound Data'!AF203/$J148*(1-T$127)*(1-T$123)*$K209)</f>
        <v/>
      </c>
      <c r="U209" s="1222" t="str">
        <f>IF(OR(U$122="",I148=""),"",'I. Stream &amp; Compound Data'!AI203/$J148*(1-U$127)*(1-U$123)*$K209)</f>
        <v/>
      </c>
      <c r="V209" s="1222" t="str">
        <f>IF(OR(V$122="",I148=""),"",'I. Stream &amp; Compound Data'!AL203/$J148*(1-V$127)*(1-V$123)*$K209)</f>
        <v/>
      </c>
      <c r="W209" s="1222" t="str">
        <f>IF(OR(W$122="",I148=""),"",'I. Stream &amp; Compound Data'!AO203/$J148*(1-W$127)*(1-W$123)*$K209)</f>
        <v/>
      </c>
      <c r="X209" s="1222" t="str">
        <f>IF(OR(X$122="",I148=""),"",'I. Stream &amp; Compound Data'!AR203/$J148*(1-X$127)*(1-X$123)*$K209)</f>
        <v/>
      </c>
      <c r="Y209" s="1222" t="str">
        <f>IF(OR(Y$122="",I148=""),"",'I. Stream &amp; Compound Data'!AU203/$J148*(1-Y$127)*(1-Y$123)*$K209)</f>
        <v/>
      </c>
      <c r="Z209" s="1222" t="str">
        <f>IF(OR(Z$122="",I148=""),"",'I. Stream &amp; Compound Data'!AX203/$J148*(1-Z$127)*(1-Z$123)*$K209)</f>
        <v/>
      </c>
      <c r="AA209" s="1222" t="str">
        <f>IF(OR(AA$122="",I148=""),"",'I. Stream &amp; Compound Data'!BA203/$J148*(1-AA$127)*(1-AA$123)*$K209)</f>
        <v/>
      </c>
      <c r="AB209" s="1222" t="str">
        <f>IF(OR(AB$122="",I148=""),"",'I. Stream &amp; Compound Data'!BD203/$J148*(1-AB$127)*(1-AB$123)*$K209)</f>
        <v/>
      </c>
      <c r="AC209" s="1222" t="str">
        <f>IF(OR(AC$122="",I148=""),"",'I. Stream &amp; Compound Data'!BG203/$J148*(1-AC$127)*(1-AC$123)*$K209)</f>
        <v/>
      </c>
      <c r="AD209" s="1222" t="str">
        <f>IF(OR(AD$122="",I148=""),"",'I. Stream &amp; Compound Data'!BJ203/$J148*(1-AD$127)*(1-AD$123)*$K209)</f>
        <v/>
      </c>
      <c r="AE209" s="1222" t="str">
        <f>IF(OR(AE$122="",I148=""),"",'I. Stream &amp; Compound Data'!BM203/$J148*(1-AE$127)*(1-AE$123)*$K209)</f>
        <v/>
      </c>
      <c r="AF209" s="1222" t="str">
        <f>IF(OR(AF$122="",I148=""),"",'I. Stream &amp; Compound Data'!BP203/$J148*(1-AF$127)*(1-AF$123)*$K209)</f>
        <v/>
      </c>
      <c r="AG209" s="1222" t="str">
        <f>IF(OR(AG$122="",I148=""),"",'I. Stream &amp; Compound Data'!BS203/$J148*(1-AG$127)*(1-AG$123)*$K209)</f>
        <v/>
      </c>
      <c r="AH209" s="1222" t="str">
        <f>IF(OR(AH$122="",I148=""),"",'I. Stream &amp; Compound Data'!BV203/$J148*(1-AH$127)*(1-AH$123)*$K209)</f>
        <v/>
      </c>
      <c r="AI209" s="1222" t="str">
        <f>IF(OR(AI$122="",I148=""),"",'I. Stream &amp; Compound Data'!BY203/$J148*(1-AI$127)*(1-AI$123)*$K209)</f>
        <v/>
      </c>
      <c r="AJ209" s="1222" t="str">
        <f>IF(OR(AJ$122="",I148=""),"",'I. Stream &amp; Compound Data'!CB203/$J148*(1-AJ$127)*(1-AJ$123)*$K209)</f>
        <v/>
      </c>
      <c r="AK209" s="1222" t="str">
        <f>IF(OR(AK$122="",I148=""),"",'I. Stream &amp; Compound Data'!CE203/$J148*(1-AK$127)*(1-AK$123)*$K209)</f>
        <v/>
      </c>
      <c r="AL209" s="1222" t="str">
        <f>IF(OR(AL$122="",I148=""),"",'I. Stream &amp; Compound Data'!CH203/$J148*(1-AL$127)*(1-AL$123)*$K209)</f>
        <v/>
      </c>
      <c r="AM209" s="1222" t="str">
        <f>IF(OR(AM$122="",I148=""),"",'I. Stream &amp; Compound Data'!CK203/$J148*(1-AM$127)*(1-AM$123)*$K209)</f>
        <v/>
      </c>
      <c r="AN209" s="1222" t="str">
        <f>IF(OR(AN$122="",I148=""),"",'I. Stream &amp; Compound Data'!CN203/$J148*(1-AN$127)*(1-AN$123)*$K209)</f>
        <v/>
      </c>
      <c r="AO209" s="1222" t="str">
        <f>IF(OR(AO$122="",I148=""),"",'I. Stream &amp; Compound Data'!CQ203/$J148*(1-AO$127)*(1-AO$123)*$K209)</f>
        <v/>
      </c>
      <c r="AP209" s="1222" t="str">
        <f>IF(OR(AP$122="",I148=""),"",'I. Stream &amp; Compound Data'!CT203/$J148*(1-AP$127)*(1-AP$123)*$K209)</f>
        <v/>
      </c>
      <c r="AQ209" s="1222" t="str">
        <f>IF(OR(AQ$122="",I148=""),"",'I. Stream &amp; Compound Data'!CW203/$J148*(1-AQ$127)*(1-AQ$123)*$K209)</f>
        <v/>
      </c>
      <c r="AR209" s="1222" t="str">
        <f>IF(OR(AR$122="",I148=""),"",'I. Stream &amp; Compound Data'!CZ203/$J148*(1-AR$127)*(1-AR$123)*$K209)</f>
        <v/>
      </c>
      <c r="AS209" s="1222" t="str">
        <f>IF(OR(AS$122="",I148=""),"",'I. Stream &amp; Compound Data'!DC203/$J148*(1-AS$127)*(1-AS$123)*$K209)</f>
        <v/>
      </c>
      <c r="AT209" s="1222" t="str">
        <f>IF(OR(AT$122="",I148=""),"",'I. Stream &amp; Compound Data'!DF203/$J148*(1-AT$127)*(1-AT$123)*$K209)</f>
        <v/>
      </c>
      <c r="AU209" s="1222" t="str">
        <f>IF(OR(AU$122="",I148=""),"",'I. Stream &amp; Compound Data'!DI203/$J148*(1-AU$127)*(1-AU$123)*$K209)</f>
        <v/>
      </c>
      <c r="AV209" s="1222" t="str">
        <f>IF(OR(AV$122="",I148=""),"",'I. Stream &amp; Compound Data'!DL203/$J148*(1-AV$127)*(1-AV$123)*$K209)</f>
        <v/>
      </c>
      <c r="AW209" s="1222" t="str">
        <f>IF(OR(AW$122="",I148=""),"",'I. Stream &amp; Compound Data'!DO203/$J148*(1-AW$127)*(1-AW$123)*$K209)</f>
        <v/>
      </c>
      <c r="AX209" s="1222" t="str">
        <f>IF(OR(AX$122="",I148=""),"",'I. Stream &amp; Compound Data'!DR203/$J148*(1-AX$127)*(1-AX$123)*$K209)</f>
        <v/>
      </c>
      <c r="AY209" s="1516" t="str">
        <f>IF(OR(AY$122="",I148=""),"",'I. Stream &amp; Compound Data'!DU203/$J148*(1-AY$127)*(1-AY$123)*$K209)</f>
        <v/>
      </c>
      <c r="AZ209" s="279"/>
      <c r="BA209" s="279"/>
      <c r="BB209" s="279"/>
      <c r="BC209" s="279"/>
      <c r="BD209" s="279"/>
      <c r="BE209" s="279"/>
      <c r="BF209" s="279"/>
      <c r="BG209" s="279"/>
      <c r="BH209" s="279"/>
      <c r="BI209" s="279"/>
      <c r="BJ209" s="279"/>
      <c r="BK209" s="279"/>
      <c r="BL209" s="279"/>
      <c r="BM209" s="279"/>
      <c r="BN209" s="279"/>
      <c r="BO209" s="279"/>
      <c r="BP209" s="279"/>
      <c r="BQ209" s="279"/>
      <c r="BR209" s="279"/>
      <c r="BS209" s="279"/>
      <c r="BT209" s="279"/>
      <c r="BU209" s="279"/>
      <c r="BV209" s="279"/>
      <c r="BW209" s="279"/>
      <c r="BX209" s="279"/>
      <c r="BY209" s="279"/>
      <c r="BZ209" s="279"/>
      <c r="CA209" s="279"/>
      <c r="CB209" s="279"/>
      <c r="CC209" s="279"/>
      <c r="CD209" s="279"/>
      <c r="CE209" s="279"/>
      <c r="CF209" s="279"/>
      <c r="CG209" s="279"/>
      <c r="CH209" s="279"/>
      <c r="CI209" s="279"/>
      <c r="CJ209" s="279"/>
      <c r="CK209" s="279"/>
      <c r="CL209" s="279"/>
      <c r="CM209" s="279"/>
      <c r="CN209" s="382"/>
    </row>
    <row r="210" ht="15.6" x14ac:dyDescent="0.25">
      <c r="B210" s="361"/>
      <c r="C210" s="279"/>
      <c r="D210" s="280"/>
      <c r="E210" s="287"/>
      <c r="F210" s="287"/>
      <c r="G210" s="287"/>
      <c r="H210" s="280"/>
      <c r="I210" s="304"/>
      <c r="J210" s="1292">
        <f t="shared" si="23"/>
        <v>19</v>
      </c>
      <c r="K210" s="1242" t="str">
        <f>IF('I. Stream &amp; Compound Data'!G280="","",IF('I. Stream &amp; Compound Data'!V280=1,0,1))</f>
        <v/>
      </c>
      <c r="L210" s="1242" t="str">
        <f>IF(OR(L$122="",I149=""),"",'I. Stream &amp; Compound Data'!H204/$J149*(1-L$127)*(1-L$123)*$K210)</f>
        <v/>
      </c>
      <c r="M210" s="1242" t="str">
        <f>IF(OR(M$122="",I149=""),"",'I. Stream &amp; Compound Data'!K204/$J149*(1-M$127)*(1-M$123)*$K210)</f>
        <v/>
      </c>
      <c r="N210" s="1306" t="str">
        <f>IF(OR(N$122="",I149=""),"",'I. Stream &amp; Compound Data'!N204/$J149*(1-N$127)*(1-N$123)*$K210)</f>
        <v/>
      </c>
      <c r="O210" s="1242" t="str">
        <f>IF(OR(O$122="",I149=""),"",'I. Stream &amp; Compound Data'!Q204/$J149*(1-O$127)*(1-O$123)*$K210)</f>
        <v/>
      </c>
      <c r="P210" s="1242" t="str">
        <f>IF(OR(P$122="",I149=""),"",'I. Stream &amp; Compound Data'!T204/$J149*(1-P$127)*(1-P$123)*$K210)</f>
        <v/>
      </c>
      <c r="Q210" s="202" t="str">
        <f>IF(OR(Q$122="",I149=""),"",'I. Stream &amp; Compound Data'!W204/$J149*(1-Q$127)*(1-Q$123)*$K210)</f>
        <v/>
      </c>
      <c r="R210" s="1168" t="str">
        <f>IF(OR(R$122="",I149=""),"",'I. Stream &amp; Compound Data'!Z204/$J149*(1-R$127)*(1-R$123)*$K210)</f>
        <v/>
      </c>
      <c r="S210" s="1168" t="str">
        <f>IF(OR(S$122="",I149=""),"",'I. Stream &amp; Compound Data'!AC204/$J149*(1-S$127)*(1-S$123)*$K210)</f>
        <v/>
      </c>
      <c r="T210" s="1168" t="str">
        <f>IF(OR(T$122="",I149=""),"",'I. Stream &amp; Compound Data'!AF204/$J149*(1-T$127)*(1-T$123)*$K210)</f>
        <v/>
      </c>
      <c r="U210" s="1222" t="str">
        <f>IF(OR(U$122="",I149=""),"",'I. Stream &amp; Compound Data'!AI204/$J149*(1-U$127)*(1-U$123)*$K210)</f>
        <v/>
      </c>
      <c r="V210" s="1222" t="str">
        <f>IF(OR(V$122="",I149=""),"",'I. Stream &amp; Compound Data'!AL204/$J149*(1-V$127)*(1-V$123)*$K210)</f>
        <v/>
      </c>
      <c r="W210" s="1222" t="str">
        <f>IF(OR(W$122="",I149=""),"",'I. Stream &amp; Compound Data'!AO204/$J149*(1-W$127)*(1-W$123)*$K210)</f>
        <v/>
      </c>
      <c r="X210" s="1222" t="str">
        <f>IF(OR(X$122="",I149=""),"",'I. Stream &amp; Compound Data'!AR204/$J149*(1-X$127)*(1-X$123)*$K210)</f>
        <v/>
      </c>
      <c r="Y210" s="1222" t="str">
        <f>IF(OR(Y$122="",I149=""),"",'I. Stream &amp; Compound Data'!AU204/$J149*(1-Y$127)*(1-Y$123)*$K210)</f>
        <v/>
      </c>
      <c r="Z210" s="1222" t="str">
        <f>IF(OR(Z$122="",I149=""),"",'I. Stream &amp; Compound Data'!AX204/$J149*(1-Z$127)*(1-Z$123)*$K210)</f>
        <v/>
      </c>
      <c r="AA210" s="1222" t="str">
        <f>IF(OR(AA$122="",I149=""),"",'I. Stream &amp; Compound Data'!BA204/$J149*(1-AA$127)*(1-AA$123)*$K210)</f>
        <v/>
      </c>
      <c r="AB210" s="1222" t="str">
        <f>IF(OR(AB$122="",I149=""),"",'I. Stream &amp; Compound Data'!BD204/$J149*(1-AB$127)*(1-AB$123)*$K210)</f>
        <v/>
      </c>
      <c r="AC210" s="1222" t="str">
        <f>IF(OR(AC$122="",I149=""),"",'I. Stream &amp; Compound Data'!BG204/$J149*(1-AC$127)*(1-AC$123)*$K210)</f>
        <v/>
      </c>
      <c r="AD210" s="1222" t="str">
        <f>IF(OR(AD$122="",I149=""),"",'I. Stream &amp; Compound Data'!BJ204/$J149*(1-AD$127)*(1-AD$123)*$K210)</f>
        <v/>
      </c>
      <c r="AE210" s="1222" t="str">
        <f>IF(OR(AE$122="",I149=""),"",'I. Stream &amp; Compound Data'!BM204/$J149*(1-AE$127)*(1-AE$123)*$K210)</f>
        <v/>
      </c>
      <c r="AF210" s="1222" t="str">
        <f>IF(OR(AF$122="",I149=""),"",'I. Stream &amp; Compound Data'!BP204/$J149*(1-AF$127)*(1-AF$123)*$K210)</f>
        <v/>
      </c>
      <c r="AG210" s="1222" t="str">
        <f>IF(OR(AG$122="",I149=""),"",'I. Stream &amp; Compound Data'!BS204/$J149*(1-AG$127)*(1-AG$123)*$K210)</f>
        <v/>
      </c>
      <c r="AH210" s="1222" t="str">
        <f>IF(OR(AH$122="",I149=""),"",'I. Stream &amp; Compound Data'!BV204/$J149*(1-AH$127)*(1-AH$123)*$K210)</f>
        <v/>
      </c>
      <c r="AI210" s="1222" t="str">
        <f>IF(OR(AI$122="",I149=""),"",'I. Stream &amp; Compound Data'!BY204/$J149*(1-AI$127)*(1-AI$123)*$K210)</f>
        <v/>
      </c>
      <c r="AJ210" s="1222" t="str">
        <f>IF(OR(AJ$122="",I149=""),"",'I. Stream &amp; Compound Data'!CB204/$J149*(1-AJ$127)*(1-AJ$123)*$K210)</f>
        <v/>
      </c>
      <c r="AK210" s="1222" t="str">
        <f>IF(OR(AK$122="",I149=""),"",'I. Stream &amp; Compound Data'!CE204/$J149*(1-AK$127)*(1-AK$123)*$K210)</f>
        <v/>
      </c>
      <c r="AL210" s="1222" t="str">
        <f>IF(OR(AL$122="",I149=""),"",'I. Stream &amp; Compound Data'!CH204/$J149*(1-AL$127)*(1-AL$123)*$K210)</f>
        <v/>
      </c>
      <c r="AM210" s="1222" t="str">
        <f>IF(OR(AM$122="",I149=""),"",'I. Stream &amp; Compound Data'!CK204/$J149*(1-AM$127)*(1-AM$123)*$K210)</f>
        <v/>
      </c>
      <c r="AN210" s="1222" t="str">
        <f>IF(OR(AN$122="",I149=""),"",'I. Stream &amp; Compound Data'!CN204/$J149*(1-AN$127)*(1-AN$123)*$K210)</f>
        <v/>
      </c>
      <c r="AO210" s="1222" t="str">
        <f>IF(OR(AO$122="",I149=""),"",'I. Stream &amp; Compound Data'!CQ204/$J149*(1-AO$127)*(1-AO$123)*$K210)</f>
        <v/>
      </c>
      <c r="AP210" s="1222" t="str">
        <f>IF(OR(AP$122="",I149=""),"",'I. Stream &amp; Compound Data'!CT204/$J149*(1-AP$127)*(1-AP$123)*$K210)</f>
        <v/>
      </c>
      <c r="AQ210" s="1222" t="str">
        <f>IF(OR(AQ$122="",I149=""),"",'I. Stream &amp; Compound Data'!CW204/$J149*(1-AQ$127)*(1-AQ$123)*$K210)</f>
        <v/>
      </c>
      <c r="AR210" s="1222" t="str">
        <f>IF(OR(AR$122="",I149=""),"",'I. Stream &amp; Compound Data'!CZ204/$J149*(1-AR$127)*(1-AR$123)*$K210)</f>
        <v/>
      </c>
      <c r="AS210" s="1222" t="str">
        <f>IF(OR(AS$122="",I149=""),"",'I. Stream &amp; Compound Data'!DC204/$J149*(1-AS$127)*(1-AS$123)*$K210)</f>
        <v/>
      </c>
      <c r="AT210" s="1222" t="str">
        <f>IF(OR(AT$122="",I149=""),"",'I. Stream &amp; Compound Data'!DF204/$J149*(1-AT$127)*(1-AT$123)*$K210)</f>
        <v/>
      </c>
      <c r="AU210" s="1222" t="str">
        <f>IF(OR(AU$122="",I149=""),"",'I. Stream &amp; Compound Data'!DI204/$J149*(1-AU$127)*(1-AU$123)*$K210)</f>
        <v/>
      </c>
      <c r="AV210" s="1222" t="str">
        <f>IF(OR(AV$122="",I149=""),"",'I. Stream &amp; Compound Data'!DL204/$J149*(1-AV$127)*(1-AV$123)*$K210)</f>
        <v/>
      </c>
      <c r="AW210" s="1222" t="str">
        <f>IF(OR(AW$122="",I149=""),"",'I. Stream &amp; Compound Data'!DO204/$J149*(1-AW$127)*(1-AW$123)*$K210)</f>
        <v/>
      </c>
      <c r="AX210" s="1222" t="str">
        <f>IF(OR(AX$122="",I149=""),"",'I. Stream &amp; Compound Data'!DR204/$J149*(1-AX$127)*(1-AX$123)*$K210)</f>
        <v/>
      </c>
      <c r="AY210" s="1516" t="str">
        <f>IF(OR(AY$122="",I149=""),"",'I. Stream &amp; Compound Data'!DU204/$J149*(1-AY$127)*(1-AY$123)*$K210)</f>
        <v/>
      </c>
      <c r="AZ210" s="279"/>
      <c r="BA210" s="279"/>
      <c r="BB210" s="279"/>
      <c r="BC210" s="279"/>
      <c r="BD210" s="279"/>
      <c r="BE210" s="279"/>
      <c r="BF210" s="279"/>
      <c r="BG210" s="279"/>
      <c r="BH210" s="279"/>
      <c r="BI210" s="279"/>
      <c r="BJ210" s="279"/>
      <c r="BK210" s="279"/>
      <c r="BL210" s="279"/>
      <c r="BM210" s="279"/>
      <c r="BN210" s="279"/>
      <c r="BO210" s="279"/>
      <c r="BP210" s="279"/>
      <c r="BQ210" s="279"/>
      <c r="BR210" s="279"/>
      <c r="BS210" s="279"/>
      <c r="BT210" s="279"/>
      <c r="BU210" s="279"/>
      <c r="BV210" s="279"/>
      <c r="BW210" s="279"/>
      <c r="BX210" s="279"/>
      <c r="BY210" s="279"/>
      <c r="BZ210" s="279"/>
      <c r="CA210" s="279"/>
      <c r="CB210" s="279"/>
      <c r="CC210" s="279"/>
      <c r="CD210" s="279"/>
      <c r="CE210" s="279"/>
      <c r="CF210" s="279"/>
      <c r="CG210" s="279"/>
      <c r="CH210" s="279"/>
      <c r="CI210" s="279"/>
      <c r="CJ210" s="279"/>
      <c r="CK210" s="279"/>
      <c r="CL210" s="279"/>
      <c r="CM210" s="279"/>
      <c r="CN210" s="382"/>
    </row>
    <row r="211" ht="15.6" x14ac:dyDescent="0.25">
      <c r="B211" s="361"/>
      <c r="C211" s="279"/>
      <c r="D211" s="280"/>
      <c r="E211" s="287"/>
      <c r="F211" s="287"/>
      <c r="G211" s="287"/>
      <c r="H211" s="280"/>
      <c r="I211" s="304"/>
      <c r="J211" s="1292">
        <f t="shared" si="23"/>
        <v>20</v>
      </c>
      <c r="K211" s="1242" t="str">
        <f>IF('I. Stream &amp; Compound Data'!G281="","",IF('I. Stream &amp; Compound Data'!V281=1,0,1))</f>
        <v/>
      </c>
      <c r="L211" s="1242" t="str">
        <f>IF(OR(L$122="",I150=""),"",'I. Stream &amp; Compound Data'!H205/$J150*(1-L$127)*(1-L$123)*$K211)</f>
        <v/>
      </c>
      <c r="M211" s="1242" t="str">
        <f>IF(OR(M$122="",I150=""),"",'I. Stream &amp; Compound Data'!K205/$J150*(1-M$127)*(1-M$123)*$K211)</f>
        <v/>
      </c>
      <c r="N211" s="1306" t="str">
        <f>IF(OR(N$122="",I150=""),"",'I. Stream &amp; Compound Data'!N205/$J150*(1-N$127)*(1-N$123)*$K211)</f>
        <v/>
      </c>
      <c r="O211" s="1242" t="str">
        <f>IF(OR(O$122="",I150=""),"",'I. Stream &amp; Compound Data'!Q205/$J150*(1-O$127)*(1-O$123)*$K211)</f>
        <v/>
      </c>
      <c r="P211" s="1242" t="str">
        <f>IF(OR(P$122="",I150=""),"",'I. Stream &amp; Compound Data'!T205/$J150*(1-P$127)*(1-P$123)*$K211)</f>
        <v/>
      </c>
      <c r="Q211" s="202" t="str">
        <f>IF(OR(Q$122="",I150=""),"",'I. Stream &amp; Compound Data'!W205/$J150*(1-Q$127)*(1-Q$123)*$K211)</f>
        <v/>
      </c>
      <c r="R211" s="1168" t="str">
        <f>IF(OR(R$122="",I150=""),"",'I. Stream &amp; Compound Data'!Z205/$J150*(1-R$127)*(1-R$123)*$K211)</f>
        <v/>
      </c>
      <c r="S211" s="1168" t="str">
        <f>IF(OR(S$122="",I150=""),"",'I. Stream &amp; Compound Data'!AC205/$J150*(1-S$127)*(1-S$123)*$K211)</f>
        <v/>
      </c>
      <c r="T211" s="1168" t="str">
        <f>IF(OR(T$122="",I150=""),"",'I. Stream &amp; Compound Data'!AF205/$J150*(1-T$127)*(1-T$123)*$K211)</f>
        <v/>
      </c>
      <c r="U211" s="1222" t="str">
        <f>IF(OR(U$122="",I150=""),"",'I. Stream &amp; Compound Data'!AI205/$J150*(1-U$127)*(1-U$123)*$K211)</f>
        <v/>
      </c>
      <c r="V211" s="1222" t="str">
        <f>IF(OR(V$122="",I150=""),"",'I. Stream &amp; Compound Data'!AL205/$J150*(1-V$127)*(1-V$123)*$K211)</f>
        <v/>
      </c>
      <c r="W211" s="1222" t="str">
        <f>IF(OR(W$122="",I150=""),"",'I. Stream &amp; Compound Data'!AO205/$J150*(1-W$127)*(1-W$123)*$K211)</f>
        <v/>
      </c>
      <c r="X211" s="1222" t="str">
        <f>IF(OR(X$122="",I150=""),"",'I. Stream &amp; Compound Data'!AR205/$J150*(1-X$127)*(1-X$123)*$K211)</f>
        <v/>
      </c>
      <c r="Y211" s="1222" t="str">
        <f>IF(OR(Y$122="",I150=""),"",'I. Stream &amp; Compound Data'!AU205/$J150*(1-Y$127)*(1-Y$123)*$K211)</f>
        <v/>
      </c>
      <c r="Z211" s="1222" t="str">
        <f>IF(OR(Z$122="",I150=""),"",'I. Stream &amp; Compound Data'!AX205/$J150*(1-Z$127)*(1-Z$123)*$K211)</f>
        <v/>
      </c>
      <c r="AA211" s="1222" t="str">
        <f>IF(OR(AA$122="",I150=""),"",'I. Stream &amp; Compound Data'!BA205/$J150*(1-AA$127)*(1-AA$123)*$K211)</f>
        <v/>
      </c>
      <c r="AB211" s="1222" t="str">
        <f>IF(OR(AB$122="",I150=""),"",'I. Stream &amp; Compound Data'!BD205/$J150*(1-AB$127)*(1-AB$123)*$K211)</f>
        <v/>
      </c>
      <c r="AC211" s="1222" t="str">
        <f>IF(OR(AC$122="",I150=""),"",'I. Stream &amp; Compound Data'!BG205/$J150*(1-AC$127)*(1-AC$123)*$K211)</f>
        <v/>
      </c>
      <c r="AD211" s="1222" t="str">
        <f>IF(OR(AD$122="",I150=""),"",'I. Stream &amp; Compound Data'!BJ205/$J150*(1-AD$127)*(1-AD$123)*$K211)</f>
        <v/>
      </c>
      <c r="AE211" s="1222" t="str">
        <f>IF(OR(AE$122="",I150=""),"",'I. Stream &amp; Compound Data'!BM205/$J150*(1-AE$127)*(1-AE$123)*$K211)</f>
        <v/>
      </c>
      <c r="AF211" s="1222" t="str">
        <f>IF(OR(AF$122="",I150=""),"",'I. Stream &amp; Compound Data'!BP205/$J150*(1-AF$127)*(1-AF$123)*$K211)</f>
        <v/>
      </c>
      <c r="AG211" s="1222" t="str">
        <f>IF(OR(AG$122="",I150=""),"",'I. Stream &amp; Compound Data'!BS205/$J150*(1-AG$127)*(1-AG$123)*$K211)</f>
        <v/>
      </c>
      <c r="AH211" s="1222" t="str">
        <f>IF(OR(AH$122="",I150=""),"",'I. Stream &amp; Compound Data'!BV205/$J150*(1-AH$127)*(1-AH$123)*$K211)</f>
        <v/>
      </c>
      <c r="AI211" s="1222" t="str">
        <f>IF(OR(AI$122="",I150=""),"",'I. Stream &amp; Compound Data'!BY205/$J150*(1-AI$127)*(1-AI$123)*$K211)</f>
        <v/>
      </c>
      <c r="AJ211" s="1222" t="str">
        <f>IF(OR(AJ$122="",I150=""),"",'I. Stream &amp; Compound Data'!CB205/$J150*(1-AJ$127)*(1-AJ$123)*$K211)</f>
        <v/>
      </c>
      <c r="AK211" s="1222" t="str">
        <f>IF(OR(AK$122="",I150=""),"",'I. Stream &amp; Compound Data'!CE205/$J150*(1-AK$127)*(1-AK$123)*$K211)</f>
        <v/>
      </c>
      <c r="AL211" s="1222" t="str">
        <f>IF(OR(AL$122="",I150=""),"",'I. Stream &amp; Compound Data'!CH205/$J150*(1-AL$127)*(1-AL$123)*$K211)</f>
        <v/>
      </c>
      <c r="AM211" s="1222" t="str">
        <f>IF(OR(AM$122="",I150=""),"",'I. Stream &amp; Compound Data'!CK205/$J150*(1-AM$127)*(1-AM$123)*$K211)</f>
        <v/>
      </c>
      <c r="AN211" s="1222" t="str">
        <f>IF(OR(AN$122="",I150=""),"",'I. Stream &amp; Compound Data'!CN205/$J150*(1-AN$127)*(1-AN$123)*$K211)</f>
        <v/>
      </c>
      <c r="AO211" s="1222" t="str">
        <f>IF(OR(AO$122="",I150=""),"",'I. Stream &amp; Compound Data'!CQ205/$J150*(1-AO$127)*(1-AO$123)*$K211)</f>
        <v/>
      </c>
      <c r="AP211" s="1222" t="str">
        <f>IF(OR(AP$122="",I150=""),"",'I. Stream &amp; Compound Data'!CT205/$J150*(1-AP$127)*(1-AP$123)*$K211)</f>
        <v/>
      </c>
      <c r="AQ211" s="1222" t="str">
        <f>IF(OR(AQ$122="",I150=""),"",'I. Stream &amp; Compound Data'!CW205/$J150*(1-AQ$127)*(1-AQ$123)*$K211)</f>
        <v/>
      </c>
      <c r="AR211" s="1222" t="str">
        <f>IF(OR(AR$122="",I150=""),"",'I. Stream &amp; Compound Data'!CZ205/$J150*(1-AR$127)*(1-AR$123)*$K211)</f>
        <v/>
      </c>
      <c r="AS211" s="1222" t="str">
        <f>IF(OR(AS$122="",I150=""),"",'I. Stream &amp; Compound Data'!DC205/$J150*(1-AS$127)*(1-AS$123)*$K211)</f>
        <v/>
      </c>
      <c r="AT211" s="1222" t="str">
        <f>IF(OR(AT$122="",I150=""),"",'I. Stream &amp; Compound Data'!DF205/$J150*(1-AT$127)*(1-AT$123)*$K211)</f>
        <v/>
      </c>
      <c r="AU211" s="1222" t="str">
        <f>IF(OR(AU$122="",I150=""),"",'I. Stream &amp; Compound Data'!DI205/$J150*(1-AU$127)*(1-AU$123)*$K211)</f>
        <v/>
      </c>
      <c r="AV211" s="1222" t="str">
        <f>IF(OR(AV$122="",I150=""),"",'I. Stream &amp; Compound Data'!DL205/$J150*(1-AV$127)*(1-AV$123)*$K211)</f>
        <v/>
      </c>
      <c r="AW211" s="1222" t="str">
        <f>IF(OR(AW$122="",I150=""),"",'I. Stream &amp; Compound Data'!DO205/$J150*(1-AW$127)*(1-AW$123)*$K211)</f>
        <v/>
      </c>
      <c r="AX211" s="1222" t="str">
        <f>IF(OR(AX$122="",I150=""),"",'I. Stream &amp; Compound Data'!DR205/$J150*(1-AX$127)*(1-AX$123)*$K211)</f>
        <v/>
      </c>
      <c r="AY211" s="1516" t="str">
        <f>IF(OR(AY$122="",I150=""),"",'I. Stream &amp; Compound Data'!DU205/$J150*(1-AY$127)*(1-AY$123)*$K211)</f>
        <v/>
      </c>
      <c r="AZ211" s="279"/>
      <c r="BA211" s="279"/>
      <c r="BB211" s="279"/>
      <c r="BC211" s="279"/>
      <c r="BD211" s="279"/>
      <c r="BE211" s="279"/>
      <c r="BF211" s="279"/>
      <c r="BG211" s="279"/>
      <c r="BH211" s="279"/>
      <c r="BI211" s="279"/>
      <c r="BJ211" s="279"/>
      <c r="BK211" s="279"/>
      <c r="BL211" s="279"/>
      <c r="BM211" s="279"/>
      <c r="BN211" s="279"/>
      <c r="BO211" s="279"/>
      <c r="BP211" s="279"/>
      <c r="BQ211" s="279"/>
      <c r="BR211" s="279"/>
      <c r="BS211" s="279"/>
      <c r="BT211" s="279"/>
      <c r="BU211" s="279"/>
      <c r="BV211" s="279"/>
      <c r="BW211" s="279"/>
      <c r="BX211" s="279"/>
      <c r="BY211" s="279"/>
      <c r="BZ211" s="279"/>
      <c r="CA211" s="279"/>
      <c r="CB211" s="279"/>
      <c r="CC211" s="279"/>
      <c r="CD211" s="279"/>
      <c r="CE211" s="279"/>
      <c r="CF211" s="279"/>
      <c r="CG211" s="279"/>
      <c r="CH211" s="279"/>
      <c r="CI211" s="279"/>
      <c r="CJ211" s="279"/>
      <c r="CK211" s="279"/>
      <c r="CL211" s="279"/>
      <c r="CM211" s="279"/>
      <c r="CN211" s="382"/>
    </row>
    <row r="212" ht="15.6" x14ac:dyDescent="0.25">
      <c r="B212" s="361"/>
      <c r="C212" s="279"/>
      <c r="D212" s="280"/>
      <c r="E212" s="287"/>
      <c r="F212" s="287"/>
      <c r="G212" s="287"/>
      <c r="H212" s="280"/>
      <c r="I212" s="304"/>
      <c r="J212" s="1292">
        <f t="shared" si="23"/>
        <v>21</v>
      </c>
      <c r="K212" s="1242" t="str">
        <f>IF('I. Stream &amp; Compound Data'!G282="","",IF('I. Stream &amp; Compound Data'!V282=1,0,1))</f>
        <v/>
      </c>
      <c r="L212" s="1242" t="str">
        <f>IF(OR(L$122="",I151=""),"",'I. Stream &amp; Compound Data'!H206/$J151*(1-L$127)*(1-L$123)*$K212)</f>
        <v/>
      </c>
      <c r="M212" s="1242" t="str">
        <f>IF(OR(M$122="",I151=""),"",'I. Stream &amp; Compound Data'!K206/$J151*(1-M$127)*(1-M$123)*$K212)</f>
        <v/>
      </c>
      <c r="N212" s="1306" t="str">
        <f>IF(OR(N$122="",I151=""),"",'I. Stream &amp; Compound Data'!N206/$J151*(1-N$127)*(1-N$123)*$K212)</f>
        <v/>
      </c>
      <c r="O212" s="1242" t="str">
        <f>IF(OR(O$122="",I151=""),"",'I. Stream &amp; Compound Data'!Q206/$J151*(1-O$127)*(1-O$123)*$K212)</f>
        <v/>
      </c>
      <c r="P212" s="1242" t="str">
        <f>IF(OR(P$122="",I151=""),"",'I. Stream &amp; Compound Data'!T206/$J151*(1-P$127)*(1-P$123)*$K212)</f>
        <v/>
      </c>
      <c r="Q212" s="202" t="str">
        <f>IF(OR(Q$122="",I151=""),"",'I. Stream &amp; Compound Data'!W206/$J151*(1-Q$127)*(1-Q$123)*$K212)</f>
        <v/>
      </c>
      <c r="R212" s="1168" t="str">
        <f>IF(OR(R$122="",I151=""),"",'I. Stream &amp; Compound Data'!Z206/$J151*(1-R$127)*(1-R$123)*$K212)</f>
        <v/>
      </c>
      <c r="S212" s="1168" t="str">
        <f>IF(OR(S$122="",I151=""),"",'I. Stream &amp; Compound Data'!AC206/$J151*(1-S$127)*(1-S$123)*$K212)</f>
        <v/>
      </c>
      <c r="T212" s="1168" t="str">
        <f>IF(OR(T$122="",I151=""),"",'I. Stream &amp; Compound Data'!AF206/$J151*(1-T$127)*(1-T$123)*$K212)</f>
        <v/>
      </c>
      <c r="U212" s="1222" t="str">
        <f>IF(OR(U$122="",I151=""),"",'I. Stream &amp; Compound Data'!AI206/$J151*(1-U$127)*(1-U$123)*$K212)</f>
        <v/>
      </c>
      <c r="V212" s="1222" t="str">
        <f>IF(OR(V$122="",I151=""),"",'I. Stream &amp; Compound Data'!AL206/$J151*(1-V$127)*(1-V$123)*$K212)</f>
        <v/>
      </c>
      <c r="W212" s="1222" t="str">
        <f>IF(OR(W$122="",I151=""),"",'I. Stream &amp; Compound Data'!AO206/$J151*(1-W$127)*(1-W$123)*$K212)</f>
        <v/>
      </c>
      <c r="X212" s="1222" t="str">
        <f>IF(OR(X$122="",I151=""),"",'I. Stream &amp; Compound Data'!AR206/$J151*(1-X$127)*(1-X$123)*$K212)</f>
        <v/>
      </c>
      <c r="Y212" s="1222" t="str">
        <f>IF(OR(Y$122="",I151=""),"",'I. Stream &amp; Compound Data'!AU206/$J151*(1-Y$127)*(1-Y$123)*$K212)</f>
        <v/>
      </c>
      <c r="Z212" s="1222" t="str">
        <f>IF(OR(Z$122="",I151=""),"",'I. Stream &amp; Compound Data'!AX206/$J151*(1-Z$127)*(1-Z$123)*$K212)</f>
        <v/>
      </c>
      <c r="AA212" s="1222" t="str">
        <f>IF(OR(AA$122="",I151=""),"",'I. Stream &amp; Compound Data'!BA206/$J151*(1-AA$127)*(1-AA$123)*$K212)</f>
        <v/>
      </c>
      <c r="AB212" s="1222" t="str">
        <f>IF(OR(AB$122="",I151=""),"",'I. Stream &amp; Compound Data'!BD206/$J151*(1-AB$127)*(1-AB$123)*$K212)</f>
        <v/>
      </c>
      <c r="AC212" s="1222" t="str">
        <f>IF(OR(AC$122="",I151=""),"",'I. Stream &amp; Compound Data'!BG206/$J151*(1-AC$127)*(1-AC$123)*$K212)</f>
        <v/>
      </c>
      <c r="AD212" s="1222" t="str">
        <f>IF(OR(AD$122="",I151=""),"",'I. Stream &amp; Compound Data'!BJ206/$J151*(1-AD$127)*(1-AD$123)*$K212)</f>
        <v/>
      </c>
      <c r="AE212" s="1222" t="str">
        <f>IF(OR(AE$122="",I151=""),"",'I. Stream &amp; Compound Data'!BM206/$J151*(1-AE$127)*(1-AE$123)*$K212)</f>
        <v/>
      </c>
      <c r="AF212" s="1222" t="str">
        <f>IF(OR(AF$122="",I151=""),"",'I. Stream &amp; Compound Data'!BP206/$J151*(1-AF$127)*(1-AF$123)*$K212)</f>
        <v/>
      </c>
      <c r="AG212" s="1222" t="str">
        <f>IF(OR(AG$122="",I151=""),"",'I. Stream &amp; Compound Data'!BS206/$J151*(1-AG$127)*(1-AG$123)*$K212)</f>
        <v/>
      </c>
      <c r="AH212" s="1222" t="str">
        <f>IF(OR(AH$122="",I151=""),"",'I. Stream &amp; Compound Data'!BV206/$J151*(1-AH$127)*(1-AH$123)*$K212)</f>
        <v/>
      </c>
      <c r="AI212" s="1222" t="str">
        <f>IF(OR(AI$122="",I151=""),"",'I. Stream &amp; Compound Data'!BY206/$J151*(1-AI$127)*(1-AI$123)*$K212)</f>
        <v/>
      </c>
      <c r="AJ212" s="1222" t="str">
        <f>IF(OR(AJ$122="",I151=""),"",'I. Stream &amp; Compound Data'!CB206/$J151*(1-AJ$127)*(1-AJ$123)*$K212)</f>
        <v/>
      </c>
      <c r="AK212" s="1222" t="str">
        <f>IF(OR(AK$122="",I151=""),"",'I. Stream &amp; Compound Data'!CE206/$J151*(1-AK$127)*(1-AK$123)*$K212)</f>
        <v/>
      </c>
      <c r="AL212" s="1222" t="str">
        <f>IF(OR(AL$122="",I151=""),"",'I. Stream &amp; Compound Data'!CH206/$J151*(1-AL$127)*(1-AL$123)*$K212)</f>
        <v/>
      </c>
      <c r="AM212" s="1222" t="str">
        <f>IF(OR(AM$122="",I151=""),"",'I. Stream &amp; Compound Data'!CK206/$J151*(1-AM$127)*(1-AM$123)*$K212)</f>
        <v/>
      </c>
      <c r="AN212" s="1222" t="str">
        <f>IF(OR(AN$122="",I151=""),"",'I. Stream &amp; Compound Data'!CN206/$J151*(1-AN$127)*(1-AN$123)*$K212)</f>
        <v/>
      </c>
      <c r="AO212" s="1222" t="str">
        <f>IF(OR(AO$122="",I151=""),"",'I. Stream &amp; Compound Data'!CQ206/$J151*(1-AO$127)*(1-AO$123)*$K212)</f>
        <v/>
      </c>
      <c r="AP212" s="1222" t="str">
        <f>IF(OR(AP$122="",I151=""),"",'I. Stream &amp; Compound Data'!CT206/$J151*(1-AP$127)*(1-AP$123)*$K212)</f>
        <v/>
      </c>
      <c r="AQ212" s="1222" t="str">
        <f>IF(OR(AQ$122="",I151=""),"",'I. Stream &amp; Compound Data'!CW206/$J151*(1-AQ$127)*(1-AQ$123)*$K212)</f>
        <v/>
      </c>
      <c r="AR212" s="1222" t="str">
        <f>IF(OR(AR$122="",I151=""),"",'I. Stream &amp; Compound Data'!CZ206/$J151*(1-AR$127)*(1-AR$123)*$K212)</f>
        <v/>
      </c>
      <c r="AS212" s="1222" t="str">
        <f>IF(OR(AS$122="",I151=""),"",'I. Stream &amp; Compound Data'!DC206/$J151*(1-AS$127)*(1-AS$123)*$K212)</f>
        <v/>
      </c>
      <c r="AT212" s="1222" t="str">
        <f>IF(OR(AT$122="",I151=""),"",'I. Stream &amp; Compound Data'!DF206/$J151*(1-AT$127)*(1-AT$123)*$K212)</f>
        <v/>
      </c>
      <c r="AU212" s="1222" t="str">
        <f>IF(OR(AU$122="",I151=""),"",'I. Stream &amp; Compound Data'!DI206/$J151*(1-AU$127)*(1-AU$123)*$K212)</f>
        <v/>
      </c>
      <c r="AV212" s="1222" t="str">
        <f>IF(OR(AV$122="",I151=""),"",'I. Stream &amp; Compound Data'!DL206/$J151*(1-AV$127)*(1-AV$123)*$K212)</f>
        <v/>
      </c>
      <c r="AW212" s="1222" t="str">
        <f>IF(OR(AW$122="",I151=""),"",'I. Stream &amp; Compound Data'!DO206/$J151*(1-AW$127)*(1-AW$123)*$K212)</f>
        <v/>
      </c>
      <c r="AX212" s="1222" t="str">
        <f>IF(OR(AX$122="",I151=""),"",'I. Stream &amp; Compound Data'!DR206/$J151*(1-AX$127)*(1-AX$123)*$K212)</f>
        <v/>
      </c>
      <c r="AY212" s="1516" t="str">
        <f>IF(OR(AY$122="",I151=""),"",'I. Stream &amp; Compound Data'!DU206/$J151*(1-AY$127)*(1-AY$123)*$K212)</f>
        <v/>
      </c>
      <c r="AZ212" s="279"/>
      <c r="BA212" s="279"/>
      <c r="BB212" s="279"/>
      <c r="BC212" s="279"/>
      <c r="BD212" s="279"/>
      <c r="BE212" s="279"/>
      <c r="BF212" s="279"/>
      <c r="BG212" s="279"/>
      <c r="BH212" s="279"/>
      <c r="BI212" s="279"/>
      <c r="BJ212" s="279"/>
      <c r="BK212" s="279"/>
      <c r="BL212" s="279"/>
      <c r="BM212" s="279"/>
      <c r="BN212" s="279"/>
      <c r="BO212" s="279"/>
      <c r="BP212" s="279"/>
      <c r="BQ212" s="279"/>
      <c r="BR212" s="279"/>
      <c r="BS212" s="279"/>
      <c r="BT212" s="279"/>
      <c r="BU212" s="279"/>
      <c r="BV212" s="279"/>
      <c r="BW212" s="279"/>
      <c r="BX212" s="279"/>
      <c r="BY212" s="279"/>
      <c r="BZ212" s="279"/>
      <c r="CA212" s="279"/>
      <c r="CB212" s="279"/>
      <c r="CC212" s="279"/>
      <c r="CD212" s="279"/>
      <c r="CE212" s="279"/>
      <c r="CF212" s="279"/>
      <c r="CG212" s="279"/>
      <c r="CH212" s="279"/>
      <c r="CI212" s="279"/>
      <c r="CJ212" s="279"/>
      <c r="CK212" s="279"/>
      <c r="CL212" s="279"/>
      <c r="CM212" s="279"/>
      <c r="CN212" s="382"/>
    </row>
    <row r="213" ht="15.6" x14ac:dyDescent="0.25">
      <c r="B213" s="361"/>
      <c r="C213" s="279"/>
      <c r="D213" s="280"/>
      <c r="E213" s="287"/>
      <c r="F213" s="287"/>
      <c r="G213" s="287"/>
      <c r="H213" s="280"/>
      <c r="I213" s="304"/>
      <c r="J213" s="1292">
        <f t="shared" si="23"/>
        <v>22</v>
      </c>
      <c r="K213" s="1242" t="str">
        <f>IF('I. Stream &amp; Compound Data'!G283="","",IF('I. Stream &amp; Compound Data'!V283=1,0,1))</f>
        <v/>
      </c>
      <c r="L213" s="1242" t="str">
        <f>IF(OR(L$122="",I152=""),"",'I. Stream &amp; Compound Data'!H207/$J152*(1-L$127)*(1-L$123)*$K213)</f>
        <v/>
      </c>
      <c r="M213" s="1242" t="str">
        <f>IF(OR(M$122="",I152=""),"",'I. Stream &amp; Compound Data'!K207/$J152*(1-M$127)*(1-M$123)*$K213)</f>
        <v/>
      </c>
      <c r="N213" s="1306" t="str">
        <f>IF(OR(N$122="",I152=""),"",'I. Stream &amp; Compound Data'!N207/$J152*(1-N$127)*(1-N$123)*$K213)</f>
        <v/>
      </c>
      <c r="O213" s="1242" t="str">
        <f>IF(OR(O$122="",I152=""),"",'I. Stream &amp; Compound Data'!Q207/$J152*(1-O$127)*(1-O$123)*$K213)</f>
        <v/>
      </c>
      <c r="P213" s="1242" t="str">
        <f>IF(OR(P$122="",I152=""),"",'I. Stream &amp; Compound Data'!T207/$J152*(1-P$127)*(1-P$123)*$K213)</f>
        <v/>
      </c>
      <c r="Q213" s="202" t="str">
        <f>IF(OR(Q$122="",I152=""),"",'I. Stream &amp; Compound Data'!W207/$J152*(1-Q$127)*(1-Q$123)*$K213)</f>
        <v/>
      </c>
      <c r="R213" s="1168" t="str">
        <f>IF(OR(R$122="",I152=""),"",'I. Stream &amp; Compound Data'!Z207/$J152*(1-R$127)*(1-R$123)*$K213)</f>
        <v/>
      </c>
      <c r="S213" s="1168" t="str">
        <f>IF(OR(S$122="",I152=""),"",'I. Stream &amp; Compound Data'!AC207/$J152*(1-S$127)*(1-S$123)*$K213)</f>
        <v/>
      </c>
      <c r="T213" s="1168" t="str">
        <f>IF(OR(T$122="",I152=""),"",'I. Stream &amp; Compound Data'!AF207/$J152*(1-T$127)*(1-T$123)*$K213)</f>
        <v/>
      </c>
      <c r="U213" s="1222" t="str">
        <f>IF(OR(U$122="",I152=""),"",'I. Stream &amp; Compound Data'!AI207/$J152*(1-U$127)*(1-U$123)*$K213)</f>
        <v/>
      </c>
      <c r="V213" s="1222" t="str">
        <f>IF(OR(V$122="",I152=""),"",'I. Stream &amp; Compound Data'!AL207/$J152*(1-V$127)*(1-V$123)*$K213)</f>
        <v/>
      </c>
      <c r="W213" s="1222" t="str">
        <f>IF(OR(W$122="",I152=""),"",'I. Stream &amp; Compound Data'!AO207/$J152*(1-W$127)*(1-W$123)*$K213)</f>
        <v/>
      </c>
      <c r="X213" s="1222" t="str">
        <f>IF(OR(X$122="",I152=""),"",'I. Stream &amp; Compound Data'!AR207/$J152*(1-X$127)*(1-X$123)*$K213)</f>
        <v/>
      </c>
      <c r="Y213" s="1222" t="str">
        <f>IF(OR(Y$122="",I152=""),"",'I. Stream &amp; Compound Data'!AU207/$J152*(1-Y$127)*(1-Y$123)*$K213)</f>
        <v/>
      </c>
      <c r="Z213" s="1222" t="str">
        <f>IF(OR(Z$122="",I152=""),"",'I. Stream &amp; Compound Data'!AX207/$J152*(1-Z$127)*(1-Z$123)*$K213)</f>
        <v/>
      </c>
      <c r="AA213" s="1222" t="str">
        <f>IF(OR(AA$122="",I152=""),"",'I. Stream &amp; Compound Data'!BA207/$J152*(1-AA$127)*(1-AA$123)*$K213)</f>
        <v/>
      </c>
      <c r="AB213" s="1222" t="str">
        <f>IF(OR(AB$122="",I152=""),"",'I. Stream &amp; Compound Data'!BD207/$J152*(1-AB$127)*(1-AB$123)*$K213)</f>
        <v/>
      </c>
      <c r="AC213" s="1222" t="str">
        <f>IF(OR(AC$122="",I152=""),"",'I. Stream &amp; Compound Data'!BG207/$J152*(1-AC$127)*(1-AC$123)*$K213)</f>
        <v/>
      </c>
      <c r="AD213" s="1222" t="str">
        <f>IF(OR(AD$122="",I152=""),"",'I. Stream &amp; Compound Data'!BJ207/$J152*(1-AD$127)*(1-AD$123)*$K213)</f>
        <v/>
      </c>
      <c r="AE213" s="1222" t="str">
        <f>IF(OR(AE$122="",I152=""),"",'I. Stream &amp; Compound Data'!BM207/$J152*(1-AE$127)*(1-AE$123)*$K213)</f>
        <v/>
      </c>
      <c r="AF213" s="1222" t="str">
        <f>IF(OR(AF$122="",I152=""),"",'I. Stream &amp; Compound Data'!BP207/$J152*(1-AF$127)*(1-AF$123)*$K213)</f>
        <v/>
      </c>
      <c r="AG213" s="1222" t="str">
        <f>IF(OR(AG$122="",I152=""),"",'I. Stream &amp; Compound Data'!BS207/$J152*(1-AG$127)*(1-AG$123)*$K213)</f>
        <v/>
      </c>
      <c r="AH213" s="1222" t="str">
        <f>IF(OR(AH$122="",I152=""),"",'I. Stream &amp; Compound Data'!BV207/$J152*(1-AH$127)*(1-AH$123)*$K213)</f>
        <v/>
      </c>
      <c r="AI213" s="1222" t="str">
        <f>IF(OR(AI$122="",I152=""),"",'I. Stream &amp; Compound Data'!BY207/$J152*(1-AI$127)*(1-AI$123)*$K213)</f>
        <v/>
      </c>
      <c r="AJ213" s="1222" t="str">
        <f>IF(OR(AJ$122="",I152=""),"",'I. Stream &amp; Compound Data'!CB207/$J152*(1-AJ$127)*(1-AJ$123)*$K213)</f>
        <v/>
      </c>
      <c r="AK213" s="1222" t="str">
        <f>IF(OR(AK$122="",I152=""),"",'I. Stream &amp; Compound Data'!CE207/$J152*(1-AK$127)*(1-AK$123)*$K213)</f>
        <v/>
      </c>
      <c r="AL213" s="1222" t="str">
        <f>IF(OR(AL$122="",I152=""),"",'I. Stream &amp; Compound Data'!CH207/$J152*(1-AL$127)*(1-AL$123)*$K213)</f>
        <v/>
      </c>
      <c r="AM213" s="1222" t="str">
        <f>IF(OR(AM$122="",I152=""),"",'I. Stream &amp; Compound Data'!CK207/$J152*(1-AM$127)*(1-AM$123)*$K213)</f>
        <v/>
      </c>
      <c r="AN213" s="1222" t="str">
        <f>IF(OR(AN$122="",I152=""),"",'I. Stream &amp; Compound Data'!CN207/$J152*(1-AN$127)*(1-AN$123)*$K213)</f>
        <v/>
      </c>
      <c r="AO213" s="1222" t="str">
        <f>IF(OR(AO$122="",I152=""),"",'I. Stream &amp; Compound Data'!CQ207/$J152*(1-AO$127)*(1-AO$123)*$K213)</f>
        <v/>
      </c>
      <c r="AP213" s="1222" t="str">
        <f>IF(OR(AP$122="",I152=""),"",'I. Stream &amp; Compound Data'!CT207/$J152*(1-AP$127)*(1-AP$123)*$K213)</f>
        <v/>
      </c>
      <c r="AQ213" s="1222" t="str">
        <f>IF(OR(AQ$122="",I152=""),"",'I. Stream &amp; Compound Data'!CW207/$J152*(1-AQ$127)*(1-AQ$123)*$K213)</f>
        <v/>
      </c>
      <c r="AR213" s="1222" t="str">
        <f>IF(OR(AR$122="",I152=""),"",'I. Stream &amp; Compound Data'!CZ207/$J152*(1-AR$127)*(1-AR$123)*$K213)</f>
        <v/>
      </c>
      <c r="AS213" s="1222" t="str">
        <f>IF(OR(AS$122="",I152=""),"",'I. Stream &amp; Compound Data'!DC207/$J152*(1-AS$127)*(1-AS$123)*$K213)</f>
        <v/>
      </c>
      <c r="AT213" s="1222" t="str">
        <f>IF(OR(AT$122="",I152=""),"",'I. Stream &amp; Compound Data'!DF207/$J152*(1-AT$127)*(1-AT$123)*$K213)</f>
        <v/>
      </c>
      <c r="AU213" s="1222" t="str">
        <f>IF(OR(AU$122="",I152=""),"",'I. Stream &amp; Compound Data'!DI207/$J152*(1-AU$127)*(1-AU$123)*$K213)</f>
        <v/>
      </c>
      <c r="AV213" s="1222" t="str">
        <f>IF(OR(AV$122="",I152=""),"",'I. Stream &amp; Compound Data'!DL207/$J152*(1-AV$127)*(1-AV$123)*$K213)</f>
        <v/>
      </c>
      <c r="AW213" s="1222" t="str">
        <f>IF(OR(AW$122="",I152=""),"",'I. Stream &amp; Compound Data'!DO207/$J152*(1-AW$127)*(1-AW$123)*$K213)</f>
        <v/>
      </c>
      <c r="AX213" s="1222" t="str">
        <f>IF(OR(AX$122="",I152=""),"",'I. Stream &amp; Compound Data'!DR207/$J152*(1-AX$127)*(1-AX$123)*$K213)</f>
        <v/>
      </c>
      <c r="AY213" s="1516" t="str">
        <f>IF(OR(AY$122="",I152=""),"",'I. Stream &amp; Compound Data'!DU207/$J152*(1-AY$127)*(1-AY$123)*$K213)</f>
        <v/>
      </c>
      <c r="AZ213" s="279"/>
      <c r="BA213" s="279"/>
      <c r="BB213" s="279"/>
      <c r="BC213" s="279"/>
      <c r="BD213" s="279"/>
      <c r="BE213" s="279"/>
      <c r="BF213" s="279"/>
      <c r="BG213" s="279"/>
      <c r="BH213" s="279"/>
      <c r="BI213" s="279"/>
      <c r="BJ213" s="279"/>
      <c r="BK213" s="279"/>
      <c r="BL213" s="279"/>
      <c r="BM213" s="279"/>
      <c r="BN213" s="279"/>
      <c r="BO213" s="279"/>
      <c r="BP213" s="279"/>
      <c r="BQ213" s="279"/>
      <c r="BR213" s="279"/>
      <c r="BS213" s="279"/>
      <c r="BT213" s="279"/>
      <c r="BU213" s="279"/>
      <c r="BV213" s="279"/>
      <c r="BW213" s="279"/>
      <c r="BX213" s="279"/>
      <c r="BY213" s="279"/>
      <c r="BZ213" s="279"/>
      <c r="CA213" s="279"/>
      <c r="CB213" s="279"/>
      <c r="CC213" s="279"/>
      <c r="CD213" s="279"/>
      <c r="CE213" s="279"/>
      <c r="CF213" s="279"/>
      <c r="CG213" s="279"/>
      <c r="CH213" s="279"/>
      <c r="CI213" s="279"/>
      <c r="CJ213" s="279"/>
      <c r="CK213" s="279"/>
      <c r="CL213" s="279"/>
      <c r="CM213" s="279"/>
      <c r="CN213" s="382"/>
    </row>
    <row r="214" ht="15.6" x14ac:dyDescent="0.25">
      <c r="B214" s="361"/>
      <c r="C214" s="279"/>
      <c r="D214" s="280"/>
      <c r="E214" s="287"/>
      <c r="F214" s="287"/>
      <c r="G214" s="287"/>
      <c r="H214" s="280"/>
      <c r="I214" s="304"/>
      <c r="J214" s="1292">
        <f t="shared" si="23"/>
        <v>23</v>
      </c>
      <c r="K214" s="1242" t="str">
        <f>IF('I. Stream &amp; Compound Data'!G284="","",IF('I. Stream &amp; Compound Data'!V284=1,0,1))</f>
        <v/>
      </c>
      <c r="L214" s="1242" t="str">
        <f>IF(OR(L$122="",I153=""),"",'I. Stream &amp; Compound Data'!H208/$J153*(1-L$127)*(1-L$123)*$K214)</f>
        <v/>
      </c>
      <c r="M214" s="1242" t="str">
        <f>IF(OR(M$122="",I153=""),"",'I. Stream &amp; Compound Data'!K208/$J153*(1-M$127)*(1-M$123)*$K214)</f>
        <v/>
      </c>
      <c r="N214" s="1306" t="str">
        <f>IF(OR(N$122="",I153=""),"",'I. Stream &amp; Compound Data'!N208/$J153*(1-N$127)*(1-N$123)*$K214)</f>
        <v/>
      </c>
      <c r="O214" s="1242" t="str">
        <f>IF(OR(O$122="",I153=""),"",'I. Stream &amp; Compound Data'!Q208/$J153*(1-O$127)*(1-O$123)*$K214)</f>
        <v/>
      </c>
      <c r="P214" s="1242" t="str">
        <f>IF(OR(P$122="",I153=""),"",'I. Stream &amp; Compound Data'!T208/$J153*(1-P$127)*(1-P$123)*$K214)</f>
        <v/>
      </c>
      <c r="Q214" s="202" t="str">
        <f>IF(OR(Q$122="",I153=""),"",'I. Stream &amp; Compound Data'!W208/$J153*(1-Q$127)*(1-Q$123)*$K214)</f>
        <v/>
      </c>
      <c r="R214" s="1168" t="str">
        <f>IF(OR(R$122="",I153=""),"",'I. Stream &amp; Compound Data'!Z208/$J153*(1-R$127)*(1-R$123)*$K214)</f>
        <v/>
      </c>
      <c r="S214" s="1168" t="str">
        <f>IF(OR(S$122="",I153=""),"",'I. Stream &amp; Compound Data'!AC208/$J153*(1-S$127)*(1-S$123)*$K214)</f>
        <v/>
      </c>
      <c r="T214" s="1168" t="str">
        <f>IF(OR(T$122="",I153=""),"",'I. Stream &amp; Compound Data'!AF208/$J153*(1-T$127)*(1-T$123)*$K214)</f>
        <v/>
      </c>
      <c r="U214" s="1222" t="str">
        <f>IF(OR(U$122="",I153=""),"",'I. Stream &amp; Compound Data'!AI208/$J153*(1-U$127)*(1-U$123)*$K214)</f>
        <v/>
      </c>
      <c r="V214" s="1222" t="str">
        <f>IF(OR(V$122="",I153=""),"",'I. Stream &amp; Compound Data'!AL208/$J153*(1-V$127)*(1-V$123)*$K214)</f>
        <v/>
      </c>
      <c r="W214" s="1222" t="str">
        <f>IF(OR(W$122="",I153=""),"",'I. Stream &amp; Compound Data'!AO208/$J153*(1-W$127)*(1-W$123)*$K214)</f>
        <v/>
      </c>
      <c r="X214" s="1222" t="str">
        <f>IF(OR(X$122="",I153=""),"",'I. Stream &amp; Compound Data'!AR208/$J153*(1-X$127)*(1-X$123)*$K214)</f>
        <v/>
      </c>
      <c r="Y214" s="1222" t="str">
        <f>IF(OR(Y$122="",I153=""),"",'I. Stream &amp; Compound Data'!AU208/$J153*(1-Y$127)*(1-Y$123)*$K214)</f>
        <v/>
      </c>
      <c r="Z214" s="1222" t="str">
        <f>IF(OR(Z$122="",I153=""),"",'I. Stream &amp; Compound Data'!AX208/$J153*(1-Z$127)*(1-Z$123)*$K214)</f>
        <v/>
      </c>
      <c r="AA214" s="1222" t="str">
        <f>IF(OR(AA$122="",I153=""),"",'I. Stream &amp; Compound Data'!BA208/$J153*(1-AA$127)*(1-AA$123)*$K214)</f>
        <v/>
      </c>
      <c r="AB214" s="1222" t="str">
        <f>IF(OR(AB$122="",I153=""),"",'I. Stream &amp; Compound Data'!BD208/$J153*(1-AB$127)*(1-AB$123)*$K214)</f>
        <v/>
      </c>
      <c r="AC214" s="1222" t="str">
        <f>IF(OR(AC$122="",I153=""),"",'I. Stream &amp; Compound Data'!BG208/$J153*(1-AC$127)*(1-AC$123)*$K214)</f>
        <v/>
      </c>
      <c r="AD214" s="1222" t="str">
        <f>IF(OR(AD$122="",I153=""),"",'I. Stream &amp; Compound Data'!BJ208/$J153*(1-AD$127)*(1-AD$123)*$K214)</f>
        <v/>
      </c>
      <c r="AE214" s="1222" t="str">
        <f>IF(OR(AE$122="",I153=""),"",'I. Stream &amp; Compound Data'!BM208/$J153*(1-AE$127)*(1-AE$123)*$K214)</f>
        <v/>
      </c>
      <c r="AF214" s="1222" t="str">
        <f>IF(OR(AF$122="",I153=""),"",'I. Stream &amp; Compound Data'!BP208/$J153*(1-AF$127)*(1-AF$123)*$K214)</f>
        <v/>
      </c>
      <c r="AG214" s="1222" t="str">
        <f>IF(OR(AG$122="",I153=""),"",'I. Stream &amp; Compound Data'!BS208/$J153*(1-AG$127)*(1-AG$123)*$K214)</f>
        <v/>
      </c>
      <c r="AH214" s="1222" t="str">
        <f>IF(OR(AH$122="",I153=""),"",'I. Stream &amp; Compound Data'!BV208/$J153*(1-AH$127)*(1-AH$123)*$K214)</f>
        <v/>
      </c>
      <c r="AI214" s="1222" t="str">
        <f>IF(OR(AI$122="",I153=""),"",'I. Stream &amp; Compound Data'!BY208/$J153*(1-AI$127)*(1-AI$123)*$K214)</f>
        <v/>
      </c>
      <c r="AJ214" s="1222" t="str">
        <f>IF(OR(AJ$122="",I153=""),"",'I. Stream &amp; Compound Data'!CB208/$J153*(1-AJ$127)*(1-AJ$123)*$K214)</f>
        <v/>
      </c>
      <c r="AK214" s="1222" t="str">
        <f>IF(OR(AK$122="",I153=""),"",'I. Stream &amp; Compound Data'!CE208/$J153*(1-AK$127)*(1-AK$123)*$K214)</f>
        <v/>
      </c>
      <c r="AL214" s="1222" t="str">
        <f>IF(OR(AL$122="",I153=""),"",'I. Stream &amp; Compound Data'!CH208/$J153*(1-AL$127)*(1-AL$123)*$K214)</f>
        <v/>
      </c>
      <c r="AM214" s="1222" t="str">
        <f>IF(OR(AM$122="",I153=""),"",'I. Stream &amp; Compound Data'!CK208/$J153*(1-AM$127)*(1-AM$123)*$K214)</f>
        <v/>
      </c>
      <c r="AN214" s="1222" t="str">
        <f>IF(OR(AN$122="",I153=""),"",'I. Stream &amp; Compound Data'!CN208/$J153*(1-AN$127)*(1-AN$123)*$K214)</f>
        <v/>
      </c>
      <c r="AO214" s="1222" t="str">
        <f>IF(OR(AO$122="",I153=""),"",'I. Stream &amp; Compound Data'!CQ208/$J153*(1-AO$127)*(1-AO$123)*$K214)</f>
        <v/>
      </c>
      <c r="AP214" s="1222" t="str">
        <f>IF(OR(AP$122="",I153=""),"",'I. Stream &amp; Compound Data'!CT208/$J153*(1-AP$127)*(1-AP$123)*$K214)</f>
        <v/>
      </c>
      <c r="AQ214" s="1222" t="str">
        <f>IF(OR(AQ$122="",I153=""),"",'I. Stream &amp; Compound Data'!CW208/$J153*(1-AQ$127)*(1-AQ$123)*$K214)</f>
        <v/>
      </c>
      <c r="AR214" s="1222" t="str">
        <f>IF(OR(AR$122="",I153=""),"",'I. Stream &amp; Compound Data'!CZ208/$J153*(1-AR$127)*(1-AR$123)*$K214)</f>
        <v/>
      </c>
      <c r="AS214" s="1222" t="str">
        <f>IF(OR(AS$122="",I153=""),"",'I. Stream &amp; Compound Data'!DC208/$J153*(1-AS$127)*(1-AS$123)*$K214)</f>
        <v/>
      </c>
      <c r="AT214" s="1222" t="str">
        <f>IF(OR(AT$122="",I153=""),"",'I. Stream &amp; Compound Data'!DF208/$J153*(1-AT$127)*(1-AT$123)*$K214)</f>
        <v/>
      </c>
      <c r="AU214" s="1222" t="str">
        <f>IF(OR(AU$122="",I153=""),"",'I. Stream &amp; Compound Data'!DI208/$J153*(1-AU$127)*(1-AU$123)*$K214)</f>
        <v/>
      </c>
      <c r="AV214" s="1222" t="str">
        <f>IF(OR(AV$122="",I153=""),"",'I. Stream &amp; Compound Data'!DL208/$J153*(1-AV$127)*(1-AV$123)*$K214)</f>
        <v/>
      </c>
      <c r="AW214" s="1222" t="str">
        <f>IF(OR(AW$122="",I153=""),"",'I. Stream &amp; Compound Data'!DO208/$J153*(1-AW$127)*(1-AW$123)*$K214)</f>
        <v/>
      </c>
      <c r="AX214" s="1222" t="str">
        <f>IF(OR(AX$122="",I153=""),"",'I. Stream &amp; Compound Data'!DR208/$J153*(1-AX$127)*(1-AX$123)*$K214)</f>
        <v/>
      </c>
      <c r="AY214" s="1516" t="str">
        <f>IF(OR(AY$122="",I153=""),"",'I. Stream &amp; Compound Data'!DU208/$J153*(1-AY$127)*(1-AY$123)*$K214)</f>
        <v/>
      </c>
      <c r="AZ214" s="279"/>
      <c r="BA214" s="279"/>
      <c r="BB214" s="279"/>
      <c r="BC214" s="279"/>
      <c r="BD214" s="279"/>
      <c r="BE214" s="279"/>
      <c r="BF214" s="279"/>
      <c r="BG214" s="279"/>
      <c r="BH214" s="279"/>
      <c r="BI214" s="279"/>
      <c r="BJ214" s="279"/>
      <c r="BK214" s="279"/>
      <c r="BL214" s="279"/>
      <c r="BM214" s="279"/>
      <c r="BN214" s="279"/>
      <c r="BO214" s="279"/>
      <c r="BP214" s="279"/>
      <c r="BQ214" s="279"/>
      <c r="BR214" s="279"/>
      <c r="BS214" s="279"/>
      <c r="BT214" s="279"/>
      <c r="BU214" s="279"/>
      <c r="BV214" s="279"/>
      <c r="BW214" s="279"/>
      <c r="BX214" s="279"/>
      <c r="BY214" s="279"/>
      <c r="BZ214" s="279"/>
      <c r="CA214" s="279"/>
      <c r="CB214" s="279"/>
      <c r="CC214" s="279"/>
      <c r="CD214" s="279"/>
      <c r="CE214" s="279"/>
      <c r="CF214" s="279"/>
      <c r="CG214" s="279"/>
      <c r="CH214" s="279"/>
      <c r="CI214" s="279"/>
      <c r="CJ214" s="279"/>
      <c r="CK214" s="279"/>
      <c r="CL214" s="279"/>
      <c r="CM214" s="279"/>
      <c r="CN214" s="382"/>
    </row>
    <row r="215" ht="15.6" x14ac:dyDescent="0.25">
      <c r="B215" s="361"/>
      <c r="C215" s="279"/>
      <c r="D215" s="280"/>
      <c r="E215" s="287"/>
      <c r="F215" s="287"/>
      <c r="G215" s="287"/>
      <c r="H215" s="280"/>
      <c r="I215" s="304"/>
      <c r="J215" s="1292">
        <f t="shared" si="23"/>
        <v>24</v>
      </c>
      <c r="K215" s="1242" t="str">
        <f>IF('I. Stream &amp; Compound Data'!G285="","",IF('I. Stream &amp; Compound Data'!V285=1,0,1))</f>
        <v/>
      </c>
      <c r="L215" s="1242" t="str">
        <f>IF(OR(L$122="",I154=""),"",'I. Stream &amp; Compound Data'!H209/$J154*(1-L$127)*(1-L$123)*$K215)</f>
        <v/>
      </c>
      <c r="M215" s="1242" t="str">
        <f>IF(OR(M$122="",I154=""),"",'I. Stream &amp; Compound Data'!K209/$J154*(1-M$127)*(1-M$123)*$K215)</f>
        <v/>
      </c>
      <c r="N215" s="1306" t="str">
        <f>IF(OR(N$122="",I154=""),"",'I. Stream &amp; Compound Data'!N209/$J154*(1-N$127)*(1-N$123)*$K215)</f>
        <v/>
      </c>
      <c r="O215" s="1242" t="str">
        <f>IF(OR(O$122="",I154=""),"",'I. Stream &amp; Compound Data'!Q209/$J154*(1-O$127)*(1-O$123)*$K215)</f>
        <v/>
      </c>
      <c r="P215" s="1242" t="str">
        <f>IF(OR(P$122="",I154=""),"",'I. Stream &amp; Compound Data'!T209/$J154*(1-P$127)*(1-P$123)*$K215)</f>
        <v/>
      </c>
      <c r="Q215" s="202" t="str">
        <f>IF(OR(Q$122="",I154=""),"",'I. Stream &amp; Compound Data'!W209/$J154*(1-Q$127)*(1-Q$123)*$K215)</f>
        <v/>
      </c>
      <c r="R215" s="1168" t="str">
        <f>IF(OR(R$122="",I154=""),"",'I. Stream &amp; Compound Data'!Z209/$J154*(1-R$127)*(1-R$123)*$K215)</f>
        <v/>
      </c>
      <c r="S215" s="1168" t="str">
        <f>IF(OR(S$122="",I154=""),"",'I. Stream &amp; Compound Data'!AC209/$J154*(1-S$127)*(1-S$123)*$K215)</f>
        <v/>
      </c>
      <c r="T215" s="1168" t="str">
        <f>IF(OR(T$122="",I154=""),"",'I. Stream &amp; Compound Data'!AF209/$J154*(1-T$127)*(1-T$123)*$K215)</f>
        <v/>
      </c>
      <c r="U215" s="1222" t="str">
        <f>IF(OR(U$122="",I154=""),"",'I. Stream &amp; Compound Data'!AI209/$J154*(1-U$127)*(1-U$123)*$K215)</f>
        <v/>
      </c>
      <c r="V215" s="1222" t="str">
        <f>IF(OR(V$122="",I154=""),"",'I. Stream &amp; Compound Data'!AL209/$J154*(1-V$127)*(1-V$123)*$K215)</f>
        <v/>
      </c>
      <c r="W215" s="1222" t="str">
        <f>IF(OR(W$122="",I154=""),"",'I. Stream &amp; Compound Data'!AO209/$J154*(1-W$127)*(1-W$123)*$K215)</f>
        <v/>
      </c>
      <c r="X215" s="1222" t="str">
        <f>IF(OR(X$122="",I154=""),"",'I. Stream &amp; Compound Data'!AR209/$J154*(1-X$127)*(1-X$123)*$K215)</f>
        <v/>
      </c>
      <c r="Y215" s="1222" t="str">
        <f>IF(OR(Y$122="",I154=""),"",'I. Stream &amp; Compound Data'!AU209/$J154*(1-Y$127)*(1-Y$123)*$K215)</f>
        <v/>
      </c>
      <c r="Z215" s="1222" t="str">
        <f>IF(OR(Z$122="",I154=""),"",'I. Stream &amp; Compound Data'!AX209/$J154*(1-Z$127)*(1-Z$123)*$K215)</f>
        <v/>
      </c>
      <c r="AA215" s="1222" t="str">
        <f>IF(OR(AA$122="",I154=""),"",'I. Stream &amp; Compound Data'!BA209/$J154*(1-AA$127)*(1-AA$123)*$K215)</f>
        <v/>
      </c>
      <c r="AB215" s="1222" t="str">
        <f>IF(OR(AB$122="",I154=""),"",'I. Stream &amp; Compound Data'!BD209/$J154*(1-AB$127)*(1-AB$123)*$K215)</f>
        <v/>
      </c>
      <c r="AC215" s="1222" t="str">
        <f>IF(OR(AC$122="",I154=""),"",'I. Stream &amp; Compound Data'!BG209/$J154*(1-AC$127)*(1-AC$123)*$K215)</f>
        <v/>
      </c>
      <c r="AD215" s="1222" t="str">
        <f>IF(OR(AD$122="",I154=""),"",'I. Stream &amp; Compound Data'!BJ209/$J154*(1-AD$127)*(1-AD$123)*$K215)</f>
        <v/>
      </c>
      <c r="AE215" s="1222" t="str">
        <f>IF(OR(AE$122="",I154=""),"",'I. Stream &amp; Compound Data'!BM209/$J154*(1-AE$127)*(1-AE$123)*$K215)</f>
        <v/>
      </c>
      <c r="AF215" s="1222" t="str">
        <f>IF(OR(AF$122="",I154=""),"",'I. Stream &amp; Compound Data'!BP209/$J154*(1-AF$127)*(1-AF$123)*$K215)</f>
        <v/>
      </c>
      <c r="AG215" s="1222" t="str">
        <f>IF(OR(AG$122="",I154=""),"",'I. Stream &amp; Compound Data'!BS209/$J154*(1-AG$127)*(1-AG$123)*$K215)</f>
        <v/>
      </c>
      <c r="AH215" s="1222" t="str">
        <f>IF(OR(AH$122="",I154=""),"",'I. Stream &amp; Compound Data'!BV209/$J154*(1-AH$127)*(1-AH$123)*$K215)</f>
        <v/>
      </c>
      <c r="AI215" s="1222" t="str">
        <f>IF(OR(AI$122="",I154=""),"",'I. Stream &amp; Compound Data'!BY209/$J154*(1-AI$127)*(1-AI$123)*$K215)</f>
        <v/>
      </c>
      <c r="AJ215" s="1222" t="str">
        <f>IF(OR(AJ$122="",I154=""),"",'I. Stream &amp; Compound Data'!CB209/$J154*(1-AJ$127)*(1-AJ$123)*$K215)</f>
        <v/>
      </c>
      <c r="AK215" s="1222" t="str">
        <f>IF(OR(AK$122="",I154=""),"",'I. Stream &amp; Compound Data'!CE209/$J154*(1-AK$127)*(1-AK$123)*$K215)</f>
        <v/>
      </c>
      <c r="AL215" s="1222" t="str">
        <f>IF(OR(AL$122="",I154=""),"",'I. Stream &amp; Compound Data'!CH209/$J154*(1-AL$127)*(1-AL$123)*$K215)</f>
        <v/>
      </c>
      <c r="AM215" s="1222" t="str">
        <f>IF(OR(AM$122="",I154=""),"",'I. Stream &amp; Compound Data'!CK209/$J154*(1-AM$127)*(1-AM$123)*$K215)</f>
        <v/>
      </c>
      <c r="AN215" s="1222" t="str">
        <f>IF(OR(AN$122="",I154=""),"",'I. Stream &amp; Compound Data'!CN209/$J154*(1-AN$127)*(1-AN$123)*$K215)</f>
        <v/>
      </c>
      <c r="AO215" s="1222" t="str">
        <f>IF(OR(AO$122="",I154=""),"",'I. Stream &amp; Compound Data'!CQ209/$J154*(1-AO$127)*(1-AO$123)*$K215)</f>
        <v/>
      </c>
      <c r="AP215" s="1222" t="str">
        <f>IF(OR(AP$122="",I154=""),"",'I. Stream &amp; Compound Data'!CT209/$J154*(1-AP$127)*(1-AP$123)*$K215)</f>
        <v/>
      </c>
      <c r="AQ215" s="1222" t="str">
        <f>IF(OR(AQ$122="",I154=""),"",'I. Stream &amp; Compound Data'!CW209/$J154*(1-AQ$127)*(1-AQ$123)*$K215)</f>
        <v/>
      </c>
      <c r="AR215" s="1222" t="str">
        <f>IF(OR(AR$122="",I154=""),"",'I. Stream &amp; Compound Data'!CZ209/$J154*(1-AR$127)*(1-AR$123)*$K215)</f>
        <v/>
      </c>
      <c r="AS215" s="1222" t="str">
        <f>IF(OR(AS$122="",I154=""),"",'I. Stream &amp; Compound Data'!DC209/$J154*(1-AS$127)*(1-AS$123)*$K215)</f>
        <v/>
      </c>
      <c r="AT215" s="1222" t="str">
        <f>IF(OR(AT$122="",I154=""),"",'I. Stream &amp; Compound Data'!DF209/$J154*(1-AT$127)*(1-AT$123)*$K215)</f>
        <v/>
      </c>
      <c r="AU215" s="1222" t="str">
        <f>IF(OR(AU$122="",I154=""),"",'I. Stream &amp; Compound Data'!DI209/$J154*(1-AU$127)*(1-AU$123)*$K215)</f>
        <v/>
      </c>
      <c r="AV215" s="1222" t="str">
        <f>IF(OR(AV$122="",I154=""),"",'I. Stream &amp; Compound Data'!DL209/$J154*(1-AV$127)*(1-AV$123)*$K215)</f>
        <v/>
      </c>
      <c r="AW215" s="1222" t="str">
        <f>IF(OR(AW$122="",I154=""),"",'I. Stream &amp; Compound Data'!DO209/$J154*(1-AW$127)*(1-AW$123)*$K215)</f>
        <v/>
      </c>
      <c r="AX215" s="1222" t="str">
        <f>IF(OR(AX$122="",I154=""),"",'I. Stream &amp; Compound Data'!DR209/$J154*(1-AX$127)*(1-AX$123)*$K215)</f>
        <v/>
      </c>
      <c r="AY215" s="1516" t="str">
        <f>IF(OR(AY$122="",I154=""),"",'I. Stream &amp; Compound Data'!DU209/$J154*(1-AY$127)*(1-AY$123)*$K215)</f>
        <v/>
      </c>
      <c r="AZ215" s="279"/>
      <c r="BA215" s="279"/>
      <c r="BB215" s="279"/>
      <c r="BC215" s="279"/>
      <c r="BD215" s="279"/>
      <c r="BE215" s="279"/>
      <c r="BF215" s="279"/>
      <c r="BG215" s="279"/>
      <c r="BH215" s="279"/>
      <c r="BI215" s="279"/>
      <c r="BJ215" s="279"/>
      <c r="BK215" s="279"/>
      <c r="BL215" s="279"/>
      <c r="BM215" s="279"/>
      <c r="BN215" s="279"/>
      <c r="BO215" s="279"/>
      <c r="BP215" s="279"/>
      <c r="BQ215" s="279"/>
      <c r="BR215" s="279"/>
      <c r="BS215" s="279"/>
      <c r="BT215" s="279"/>
      <c r="BU215" s="279"/>
      <c r="BV215" s="279"/>
      <c r="BW215" s="279"/>
      <c r="BX215" s="279"/>
      <c r="BY215" s="279"/>
      <c r="BZ215" s="279"/>
      <c r="CA215" s="279"/>
      <c r="CB215" s="279"/>
      <c r="CC215" s="279"/>
      <c r="CD215" s="279"/>
      <c r="CE215" s="279"/>
      <c r="CF215" s="279"/>
      <c r="CG215" s="279"/>
      <c r="CH215" s="279"/>
      <c r="CI215" s="279"/>
      <c r="CJ215" s="279"/>
      <c r="CK215" s="279"/>
      <c r="CL215" s="279"/>
      <c r="CM215" s="279"/>
      <c r="CN215" s="382"/>
    </row>
    <row r="216" ht="15.6" x14ac:dyDescent="0.25">
      <c r="B216" s="361"/>
      <c r="C216" s="279"/>
      <c r="D216" s="280"/>
      <c r="E216" s="287"/>
      <c r="F216" s="287"/>
      <c r="G216" s="287"/>
      <c r="H216" s="280"/>
      <c r="I216" s="304"/>
      <c r="J216" s="1292">
        <f t="shared" si="23"/>
        <v>25</v>
      </c>
      <c r="K216" s="1242" t="str">
        <f>IF('I. Stream &amp; Compound Data'!G286="","",IF('I. Stream &amp; Compound Data'!V286=1,0,1))</f>
        <v/>
      </c>
      <c r="L216" s="1242" t="str">
        <f>IF(OR(L$122="",I155=""),"",'I. Stream &amp; Compound Data'!H210/$J155*(1-L$127)*(1-L$123)*$K216)</f>
        <v/>
      </c>
      <c r="M216" s="1242" t="str">
        <f>IF(OR(M$122="",I155=""),"",'I. Stream &amp; Compound Data'!K210/$J155*(1-M$127)*(1-M$123)*$K216)</f>
        <v/>
      </c>
      <c r="N216" s="1306" t="str">
        <f>IF(OR(N$122="",I155=""),"",'I. Stream &amp; Compound Data'!N210/$J155*(1-N$127)*(1-N$123)*$K216)</f>
        <v/>
      </c>
      <c r="O216" s="1242" t="str">
        <f>IF(OR(O$122="",I155=""),"",'I. Stream &amp; Compound Data'!Q210/$J155*(1-O$127)*(1-O$123)*$K216)</f>
        <v/>
      </c>
      <c r="P216" s="1242" t="str">
        <f>IF(OR(P$122="",I155=""),"",'I. Stream &amp; Compound Data'!T210/$J155*(1-P$127)*(1-P$123)*$K216)</f>
        <v/>
      </c>
      <c r="Q216" s="202" t="str">
        <f>IF(OR(Q$122="",I155=""),"",'I. Stream &amp; Compound Data'!W210/$J155*(1-Q$127)*(1-Q$123)*$K216)</f>
        <v/>
      </c>
      <c r="R216" s="1168" t="str">
        <f>IF(OR(R$122="",I155=""),"",'I. Stream &amp; Compound Data'!Z210/$J155*(1-R$127)*(1-R$123)*$K216)</f>
        <v/>
      </c>
      <c r="S216" s="1168" t="str">
        <f>IF(OR(S$122="",I155=""),"",'I. Stream &amp; Compound Data'!AC210/$J155*(1-S$127)*(1-S$123)*$K216)</f>
        <v/>
      </c>
      <c r="T216" s="1168" t="str">
        <f>IF(OR(T$122="",I155=""),"",'I. Stream &amp; Compound Data'!AF210/$J155*(1-T$127)*(1-T$123)*$K216)</f>
        <v/>
      </c>
      <c r="U216" s="1222" t="str">
        <f>IF(OR(U$122="",I155=""),"",'I. Stream &amp; Compound Data'!AI210/$J155*(1-U$127)*(1-U$123)*$K216)</f>
        <v/>
      </c>
      <c r="V216" s="1222" t="str">
        <f>IF(OR(V$122="",I155=""),"",'I. Stream &amp; Compound Data'!AL210/$J155*(1-V$127)*(1-V$123)*$K216)</f>
        <v/>
      </c>
      <c r="W216" s="1222" t="str">
        <f>IF(OR(W$122="",I155=""),"",'I. Stream &amp; Compound Data'!AO210/$J155*(1-W$127)*(1-W$123)*$K216)</f>
        <v/>
      </c>
      <c r="X216" s="1222" t="str">
        <f>IF(OR(X$122="",I155=""),"",'I. Stream &amp; Compound Data'!AR210/$J155*(1-X$127)*(1-X$123)*$K216)</f>
        <v/>
      </c>
      <c r="Y216" s="1222" t="str">
        <f>IF(OR(Y$122="",I155=""),"",'I. Stream &amp; Compound Data'!AU210/$J155*(1-Y$127)*(1-Y$123)*$K216)</f>
        <v/>
      </c>
      <c r="Z216" s="1222" t="str">
        <f>IF(OR(Z$122="",I155=""),"",'I. Stream &amp; Compound Data'!AX210/$J155*(1-Z$127)*(1-Z$123)*$K216)</f>
        <v/>
      </c>
      <c r="AA216" s="1222" t="str">
        <f>IF(OR(AA$122="",I155=""),"",'I. Stream &amp; Compound Data'!BA210/$J155*(1-AA$127)*(1-AA$123)*$K216)</f>
        <v/>
      </c>
      <c r="AB216" s="1222" t="str">
        <f>IF(OR(AB$122="",I155=""),"",'I. Stream &amp; Compound Data'!BD210/$J155*(1-AB$127)*(1-AB$123)*$K216)</f>
        <v/>
      </c>
      <c r="AC216" s="1222" t="str">
        <f>IF(OR(AC$122="",I155=""),"",'I. Stream &amp; Compound Data'!BG210/$J155*(1-AC$127)*(1-AC$123)*$K216)</f>
        <v/>
      </c>
      <c r="AD216" s="1222" t="str">
        <f>IF(OR(AD$122="",I155=""),"",'I. Stream &amp; Compound Data'!BJ210/$J155*(1-AD$127)*(1-AD$123)*$K216)</f>
        <v/>
      </c>
      <c r="AE216" s="1222" t="str">
        <f>IF(OR(AE$122="",I155=""),"",'I. Stream &amp; Compound Data'!BM210/$J155*(1-AE$127)*(1-AE$123)*$K216)</f>
        <v/>
      </c>
      <c r="AF216" s="1222" t="str">
        <f>IF(OR(AF$122="",I155=""),"",'I. Stream &amp; Compound Data'!BP210/$J155*(1-AF$127)*(1-AF$123)*$K216)</f>
        <v/>
      </c>
      <c r="AG216" s="1222" t="str">
        <f>IF(OR(AG$122="",I155=""),"",'I. Stream &amp; Compound Data'!BS210/$J155*(1-AG$127)*(1-AG$123)*$K216)</f>
        <v/>
      </c>
      <c r="AH216" s="1222" t="str">
        <f>IF(OR(AH$122="",I155=""),"",'I. Stream &amp; Compound Data'!BV210/$J155*(1-AH$127)*(1-AH$123)*$K216)</f>
        <v/>
      </c>
      <c r="AI216" s="1222" t="str">
        <f>IF(OR(AI$122="",I155=""),"",'I. Stream &amp; Compound Data'!BY210/$J155*(1-AI$127)*(1-AI$123)*$K216)</f>
        <v/>
      </c>
      <c r="AJ216" s="1222" t="str">
        <f>IF(OR(AJ$122="",I155=""),"",'I. Stream &amp; Compound Data'!CB210/$J155*(1-AJ$127)*(1-AJ$123)*$K216)</f>
        <v/>
      </c>
      <c r="AK216" s="1222" t="str">
        <f>IF(OR(AK$122="",I155=""),"",'I. Stream &amp; Compound Data'!CE210/$J155*(1-AK$127)*(1-AK$123)*$K216)</f>
        <v/>
      </c>
      <c r="AL216" s="1222" t="str">
        <f>IF(OR(AL$122="",I155=""),"",'I. Stream &amp; Compound Data'!CH210/$J155*(1-AL$127)*(1-AL$123)*$K216)</f>
        <v/>
      </c>
      <c r="AM216" s="1222" t="str">
        <f>IF(OR(AM$122="",I155=""),"",'I. Stream &amp; Compound Data'!CK210/$J155*(1-AM$127)*(1-AM$123)*$K216)</f>
        <v/>
      </c>
      <c r="AN216" s="1222" t="str">
        <f>IF(OR(AN$122="",I155=""),"",'I. Stream &amp; Compound Data'!CN210/$J155*(1-AN$127)*(1-AN$123)*$K216)</f>
        <v/>
      </c>
      <c r="AO216" s="1222" t="str">
        <f>IF(OR(AO$122="",I155=""),"",'I. Stream &amp; Compound Data'!CQ210/$J155*(1-AO$127)*(1-AO$123)*$K216)</f>
        <v/>
      </c>
      <c r="AP216" s="1222" t="str">
        <f>IF(OR(AP$122="",I155=""),"",'I. Stream &amp; Compound Data'!CT210/$J155*(1-AP$127)*(1-AP$123)*$K216)</f>
        <v/>
      </c>
      <c r="AQ216" s="1222" t="str">
        <f>IF(OR(AQ$122="",I155=""),"",'I. Stream &amp; Compound Data'!CW210/$J155*(1-AQ$127)*(1-AQ$123)*$K216)</f>
        <v/>
      </c>
      <c r="AR216" s="1222" t="str">
        <f>IF(OR(AR$122="",I155=""),"",'I. Stream &amp; Compound Data'!CZ210/$J155*(1-AR$127)*(1-AR$123)*$K216)</f>
        <v/>
      </c>
      <c r="AS216" s="1222" t="str">
        <f>IF(OR(AS$122="",I155=""),"",'I. Stream &amp; Compound Data'!DC210/$J155*(1-AS$127)*(1-AS$123)*$K216)</f>
        <v/>
      </c>
      <c r="AT216" s="1222" t="str">
        <f>IF(OR(AT$122="",I155=""),"",'I. Stream &amp; Compound Data'!DF210/$J155*(1-AT$127)*(1-AT$123)*$K216)</f>
        <v/>
      </c>
      <c r="AU216" s="1222" t="str">
        <f>IF(OR(AU$122="",I155=""),"",'I. Stream &amp; Compound Data'!DI210/$J155*(1-AU$127)*(1-AU$123)*$K216)</f>
        <v/>
      </c>
      <c r="AV216" s="1222" t="str">
        <f>IF(OR(AV$122="",I155=""),"",'I. Stream &amp; Compound Data'!DL210/$J155*(1-AV$127)*(1-AV$123)*$K216)</f>
        <v/>
      </c>
      <c r="AW216" s="1222" t="str">
        <f>IF(OR(AW$122="",I155=""),"",'I. Stream &amp; Compound Data'!DO210/$J155*(1-AW$127)*(1-AW$123)*$K216)</f>
        <v/>
      </c>
      <c r="AX216" s="1222" t="str">
        <f>IF(OR(AX$122="",I155=""),"",'I. Stream &amp; Compound Data'!DR210/$J155*(1-AX$127)*(1-AX$123)*$K216)</f>
        <v/>
      </c>
      <c r="AY216" s="1516" t="str">
        <f>IF(OR(AY$122="",I155=""),"",'I. Stream &amp; Compound Data'!DU210/$J155*(1-AY$127)*(1-AY$123)*$K216)</f>
        <v/>
      </c>
      <c r="AZ216" s="279"/>
      <c r="BA216" s="279"/>
      <c r="BB216" s="279"/>
      <c r="BC216" s="279"/>
      <c r="BD216" s="279"/>
      <c r="BE216" s="279"/>
      <c r="BF216" s="279"/>
      <c r="BG216" s="279"/>
      <c r="BH216" s="279"/>
      <c r="BI216" s="279"/>
      <c r="BJ216" s="279"/>
      <c r="BK216" s="279"/>
      <c r="BL216" s="279"/>
      <c r="BM216" s="279"/>
      <c r="BN216" s="279"/>
      <c r="BO216" s="279"/>
      <c r="BP216" s="279"/>
      <c r="BQ216" s="279"/>
      <c r="BR216" s="279"/>
      <c r="BS216" s="279"/>
      <c r="BT216" s="279"/>
      <c r="BU216" s="279"/>
      <c r="BV216" s="279"/>
      <c r="BW216" s="279"/>
      <c r="BX216" s="279"/>
      <c r="BY216" s="279"/>
      <c r="BZ216" s="279"/>
      <c r="CA216" s="279"/>
      <c r="CB216" s="279"/>
      <c r="CC216" s="279"/>
      <c r="CD216" s="279"/>
      <c r="CE216" s="279"/>
      <c r="CF216" s="279"/>
      <c r="CG216" s="279"/>
      <c r="CH216" s="279"/>
      <c r="CI216" s="279"/>
      <c r="CJ216" s="279"/>
      <c r="CK216" s="279"/>
      <c r="CL216" s="279"/>
      <c r="CM216" s="279"/>
      <c r="CN216" s="382"/>
    </row>
    <row r="217" ht="15.6" x14ac:dyDescent="0.25">
      <c r="B217" s="361"/>
      <c r="C217" s="279"/>
      <c r="D217" s="280"/>
      <c r="E217" s="287"/>
      <c r="F217" s="287"/>
      <c r="G217" s="287"/>
      <c r="H217" s="280"/>
      <c r="I217" s="304"/>
      <c r="J217" s="1292">
        <f t="shared" si="23"/>
        <v>26</v>
      </c>
      <c r="K217" s="1242" t="str">
        <f>IF('I. Stream &amp; Compound Data'!G287="","",IF('I. Stream &amp; Compound Data'!V287=1,0,1))</f>
        <v/>
      </c>
      <c r="L217" s="1242" t="str">
        <f>IF(OR(L$122="",I156=""),"",'I. Stream &amp; Compound Data'!H211/$J156*(1-L$127)*(1-L$123)*$K217)</f>
        <v/>
      </c>
      <c r="M217" s="1242" t="str">
        <f>IF(OR(M$122="",I156=""),"",'I. Stream &amp; Compound Data'!K211/$J156*(1-M$127)*(1-M$123)*$K217)</f>
        <v/>
      </c>
      <c r="N217" s="1306" t="str">
        <f>IF(OR(N$122="",I156=""),"",'I. Stream &amp; Compound Data'!N211/$J156*(1-N$127)*(1-N$123)*$K217)</f>
        <v/>
      </c>
      <c r="O217" s="1242" t="str">
        <f>IF(OR(O$122="",I156=""),"",'I. Stream &amp; Compound Data'!Q211/$J156*(1-O$127)*(1-O$123)*$K217)</f>
        <v/>
      </c>
      <c r="P217" s="1242" t="str">
        <f>IF(OR(P$122="",I156=""),"",'I. Stream &amp; Compound Data'!T211/$J156*(1-P$127)*(1-P$123)*$K217)</f>
        <v/>
      </c>
      <c r="Q217" s="202" t="str">
        <f>IF(OR(Q$122="",I156=""),"",'I. Stream &amp; Compound Data'!W211/$J156*(1-Q$127)*(1-Q$123)*$K217)</f>
        <v/>
      </c>
      <c r="R217" s="1168" t="str">
        <f>IF(OR(R$122="",I156=""),"",'I. Stream &amp; Compound Data'!Z211/$J156*(1-R$127)*(1-R$123)*$K217)</f>
        <v/>
      </c>
      <c r="S217" s="1168" t="str">
        <f>IF(OR(S$122="",I156=""),"",'I. Stream &amp; Compound Data'!AC211/$J156*(1-S$127)*(1-S$123)*$K217)</f>
        <v/>
      </c>
      <c r="T217" s="1168" t="str">
        <f>IF(OR(T$122="",I156=""),"",'I. Stream &amp; Compound Data'!AF211/$J156*(1-T$127)*(1-T$123)*$K217)</f>
        <v/>
      </c>
      <c r="U217" s="1222" t="str">
        <f>IF(OR(U$122="",I156=""),"",'I. Stream &amp; Compound Data'!AI211/$J156*(1-U$127)*(1-U$123)*$K217)</f>
        <v/>
      </c>
      <c r="V217" s="1222" t="str">
        <f>IF(OR(V$122="",I156=""),"",'I. Stream &amp; Compound Data'!AL211/$J156*(1-V$127)*(1-V$123)*$K217)</f>
        <v/>
      </c>
      <c r="W217" s="1222" t="str">
        <f>IF(OR(W$122="",I156=""),"",'I. Stream &amp; Compound Data'!AO211/$J156*(1-W$127)*(1-W$123)*$K217)</f>
        <v/>
      </c>
      <c r="X217" s="1222" t="str">
        <f>IF(OR(X$122="",I156=""),"",'I. Stream &amp; Compound Data'!AR211/$J156*(1-X$127)*(1-X$123)*$K217)</f>
        <v/>
      </c>
      <c r="Y217" s="1222" t="str">
        <f>IF(OR(Y$122="",I156=""),"",'I. Stream &amp; Compound Data'!AU211/$J156*(1-Y$127)*(1-Y$123)*$K217)</f>
        <v/>
      </c>
      <c r="Z217" s="1222" t="str">
        <f>IF(OR(Z$122="",I156=""),"",'I. Stream &amp; Compound Data'!AX211/$J156*(1-Z$127)*(1-Z$123)*$K217)</f>
        <v/>
      </c>
      <c r="AA217" s="1222" t="str">
        <f>IF(OR(AA$122="",I156=""),"",'I. Stream &amp; Compound Data'!BA211/$J156*(1-AA$127)*(1-AA$123)*$K217)</f>
        <v/>
      </c>
      <c r="AB217" s="1222" t="str">
        <f>IF(OR(AB$122="",I156=""),"",'I. Stream &amp; Compound Data'!BD211/$J156*(1-AB$127)*(1-AB$123)*$K217)</f>
        <v/>
      </c>
      <c r="AC217" s="1222" t="str">
        <f>IF(OR(AC$122="",I156=""),"",'I. Stream &amp; Compound Data'!BG211/$J156*(1-AC$127)*(1-AC$123)*$K217)</f>
        <v/>
      </c>
      <c r="AD217" s="1222" t="str">
        <f>IF(OR(AD$122="",I156=""),"",'I. Stream &amp; Compound Data'!BJ211/$J156*(1-AD$127)*(1-AD$123)*$K217)</f>
        <v/>
      </c>
      <c r="AE217" s="1222" t="str">
        <f>IF(OR(AE$122="",I156=""),"",'I. Stream &amp; Compound Data'!BM211/$J156*(1-AE$127)*(1-AE$123)*$K217)</f>
        <v/>
      </c>
      <c r="AF217" s="1222" t="str">
        <f>IF(OR(AF$122="",I156=""),"",'I. Stream &amp; Compound Data'!BP211/$J156*(1-AF$127)*(1-AF$123)*$K217)</f>
        <v/>
      </c>
      <c r="AG217" s="1222" t="str">
        <f>IF(OR(AG$122="",I156=""),"",'I. Stream &amp; Compound Data'!BS211/$J156*(1-AG$127)*(1-AG$123)*$K217)</f>
        <v/>
      </c>
      <c r="AH217" s="1222" t="str">
        <f>IF(OR(AH$122="",I156=""),"",'I. Stream &amp; Compound Data'!BV211/$J156*(1-AH$127)*(1-AH$123)*$K217)</f>
        <v/>
      </c>
      <c r="AI217" s="1222" t="str">
        <f>IF(OR(AI$122="",I156=""),"",'I. Stream &amp; Compound Data'!BY211/$J156*(1-AI$127)*(1-AI$123)*$K217)</f>
        <v/>
      </c>
      <c r="AJ217" s="1222" t="str">
        <f>IF(OR(AJ$122="",I156=""),"",'I. Stream &amp; Compound Data'!CB211/$J156*(1-AJ$127)*(1-AJ$123)*$K217)</f>
        <v/>
      </c>
      <c r="AK217" s="1222" t="str">
        <f>IF(OR(AK$122="",I156=""),"",'I. Stream &amp; Compound Data'!CE211/$J156*(1-AK$127)*(1-AK$123)*$K217)</f>
        <v/>
      </c>
      <c r="AL217" s="1222" t="str">
        <f>IF(OR(AL$122="",I156=""),"",'I. Stream &amp; Compound Data'!CH211/$J156*(1-AL$127)*(1-AL$123)*$K217)</f>
        <v/>
      </c>
      <c r="AM217" s="1222" t="str">
        <f>IF(OR(AM$122="",I156=""),"",'I. Stream &amp; Compound Data'!CK211/$J156*(1-AM$127)*(1-AM$123)*$K217)</f>
        <v/>
      </c>
      <c r="AN217" s="1222" t="str">
        <f>IF(OR(AN$122="",I156=""),"",'I. Stream &amp; Compound Data'!CN211/$J156*(1-AN$127)*(1-AN$123)*$K217)</f>
        <v/>
      </c>
      <c r="AO217" s="1222" t="str">
        <f>IF(OR(AO$122="",I156=""),"",'I. Stream &amp; Compound Data'!CQ211/$J156*(1-AO$127)*(1-AO$123)*$K217)</f>
        <v/>
      </c>
      <c r="AP217" s="1222" t="str">
        <f>IF(OR(AP$122="",I156=""),"",'I. Stream &amp; Compound Data'!CT211/$J156*(1-AP$127)*(1-AP$123)*$K217)</f>
        <v/>
      </c>
      <c r="AQ217" s="1222" t="str">
        <f>IF(OR(AQ$122="",I156=""),"",'I. Stream &amp; Compound Data'!CW211/$J156*(1-AQ$127)*(1-AQ$123)*$K217)</f>
        <v/>
      </c>
      <c r="AR217" s="1222" t="str">
        <f>IF(OR(AR$122="",I156=""),"",'I. Stream &amp; Compound Data'!CZ211/$J156*(1-AR$127)*(1-AR$123)*$K217)</f>
        <v/>
      </c>
      <c r="AS217" s="1222" t="str">
        <f>IF(OR(AS$122="",I156=""),"",'I. Stream &amp; Compound Data'!DC211/$J156*(1-AS$127)*(1-AS$123)*$K217)</f>
        <v/>
      </c>
      <c r="AT217" s="1222" t="str">
        <f>IF(OR(AT$122="",I156=""),"",'I. Stream &amp; Compound Data'!DF211/$J156*(1-AT$127)*(1-AT$123)*$K217)</f>
        <v/>
      </c>
      <c r="AU217" s="1222" t="str">
        <f>IF(OR(AU$122="",I156=""),"",'I. Stream &amp; Compound Data'!DI211/$J156*(1-AU$127)*(1-AU$123)*$K217)</f>
        <v/>
      </c>
      <c r="AV217" s="1222" t="str">
        <f>IF(OR(AV$122="",I156=""),"",'I. Stream &amp; Compound Data'!DL211/$J156*(1-AV$127)*(1-AV$123)*$K217)</f>
        <v/>
      </c>
      <c r="AW217" s="1222" t="str">
        <f>IF(OR(AW$122="",I156=""),"",'I. Stream &amp; Compound Data'!DO211/$J156*(1-AW$127)*(1-AW$123)*$K217)</f>
        <v/>
      </c>
      <c r="AX217" s="1222" t="str">
        <f>IF(OR(AX$122="",I156=""),"",'I. Stream &amp; Compound Data'!DR211/$J156*(1-AX$127)*(1-AX$123)*$K217)</f>
        <v/>
      </c>
      <c r="AY217" s="1516" t="str">
        <f>IF(OR(AY$122="",I156=""),"",'I. Stream &amp; Compound Data'!DU211/$J156*(1-AY$127)*(1-AY$123)*$K217)</f>
        <v/>
      </c>
      <c r="AZ217" s="279"/>
      <c r="BA217" s="279"/>
      <c r="BB217" s="279"/>
      <c r="BC217" s="279"/>
      <c r="BD217" s="279"/>
      <c r="BE217" s="279"/>
      <c r="BF217" s="279"/>
      <c r="BG217" s="279"/>
      <c r="BH217" s="279"/>
      <c r="BI217" s="279"/>
      <c r="BJ217" s="279"/>
      <c r="BK217" s="279"/>
      <c r="BL217" s="279"/>
      <c r="BM217" s="279"/>
      <c r="BN217" s="279"/>
      <c r="BO217" s="279"/>
      <c r="BP217" s="279"/>
      <c r="BQ217" s="279"/>
      <c r="BR217" s="279"/>
      <c r="BS217" s="279"/>
      <c r="BT217" s="279"/>
      <c r="BU217" s="279"/>
      <c r="BV217" s="279"/>
      <c r="BW217" s="279"/>
      <c r="BX217" s="279"/>
      <c r="BY217" s="279"/>
      <c r="BZ217" s="279"/>
      <c r="CA217" s="279"/>
      <c r="CB217" s="279"/>
      <c r="CC217" s="279"/>
      <c r="CD217" s="279"/>
      <c r="CE217" s="279"/>
      <c r="CF217" s="279"/>
      <c r="CG217" s="279"/>
      <c r="CH217" s="279"/>
      <c r="CI217" s="279"/>
      <c r="CJ217" s="279"/>
      <c r="CK217" s="279"/>
      <c r="CL217" s="279"/>
      <c r="CM217" s="279"/>
      <c r="CN217" s="382"/>
    </row>
    <row r="218" ht="15.6" x14ac:dyDescent="0.25">
      <c r="B218" s="361"/>
      <c r="C218" s="279"/>
      <c r="D218" s="280"/>
      <c r="E218" s="287"/>
      <c r="F218" s="287"/>
      <c r="G218" s="287"/>
      <c r="H218" s="280"/>
      <c r="I218" s="304"/>
      <c r="J218" s="1292">
        <f t="shared" si="23"/>
        <v>27</v>
      </c>
      <c r="K218" s="1242" t="str">
        <f>IF('I. Stream &amp; Compound Data'!G288="","",IF('I. Stream &amp; Compound Data'!V288=1,0,1))</f>
        <v/>
      </c>
      <c r="L218" s="1242" t="str">
        <f>IF(OR(L$122="",I157=""),"",'I. Stream &amp; Compound Data'!H212/$J157*(1-L$127)*(1-L$123)*$K218)</f>
        <v/>
      </c>
      <c r="M218" s="1242" t="str">
        <f>IF(OR(M$122="",I157=""),"",'I. Stream &amp; Compound Data'!K212/$J157*(1-M$127)*(1-M$123)*$K218)</f>
        <v/>
      </c>
      <c r="N218" s="1306" t="str">
        <f>IF(OR(N$122="",I157=""),"",'I. Stream &amp; Compound Data'!N212/$J157*(1-N$127)*(1-N$123)*$K218)</f>
        <v/>
      </c>
      <c r="O218" s="1242" t="str">
        <f>IF(OR(O$122="",I157=""),"",'I. Stream &amp; Compound Data'!Q212/$J157*(1-O$127)*(1-O$123)*$K218)</f>
        <v/>
      </c>
      <c r="P218" s="1242" t="str">
        <f>IF(OR(P$122="",I157=""),"",'I. Stream &amp; Compound Data'!T212/$J157*(1-P$127)*(1-P$123)*$K218)</f>
        <v/>
      </c>
      <c r="Q218" s="202" t="str">
        <f>IF(OR(Q$122="",I157=""),"",'I. Stream &amp; Compound Data'!W212/$J157*(1-Q$127)*(1-Q$123)*$K218)</f>
        <v/>
      </c>
      <c r="R218" s="1168" t="str">
        <f>IF(OR(R$122="",I157=""),"",'I. Stream &amp; Compound Data'!Z212/$J157*(1-R$127)*(1-R$123)*$K218)</f>
        <v/>
      </c>
      <c r="S218" s="1168" t="str">
        <f>IF(OR(S$122="",I157=""),"",'I. Stream &amp; Compound Data'!AC212/$J157*(1-S$127)*(1-S$123)*$K218)</f>
        <v/>
      </c>
      <c r="T218" s="1168" t="str">
        <f>IF(OR(T$122="",I157=""),"",'I. Stream &amp; Compound Data'!AF212/$J157*(1-T$127)*(1-T$123)*$K218)</f>
        <v/>
      </c>
      <c r="U218" s="1222" t="str">
        <f>IF(OR(U$122="",I157=""),"",'I. Stream &amp; Compound Data'!AI212/$J157*(1-U$127)*(1-U$123)*$K218)</f>
        <v/>
      </c>
      <c r="V218" s="1222" t="str">
        <f>IF(OR(V$122="",I157=""),"",'I. Stream &amp; Compound Data'!AL212/$J157*(1-V$127)*(1-V$123)*$K218)</f>
        <v/>
      </c>
      <c r="W218" s="1222" t="str">
        <f>IF(OR(W$122="",I157=""),"",'I. Stream &amp; Compound Data'!AO212/$J157*(1-W$127)*(1-W$123)*$K218)</f>
        <v/>
      </c>
      <c r="X218" s="1222" t="str">
        <f>IF(OR(X$122="",I157=""),"",'I. Stream &amp; Compound Data'!AR212/$J157*(1-X$127)*(1-X$123)*$K218)</f>
        <v/>
      </c>
      <c r="Y218" s="1222" t="str">
        <f>IF(OR(Y$122="",I157=""),"",'I. Stream &amp; Compound Data'!AU212/$J157*(1-Y$127)*(1-Y$123)*$K218)</f>
        <v/>
      </c>
      <c r="Z218" s="1222" t="str">
        <f>IF(OR(Z$122="",I157=""),"",'I. Stream &amp; Compound Data'!AX212/$J157*(1-Z$127)*(1-Z$123)*$K218)</f>
        <v/>
      </c>
      <c r="AA218" s="1222" t="str">
        <f>IF(OR(AA$122="",I157=""),"",'I. Stream &amp; Compound Data'!BA212/$J157*(1-AA$127)*(1-AA$123)*$K218)</f>
        <v/>
      </c>
      <c r="AB218" s="1222" t="str">
        <f>IF(OR(AB$122="",I157=""),"",'I. Stream &amp; Compound Data'!BD212/$J157*(1-AB$127)*(1-AB$123)*$K218)</f>
        <v/>
      </c>
      <c r="AC218" s="1222" t="str">
        <f>IF(OR(AC$122="",I157=""),"",'I. Stream &amp; Compound Data'!BG212/$J157*(1-AC$127)*(1-AC$123)*$K218)</f>
        <v/>
      </c>
      <c r="AD218" s="1222" t="str">
        <f>IF(OR(AD$122="",I157=""),"",'I. Stream &amp; Compound Data'!BJ212/$J157*(1-AD$127)*(1-AD$123)*$K218)</f>
        <v/>
      </c>
      <c r="AE218" s="1222" t="str">
        <f>IF(OR(AE$122="",I157=""),"",'I. Stream &amp; Compound Data'!BM212/$J157*(1-AE$127)*(1-AE$123)*$K218)</f>
        <v/>
      </c>
      <c r="AF218" s="1222" t="str">
        <f>IF(OR(AF$122="",I157=""),"",'I. Stream &amp; Compound Data'!BP212/$J157*(1-AF$127)*(1-AF$123)*$K218)</f>
        <v/>
      </c>
      <c r="AG218" s="1222" t="str">
        <f>IF(OR(AG$122="",I157=""),"",'I. Stream &amp; Compound Data'!BS212/$J157*(1-AG$127)*(1-AG$123)*$K218)</f>
        <v/>
      </c>
      <c r="AH218" s="1222" t="str">
        <f>IF(OR(AH$122="",I157=""),"",'I. Stream &amp; Compound Data'!BV212/$J157*(1-AH$127)*(1-AH$123)*$K218)</f>
        <v/>
      </c>
      <c r="AI218" s="1222" t="str">
        <f>IF(OR(AI$122="",I157=""),"",'I. Stream &amp; Compound Data'!BY212/$J157*(1-AI$127)*(1-AI$123)*$K218)</f>
        <v/>
      </c>
      <c r="AJ218" s="1222" t="str">
        <f>IF(OR(AJ$122="",I157=""),"",'I. Stream &amp; Compound Data'!CB212/$J157*(1-AJ$127)*(1-AJ$123)*$K218)</f>
        <v/>
      </c>
      <c r="AK218" s="1222" t="str">
        <f>IF(OR(AK$122="",I157=""),"",'I. Stream &amp; Compound Data'!CE212/$J157*(1-AK$127)*(1-AK$123)*$K218)</f>
        <v/>
      </c>
      <c r="AL218" s="1222" t="str">
        <f>IF(OR(AL$122="",I157=""),"",'I. Stream &amp; Compound Data'!CH212/$J157*(1-AL$127)*(1-AL$123)*$K218)</f>
        <v/>
      </c>
      <c r="AM218" s="1222" t="str">
        <f>IF(OR(AM$122="",I157=""),"",'I. Stream &amp; Compound Data'!CK212/$J157*(1-AM$127)*(1-AM$123)*$K218)</f>
        <v/>
      </c>
      <c r="AN218" s="1222" t="str">
        <f>IF(OR(AN$122="",I157=""),"",'I. Stream &amp; Compound Data'!CN212/$J157*(1-AN$127)*(1-AN$123)*$K218)</f>
        <v/>
      </c>
      <c r="AO218" s="1222" t="str">
        <f>IF(OR(AO$122="",I157=""),"",'I. Stream &amp; Compound Data'!CQ212/$J157*(1-AO$127)*(1-AO$123)*$K218)</f>
        <v/>
      </c>
      <c r="AP218" s="1222" t="str">
        <f>IF(OR(AP$122="",I157=""),"",'I. Stream &amp; Compound Data'!CT212/$J157*(1-AP$127)*(1-AP$123)*$K218)</f>
        <v/>
      </c>
      <c r="AQ218" s="1222" t="str">
        <f>IF(OR(AQ$122="",I157=""),"",'I. Stream &amp; Compound Data'!CW212/$J157*(1-AQ$127)*(1-AQ$123)*$K218)</f>
        <v/>
      </c>
      <c r="AR218" s="1222" t="str">
        <f>IF(OR(AR$122="",I157=""),"",'I. Stream &amp; Compound Data'!CZ212/$J157*(1-AR$127)*(1-AR$123)*$K218)</f>
        <v/>
      </c>
      <c r="AS218" s="1222" t="str">
        <f>IF(OR(AS$122="",I157=""),"",'I. Stream &amp; Compound Data'!DC212/$J157*(1-AS$127)*(1-AS$123)*$K218)</f>
        <v/>
      </c>
      <c r="AT218" s="1222" t="str">
        <f>IF(OR(AT$122="",I157=""),"",'I. Stream &amp; Compound Data'!DF212/$J157*(1-AT$127)*(1-AT$123)*$K218)</f>
        <v/>
      </c>
      <c r="AU218" s="1222" t="str">
        <f>IF(OR(AU$122="",I157=""),"",'I. Stream &amp; Compound Data'!DI212/$J157*(1-AU$127)*(1-AU$123)*$K218)</f>
        <v/>
      </c>
      <c r="AV218" s="1222" t="str">
        <f>IF(OR(AV$122="",I157=""),"",'I. Stream &amp; Compound Data'!DL212/$J157*(1-AV$127)*(1-AV$123)*$K218)</f>
        <v/>
      </c>
      <c r="AW218" s="1222" t="str">
        <f>IF(OR(AW$122="",I157=""),"",'I. Stream &amp; Compound Data'!DO212/$J157*(1-AW$127)*(1-AW$123)*$K218)</f>
        <v/>
      </c>
      <c r="AX218" s="1222" t="str">
        <f>IF(OR(AX$122="",I157=""),"",'I. Stream &amp; Compound Data'!DR212/$J157*(1-AX$127)*(1-AX$123)*$K218)</f>
        <v/>
      </c>
      <c r="AY218" s="1516" t="str">
        <f>IF(OR(AY$122="",I157=""),"",'I. Stream &amp; Compound Data'!DU212/$J157*(1-AY$127)*(1-AY$123)*$K218)</f>
        <v/>
      </c>
      <c r="AZ218" s="279"/>
      <c r="BA218" s="279"/>
      <c r="BB218" s="279"/>
      <c r="BC218" s="279"/>
      <c r="BD218" s="279"/>
      <c r="BE218" s="279"/>
      <c r="BF218" s="279"/>
      <c r="BG218" s="279"/>
      <c r="BH218" s="279"/>
      <c r="BI218" s="279"/>
      <c r="BJ218" s="279"/>
      <c r="BK218" s="279"/>
      <c r="BL218" s="279"/>
      <c r="BM218" s="279"/>
      <c r="BN218" s="279"/>
      <c r="BO218" s="279"/>
      <c r="BP218" s="279"/>
      <c r="BQ218" s="279"/>
      <c r="BR218" s="279"/>
      <c r="BS218" s="279"/>
      <c r="BT218" s="279"/>
      <c r="BU218" s="279"/>
      <c r="BV218" s="279"/>
      <c r="BW218" s="279"/>
      <c r="BX218" s="279"/>
      <c r="BY218" s="279"/>
      <c r="BZ218" s="279"/>
      <c r="CA218" s="279"/>
      <c r="CB218" s="279"/>
      <c r="CC218" s="279"/>
      <c r="CD218" s="279"/>
      <c r="CE218" s="279"/>
      <c r="CF218" s="279"/>
      <c r="CG218" s="279"/>
      <c r="CH218" s="279"/>
      <c r="CI218" s="279"/>
      <c r="CJ218" s="279"/>
      <c r="CK218" s="279"/>
      <c r="CL218" s="279"/>
      <c r="CM218" s="279"/>
      <c r="CN218" s="382"/>
    </row>
    <row r="219" ht="15.6" x14ac:dyDescent="0.25">
      <c r="B219" s="361"/>
      <c r="C219" s="279"/>
      <c r="D219" s="280"/>
      <c r="E219" s="287"/>
      <c r="F219" s="287"/>
      <c r="G219" s="287"/>
      <c r="H219" s="280"/>
      <c r="I219" s="304"/>
      <c r="J219" s="1292">
        <f t="shared" si="23"/>
        <v>28</v>
      </c>
      <c r="K219" s="1242" t="str">
        <f>IF('I. Stream &amp; Compound Data'!G289="","",IF('I. Stream &amp; Compound Data'!V289=1,0,1))</f>
        <v/>
      </c>
      <c r="L219" s="1242" t="str">
        <f>IF(OR(L$122="",I158=""),"",'I. Stream &amp; Compound Data'!H213/$J158*(1-L$127)*(1-L$123)*$K219)</f>
        <v/>
      </c>
      <c r="M219" s="1242" t="str">
        <f>IF(OR(M$122="",I158=""),"",'I. Stream &amp; Compound Data'!K213/$J158*(1-M$127)*(1-M$123)*$K219)</f>
        <v/>
      </c>
      <c r="N219" s="1306" t="str">
        <f>IF(OR(N$122="",I158=""),"",'I. Stream &amp; Compound Data'!N213/$J158*(1-N$127)*(1-N$123)*$K219)</f>
        <v/>
      </c>
      <c r="O219" s="1242" t="str">
        <f>IF(OR(O$122="",I158=""),"",'I. Stream &amp; Compound Data'!Q213/$J158*(1-O$127)*(1-O$123)*$K219)</f>
        <v/>
      </c>
      <c r="P219" s="1242" t="str">
        <f>IF(OR(P$122="",I158=""),"",'I. Stream &amp; Compound Data'!T213/$J158*(1-P$127)*(1-P$123)*$K219)</f>
        <v/>
      </c>
      <c r="Q219" s="202" t="str">
        <f>IF(OR(Q$122="",I158=""),"",'I. Stream &amp; Compound Data'!W213/$J158*(1-Q$127)*(1-Q$123)*$K219)</f>
        <v/>
      </c>
      <c r="R219" s="1168" t="str">
        <f>IF(OR(R$122="",I158=""),"",'I. Stream &amp; Compound Data'!Z213/$J158*(1-R$127)*(1-R$123)*$K219)</f>
        <v/>
      </c>
      <c r="S219" s="1168" t="str">
        <f>IF(OR(S$122="",I158=""),"",'I. Stream &amp; Compound Data'!AC213/$J158*(1-S$127)*(1-S$123)*$K219)</f>
        <v/>
      </c>
      <c r="T219" s="1168" t="str">
        <f>IF(OR(T$122="",I158=""),"",'I. Stream &amp; Compound Data'!AF213/$J158*(1-T$127)*(1-T$123)*$K219)</f>
        <v/>
      </c>
      <c r="U219" s="1222" t="str">
        <f>IF(OR(U$122="",I158=""),"",'I. Stream &amp; Compound Data'!AI213/$J158*(1-U$127)*(1-U$123)*$K219)</f>
        <v/>
      </c>
      <c r="V219" s="1222" t="str">
        <f>IF(OR(V$122="",I158=""),"",'I. Stream &amp; Compound Data'!AL213/$J158*(1-V$127)*(1-V$123)*$K219)</f>
        <v/>
      </c>
      <c r="W219" s="1222" t="str">
        <f>IF(OR(W$122="",I158=""),"",'I. Stream &amp; Compound Data'!AO213/$J158*(1-W$127)*(1-W$123)*$K219)</f>
        <v/>
      </c>
      <c r="X219" s="1222" t="str">
        <f>IF(OR(X$122="",I158=""),"",'I. Stream &amp; Compound Data'!AR213/$J158*(1-X$127)*(1-X$123)*$K219)</f>
        <v/>
      </c>
      <c r="Y219" s="1222" t="str">
        <f>IF(OR(Y$122="",I158=""),"",'I. Stream &amp; Compound Data'!AU213/$J158*(1-Y$127)*(1-Y$123)*$K219)</f>
        <v/>
      </c>
      <c r="Z219" s="1222" t="str">
        <f>IF(OR(Z$122="",I158=""),"",'I. Stream &amp; Compound Data'!AX213/$J158*(1-Z$127)*(1-Z$123)*$K219)</f>
        <v/>
      </c>
      <c r="AA219" s="1222" t="str">
        <f>IF(OR(AA$122="",I158=""),"",'I. Stream &amp; Compound Data'!BA213/$J158*(1-AA$127)*(1-AA$123)*$K219)</f>
        <v/>
      </c>
      <c r="AB219" s="1222" t="str">
        <f>IF(OR(AB$122="",I158=""),"",'I. Stream &amp; Compound Data'!BD213/$J158*(1-AB$127)*(1-AB$123)*$K219)</f>
        <v/>
      </c>
      <c r="AC219" s="1222" t="str">
        <f>IF(OR(AC$122="",I158=""),"",'I. Stream &amp; Compound Data'!BG213/$J158*(1-AC$127)*(1-AC$123)*$K219)</f>
        <v/>
      </c>
      <c r="AD219" s="1222" t="str">
        <f>IF(OR(AD$122="",I158=""),"",'I. Stream &amp; Compound Data'!BJ213/$J158*(1-AD$127)*(1-AD$123)*$K219)</f>
        <v/>
      </c>
      <c r="AE219" s="1222" t="str">
        <f>IF(OR(AE$122="",I158=""),"",'I. Stream &amp; Compound Data'!BM213/$J158*(1-AE$127)*(1-AE$123)*$K219)</f>
        <v/>
      </c>
      <c r="AF219" s="1222" t="str">
        <f>IF(OR(AF$122="",I158=""),"",'I. Stream &amp; Compound Data'!BP213/$J158*(1-AF$127)*(1-AF$123)*$K219)</f>
        <v/>
      </c>
      <c r="AG219" s="1222" t="str">
        <f>IF(OR(AG$122="",I158=""),"",'I. Stream &amp; Compound Data'!BS213/$J158*(1-AG$127)*(1-AG$123)*$K219)</f>
        <v/>
      </c>
      <c r="AH219" s="1222" t="str">
        <f>IF(OR(AH$122="",I158=""),"",'I. Stream &amp; Compound Data'!BV213/$J158*(1-AH$127)*(1-AH$123)*$K219)</f>
        <v/>
      </c>
      <c r="AI219" s="1222" t="str">
        <f>IF(OR(AI$122="",I158=""),"",'I. Stream &amp; Compound Data'!BY213/$J158*(1-AI$127)*(1-AI$123)*$K219)</f>
        <v/>
      </c>
      <c r="AJ219" s="1222" t="str">
        <f>IF(OR(AJ$122="",I158=""),"",'I. Stream &amp; Compound Data'!CB213/$J158*(1-AJ$127)*(1-AJ$123)*$K219)</f>
        <v/>
      </c>
      <c r="AK219" s="1222" t="str">
        <f>IF(OR(AK$122="",I158=""),"",'I. Stream &amp; Compound Data'!CE213/$J158*(1-AK$127)*(1-AK$123)*$K219)</f>
        <v/>
      </c>
      <c r="AL219" s="1222" t="str">
        <f>IF(OR(AL$122="",I158=""),"",'I. Stream &amp; Compound Data'!CH213/$J158*(1-AL$127)*(1-AL$123)*$K219)</f>
        <v/>
      </c>
      <c r="AM219" s="1222" t="str">
        <f>IF(OR(AM$122="",I158=""),"",'I. Stream &amp; Compound Data'!CK213/$J158*(1-AM$127)*(1-AM$123)*$K219)</f>
        <v/>
      </c>
      <c r="AN219" s="1222" t="str">
        <f>IF(OR(AN$122="",I158=""),"",'I. Stream &amp; Compound Data'!CN213/$J158*(1-AN$127)*(1-AN$123)*$K219)</f>
        <v/>
      </c>
      <c r="AO219" s="1222" t="str">
        <f>IF(OR(AO$122="",I158=""),"",'I. Stream &amp; Compound Data'!CQ213/$J158*(1-AO$127)*(1-AO$123)*$K219)</f>
        <v/>
      </c>
      <c r="AP219" s="1222" t="str">
        <f>IF(OR(AP$122="",I158=""),"",'I. Stream &amp; Compound Data'!CT213/$J158*(1-AP$127)*(1-AP$123)*$K219)</f>
        <v/>
      </c>
      <c r="AQ219" s="1222" t="str">
        <f>IF(OR(AQ$122="",I158=""),"",'I. Stream &amp; Compound Data'!CW213/$J158*(1-AQ$127)*(1-AQ$123)*$K219)</f>
        <v/>
      </c>
      <c r="AR219" s="1222" t="str">
        <f>IF(OR(AR$122="",I158=""),"",'I. Stream &amp; Compound Data'!CZ213/$J158*(1-AR$127)*(1-AR$123)*$K219)</f>
        <v/>
      </c>
      <c r="AS219" s="1222" t="str">
        <f>IF(OR(AS$122="",I158=""),"",'I. Stream &amp; Compound Data'!DC213/$J158*(1-AS$127)*(1-AS$123)*$K219)</f>
        <v/>
      </c>
      <c r="AT219" s="1222" t="str">
        <f>IF(OR(AT$122="",I158=""),"",'I. Stream &amp; Compound Data'!DF213/$J158*(1-AT$127)*(1-AT$123)*$K219)</f>
        <v/>
      </c>
      <c r="AU219" s="1222" t="str">
        <f>IF(OR(AU$122="",I158=""),"",'I. Stream &amp; Compound Data'!DI213/$J158*(1-AU$127)*(1-AU$123)*$K219)</f>
        <v/>
      </c>
      <c r="AV219" s="1222" t="str">
        <f>IF(OR(AV$122="",I158=""),"",'I. Stream &amp; Compound Data'!DL213/$J158*(1-AV$127)*(1-AV$123)*$K219)</f>
        <v/>
      </c>
      <c r="AW219" s="1222" t="str">
        <f>IF(OR(AW$122="",I158=""),"",'I. Stream &amp; Compound Data'!DO213/$J158*(1-AW$127)*(1-AW$123)*$K219)</f>
        <v/>
      </c>
      <c r="AX219" s="1222" t="str">
        <f>IF(OR(AX$122="",I158=""),"",'I. Stream &amp; Compound Data'!DR213/$J158*(1-AX$127)*(1-AX$123)*$K219)</f>
        <v/>
      </c>
      <c r="AY219" s="1516" t="str">
        <f>IF(OR(AY$122="",I158=""),"",'I. Stream &amp; Compound Data'!DU213/$J158*(1-AY$127)*(1-AY$123)*$K219)</f>
        <v/>
      </c>
      <c r="AZ219" s="279"/>
      <c r="BA219" s="279"/>
      <c r="BB219" s="279"/>
      <c r="BC219" s="279"/>
      <c r="BD219" s="279"/>
      <c r="BE219" s="279"/>
      <c r="BF219" s="279"/>
      <c r="BG219" s="279"/>
      <c r="BH219" s="279"/>
      <c r="BI219" s="279"/>
      <c r="BJ219" s="279"/>
      <c r="BK219" s="279"/>
      <c r="BL219" s="279"/>
      <c r="BM219" s="279"/>
      <c r="BN219" s="279"/>
      <c r="BO219" s="279"/>
      <c r="BP219" s="279"/>
      <c r="BQ219" s="279"/>
      <c r="BR219" s="279"/>
      <c r="BS219" s="279"/>
      <c r="BT219" s="279"/>
      <c r="BU219" s="279"/>
      <c r="BV219" s="279"/>
      <c r="BW219" s="279"/>
      <c r="BX219" s="279"/>
      <c r="BY219" s="279"/>
      <c r="BZ219" s="279"/>
      <c r="CA219" s="279"/>
      <c r="CB219" s="279"/>
      <c r="CC219" s="279"/>
      <c r="CD219" s="279"/>
      <c r="CE219" s="279"/>
      <c r="CF219" s="279"/>
      <c r="CG219" s="279"/>
      <c r="CH219" s="279"/>
      <c r="CI219" s="279"/>
      <c r="CJ219" s="279"/>
      <c r="CK219" s="279"/>
      <c r="CL219" s="279"/>
      <c r="CM219" s="279"/>
      <c r="CN219" s="382"/>
    </row>
    <row r="220" ht="15.6" x14ac:dyDescent="0.25">
      <c r="B220" s="361"/>
      <c r="C220" s="279"/>
      <c r="D220" s="280"/>
      <c r="E220" s="287"/>
      <c r="F220" s="287"/>
      <c r="G220" s="287"/>
      <c r="H220" s="280"/>
      <c r="I220" s="304"/>
      <c r="J220" s="1292">
        <f t="shared" si="23"/>
        <v>29</v>
      </c>
      <c r="K220" s="1242" t="str">
        <f>IF('I. Stream &amp; Compound Data'!G290="","",IF('I. Stream &amp; Compound Data'!V290=1,0,1))</f>
        <v/>
      </c>
      <c r="L220" s="1242" t="str">
        <f>IF(OR(L$122="",I159=""),"",'I. Stream &amp; Compound Data'!H214/$J159*(1-L$127)*(1-L$123)*$K220)</f>
        <v/>
      </c>
      <c r="M220" s="1242" t="str">
        <f>IF(OR(M$122="",I159=""),"",'I. Stream &amp; Compound Data'!K214/$J159*(1-M$127)*(1-M$123)*$K220)</f>
        <v/>
      </c>
      <c r="N220" s="1306" t="str">
        <f>IF(OR(N$122="",I159=""),"",'I. Stream &amp; Compound Data'!N214/$J159*(1-N$127)*(1-N$123)*$K220)</f>
        <v/>
      </c>
      <c r="O220" s="1242" t="str">
        <f>IF(OR(O$122="",I159=""),"",'I. Stream &amp; Compound Data'!Q214/$J159*(1-O$127)*(1-O$123)*$K220)</f>
        <v/>
      </c>
      <c r="P220" s="1242" t="str">
        <f>IF(OR(P$122="",I159=""),"",'I. Stream &amp; Compound Data'!T214/$J159*(1-P$127)*(1-P$123)*$K220)</f>
        <v/>
      </c>
      <c r="Q220" s="202" t="str">
        <f>IF(OR(Q$122="",I159=""),"",'I. Stream &amp; Compound Data'!W214/$J159*(1-Q$127)*(1-Q$123)*$K220)</f>
        <v/>
      </c>
      <c r="R220" s="1168" t="str">
        <f>IF(OR(R$122="",I159=""),"",'I. Stream &amp; Compound Data'!Z214/$J159*(1-R$127)*(1-R$123)*$K220)</f>
        <v/>
      </c>
      <c r="S220" s="1168" t="str">
        <f>IF(OR(S$122="",I159=""),"",'I. Stream &amp; Compound Data'!AC214/$J159*(1-S$127)*(1-S$123)*$K220)</f>
        <v/>
      </c>
      <c r="T220" s="1168" t="str">
        <f>IF(OR(T$122="",I159=""),"",'I. Stream &amp; Compound Data'!AF214/$J159*(1-T$127)*(1-T$123)*$K220)</f>
        <v/>
      </c>
      <c r="U220" s="1222" t="str">
        <f>IF(OR(U$122="",I159=""),"",'I. Stream &amp; Compound Data'!AI214/$J159*(1-U$127)*(1-U$123)*$K220)</f>
        <v/>
      </c>
      <c r="V220" s="1222" t="str">
        <f>IF(OR(V$122="",I159=""),"",'I. Stream &amp; Compound Data'!AL214/$J159*(1-V$127)*(1-V$123)*$K220)</f>
        <v/>
      </c>
      <c r="W220" s="1222" t="str">
        <f>IF(OR(W$122="",I159=""),"",'I. Stream &amp; Compound Data'!AO214/$J159*(1-W$127)*(1-W$123)*$K220)</f>
        <v/>
      </c>
      <c r="X220" s="1222" t="str">
        <f>IF(OR(X$122="",I159=""),"",'I. Stream &amp; Compound Data'!AR214/$J159*(1-X$127)*(1-X$123)*$K220)</f>
        <v/>
      </c>
      <c r="Y220" s="1222" t="str">
        <f>IF(OR(Y$122="",I159=""),"",'I. Stream &amp; Compound Data'!AU214/$J159*(1-Y$127)*(1-Y$123)*$K220)</f>
        <v/>
      </c>
      <c r="Z220" s="1222" t="str">
        <f>IF(OR(Z$122="",I159=""),"",'I. Stream &amp; Compound Data'!AX214/$J159*(1-Z$127)*(1-Z$123)*$K220)</f>
        <v/>
      </c>
      <c r="AA220" s="1222" t="str">
        <f>IF(OR(AA$122="",I159=""),"",'I. Stream &amp; Compound Data'!BA214/$J159*(1-AA$127)*(1-AA$123)*$K220)</f>
        <v/>
      </c>
      <c r="AB220" s="1222" t="str">
        <f>IF(OR(AB$122="",I159=""),"",'I. Stream &amp; Compound Data'!BD214/$J159*(1-AB$127)*(1-AB$123)*$K220)</f>
        <v/>
      </c>
      <c r="AC220" s="1222" t="str">
        <f>IF(OR(AC$122="",I159=""),"",'I. Stream &amp; Compound Data'!BG214/$J159*(1-AC$127)*(1-AC$123)*$K220)</f>
        <v/>
      </c>
      <c r="AD220" s="1222" t="str">
        <f>IF(OR(AD$122="",I159=""),"",'I. Stream &amp; Compound Data'!BJ214/$J159*(1-AD$127)*(1-AD$123)*$K220)</f>
        <v/>
      </c>
      <c r="AE220" s="1222" t="str">
        <f>IF(OR(AE$122="",I159=""),"",'I. Stream &amp; Compound Data'!BM214/$J159*(1-AE$127)*(1-AE$123)*$K220)</f>
        <v/>
      </c>
      <c r="AF220" s="1222" t="str">
        <f>IF(OR(AF$122="",I159=""),"",'I. Stream &amp; Compound Data'!BP214/$J159*(1-AF$127)*(1-AF$123)*$K220)</f>
        <v/>
      </c>
      <c r="AG220" s="1222" t="str">
        <f>IF(OR(AG$122="",I159=""),"",'I. Stream &amp; Compound Data'!BS214/$J159*(1-AG$127)*(1-AG$123)*$K220)</f>
        <v/>
      </c>
      <c r="AH220" s="1222" t="str">
        <f>IF(OR(AH$122="",I159=""),"",'I. Stream &amp; Compound Data'!BV214/$J159*(1-AH$127)*(1-AH$123)*$K220)</f>
        <v/>
      </c>
      <c r="AI220" s="1222" t="str">
        <f>IF(OR(AI$122="",I159=""),"",'I. Stream &amp; Compound Data'!BY214/$J159*(1-AI$127)*(1-AI$123)*$K220)</f>
        <v/>
      </c>
      <c r="AJ220" s="1222" t="str">
        <f>IF(OR(AJ$122="",I159=""),"",'I. Stream &amp; Compound Data'!CB214/$J159*(1-AJ$127)*(1-AJ$123)*$K220)</f>
        <v/>
      </c>
      <c r="AK220" s="1222" t="str">
        <f>IF(OR(AK$122="",I159=""),"",'I. Stream &amp; Compound Data'!CE214/$J159*(1-AK$127)*(1-AK$123)*$K220)</f>
        <v/>
      </c>
      <c r="AL220" s="1222" t="str">
        <f>IF(OR(AL$122="",I159=""),"",'I. Stream &amp; Compound Data'!CH214/$J159*(1-AL$127)*(1-AL$123)*$K220)</f>
        <v/>
      </c>
      <c r="AM220" s="1222" t="str">
        <f>IF(OR(AM$122="",I159=""),"",'I. Stream &amp; Compound Data'!CK214/$J159*(1-AM$127)*(1-AM$123)*$K220)</f>
        <v/>
      </c>
      <c r="AN220" s="1222" t="str">
        <f>IF(OR(AN$122="",I159=""),"",'I. Stream &amp; Compound Data'!CN214/$J159*(1-AN$127)*(1-AN$123)*$K220)</f>
        <v/>
      </c>
      <c r="AO220" s="1222" t="str">
        <f>IF(OR(AO$122="",I159=""),"",'I. Stream &amp; Compound Data'!CQ214/$J159*(1-AO$127)*(1-AO$123)*$K220)</f>
        <v/>
      </c>
      <c r="AP220" s="1222" t="str">
        <f>IF(OR(AP$122="",I159=""),"",'I. Stream &amp; Compound Data'!CT214/$J159*(1-AP$127)*(1-AP$123)*$K220)</f>
        <v/>
      </c>
      <c r="AQ220" s="1222" t="str">
        <f>IF(OR(AQ$122="",I159=""),"",'I. Stream &amp; Compound Data'!CW214/$J159*(1-AQ$127)*(1-AQ$123)*$K220)</f>
        <v/>
      </c>
      <c r="AR220" s="1222" t="str">
        <f>IF(OR(AR$122="",I159=""),"",'I. Stream &amp; Compound Data'!CZ214/$J159*(1-AR$127)*(1-AR$123)*$K220)</f>
        <v/>
      </c>
      <c r="AS220" s="1222" t="str">
        <f>IF(OR(AS$122="",I159=""),"",'I. Stream &amp; Compound Data'!DC214/$J159*(1-AS$127)*(1-AS$123)*$K220)</f>
        <v/>
      </c>
      <c r="AT220" s="1222" t="str">
        <f>IF(OR(AT$122="",I159=""),"",'I. Stream &amp; Compound Data'!DF214/$J159*(1-AT$127)*(1-AT$123)*$K220)</f>
        <v/>
      </c>
      <c r="AU220" s="1222" t="str">
        <f>IF(OR(AU$122="",I159=""),"",'I. Stream &amp; Compound Data'!DI214/$J159*(1-AU$127)*(1-AU$123)*$K220)</f>
        <v/>
      </c>
      <c r="AV220" s="1222" t="str">
        <f>IF(OR(AV$122="",I159=""),"",'I. Stream &amp; Compound Data'!DL214/$J159*(1-AV$127)*(1-AV$123)*$K220)</f>
        <v/>
      </c>
      <c r="AW220" s="1222" t="str">
        <f>IF(OR(AW$122="",I159=""),"",'I. Stream &amp; Compound Data'!DO214/$J159*(1-AW$127)*(1-AW$123)*$K220)</f>
        <v/>
      </c>
      <c r="AX220" s="1222" t="str">
        <f>IF(OR(AX$122="",I159=""),"",'I. Stream &amp; Compound Data'!DR214/$J159*(1-AX$127)*(1-AX$123)*$K220)</f>
        <v/>
      </c>
      <c r="AY220" s="1516" t="str">
        <f>IF(OR(AY$122="",I159=""),"",'I. Stream &amp; Compound Data'!DU214/$J159*(1-AY$127)*(1-AY$123)*$K220)</f>
        <v/>
      </c>
      <c r="AZ220" s="279"/>
      <c r="BA220" s="279"/>
      <c r="BB220" s="279"/>
      <c r="BC220" s="279"/>
      <c r="BD220" s="279"/>
      <c r="BE220" s="279"/>
      <c r="BF220" s="279"/>
      <c r="BG220" s="279"/>
      <c r="BH220" s="279"/>
      <c r="BI220" s="279"/>
      <c r="BJ220" s="279"/>
      <c r="BK220" s="279"/>
      <c r="BL220" s="279"/>
      <c r="BM220" s="279"/>
      <c r="BN220" s="279"/>
      <c r="BO220" s="279"/>
      <c r="BP220" s="279"/>
      <c r="BQ220" s="279"/>
      <c r="BR220" s="279"/>
      <c r="BS220" s="279"/>
      <c r="BT220" s="279"/>
      <c r="BU220" s="279"/>
      <c r="BV220" s="279"/>
      <c r="BW220" s="279"/>
      <c r="BX220" s="279"/>
      <c r="BY220" s="279"/>
      <c r="BZ220" s="279"/>
      <c r="CA220" s="279"/>
      <c r="CB220" s="279"/>
      <c r="CC220" s="279"/>
      <c r="CD220" s="279"/>
      <c r="CE220" s="279"/>
      <c r="CF220" s="279"/>
      <c r="CG220" s="279"/>
      <c r="CH220" s="279"/>
      <c r="CI220" s="279"/>
      <c r="CJ220" s="279"/>
      <c r="CK220" s="279"/>
      <c r="CL220" s="279"/>
      <c r="CM220" s="279"/>
      <c r="CN220" s="382"/>
    </row>
    <row r="221" ht="15.6" x14ac:dyDescent="0.25">
      <c r="B221" s="361"/>
      <c r="C221" s="279"/>
      <c r="D221" s="280"/>
      <c r="E221" s="287"/>
      <c r="F221" s="287"/>
      <c r="G221" s="287"/>
      <c r="H221" s="280"/>
      <c r="I221" s="304"/>
      <c r="J221" s="1292">
        <f t="shared" si="23"/>
        <v>30</v>
      </c>
      <c r="K221" s="1242" t="str">
        <f>IF('I. Stream &amp; Compound Data'!G291="","",IF('I. Stream &amp; Compound Data'!V291=1,0,1))</f>
        <v/>
      </c>
      <c r="L221" s="1242" t="str">
        <f>IF(OR(L$122="",I160=""),"",'I. Stream &amp; Compound Data'!H215/$J160*(1-L$127)*(1-L$123)*$K221)</f>
        <v/>
      </c>
      <c r="M221" s="1242" t="str">
        <f>IF(OR(M$122="",I160=""),"",'I. Stream &amp; Compound Data'!K215/$J160*(1-M$127)*(1-M$123)*$K221)</f>
        <v/>
      </c>
      <c r="N221" s="1306" t="str">
        <f>IF(OR(N$122="",I160=""),"",'I. Stream &amp; Compound Data'!N215/$J160*(1-N$127)*(1-N$123)*$K221)</f>
        <v/>
      </c>
      <c r="O221" s="1242" t="str">
        <f>IF(OR(O$122="",I160=""),"",'I. Stream &amp; Compound Data'!Q215/$J160*(1-O$127)*(1-O$123)*$K221)</f>
        <v/>
      </c>
      <c r="P221" s="1242" t="str">
        <f>IF(OR(P$122="",I160=""),"",'I. Stream &amp; Compound Data'!T215/$J160*(1-P$127)*(1-P$123)*$K221)</f>
        <v/>
      </c>
      <c r="Q221" s="202" t="str">
        <f>IF(OR(Q$122="",I160=""),"",'I. Stream &amp; Compound Data'!W215/$J160*(1-Q$127)*(1-Q$123)*$K221)</f>
        <v/>
      </c>
      <c r="R221" s="1168" t="str">
        <f>IF(OR(R$122="",I160=""),"",'I. Stream &amp; Compound Data'!Z215/$J160*(1-R$127)*(1-R$123)*$K221)</f>
        <v/>
      </c>
      <c r="S221" s="1168" t="str">
        <f>IF(OR(S$122="",I160=""),"",'I. Stream &amp; Compound Data'!AC215/$J160*(1-S$127)*(1-S$123)*$K221)</f>
        <v/>
      </c>
      <c r="T221" s="1168" t="str">
        <f>IF(OR(T$122="",I160=""),"",'I. Stream &amp; Compound Data'!AF215/$J160*(1-T$127)*(1-T$123)*$K221)</f>
        <v/>
      </c>
      <c r="U221" s="1222" t="str">
        <f>IF(OR(U$122="",I160=""),"",'I. Stream &amp; Compound Data'!AI215/$J160*(1-U$127)*(1-U$123)*$K221)</f>
        <v/>
      </c>
      <c r="V221" s="1222" t="str">
        <f>IF(OR(V$122="",I160=""),"",'I. Stream &amp; Compound Data'!AL215/$J160*(1-V$127)*(1-V$123)*$K221)</f>
        <v/>
      </c>
      <c r="W221" s="1222" t="str">
        <f>IF(OR(W$122="",I160=""),"",'I. Stream &amp; Compound Data'!AO215/$J160*(1-W$127)*(1-W$123)*$K221)</f>
        <v/>
      </c>
      <c r="X221" s="1222" t="str">
        <f>IF(OR(X$122="",I160=""),"",'I. Stream &amp; Compound Data'!AR215/$J160*(1-X$127)*(1-X$123)*$K221)</f>
        <v/>
      </c>
      <c r="Y221" s="1222" t="str">
        <f>IF(OR(Y$122="",I160=""),"",'I. Stream &amp; Compound Data'!AU215/$J160*(1-Y$127)*(1-Y$123)*$K221)</f>
        <v/>
      </c>
      <c r="Z221" s="1222" t="str">
        <f>IF(OR(Z$122="",I160=""),"",'I. Stream &amp; Compound Data'!AX215/$J160*(1-Z$127)*(1-Z$123)*$K221)</f>
        <v/>
      </c>
      <c r="AA221" s="1222" t="str">
        <f>IF(OR(AA$122="",I160=""),"",'I. Stream &amp; Compound Data'!BA215/$J160*(1-AA$127)*(1-AA$123)*$K221)</f>
        <v/>
      </c>
      <c r="AB221" s="1222" t="str">
        <f>IF(OR(AB$122="",I160=""),"",'I. Stream &amp; Compound Data'!BD215/$J160*(1-AB$127)*(1-AB$123)*$K221)</f>
        <v/>
      </c>
      <c r="AC221" s="1222" t="str">
        <f>IF(OR(AC$122="",I160=""),"",'I. Stream &amp; Compound Data'!BG215/$J160*(1-AC$127)*(1-AC$123)*$K221)</f>
        <v/>
      </c>
      <c r="AD221" s="1222" t="str">
        <f>IF(OR(AD$122="",I160=""),"",'I. Stream &amp; Compound Data'!BJ215/$J160*(1-AD$127)*(1-AD$123)*$K221)</f>
        <v/>
      </c>
      <c r="AE221" s="1222" t="str">
        <f>IF(OR(AE$122="",I160=""),"",'I. Stream &amp; Compound Data'!BM215/$J160*(1-AE$127)*(1-AE$123)*$K221)</f>
        <v/>
      </c>
      <c r="AF221" s="1222" t="str">
        <f>IF(OR(AF$122="",I160=""),"",'I. Stream &amp; Compound Data'!BP215/$J160*(1-AF$127)*(1-AF$123)*$K221)</f>
        <v/>
      </c>
      <c r="AG221" s="1222" t="str">
        <f>IF(OR(AG$122="",I160=""),"",'I. Stream &amp; Compound Data'!BS215/$J160*(1-AG$127)*(1-AG$123)*$K221)</f>
        <v/>
      </c>
      <c r="AH221" s="1222" t="str">
        <f>IF(OR(AH$122="",I160=""),"",'I. Stream &amp; Compound Data'!BV215/$J160*(1-AH$127)*(1-AH$123)*$K221)</f>
        <v/>
      </c>
      <c r="AI221" s="1222" t="str">
        <f>IF(OR(AI$122="",I160=""),"",'I. Stream &amp; Compound Data'!BY215/$J160*(1-AI$127)*(1-AI$123)*$K221)</f>
        <v/>
      </c>
      <c r="AJ221" s="1222" t="str">
        <f>IF(OR(AJ$122="",I160=""),"",'I. Stream &amp; Compound Data'!CB215/$J160*(1-AJ$127)*(1-AJ$123)*$K221)</f>
        <v/>
      </c>
      <c r="AK221" s="1222" t="str">
        <f>IF(OR(AK$122="",I160=""),"",'I. Stream &amp; Compound Data'!CE215/$J160*(1-AK$127)*(1-AK$123)*$K221)</f>
        <v/>
      </c>
      <c r="AL221" s="1222" t="str">
        <f>IF(OR(AL$122="",I160=""),"",'I. Stream &amp; Compound Data'!CH215/$J160*(1-AL$127)*(1-AL$123)*$K221)</f>
        <v/>
      </c>
      <c r="AM221" s="1222" t="str">
        <f>IF(OR(AM$122="",I160=""),"",'I. Stream &amp; Compound Data'!CK215/$J160*(1-AM$127)*(1-AM$123)*$K221)</f>
        <v/>
      </c>
      <c r="AN221" s="1222" t="str">
        <f>IF(OR(AN$122="",I160=""),"",'I. Stream &amp; Compound Data'!CN215/$J160*(1-AN$127)*(1-AN$123)*$K221)</f>
        <v/>
      </c>
      <c r="AO221" s="1222" t="str">
        <f>IF(OR(AO$122="",I160=""),"",'I. Stream &amp; Compound Data'!CQ215/$J160*(1-AO$127)*(1-AO$123)*$K221)</f>
        <v/>
      </c>
      <c r="AP221" s="1222" t="str">
        <f>IF(OR(AP$122="",I160=""),"",'I. Stream &amp; Compound Data'!CT215/$J160*(1-AP$127)*(1-AP$123)*$K221)</f>
        <v/>
      </c>
      <c r="AQ221" s="1222" t="str">
        <f>IF(OR(AQ$122="",I160=""),"",'I. Stream &amp; Compound Data'!CW215/$J160*(1-AQ$127)*(1-AQ$123)*$K221)</f>
        <v/>
      </c>
      <c r="AR221" s="1222" t="str">
        <f>IF(OR(AR$122="",I160=""),"",'I. Stream &amp; Compound Data'!CZ215/$J160*(1-AR$127)*(1-AR$123)*$K221)</f>
        <v/>
      </c>
      <c r="AS221" s="1222" t="str">
        <f>IF(OR(AS$122="",I160=""),"",'I. Stream &amp; Compound Data'!DC215/$J160*(1-AS$127)*(1-AS$123)*$K221)</f>
        <v/>
      </c>
      <c r="AT221" s="1222" t="str">
        <f>IF(OR(AT$122="",I160=""),"",'I. Stream &amp; Compound Data'!DF215/$J160*(1-AT$127)*(1-AT$123)*$K221)</f>
        <v/>
      </c>
      <c r="AU221" s="1222" t="str">
        <f>IF(OR(AU$122="",I160=""),"",'I. Stream &amp; Compound Data'!DI215/$J160*(1-AU$127)*(1-AU$123)*$K221)</f>
        <v/>
      </c>
      <c r="AV221" s="1222" t="str">
        <f>IF(OR(AV$122="",I160=""),"",'I. Stream &amp; Compound Data'!DL215/$J160*(1-AV$127)*(1-AV$123)*$K221)</f>
        <v/>
      </c>
      <c r="AW221" s="1222" t="str">
        <f>IF(OR(AW$122="",I160=""),"",'I. Stream &amp; Compound Data'!DO215/$J160*(1-AW$127)*(1-AW$123)*$K221)</f>
        <v/>
      </c>
      <c r="AX221" s="1222" t="str">
        <f>IF(OR(AX$122="",I160=""),"",'I. Stream &amp; Compound Data'!DR215/$J160*(1-AX$127)*(1-AX$123)*$K221)</f>
        <v/>
      </c>
      <c r="AY221" s="1516" t="str">
        <f>IF(OR(AY$122="",I160=""),"",'I. Stream &amp; Compound Data'!DU215/$J160*(1-AY$127)*(1-AY$123)*$K221)</f>
        <v/>
      </c>
      <c r="AZ221" s="279"/>
      <c r="BA221" s="279"/>
      <c r="BB221" s="279"/>
      <c r="BC221" s="279"/>
      <c r="BD221" s="279"/>
      <c r="BE221" s="279"/>
      <c r="BF221" s="279"/>
      <c r="BG221" s="279"/>
      <c r="BH221" s="279"/>
      <c r="BI221" s="279"/>
      <c r="BJ221" s="279"/>
      <c r="BK221" s="279"/>
      <c r="BL221" s="279"/>
      <c r="BM221" s="279"/>
      <c r="BN221" s="279"/>
      <c r="BO221" s="279"/>
      <c r="BP221" s="279"/>
      <c r="BQ221" s="279"/>
      <c r="BR221" s="279"/>
      <c r="BS221" s="279"/>
      <c r="BT221" s="279"/>
      <c r="BU221" s="279"/>
      <c r="BV221" s="279"/>
      <c r="BW221" s="279"/>
      <c r="BX221" s="279"/>
      <c r="BY221" s="279"/>
      <c r="BZ221" s="279"/>
      <c r="CA221" s="279"/>
      <c r="CB221" s="279"/>
      <c r="CC221" s="279"/>
      <c r="CD221" s="279"/>
      <c r="CE221" s="279"/>
      <c r="CF221" s="279"/>
      <c r="CG221" s="279"/>
      <c r="CH221" s="279"/>
      <c r="CI221" s="279"/>
      <c r="CJ221" s="279"/>
      <c r="CK221" s="279"/>
      <c r="CL221" s="279"/>
      <c r="CM221" s="279"/>
      <c r="CN221" s="382"/>
    </row>
    <row r="222" ht="15.6" x14ac:dyDescent="0.25">
      <c r="B222" s="361"/>
      <c r="C222" s="279"/>
      <c r="D222" s="280"/>
      <c r="E222" s="287"/>
      <c r="F222" s="287"/>
      <c r="G222" s="287"/>
      <c r="H222" s="280"/>
      <c r="I222" s="304"/>
      <c r="J222" s="1292">
        <f t="shared" si="23"/>
        <v>31</v>
      </c>
      <c r="K222" s="1242" t="str">
        <f>IF('I. Stream &amp; Compound Data'!G292="","",IF('I. Stream &amp; Compound Data'!V292=1,0,1))</f>
        <v/>
      </c>
      <c r="L222" s="1242" t="str">
        <f>IF(OR(L$122="",I161=""),"",'I. Stream &amp; Compound Data'!H216/$J161*(1-L$127)*(1-L$123)*$K222)</f>
        <v/>
      </c>
      <c r="M222" s="1242" t="str">
        <f>IF(OR(M$122="",I161=""),"",'I. Stream &amp; Compound Data'!K216/$J161*(1-M$127)*(1-M$123)*$K222)</f>
        <v/>
      </c>
      <c r="N222" s="1306" t="str">
        <f>IF(OR(N$122="",I161=""),"",'I. Stream &amp; Compound Data'!N216/$J161*(1-N$127)*(1-N$123)*$K222)</f>
        <v/>
      </c>
      <c r="O222" s="1242" t="str">
        <f>IF(OR(O$122="",I161=""),"",'I. Stream &amp; Compound Data'!Q216/$J161*(1-O$127)*(1-O$123)*$K222)</f>
        <v/>
      </c>
      <c r="P222" s="1242" t="str">
        <f>IF(OR(P$122="",I161=""),"",'I. Stream &amp; Compound Data'!T216/$J161*(1-P$127)*(1-P$123)*$K222)</f>
        <v/>
      </c>
      <c r="Q222" s="202" t="str">
        <f>IF(OR(Q$122="",I161=""),"",'I. Stream &amp; Compound Data'!W216/$J161*(1-Q$127)*(1-Q$123)*$K222)</f>
        <v/>
      </c>
      <c r="R222" s="1168" t="str">
        <f>IF(OR(R$122="",I161=""),"",'I. Stream &amp; Compound Data'!Z216/$J161*(1-R$127)*(1-R$123)*$K222)</f>
        <v/>
      </c>
      <c r="S222" s="1168" t="str">
        <f>IF(OR(S$122="",I161=""),"",'I. Stream &amp; Compound Data'!AC216/$J161*(1-S$127)*(1-S$123)*$K222)</f>
        <v/>
      </c>
      <c r="T222" s="1168" t="str">
        <f>IF(OR(T$122="",I161=""),"",'I. Stream &amp; Compound Data'!AF216/$J161*(1-T$127)*(1-T$123)*$K222)</f>
        <v/>
      </c>
      <c r="U222" s="1222" t="str">
        <f>IF(OR(U$122="",I161=""),"",'I. Stream &amp; Compound Data'!AI216/$J161*(1-U$127)*(1-U$123)*$K222)</f>
        <v/>
      </c>
      <c r="V222" s="1222" t="str">
        <f>IF(OR(V$122="",I161=""),"",'I. Stream &amp; Compound Data'!AL216/$J161*(1-V$127)*(1-V$123)*$K222)</f>
        <v/>
      </c>
      <c r="W222" s="1222" t="str">
        <f>IF(OR(W$122="",I161=""),"",'I. Stream &amp; Compound Data'!AO216/$J161*(1-W$127)*(1-W$123)*$K222)</f>
        <v/>
      </c>
      <c r="X222" s="1222" t="str">
        <f>IF(OR(X$122="",I161=""),"",'I. Stream &amp; Compound Data'!AR216/$J161*(1-X$127)*(1-X$123)*$K222)</f>
        <v/>
      </c>
      <c r="Y222" s="1222" t="str">
        <f>IF(OR(Y$122="",I161=""),"",'I. Stream &amp; Compound Data'!AU216/$J161*(1-Y$127)*(1-Y$123)*$K222)</f>
        <v/>
      </c>
      <c r="Z222" s="1222" t="str">
        <f>IF(OR(Z$122="",I161=""),"",'I. Stream &amp; Compound Data'!AX216/$J161*(1-Z$127)*(1-Z$123)*$K222)</f>
        <v/>
      </c>
      <c r="AA222" s="1222" t="str">
        <f>IF(OR(AA$122="",I161=""),"",'I. Stream &amp; Compound Data'!BA216/$J161*(1-AA$127)*(1-AA$123)*$K222)</f>
        <v/>
      </c>
      <c r="AB222" s="1222" t="str">
        <f>IF(OR(AB$122="",I161=""),"",'I. Stream &amp; Compound Data'!BD216/$J161*(1-AB$127)*(1-AB$123)*$K222)</f>
        <v/>
      </c>
      <c r="AC222" s="1222" t="str">
        <f>IF(OR(AC$122="",I161=""),"",'I. Stream &amp; Compound Data'!BG216/$J161*(1-AC$127)*(1-AC$123)*$K222)</f>
        <v/>
      </c>
      <c r="AD222" s="1222" t="str">
        <f>IF(OR(AD$122="",I161=""),"",'I. Stream &amp; Compound Data'!BJ216/$J161*(1-AD$127)*(1-AD$123)*$K222)</f>
        <v/>
      </c>
      <c r="AE222" s="1222" t="str">
        <f>IF(OR(AE$122="",I161=""),"",'I. Stream &amp; Compound Data'!BM216/$J161*(1-AE$127)*(1-AE$123)*$K222)</f>
        <v/>
      </c>
      <c r="AF222" s="1222" t="str">
        <f>IF(OR(AF$122="",I161=""),"",'I. Stream &amp; Compound Data'!BP216/$J161*(1-AF$127)*(1-AF$123)*$K222)</f>
        <v/>
      </c>
      <c r="AG222" s="1222" t="str">
        <f>IF(OR(AG$122="",I161=""),"",'I. Stream &amp; Compound Data'!BS216/$J161*(1-AG$127)*(1-AG$123)*$K222)</f>
        <v/>
      </c>
      <c r="AH222" s="1222" t="str">
        <f>IF(OR(AH$122="",I161=""),"",'I. Stream &amp; Compound Data'!BV216/$J161*(1-AH$127)*(1-AH$123)*$K222)</f>
        <v/>
      </c>
      <c r="AI222" s="1222" t="str">
        <f>IF(OR(AI$122="",I161=""),"",'I. Stream &amp; Compound Data'!BY216/$J161*(1-AI$127)*(1-AI$123)*$K222)</f>
        <v/>
      </c>
      <c r="AJ222" s="1222" t="str">
        <f>IF(OR(AJ$122="",I161=""),"",'I. Stream &amp; Compound Data'!CB216/$J161*(1-AJ$127)*(1-AJ$123)*$K222)</f>
        <v/>
      </c>
      <c r="AK222" s="1222" t="str">
        <f>IF(OR(AK$122="",I161=""),"",'I. Stream &amp; Compound Data'!CE216/$J161*(1-AK$127)*(1-AK$123)*$K222)</f>
        <v/>
      </c>
      <c r="AL222" s="1222" t="str">
        <f>IF(OR(AL$122="",I161=""),"",'I. Stream &amp; Compound Data'!CH216/$J161*(1-AL$127)*(1-AL$123)*$K222)</f>
        <v/>
      </c>
      <c r="AM222" s="1222" t="str">
        <f>IF(OR(AM$122="",I161=""),"",'I. Stream &amp; Compound Data'!CK216/$J161*(1-AM$127)*(1-AM$123)*$K222)</f>
        <v/>
      </c>
      <c r="AN222" s="1222" t="str">
        <f>IF(OR(AN$122="",I161=""),"",'I. Stream &amp; Compound Data'!CN216/$J161*(1-AN$127)*(1-AN$123)*$K222)</f>
        <v/>
      </c>
      <c r="AO222" s="1222" t="str">
        <f>IF(OR(AO$122="",I161=""),"",'I. Stream &amp; Compound Data'!CQ216/$J161*(1-AO$127)*(1-AO$123)*$K222)</f>
        <v/>
      </c>
      <c r="AP222" s="1222" t="str">
        <f>IF(OR(AP$122="",I161=""),"",'I. Stream &amp; Compound Data'!CT216/$J161*(1-AP$127)*(1-AP$123)*$K222)</f>
        <v/>
      </c>
      <c r="AQ222" s="1222" t="str">
        <f>IF(OR(AQ$122="",I161=""),"",'I. Stream &amp; Compound Data'!CW216/$J161*(1-AQ$127)*(1-AQ$123)*$K222)</f>
        <v/>
      </c>
      <c r="AR222" s="1222" t="str">
        <f>IF(OR(AR$122="",I161=""),"",'I. Stream &amp; Compound Data'!CZ216/$J161*(1-AR$127)*(1-AR$123)*$K222)</f>
        <v/>
      </c>
      <c r="AS222" s="1222" t="str">
        <f>IF(OR(AS$122="",I161=""),"",'I. Stream &amp; Compound Data'!DC216/$J161*(1-AS$127)*(1-AS$123)*$K222)</f>
        <v/>
      </c>
      <c r="AT222" s="1222" t="str">
        <f>IF(OR(AT$122="",I161=""),"",'I. Stream &amp; Compound Data'!DF216/$J161*(1-AT$127)*(1-AT$123)*$K222)</f>
        <v/>
      </c>
      <c r="AU222" s="1222" t="str">
        <f>IF(OR(AU$122="",I161=""),"",'I. Stream &amp; Compound Data'!DI216/$J161*(1-AU$127)*(1-AU$123)*$K222)</f>
        <v/>
      </c>
      <c r="AV222" s="1222" t="str">
        <f>IF(OR(AV$122="",I161=""),"",'I. Stream &amp; Compound Data'!DL216/$J161*(1-AV$127)*(1-AV$123)*$K222)</f>
        <v/>
      </c>
      <c r="AW222" s="1222" t="str">
        <f>IF(OR(AW$122="",I161=""),"",'I. Stream &amp; Compound Data'!DO216/$J161*(1-AW$127)*(1-AW$123)*$K222)</f>
        <v/>
      </c>
      <c r="AX222" s="1222" t="str">
        <f>IF(OR(AX$122="",I161=""),"",'I. Stream &amp; Compound Data'!DR216/$J161*(1-AX$127)*(1-AX$123)*$K222)</f>
        <v/>
      </c>
      <c r="AY222" s="1516" t="str">
        <f>IF(OR(AY$122="",I161=""),"",'I. Stream &amp; Compound Data'!DU216/$J161*(1-AY$127)*(1-AY$123)*$K222)</f>
        <v/>
      </c>
      <c r="AZ222" s="279"/>
      <c r="BA222" s="279"/>
      <c r="BB222" s="279"/>
      <c r="BC222" s="279"/>
      <c r="BD222" s="279"/>
      <c r="BE222" s="279"/>
      <c r="BF222" s="279"/>
      <c r="BG222" s="279"/>
      <c r="BH222" s="279"/>
      <c r="BI222" s="279"/>
      <c r="BJ222" s="279"/>
      <c r="BK222" s="279"/>
      <c r="BL222" s="279"/>
      <c r="BM222" s="279"/>
      <c r="BN222" s="279"/>
      <c r="BO222" s="279"/>
      <c r="BP222" s="279"/>
      <c r="BQ222" s="279"/>
      <c r="BR222" s="279"/>
      <c r="BS222" s="279"/>
      <c r="BT222" s="279"/>
      <c r="BU222" s="279"/>
      <c r="BV222" s="279"/>
      <c r="BW222" s="279"/>
      <c r="BX222" s="279"/>
      <c r="BY222" s="279"/>
      <c r="BZ222" s="279"/>
      <c r="CA222" s="279"/>
      <c r="CB222" s="279"/>
      <c r="CC222" s="279"/>
      <c r="CD222" s="279"/>
      <c r="CE222" s="279"/>
      <c r="CF222" s="279"/>
      <c r="CG222" s="279"/>
      <c r="CH222" s="279"/>
      <c r="CI222" s="279"/>
      <c r="CJ222" s="279"/>
      <c r="CK222" s="279"/>
      <c r="CL222" s="279"/>
      <c r="CM222" s="279"/>
      <c r="CN222" s="382"/>
    </row>
    <row r="223" ht="15.6" x14ac:dyDescent="0.25">
      <c r="B223" s="361"/>
      <c r="C223" s="279"/>
      <c r="D223" s="280"/>
      <c r="E223" s="287"/>
      <c r="F223" s="287"/>
      <c r="G223" s="287"/>
      <c r="H223" s="280"/>
      <c r="I223" s="304"/>
      <c r="J223" s="1292">
        <f t="shared" si="23"/>
        <v>32</v>
      </c>
      <c r="K223" s="1242" t="str">
        <f>IF('I. Stream &amp; Compound Data'!G293="","",IF('I. Stream &amp; Compound Data'!V293=1,0,1))</f>
        <v/>
      </c>
      <c r="L223" s="1242" t="str">
        <f>IF(OR(L$122="",I162=""),"",'I. Stream &amp; Compound Data'!H217/$J162*(1-L$127)*(1-L$123)*$K223)</f>
        <v/>
      </c>
      <c r="M223" s="1242" t="str">
        <f>IF(OR(M$122="",I162=""),"",'I. Stream &amp; Compound Data'!K217/$J162*(1-M$127)*(1-M$123)*$K223)</f>
        <v/>
      </c>
      <c r="N223" s="1306" t="str">
        <f>IF(OR(N$122="",I162=""),"",'I. Stream &amp; Compound Data'!N217/$J162*(1-N$127)*(1-N$123)*$K223)</f>
        <v/>
      </c>
      <c r="O223" s="1242" t="str">
        <f>IF(OR(O$122="",I162=""),"",'I. Stream &amp; Compound Data'!Q217/$J162*(1-O$127)*(1-O$123)*$K223)</f>
        <v/>
      </c>
      <c r="P223" s="1242" t="str">
        <f>IF(OR(P$122="",I162=""),"",'I. Stream &amp; Compound Data'!T217/$J162*(1-P$127)*(1-P$123)*$K223)</f>
        <v/>
      </c>
      <c r="Q223" s="202" t="str">
        <f>IF(OR(Q$122="",I162=""),"",'I. Stream &amp; Compound Data'!W217/$J162*(1-Q$127)*(1-Q$123)*$K223)</f>
        <v/>
      </c>
      <c r="R223" s="1168" t="str">
        <f>IF(OR(R$122="",I162=""),"",'I. Stream &amp; Compound Data'!Z217/$J162*(1-R$127)*(1-R$123)*$K223)</f>
        <v/>
      </c>
      <c r="S223" s="1168" t="str">
        <f>IF(OR(S$122="",I162=""),"",'I. Stream &amp; Compound Data'!AC217/$J162*(1-S$127)*(1-S$123)*$K223)</f>
        <v/>
      </c>
      <c r="T223" s="1168" t="str">
        <f>IF(OR(T$122="",I162=""),"",'I. Stream &amp; Compound Data'!AF217/$J162*(1-T$127)*(1-T$123)*$K223)</f>
        <v/>
      </c>
      <c r="U223" s="1222" t="str">
        <f>IF(OR(U$122="",I162=""),"",'I. Stream &amp; Compound Data'!AI217/$J162*(1-U$127)*(1-U$123)*$K223)</f>
        <v/>
      </c>
      <c r="V223" s="1222" t="str">
        <f>IF(OR(V$122="",I162=""),"",'I. Stream &amp; Compound Data'!AL217/$J162*(1-V$127)*(1-V$123)*$K223)</f>
        <v/>
      </c>
      <c r="W223" s="1222" t="str">
        <f>IF(OR(W$122="",I162=""),"",'I. Stream &amp; Compound Data'!AO217/$J162*(1-W$127)*(1-W$123)*$K223)</f>
        <v/>
      </c>
      <c r="X223" s="1222" t="str">
        <f>IF(OR(X$122="",I162=""),"",'I. Stream &amp; Compound Data'!AR217/$J162*(1-X$127)*(1-X$123)*$K223)</f>
        <v/>
      </c>
      <c r="Y223" s="1222" t="str">
        <f>IF(OR(Y$122="",I162=""),"",'I. Stream &amp; Compound Data'!AU217/$J162*(1-Y$127)*(1-Y$123)*$K223)</f>
        <v/>
      </c>
      <c r="Z223" s="1222" t="str">
        <f>IF(OR(Z$122="",I162=""),"",'I. Stream &amp; Compound Data'!AX217/$J162*(1-Z$127)*(1-Z$123)*$K223)</f>
        <v/>
      </c>
      <c r="AA223" s="1222" t="str">
        <f>IF(OR(AA$122="",I162=""),"",'I. Stream &amp; Compound Data'!BA217/$J162*(1-AA$127)*(1-AA$123)*$K223)</f>
        <v/>
      </c>
      <c r="AB223" s="1222" t="str">
        <f>IF(OR(AB$122="",I162=""),"",'I. Stream &amp; Compound Data'!BD217/$J162*(1-AB$127)*(1-AB$123)*$K223)</f>
        <v/>
      </c>
      <c r="AC223" s="1222" t="str">
        <f>IF(OR(AC$122="",I162=""),"",'I. Stream &amp; Compound Data'!BG217/$J162*(1-AC$127)*(1-AC$123)*$K223)</f>
        <v/>
      </c>
      <c r="AD223" s="1222" t="str">
        <f>IF(OR(AD$122="",I162=""),"",'I. Stream &amp; Compound Data'!BJ217/$J162*(1-AD$127)*(1-AD$123)*$K223)</f>
        <v/>
      </c>
      <c r="AE223" s="1222" t="str">
        <f>IF(OR(AE$122="",I162=""),"",'I. Stream &amp; Compound Data'!BM217/$J162*(1-AE$127)*(1-AE$123)*$K223)</f>
        <v/>
      </c>
      <c r="AF223" s="1222" t="str">
        <f>IF(OR(AF$122="",I162=""),"",'I. Stream &amp; Compound Data'!BP217/$J162*(1-AF$127)*(1-AF$123)*$K223)</f>
        <v/>
      </c>
      <c r="AG223" s="1222" t="str">
        <f>IF(OR(AG$122="",I162=""),"",'I. Stream &amp; Compound Data'!BS217/$J162*(1-AG$127)*(1-AG$123)*$K223)</f>
        <v/>
      </c>
      <c r="AH223" s="1222" t="str">
        <f>IF(OR(AH$122="",I162=""),"",'I. Stream &amp; Compound Data'!BV217/$J162*(1-AH$127)*(1-AH$123)*$K223)</f>
        <v/>
      </c>
      <c r="AI223" s="1222" t="str">
        <f>IF(OR(AI$122="",I162=""),"",'I. Stream &amp; Compound Data'!BY217/$J162*(1-AI$127)*(1-AI$123)*$K223)</f>
        <v/>
      </c>
      <c r="AJ223" s="1222" t="str">
        <f>IF(OR(AJ$122="",I162=""),"",'I. Stream &amp; Compound Data'!CB217/$J162*(1-AJ$127)*(1-AJ$123)*$K223)</f>
        <v/>
      </c>
      <c r="AK223" s="1222" t="str">
        <f>IF(OR(AK$122="",I162=""),"",'I. Stream &amp; Compound Data'!CE217/$J162*(1-AK$127)*(1-AK$123)*$K223)</f>
        <v/>
      </c>
      <c r="AL223" s="1222" t="str">
        <f>IF(OR(AL$122="",I162=""),"",'I. Stream &amp; Compound Data'!CH217/$J162*(1-AL$127)*(1-AL$123)*$K223)</f>
        <v/>
      </c>
      <c r="AM223" s="1222" t="str">
        <f>IF(OR(AM$122="",I162=""),"",'I. Stream &amp; Compound Data'!CK217/$J162*(1-AM$127)*(1-AM$123)*$K223)</f>
        <v/>
      </c>
      <c r="AN223" s="1222" t="str">
        <f>IF(OR(AN$122="",I162=""),"",'I. Stream &amp; Compound Data'!CN217/$J162*(1-AN$127)*(1-AN$123)*$K223)</f>
        <v/>
      </c>
      <c r="AO223" s="1222" t="str">
        <f>IF(OR(AO$122="",I162=""),"",'I. Stream &amp; Compound Data'!CQ217/$J162*(1-AO$127)*(1-AO$123)*$K223)</f>
        <v/>
      </c>
      <c r="AP223" s="1222" t="str">
        <f>IF(OR(AP$122="",I162=""),"",'I. Stream &amp; Compound Data'!CT217/$J162*(1-AP$127)*(1-AP$123)*$K223)</f>
        <v/>
      </c>
      <c r="AQ223" s="1222" t="str">
        <f>IF(OR(AQ$122="",I162=""),"",'I. Stream &amp; Compound Data'!CW217/$J162*(1-AQ$127)*(1-AQ$123)*$K223)</f>
        <v/>
      </c>
      <c r="AR223" s="1222" t="str">
        <f>IF(OR(AR$122="",I162=""),"",'I. Stream &amp; Compound Data'!CZ217/$J162*(1-AR$127)*(1-AR$123)*$K223)</f>
        <v/>
      </c>
      <c r="AS223" s="1222" t="str">
        <f>IF(OR(AS$122="",I162=""),"",'I. Stream &amp; Compound Data'!DC217/$J162*(1-AS$127)*(1-AS$123)*$K223)</f>
        <v/>
      </c>
      <c r="AT223" s="1222" t="str">
        <f>IF(OR(AT$122="",I162=""),"",'I. Stream &amp; Compound Data'!DF217/$J162*(1-AT$127)*(1-AT$123)*$K223)</f>
        <v/>
      </c>
      <c r="AU223" s="1222" t="str">
        <f>IF(OR(AU$122="",I162=""),"",'I. Stream &amp; Compound Data'!DI217/$J162*(1-AU$127)*(1-AU$123)*$K223)</f>
        <v/>
      </c>
      <c r="AV223" s="1222" t="str">
        <f>IF(OR(AV$122="",I162=""),"",'I. Stream &amp; Compound Data'!DL217/$J162*(1-AV$127)*(1-AV$123)*$K223)</f>
        <v/>
      </c>
      <c r="AW223" s="1222" t="str">
        <f>IF(OR(AW$122="",I162=""),"",'I. Stream &amp; Compound Data'!DO217/$J162*(1-AW$127)*(1-AW$123)*$K223)</f>
        <v/>
      </c>
      <c r="AX223" s="1222" t="str">
        <f>IF(OR(AX$122="",I162=""),"",'I. Stream &amp; Compound Data'!DR217/$J162*(1-AX$127)*(1-AX$123)*$K223)</f>
        <v/>
      </c>
      <c r="AY223" s="1516" t="str">
        <f>IF(OR(AY$122="",I162=""),"",'I. Stream &amp; Compound Data'!DU217/$J162*(1-AY$127)*(1-AY$123)*$K223)</f>
        <v/>
      </c>
      <c r="AZ223" s="279"/>
      <c r="BA223" s="279"/>
      <c r="BB223" s="279"/>
      <c r="BC223" s="279"/>
      <c r="BD223" s="279"/>
      <c r="BE223" s="279"/>
      <c r="BF223" s="279"/>
      <c r="BG223" s="279"/>
      <c r="BH223" s="279"/>
      <c r="BI223" s="279"/>
      <c r="BJ223" s="279"/>
      <c r="BK223" s="279"/>
      <c r="BL223" s="279"/>
      <c r="BM223" s="279"/>
      <c r="BN223" s="279"/>
      <c r="BO223" s="279"/>
      <c r="BP223" s="279"/>
      <c r="BQ223" s="279"/>
      <c r="BR223" s="279"/>
      <c r="BS223" s="279"/>
      <c r="BT223" s="279"/>
      <c r="BU223" s="279"/>
      <c r="BV223" s="279"/>
      <c r="BW223" s="279"/>
      <c r="BX223" s="279"/>
      <c r="BY223" s="279"/>
      <c r="BZ223" s="279"/>
      <c r="CA223" s="279"/>
      <c r="CB223" s="279"/>
      <c r="CC223" s="279"/>
      <c r="CD223" s="279"/>
      <c r="CE223" s="279"/>
      <c r="CF223" s="279"/>
      <c r="CG223" s="279"/>
      <c r="CH223" s="279"/>
      <c r="CI223" s="279"/>
      <c r="CJ223" s="279"/>
      <c r="CK223" s="279"/>
      <c r="CL223" s="279"/>
      <c r="CM223" s="279"/>
      <c r="CN223" s="382"/>
    </row>
    <row r="224" ht="15.6" x14ac:dyDescent="0.25">
      <c r="B224" s="361"/>
      <c r="C224" s="279"/>
      <c r="D224" s="280"/>
      <c r="E224" s="287"/>
      <c r="F224" s="287"/>
      <c r="G224" s="287"/>
      <c r="H224" s="280"/>
      <c r="I224" s="304"/>
      <c r="J224" s="1292">
        <f t="shared" si="23"/>
        <v>33</v>
      </c>
      <c r="K224" s="1242" t="str">
        <f>IF('I. Stream &amp; Compound Data'!G294="","",IF('I. Stream &amp; Compound Data'!V294=1,0,1))</f>
        <v/>
      </c>
      <c r="L224" s="1242" t="str">
        <f>IF(OR(L$122="",I163=""),"",'I. Stream &amp; Compound Data'!H218/$J163*(1-L$127)*(1-L$123)*$K224)</f>
        <v/>
      </c>
      <c r="M224" s="1242" t="str">
        <f>IF(OR(M$122="",I163=""),"",'I. Stream &amp; Compound Data'!K218/$J163*(1-M$127)*(1-M$123)*$K224)</f>
        <v/>
      </c>
      <c r="N224" s="1306" t="str">
        <f>IF(OR(N$122="",I163=""),"",'I. Stream &amp; Compound Data'!N218/$J163*(1-N$127)*(1-N$123)*$K224)</f>
        <v/>
      </c>
      <c r="O224" s="1242" t="str">
        <f>IF(OR(O$122="",I163=""),"",'I. Stream &amp; Compound Data'!Q218/$J163*(1-O$127)*(1-O$123)*$K224)</f>
        <v/>
      </c>
      <c r="P224" s="1242" t="str">
        <f>IF(OR(P$122="",I163=""),"",'I. Stream &amp; Compound Data'!T218/$J163*(1-P$127)*(1-P$123)*$K224)</f>
        <v/>
      </c>
      <c r="Q224" s="202" t="str">
        <f>IF(OR(Q$122="",I163=""),"",'I. Stream &amp; Compound Data'!W218/$J163*(1-Q$127)*(1-Q$123)*$K224)</f>
        <v/>
      </c>
      <c r="R224" s="1168" t="str">
        <f>IF(OR(R$122="",I163=""),"",'I. Stream &amp; Compound Data'!Z218/$J163*(1-R$127)*(1-R$123)*$K224)</f>
        <v/>
      </c>
      <c r="S224" s="1168" t="str">
        <f>IF(OR(S$122="",I163=""),"",'I. Stream &amp; Compound Data'!AC218/$J163*(1-S$127)*(1-S$123)*$K224)</f>
        <v/>
      </c>
      <c r="T224" s="1168" t="str">
        <f>IF(OR(T$122="",I163=""),"",'I. Stream &amp; Compound Data'!AF218/$J163*(1-T$127)*(1-T$123)*$K224)</f>
        <v/>
      </c>
      <c r="U224" s="1222" t="str">
        <f>IF(OR(U$122="",I163=""),"",'I. Stream &amp; Compound Data'!AI218/$J163*(1-U$127)*(1-U$123)*$K224)</f>
        <v/>
      </c>
      <c r="V224" s="1222" t="str">
        <f>IF(OR(V$122="",I163=""),"",'I. Stream &amp; Compound Data'!AL218/$J163*(1-V$127)*(1-V$123)*$K224)</f>
        <v/>
      </c>
      <c r="W224" s="1222" t="str">
        <f>IF(OR(W$122="",I163=""),"",'I. Stream &amp; Compound Data'!AO218/$J163*(1-W$127)*(1-W$123)*$K224)</f>
        <v/>
      </c>
      <c r="X224" s="1222" t="str">
        <f>IF(OR(X$122="",I163=""),"",'I. Stream &amp; Compound Data'!AR218/$J163*(1-X$127)*(1-X$123)*$K224)</f>
        <v/>
      </c>
      <c r="Y224" s="1222" t="str">
        <f>IF(OR(Y$122="",I163=""),"",'I. Stream &amp; Compound Data'!AU218/$J163*(1-Y$127)*(1-Y$123)*$K224)</f>
        <v/>
      </c>
      <c r="Z224" s="1222" t="str">
        <f>IF(OR(Z$122="",I163=""),"",'I. Stream &amp; Compound Data'!AX218/$J163*(1-Z$127)*(1-Z$123)*$K224)</f>
        <v/>
      </c>
      <c r="AA224" s="1222" t="str">
        <f>IF(OR(AA$122="",I163=""),"",'I. Stream &amp; Compound Data'!BA218/$J163*(1-AA$127)*(1-AA$123)*$K224)</f>
        <v/>
      </c>
      <c r="AB224" s="1222" t="str">
        <f>IF(OR(AB$122="",I163=""),"",'I. Stream &amp; Compound Data'!BD218/$J163*(1-AB$127)*(1-AB$123)*$K224)</f>
        <v/>
      </c>
      <c r="AC224" s="1222" t="str">
        <f>IF(OR(AC$122="",I163=""),"",'I. Stream &amp; Compound Data'!BG218/$J163*(1-AC$127)*(1-AC$123)*$K224)</f>
        <v/>
      </c>
      <c r="AD224" s="1222" t="str">
        <f>IF(OR(AD$122="",I163=""),"",'I. Stream &amp; Compound Data'!BJ218/$J163*(1-AD$127)*(1-AD$123)*$K224)</f>
        <v/>
      </c>
      <c r="AE224" s="1222" t="str">
        <f>IF(OR(AE$122="",I163=""),"",'I. Stream &amp; Compound Data'!BM218/$J163*(1-AE$127)*(1-AE$123)*$K224)</f>
        <v/>
      </c>
      <c r="AF224" s="1222" t="str">
        <f>IF(OR(AF$122="",I163=""),"",'I. Stream &amp; Compound Data'!BP218/$J163*(1-AF$127)*(1-AF$123)*$K224)</f>
        <v/>
      </c>
      <c r="AG224" s="1222" t="str">
        <f>IF(OR(AG$122="",I163=""),"",'I. Stream &amp; Compound Data'!BS218/$J163*(1-AG$127)*(1-AG$123)*$K224)</f>
        <v/>
      </c>
      <c r="AH224" s="1222" t="str">
        <f>IF(OR(AH$122="",I163=""),"",'I. Stream &amp; Compound Data'!BV218/$J163*(1-AH$127)*(1-AH$123)*$K224)</f>
        <v/>
      </c>
      <c r="AI224" s="1222" t="str">
        <f>IF(OR(AI$122="",I163=""),"",'I. Stream &amp; Compound Data'!BY218/$J163*(1-AI$127)*(1-AI$123)*$K224)</f>
        <v/>
      </c>
      <c r="AJ224" s="1222" t="str">
        <f>IF(OR(AJ$122="",I163=""),"",'I. Stream &amp; Compound Data'!CB218/$J163*(1-AJ$127)*(1-AJ$123)*$K224)</f>
        <v/>
      </c>
      <c r="AK224" s="1222" t="str">
        <f>IF(OR(AK$122="",I163=""),"",'I. Stream &amp; Compound Data'!CE218/$J163*(1-AK$127)*(1-AK$123)*$K224)</f>
        <v/>
      </c>
      <c r="AL224" s="1222" t="str">
        <f>IF(OR(AL$122="",I163=""),"",'I. Stream &amp; Compound Data'!CH218/$J163*(1-AL$127)*(1-AL$123)*$K224)</f>
        <v/>
      </c>
      <c r="AM224" s="1222" t="str">
        <f>IF(OR(AM$122="",I163=""),"",'I. Stream &amp; Compound Data'!CK218/$J163*(1-AM$127)*(1-AM$123)*$K224)</f>
        <v/>
      </c>
      <c r="AN224" s="1222" t="str">
        <f>IF(OR(AN$122="",I163=""),"",'I. Stream &amp; Compound Data'!CN218/$J163*(1-AN$127)*(1-AN$123)*$K224)</f>
        <v/>
      </c>
      <c r="AO224" s="1222" t="str">
        <f>IF(OR(AO$122="",I163=""),"",'I. Stream &amp; Compound Data'!CQ218/$J163*(1-AO$127)*(1-AO$123)*$K224)</f>
        <v/>
      </c>
      <c r="AP224" s="1222" t="str">
        <f>IF(OR(AP$122="",I163=""),"",'I. Stream &amp; Compound Data'!CT218/$J163*(1-AP$127)*(1-AP$123)*$K224)</f>
        <v/>
      </c>
      <c r="AQ224" s="1222" t="str">
        <f>IF(OR(AQ$122="",I163=""),"",'I. Stream &amp; Compound Data'!CW218/$J163*(1-AQ$127)*(1-AQ$123)*$K224)</f>
        <v/>
      </c>
      <c r="AR224" s="1222" t="str">
        <f>IF(OR(AR$122="",I163=""),"",'I. Stream &amp; Compound Data'!CZ218/$J163*(1-AR$127)*(1-AR$123)*$K224)</f>
        <v/>
      </c>
      <c r="AS224" s="1222" t="str">
        <f>IF(OR(AS$122="",I163=""),"",'I. Stream &amp; Compound Data'!DC218/$J163*(1-AS$127)*(1-AS$123)*$K224)</f>
        <v/>
      </c>
      <c r="AT224" s="1222" t="str">
        <f>IF(OR(AT$122="",I163=""),"",'I. Stream &amp; Compound Data'!DF218/$J163*(1-AT$127)*(1-AT$123)*$K224)</f>
        <v/>
      </c>
      <c r="AU224" s="1222" t="str">
        <f>IF(OR(AU$122="",I163=""),"",'I. Stream &amp; Compound Data'!DI218/$J163*(1-AU$127)*(1-AU$123)*$K224)</f>
        <v/>
      </c>
      <c r="AV224" s="1222" t="str">
        <f>IF(OR(AV$122="",I163=""),"",'I. Stream &amp; Compound Data'!DL218/$J163*(1-AV$127)*(1-AV$123)*$K224)</f>
        <v/>
      </c>
      <c r="AW224" s="1222" t="str">
        <f>IF(OR(AW$122="",I163=""),"",'I. Stream &amp; Compound Data'!DO218/$J163*(1-AW$127)*(1-AW$123)*$K224)</f>
        <v/>
      </c>
      <c r="AX224" s="1222" t="str">
        <f>IF(OR(AX$122="",I163=""),"",'I. Stream &amp; Compound Data'!DR218/$J163*(1-AX$127)*(1-AX$123)*$K224)</f>
        <v/>
      </c>
      <c r="AY224" s="1516" t="str">
        <f>IF(OR(AY$122="",I163=""),"",'I. Stream &amp; Compound Data'!DU218/$J163*(1-AY$127)*(1-AY$123)*$K224)</f>
        <v/>
      </c>
      <c r="AZ224" s="279"/>
      <c r="BA224" s="279"/>
      <c r="BB224" s="279"/>
      <c r="BC224" s="279"/>
      <c r="BD224" s="279"/>
      <c r="BE224" s="279"/>
      <c r="BF224" s="279"/>
      <c r="BG224" s="279"/>
      <c r="BH224" s="279"/>
      <c r="BI224" s="279"/>
      <c r="BJ224" s="279"/>
      <c r="BK224" s="279"/>
      <c r="BL224" s="279"/>
      <c r="BM224" s="279"/>
      <c r="BN224" s="279"/>
      <c r="BO224" s="279"/>
      <c r="BP224" s="279"/>
      <c r="BQ224" s="279"/>
      <c r="BR224" s="279"/>
      <c r="BS224" s="279"/>
      <c r="BT224" s="279"/>
      <c r="BU224" s="279"/>
      <c r="BV224" s="279"/>
      <c r="BW224" s="279"/>
      <c r="BX224" s="279"/>
      <c r="BY224" s="279"/>
      <c r="BZ224" s="279"/>
      <c r="CA224" s="279"/>
      <c r="CB224" s="279"/>
      <c r="CC224" s="279"/>
      <c r="CD224" s="279"/>
      <c r="CE224" s="279"/>
      <c r="CF224" s="279"/>
      <c r="CG224" s="279"/>
      <c r="CH224" s="279"/>
      <c r="CI224" s="279"/>
      <c r="CJ224" s="279"/>
      <c r="CK224" s="279"/>
      <c r="CL224" s="279"/>
      <c r="CM224" s="279"/>
      <c r="CN224" s="382"/>
    </row>
    <row r="225" ht="15.6" x14ac:dyDescent="0.25">
      <c r="B225" s="361"/>
      <c r="C225" s="279"/>
      <c r="D225" s="280"/>
      <c r="E225" s="287"/>
      <c r="F225" s="287"/>
      <c r="G225" s="287"/>
      <c r="H225" s="280"/>
      <c r="I225" s="304"/>
      <c r="J225" s="1292">
        <f t="shared" si="23"/>
        <v>34</v>
      </c>
      <c r="K225" s="1242" t="str">
        <f>IF('I. Stream &amp; Compound Data'!G295="","",IF('I. Stream &amp; Compound Data'!V295=1,0,1))</f>
        <v/>
      </c>
      <c r="L225" s="1242" t="str">
        <f>IF(OR(L$122="",I164=""),"",'I. Stream &amp; Compound Data'!H219/$J164*(1-L$127)*(1-L$123)*$K225)</f>
        <v/>
      </c>
      <c r="M225" s="1242" t="str">
        <f>IF(OR(M$122="",I164=""),"",'I. Stream &amp; Compound Data'!K219/$J164*(1-M$127)*(1-M$123)*$K225)</f>
        <v/>
      </c>
      <c r="N225" s="1306" t="str">
        <f>IF(OR(N$122="",I164=""),"",'I. Stream &amp; Compound Data'!N219/$J164*(1-N$127)*(1-N$123)*$K225)</f>
        <v/>
      </c>
      <c r="O225" s="1242" t="str">
        <f>IF(OR(O$122="",I164=""),"",'I. Stream &amp; Compound Data'!Q219/$J164*(1-O$127)*(1-O$123)*$K225)</f>
        <v/>
      </c>
      <c r="P225" s="1242" t="str">
        <f>IF(OR(P$122="",I164=""),"",'I. Stream &amp; Compound Data'!T219/$J164*(1-P$127)*(1-P$123)*$K225)</f>
        <v/>
      </c>
      <c r="Q225" s="202" t="str">
        <f>IF(OR(Q$122="",I164=""),"",'I. Stream &amp; Compound Data'!W219/$J164*(1-Q$127)*(1-Q$123)*$K225)</f>
        <v/>
      </c>
      <c r="R225" s="1168" t="str">
        <f>IF(OR(R$122="",I164=""),"",'I. Stream &amp; Compound Data'!Z219/$J164*(1-R$127)*(1-R$123)*$K225)</f>
        <v/>
      </c>
      <c r="S225" s="1168" t="str">
        <f>IF(OR(S$122="",I164=""),"",'I. Stream &amp; Compound Data'!AC219/$J164*(1-S$127)*(1-S$123)*$K225)</f>
        <v/>
      </c>
      <c r="T225" s="1168" t="str">
        <f>IF(OR(T$122="",I164=""),"",'I. Stream &amp; Compound Data'!AF219/$J164*(1-T$127)*(1-T$123)*$K225)</f>
        <v/>
      </c>
      <c r="U225" s="1222" t="str">
        <f>IF(OR(U$122="",I164=""),"",'I. Stream &amp; Compound Data'!AI219/$J164*(1-U$127)*(1-U$123)*$K225)</f>
        <v/>
      </c>
      <c r="V225" s="1222" t="str">
        <f>IF(OR(V$122="",I164=""),"",'I. Stream &amp; Compound Data'!AL219/$J164*(1-V$127)*(1-V$123)*$K225)</f>
        <v/>
      </c>
      <c r="W225" s="1222" t="str">
        <f>IF(OR(W$122="",I164=""),"",'I. Stream &amp; Compound Data'!AO219/$J164*(1-W$127)*(1-W$123)*$K225)</f>
        <v/>
      </c>
      <c r="X225" s="1222" t="str">
        <f>IF(OR(X$122="",I164=""),"",'I. Stream &amp; Compound Data'!AR219/$J164*(1-X$127)*(1-X$123)*$K225)</f>
        <v/>
      </c>
      <c r="Y225" s="1222" t="str">
        <f>IF(OR(Y$122="",I164=""),"",'I. Stream &amp; Compound Data'!AU219/$J164*(1-Y$127)*(1-Y$123)*$K225)</f>
        <v/>
      </c>
      <c r="Z225" s="1222" t="str">
        <f>IF(OR(Z$122="",I164=""),"",'I. Stream &amp; Compound Data'!AX219/$J164*(1-Z$127)*(1-Z$123)*$K225)</f>
        <v/>
      </c>
      <c r="AA225" s="1222" t="str">
        <f>IF(OR(AA$122="",I164=""),"",'I. Stream &amp; Compound Data'!BA219/$J164*(1-AA$127)*(1-AA$123)*$K225)</f>
        <v/>
      </c>
      <c r="AB225" s="1222" t="str">
        <f>IF(OR(AB$122="",I164=""),"",'I. Stream &amp; Compound Data'!BD219/$J164*(1-AB$127)*(1-AB$123)*$K225)</f>
        <v/>
      </c>
      <c r="AC225" s="1222" t="str">
        <f>IF(OR(AC$122="",I164=""),"",'I. Stream &amp; Compound Data'!BG219/$J164*(1-AC$127)*(1-AC$123)*$K225)</f>
        <v/>
      </c>
      <c r="AD225" s="1222" t="str">
        <f>IF(OR(AD$122="",I164=""),"",'I. Stream &amp; Compound Data'!BJ219/$J164*(1-AD$127)*(1-AD$123)*$K225)</f>
        <v/>
      </c>
      <c r="AE225" s="1222" t="str">
        <f>IF(OR(AE$122="",I164=""),"",'I. Stream &amp; Compound Data'!BM219/$J164*(1-AE$127)*(1-AE$123)*$K225)</f>
        <v/>
      </c>
      <c r="AF225" s="1222" t="str">
        <f>IF(OR(AF$122="",I164=""),"",'I. Stream &amp; Compound Data'!BP219/$J164*(1-AF$127)*(1-AF$123)*$K225)</f>
        <v/>
      </c>
      <c r="AG225" s="1222" t="str">
        <f>IF(OR(AG$122="",I164=""),"",'I. Stream &amp; Compound Data'!BS219/$J164*(1-AG$127)*(1-AG$123)*$K225)</f>
        <v/>
      </c>
      <c r="AH225" s="1222" t="str">
        <f>IF(OR(AH$122="",I164=""),"",'I. Stream &amp; Compound Data'!BV219/$J164*(1-AH$127)*(1-AH$123)*$K225)</f>
        <v/>
      </c>
      <c r="AI225" s="1222" t="str">
        <f>IF(OR(AI$122="",I164=""),"",'I. Stream &amp; Compound Data'!BY219/$J164*(1-AI$127)*(1-AI$123)*$K225)</f>
        <v/>
      </c>
      <c r="AJ225" s="1222" t="str">
        <f>IF(OR(AJ$122="",I164=""),"",'I. Stream &amp; Compound Data'!CB219/$J164*(1-AJ$127)*(1-AJ$123)*$K225)</f>
        <v/>
      </c>
      <c r="AK225" s="1222" t="str">
        <f>IF(OR(AK$122="",I164=""),"",'I. Stream &amp; Compound Data'!CE219/$J164*(1-AK$127)*(1-AK$123)*$K225)</f>
        <v/>
      </c>
      <c r="AL225" s="1222" t="str">
        <f>IF(OR(AL$122="",I164=""),"",'I. Stream &amp; Compound Data'!CH219/$J164*(1-AL$127)*(1-AL$123)*$K225)</f>
        <v/>
      </c>
      <c r="AM225" s="1222" t="str">
        <f>IF(OR(AM$122="",I164=""),"",'I. Stream &amp; Compound Data'!CK219/$J164*(1-AM$127)*(1-AM$123)*$K225)</f>
        <v/>
      </c>
      <c r="AN225" s="1222" t="str">
        <f>IF(OR(AN$122="",I164=""),"",'I. Stream &amp; Compound Data'!CN219/$J164*(1-AN$127)*(1-AN$123)*$K225)</f>
        <v/>
      </c>
      <c r="AO225" s="1222" t="str">
        <f>IF(OR(AO$122="",I164=""),"",'I. Stream &amp; Compound Data'!CQ219/$J164*(1-AO$127)*(1-AO$123)*$K225)</f>
        <v/>
      </c>
      <c r="AP225" s="1222" t="str">
        <f>IF(OR(AP$122="",I164=""),"",'I. Stream &amp; Compound Data'!CT219/$J164*(1-AP$127)*(1-AP$123)*$K225)</f>
        <v/>
      </c>
      <c r="AQ225" s="1222" t="str">
        <f>IF(OR(AQ$122="",I164=""),"",'I. Stream &amp; Compound Data'!CW219/$J164*(1-AQ$127)*(1-AQ$123)*$K225)</f>
        <v/>
      </c>
      <c r="AR225" s="1222" t="str">
        <f>IF(OR(AR$122="",I164=""),"",'I. Stream &amp; Compound Data'!CZ219/$J164*(1-AR$127)*(1-AR$123)*$K225)</f>
        <v/>
      </c>
      <c r="AS225" s="1222" t="str">
        <f>IF(OR(AS$122="",I164=""),"",'I. Stream &amp; Compound Data'!DC219/$J164*(1-AS$127)*(1-AS$123)*$K225)</f>
        <v/>
      </c>
      <c r="AT225" s="1222" t="str">
        <f>IF(OR(AT$122="",I164=""),"",'I. Stream &amp; Compound Data'!DF219/$J164*(1-AT$127)*(1-AT$123)*$K225)</f>
        <v/>
      </c>
      <c r="AU225" s="1222" t="str">
        <f>IF(OR(AU$122="",I164=""),"",'I. Stream &amp; Compound Data'!DI219/$J164*(1-AU$127)*(1-AU$123)*$K225)</f>
        <v/>
      </c>
      <c r="AV225" s="1222" t="str">
        <f>IF(OR(AV$122="",I164=""),"",'I. Stream &amp; Compound Data'!DL219/$J164*(1-AV$127)*(1-AV$123)*$K225)</f>
        <v/>
      </c>
      <c r="AW225" s="1222" t="str">
        <f>IF(OR(AW$122="",I164=""),"",'I. Stream &amp; Compound Data'!DO219/$J164*(1-AW$127)*(1-AW$123)*$K225)</f>
        <v/>
      </c>
      <c r="AX225" s="1222" t="str">
        <f>IF(OR(AX$122="",I164=""),"",'I. Stream &amp; Compound Data'!DR219/$J164*(1-AX$127)*(1-AX$123)*$K225)</f>
        <v/>
      </c>
      <c r="AY225" s="1516" t="str">
        <f>IF(OR(AY$122="",I164=""),"",'I. Stream &amp; Compound Data'!DU219/$J164*(1-AY$127)*(1-AY$123)*$K225)</f>
        <v/>
      </c>
      <c r="AZ225" s="279"/>
      <c r="BA225" s="279"/>
      <c r="BB225" s="279"/>
      <c r="BC225" s="279"/>
      <c r="BD225" s="279"/>
      <c r="BE225" s="279"/>
      <c r="BF225" s="279"/>
      <c r="BG225" s="279"/>
      <c r="BH225" s="279"/>
      <c r="BI225" s="279"/>
      <c r="BJ225" s="279"/>
      <c r="BK225" s="279"/>
      <c r="BL225" s="279"/>
      <c r="BM225" s="279"/>
      <c r="BN225" s="279"/>
      <c r="BO225" s="279"/>
      <c r="BP225" s="279"/>
      <c r="BQ225" s="279"/>
      <c r="BR225" s="279"/>
      <c r="BS225" s="279"/>
      <c r="BT225" s="279"/>
      <c r="BU225" s="279"/>
      <c r="BV225" s="279"/>
      <c r="BW225" s="279"/>
      <c r="BX225" s="279"/>
      <c r="BY225" s="279"/>
      <c r="BZ225" s="279"/>
      <c r="CA225" s="279"/>
      <c r="CB225" s="279"/>
      <c r="CC225" s="279"/>
      <c r="CD225" s="279"/>
      <c r="CE225" s="279"/>
      <c r="CF225" s="279"/>
      <c r="CG225" s="279"/>
      <c r="CH225" s="279"/>
      <c r="CI225" s="279"/>
      <c r="CJ225" s="279"/>
      <c r="CK225" s="279"/>
      <c r="CL225" s="279"/>
      <c r="CM225" s="279"/>
      <c r="CN225" s="382"/>
    </row>
    <row r="226" ht="15.6" x14ac:dyDescent="0.25">
      <c r="B226" s="361"/>
      <c r="C226" s="279"/>
      <c r="D226" s="280"/>
      <c r="E226" s="287"/>
      <c r="F226" s="287"/>
      <c r="G226" s="287"/>
      <c r="H226" s="280"/>
      <c r="I226" s="304"/>
      <c r="J226" s="1292">
        <f t="shared" si="23"/>
        <v>35</v>
      </c>
      <c r="K226" s="1242" t="str">
        <f>IF('I. Stream &amp; Compound Data'!G296="","",IF('I. Stream &amp; Compound Data'!V296=1,0,1))</f>
        <v/>
      </c>
      <c r="L226" s="1242" t="str">
        <f>IF(OR(L$122="",I165=""),"",'I. Stream &amp; Compound Data'!H220/$J165*(1-L$127)*(1-L$123)*$K226)</f>
        <v/>
      </c>
      <c r="M226" s="1242" t="str">
        <f>IF(OR(M$122="",I165=""),"",'I. Stream &amp; Compound Data'!K220/$J165*(1-M$127)*(1-M$123)*$K226)</f>
        <v/>
      </c>
      <c r="N226" s="1306" t="str">
        <f>IF(OR(N$122="",I165=""),"",'I. Stream &amp; Compound Data'!N220/$J165*(1-N$127)*(1-N$123)*$K226)</f>
        <v/>
      </c>
      <c r="O226" s="1242" t="str">
        <f>IF(OR(O$122="",I165=""),"",'I. Stream &amp; Compound Data'!Q220/$J165*(1-O$127)*(1-O$123)*$K226)</f>
        <v/>
      </c>
      <c r="P226" s="1242" t="str">
        <f>IF(OR(P$122="",I165=""),"",'I. Stream &amp; Compound Data'!T220/$J165*(1-P$127)*(1-P$123)*$K226)</f>
        <v/>
      </c>
      <c r="Q226" s="202" t="str">
        <f>IF(OR(Q$122="",I165=""),"",'I. Stream &amp; Compound Data'!W220/$J165*(1-Q$127)*(1-Q$123)*$K226)</f>
        <v/>
      </c>
      <c r="R226" s="1168" t="str">
        <f>IF(OR(R$122="",I165=""),"",'I. Stream &amp; Compound Data'!Z220/$J165*(1-R$127)*(1-R$123)*$K226)</f>
        <v/>
      </c>
      <c r="S226" s="1168" t="str">
        <f>IF(OR(S$122="",I165=""),"",'I. Stream &amp; Compound Data'!AC220/$J165*(1-S$127)*(1-S$123)*$K226)</f>
        <v/>
      </c>
      <c r="T226" s="1168" t="str">
        <f>IF(OR(T$122="",I165=""),"",'I. Stream &amp; Compound Data'!AF220/$J165*(1-T$127)*(1-T$123)*$K226)</f>
        <v/>
      </c>
      <c r="U226" s="1222" t="str">
        <f>IF(OR(U$122="",I165=""),"",'I. Stream &amp; Compound Data'!AI220/$J165*(1-U$127)*(1-U$123)*$K226)</f>
        <v/>
      </c>
      <c r="V226" s="1222" t="str">
        <f>IF(OR(V$122="",I165=""),"",'I. Stream &amp; Compound Data'!AL220/$J165*(1-V$127)*(1-V$123)*$K226)</f>
        <v/>
      </c>
      <c r="W226" s="1222" t="str">
        <f>IF(OR(W$122="",I165=""),"",'I. Stream &amp; Compound Data'!AO220/$J165*(1-W$127)*(1-W$123)*$K226)</f>
        <v/>
      </c>
      <c r="X226" s="1222" t="str">
        <f>IF(OR(X$122="",I165=""),"",'I. Stream &amp; Compound Data'!AR220/$J165*(1-X$127)*(1-X$123)*$K226)</f>
        <v/>
      </c>
      <c r="Y226" s="1222" t="str">
        <f>IF(OR(Y$122="",I165=""),"",'I. Stream &amp; Compound Data'!AU220/$J165*(1-Y$127)*(1-Y$123)*$K226)</f>
        <v/>
      </c>
      <c r="Z226" s="1222" t="str">
        <f>IF(OR(Z$122="",I165=""),"",'I. Stream &amp; Compound Data'!AX220/$J165*(1-Z$127)*(1-Z$123)*$K226)</f>
        <v/>
      </c>
      <c r="AA226" s="1222" t="str">
        <f>IF(OR(AA$122="",I165=""),"",'I. Stream &amp; Compound Data'!BA220/$J165*(1-AA$127)*(1-AA$123)*$K226)</f>
        <v/>
      </c>
      <c r="AB226" s="1222" t="str">
        <f>IF(OR(AB$122="",I165=""),"",'I. Stream &amp; Compound Data'!BD220/$J165*(1-AB$127)*(1-AB$123)*$K226)</f>
        <v/>
      </c>
      <c r="AC226" s="1222" t="str">
        <f>IF(OR(AC$122="",I165=""),"",'I. Stream &amp; Compound Data'!BG220/$J165*(1-AC$127)*(1-AC$123)*$K226)</f>
        <v/>
      </c>
      <c r="AD226" s="1222" t="str">
        <f>IF(OR(AD$122="",I165=""),"",'I. Stream &amp; Compound Data'!BJ220/$J165*(1-AD$127)*(1-AD$123)*$K226)</f>
        <v/>
      </c>
      <c r="AE226" s="1222" t="str">
        <f>IF(OR(AE$122="",I165=""),"",'I. Stream &amp; Compound Data'!BM220/$J165*(1-AE$127)*(1-AE$123)*$K226)</f>
        <v/>
      </c>
      <c r="AF226" s="1222" t="str">
        <f>IF(OR(AF$122="",I165=""),"",'I. Stream &amp; Compound Data'!BP220/$J165*(1-AF$127)*(1-AF$123)*$K226)</f>
        <v/>
      </c>
      <c r="AG226" s="1222" t="str">
        <f>IF(OR(AG$122="",I165=""),"",'I. Stream &amp; Compound Data'!BS220/$J165*(1-AG$127)*(1-AG$123)*$K226)</f>
        <v/>
      </c>
      <c r="AH226" s="1222" t="str">
        <f>IF(OR(AH$122="",I165=""),"",'I. Stream &amp; Compound Data'!BV220/$J165*(1-AH$127)*(1-AH$123)*$K226)</f>
        <v/>
      </c>
      <c r="AI226" s="1222" t="str">
        <f>IF(OR(AI$122="",I165=""),"",'I. Stream &amp; Compound Data'!BY220/$J165*(1-AI$127)*(1-AI$123)*$K226)</f>
        <v/>
      </c>
      <c r="AJ226" s="1222" t="str">
        <f>IF(OR(AJ$122="",I165=""),"",'I. Stream &amp; Compound Data'!CB220/$J165*(1-AJ$127)*(1-AJ$123)*$K226)</f>
        <v/>
      </c>
      <c r="AK226" s="1222" t="str">
        <f>IF(OR(AK$122="",I165=""),"",'I. Stream &amp; Compound Data'!CE220/$J165*(1-AK$127)*(1-AK$123)*$K226)</f>
        <v/>
      </c>
      <c r="AL226" s="1222" t="str">
        <f>IF(OR(AL$122="",I165=""),"",'I. Stream &amp; Compound Data'!CH220/$J165*(1-AL$127)*(1-AL$123)*$K226)</f>
        <v/>
      </c>
      <c r="AM226" s="1222" t="str">
        <f>IF(OR(AM$122="",I165=""),"",'I. Stream &amp; Compound Data'!CK220/$J165*(1-AM$127)*(1-AM$123)*$K226)</f>
        <v/>
      </c>
      <c r="AN226" s="1222" t="str">
        <f>IF(OR(AN$122="",I165=""),"",'I. Stream &amp; Compound Data'!CN220/$J165*(1-AN$127)*(1-AN$123)*$K226)</f>
        <v/>
      </c>
      <c r="AO226" s="1222" t="str">
        <f>IF(OR(AO$122="",I165=""),"",'I. Stream &amp; Compound Data'!CQ220/$J165*(1-AO$127)*(1-AO$123)*$K226)</f>
        <v/>
      </c>
      <c r="AP226" s="1222" t="str">
        <f>IF(OR(AP$122="",I165=""),"",'I. Stream &amp; Compound Data'!CT220/$J165*(1-AP$127)*(1-AP$123)*$K226)</f>
        <v/>
      </c>
      <c r="AQ226" s="1222" t="str">
        <f>IF(OR(AQ$122="",I165=""),"",'I. Stream &amp; Compound Data'!CW220/$J165*(1-AQ$127)*(1-AQ$123)*$K226)</f>
        <v/>
      </c>
      <c r="AR226" s="1222" t="str">
        <f>IF(OR(AR$122="",I165=""),"",'I. Stream &amp; Compound Data'!CZ220/$J165*(1-AR$127)*(1-AR$123)*$K226)</f>
        <v/>
      </c>
      <c r="AS226" s="1222" t="str">
        <f>IF(OR(AS$122="",I165=""),"",'I. Stream &amp; Compound Data'!DC220/$J165*(1-AS$127)*(1-AS$123)*$K226)</f>
        <v/>
      </c>
      <c r="AT226" s="1222" t="str">
        <f>IF(OR(AT$122="",I165=""),"",'I. Stream &amp; Compound Data'!DF220/$J165*(1-AT$127)*(1-AT$123)*$K226)</f>
        <v/>
      </c>
      <c r="AU226" s="1222" t="str">
        <f>IF(OR(AU$122="",I165=""),"",'I. Stream &amp; Compound Data'!DI220/$J165*(1-AU$127)*(1-AU$123)*$K226)</f>
        <v/>
      </c>
      <c r="AV226" s="1222" t="str">
        <f>IF(OR(AV$122="",I165=""),"",'I. Stream &amp; Compound Data'!DL220/$J165*(1-AV$127)*(1-AV$123)*$K226)</f>
        <v/>
      </c>
      <c r="AW226" s="1222" t="str">
        <f>IF(OR(AW$122="",I165=""),"",'I. Stream &amp; Compound Data'!DO220/$J165*(1-AW$127)*(1-AW$123)*$K226)</f>
        <v/>
      </c>
      <c r="AX226" s="1222" t="str">
        <f>IF(OR(AX$122="",I165=""),"",'I. Stream &amp; Compound Data'!DR220/$J165*(1-AX$127)*(1-AX$123)*$K226)</f>
        <v/>
      </c>
      <c r="AY226" s="1516" t="str">
        <f>IF(OR(AY$122="",I165=""),"",'I. Stream &amp; Compound Data'!DU220/$J165*(1-AY$127)*(1-AY$123)*$K226)</f>
        <v/>
      </c>
      <c r="AZ226" s="279"/>
      <c r="BA226" s="279"/>
      <c r="BB226" s="279"/>
      <c r="BC226" s="279"/>
      <c r="BD226" s="279"/>
      <c r="BE226" s="279"/>
      <c r="BF226" s="279"/>
      <c r="BG226" s="279"/>
      <c r="BH226" s="279"/>
      <c r="BI226" s="279"/>
      <c r="BJ226" s="279"/>
      <c r="BK226" s="279"/>
      <c r="BL226" s="279"/>
      <c r="BM226" s="279"/>
      <c r="BN226" s="279"/>
      <c r="BO226" s="279"/>
      <c r="BP226" s="279"/>
      <c r="BQ226" s="279"/>
      <c r="BR226" s="279"/>
      <c r="BS226" s="279"/>
      <c r="BT226" s="279"/>
      <c r="BU226" s="279"/>
      <c r="BV226" s="279"/>
      <c r="BW226" s="279"/>
      <c r="BX226" s="279"/>
      <c r="BY226" s="279"/>
      <c r="BZ226" s="279"/>
      <c r="CA226" s="279"/>
      <c r="CB226" s="279"/>
      <c r="CC226" s="279"/>
      <c r="CD226" s="279"/>
      <c r="CE226" s="279"/>
      <c r="CF226" s="279"/>
      <c r="CG226" s="279"/>
      <c r="CH226" s="279"/>
      <c r="CI226" s="279"/>
      <c r="CJ226" s="279"/>
      <c r="CK226" s="279"/>
      <c r="CL226" s="279"/>
      <c r="CM226" s="279"/>
      <c r="CN226" s="382"/>
    </row>
    <row r="227" ht="15.6" x14ac:dyDescent="0.25">
      <c r="B227" s="361"/>
      <c r="C227" s="279"/>
      <c r="D227" s="280"/>
      <c r="E227" s="287"/>
      <c r="F227" s="287"/>
      <c r="G227" s="287"/>
      <c r="H227" s="280"/>
      <c r="I227" s="304"/>
      <c r="J227" s="1292">
        <f t="shared" si="23"/>
        <v>36</v>
      </c>
      <c r="K227" s="1242" t="str">
        <f>IF('I. Stream &amp; Compound Data'!G297="","",IF('I. Stream &amp; Compound Data'!V297=1,0,1))</f>
        <v/>
      </c>
      <c r="L227" s="1242" t="str">
        <f>IF(OR(L$122="",I166=""),"",'I. Stream &amp; Compound Data'!H221/$J166*(1-L$127)*(1-L$123)*$K227)</f>
        <v/>
      </c>
      <c r="M227" s="1242" t="str">
        <f>IF(OR(M$122="",I166=""),"",'I. Stream &amp; Compound Data'!K221/$J166*(1-M$127)*(1-M$123)*$K227)</f>
        <v/>
      </c>
      <c r="N227" s="1306" t="str">
        <f>IF(OR(N$122="",I166=""),"",'I. Stream &amp; Compound Data'!N221/$J166*(1-N$127)*(1-N$123)*$K227)</f>
        <v/>
      </c>
      <c r="O227" s="1242" t="str">
        <f>IF(OR(O$122="",I166=""),"",'I. Stream &amp; Compound Data'!Q221/$J166*(1-O$127)*(1-O$123)*$K227)</f>
        <v/>
      </c>
      <c r="P227" s="1242" t="str">
        <f>IF(OR(P$122="",I166=""),"",'I. Stream &amp; Compound Data'!T221/$J166*(1-P$127)*(1-P$123)*$K227)</f>
        <v/>
      </c>
      <c r="Q227" s="202" t="str">
        <f>IF(OR(Q$122="",I166=""),"",'I. Stream &amp; Compound Data'!W221/$J166*(1-Q$127)*(1-Q$123)*$K227)</f>
        <v/>
      </c>
      <c r="R227" s="1168" t="str">
        <f>IF(OR(R$122="",I166=""),"",'I. Stream &amp; Compound Data'!Z221/$J166*(1-R$127)*(1-R$123)*$K227)</f>
        <v/>
      </c>
      <c r="S227" s="1168" t="str">
        <f>IF(OR(S$122="",I166=""),"",'I. Stream &amp; Compound Data'!AC221/$J166*(1-S$127)*(1-S$123)*$K227)</f>
        <v/>
      </c>
      <c r="T227" s="1168" t="str">
        <f>IF(OR(T$122="",I166=""),"",'I. Stream &amp; Compound Data'!AF221/$J166*(1-T$127)*(1-T$123)*$K227)</f>
        <v/>
      </c>
      <c r="U227" s="1222" t="str">
        <f>IF(OR(U$122="",I166=""),"",'I. Stream &amp; Compound Data'!AI221/$J166*(1-U$127)*(1-U$123)*$K227)</f>
        <v/>
      </c>
      <c r="V227" s="1222" t="str">
        <f>IF(OR(V$122="",I166=""),"",'I. Stream &amp; Compound Data'!AL221/$J166*(1-V$127)*(1-V$123)*$K227)</f>
        <v/>
      </c>
      <c r="W227" s="1222" t="str">
        <f>IF(OR(W$122="",I166=""),"",'I. Stream &amp; Compound Data'!AO221/$J166*(1-W$127)*(1-W$123)*$K227)</f>
        <v/>
      </c>
      <c r="X227" s="1222" t="str">
        <f>IF(OR(X$122="",I166=""),"",'I. Stream &amp; Compound Data'!AR221/$J166*(1-X$127)*(1-X$123)*$K227)</f>
        <v/>
      </c>
      <c r="Y227" s="1222" t="str">
        <f>IF(OR(Y$122="",I166=""),"",'I. Stream &amp; Compound Data'!AU221/$J166*(1-Y$127)*(1-Y$123)*$K227)</f>
        <v/>
      </c>
      <c r="Z227" s="1222" t="str">
        <f>IF(OR(Z$122="",I166=""),"",'I. Stream &amp; Compound Data'!AX221/$J166*(1-Z$127)*(1-Z$123)*$K227)</f>
        <v/>
      </c>
      <c r="AA227" s="1222" t="str">
        <f>IF(OR(AA$122="",I166=""),"",'I. Stream &amp; Compound Data'!BA221/$J166*(1-AA$127)*(1-AA$123)*$K227)</f>
        <v/>
      </c>
      <c r="AB227" s="1222" t="str">
        <f>IF(OR(AB$122="",I166=""),"",'I. Stream &amp; Compound Data'!BD221/$J166*(1-AB$127)*(1-AB$123)*$K227)</f>
        <v/>
      </c>
      <c r="AC227" s="1222" t="str">
        <f>IF(OR(AC$122="",I166=""),"",'I. Stream &amp; Compound Data'!BG221/$J166*(1-AC$127)*(1-AC$123)*$K227)</f>
        <v/>
      </c>
      <c r="AD227" s="1222" t="str">
        <f>IF(OR(AD$122="",I166=""),"",'I. Stream &amp; Compound Data'!BJ221/$J166*(1-AD$127)*(1-AD$123)*$K227)</f>
        <v/>
      </c>
      <c r="AE227" s="1222" t="str">
        <f>IF(OR(AE$122="",I166=""),"",'I. Stream &amp; Compound Data'!BM221/$J166*(1-AE$127)*(1-AE$123)*$K227)</f>
        <v/>
      </c>
      <c r="AF227" s="1222" t="str">
        <f>IF(OR(AF$122="",I166=""),"",'I. Stream &amp; Compound Data'!BP221/$J166*(1-AF$127)*(1-AF$123)*$K227)</f>
        <v/>
      </c>
      <c r="AG227" s="1222" t="str">
        <f>IF(OR(AG$122="",I166=""),"",'I. Stream &amp; Compound Data'!BS221/$J166*(1-AG$127)*(1-AG$123)*$K227)</f>
        <v/>
      </c>
      <c r="AH227" s="1222" t="str">
        <f>IF(OR(AH$122="",I166=""),"",'I. Stream &amp; Compound Data'!BV221/$J166*(1-AH$127)*(1-AH$123)*$K227)</f>
        <v/>
      </c>
      <c r="AI227" s="1222" t="str">
        <f>IF(OR(AI$122="",I166=""),"",'I. Stream &amp; Compound Data'!BY221/$J166*(1-AI$127)*(1-AI$123)*$K227)</f>
        <v/>
      </c>
      <c r="AJ227" s="1222" t="str">
        <f>IF(OR(AJ$122="",I166=""),"",'I. Stream &amp; Compound Data'!CB221/$J166*(1-AJ$127)*(1-AJ$123)*$K227)</f>
        <v/>
      </c>
      <c r="AK227" s="1222" t="str">
        <f>IF(OR(AK$122="",I166=""),"",'I. Stream &amp; Compound Data'!CE221/$J166*(1-AK$127)*(1-AK$123)*$K227)</f>
        <v/>
      </c>
      <c r="AL227" s="1222" t="str">
        <f>IF(OR(AL$122="",I166=""),"",'I. Stream &amp; Compound Data'!CH221/$J166*(1-AL$127)*(1-AL$123)*$K227)</f>
        <v/>
      </c>
      <c r="AM227" s="1222" t="str">
        <f>IF(OR(AM$122="",I166=""),"",'I. Stream &amp; Compound Data'!CK221/$J166*(1-AM$127)*(1-AM$123)*$K227)</f>
        <v/>
      </c>
      <c r="AN227" s="1222" t="str">
        <f>IF(OR(AN$122="",I166=""),"",'I. Stream &amp; Compound Data'!CN221/$J166*(1-AN$127)*(1-AN$123)*$K227)</f>
        <v/>
      </c>
      <c r="AO227" s="1222" t="str">
        <f>IF(OR(AO$122="",I166=""),"",'I. Stream &amp; Compound Data'!CQ221/$J166*(1-AO$127)*(1-AO$123)*$K227)</f>
        <v/>
      </c>
      <c r="AP227" s="1222" t="str">
        <f>IF(OR(AP$122="",I166=""),"",'I. Stream &amp; Compound Data'!CT221/$J166*(1-AP$127)*(1-AP$123)*$K227)</f>
        <v/>
      </c>
      <c r="AQ227" s="1222" t="str">
        <f>IF(OR(AQ$122="",I166=""),"",'I. Stream &amp; Compound Data'!CW221/$J166*(1-AQ$127)*(1-AQ$123)*$K227)</f>
        <v/>
      </c>
      <c r="AR227" s="1222" t="str">
        <f>IF(OR(AR$122="",I166=""),"",'I. Stream &amp; Compound Data'!CZ221/$J166*(1-AR$127)*(1-AR$123)*$K227)</f>
        <v/>
      </c>
      <c r="AS227" s="1222" t="str">
        <f>IF(OR(AS$122="",I166=""),"",'I. Stream &amp; Compound Data'!DC221/$J166*(1-AS$127)*(1-AS$123)*$K227)</f>
        <v/>
      </c>
      <c r="AT227" s="1222" t="str">
        <f>IF(OR(AT$122="",I166=""),"",'I. Stream &amp; Compound Data'!DF221/$J166*(1-AT$127)*(1-AT$123)*$K227)</f>
        <v/>
      </c>
      <c r="AU227" s="1222" t="str">
        <f>IF(OR(AU$122="",I166=""),"",'I. Stream &amp; Compound Data'!DI221/$J166*(1-AU$127)*(1-AU$123)*$K227)</f>
        <v/>
      </c>
      <c r="AV227" s="1222" t="str">
        <f>IF(OR(AV$122="",I166=""),"",'I. Stream &amp; Compound Data'!DL221/$J166*(1-AV$127)*(1-AV$123)*$K227)</f>
        <v/>
      </c>
      <c r="AW227" s="1222" t="str">
        <f>IF(OR(AW$122="",I166=""),"",'I. Stream &amp; Compound Data'!DO221/$J166*(1-AW$127)*(1-AW$123)*$K227)</f>
        <v/>
      </c>
      <c r="AX227" s="1222" t="str">
        <f>IF(OR(AX$122="",I166=""),"",'I. Stream &amp; Compound Data'!DR221/$J166*(1-AX$127)*(1-AX$123)*$K227)</f>
        <v/>
      </c>
      <c r="AY227" s="1516" t="str">
        <f>IF(OR(AY$122="",I166=""),"",'I. Stream &amp; Compound Data'!DU221/$J166*(1-AY$127)*(1-AY$123)*$K227)</f>
        <v/>
      </c>
      <c r="AZ227" s="279"/>
      <c r="BA227" s="279"/>
      <c r="BB227" s="279"/>
      <c r="BC227" s="279"/>
      <c r="BD227" s="279"/>
      <c r="BE227" s="279"/>
      <c r="BF227" s="279"/>
      <c r="BG227" s="279"/>
      <c r="BH227" s="279"/>
      <c r="BI227" s="279"/>
      <c r="BJ227" s="279"/>
      <c r="BK227" s="279"/>
      <c r="BL227" s="279"/>
      <c r="BM227" s="279"/>
      <c r="BN227" s="279"/>
      <c r="BO227" s="279"/>
      <c r="BP227" s="279"/>
      <c r="BQ227" s="279"/>
      <c r="BR227" s="279"/>
      <c r="BS227" s="279"/>
      <c r="BT227" s="279"/>
      <c r="BU227" s="279"/>
      <c r="BV227" s="279"/>
      <c r="BW227" s="279"/>
      <c r="BX227" s="279"/>
      <c r="BY227" s="279"/>
      <c r="BZ227" s="279"/>
      <c r="CA227" s="279"/>
      <c r="CB227" s="279"/>
      <c r="CC227" s="279"/>
      <c r="CD227" s="279"/>
      <c r="CE227" s="279"/>
      <c r="CF227" s="279"/>
      <c r="CG227" s="279"/>
      <c r="CH227" s="279"/>
      <c r="CI227" s="279"/>
      <c r="CJ227" s="279"/>
      <c r="CK227" s="279"/>
      <c r="CL227" s="279"/>
      <c r="CM227" s="279"/>
      <c r="CN227" s="382"/>
    </row>
    <row r="228" ht="15.6" x14ac:dyDescent="0.25">
      <c r="B228" s="361"/>
      <c r="C228" s="279"/>
      <c r="D228" s="280"/>
      <c r="E228" s="287"/>
      <c r="F228" s="287"/>
      <c r="G228" s="287"/>
      <c r="H228" s="280"/>
      <c r="I228" s="304"/>
      <c r="J228" s="1292">
        <f t="shared" si="23"/>
        <v>37</v>
      </c>
      <c r="K228" s="1242" t="str">
        <f>IF('I. Stream &amp; Compound Data'!G298="","",IF('I. Stream &amp; Compound Data'!V298=1,0,1))</f>
        <v/>
      </c>
      <c r="L228" s="1242" t="str">
        <f>IF(OR(L$122="",I167=""),"",'I. Stream &amp; Compound Data'!H222/$J167*(1-L$127)*(1-L$123)*$K228)</f>
        <v/>
      </c>
      <c r="M228" s="1242" t="str">
        <f>IF(OR(M$122="",I167=""),"",'I. Stream &amp; Compound Data'!K222/$J167*(1-M$127)*(1-M$123)*$K228)</f>
        <v/>
      </c>
      <c r="N228" s="1306" t="str">
        <f>IF(OR(N$122="",I167=""),"",'I. Stream &amp; Compound Data'!N222/$J167*(1-N$127)*(1-N$123)*$K228)</f>
        <v/>
      </c>
      <c r="O228" s="1242" t="str">
        <f>IF(OR(O$122="",I167=""),"",'I. Stream &amp; Compound Data'!Q222/$J167*(1-O$127)*(1-O$123)*$K228)</f>
        <v/>
      </c>
      <c r="P228" s="1242" t="str">
        <f>IF(OR(P$122="",I167=""),"",'I. Stream &amp; Compound Data'!T222/$J167*(1-P$127)*(1-P$123)*$K228)</f>
        <v/>
      </c>
      <c r="Q228" s="202" t="str">
        <f>IF(OR(Q$122="",I167=""),"",'I. Stream &amp; Compound Data'!W222/$J167*(1-Q$127)*(1-Q$123)*$K228)</f>
        <v/>
      </c>
      <c r="R228" s="1168" t="str">
        <f>IF(OR(R$122="",I167=""),"",'I. Stream &amp; Compound Data'!Z222/$J167*(1-R$127)*(1-R$123)*$K228)</f>
        <v/>
      </c>
      <c r="S228" s="1168" t="str">
        <f>IF(OR(S$122="",I167=""),"",'I. Stream &amp; Compound Data'!AC222/$J167*(1-S$127)*(1-S$123)*$K228)</f>
        <v/>
      </c>
      <c r="T228" s="1168" t="str">
        <f>IF(OR(T$122="",I167=""),"",'I. Stream &amp; Compound Data'!AF222/$J167*(1-T$127)*(1-T$123)*$K228)</f>
        <v/>
      </c>
      <c r="U228" s="1222" t="str">
        <f>IF(OR(U$122="",I167=""),"",'I. Stream &amp; Compound Data'!AI222/$J167*(1-U$127)*(1-U$123)*$K228)</f>
        <v/>
      </c>
      <c r="V228" s="1222" t="str">
        <f>IF(OR(V$122="",I167=""),"",'I. Stream &amp; Compound Data'!AL222/$J167*(1-V$127)*(1-V$123)*$K228)</f>
        <v/>
      </c>
      <c r="W228" s="1222" t="str">
        <f>IF(OR(W$122="",I167=""),"",'I. Stream &amp; Compound Data'!AO222/$J167*(1-W$127)*(1-W$123)*$K228)</f>
        <v/>
      </c>
      <c r="X228" s="1222" t="str">
        <f>IF(OR(X$122="",I167=""),"",'I. Stream &amp; Compound Data'!AR222/$J167*(1-X$127)*(1-X$123)*$K228)</f>
        <v/>
      </c>
      <c r="Y228" s="1222" t="str">
        <f>IF(OR(Y$122="",I167=""),"",'I. Stream &amp; Compound Data'!AU222/$J167*(1-Y$127)*(1-Y$123)*$K228)</f>
        <v/>
      </c>
      <c r="Z228" s="1222" t="str">
        <f>IF(OR(Z$122="",I167=""),"",'I. Stream &amp; Compound Data'!AX222/$J167*(1-Z$127)*(1-Z$123)*$K228)</f>
        <v/>
      </c>
      <c r="AA228" s="1222" t="str">
        <f>IF(OR(AA$122="",I167=""),"",'I. Stream &amp; Compound Data'!BA222/$J167*(1-AA$127)*(1-AA$123)*$K228)</f>
        <v/>
      </c>
      <c r="AB228" s="1222" t="str">
        <f>IF(OR(AB$122="",I167=""),"",'I. Stream &amp; Compound Data'!BD222/$J167*(1-AB$127)*(1-AB$123)*$K228)</f>
        <v/>
      </c>
      <c r="AC228" s="1222" t="str">
        <f>IF(OR(AC$122="",I167=""),"",'I. Stream &amp; Compound Data'!BG222/$J167*(1-AC$127)*(1-AC$123)*$K228)</f>
        <v/>
      </c>
      <c r="AD228" s="1222" t="str">
        <f>IF(OR(AD$122="",I167=""),"",'I. Stream &amp; Compound Data'!BJ222/$J167*(1-AD$127)*(1-AD$123)*$K228)</f>
        <v/>
      </c>
      <c r="AE228" s="1222" t="str">
        <f>IF(OR(AE$122="",I167=""),"",'I. Stream &amp; Compound Data'!BM222/$J167*(1-AE$127)*(1-AE$123)*$K228)</f>
        <v/>
      </c>
      <c r="AF228" s="1222" t="str">
        <f>IF(OR(AF$122="",I167=""),"",'I. Stream &amp; Compound Data'!BP222/$J167*(1-AF$127)*(1-AF$123)*$K228)</f>
        <v/>
      </c>
      <c r="AG228" s="1222" t="str">
        <f>IF(OR(AG$122="",I167=""),"",'I. Stream &amp; Compound Data'!BS222/$J167*(1-AG$127)*(1-AG$123)*$K228)</f>
        <v/>
      </c>
      <c r="AH228" s="1222" t="str">
        <f>IF(OR(AH$122="",I167=""),"",'I. Stream &amp; Compound Data'!BV222/$J167*(1-AH$127)*(1-AH$123)*$K228)</f>
        <v/>
      </c>
      <c r="AI228" s="1222" t="str">
        <f>IF(OR(AI$122="",I167=""),"",'I. Stream &amp; Compound Data'!BY222/$J167*(1-AI$127)*(1-AI$123)*$K228)</f>
        <v/>
      </c>
      <c r="AJ228" s="1222" t="str">
        <f>IF(OR(AJ$122="",I167=""),"",'I. Stream &amp; Compound Data'!CB222/$J167*(1-AJ$127)*(1-AJ$123)*$K228)</f>
        <v/>
      </c>
      <c r="AK228" s="1222" t="str">
        <f>IF(OR(AK$122="",I167=""),"",'I. Stream &amp; Compound Data'!CE222/$J167*(1-AK$127)*(1-AK$123)*$K228)</f>
        <v/>
      </c>
      <c r="AL228" s="1222" t="str">
        <f>IF(OR(AL$122="",I167=""),"",'I. Stream &amp; Compound Data'!CH222/$J167*(1-AL$127)*(1-AL$123)*$K228)</f>
        <v/>
      </c>
      <c r="AM228" s="1222" t="str">
        <f>IF(OR(AM$122="",I167=""),"",'I. Stream &amp; Compound Data'!CK222/$J167*(1-AM$127)*(1-AM$123)*$K228)</f>
        <v/>
      </c>
      <c r="AN228" s="1222" t="str">
        <f>IF(OR(AN$122="",I167=""),"",'I. Stream &amp; Compound Data'!CN222/$J167*(1-AN$127)*(1-AN$123)*$K228)</f>
        <v/>
      </c>
      <c r="AO228" s="1222" t="str">
        <f>IF(OR(AO$122="",I167=""),"",'I. Stream &amp; Compound Data'!CQ222/$J167*(1-AO$127)*(1-AO$123)*$K228)</f>
        <v/>
      </c>
      <c r="AP228" s="1222" t="str">
        <f>IF(OR(AP$122="",I167=""),"",'I. Stream &amp; Compound Data'!CT222/$J167*(1-AP$127)*(1-AP$123)*$K228)</f>
        <v/>
      </c>
      <c r="AQ228" s="1222" t="str">
        <f>IF(OR(AQ$122="",I167=""),"",'I. Stream &amp; Compound Data'!CW222/$J167*(1-AQ$127)*(1-AQ$123)*$K228)</f>
        <v/>
      </c>
      <c r="AR228" s="1222" t="str">
        <f>IF(OR(AR$122="",I167=""),"",'I. Stream &amp; Compound Data'!CZ222/$J167*(1-AR$127)*(1-AR$123)*$K228)</f>
        <v/>
      </c>
      <c r="AS228" s="1222" t="str">
        <f>IF(OR(AS$122="",I167=""),"",'I. Stream &amp; Compound Data'!DC222/$J167*(1-AS$127)*(1-AS$123)*$K228)</f>
        <v/>
      </c>
      <c r="AT228" s="1222" t="str">
        <f>IF(OR(AT$122="",I167=""),"",'I. Stream &amp; Compound Data'!DF222/$J167*(1-AT$127)*(1-AT$123)*$K228)</f>
        <v/>
      </c>
      <c r="AU228" s="1222" t="str">
        <f>IF(OR(AU$122="",I167=""),"",'I. Stream &amp; Compound Data'!DI222/$J167*(1-AU$127)*(1-AU$123)*$K228)</f>
        <v/>
      </c>
      <c r="AV228" s="1222" t="str">
        <f>IF(OR(AV$122="",I167=""),"",'I. Stream &amp; Compound Data'!DL222/$J167*(1-AV$127)*(1-AV$123)*$K228)</f>
        <v/>
      </c>
      <c r="AW228" s="1222" t="str">
        <f>IF(OR(AW$122="",I167=""),"",'I. Stream &amp; Compound Data'!DO222/$J167*(1-AW$127)*(1-AW$123)*$K228)</f>
        <v/>
      </c>
      <c r="AX228" s="1222" t="str">
        <f>IF(OR(AX$122="",I167=""),"",'I. Stream &amp; Compound Data'!DR222/$J167*(1-AX$127)*(1-AX$123)*$K228)</f>
        <v/>
      </c>
      <c r="AY228" s="1516" t="str">
        <f>IF(OR(AY$122="",I167=""),"",'I. Stream &amp; Compound Data'!DU222/$J167*(1-AY$127)*(1-AY$123)*$K228)</f>
        <v/>
      </c>
      <c r="AZ228" s="279"/>
      <c r="BA228" s="279"/>
      <c r="BB228" s="279"/>
      <c r="BC228" s="279"/>
      <c r="BD228" s="279"/>
      <c r="BE228" s="279"/>
      <c r="BF228" s="279"/>
      <c r="BG228" s="279"/>
      <c r="BH228" s="279"/>
      <c r="BI228" s="279"/>
      <c r="BJ228" s="279"/>
      <c r="BK228" s="279"/>
      <c r="BL228" s="279"/>
      <c r="BM228" s="279"/>
      <c r="BN228" s="279"/>
      <c r="BO228" s="279"/>
      <c r="BP228" s="279"/>
      <c r="BQ228" s="279"/>
      <c r="BR228" s="279"/>
      <c r="BS228" s="279"/>
      <c r="BT228" s="279"/>
      <c r="BU228" s="279"/>
      <c r="BV228" s="279"/>
      <c r="BW228" s="279"/>
      <c r="BX228" s="279"/>
      <c r="BY228" s="279"/>
      <c r="BZ228" s="279"/>
      <c r="CA228" s="279"/>
      <c r="CB228" s="279"/>
      <c r="CC228" s="279"/>
      <c r="CD228" s="279"/>
      <c r="CE228" s="279"/>
      <c r="CF228" s="279"/>
      <c r="CG228" s="279"/>
      <c r="CH228" s="279"/>
      <c r="CI228" s="279"/>
      <c r="CJ228" s="279"/>
      <c r="CK228" s="279"/>
      <c r="CL228" s="279"/>
      <c r="CM228" s="279"/>
      <c r="CN228" s="382"/>
    </row>
    <row r="229" ht="15.6" x14ac:dyDescent="0.25">
      <c r="B229" s="361"/>
      <c r="C229" s="279"/>
      <c r="D229" s="280"/>
      <c r="E229" s="287"/>
      <c r="F229" s="287"/>
      <c r="G229" s="287"/>
      <c r="H229" s="280"/>
      <c r="I229" s="304"/>
      <c r="J229" s="1292">
        <f t="shared" si="23"/>
        <v>38</v>
      </c>
      <c r="K229" s="1242" t="str">
        <f>IF('I. Stream &amp; Compound Data'!G299="","",IF('I. Stream &amp; Compound Data'!V299=1,0,1))</f>
        <v/>
      </c>
      <c r="L229" s="1242" t="str">
        <f>IF(OR(L$122="",I168=""),"",'I. Stream &amp; Compound Data'!H223/$J168*(1-L$127)*(1-L$123)*$K229)</f>
        <v/>
      </c>
      <c r="M229" s="1242" t="str">
        <f>IF(OR(M$122="",I168=""),"",'I. Stream &amp; Compound Data'!K223/$J168*(1-M$127)*(1-M$123)*$K229)</f>
        <v/>
      </c>
      <c r="N229" s="1306" t="str">
        <f>IF(OR(N$122="",I168=""),"",'I. Stream &amp; Compound Data'!N223/$J168*(1-N$127)*(1-N$123)*$K229)</f>
        <v/>
      </c>
      <c r="O229" s="1242" t="str">
        <f>IF(OR(O$122="",I168=""),"",'I. Stream &amp; Compound Data'!Q223/$J168*(1-O$127)*(1-O$123)*$K229)</f>
        <v/>
      </c>
      <c r="P229" s="1242" t="str">
        <f>IF(OR(P$122="",I168=""),"",'I. Stream &amp; Compound Data'!T223/$J168*(1-P$127)*(1-P$123)*$K229)</f>
        <v/>
      </c>
      <c r="Q229" s="202" t="str">
        <f>IF(OR(Q$122="",I168=""),"",'I. Stream &amp; Compound Data'!W223/$J168*(1-Q$127)*(1-Q$123)*$K229)</f>
        <v/>
      </c>
      <c r="R229" s="1168" t="str">
        <f>IF(OR(R$122="",I168=""),"",'I. Stream &amp; Compound Data'!Z223/$J168*(1-R$127)*(1-R$123)*$K229)</f>
        <v/>
      </c>
      <c r="S229" s="1168" t="str">
        <f>IF(OR(S$122="",I168=""),"",'I. Stream &amp; Compound Data'!AC223/$J168*(1-S$127)*(1-S$123)*$K229)</f>
        <v/>
      </c>
      <c r="T229" s="1168" t="str">
        <f>IF(OR(T$122="",I168=""),"",'I. Stream &amp; Compound Data'!AF223/$J168*(1-T$127)*(1-T$123)*$K229)</f>
        <v/>
      </c>
      <c r="U229" s="1222" t="str">
        <f>IF(OR(U$122="",I168=""),"",'I. Stream &amp; Compound Data'!AI223/$J168*(1-U$127)*(1-U$123)*$K229)</f>
        <v/>
      </c>
      <c r="V229" s="1222" t="str">
        <f>IF(OR(V$122="",I168=""),"",'I. Stream &amp; Compound Data'!AL223/$J168*(1-V$127)*(1-V$123)*$K229)</f>
        <v/>
      </c>
      <c r="W229" s="1222" t="str">
        <f>IF(OR(W$122="",I168=""),"",'I. Stream &amp; Compound Data'!AO223/$J168*(1-W$127)*(1-W$123)*$K229)</f>
        <v/>
      </c>
      <c r="X229" s="1222" t="str">
        <f>IF(OR(X$122="",I168=""),"",'I. Stream &amp; Compound Data'!AR223/$J168*(1-X$127)*(1-X$123)*$K229)</f>
        <v/>
      </c>
      <c r="Y229" s="1222" t="str">
        <f>IF(OR(Y$122="",I168=""),"",'I. Stream &amp; Compound Data'!AU223/$J168*(1-Y$127)*(1-Y$123)*$K229)</f>
        <v/>
      </c>
      <c r="Z229" s="1222" t="str">
        <f>IF(OR(Z$122="",I168=""),"",'I. Stream &amp; Compound Data'!AX223/$J168*(1-Z$127)*(1-Z$123)*$K229)</f>
        <v/>
      </c>
      <c r="AA229" s="1222" t="str">
        <f>IF(OR(AA$122="",I168=""),"",'I. Stream &amp; Compound Data'!BA223/$J168*(1-AA$127)*(1-AA$123)*$K229)</f>
        <v/>
      </c>
      <c r="AB229" s="1222" t="str">
        <f>IF(OR(AB$122="",I168=""),"",'I. Stream &amp; Compound Data'!BD223/$J168*(1-AB$127)*(1-AB$123)*$K229)</f>
        <v/>
      </c>
      <c r="AC229" s="1222" t="str">
        <f>IF(OR(AC$122="",I168=""),"",'I. Stream &amp; Compound Data'!BG223/$J168*(1-AC$127)*(1-AC$123)*$K229)</f>
        <v/>
      </c>
      <c r="AD229" s="1222" t="str">
        <f>IF(OR(AD$122="",I168=""),"",'I. Stream &amp; Compound Data'!BJ223/$J168*(1-AD$127)*(1-AD$123)*$K229)</f>
        <v/>
      </c>
      <c r="AE229" s="1222" t="str">
        <f>IF(OR(AE$122="",I168=""),"",'I. Stream &amp; Compound Data'!BM223/$J168*(1-AE$127)*(1-AE$123)*$K229)</f>
        <v/>
      </c>
      <c r="AF229" s="1222" t="str">
        <f>IF(OR(AF$122="",I168=""),"",'I. Stream &amp; Compound Data'!BP223/$J168*(1-AF$127)*(1-AF$123)*$K229)</f>
        <v/>
      </c>
      <c r="AG229" s="1222" t="str">
        <f>IF(OR(AG$122="",I168=""),"",'I. Stream &amp; Compound Data'!BS223/$J168*(1-AG$127)*(1-AG$123)*$K229)</f>
        <v/>
      </c>
      <c r="AH229" s="1222" t="str">
        <f>IF(OR(AH$122="",I168=""),"",'I. Stream &amp; Compound Data'!BV223/$J168*(1-AH$127)*(1-AH$123)*$K229)</f>
        <v/>
      </c>
      <c r="AI229" s="1222" t="str">
        <f>IF(OR(AI$122="",I168=""),"",'I. Stream &amp; Compound Data'!BY223/$J168*(1-AI$127)*(1-AI$123)*$K229)</f>
        <v/>
      </c>
      <c r="AJ229" s="1222" t="str">
        <f>IF(OR(AJ$122="",I168=""),"",'I. Stream &amp; Compound Data'!CB223/$J168*(1-AJ$127)*(1-AJ$123)*$K229)</f>
        <v/>
      </c>
      <c r="AK229" s="1222" t="str">
        <f>IF(OR(AK$122="",I168=""),"",'I. Stream &amp; Compound Data'!CE223/$J168*(1-AK$127)*(1-AK$123)*$K229)</f>
        <v/>
      </c>
      <c r="AL229" s="1222" t="str">
        <f>IF(OR(AL$122="",I168=""),"",'I. Stream &amp; Compound Data'!CH223/$J168*(1-AL$127)*(1-AL$123)*$K229)</f>
        <v/>
      </c>
      <c r="AM229" s="1222" t="str">
        <f>IF(OR(AM$122="",I168=""),"",'I. Stream &amp; Compound Data'!CK223/$J168*(1-AM$127)*(1-AM$123)*$K229)</f>
        <v/>
      </c>
      <c r="AN229" s="1222" t="str">
        <f>IF(OR(AN$122="",I168=""),"",'I. Stream &amp; Compound Data'!CN223/$J168*(1-AN$127)*(1-AN$123)*$K229)</f>
        <v/>
      </c>
      <c r="AO229" s="1222" t="str">
        <f>IF(OR(AO$122="",I168=""),"",'I. Stream &amp; Compound Data'!CQ223/$J168*(1-AO$127)*(1-AO$123)*$K229)</f>
        <v/>
      </c>
      <c r="AP229" s="1222" t="str">
        <f>IF(OR(AP$122="",I168=""),"",'I. Stream &amp; Compound Data'!CT223/$J168*(1-AP$127)*(1-AP$123)*$K229)</f>
        <v/>
      </c>
      <c r="AQ229" s="1222" t="str">
        <f>IF(OR(AQ$122="",I168=""),"",'I. Stream &amp; Compound Data'!CW223/$J168*(1-AQ$127)*(1-AQ$123)*$K229)</f>
        <v/>
      </c>
      <c r="AR229" s="1222" t="str">
        <f>IF(OR(AR$122="",I168=""),"",'I. Stream &amp; Compound Data'!CZ223/$J168*(1-AR$127)*(1-AR$123)*$K229)</f>
        <v/>
      </c>
      <c r="AS229" s="1222" t="str">
        <f>IF(OR(AS$122="",I168=""),"",'I. Stream &amp; Compound Data'!DC223/$J168*(1-AS$127)*(1-AS$123)*$K229)</f>
        <v/>
      </c>
      <c r="AT229" s="1222" t="str">
        <f>IF(OR(AT$122="",I168=""),"",'I. Stream &amp; Compound Data'!DF223/$J168*(1-AT$127)*(1-AT$123)*$K229)</f>
        <v/>
      </c>
      <c r="AU229" s="1222" t="str">
        <f>IF(OR(AU$122="",I168=""),"",'I. Stream &amp; Compound Data'!DI223/$J168*(1-AU$127)*(1-AU$123)*$K229)</f>
        <v/>
      </c>
      <c r="AV229" s="1222" t="str">
        <f>IF(OR(AV$122="",I168=""),"",'I. Stream &amp; Compound Data'!DL223/$J168*(1-AV$127)*(1-AV$123)*$K229)</f>
        <v/>
      </c>
      <c r="AW229" s="1222" t="str">
        <f>IF(OR(AW$122="",I168=""),"",'I. Stream &amp; Compound Data'!DO223/$J168*(1-AW$127)*(1-AW$123)*$K229)</f>
        <v/>
      </c>
      <c r="AX229" s="1222" t="str">
        <f>IF(OR(AX$122="",I168=""),"",'I. Stream &amp; Compound Data'!DR223/$J168*(1-AX$127)*(1-AX$123)*$K229)</f>
        <v/>
      </c>
      <c r="AY229" s="1516" t="str">
        <f>IF(OR(AY$122="",I168=""),"",'I. Stream &amp; Compound Data'!DU223/$J168*(1-AY$127)*(1-AY$123)*$K229)</f>
        <v/>
      </c>
      <c r="AZ229" s="279"/>
      <c r="BA229" s="279"/>
      <c r="BB229" s="279"/>
      <c r="BC229" s="279"/>
      <c r="BD229" s="279"/>
      <c r="BE229" s="279"/>
      <c r="BF229" s="279"/>
      <c r="BG229" s="279"/>
      <c r="BH229" s="279"/>
      <c r="BI229" s="279"/>
      <c r="BJ229" s="279"/>
      <c r="BK229" s="279"/>
      <c r="BL229" s="279"/>
      <c r="BM229" s="279"/>
      <c r="BN229" s="279"/>
      <c r="BO229" s="279"/>
      <c r="BP229" s="279"/>
      <c r="BQ229" s="279"/>
      <c r="BR229" s="279"/>
      <c r="BS229" s="279"/>
      <c r="BT229" s="279"/>
      <c r="BU229" s="279"/>
      <c r="BV229" s="279"/>
      <c r="BW229" s="279"/>
      <c r="BX229" s="279"/>
      <c r="BY229" s="279"/>
      <c r="BZ229" s="279"/>
      <c r="CA229" s="279"/>
      <c r="CB229" s="279"/>
      <c r="CC229" s="279"/>
      <c r="CD229" s="279"/>
      <c r="CE229" s="279"/>
      <c r="CF229" s="279"/>
      <c r="CG229" s="279"/>
      <c r="CH229" s="279"/>
      <c r="CI229" s="279"/>
      <c r="CJ229" s="279"/>
      <c r="CK229" s="279"/>
      <c r="CL229" s="279"/>
      <c r="CM229" s="279"/>
      <c r="CN229" s="382"/>
    </row>
    <row r="230" ht="15.6" x14ac:dyDescent="0.25">
      <c r="B230" s="361"/>
      <c r="C230" s="279"/>
      <c r="D230" s="280"/>
      <c r="E230" s="287"/>
      <c r="F230" s="287"/>
      <c r="G230" s="287"/>
      <c r="H230" s="280"/>
      <c r="I230" s="304"/>
      <c r="J230" s="1292">
        <f t="shared" si="23"/>
        <v>39</v>
      </c>
      <c r="K230" s="1242" t="str">
        <f>IF('I. Stream &amp; Compound Data'!G300="","",IF('I. Stream &amp; Compound Data'!V300=1,0,1))</f>
        <v/>
      </c>
      <c r="L230" s="1242" t="str">
        <f>IF(OR(L$122="",I169=""),"",'I. Stream &amp; Compound Data'!H224/$J169*(1-L$127)*(1-L$123)*$K230)</f>
        <v/>
      </c>
      <c r="M230" s="1242" t="str">
        <f>IF(OR(M$122="",I169=""),"",'I. Stream &amp; Compound Data'!K224/$J169*(1-M$127)*(1-M$123)*$K230)</f>
        <v/>
      </c>
      <c r="N230" s="1306" t="str">
        <f>IF(OR(N$122="",I169=""),"",'I. Stream &amp; Compound Data'!N224/$J169*(1-N$127)*(1-N$123)*$K230)</f>
        <v/>
      </c>
      <c r="O230" s="1242" t="str">
        <f>IF(OR(O$122="",I169=""),"",'I. Stream &amp; Compound Data'!Q224/$J169*(1-O$127)*(1-O$123)*$K230)</f>
        <v/>
      </c>
      <c r="P230" s="1242" t="str">
        <f>IF(OR(P$122="",I169=""),"",'I. Stream &amp; Compound Data'!T224/$J169*(1-P$127)*(1-P$123)*$K230)</f>
        <v/>
      </c>
      <c r="Q230" s="202" t="str">
        <f>IF(OR(Q$122="",I169=""),"",'I. Stream &amp; Compound Data'!W224/$J169*(1-Q$127)*(1-Q$123)*$K230)</f>
        <v/>
      </c>
      <c r="R230" s="1168" t="str">
        <f>IF(OR(R$122="",I169=""),"",'I. Stream &amp; Compound Data'!Z224/$J169*(1-R$127)*(1-R$123)*$K230)</f>
        <v/>
      </c>
      <c r="S230" s="1168" t="str">
        <f>IF(OR(S$122="",I169=""),"",'I. Stream &amp; Compound Data'!AC224/$J169*(1-S$127)*(1-S$123)*$K230)</f>
        <v/>
      </c>
      <c r="T230" s="1168" t="str">
        <f>IF(OR(T$122="",I169=""),"",'I. Stream &amp; Compound Data'!AF224/$J169*(1-T$127)*(1-T$123)*$K230)</f>
        <v/>
      </c>
      <c r="U230" s="1222" t="str">
        <f>IF(OR(U$122="",I169=""),"",'I. Stream &amp; Compound Data'!AI224/$J169*(1-U$127)*(1-U$123)*$K230)</f>
        <v/>
      </c>
      <c r="V230" s="1222" t="str">
        <f>IF(OR(V$122="",I169=""),"",'I. Stream &amp; Compound Data'!AL224/$J169*(1-V$127)*(1-V$123)*$K230)</f>
        <v/>
      </c>
      <c r="W230" s="1222" t="str">
        <f>IF(OR(W$122="",I169=""),"",'I. Stream &amp; Compound Data'!AO224/$J169*(1-W$127)*(1-W$123)*$K230)</f>
        <v/>
      </c>
      <c r="X230" s="1222" t="str">
        <f>IF(OR(X$122="",I169=""),"",'I. Stream &amp; Compound Data'!AR224/$J169*(1-X$127)*(1-X$123)*$K230)</f>
        <v/>
      </c>
      <c r="Y230" s="1222" t="str">
        <f>IF(OR(Y$122="",I169=""),"",'I. Stream &amp; Compound Data'!AU224/$J169*(1-Y$127)*(1-Y$123)*$K230)</f>
        <v/>
      </c>
      <c r="Z230" s="1222" t="str">
        <f>IF(OR(Z$122="",I169=""),"",'I. Stream &amp; Compound Data'!AX224/$J169*(1-Z$127)*(1-Z$123)*$K230)</f>
        <v/>
      </c>
      <c r="AA230" s="1222" t="str">
        <f>IF(OR(AA$122="",I169=""),"",'I. Stream &amp; Compound Data'!BA224/$J169*(1-AA$127)*(1-AA$123)*$K230)</f>
        <v/>
      </c>
      <c r="AB230" s="1222" t="str">
        <f>IF(OR(AB$122="",I169=""),"",'I. Stream &amp; Compound Data'!BD224/$J169*(1-AB$127)*(1-AB$123)*$K230)</f>
        <v/>
      </c>
      <c r="AC230" s="1222" t="str">
        <f>IF(OR(AC$122="",I169=""),"",'I. Stream &amp; Compound Data'!BG224/$J169*(1-AC$127)*(1-AC$123)*$K230)</f>
        <v/>
      </c>
      <c r="AD230" s="1222" t="str">
        <f>IF(OR(AD$122="",I169=""),"",'I. Stream &amp; Compound Data'!BJ224/$J169*(1-AD$127)*(1-AD$123)*$K230)</f>
        <v/>
      </c>
      <c r="AE230" s="1222" t="str">
        <f>IF(OR(AE$122="",I169=""),"",'I. Stream &amp; Compound Data'!BM224/$J169*(1-AE$127)*(1-AE$123)*$K230)</f>
        <v/>
      </c>
      <c r="AF230" s="1222" t="str">
        <f>IF(OR(AF$122="",I169=""),"",'I. Stream &amp; Compound Data'!BP224/$J169*(1-AF$127)*(1-AF$123)*$K230)</f>
        <v/>
      </c>
      <c r="AG230" s="1222" t="str">
        <f>IF(OR(AG$122="",I169=""),"",'I. Stream &amp; Compound Data'!BS224/$J169*(1-AG$127)*(1-AG$123)*$K230)</f>
        <v/>
      </c>
      <c r="AH230" s="1222" t="str">
        <f>IF(OR(AH$122="",I169=""),"",'I. Stream &amp; Compound Data'!BV224/$J169*(1-AH$127)*(1-AH$123)*$K230)</f>
        <v/>
      </c>
      <c r="AI230" s="1222" t="str">
        <f>IF(OR(AI$122="",I169=""),"",'I. Stream &amp; Compound Data'!BY224/$J169*(1-AI$127)*(1-AI$123)*$K230)</f>
        <v/>
      </c>
      <c r="AJ230" s="1222" t="str">
        <f>IF(OR(AJ$122="",I169=""),"",'I. Stream &amp; Compound Data'!CB224/$J169*(1-AJ$127)*(1-AJ$123)*$K230)</f>
        <v/>
      </c>
      <c r="AK230" s="1222" t="str">
        <f>IF(OR(AK$122="",I169=""),"",'I. Stream &amp; Compound Data'!CE224/$J169*(1-AK$127)*(1-AK$123)*$K230)</f>
        <v/>
      </c>
      <c r="AL230" s="1222" t="str">
        <f>IF(OR(AL$122="",I169=""),"",'I. Stream &amp; Compound Data'!CH224/$J169*(1-AL$127)*(1-AL$123)*$K230)</f>
        <v/>
      </c>
      <c r="AM230" s="1222" t="str">
        <f>IF(OR(AM$122="",I169=""),"",'I. Stream &amp; Compound Data'!CK224/$J169*(1-AM$127)*(1-AM$123)*$K230)</f>
        <v/>
      </c>
      <c r="AN230" s="1222" t="str">
        <f>IF(OR(AN$122="",I169=""),"",'I. Stream &amp; Compound Data'!CN224/$J169*(1-AN$127)*(1-AN$123)*$K230)</f>
        <v/>
      </c>
      <c r="AO230" s="1222" t="str">
        <f>IF(OR(AO$122="",I169=""),"",'I. Stream &amp; Compound Data'!CQ224/$J169*(1-AO$127)*(1-AO$123)*$K230)</f>
        <v/>
      </c>
      <c r="AP230" s="1222" t="str">
        <f>IF(OR(AP$122="",I169=""),"",'I. Stream &amp; Compound Data'!CT224/$J169*(1-AP$127)*(1-AP$123)*$K230)</f>
        <v/>
      </c>
      <c r="AQ230" s="1222" t="str">
        <f>IF(OR(AQ$122="",I169=""),"",'I. Stream &amp; Compound Data'!CW224/$J169*(1-AQ$127)*(1-AQ$123)*$K230)</f>
        <v/>
      </c>
      <c r="AR230" s="1222" t="str">
        <f>IF(OR(AR$122="",I169=""),"",'I. Stream &amp; Compound Data'!CZ224/$J169*(1-AR$127)*(1-AR$123)*$K230)</f>
        <v/>
      </c>
      <c r="AS230" s="1222" t="str">
        <f>IF(OR(AS$122="",I169=""),"",'I. Stream &amp; Compound Data'!DC224/$J169*(1-AS$127)*(1-AS$123)*$K230)</f>
        <v/>
      </c>
      <c r="AT230" s="1222" t="str">
        <f>IF(OR(AT$122="",I169=""),"",'I. Stream &amp; Compound Data'!DF224/$J169*(1-AT$127)*(1-AT$123)*$K230)</f>
        <v/>
      </c>
      <c r="AU230" s="1222" t="str">
        <f>IF(OR(AU$122="",I169=""),"",'I. Stream &amp; Compound Data'!DI224/$J169*(1-AU$127)*(1-AU$123)*$K230)</f>
        <v/>
      </c>
      <c r="AV230" s="1222" t="str">
        <f>IF(OR(AV$122="",I169=""),"",'I. Stream &amp; Compound Data'!DL224/$J169*(1-AV$127)*(1-AV$123)*$K230)</f>
        <v/>
      </c>
      <c r="AW230" s="1222" t="str">
        <f>IF(OR(AW$122="",I169=""),"",'I. Stream &amp; Compound Data'!DO224/$J169*(1-AW$127)*(1-AW$123)*$K230)</f>
        <v/>
      </c>
      <c r="AX230" s="1222" t="str">
        <f>IF(OR(AX$122="",I169=""),"",'I. Stream &amp; Compound Data'!DR224/$J169*(1-AX$127)*(1-AX$123)*$K230)</f>
        <v/>
      </c>
      <c r="AY230" s="1516" t="str">
        <f>IF(OR(AY$122="",I169=""),"",'I. Stream &amp; Compound Data'!DU224/$J169*(1-AY$127)*(1-AY$123)*$K230)</f>
        <v/>
      </c>
      <c r="AZ230" s="279"/>
      <c r="BA230" s="279"/>
      <c r="BB230" s="279"/>
      <c r="BC230" s="279"/>
      <c r="BD230" s="279"/>
      <c r="BE230" s="279"/>
      <c r="BF230" s="279"/>
      <c r="BG230" s="279"/>
      <c r="BH230" s="279"/>
      <c r="BI230" s="279"/>
      <c r="BJ230" s="279"/>
      <c r="BK230" s="279"/>
      <c r="BL230" s="279"/>
      <c r="BM230" s="279"/>
      <c r="BN230" s="279"/>
      <c r="BO230" s="279"/>
      <c r="BP230" s="279"/>
      <c r="BQ230" s="279"/>
      <c r="BR230" s="279"/>
      <c r="BS230" s="279"/>
      <c r="BT230" s="279"/>
      <c r="BU230" s="279"/>
      <c r="BV230" s="279"/>
      <c r="BW230" s="279"/>
      <c r="BX230" s="279"/>
      <c r="BY230" s="279"/>
      <c r="BZ230" s="279"/>
      <c r="CA230" s="279"/>
      <c r="CB230" s="279"/>
      <c r="CC230" s="279"/>
      <c r="CD230" s="279"/>
      <c r="CE230" s="279"/>
      <c r="CF230" s="279"/>
      <c r="CG230" s="279"/>
      <c r="CH230" s="279"/>
      <c r="CI230" s="279"/>
      <c r="CJ230" s="279"/>
      <c r="CK230" s="279"/>
      <c r="CL230" s="279"/>
      <c r="CM230" s="279"/>
      <c r="CN230" s="382"/>
    </row>
    <row r="231" ht="15.6" x14ac:dyDescent="0.25">
      <c r="B231" s="361"/>
      <c r="C231" s="279"/>
      <c r="D231" s="280"/>
      <c r="E231" s="287"/>
      <c r="F231" s="287"/>
      <c r="G231" s="287"/>
      <c r="H231" s="280"/>
      <c r="I231" s="304"/>
      <c r="J231" s="1292">
        <f t="shared" si="23"/>
        <v>40</v>
      </c>
      <c r="K231" s="1242" t="str">
        <f>IF('I. Stream &amp; Compound Data'!G301="","",IF('I. Stream &amp; Compound Data'!V301=1,0,1))</f>
        <v/>
      </c>
      <c r="L231" s="1242" t="str">
        <f>IF(OR(L$122="",I170=""),"",'I. Stream &amp; Compound Data'!H225/$J170*(1-L$127)*(1-L$123)*$K231)</f>
        <v/>
      </c>
      <c r="M231" s="1242" t="str">
        <f>IF(OR(M$122="",I170=""),"",'I. Stream &amp; Compound Data'!K225/$J170*(1-M$127)*(1-M$123)*$K231)</f>
        <v/>
      </c>
      <c r="N231" s="1306" t="str">
        <f>IF(OR(N$122="",I170=""),"",'I. Stream &amp; Compound Data'!N225/$J170*(1-N$127)*(1-N$123)*$K231)</f>
        <v/>
      </c>
      <c r="O231" s="1242" t="str">
        <f>IF(OR(O$122="",I170=""),"",'I. Stream &amp; Compound Data'!Q225/$J170*(1-O$127)*(1-O$123)*$K231)</f>
        <v/>
      </c>
      <c r="P231" s="1242" t="str">
        <f>IF(OR(P$122="",I170=""),"",'I. Stream &amp; Compound Data'!T225/$J170*(1-P$127)*(1-P$123)*$K231)</f>
        <v/>
      </c>
      <c r="Q231" s="202" t="str">
        <f>IF(OR(Q$122="",I170=""),"",'I. Stream &amp; Compound Data'!W225/$J170*(1-Q$127)*(1-Q$123)*$K231)</f>
        <v/>
      </c>
      <c r="R231" s="1168" t="str">
        <f>IF(OR(R$122="",I170=""),"",'I. Stream &amp; Compound Data'!Z225/$J170*(1-R$127)*(1-R$123)*$K231)</f>
        <v/>
      </c>
      <c r="S231" s="1168" t="str">
        <f>IF(OR(S$122="",I170=""),"",'I. Stream &amp; Compound Data'!AC225/$J170*(1-S$127)*(1-S$123)*$K231)</f>
        <v/>
      </c>
      <c r="T231" s="1168" t="str">
        <f>IF(OR(T$122="",I170=""),"",'I. Stream &amp; Compound Data'!AF225/$J170*(1-T$127)*(1-T$123)*$K231)</f>
        <v/>
      </c>
      <c r="U231" s="1222" t="str">
        <f>IF(OR(U$122="",I170=""),"",'I. Stream &amp; Compound Data'!AI225/$J170*(1-U$127)*(1-U$123)*$K231)</f>
        <v/>
      </c>
      <c r="V231" s="1222" t="str">
        <f>IF(OR(V$122="",I170=""),"",'I. Stream &amp; Compound Data'!AL225/$J170*(1-V$127)*(1-V$123)*$K231)</f>
        <v/>
      </c>
      <c r="W231" s="1222" t="str">
        <f>IF(OR(W$122="",I170=""),"",'I. Stream &amp; Compound Data'!AO225/$J170*(1-W$127)*(1-W$123)*$K231)</f>
        <v/>
      </c>
      <c r="X231" s="1222" t="str">
        <f>IF(OR(X$122="",I170=""),"",'I. Stream &amp; Compound Data'!AR225/$J170*(1-X$127)*(1-X$123)*$K231)</f>
        <v/>
      </c>
      <c r="Y231" s="1222" t="str">
        <f>IF(OR(Y$122="",I170=""),"",'I. Stream &amp; Compound Data'!AU225/$J170*(1-Y$127)*(1-Y$123)*$K231)</f>
        <v/>
      </c>
      <c r="Z231" s="1222" t="str">
        <f>IF(OR(Z$122="",I170=""),"",'I. Stream &amp; Compound Data'!AX225/$J170*(1-Z$127)*(1-Z$123)*$K231)</f>
        <v/>
      </c>
      <c r="AA231" s="1222" t="str">
        <f>IF(OR(AA$122="",I170=""),"",'I. Stream &amp; Compound Data'!BA225/$J170*(1-AA$127)*(1-AA$123)*$K231)</f>
        <v/>
      </c>
      <c r="AB231" s="1222" t="str">
        <f>IF(OR(AB$122="",I170=""),"",'I. Stream &amp; Compound Data'!BD225/$J170*(1-AB$127)*(1-AB$123)*$K231)</f>
        <v/>
      </c>
      <c r="AC231" s="1222" t="str">
        <f>IF(OR(AC$122="",I170=""),"",'I. Stream &amp; Compound Data'!BG225/$J170*(1-AC$127)*(1-AC$123)*$K231)</f>
        <v/>
      </c>
      <c r="AD231" s="1222" t="str">
        <f>IF(OR(AD$122="",I170=""),"",'I. Stream &amp; Compound Data'!BJ225/$J170*(1-AD$127)*(1-AD$123)*$K231)</f>
        <v/>
      </c>
      <c r="AE231" s="1222" t="str">
        <f>IF(OR(AE$122="",I170=""),"",'I. Stream &amp; Compound Data'!BM225/$J170*(1-AE$127)*(1-AE$123)*$K231)</f>
        <v/>
      </c>
      <c r="AF231" s="1222" t="str">
        <f>IF(OR(AF$122="",I170=""),"",'I. Stream &amp; Compound Data'!BP225/$J170*(1-AF$127)*(1-AF$123)*$K231)</f>
        <v/>
      </c>
      <c r="AG231" s="1222" t="str">
        <f>IF(OR(AG$122="",I170=""),"",'I. Stream &amp; Compound Data'!BS225/$J170*(1-AG$127)*(1-AG$123)*$K231)</f>
        <v/>
      </c>
      <c r="AH231" s="1222" t="str">
        <f>IF(OR(AH$122="",I170=""),"",'I. Stream &amp; Compound Data'!BV225/$J170*(1-AH$127)*(1-AH$123)*$K231)</f>
        <v/>
      </c>
      <c r="AI231" s="1222" t="str">
        <f>IF(OR(AI$122="",I170=""),"",'I. Stream &amp; Compound Data'!BY225/$J170*(1-AI$127)*(1-AI$123)*$K231)</f>
        <v/>
      </c>
      <c r="AJ231" s="1222" t="str">
        <f>IF(OR(AJ$122="",I170=""),"",'I. Stream &amp; Compound Data'!CB225/$J170*(1-AJ$127)*(1-AJ$123)*$K231)</f>
        <v/>
      </c>
      <c r="AK231" s="1222" t="str">
        <f>IF(OR(AK$122="",I170=""),"",'I. Stream &amp; Compound Data'!CE225/$J170*(1-AK$127)*(1-AK$123)*$K231)</f>
        <v/>
      </c>
      <c r="AL231" s="1222" t="str">
        <f>IF(OR(AL$122="",I170=""),"",'I. Stream &amp; Compound Data'!CH225/$J170*(1-AL$127)*(1-AL$123)*$K231)</f>
        <v/>
      </c>
      <c r="AM231" s="1222" t="str">
        <f>IF(OR(AM$122="",I170=""),"",'I. Stream &amp; Compound Data'!CK225/$J170*(1-AM$127)*(1-AM$123)*$K231)</f>
        <v/>
      </c>
      <c r="AN231" s="1222" t="str">
        <f>IF(OR(AN$122="",I170=""),"",'I. Stream &amp; Compound Data'!CN225/$J170*(1-AN$127)*(1-AN$123)*$K231)</f>
        <v/>
      </c>
      <c r="AO231" s="1222" t="str">
        <f>IF(OR(AO$122="",I170=""),"",'I. Stream &amp; Compound Data'!CQ225/$J170*(1-AO$127)*(1-AO$123)*$K231)</f>
        <v/>
      </c>
      <c r="AP231" s="1222" t="str">
        <f>IF(OR(AP$122="",I170=""),"",'I. Stream &amp; Compound Data'!CT225/$J170*(1-AP$127)*(1-AP$123)*$K231)</f>
        <v/>
      </c>
      <c r="AQ231" s="1222" t="str">
        <f>IF(OR(AQ$122="",I170=""),"",'I. Stream &amp; Compound Data'!CW225/$J170*(1-AQ$127)*(1-AQ$123)*$K231)</f>
        <v/>
      </c>
      <c r="AR231" s="1222" t="str">
        <f>IF(OR(AR$122="",I170=""),"",'I. Stream &amp; Compound Data'!CZ225/$J170*(1-AR$127)*(1-AR$123)*$K231)</f>
        <v/>
      </c>
      <c r="AS231" s="1222" t="str">
        <f>IF(OR(AS$122="",I170=""),"",'I. Stream &amp; Compound Data'!DC225/$J170*(1-AS$127)*(1-AS$123)*$K231)</f>
        <v/>
      </c>
      <c r="AT231" s="1222" t="str">
        <f>IF(OR(AT$122="",I170=""),"",'I. Stream &amp; Compound Data'!DF225/$J170*(1-AT$127)*(1-AT$123)*$K231)</f>
        <v/>
      </c>
      <c r="AU231" s="1222" t="str">
        <f>IF(OR(AU$122="",I170=""),"",'I. Stream &amp; Compound Data'!DI225/$J170*(1-AU$127)*(1-AU$123)*$K231)</f>
        <v/>
      </c>
      <c r="AV231" s="1222" t="str">
        <f>IF(OR(AV$122="",I170=""),"",'I. Stream &amp; Compound Data'!DL225/$J170*(1-AV$127)*(1-AV$123)*$K231)</f>
        <v/>
      </c>
      <c r="AW231" s="1222" t="str">
        <f>IF(OR(AW$122="",I170=""),"",'I. Stream &amp; Compound Data'!DO225/$J170*(1-AW$127)*(1-AW$123)*$K231)</f>
        <v/>
      </c>
      <c r="AX231" s="1222" t="str">
        <f>IF(OR(AX$122="",I170=""),"",'I. Stream &amp; Compound Data'!DR225/$J170*(1-AX$127)*(1-AX$123)*$K231)</f>
        <v/>
      </c>
      <c r="AY231" s="1516" t="str">
        <f>IF(OR(AY$122="",I170=""),"",'I. Stream &amp; Compound Data'!DU225/$J170*(1-AY$127)*(1-AY$123)*$K231)</f>
        <v/>
      </c>
      <c r="AZ231" s="279"/>
      <c r="BA231" s="279"/>
      <c r="BB231" s="279"/>
      <c r="BC231" s="279"/>
      <c r="BD231" s="279"/>
      <c r="BE231" s="279"/>
      <c r="BF231" s="279"/>
      <c r="BG231" s="279"/>
      <c r="BH231" s="279"/>
      <c r="BI231" s="279"/>
      <c r="BJ231" s="279"/>
      <c r="BK231" s="279"/>
      <c r="BL231" s="279"/>
      <c r="BM231" s="279"/>
      <c r="BN231" s="279"/>
      <c r="BO231" s="279"/>
      <c r="BP231" s="279"/>
      <c r="BQ231" s="279"/>
      <c r="BR231" s="279"/>
      <c r="BS231" s="279"/>
      <c r="BT231" s="279"/>
      <c r="BU231" s="279"/>
      <c r="BV231" s="279"/>
      <c r="BW231" s="279"/>
      <c r="BX231" s="279"/>
      <c r="BY231" s="279"/>
      <c r="BZ231" s="279"/>
      <c r="CA231" s="279"/>
      <c r="CB231" s="279"/>
      <c r="CC231" s="279"/>
      <c r="CD231" s="279"/>
      <c r="CE231" s="279"/>
      <c r="CF231" s="279"/>
      <c r="CG231" s="279"/>
      <c r="CH231" s="279"/>
      <c r="CI231" s="279"/>
      <c r="CJ231" s="279"/>
      <c r="CK231" s="279"/>
      <c r="CL231" s="279"/>
      <c r="CM231" s="279"/>
      <c r="CN231" s="382"/>
    </row>
    <row r="232" ht="15.6" x14ac:dyDescent="0.25">
      <c r="B232" s="361"/>
      <c r="C232" s="279"/>
      <c r="D232" s="280"/>
      <c r="E232" s="287"/>
      <c r="F232" s="287"/>
      <c r="G232" s="287"/>
      <c r="H232" s="280"/>
      <c r="I232" s="304"/>
      <c r="J232" s="1292">
        <f t="shared" si="23"/>
        <v>41</v>
      </c>
      <c r="K232" s="1242" t="str">
        <f>IF('I. Stream &amp; Compound Data'!G302="","",IF('I. Stream &amp; Compound Data'!V302=1,0,1))</f>
        <v/>
      </c>
      <c r="L232" s="1242" t="str">
        <f>IF(OR(L$122="",I171=""),"",'I. Stream &amp; Compound Data'!H226/$J171*(1-L$127)*(1-L$123)*$K232)</f>
        <v/>
      </c>
      <c r="M232" s="1242" t="str">
        <f>IF(OR(M$122="",I171=""),"",'I. Stream &amp; Compound Data'!K226/$J171*(1-M$127)*(1-M$123)*$K232)</f>
        <v/>
      </c>
      <c r="N232" s="1306" t="str">
        <f>IF(OR(N$122="",I171=""),"",'I. Stream &amp; Compound Data'!N226/$J171*(1-N$127)*(1-N$123)*$K232)</f>
        <v/>
      </c>
      <c r="O232" s="1242" t="str">
        <f>IF(OR(O$122="",I171=""),"",'I. Stream &amp; Compound Data'!Q226/$J171*(1-O$127)*(1-O$123)*$K232)</f>
        <v/>
      </c>
      <c r="P232" s="1242" t="str">
        <f>IF(OR(P$122="",I171=""),"",'I. Stream &amp; Compound Data'!T226/$J171*(1-P$127)*(1-P$123)*$K232)</f>
        <v/>
      </c>
      <c r="Q232" s="202" t="str">
        <f>IF(OR(Q$122="",I171=""),"",'I. Stream &amp; Compound Data'!W226/$J171*(1-Q$127)*(1-Q$123)*$K232)</f>
        <v/>
      </c>
      <c r="R232" s="1168" t="str">
        <f>IF(OR(R$122="",I171=""),"",'I. Stream &amp; Compound Data'!Z226/$J171*(1-R$127)*(1-R$123)*$K232)</f>
        <v/>
      </c>
      <c r="S232" s="1168" t="str">
        <f>IF(OR(S$122="",I171=""),"",'I. Stream &amp; Compound Data'!AC226/$J171*(1-S$127)*(1-S$123)*$K232)</f>
        <v/>
      </c>
      <c r="T232" s="1168" t="str">
        <f>IF(OR(T$122="",I171=""),"",'I. Stream &amp; Compound Data'!AF226/$J171*(1-T$127)*(1-T$123)*$K232)</f>
        <v/>
      </c>
      <c r="U232" s="1222" t="str">
        <f>IF(OR(U$122="",I171=""),"",'I. Stream &amp; Compound Data'!AI226/$J171*(1-U$127)*(1-U$123)*$K232)</f>
        <v/>
      </c>
      <c r="V232" s="1222" t="str">
        <f>IF(OR(V$122="",I171=""),"",'I. Stream &amp; Compound Data'!AL226/$J171*(1-V$127)*(1-V$123)*$K232)</f>
        <v/>
      </c>
      <c r="W232" s="1222" t="str">
        <f>IF(OR(W$122="",I171=""),"",'I. Stream &amp; Compound Data'!AO226/$J171*(1-W$127)*(1-W$123)*$K232)</f>
        <v/>
      </c>
      <c r="X232" s="1222" t="str">
        <f>IF(OR(X$122="",I171=""),"",'I. Stream &amp; Compound Data'!AR226/$J171*(1-X$127)*(1-X$123)*$K232)</f>
        <v/>
      </c>
      <c r="Y232" s="1222" t="str">
        <f>IF(OR(Y$122="",I171=""),"",'I. Stream &amp; Compound Data'!AU226/$J171*(1-Y$127)*(1-Y$123)*$K232)</f>
        <v/>
      </c>
      <c r="Z232" s="1222" t="str">
        <f>IF(OR(Z$122="",I171=""),"",'I. Stream &amp; Compound Data'!AX226/$J171*(1-Z$127)*(1-Z$123)*$K232)</f>
        <v/>
      </c>
      <c r="AA232" s="1222" t="str">
        <f>IF(OR(AA$122="",I171=""),"",'I. Stream &amp; Compound Data'!BA226/$J171*(1-AA$127)*(1-AA$123)*$K232)</f>
        <v/>
      </c>
      <c r="AB232" s="1222" t="str">
        <f>IF(OR(AB$122="",I171=""),"",'I. Stream &amp; Compound Data'!BD226/$J171*(1-AB$127)*(1-AB$123)*$K232)</f>
        <v/>
      </c>
      <c r="AC232" s="1222" t="str">
        <f>IF(OR(AC$122="",I171=""),"",'I. Stream &amp; Compound Data'!BG226/$J171*(1-AC$127)*(1-AC$123)*$K232)</f>
        <v/>
      </c>
      <c r="AD232" s="1222" t="str">
        <f>IF(OR(AD$122="",I171=""),"",'I. Stream &amp; Compound Data'!BJ226/$J171*(1-AD$127)*(1-AD$123)*$K232)</f>
        <v/>
      </c>
      <c r="AE232" s="1222" t="str">
        <f>IF(OR(AE$122="",I171=""),"",'I. Stream &amp; Compound Data'!BM226/$J171*(1-AE$127)*(1-AE$123)*$K232)</f>
        <v/>
      </c>
      <c r="AF232" s="1222" t="str">
        <f>IF(OR(AF$122="",I171=""),"",'I. Stream &amp; Compound Data'!BP226/$J171*(1-AF$127)*(1-AF$123)*$K232)</f>
        <v/>
      </c>
      <c r="AG232" s="1222" t="str">
        <f>IF(OR(AG$122="",I171=""),"",'I. Stream &amp; Compound Data'!BS226/$J171*(1-AG$127)*(1-AG$123)*$K232)</f>
        <v/>
      </c>
      <c r="AH232" s="1222" t="str">
        <f>IF(OR(AH$122="",I171=""),"",'I. Stream &amp; Compound Data'!BV226/$J171*(1-AH$127)*(1-AH$123)*$K232)</f>
        <v/>
      </c>
      <c r="AI232" s="1222" t="str">
        <f>IF(OR(AI$122="",I171=""),"",'I. Stream &amp; Compound Data'!BY226/$J171*(1-AI$127)*(1-AI$123)*$K232)</f>
        <v/>
      </c>
      <c r="AJ232" s="1222" t="str">
        <f>IF(OR(AJ$122="",I171=""),"",'I. Stream &amp; Compound Data'!CB226/$J171*(1-AJ$127)*(1-AJ$123)*$K232)</f>
        <v/>
      </c>
      <c r="AK232" s="1222" t="str">
        <f>IF(OR(AK$122="",I171=""),"",'I. Stream &amp; Compound Data'!CE226/$J171*(1-AK$127)*(1-AK$123)*$K232)</f>
        <v/>
      </c>
      <c r="AL232" s="1222" t="str">
        <f>IF(OR(AL$122="",I171=""),"",'I. Stream &amp; Compound Data'!CH226/$J171*(1-AL$127)*(1-AL$123)*$K232)</f>
        <v/>
      </c>
      <c r="AM232" s="1222" t="str">
        <f>IF(OR(AM$122="",I171=""),"",'I. Stream &amp; Compound Data'!CK226/$J171*(1-AM$127)*(1-AM$123)*$K232)</f>
        <v/>
      </c>
      <c r="AN232" s="1222" t="str">
        <f>IF(OR(AN$122="",I171=""),"",'I. Stream &amp; Compound Data'!CN226/$J171*(1-AN$127)*(1-AN$123)*$K232)</f>
        <v/>
      </c>
      <c r="AO232" s="1222" t="str">
        <f>IF(OR(AO$122="",I171=""),"",'I. Stream &amp; Compound Data'!CQ226/$J171*(1-AO$127)*(1-AO$123)*$K232)</f>
        <v/>
      </c>
      <c r="AP232" s="1222" t="str">
        <f>IF(OR(AP$122="",I171=""),"",'I. Stream &amp; Compound Data'!CT226/$J171*(1-AP$127)*(1-AP$123)*$K232)</f>
        <v/>
      </c>
      <c r="AQ232" s="1222" t="str">
        <f>IF(OR(AQ$122="",I171=""),"",'I. Stream &amp; Compound Data'!CW226/$J171*(1-AQ$127)*(1-AQ$123)*$K232)</f>
        <v/>
      </c>
      <c r="AR232" s="1222" t="str">
        <f>IF(OR(AR$122="",I171=""),"",'I. Stream &amp; Compound Data'!CZ226/$J171*(1-AR$127)*(1-AR$123)*$K232)</f>
        <v/>
      </c>
      <c r="AS232" s="1222" t="str">
        <f>IF(OR(AS$122="",I171=""),"",'I. Stream &amp; Compound Data'!DC226/$J171*(1-AS$127)*(1-AS$123)*$K232)</f>
        <v/>
      </c>
      <c r="AT232" s="1222" t="str">
        <f>IF(OR(AT$122="",I171=""),"",'I. Stream &amp; Compound Data'!DF226/$J171*(1-AT$127)*(1-AT$123)*$K232)</f>
        <v/>
      </c>
      <c r="AU232" s="1222" t="str">
        <f>IF(OR(AU$122="",I171=""),"",'I. Stream &amp; Compound Data'!DI226/$J171*(1-AU$127)*(1-AU$123)*$K232)</f>
        <v/>
      </c>
      <c r="AV232" s="1222" t="str">
        <f>IF(OR(AV$122="",I171=""),"",'I. Stream &amp; Compound Data'!DL226/$J171*(1-AV$127)*(1-AV$123)*$K232)</f>
        <v/>
      </c>
      <c r="AW232" s="1222" t="str">
        <f>IF(OR(AW$122="",I171=""),"",'I. Stream &amp; Compound Data'!DO226/$J171*(1-AW$127)*(1-AW$123)*$K232)</f>
        <v/>
      </c>
      <c r="AX232" s="1222" t="str">
        <f>IF(OR(AX$122="",I171=""),"",'I. Stream &amp; Compound Data'!DR226/$J171*(1-AX$127)*(1-AX$123)*$K232)</f>
        <v/>
      </c>
      <c r="AY232" s="1516" t="str">
        <f>IF(OR(AY$122="",I171=""),"",'I. Stream &amp; Compound Data'!DU226/$J171*(1-AY$127)*(1-AY$123)*$K232)</f>
        <v/>
      </c>
      <c r="AZ232" s="279"/>
      <c r="BA232" s="279"/>
      <c r="BB232" s="279"/>
      <c r="BC232" s="279"/>
      <c r="BD232" s="279"/>
      <c r="BE232" s="279"/>
      <c r="BF232" s="279"/>
      <c r="BG232" s="279"/>
      <c r="BH232" s="279"/>
      <c r="BI232" s="279"/>
      <c r="BJ232" s="279"/>
      <c r="BK232" s="279"/>
      <c r="BL232" s="279"/>
      <c r="BM232" s="279"/>
      <c r="BN232" s="279"/>
      <c r="BO232" s="279"/>
      <c r="BP232" s="279"/>
      <c r="BQ232" s="279"/>
      <c r="BR232" s="279"/>
      <c r="BS232" s="279"/>
      <c r="BT232" s="279"/>
      <c r="BU232" s="279"/>
      <c r="BV232" s="279"/>
      <c r="BW232" s="279"/>
      <c r="BX232" s="279"/>
      <c r="BY232" s="279"/>
      <c r="BZ232" s="279"/>
      <c r="CA232" s="279"/>
      <c r="CB232" s="279"/>
      <c r="CC232" s="279"/>
      <c r="CD232" s="279"/>
      <c r="CE232" s="279"/>
      <c r="CF232" s="279"/>
      <c r="CG232" s="279"/>
      <c r="CH232" s="279"/>
      <c r="CI232" s="279"/>
      <c r="CJ232" s="279"/>
      <c r="CK232" s="279"/>
      <c r="CL232" s="279"/>
      <c r="CM232" s="279"/>
      <c r="CN232" s="382"/>
    </row>
    <row r="233" ht="15.6" x14ac:dyDescent="0.25">
      <c r="B233" s="361"/>
      <c r="C233" s="279"/>
      <c r="D233" s="280"/>
      <c r="E233" s="287"/>
      <c r="F233" s="287"/>
      <c r="G233" s="287"/>
      <c r="H233" s="280"/>
      <c r="I233" s="304"/>
      <c r="J233" s="1292">
        <f t="shared" si="23"/>
        <v>42</v>
      </c>
      <c r="K233" s="1242" t="str">
        <f>IF('I. Stream &amp; Compound Data'!G303="","",IF('I. Stream &amp; Compound Data'!V303=1,0,1))</f>
        <v/>
      </c>
      <c r="L233" s="1242" t="str">
        <f>IF(OR(L$122="",I172=""),"",'I. Stream &amp; Compound Data'!H227/$J172*(1-L$127)*(1-L$123)*$K233)</f>
        <v/>
      </c>
      <c r="M233" s="1242" t="str">
        <f>IF(OR(M$122="",I172=""),"",'I. Stream &amp; Compound Data'!K227/$J172*(1-M$127)*(1-M$123)*$K233)</f>
        <v/>
      </c>
      <c r="N233" s="1306" t="str">
        <f>IF(OR(N$122="",I172=""),"",'I. Stream &amp; Compound Data'!N227/$J172*(1-N$127)*(1-N$123)*$K233)</f>
        <v/>
      </c>
      <c r="O233" s="1242" t="str">
        <f>IF(OR(O$122="",I172=""),"",'I. Stream &amp; Compound Data'!Q227/$J172*(1-O$127)*(1-O$123)*$K233)</f>
        <v/>
      </c>
      <c r="P233" s="1242" t="str">
        <f>IF(OR(P$122="",I172=""),"",'I. Stream &amp; Compound Data'!T227/$J172*(1-P$127)*(1-P$123)*$K233)</f>
        <v/>
      </c>
      <c r="Q233" s="202" t="str">
        <f>IF(OR(Q$122="",I172=""),"",'I. Stream &amp; Compound Data'!W227/$J172*(1-Q$127)*(1-Q$123)*$K233)</f>
        <v/>
      </c>
      <c r="R233" s="1168" t="str">
        <f>IF(OR(R$122="",I172=""),"",'I. Stream &amp; Compound Data'!Z227/$J172*(1-R$127)*(1-R$123)*$K233)</f>
        <v/>
      </c>
      <c r="S233" s="1168" t="str">
        <f>IF(OR(S$122="",I172=""),"",'I. Stream &amp; Compound Data'!AC227/$J172*(1-S$127)*(1-S$123)*$K233)</f>
        <v/>
      </c>
      <c r="T233" s="1168" t="str">
        <f>IF(OR(T$122="",I172=""),"",'I. Stream &amp; Compound Data'!AF227/$J172*(1-T$127)*(1-T$123)*$K233)</f>
        <v/>
      </c>
      <c r="U233" s="1222" t="str">
        <f>IF(OR(U$122="",I172=""),"",'I. Stream &amp; Compound Data'!AI227/$J172*(1-U$127)*(1-U$123)*$K233)</f>
        <v/>
      </c>
      <c r="V233" s="1222" t="str">
        <f>IF(OR(V$122="",I172=""),"",'I. Stream &amp; Compound Data'!AL227/$J172*(1-V$127)*(1-V$123)*$K233)</f>
        <v/>
      </c>
      <c r="W233" s="1222" t="str">
        <f>IF(OR(W$122="",I172=""),"",'I. Stream &amp; Compound Data'!AO227/$J172*(1-W$127)*(1-W$123)*$K233)</f>
        <v/>
      </c>
      <c r="X233" s="1222" t="str">
        <f>IF(OR(X$122="",I172=""),"",'I. Stream &amp; Compound Data'!AR227/$J172*(1-X$127)*(1-X$123)*$K233)</f>
        <v/>
      </c>
      <c r="Y233" s="1222" t="str">
        <f>IF(OR(Y$122="",I172=""),"",'I. Stream &amp; Compound Data'!AU227/$J172*(1-Y$127)*(1-Y$123)*$K233)</f>
        <v/>
      </c>
      <c r="Z233" s="1222" t="str">
        <f>IF(OR(Z$122="",I172=""),"",'I. Stream &amp; Compound Data'!AX227/$J172*(1-Z$127)*(1-Z$123)*$K233)</f>
        <v/>
      </c>
      <c r="AA233" s="1222" t="str">
        <f>IF(OR(AA$122="",I172=""),"",'I. Stream &amp; Compound Data'!BA227/$J172*(1-AA$127)*(1-AA$123)*$K233)</f>
        <v/>
      </c>
      <c r="AB233" s="1222" t="str">
        <f>IF(OR(AB$122="",I172=""),"",'I. Stream &amp; Compound Data'!BD227/$J172*(1-AB$127)*(1-AB$123)*$K233)</f>
        <v/>
      </c>
      <c r="AC233" s="1222" t="str">
        <f>IF(OR(AC$122="",I172=""),"",'I. Stream &amp; Compound Data'!BG227/$J172*(1-AC$127)*(1-AC$123)*$K233)</f>
        <v/>
      </c>
      <c r="AD233" s="1222" t="str">
        <f>IF(OR(AD$122="",I172=""),"",'I. Stream &amp; Compound Data'!BJ227/$J172*(1-AD$127)*(1-AD$123)*$K233)</f>
        <v/>
      </c>
      <c r="AE233" s="1222" t="str">
        <f>IF(OR(AE$122="",I172=""),"",'I. Stream &amp; Compound Data'!BM227/$J172*(1-AE$127)*(1-AE$123)*$K233)</f>
        <v/>
      </c>
      <c r="AF233" s="1222" t="str">
        <f>IF(OR(AF$122="",I172=""),"",'I. Stream &amp; Compound Data'!BP227/$J172*(1-AF$127)*(1-AF$123)*$K233)</f>
        <v/>
      </c>
      <c r="AG233" s="1222" t="str">
        <f>IF(OR(AG$122="",I172=""),"",'I. Stream &amp; Compound Data'!BS227/$J172*(1-AG$127)*(1-AG$123)*$K233)</f>
        <v/>
      </c>
      <c r="AH233" s="1222" t="str">
        <f>IF(OR(AH$122="",I172=""),"",'I. Stream &amp; Compound Data'!BV227/$J172*(1-AH$127)*(1-AH$123)*$K233)</f>
        <v/>
      </c>
      <c r="AI233" s="1222" t="str">
        <f>IF(OR(AI$122="",I172=""),"",'I. Stream &amp; Compound Data'!BY227/$J172*(1-AI$127)*(1-AI$123)*$K233)</f>
        <v/>
      </c>
      <c r="AJ233" s="1222" t="str">
        <f>IF(OR(AJ$122="",I172=""),"",'I. Stream &amp; Compound Data'!CB227/$J172*(1-AJ$127)*(1-AJ$123)*$K233)</f>
        <v/>
      </c>
      <c r="AK233" s="1222" t="str">
        <f>IF(OR(AK$122="",I172=""),"",'I. Stream &amp; Compound Data'!CE227/$J172*(1-AK$127)*(1-AK$123)*$K233)</f>
        <v/>
      </c>
      <c r="AL233" s="1222" t="str">
        <f>IF(OR(AL$122="",I172=""),"",'I. Stream &amp; Compound Data'!CH227/$J172*(1-AL$127)*(1-AL$123)*$K233)</f>
        <v/>
      </c>
      <c r="AM233" s="1222" t="str">
        <f>IF(OR(AM$122="",I172=""),"",'I. Stream &amp; Compound Data'!CK227/$J172*(1-AM$127)*(1-AM$123)*$K233)</f>
        <v/>
      </c>
      <c r="AN233" s="1222" t="str">
        <f>IF(OR(AN$122="",I172=""),"",'I. Stream &amp; Compound Data'!CN227/$J172*(1-AN$127)*(1-AN$123)*$K233)</f>
        <v/>
      </c>
      <c r="AO233" s="1222" t="str">
        <f>IF(OR(AO$122="",I172=""),"",'I. Stream &amp; Compound Data'!CQ227/$J172*(1-AO$127)*(1-AO$123)*$K233)</f>
        <v/>
      </c>
      <c r="AP233" s="1222" t="str">
        <f>IF(OR(AP$122="",I172=""),"",'I. Stream &amp; Compound Data'!CT227/$J172*(1-AP$127)*(1-AP$123)*$K233)</f>
        <v/>
      </c>
      <c r="AQ233" s="1222" t="str">
        <f>IF(OR(AQ$122="",I172=""),"",'I. Stream &amp; Compound Data'!CW227/$J172*(1-AQ$127)*(1-AQ$123)*$K233)</f>
        <v/>
      </c>
      <c r="AR233" s="1222" t="str">
        <f>IF(OR(AR$122="",I172=""),"",'I. Stream &amp; Compound Data'!CZ227/$J172*(1-AR$127)*(1-AR$123)*$K233)</f>
        <v/>
      </c>
      <c r="AS233" s="1222" t="str">
        <f>IF(OR(AS$122="",I172=""),"",'I. Stream &amp; Compound Data'!DC227/$J172*(1-AS$127)*(1-AS$123)*$K233)</f>
        <v/>
      </c>
      <c r="AT233" s="1222" t="str">
        <f>IF(OR(AT$122="",I172=""),"",'I. Stream &amp; Compound Data'!DF227/$J172*(1-AT$127)*(1-AT$123)*$K233)</f>
        <v/>
      </c>
      <c r="AU233" s="1222" t="str">
        <f>IF(OR(AU$122="",I172=""),"",'I. Stream &amp; Compound Data'!DI227/$J172*(1-AU$127)*(1-AU$123)*$K233)</f>
        <v/>
      </c>
      <c r="AV233" s="1222" t="str">
        <f>IF(OR(AV$122="",I172=""),"",'I. Stream &amp; Compound Data'!DL227/$J172*(1-AV$127)*(1-AV$123)*$K233)</f>
        <v/>
      </c>
      <c r="AW233" s="1222" t="str">
        <f>IF(OR(AW$122="",I172=""),"",'I. Stream &amp; Compound Data'!DO227/$J172*(1-AW$127)*(1-AW$123)*$K233)</f>
        <v/>
      </c>
      <c r="AX233" s="1222" t="str">
        <f>IF(OR(AX$122="",I172=""),"",'I. Stream &amp; Compound Data'!DR227/$J172*(1-AX$127)*(1-AX$123)*$K233)</f>
        <v/>
      </c>
      <c r="AY233" s="1516" t="str">
        <f>IF(OR(AY$122="",I172=""),"",'I. Stream &amp; Compound Data'!DU227/$J172*(1-AY$127)*(1-AY$123)*$K233)</f>
        <v/>
      </c>
      <c r="AZ233" s="279"/>
      <c r="BA233" s="279"/>
      <c r="BB233" s="279"/>
      <c r="BC233" s="279"/>
      <c r="BD233" s="279"/>
      <c r="BE233" s="279"/>
      <c r="BF233" s="279"/>
      <c r="BG233" s="279"/>
      <c r="BH233" s="279"/>
      <c r="BI233" s="279"/>
      <c r="BJ233" s="279"/>
      <c r="BK233" s="279"/>
      <c r="BL233" s="279"/>
      <c r="BM233" s="279"/>
      <c r="BN233" s="279"/>
      <c r="BO233" s="279"/>
      <c r="BP233" s="279"/>
      <c r="BQ233" s="279"/>
      <c r="BR233" s="279"/>
      <c r="BS233" s="279"/>
      <c r="BT233" s="279"/>
      <c r="BU233" s="279"/>
      <c r="BV233" s="279"/>
      <c r="BW233" s="279"/>
      <c r="BX233" s="279"/>
      <c r="BY233" s="279"/>
      <c r="BZ233" s="279"/>
      <c r="CA233" s="279"/>
      <c r="CB233" s="279"/>
      <c r="CC233" s="279"/>
      <c r="CD233" s="279"/>
      <c r="CE233" s="279"/>
      <c r="CF233" s="279"/>
      <c r="CG233" s="279"/>
      <c r="CH233" s="279"/>
      <c r="CI233" s="279"/>
      <c r="CJ233" s="279"/>
      <c r="CK233" s="279"/>
      <c r="CL233" s="279"/>
      <c r="CM233" s="279"/>
      <c r="CN233" s="382"/>
    </row>
    <row r="234" ht="15.6" x14ac:dyDescent="0.25">
      <c r="B234" s="361"/>
      <c r="C234" s="279"/>
      <c r="D234" s="280"/>
      <c r="E234" s="287"/>
      <c r="F234" s="287"/>
      <c r="G234" s="287"/>
      <c r="H234" s="280"/>
      <c r="I234" s="304"/>
      <c r="J234" s="1292">
        <f t="shared" si="23"/>
        <v>43</v>
      </c>
      <c r="K234" s="1242" t="str">
        <f>IF('I. Stream &amp; Compound Data'!G304="","",IF('I. Stream &amp; Compound Data'!V304=1,0,1))</f>
        <v/>
      </c>
      <c r="L234" s="1242" t="str">
        <f>IF(OR(L$122="",I173=""),"",'I. Stream &amp; Compound Data'!H228/$J173*(1-L$127)*(1-L$123)*$K234)</f>
        <v/>
      </c>
      <c r="M234" s="1242" t="str">
        <f>IF(OR(M$122="",I173=""),"",'I. Stream &amp; Compound Data'!K228/$J173*(1-M$127)*(1-M$123)*$K234)</f>
        <v/>
      </c>
      <c r="N234" s="1306" t="str">
        <f>IF(OR(N$122="",I173=""),"",'I. Stream &amp; Compound Data'!N228/$J173*(1-N$127)*(1-N$123)*$K234)</f>
        <v/>
      </c>
      <c r="O234" s="1242" t="str">
        <f>IF(OR(O$122="",I173=""),"",'I. Stream &amp; Compound Data'!Q228/$J173*(1-O$127)*(1-O$123)*$K234)</f>
        <v/>
      </c>
      <c r="P234" s="1242" t="str">
        <f>IF(OR(P$122="",I173=""),"",'I. Stream &amp; Compound Data'!T228/$J173*(1-P$127)*(1-P$123)*$K234)</f>
        <v/>
      </c>
      <c r="Q234" s="202" t="str">
        <f>IF(OR(Q$122="",I173=""),"",'I. Stream &amp; Compound Data'!W228/$J173*(1-Q$127)*(1-Q$123)*$K234)</f>
        <v/>
      </c>
      <c r="R234" s="1168" t="str">
        <f>IF(OR(R$122="",I173=""),"",'I. Stream &amp; Compound Data'!Z228/$J173*(1-R$127)*(1-R$123)*$K234)</f>
        <v/>
      </c>
      <c r="S234" s="1168" t="str">
        <f>IF(OR(S$122="",I173=""),"",'I. Stream &amp; Compound Data'!AC228/$J173*(1-S$127)*(1-S$123)*$K234)</f>
        <v/>
      </c>
      <c r="T234" s="1168" t="str">
        <f>IF(OR(T$122="",I173=""),"",'I. Stream &amp; Compound Data'!AF228/$J173*(1-T$127)*(1-T$123)*$K234)</f>
        <v/>
      </c>
      <c r="U234" s="1222" t="str">
        <f>IF(OR(U$122="",I173=""),"",'I. Stream &amp; Compound Data'!AI228/$J173*(1-U$127)*(1-U$123)*$K234)</f>
        <v/>
      </c>
      <c r="V234" s="1222" t="str">
        <f>IF(OR(V$122="",I173=""),"",'I. Stream &amp; Compound Data'!AL228/$J173*(1-V$127)*(1-V$123)*$K234)</f>
        <v/>
      </c>
      <c r="W234" s="1222" t="str">
        <f>IF(OR(W$122="",I173=""),"",'I. Stream &amp; Compound Data'!AO228/$J173*(1-W$127)*(1-W$123)*$K234)</f>
        <v/>
      </c>
      <c r="X234" s="1222" t="str">
        <f>IF(OR(X$122="",I173=""),"",'I. Stream &amp; Compound Data'!AR228/$J173*(1-X$127)*(1-X$123)*$K234)</f>
        <v/>
      </c>
      <c r="Y234" s="1222" t="str">
        <f>IF(OR(Y$122="",I173=""),"",'I. Stream &amp; Compound Data'!AU228/$J173*(1-Y$127)*(1-Y$123)*$K234)</f>
        <v/>
      </c>
      <c r="Z234" s="1222" t="str">
        <f>IF(OR(Z$122="",I173=""),"",'I. Stream &amp; Compound Data'!AX228/$J173*(1-Z$127)*(1-Z$123)*$K234)</f>
        <v/>
      </c>
      <c r="AA234" s="1222" t="str">
        <f>IF(OR(AA$122="",I173=""),"",'I. Stream &amp; Compound Data'!BA228/$J173*(1-AA$127)*(1-AA$123)*$K234)</f>
        <v/>
      </c>
      <c r="AB234" s="1222" t="str">
        <f>IF(OR(AB$122="",I173=""),"",'I. Stream &amp; Compound Data'!BD228/$J173*(1-AB$127)*(1-AB$123)*$K234)</f>
        <v/>
      </c>
      <c r="AC234" s="1222" t="str">
        <f>IF(OR(AC$122="",I173=""),"",'I. Stream &amp; Compound Data'!BG228/$J173*(1-AC$127)*(1-AC$123)*$K234)</f>
        <v/>
      </c>
      <c r="AD234" s="1222" t="str">
        <f>IF(OR(AD$122="",I173=""),"",'I. Stream &amp; Compound Data'!BJ228/$J173*(1-AD$127)*(1-AD$123)*$K234)</f>
        <v/>
      </c>
      <c r="AE234" s="1222" t="str">
        <f>IF(OR(AE$122="",I173=""),"",'I. Stream &amp; Compound Data'!BM228/$J173*(1-AE$127)*(1-AE$123)*$K234)</f>
        <v/>
      </c>
      <c r="AF234" s="1222" t="str">
        <f>IF(OR(AF$122="",I173=""),"",'I. Stream &amp; Compound Data'!BP228/$J173*(1-AF$127)*(1-AF$123)*$K234)</f>
        <v/>
      </c>
      <c r="AG234" s="1222" t="str">
        <f>IF(OR(AG$122="",I173=""),"",'I. Stream &amp; Compound Data'!BS228/$J173*(1-AG$127)*(1-AG$123)*$K234)</f>
        <v/>
      </c>
      <c r="AH234" s="1222" t="str">
        <f>IF(OR(AH$122="",I173=""),"",'I. Stream &amp; Compound Data'!BV228/$J173*(1-AH$127)*(1-AH$123)*$K234)</f>
        <v/>
      </c>
      <c r="AI234" s="1222" t="str">
        <f>IF(OR(AI$122="",I173=""),"",'I. Stream &amp; Compound Data'!BY228/$J173*(1-AI$127)*(1-AI$123)*$K234)</f>
        <v/>
      </c>
      <c r="AJ234" s="1222" t="str">
        <f>IF(OR(AJ$122="",I173=""),"",'I. Stream &amp; Compound Data'!CB228/$J173*(1-AJ$127)*(1-AJ$123)*$K234)</f>
        <v/>
      </c>
      <c r="AK234" s="1222" t="str">
        <f>IF(OR(AK$122="",I173=""),"",'I. Stream &amp; Compound Data'!CE228/$J173*(1-AK$127)*(1-AK$123)*$K234)</f>
        <v/>
      </c>
      <c r="AL234" s="1222" t="str">
        <f>IF(OR(AL$122="",I173=""),"",'I. Stream &amp; Compound Data'!CH228/$J173*(1-AL$127)*(1-AL$123)*$K234)</f>
        <v/>
      </c>
      <c r="AM234" s="1222" t="str">
        <f>IF(OR(AM$122="",I173=""),"",'I. Stream &amp; Compound Data'!CK228/$J173*(1-AM$127)*(1-AM$123)*$K234)</f>
        <v/>
      </c>
      <c r="AN234" s="1222" t="str">
        <f>IF(OR(AN$122="",I173=""),"",'I. Stream &amp; Compound Data'!CN228/$J173*(1-AN$127)*(1-AN$123)*$K234)</f>
        <v/>
      </c>
      <c r="AO234" s="1222" t="str">
        <f>IF(OR(AO$122="",I173=""),"",'I. Stream &amp; Compound Data'!CQ228/$J173*(1-AO$127)*(1-AO$123)*$K234)</f>
        <v/>
      </c>
      <c r="AP234" s="1222" t="str">
        <f>IF(OR(AP$122="",I173=""),"",'I. Stream &amp; Compound Data'!CT228/$J173*(1-AP$127)*(1-AP$123)*$K234)</f>
        <v/>
      </c>
      <c r="AQ234" s="1222" t="str">
        <f>IF(OR(AQ$122="",I173=""),"",'I. Stream &amp; Compound Data'!CW228/$J173*(1-AQ$127)*(1-AQ$123)*$K234)</f>
        <v/>
      </c>
      <c r="AR234" s="1222" t="str">
        <f>IF(OR(AR$122="",I173=""),"",'I. Stream &amp; Compound Data'!CZ228/$J173*(1-AR$127)*(1-AR$123)*$K234)</f>
        <v/>
      </c>
      <c r="AS234" s="1222" t="str">
        <f>IF(OR(AS$122="",I173=""),"",'I. Stream &amp; Compound Data'!DC228/$J173*(1-AS$127)*(1-AS$123)*$K234)</f>
        <v/>
      </c>
      <c r="AT234" s="1222" t="str">
        <f>IF(OR(AT$122="",I173=""),"",'I. Stream &amp; Compound Data'!DF228/$J173*(1-AT$127)*(1-AT$123)*$K234)</f>
        <v/>
      </c>
      <c r="AU234" s="1222" t="str">
        <f>IF(OR(AU$122="",I173=""),"",'I. Stream &amp; Compound Data'!DI228/$J173*(1-AU$127)*(1-AU$123)*$K234)</f>
        <v/>
      </c>
      <c r="AV234" s="1222" t="str">
        <f>IF(OR(AV$122="",I173=""),"",'I. Stream &amp; Compound Data'!DL228/$J173*(1-AV$127)*(1-AV$123)*$K234)</f>
        <v/>
      </c>
      <c r="AW234" s="1222" t="str">
        <f>IF(OR(AW$122="",I173=""),"",'I. Stream &amp; Compound Data'!DO228/$J173*(1-AW$127)*(1-AW$123)*$K234)</f>
        <v/>
      </c>
      <c r="AX234" s="1222" t="str">
        <f>IF(OR(AX$122="",I173=""),"",'I. Stream &amp; Compound Data'!DR228/$J173*(1-AX$127)*(1-AX$123)*$K234)</f>
        <v/>
      </c>
      <c r="AY234" s="1516" t="str">
        <f>IF(OR(AY$122="",I173=""),"",'I. Stream &amp; Compound Data'!DU228/$J173*(1-AY$127)*(1-AY$123)*$K234)</f>
        <v/>
      </c>
      <c r="AZ234" s="279"/>
      <c r="BA234" s="279"/>
      <c r="BB234" s="279"/>
      <c r="BC234" s="279"/>
      <c r="BD234" s="279"/>
      <c r="BE234" s="279"/>
      <c r="BF234" s="279"/>
      <c r="BG234" s="279"/>
      <c r="BH234" s="279"/>
      <c r="BI234" s="279"/>
      <c r="BJ234" s="279"/>
      <c r="BK234" s="279"/>
      <c r="BL234" s="279"/>
      <c r="BM234" s="279"/>
      <c r="BN234" s="279"/>
      <c r="BO234" s="279"/>
      <c r="BP234" s="279"/>
      <c r="BQ234" s="279"/>
      <c r="BR234" s="279"/>
      <c r="BS234" s="279"/>
      <c r="BT234" s="279"/>
      <c r="BU234" s="279"/>
      <c r="BV234" s="279"/>
      <c r="BW234" s="279"/>
      <c r="BX234" s="279"/>
      <c r="BY234" s="279"/>
      <c r="BZ234" s="279"/>
      <c r="CA234" s="279"/>
      <c r="CB234" s="279"/>
      <c r="CC234" s="279"/>
      <c r="CD234" s="279"/>
      <c r="CE234" s="279"/>
      <c r="CF234" s="279"/>
      <c r="CG234" s="279"/>
      <c r="CH234" s="279"/>
      <c r="CI234" s="279"/>
      <c r="CJ234" s="279"/>
      <c r="CK234" s="279"/>
      <c r="CL234" s="279"/>
      <c r="CM234" s="279"/>
      <c r="CN234" s="382"/>
    </row>
    <row r="235" ht="15.6" x14ac:dyDescent="0.25">
      <c r="B235" s="361"/>
      <c r="C235" s="279"/>
      <c r="D235" s="280"/>
      <c r="E235" s="287"/>
      <c r="F235" s="287"/>
      <c r="G235" s="287"/>
      <c r="H235" s="280"/>
      <c r="I235" s="304"/>
      <c r="J235" s="1292">
        <f t="shared" si="23"/>
        <v>44</v>
      </c>
      <c r="K235" s="1242" t="str">
        <f>IF('I. Stream &amp; Compound Data'!G305="","",IF('I. Stream &amp; Compound Data'!V305=1,0,1))</f>
        <v/>
      </c>
      <c r="L235" s="1242" t="str">
        <f>IF(OR(L$122="",I174=""),"",'I. Stream &amp; Compound Data'!H229/$J174*(1-L$127)*(1-L$123)*$K235)</f>
        <v/>
      </c>
      <c r="M235" s="1242" t="str">
        <f>IF(OR(M$122="",I174=""),"",'I. Stream &amp; Compound Data'!K229/$J174*(1-M$127)*(1-M$123)*$K235)</f>
        <v/>
      </c>
      <c r="N235" s="1306" t="str">
        <f>IF(OR(N$122="",I174=""),"",'I. Stream &amp; Compound Data'!N229/$J174*(1-N$127)*(1-N$123)*$K235)</f>
        <v/>
      </c>
      <c r="O235" s="1242" t="str">
        <f>IF(OR(O$122="",I174=""),"",'I. Stream &amp; Compound Data'!Q229/$J174*(1-O$127)*(1-O$123)*$K235)</f>
        <v/>
      </c>
      <c r="P235" s="1242" t="str">
        <f>IF(OR(P$122="",I174=""),"",'I. Stream &amp; Compound Data'!T229/$J174*(1-P$127)*(1-P$123)*$K235)</f>
        <v/>
      </c>
      <c r="Q235" s="202" t="str">
        <f>IF(OR(Q$122="",I174=""),"",'I. Stream &amp; Compound Data'!W229/$J174*(1-Q$127)*(1-Q$123)*$K235)</f>
        <v/>
      </c>
      <c r="R235" s="1168" t="str">
        <f>IF(OR(R$122="",I174=""),"",'I. Stream &amp; Compound Data'!Z229/$J174*(1-R$127)*(1-R$123)*$K235)</f>
        <v/>
      </c>
      <c r="S235" s="1168" t="str">
        <f>IF(OR(S$122="",I174=""),"",'I. Stream &amp; Compound Data'!AC229/$J174*(1-S$127)*(1-S$123)*$K235)</f>
        <v/>
      </c>
      <c r="T235" s="1168" t="str">
        <f>IF(OR(T$122="",I174=""),"",'I. Stream &amp; Compound Data'!AF229/$J174*(1-T$127)*(1-T$123)*$K235)</f>
        <v/>
      </c>
      <c r="U235" s="1222" t="str">
        <f>IF(OR(U$122="",I174=""),"",'I. Stream &amp; Compound Data'!AI229/$J174*(1-U$127)*(1-U$123)*$K235)</f>
        <v/>
      </c>
      <c r="V235" s="1222" t="str">
        <f>IF(OR(V$122="",I174=""),"",'I. Stream &amp; Compound Data'!AL229/$J174*(1-V$127)*(1-V$123)*$K235)</f>
        <v/>
      </c>
      <c r="W235" s="1222" t="str">
        <f>IF(OR(W$122="",I174=""),"",'I. Stream &amp; Compound Data'!AO229/$J174*(1-W$127)*(1-W$123)*$K235)</f>
        <v/>
      </c>
      <c r="X235" s="1222" t="str">
        <f>IF(OR(X$122="",I174=""),"",'I. Stream &amp; Compound Data'!AR229/$J174*(1-X$127)*(1-X$123)*$K235)</f>
        <v/>
      </c>
      <c r="Y235" s="1222" t="str">
        <f>IF(OR(Y$122="",I174=""),"",'I. Stream &amp; Compound Data'!AU229/$J174*(1-Y$127)*(1-Y$123)*$K235)</f>
        <v/>
      </c>
      <c r="Z235" s="1222" t="str">
        <f>IF(OR(Z$122="",I174=""),"",'I. Stream &amp; Compound Data'!AX229/$J174*(1-Z$127)*(1-Z$123)*$K235)</f>
        <v/>
      </c>
      <c r="AA235" s="1222" t="str">
        <f>IF(OR(AA$122="",I174=""),"",'I. Stream &amp; Compound Data'!BA229/$J174*(1-AA$127)*(1-AA$123)*$K235)</f>
        <v/>
      </c>
      <c r="AB235" s="1222" t="str">
        <f>IF(OR(AB$122="",I174=""),"",'I. Stream &amp; Compound Data'!BD229/$J174*(1-AB$127)*(1-AB$123)*$K235)</f>
        <v/>
      </c>
      <c r="AC235" s="1222" t="str">
        <f>IF(OR(AC$122="",I174=""),"",'I. Stream &amp; Compound Data'!BG229/$J174*(1-AC$127)*(1-AC$123)*$K235)</f>
        <v/>
      </c>
      <c r="AD235" s="1222" t="str">
        <f>IF(OR(AD$122="",I174=""),"",'I. Stream &amp; Compound Data'!BJ229/$J174*(1-AD$127)*(1-AD$123)*$K235)</f>
        <v/>
      </c>
      <c r="AE235" s="1222" t="str">
        <f>IF(OR(AE$122="",I174=""),"",'I. Stream &amp; Compound Data'!BM229/$J174*(1-AE$127)*(1-AE$123)*$K235)</f>
        <v/>
      </c>
      <c r="AF235" s="1222" t="str">
        <f>IF(OR(AF$122="",I174=""),"",'I. Stream &amp; Compound Data'!BP229/$J174*(1-AF$127)*(1-AF$123)*$K235)</f>
        <v/>
      </c>
      <c r="AG235" s="1222" t="str">
        <f>IF(OR(AG$122="",I174=""),"",'I. Stream &amp; Compound Data'!BS229/$J174*(1-AG$127)*(1-AG$123)*$K235)</f>
        <v/>
      </c>
      <c r="AH235" s="1222" t="str">
        <f>IF(OR(AH$122="",I174=""),"",'I. Stream &amp; Compound Data'!BV229/$J174*(1-AH$127)*(1-AH$123)*$K235)</f>
        <v/>
      </c>
      <c r="AI235" s="1222" t="str">
        <f>IF(OR(AI$122="",I174=""),"",'I. Stream &amp; Compound Data'!BY229/$J174*(1-AI$127)*(1-AI$123)*$K235)</f>
        <v/>
      </c>
      <c r="AJ235" s="1222" t="str">
        <f>IF(OR(AJ$122="",I174=""),"",'I. Stream &amp; Compound Data'!CB229/$J174*(1-AJ$127)*(1-AJ$123)*$K235)</f>
        <v/>
      </c>
      <c r="AK235" s="1222" t="str">
        <f>IF(OR(AK$122="",I174=""),"",'I. Stream &amp; Compound Data'!CE229/$J174*(1-AK$127)*(1-AK$123)*$K235)</f>
        <v/>
      </c>
      <c r="AL235" s="1222" t="str">
        <f>IF(OR(AL$122="",I174=""),"",'I. Stream &amp; Compound Data'!CH229/$J174*(1-AL$127)*(1-AL$123)*$K235)</f>
        <v/>
      </c>
      <c r="AM235" s="1222" t="str">
        <f>IF(OR(AM$122="",I174=""),"",'I. Stream &amp; Compound Data'!CK229/$J174*(1-AM$127)*(1-AM$123)*$K235)</f>
        <v/>
      </c>
      <c r="AN235" s="1222" t="str">
        <f>IF(OR(AN$122="",I174=""),"",'I. Stream &amp; Compound Data'!CN229/$J174*(1-AN$127)*(1-AN$123)*$K235)</f>
        <v/>
      </c>
      <c r="AO235" s="1222" t="str">
        <f>IF(OR(AO$122="",I174=""),"",'I. Stream &amp; Compound Data'!CQ229/$J174*(1-AO$127)*(1-AO$123)*$K235)</f>
        <v/>
      </c>
      <c r="AP235" s="1222" t="str">
        <f>IF(OR(AP$122="",I174=""),"",'I. Stream &amp; Compound Data'!CT229/$J174*(1-AP$127)*(1-AP$123)*$K235)</f>
        <v/>
      </c>
      <c r="AQ235" s="1222" t="str">
        <f>IF(OR(AQ$122="",I174=""),"",'I. Stream &amp; Compound Data'!CW229/$J174*(1-AQ$127)*(1-AQ$123)*$K235)</f>
        <v/>
      </c>
      <c r="AR235" s="1222" t="str">
        <f>IF(OR(AR$122="",I174=""),"",'I. Stream &amp; Compound Data'!CZ229/$J174*(1-AR$127)*(1-AR$123)*$K235)</f>
        <v/>
      </c>
      <c r="AS235" s="1222" t="str">
        <f>IF(OR(AS$122="",I174=""),"",'I. Stream &amp; Compound Data'!DC229/$J174*(1-AS$127)*(1-AS$123)*$K235)</f>
        <v/>
      </c>
      <c r="AT235" s="1222" t="str">
        <f>IF(OR(AT$122="",I174=""),"",'I. Stream &amp; Compound Data'!DF229/$J174*(1-AT$127)*(1-AT$123)*$K235)</f>
        <v/>
      </c>
      <c r="AU235" s="1222" t="str">
        <f>IF(OR(AU$122="",I174=""),"",'I. Stream &amp; Compound Data'!DI229/$J174*(1-AU$127)*(1-AU$123)*$K235)</f>
        <v/>
      </c>
      <c r="AV235" s="1222" t="str">
        <f>IF(OR(AV$122="",I174=""),"",'I. Stream &amp; Compound Data'!DL229/$J174*(1-AV$127)*(1-AV$123)*$K235)</f>
        <v/>
      </c>
      <c r="AW235" s="1222" t="str">
        <f>IF(OR(AW$122="",I174=""),"",'I. Stream &amp; Compound Data'!DO229/$J174*(1-AW$127)*(1-AW$123)*$K235)</f>
        <v/>
      </c>
      <c r="AX235" s="1222" t="str">
        <f>IF(OR(AX$122="",I174=""),"",'I. Stream &amp; Compound Data'!DR229/$J174*(1-AX$127)*(1-AX$123)*$K235)</f>
        <v/>
      </c>
      <c r="AY235" s="1516" t="str">
        <f>IF(OR(AY$122="",I174=""),"",'I. Stream &amp; Compound Data'!DU229/$J174*(1-AY$127)*(1-AY$123)*$K235)</f>
        <v/>
      </c>
      <c r="AZ235" s="279"/>
      <c r="BA235" s="279"/>
      <c r="BB235" s="279"/>
      <c r="BC235" s="279"/>
      <c r="BD235" s="279"/>
      <c r="BE235" s="279"/>
      <c r="BF235" s="279"/>
      <c r="BG235" s="279"/>
      <c r="BH235" s="279"/>
      <c r="BI235" s="279"/>
      <c r="BJ235" s="279"/>
      <c r="BK235" s="279"/>
      <c r="BL235" s="279"/>
      <c r="BM235" s="279"/>
      <c r="BN235" s="279"/>
      <c r="BO235" s="279"/>
      <c r="BP235" s="279"/>
      <c r="BQ235" s="279"/>
      <c r="BR235" s="279"/>
      <c r="BS235" s="279"/>
      <c r="BT235" s="279"/>
      <c r="BU235" s="279"/>
      <c r="BV235" s="279"/>
      <c r="BW235" s="279"/>
      <c r="BX235" s="279"/>
      <c r="BY235" s="279"/>
      <c r="BZ235" s="279"/>
      <c r="CA235" s="279"/>
      <c r="CB235" s="279"/>
      <c r="CC235" s="279"/>
      <c r="CD235" s="279"/>
      <c r="CE235" s="279"/>
      <c r="CF235" s="279"/>
      <c r="CG235" s="279"/>
      <c r="CH235" s="279"/>
      <c r="CI235" s="279"/>
      <c r="CJ235" s="279"/>
      <c r="CK235" s="279"/>
      <c r="CL235" s="279"/>
      <c r="CM235" s="279"/>
      <c r="CN235" s="382"/>
    </row>
    <row r="236" ht="15.6" x14ac:dyDescent="0.25">
      <c r="B236" s="361"/>
      <c r="C236" s="279"/>
      <c r="D236" s="280"/>
      <c r="E236" s="287"/>
      <c r="F236" s="287"/>
      <c r="G236" s="287"/>
      <c r="H236" s="280"/>
      <c r="I236" s="304"/>
      <c r="J236" s="1292">
        <f t="shared" si="23"/>
        <v>45</v>
      </c>
      <c r="K236" s="1242" t="str">
        <f>IF('I. Stream &amp; Compound Data'!G306="","",IF('I. Stream &amp; Compound Data'!V306=1,0,1))</f>
        <v/>
      </c>
      <c r="L236" s="1242" t="str">
        <f>IF(OR(L$122="",I175=""),"",'I. Stream &amp; Compound Data'!H230/$J175*(1-L$127)*(1-L$123)*$K236)</f>
        <v/>
      </c>
      <c r="M236" s="1242" t="str">
        <f>IF(OR(M$122="",I175=""),"",'I. Stream &amp; Compound Data'!K230/$J175*(1-M$127)*(1-M$123)*$K236)</f>
        <v/>
      </c>
      <c r="N236" s="1306" t="str">
        <f>IF(OR(N$122="",I175=""),"",'I. Stream &amp; Compound Data'!N230/$J175*(1-N$127)*(1-N$123)*$K236)</f>
        <v/>
      </c>
      <c r="O236" s="1242" t="str">
        <f>IF(OR(O$122="",I175=""),"",'I. Stream &amp; Compound Data'!Q230/$J175*(1-O$127)*(1-O$123)*$K236)</f>
        <v/>
      </c>
      <c r="P236" s="1242" t="str">
        <f>IF(OR(P$122="",I175=""),"",'I. Stream &amp; Compound Data'!T230/$J175*(1-P$127)*(1-P$123)*$K236)</f>
        <v/>
      </c>
      <c r="Q236" s="202" t="str">
        <f>IF(OR(Q$122="",I175=""),"",'I. Stream &amp; Compound Data'!W230/$J175*(1-Q$127)*(1-Q$123)*$K236)</f>
        <v/>
      </c>
      <c r="R236" s="1168" t="str">
        <f>IF(OR(R$122="",I175=""),"",'I. Stream &amp; Compound Data'!Z230/$J175*(1-R$127)*(1-R$123)*$K236)</f>
        <v/>
      </c>
      <c r="S236" s="1168" t="str">
        <f>IF(OR(S$122="",I175=""),"",'I. Stream &amp; Compound Data'!AC230/$J175*(1-S$127)*(1-S$123)*$K236)</f>
        <v/>
      </c>
      <c r="T236" s="1168" t="str">
        <f>IF(OR(T$122="",I175=""),"",'I. Stream &amp; Compound Data'!AF230/$J175*(1-T$127)*(1-T$123)*$K236)</f>
        <v/>
      </c>
      <c r="U236" s="1222" t="str">
        <f>IF(OR(U$122="",I175=""),"",'I. Stream &amp; Compound Data'!AI230/$J175*(1-U$127)*(1-U$123)*$K236)</f>
        <v/>
      </c>
      <c r="V236" s="1222" t="str">
        <f>IF(OR(V$122="",I175=""),"",'I. Stream &amp; Compound Data'!AL230/$J175*(1-V$127)*(1-V$123)*$K236)</f>
        <v/>
      </c>
      <c r="W236" s="1222" t="str">
        <f>IF(OR(W$122="",I175=""),"",'I. Stream &amp; Compound Data'!AO230/$J175*(1-W$127)*(1-W$123)*$K236)</f>
        <v/>
      </c>
      <c r="X236" s="1222" t="str">
        <f>IF(OR(X$122="",I175=""),"",'I. Stream &amp; Compound Data'!AR230/$J175*(1-X$127)*(1-X$123)*$K236)</f>
        <v/>
      </c>
      <c r="Y236" s="1222" t="str">
        <f>IF(OR(Y$122="",I175=""),"",'I. Stream &amp; Compound Data'!AU230/$J175*(1-Y$127)*(1-Y$123)*$K236)</f>
        <v/>
      </c>
      <c r="Z236" s="1222" t="str">
        <f>IF(OR(Z$122="",I175=""),"",'I. Stream &amp; Compound Data'!AX230/$J175*(1-Z$127)*(1-Z$123)*$K236)</f>
        <v/>
      </c>
      <c r="AA236" s="1222" t="str">
        <f>IF(OR(AA$122="",I175=""),"",'I. Stream &amp; Compound Data'!BA230/$J175*(1-AA$127)*(1-AA$123)*$K236)</f>
        <v/>
      </c>
      <c r="AB236" s="1222" t="str">
        <f>IF(OR(AB$122="",I175=""),"",'I. Stream &amp; Compound Data'!BD230/$J175*(1-AB$127)*(1-AB$123)*$K236)</f>
        <v/>
      </c>
      <c r="AC236" s="1222" t="str">
        <f>IF(OR(AC$122="",I175=""),"",'I. Stream &amp; Compound Data'!BG230/$J175*(1-AC$127)*(1-AC$123)*$K236)</f>
        <v/>
      </c>
      <c r="AD236" s="1222" t="str">
        <f>IF(OR(AD$122="",I175=""),"",'I. Stream &amp; Compound Data'!BJ230/$J175*(1-AD$127)*(1-AD$123)*$K236)</f>
        <v/>
      </c>
      <c r="AE236" s="1222" t="str">
        <f>IF(OR(AE$122="",I175=""),"",'I. Stream &amp; Compound Data'!BM230/$J175*(1-AE$127)*(1-AE$123)*$K236)</f>
        <v/>
      </c>
      <c r="AF236" s="1222" t="str">
        <f>IF(OR(AF$122="",I175=""),"",'I. Stream &amp; Compound Data'!BP230/$J175*(1-AF$127)*(1-AF$123)*$K236)</f>
        <v/>
      </c>
      <c r="AG236" s="1222" t="str">
        <f>IF(OR(AG$122="",I175=""),"",'I. Stream &amp; Compound Data'!BS230/$J175*(1-AG$127)*(1-AG$123)*$K236)</f>
        <v/>
      </c>
      <c r="AH236" s="1222" t="str">
        <f>IF(OR(AH$122="",I175=""),"",'I. Stream &amp; Compound Data'!BV230/$J175*(1-AH$127)*(1-AH$123)*$K236)</f>
        <v/>
      </c>
      <c r="AI236" s="1222" t="str">
        <f>IF(OR(AI$122="",I175=""),"",'I. Stream &amp; Compound Data'!BY230/$J175*(1-AI$127)*(1-AI$123)*$K236)</f>
        <v/>
      </c>
      <c r="AJ236" s="1222" t="str">
        <f>IF(OR(AJ$122="",I175=""),"",'I. Stream &amp; Compound Data'!CB230/$J175*(1-AJ$127)*(1-AJ$123)*$K236)</f>
        <v/>
      </c>
      <c r="AK236" s="1222" t="str">
        <f>IF(OR(AK$122="",I175=""),"",'I. Stream &amp; Compound Data'!CE230/$J175*(1-AK$127)*(1-AK$123)*$K236)</f>
        <v/>
      </c>
      <c r="AL236" s="1222" t="str">
        <f>IF(OR(AL$122="",I175=""),"",'I. Stream &amp; Compound Data'!CH230/$J175*(1-AL$127)*(1-AL$123)*$K236)</f>
        <v/>
      </c>
      <c r="AM236" s="1222" t="str">
        <f>IF(OR(AM$122="",I175=""),"",'I. Stream &amp; Compound Data'!CK230/$J175*(1-AM$127)*(1-AM$123)*$K236)</f>
        <v/>
      </c>
      <c r="AN236" s="1222" t="str">
        <f>IF(OR(AN$122="",I175=""),"",'I. Stream &amp; Compound Data'!CN230/$J175*(1-AN$127)*(1-AN$123)*$K236)</f>
        <v/>
      </c>
      <c r="AO236" s="1222" t="str">
        <f>IF(OR(AO$122="",I175=""),"",'I. Stream &amp; Compound Data'!CQ230/$J175*(1-AO$127)*(1-AO$123)*$K236)</f>
        <v/>
      </c>
      <c r="AP236" s="1222" t="str">
        <f>IF(OR(AP$122="",I175=""),"",'I. Stream &amp; Compound Data'!CT230/$J175*(1-AP$127)*(1-AP$123)*$K236)</f>
        <v/>
      </c>
      <c r="AQ236" s="1222" t="str">
        <f>IF(OR(AQ$122="",I175=""),"",'I. Stream &amp; Compound Data'!CW230/$J175*(1-AQ$127)*(1-AQ$123)*$K236)</f>
        <v/>
      </c>
      <c r="AR236" s="1222" t="str">
        <f>IF(OR(AR$122="",I175=""),"",'I. Stream &amp; Compound Data'!CZ230/$J175*(1-AR$127)*(1-AR$123)*$K236)</f>
        <v/>
      </c>
      <c r="AS236" s="1222" t="str">
        <f>IF(OR(AS$122="",I175=""),"",'I. Stream &amp; Compound Data'!DC230/$J175*(1-AS$127)*(1-AS$123)*$K236)</f>
        <v/>
      </c>
      <c r="AT236" s="1222" t="str">
        <f>IF(OR(AT$122="",I175=""),"",'I. Stream &amp; Compound Data'!DF230/$J175*(1-AT$127)*(1-AT$123)*$K236)</f>
        <v/>
      </c>
      <c r="AU236" s="1222" t="str">
        <f>IF(OR(AU$122="",I175=""),"",'I. Stream &amp; Compound Data'!DI230/$J175*(1-AU$127)*(1-AU$123)*$K236)</f>
        <v/>
      </c>
      <c r="AV236" s="1222" t="str">
        <f>IF(OR(AV$122="",I175=""),"",'I. Stream &amp; Compound Data'!DL230/$J175*(1-AV$127)*(1-AV$123)*$K236)</f>
        <v/>
      </c>
      <c r="AW236" s="1222" t="str">
        <f>IF(OR(AW$122="",I175=""),"",'I. Stream &amp; Compound Data'!DO230/$J175*(1-AW$127)*(1-AW$123)*$K236)</f>
        <v/>
      </c>
      <c r="AX236" s="1222" t="str">
        <f>IF(OR(AX$122="",I175=""),"",'I. Stream &amp; Compound Data'!DR230/$J175*(1-AX$127)*(1-AX$123)*$K236)</f>
        <v/>
      </c>
      <c r="AY236" s="1516" t="str">
        <f>IF(OR(AY$122="",I175=""),"",'I. Stream &amp; Compound Data'!DU230/$J175*(1-AY$127)*(1-AY$123)*$K236)</f>
        <v/>
      </c>
      <c r="AZ236" s="279"/>
      <c r="BA236" s="279"/>
      <c r="BB236" s="279"/>
      <c r="BC236" s="279"/>
      <c r="BD236" s="279"/>
      <c r="BE236" s="279"/>
      <c r="BF236" s="279"/>
      <c r="BG236" s="279"/>
      <c r="BH236" s="279"/>
      <c r="BI236" s="279"/>
      <c r="BJ236" s="279"/>
      <c r="BK236" s="279"/>
      <c r="BL236" s="279"/>
      <c r="BM236" s="279"/>
      <c r="BN236" s="279"/>
      <c r="BO236" s="279"/>
      <c r="BP236" s="279"/>
      <c r="BQ236" s="279"/>
      <c r="BR236" s="279"/>
      <c r="BS236" s="279"/>
      <c r="BT236" s="279"/>
      <c r="BU236" s="279"/>
      <c r="BV236" s="279"/>
      <c r="BW236" s="279"/>
      <c r="BX236" s="279"/>
      <c r="BY236" s="279"/>
      <c r="BZ236" s="279"/>
      <c r="CA236" s="279"/>
      <c r="CB236" s="279"/>
      <c r="CC236" s="279"/>
      <c r="CD236" s="279"/>
      <c r="CE236" s="279"/>
      <c r="CF236" s="279"/>
      <c r="CG236" s="279"/>
      <c r="CH236" s="279"/>
      <c r="CI236" s="279"/>
      <c r="CJ236" s="279"/>
      <c r="CK236" s="279"/>
      <c r="CL236" s="279"/>
      <c r="CM236" s="279"/>
      <c r="CN236" s="382"/>
    </row>
    <row r="237" ht="15.6" x14ac:dyDescent="0.25">
      <c r="B237" s="361"/>
      <c r="C237" s="279"/>
      <c r="D237" s="280"/>
      <c r="E237" s="287"/>
      <c r="F237" s="287"/>
      <c r="G237" s="287"/>
      <c r="H237" s="280"/>
      <c r="I237" s="304"/>
      <c r="J237" s="1292">
        <f t="shared" si="23"/>
        <v>46</v>
      </c>
      <c r="K237" s="1242" t="str">
        <f>IF('I. Stream &amp; Compound Data'!G307="","",IF('I. Stream &amp; Compound Data'!V307=1,0,1))</f>
        <v/>
      </c>
      <c r="L237" s="1242" t="str">
        <f>IF(OR(L$122="",I176=""),"",'I. Stream &amp; Compound Data'!H231/$J176*(1-L$127)*(1-L$123)*$K237)</f>
        <v/>
      </c>
      <c r="M237" s="1242" t="str">
        <f>IF(OR(M$122="",I176=""),"",'I. Stream &amp; Compound Data'!K231/$J176*(1-M$127)*(1-M$123)*$K237)</f>
        <v/>
      </c>
      <c r="N237" s="1306" t="str">
        <f>IF(OR(N$122="",I176=""),"",'I. Stream &amp; Compound Data'!N231/$J176*(1-N$127)*(1-N$123)*$K237)</f>
        <v/>
      </c>
      <c r="O237" s="1242" t="str">
        <f>IF(OR(O$122="",I176=""),"",'I. Stream &amp; Compound Data'!Q231/$J176*(1-O$127)*(1-O$123)*$K237)</f>
        <v/>
      </c>
      <c r="P237" s="1242" t="str">
        <f>IF(OR(P$122="",I176=""),"",'I. Stream &amp; Compound Data'!T231/$J176*(1-P$127)*(1-P$123)*$K237)</f>
        <v/>
      </c>
      <c r="Q237" s="202" t="str">
        <f>IF(OR(Q$122="",I176=""),"",'I. Stream &amp; Compound Data'!W231/$J176*(1-Q$127)*(1-Q$123)*$K237)</f>
        <v/>
      </c>
      <c r="R237" s="1168" t="str">
        <f>IF(OR(R$122="",I176=""),"",'I. Stream &amp; Compound Data'!Z231/$J176*(1-R$127)*(1-R$123)*$K237)</f>
        <v/>
      </c>
      <c r="S237" s="1168" t="str">
        <f>IF(OR(S$122="",I176=""),"",'I. Stream &amp; Compound Data'!AC231/$J176*(1-S$127)*(1-S$123)*$K237)</f>
        <v/>
      </c>
      <c r="T237" s="1168" t="str">
        <f>IF(OR(T$122="",I176=""),"",'I. Stream &amp; Compound Data'!AF231/$J176*(1-T$127)*(1-T$123)*$K237)</f>
        <v/>
      </c>
      <c r="U237" s="1222" t="str">
        <f>IF(OR(U$122="",I176=""),"",'I. Stream &amp; Compound Data'!AI231/$J176*(1-U$127)*(1-U$123)*$K237)</f>
        <v/>
      </c>
      <c r="V237" s="1222" t="str">
        <f>IF(OR(V$122="",I176=""),"",'I. Stream &amp; Compound Data'!AL231/$J176*(1-V$127)*(1-V$123)*$K237)</f>
        <v/>
      </c>
      <c r="W237" s="1222" t="str">
        <f>IF(OR(W$122="",I176=""),"",'I. Stream &amp; Compound Data'!AO231/$J176*(1-W$127)*(1-W$123)*$K237)</f>
        <v/>
      </c>
      <c r="X237" s="1222" t="str">
        <f>IF(OR(X$122="",I176=""),"",'I. Stream &amp; Compound Data'!AR231/$J176*(1-X$127)*(1-X$123)*$K237)</f>
        <v/>
      </c>
      <c r="Y237" s="1222" t="str">
        <f>IF(OR(Y$122="",I176=""),"",'I. Stream &amp; Compound Data'!AU231/$J176*(1-Y$127)*(1-Y$123)*$K237)</f>
        <v/>
      </c>
      <c r="Z237" s="1222" t="str">
        <f>IF(OR(Z$122="",I176=""),"",'I. Stream &amp; Compound Data'!AX231/$J176*(1-Z$127)*(1-Z$123)*$K237)</f>
        <v/>
      </c>
      <c r="AA237" s="1222" t="str">
        <f>IF(OR(AA$122="",I176=""),"",'I. Stream &amp; Compound Data'!BA231/$J176*(1-AA$127)*(1-AA$123)*$K237)</f>
        <v/>
      </c>
      <c r="AB237" s="1222" t="str">
        <f>IF(OR(AB$122="",I176=""),"",'I. Stream &amp; Compound Data'!BD231/$J176*(1-AB$127)*(1-AB$123)*$K237)</f>
        <v/>
      </c>
      <c r="AC237" s="1222" t="str">
        <f>IF(OR(AC$122="",I176=""),"",'I. Stream &amp; Compound Data'!BG231/$J176*(1-AC$127)*(1-AC$123)*$K237)</f>
        <v/>
      </c>
      <c r="AD237" s="1222" t="str">
        <f>IF(OR(AD$122="",I176=""),"",'I. Stream &amp; Compound Data'!BJ231/$J176*(1-AD$127)*(1-AD$123)*$K237)</f>
        <v/>
      </c>
      <c r="AE237" s="1222" t="str">
        <f>IF(OR(AE$122="",I176=""),"",'I. Stream &amp; Compound Data'!BM231/$J176*(1-AE$127)*(1-AE$123)*$K237)</f>
        <v/>
      </c>
      <c r="AF237" s="1222" t="str">
        <f>IF(OR(AF$122="",I176=""),"",'I. Stream &amp; Compound Data'!BP231/$J176*(1-AF$127)*(1-AF$123)*$K237)</f>
        <v/>
      </c>
      <c r="AG237" s="1222" t="str">
        <f>IF(OR(AG$122="",I176=""),"",'I. Stream &amp; Compound Data'!BS231/$J176*(1-AG$127)*(1-AG$123)*$K237)</f>
        <v/>
      </c>
      <c r="AH237" s="1222" t="str">
        <f>IF(OR(AH$122="",I176=""),"",'I. Stream &amp; Compound Data'!BV231/$J176*(1-AH$127)*(1-AH$123)*$K237)</f>
        <v/>
      </c>
      <c r="AI237" s="1222" t="str">
        <f>IF(OR(AI$122="",I176=""),"",'I. Stream &amp; Compound Data'!BY231/$J176*(1-AI$127)*(1-AI$123)*$K237)</f>
        <v/>
      </c>
      <c r="AJ237" s="1222" t="str">
        <f>IF(OR(AJ$122="",I176=""),"",'I. Stream &amp; Compound Data'!CB231/$J176*(1-AJ$127)*(1-AJ$123)*$K237)</f>
        <v/>
      </c>
      <c r="AK237" s="1222" t="str">
        <f>IF(OR(AK$122="",I176=""),"",'I. Stream &amp; Compound Data'!CE231/$J176*(1-AK$127)*(1-AK$123)*$K237)</f>
        <v/>
      </c>
      <c r="AL237" s="1222" t="str">
        <f>IF(OR(AL$122="",I176=""),"",'I. Stream &amp; Compound Data'!CH231/$J176*(1-AL$127)*(1-AL$123)*$K237)</f>
        <v/>
      </c>
      <c r="AM237" s="1222" t="str">
        <f>IF(OR(AM$122="",I176=""),"",'I. Stream &amp; Compound Data'!CK231/$J176*(1-AM$127)*(1-AM$123)*$K237)</f>
        <v/>
      </c>
      <c r="AN237" s="1222" t="str">
        <f>IF(OR(AN$122="",I176=""),"",'I. Stream &amp; Compound Data'!CN231/$J176*(1-AN$127)*(1-AN$123)*$K237)</f>
        <v/>
      </c>
      <c r="AO237" s="1222" t="str">
        <f>IF(OR(AO$122="",I176=""),"",'I. Stream &amp; Compound Data'!CQ231/$J176*(1-AO$127)*(1-AO$123)*$K237)</f>
        <v/>
      </c>
      <c r="AP237" s="1222" t="str">
        <f>IF(OR(AP$122="",I176=""),"",'I. Stream &amp; Compound Data'!CT231/$J176*(1-AP$127)*(1-AP$123)*$K237)</f>
        <v/>
      </c>
      <c r="AQ237" s="1222" t="str">
        <f>IF(OR(AQ$122="",I176=""),"",'I. Stream &amp; Compound Data'!CW231/$J176*(1-AQ$127)*(1-AQ$123)*$K237)</f>
        <v/>
      </c>
      <c r="AR237" s="1222" t="str">
        <f>IF(OR(AR$122="",I176=""),"",'I. Stream &amp; Compound Data'!CZ231/$J176*(1-AR$127)*(1-AR$123)*$K237)</f>
        <v/>
      </c>
      <c r="AS237" s="1222" t="str">
        <f>IF(OR(AS$122="",I176=""),"",'I. Stream &amp; Compound Data'!DC231/$J176*(1-AS$127)*(1-AS$123)*$K237)</f>
        <v/>
      </c>
      <c r="AT237" s="1222" t="str">
        <f>IF(OR(AT$122="",I176=""),"",'I. Stream &amp; Compound Data'!DF231/$J176*(1-AT$127)*(1-AT$123)*$K237)</f>
        <v/>
      </c>
      <c r="AU237" s="1222" t="str">
        <f>IF(OR(AU$122="",I176=""),"",'I. Stream &amp; Compound Data'!DI231/$J176*(1-AU$127)*(1-AU$123)*$K237)</f>
        <v/>
      </c>
      <c r="AV237" s="1222" t="str">
        <f>IF(OR(AV$122="",I176=""),"",'I. Stream &amp; Compound Data'!DL231/$J176*(1-AV$127)*(1-AV$123)*$K237)</f>
        <v/>
      </c>
      <c r="AW237" s="1222" t="str">
        <f>IF(OR(AW$122="",I176=""),"",'I. Stream &amp; Compound Data'!DO231/$J176*(1-AW$127)*(1-AW$123)*$K237)</f>
        <v/>
      </c>
      <c r="AX237" s="1222" t="str">
        <f>IF(OR(AX$122="",I176=""),"",'I. Stream &amp; Compound Data'!DR231/$J176*(1-AX$127)*(1-AX$123)*$K237)</f>
        <v/>
      </c>
      <c r="AY237" s="1516" t="str">
        <f>IF(OR(AY$122="",I176=""),"",'I. Stream &amp; Compound Data'!DU231/$J176*(1-AY$127)*(1-AY$123)*$K237)</f>
        <v/>
      </c>
      <c r="AZ237" s="279"/>
      <c r="BA237" s="279"/>
      <c r="BB237" s="279"/>
      <c r="BC237" s="279"/>
      <c r="BD237" s="279"/>
      <c r="BE237" s="279"/>
      <c r="BF237" s="279"/>
      <c r="BG237" s="279"/>
      <c r="BH237" s="279"/>
      <c r="BI237" s="279"/>
      <c r="BJ237" s="279"/>
      <c r="BK237" s="279"/>
      <c r="BL237" s="279"/>
      <c r="BM237" s="279"/>
      <c r="BN237" s="279"/>
      <c r="BO237" s="279"/>
      <c r="BP237" s="279"/>
      <c r="BQ237" s="279"/>
      <c r="BR237" s="279"/>
      <c r="BS237" s="279"/>
      <c r="BT237" s="279"/>
      <c r="BU237" s="279"/>
      <c r="BV237" s="279"/>
      <c r="BW237" s="279"/>
      <c r="BX237" s="279"/>
      <c r="BY237" s="279"/>
      <c r="BZ237" s="279"/>
      <c r="CA237" s="279"/>
      <c r="CB237" s="279"/>
      <c r="CC237" s="279"/>
      <c r="CD237" s="279"/>
      <c r="CE237" s="279"/>
      <c r="CF237" s="279"/>
      <c r="CG237" s="279"/>
      <c r="CH237" s="279"/>
      <c r="CI237" s="279"/>
      <c r="CJ237" s="279"/>
      <c r="CK237" s="279"/>
      <c r="CL237" s="279"/>
      <c r="CM237" s="279"/>
      <c r="CN237" s="382"/>
    </row>
    <row r="238" ht="15.6" x14ac:dyDescent="0.25">
      <c r="B238" s="361"/>
      <c r="C238" s="279"/>
      <c r="D238" s="280"/>
      <c r="E238" s="287"/>
      <c r="F238" s="287"/>
      <c r="G238" s="287"/>
      <c r="H238" s="280"/>
      <c r="I238" s="304"/>
      <c r="J238" s="1292">
        <f t="shared" si="23"/>
        <v>47</v>
      </c>
      <c r="K238" s="1242" t="str">
        <f>IF('I. Stream &amp; Compound Data'!G308="","",IF('I. Stream &amp; Compound Data'!V308=1,0,1))</f>
        <v/>
      </c>
      <c r="L238" s="1242" t="str">
        <f>IF(OR(L$122="",I177=""),"",'I. Stream &amp; Compound Data'!H232/$J177*(1-L$127)*(1-L$123)*$K238)</f>
        <v/>
      </c>
      <c r="M238" s="1242" t="str">
        <f>IF(OR(M$122="",I177=""),"",'I. Stream &amp; Compound Data'!K232/$J177*(1-M$127)*(1-M$123)*$K238)</f>
        <v/>
      </c>
      <c r="N238" s="1306" t="str">
        <f>IF(OR(N$122="",I177=""),"",'I. Stream &amp; Compound Data'!N232/$J177*(1-N$127)*(1-N$123)*$K238)</f>
        <v/>
      </c>
      <c r="O238" s="1242" t="str">
        <f>IF(OR(O$122="",I177=""),"",'I. Stream &amp; Compound Data'!Q232/$J177*(1-O$127)*(1-O$123)*$K238)</f>
        <v/>
      </c>
      <c r="P238" s="1242" t="str">
        <f>IF(OR(P$122="",I177=""),"",'I. Stream &amp; Compound Data'!T232/$J177*(1-P$127)*(1-P$123)*$K238)</f>
        <v/>
      </c>
      <c r="Q238" s="202" t="str">
        <f>IF(OR(Q$122="",I177=""),"",'I. Stream &amp; Compound Data'!W232/$J177*(1-Q$127)*(1-Q$123)*$K238)</f>
        <v/>
      </c>
      <c r="R238" s="1168" t="str">
        <f>IF(OR(R$122="",I177=""),"",'I. Stream &amp; Compound Data'!Z232/$J177*(1-R$127)*(1-R$123)*$K238)</f>
        <v/>
      </c>
      <c r="S238" s="1168" t="str">
        <f>IF(OR(S$122="",I177=""),"",'I. Stream &amp; Compound Data'!AC232/$J177*(1-S$127)*(1-S$123)*$K238)</f>
        <v/>
      </c>
      <c r="T238" s="1168" t="str">
        <f>IF(OR(T$122="",I177=""),"",'I. Stream &amp; Compound Data'!AF232/$J177*(1-T$127)*(1-T$123)*$K238)</f>
        <v/>
      </c>
      <c r="U238" s="1222" t="str">
        <f>IF(OR(U$122="",I177=""),"",'I. Stream &amp; Compound Data'!AI232/$J177*(1-U$127)*(1-U$123)*$K238)</f>
        <v/>
      </c>
      <c r="V238" s="1222" t="str">
        <f>IF(OR(V$122="",I177=""),"",'I. Stream &amp; Compound Data'!AL232/$J177*(1-V$127)*(1-V$123)*$K238)</f>
        <v/>
      </c>
      <c r="W238" s="1222" t="str">
        <f>IF(OR(W$122="",I177=""),"",'I. Stream &amp; Compound Data'!AO232/$J177*(1-W$127)*(1-W$123)*$K238)</f>
        <v/>
      </c>
      <c r="X238" s="1222" t="str">
        <f>IF(OR(X$122="",I177=""),"",'I. Stream &amp; Compound Data'!AR232/$J177*(1-X$127)*(1-X$123)*$K238)</f>
        <v/>
      </c>
      <c r="Y238" s="1222" t="str">
        <f>IF(OR(Y$122="",I177=""),"",'I. Stream &amp; Compound Data'!AU232/$J177*(1-Y$127)*(1-Y$123)*$K238)</f>
        <v/>
      </c>
      <c r="Z238" s="1222" t="str">
        <f>IF(OR(Z$122="",I177=""),"",'I. Stream &amp; Compound Data'!AX232/$J177*(1-Z$127)*(1-Z$123)*$K238)</f>
        <v/>
      </c>
      <c r="AA238" s="1222" t="str">
        <f>IF(OR(AA$122="",I177=""),"",'I. Stream &amp; Compound Data'!BA232/$J177*(1-AA$127)*(1-AA$123)*$K238)</f>
        <v/>
      </c>
      <c r="AB238" s="1222" t="str">
        <f>IF(OR(AB$122="",I177=""),"",'I. Stream &amp; Compound Data'!BD232/$J177*(1-AB$127)*(1-AB$123)*$K238)</f>
        <v/>
      </c>
      <c r="AC238" s="1222" t="str">
        <f>IF(OR(AC$122="",I177=""),"",'I. Stream &amp; Compound Data'!BG232/$J177*(1-AC$127)*(1-AC$123)*$K238)</f>
        <v/>
      </c>
      <c r="AD238" s="1222" t="str">
        <f>IF(OR(AD$122="",I177=""),"",'I. Stream &amp; Compound Data'!BJ232/$J177*(1-AD$127)*(1-AD$123)*$K238)</f>
        <v/>
      </c>
      <c r="AE238" s="1222" t="str">
        <f>IF(OR(AE$122="",I177=""),"",'I. Stream &amp; Compound Data'!BM232/$J177*(1-AE$127)*(1-AE$123)*$K238)</f>
        <v/>
      </c>
      <c r="AF238" s="1222" t="str">
        <f>IF(OR(AF$122="",I177=""),"",'I. Stream &amp; Compound Data'!BP232/$J177*(1-AF$127)*(1-AF$123)*$K238)</f>
        <v/>
      </c>
      <c r="AG238" s="1222" t="str">
        <f>IF(OR(AG$122="",I177=""),"",'I. Stream &amp; Compound Data'!BS232/$J177*(1-AG$127)*(1-AG$123)*$K238)</f>
        <v/>
      </c>
      <c r="AH238" s="1222" t="str">
        <f>IF(OR(AH$122="",I177=""),"",'I. Stream &amp; Compound Data'!BV232/$J177*(1-AH$127)*(1-AH$123)*$K238)</f>
        <v/>
      </c>
      <c r="AI238" s="1222" t="str">
        <f>IF(OR(AI$122="",I177=""),"",'I. Stream &amp; Compound Data'!BY232/$J177*(1-AI$127)*(1-AI$123)*$K238)</f>
        <v/>
      </c>
      <c r="AJ238" s="1222" t="str">
        <f>IF(OR(AJ$122="",I177=""),"",'I. Stream &amp; Compound Data'!CB232/$J177*(1-AJ$127)*(1-AJ$123)*$K238)</f>
        <v/>
      </c>
      <c r="AK238" s="1222" t="str">
        <f>IF(OR(AK$122="",I177=""),"",'I. Stream &amp; Compound Data'!CE232/$J177*(1-AK$127)*(1-AK$123)*$K238)</f>
        <v/>
      </c>
      <c r="AL238" s="1222" t="str">
        <f>IF(OR(AL$122="",I177=""),"",'I. Stream &amp; Compound Data'!CH232/$J177*(1-AL$127)*(1-AL$123)*$K238)</f>
        <v/>
      </c>
      <c r="AM238" s="1222" t="str">
        <f>IF(OR(AM$122="",I177=""),"",'I. Stream &amp; Compound Data'!CK232/$J177*(1-AM$127)*(1-AM$123)*$K238)</f>
        <v/>
      </c>
      <c r="AN238" s="1222" t="str">
        <f>IF(OR(AN$122="",I177=""),"",'I. Stream &amp; Compound Data'!CN232/$J177*(1-AN$127)*(1-AN$123)*$K238)</f>
        <v/>
      </c>
      <c r="AO238" s="1222" t="str">
        <f>IF(OR(AO$122="",I177=""),"",'I. Stream &amp; Compound Data'!CQ232/$J177*(1-AO$127)*(1-AO$123)*$K238)</f>
        <v/>
      </c>
      <c r="AP238" s="1222" t="str">
        <f>IF(OR(AP$122="",I177=""),"",'I. Stream &amp; Compound Data'!CT232/$J177*(1-AP$127)*(1-AP$123)*$K238)</f>
        <v/>
      </c>
      <c r="AQ238" s="1222" t="str">
        <f>IF(OR(AQ$122="",I177=""),"",'I. Stream &amp; Compound Data'!CW232/$J177*(1-AQ$127)*(1-AQ$123)*$K238)</f>
        <v/>
      </c>
      <c r="AR238" s="1222" t="str">
        <f>IF(OR(AR$122="",I177=""),"",'I. Stream &amp; Compound Data'!CZ232/$J177*(1-AR$127)*(1-AR$123)*$K238)</f>
        <v/>
      </c>
      <c r="AS238" s="1222" t="str">
        <f>IF(OR(AS$122="",I177=""),"",'I. Stream &amp; Compound Data'!DC232/$J177*(1-AS$127)*(1-AS$123)*$K238)</f>
        <v/>
      </c>
      <c r="AT238" s="1222" t="str">
        <f>IF(OR(AT$122="",I177=""),"",'I. Stream &amp; Compound Data'!DF232/$J177*(1-AT$127)*(1-AT$123)*$K238)</f>
        <v/>
      </c>
      <c r="AU238" s="1222" t="str">
        <f>IF(OR(AU$122="",I177=""),"",'I. Stream &amp; Compound Data'!DI232/$J177*(1-AU$127)*(1-AU$123)*$K238)</f>
        <v/>
      </c>
      <c r="AV238" s="1222" t="str">
        <f>IF(OR(AV$122="",I177=""),"",'I. Stream &amp; Compound Data'!DL232/$J177*(1-AV$127)*(1-AV$123)*$K238)</f>
        <v/>
      </c>
      <c r="AW238" s="1222" t="str">
        <f>IF(OR(AW$122="",I177=""),"",'I. Stream &amp; Compound Data'!DO232/$J177*(1-AW$127)*(1-AW$123)*$K238)</f>
        <v/>
      </c>
      <c r="AX238" s="1222" t="str">
        <f>IF(OR(AX$122="",I177=""),"",'I. Stream &amp; Compound Data'!DR232/$J177*(1-AX$127)*(1-AX$123)*$K238)</f>
        <v/>
      </c>
      <c r="AY238" s="1516" t="str">
        <f>IF(OR(AY$122="",I177=""),"",'I. Stream &amp; Compound Data'!DU232/$J177*(1-AY$127)*(1-AY$123)*$K238)</f>
        <v/>
      </c>
      <c r="AZ238" s="279"/>
      <c r="BA238" s="279"/>
      <c r="BB238" s="279"/>
      <c r="BC238" s="279"/>
      <c r="BD238" s="279"/>
      <c r="BE238" s="279"/>
      <c r="BF238" s="279"/>
      <c r="BG238" s="279"/>
      <c r="BH238" s="279"/>
      <c r="BI238" s="279"/>
      <c r="BJ238" s="279"/>
      <c r="BK238" s="279"/>
      <c r="BL238" s="279"/>
      <c r="BM238" s="279"/>
      <c r="BN238" s="279"/>
      <c r="BO238" s="279"/>
      <c r="BP238" s="279"/>
      <c r="BQ238" s="279"/>
      <c r="BR238" s="279"/>
      <c r="BS238" s="279"/>
      <c r="BT238" s="279"/>
      <c r="BU238" s="279"/>
      <c r="BV238" s="279"/>
      <c r="BW238" s="279"/>
      <c r="BX238" s="279"/>
      <c r="BY238" s="279"/>
      <c r="BZ238" s="279"/>
      <c r="CA238" s="279"/>
      <c r="CB238" s="279"/>
      <c r="CC238" s="279"/>
      <c r="CD238" s="279"/>
      <c r="CE238" s="279"/>
      <c r="CF238" s="279"/>
      <c r="CG238" s="279"/>
      <c r="CH238" s="279"/>
      <c r="CI238" s="279"/>
      <c r="CJ238" s="279"/>
      <c r="CK238" s="279"/>
      <c r="CL238" s="279"/>
      <c r="CM238" s="279"/>
      <c r="CN238" s="382"/>
    </row>
    <row r="239" ht="15.6" x14ac:dyDescent="0.25">
      <c r="B239" s="361"/>
      <c r="C239" s="279"/>
      <c r="D239" s="280"/>
      <c r="E239" s="287"/>
      <c r="F239" s="287"/>
      <c r="G239" s="287"/>
      <c r="H239" s="280"/>
      <c r="I239" s="304"/>
      <c r="J239" s="1292">
        <f t="shared" si="23"/>
        <v>48</v>
      </c>
      <c r="K239" s="1242" t="str">
        <f>IF('I. Stream &amp; Compound Data'!G309="","",IF('I. Stream &amp; Compound Data'!V309=1,0,1))</f>
        <v/>
      </c>
      <c r="L239" s="1242" t="str">
        <f>IF(OR(L$122="",I178=""),"",'I. Stream &amp; Compound Data'!H233/$J178*(1-L$127)*(1-L$123)*$K239)</f>
        <v/>
      </c>
      <c r="M239" s="1242" t="str">
        <f>IF(OR(M$122="",I178=""),"",'I. Stream &amp; Compound Data'!K233/$J178*(1-M$127)*(1-M$123)*$K239)</f>
        <v/>
      </c>
      <c r="N239" s="1306" t="str">
        <f>IF(OR(N$122="",I178=""),"",'I. Stream &amp; Compound Data'!N233/$J178*(1-N$127)*(1-N$123)*$K239)</f>
        <v/>
      </c>
      <c r="O239" s="1242" t="str">
        <f>IF(OR(O$122="",I178=""),"",'I. Stream &amp; Compound Data'!Q233/$J178*(1-O$127)*(1-O$123)*$K239)</f>
        <v/>
      </c>
      <c r="P239" s="1242" t="str">
        <f>IF(OR(P$122="",I178=""),"",'I. Stream &amp; Compound Data'!T233/$J178*(1-P$127)*(1-P$123)*$K239)</f>
        <v/>
      </c>
      <c r="Q239" s="202" t="str">
        <f>IF(OR(Q$122="",I178=""),"",'I. Stream &amp; Compound Data'!W233/$J178*(1-Q$127)*(1-Q$123)*$K239)</f>
        <v/>
      </c>
      <c r="R239" s="1168" t="str">
        <f>IF(OR(R$122="",I178=""),"",'I. Stream &amp; Compound Data'!Z233/$J178*(1-R$127)*(1-R$123)*$K239)</f>
        <v/>
      </c>
      <c r="S239" s="1168" t="str">
        <f>IF(OR(S$122="",I178=""),"",'I. Stream &amp; Compound Data'!AC233/$J178*(1-S$127)*(1-S$123)*$K239)</f>
        <v/>
      </c>
      <c r="T239" s="1168" t="str">
        <f>IF(OR(T$122="",I178=""),"",'I. Stream &amp; Compound Data'!AF233/$J178*(1-T$127)*(1-T$123)*$K239)</f>
        <v/>
      </c>
      <c r="U239" s="1222" t="str">
        <f>IF(OR(U$122="",I178=""),"",'I. Stream &amp; Compound Data'!AI233/$J178*(1-U$127)*(1-U$123)*$K239)</f>
        <v/>
      </c>
      <c r="V239" s="1222" t="str">
        <f>IF(OR(V$122="",I178=""),"",'I. Stream &amp; Compound Data'!AL233/$J178*(1-V$127)*(1-V$123)*$K239)</f>
        <v/>
      </c>
      <c r="W239" s="1222" t="str">
        <f>IF(OR(W$122="",I178=""),"",'I. Stream &amp; Compound Data'!AO233/$J178*(1-W$127)*(1-W$123)*$K239)</f>
        <v/>
      </c>
      <c r="X239" s="1222" t="str">
        <f>IF(OR(X$122="",I178=""),"",'I. Stream &amp; Compound Data'!AR233/$J178*(1-X$127)*(1-X$123)*$K239)</f>
        <v/>
      </c>
      <c r="Y239" s="1222" t="str">
        <f>IF(OR(Y$122="",I178=""),"",'I. Stream &amp; Compound Data'!AU233/$J178*(1-Y$127)*(1-Y$123)*$K239)</f>
        <v/>
      </c>
      <c r="Z239" s="1222" t="str">
        <f>IF(OR(Z$122="",I178=""),"",'I. Stream &amp; Compound Data'!AX233/$J178*(1-Z$127)*(1-Z$123)*$K239)</f>
        <v/>
      </c>
      <c r="AA239" s="1222" t="str">
        <f>IF(OR(AA$122="",I178=""),"",'I. Stream &amp; Compound Data'!BA233/$J178*(1-AA$127)*(1-AA$123)*$K239)</f>
        <v/>
      </c>
      <c r="AB239" s="1222" t="str">
        <f>IF(OR(AB$122="",I178=""),"",'I. Stream &amp; Compound Data'!BD233/$J178*(1-AB$127)*(1-AB$123)*$K239)</f>
        <v/>
      </c>
      <c r="AC239" s="1222" t="str">
        <f>IF(OR(AC$122="",I178=""),"",'I. Stream &amp; Compound Data'!BG233/$J178*(1-AC$127)*(1-AC$123)*$K239)</f>
        <v/>
      </c>
      <c r="AD239" s="1222" t="str">
        <f>IF(OR(AD$122="",I178=""),"",'I. Stream &amp; Compound Data'!BJ233/$J178*(1-AD$127)*(1-AD$123)*$K239)</f>
        <v/>
      </c>
      <c r="AE239" s="1222" t="str">
        <f>IF(OR(AE$122="",I178=""),"",'I. Stream &amp; Compound Data'!BM233/$J178*(1-AE$127)*(1-AE$123)*$K239)</f>
        <v/>
      </c>
      <c r="AF239" s="1222" t="str">
        <f>IF(OR(AF$122="",I178=""),"",'I. Stream &amp; Compound Data'!BP233/$J178*(1-AF$127)*(1-AF$123)*$K239)</f>
        <v/>
      </c>
      <c r="AG239" s="1222" t="str">
        <f>IF(OR(AG$122="",I178=""),"",'I. Stream &amp; Compound Data'!BS233/$J178*(1-AG$127)*(1-AG$123)*$K239)</f>
        <v/>
      </c>
      <c r="AH239" s="1222" t="str">
        <f>IF(OR(AH$122="",I178=""),"",'I. Stream &amp; Compound Data'!BV233/$J178*(1-AH$127)*(1-AH$123)*$K239)</f>
        <v/>
      </c>
      <c r="AI239" s="1222" t="str">
        <f>IF(OR(AI$122="",I178=""),"",'I. Stream &amp; Compound Data'!BY233/$J178*(1-AI$127)*(1-AI$123)*$K239)</f>
        <v/>
      </c>
      <c r="AJ239" s="1222" t="str">
        <f>IF(OR(AJ$122="",I178=""),"",'I. Stream &amp; Compound Data'!CB233/$J178*(1-AJ$127)*(1-AJ$123)*$K239)</f>
        <v/>
      </c>
      <c r="AK239" s="1222" t="str">
        <f>IF(OR(AK$122="",I178=""),"",'I. Stream &amp; Compound Data'!CE233/$J178*(1-AK$127)*(1-AK$123)*$K239)</f>
        <v/>
      </c>
      <c r="AL239" s="1222" t="str">
        <f>IF(OR(AL$122="",I178=""),"",'I. Stream &amp; Compound Data'!CH233/$J178*(1-AL$127)*(1-AL$123)*$K239)</f>
        <v/>
      </c>
      <c r="AM239" s="1222" t="str">
        <f>IF(OR(AM$122="",I178=""),"",'I. Stream &amp; Compound Data'!CK233/$J178*(1-AM$127)*(1-AM$123)*$K239)</f>
        <v/>
      </c>
      <c r="AN239" s="1222" t="str">
        <f>IF(OR(AN$122="",I178=""),"",'I. Stream &amp; Compound Data'!CN233/$J178*(1-AN$127)*(1-AN$123)*$K239)</f>
        <v/>
      </c>
      <c r="AO239" s="1222" t="str">
        <f>IF(OR(AO$122="",I178=""),"",'I. Stream &amp; Compound Data'!CQ233/$J178*(1-AO$127)*(1-AO$123)*$K239)</f>
        <v/>
      </c>
      <c r="AP239" s="1222" t="str">
        <f>IF(OR(AP$122="",I178=""),"",'I. Stream &amp; Compound Data'!CT233/$J178*(1-AP$127)*(1-AP$123)*$K239)</f>
        <v/>
      </c>
      <c r="AQ239" s="1222" t="str">
        <f>IF(OR(AQ$122="",I178=""),"",'I. Stream &amp; Compound Data'!CW233/$J178*(1-AQ$127)*(1-AQ$123)*$K239)</f>
        <v/>
      </c>
      <c r="AR239" s="1222" t="str">
        <f>IF(OR(AR$122="",I178=""),"",'I. Stream &amp; Compound Data'!CZ233/$J178*(1-AR$127)*(1-AR$123)*$K239)</f>
        <v/>
      </c>
      <c r="AS239" s="1222" t="str">
        <f>IF(OR(AS$122="",I178=""),"",'I. Stream &amp; Compound Data'!DC233/$J178*(1-AS$127)*(1-AS$123)*$K239)</f>
        <v/>
      </c>
      <c r="AT239" s="1222" t="str">
        <f>IF(OR(AT$122="",I178=""),"",'I. Stream &amp; Compound Data'!DF233/$J178*(1-AT$127)*(1-AT$123)*$K239)</f>
        <v/>
      </c>
      <c r="AU239" s="1222" t="str">
        <f>IF(OR(AU$122="",I178=""),"",'I. Stream &amp; Compound Data'!DI233/$J178*(1-AU$127)*(1-AU$123)*$K239)</f>
        <v/>
      </c>
      <c r="AV239" s="1222" t="str">
        <f>IF(OR(AV$122="",I178=""),"",'I. Stream &amp; Compound Data'!DL233/$J178*(1-AV$127)*(1-AV$123)*$K239)</f>
        <v/>
      </c>
      <c r="AW239" s="1222" t="str">
        <f>IF(OR(AW$122="",I178=""),"",'I. Stream &amp; Compound Data'!DO233/$J178*(1-AW$127)*(1-AW$123)*$K239)</f>
        <v/>
      </c>
      <c r="AX239" s="1222" t="str">
        <f>IF(OR(AX$122="",I178=""),"",'I. Stream &amp; Compound Data'!DR233/$J178*(1-AX$127)*(1-AX$123)*$K239)</f>
        <v/>
      </c>
      <c r="AY239" s="1516" t="str">
        <f>IF(OR(AY$122="",I178=""),"",'I. Stream &amp; Compound Data'!DU233/$J178*(1-AY$127)*(1-AY$123)*$K239)</f>
        <v/>
      </c>
      <c r="AZ239" s="279"/>
      <c r="BA239" s="279"/>
      <c r="BB239" s="279"/>
      <c r="BC239" s="279"/>
      <c r="BD239" s="279"/>
      <c r="BE239" s="279"/>
      <c r="BF239" s="279"/>
      <c r="BG239" s="279"/>
      <c r="BH239" s="279"/>
      <c r="BI239" s="279"/>
      <c r="BJ239" s="279"/>
      <c r="BK239" s="279"/>
      <c r="BL239" s="279"/>
      <c r="BM239" s="279"/>
      <c r="BN239" s="279"/>
      <c r="BO239" s="279"/>
      <c r="BP239" s="279"/>
      <c r="BQ239" s="279"/>
      <c r="BR239" s="279"/>
      <c r="BS239" s="279"/>
      <c r="BT239" s="279"/>
      <c r="BU239" s="279"/>
      <c r="BV239" s="279"/>
      <c r="BW239" s="279"/>
      <c r="BX239" s="279"/>
      <c r="BY239" s="279"/>
      <c r="BZ239" s="279"/>
      <c r="CA239" s="279"/>
      <c r="CB239" s="279"/>
      <c r="CC239" s="279"/>
      <c r="CD239" s="279"/>
      <c r="CE239" s="279"/>
      <c r="CF239" s="279"/>
      <c r="CG239" s="279"/>
      <c r="CH239" s="279"/>
      <c r="CI239" s="279"/>
      <c r="CJ239" s="279"/>
      <c r="CK239" s="279"/>
      <c r="CL239" s="279"/>
      <c r="CM239" s="279"/>
      <c r="CN239" s="382"/>
    </row>
    <row r="240" ht="15.6" x14ac:dyDescent="0.25">
      <c r="B240" s="361"/>
      <c r="C240" s="279"/>
      <c r="D240" s="280"/>
      <c r="E240" s="287"/>
      <c r="F240" s="287"/>
      <c r="G240" s="287"/>
      <c r="H240" s="280"/>
      <c r="I240" s="304"/>
      <c r="J240" s="1292">
        <f t="shared" si="23"/>
        <v>49</v>
      </c>
      <c r="K240" s="1242" t="str">
        <f>IF('I. Stream &amp; Compound Data'!G310="","",IF('I. Stream &amp; Compound Data'!V310=1,0,1))</f>
        <v/>
      </c>
      <c r="L240" s="1242" t="str">
        <f>IF(OR(L$122="",I179=""),"",'I. Stream &amp; Compound Data'!H234/$J179*(1-L$127)*(1-L$123)*$K240)</f>
        <v/>
      </c>
      <c r="M240" s="1242" t="str">
        <f>IF(OR(M$122="",I179=""),"",'I. Stream &amp; Compound Data'!K234/$J179*(1-M$127)*(1-M$123)*$K240)</f>
        <v/>
      </c>
      <c r="N240" s="1306" t="str">
        <f>IF(OR(N$122="",I179=""),"",'I. Stream &amp; Compound Data'!N234/$J179*(1-N$127)*(1-N$123)*$K240)</f>
        <v/>
      </c>
      <c r="O240" s="1242" t="str">
        <f>IF(OR(O$122="",I179=""),"",'I. Stream &amp; Compound Data'!Q234/$J179*(1-O$127)*(1-O$123)*$K240)</f>
        <v/>
      </c>
      <c r="P240" s="1242" t="str">
        <f>IF(OR(P$122="",I179=""),"",'I. Stream &amp; Compound Data'!T234/$J179*(1-P$127)*(1-P$123)*$K240)</f>
        <v/>
      </c>
      <c r="Q240" s="202" t="str">
        <f>IF(OR(Q$122="",I179=""),"",'I. Stream &amp; Compound Data'!W234/$J179*(1-Q$127)*(1-Q$123)*$K240)</f>
        <v/>
      </c>
      <c r="R240" s="1168" t="str">
        <f>IF(OR(R$122="",I179=""),"",'I. Stream &amp; Compound Data'!Z234/$J179*(1-R$127)*(1-R$123)*$K240)</f>
        <v/>
      </c>
      <c r="S240" s="1168" t="str">
        <f>IF(OR(S$122="",I179=""),"",'I. Stream &amp; Compound Data'!AC234/$J179*(1-S$127)*(1-S$123)*$K240)</f>
        <v/>
      </c>
      <c r="T240" s="1168" t="str">
        <f>IF(OR(T$122="",I179=""),"",'I. Stream &amp; Compound Data'!AF234/$J179*(1-T$127)*(1-T$123)*$K240)</f>
        <v/>
      </c>
      <c r="U240" s="1222" t="str">
        <f>IF(OR(U$122="",I179=""),"",'I. Stream &amp; Compound Data'!AI234/$J179*(1-U$127)*(1-U$123)*$K240)</f>
        <v/>
      </c>
      <c r="V240" s="1222" t="str">
        <f>IF(OR(V$122="",I179=""),"",'I. Stream &amp; Compound Data'!AL234/$J179*(1-V$127)*(1-V$123)*$K240)</f>
        <v/>
      </c>
      <c r="W240" s="1222" t="str">
        <f>IF(OR(W$122="",I179=""),"",'I. Stream &amp; Compound Data'!AO234/$J179*(1-W$127)*(1-W$123)*$K240)</f>
        <v/>
      </c>
      <c r="X240" s="1222" t="str">
        <f>IF(OR(X$122="",I179=""),"",'I. Stream &amp; Compound Data'!AR234/$J179*(1-X$127)*(1-X$123)*$K240)</f>
        <v/>
      </c>
      <c r="Y240" s="1222" t="str">
        <f>IF(OR(Y$122="",I179=""),"",'I. Stream &amp; Compound Data'!AU234/$J179*(1-Y$127)*(1-Y$123)*$K240)</f>
        <v/>
      </c>
      <c r="Z240" s="1222" t="str">
        <f>IF(OR(Z$122="",I179=""),"",'I. Stream &amp; Compound Data'!AX234/$J179*(1-Z$127)*(1-Z$123)*$K240)</f>
        <v/>
      </c>
      <c r="AA240" s="1222" t="str">
        <f>IF(OR(AA$122="",I179=""),"",'I. Stream &amp; Compound Data'!BA234/$J179*(1-AA$127)*(1-AA$123)*$K240)</f>
        <v/>
      </c>
      <c r="AB240" s="1222" t="str">
        <f>IF(OR(AB$122="",I179=""),"",'I. Stream &amp; Compound Data'!BD234/$J179*(1-AB$127)*(1-AB$123)*$K240)</f>
        <v/>
      </c>
      <c r="AC240" s="1222" t="str">
        <f>IF(OR(AC$122="",I179=""),"",'I. Stream &amp; Compound Data'!BG234/$J179*(1-AC$127)*(1-AC$123)*$K240)</f>
        <v/>
      </c>
      <c r="AD240" s="1222" t="str">
        <f>IF(OR(AD$122="",I179=""),"",'I. Stream &amp; Compound Data'!BJ234/$J179*(1-AD$127)*(1-AD$123)*$K240)</f>
        <v/>
      </c>
      <c r="AE240" s="1222" t="str">
        <f>IF(OR(AE$122="",I179=""),"",'I. Stream &amp; Compound Data'!BM234/$J179*(1-AE$127)*(1-AE$123)*$K240)</f>
        <v/>
      </c>
      <c r="AF240" s="1222" t="str">
        <f>IF(OR(AF$122="",I179=""),"",'I. Stream &amp; Compound Data'!BP234/$J179*(1-AF$127)*(1-AF$123)*$K240)</f>
        <v/>
      </c>
      <c r="AG240" s="1222" t="str">
        <f>IF(OR(AG$122="",I179=""),"",'I. Stream &amp; Compound Data'!BS234/$J179*(1-AG$127)*(1-AG$123)*$K240)</f>
        <v/>
      </c>
      <c r="AH240" s="1222" t="str">
        <f>IF(OR(AH$122="",I179=""),"",'I. Stream &amp; Compound Data'!BV234/$J179*(1-AH$127)*(1-AH$123)*$K240)</f>
        <v/>
      </c>
      <c r="AI240" s="1222" t="str">
        <f>IF(OR(AI$122="",I179=""),"",'I. Stream &amp; Compound Data'!BY234/$J179*(1-AI$127)*(1-AI$123)*$K240)</f>
        <v/>
      </c>
      <c r="AJ240" s="1222" t="str">
        <f>IF(OR(AJ$122="",I179=""),"",'I. Stream &amp; Compound Data'!CB234/$J179*(1-AJ$127)*(1-AJ$123)*$K240)</f>
        <v/>
      </c>
      <c r="AK240" s="1222" t="str">
        <f>IF(OR(AK$122="",I179=""),"",'I. Stream &amp; Compound Data'!CE234/$J179*(1-AK$127)*(1-AK$123)*$K240)</f>
        <v/>
      </c>
      <c r="AL240" s="1222" t="str">
        <f>IF(OR(AL$122="",I179=""),"",'I. Stream &amp; Compound Data'!CH234/$J179*(1-AL$127)*(1-AL$123)*$K240)</f>
        <v/>
      </c>
      <c r="AM240" s="1222" t="str">
        <f>IF(OR(AM$122="",I179=""),"",'I. Stream &amp; Compound Data'!CK234/$J179*(1-AM$127)*(1-AM$123)*$K240)</f>
        <v/>
      </c>
      <c r="AN240" s="1222" t="str">
        <f>IF(OR(AN$122="",I179=""),"",'I. Stream &amp; Compound Data'!CN234/$J179*(1-AN$127)*(1-AN$123)*$K240)</f>
        <v/>
      </c>
      <c r="AO240" s="1222" t="str">
        <f>IF(OR(AO$122="",I179=""),"",'I. Stream &amp; Compound Data'!CQ234/$J179*(1-AO$127)*(1-AO$123)*$K240)</f>
        <v/>
      </c>
      <c r="AP240" s="1222" t="str">
        <f>IF(OR(AP$122="",I179=""),"",'I. Stream &amp; Compound Data'!CT234/$J179*(1-AP$127)*(1-AP$123)*$K240)</f>
        <v/>
      </c>
      <c r="AQ240" s="1222" t="str">
        <f>IF(OR(AQ$122="",I179=""),"",'I. Stream &amp; Compound Data'!CW234/$J179*(1-AQ$127)*(1-AQ$123)*$K240)</f>
        <v/>
      </c>
      <c r="AR240" s="1222" t="str">
        <f>IF(OR(AR$122="",I179=""),"",'I. Stream &amp; Compound Data'!CZ234/$J179*(1-AR$127)*(1-AR$123)*$K240)</f>
        <v/>
      </c>
      <c r="AS240" s="1222" t="str">
        <f>IF(OR(AS$122="",I179=""),"",'I. Stream &amp; Compound Data'!DC234/$J179*(1-AS$127)*(1-AS$123)*$K240)</f>
        <v/>
      </c>
      <c r="AT240" s="1222" t="str">
        <f>IF(OR(AT$122="",I179=""),"",'I. Stream &amp; Compound Data'!DF234/$J179*(1-AT$127)*(1-AT$123)*$K240)</f>
        <v/>
      </c>
      <c r="AU240" s="1222" t="str">
        <f>IF(OR(AU$122="",I179=""),"",'I. Stream &amp; Compound Data'!DI234/$J179*(1-AU$127)*(1-AU$123)*$K240)</f>
        <v/>
      </c>
      <c r="AV240" s="1222" t="str">
        <f>IF(OR(AV$122="",I179=""),"",'I. Stream &amp; Compound Data'!DL234/$J179*(1-AV$127)*(1-AV$123)*$K240)</f>
        <v/>
      </c>
      <c r="AW240" s="1222" t="str">
        <f>IF(OR(AW$122="",I179=""),"",'I. Stream &amp; Compound Data'!DO234/$J179*(1-AW$127)*(1-AW$123)*$K240)</f>
        <v/>
      </c>
      <c r="AX240" s="1222" t="str">
        <f>IF(OR(AX$122="",I179=""),"",'I. Stream &amp; Compound Data'!DR234/$J179*(1-AX$127)*(1-AX$123)*$K240)</f>
        <v/>
      </c>
      <c r="AY240" s="1516" t="str">
        <f>IF(OR(AY$122="",I179=""),"",'I. Stream &amp; Compound Data'!DU234/$J179*(1-AY$127)*(1-AY$123)*$K240)</f>
        <v/>
      </c>
      <c r="AZ240" s="279"/>
      <c r="BA240" s="279"/>
      <c r="BB240" s="279"/>
      <c r="BC240" s="279"/>
      <c r="BD240" s="279"/>
      <c r="BE240" s="279"/>
      <c r="BF240" s="279"/>
      <c r="BG240" s="279"/>
      <c r="BH240" s="279"/>
      <c r="BI240" s="279"/>
      <c r="BJ240" s="279"/>
      <c r="BK240" s="279"/>
      <c r="BL240" s="279"/>
      <c r="BM240" s="279"/>
      <c r="BN240" s="279"/>
      <c r="BO240" s="279"/>
      <c r="BP240" s="279"/>
      <c r="BQ240" s="279"/>
      <c r="BR240" s="279"/>
      <c r="BS240" s="279"/>
      <c r="BT240" s="279"/>
      <c r="BU240" s="279"/>
      <c r="BV240" s="279"/>
      <c r="BW240" s="279"/>
      <c r="BX240" s="279"/>
      <c r="BY240" s="279"/>
      <c r="BZ240" s="279"/>
      <c r="CA240" s="279"/>
      <c r="CB240" s="279"/>
      <c r="CC240" s="279"/>
      <c r="CD240" s="279"/>
      <c r="CE240" s="279"/>
      <c r="CF240" s="279"/>
      <c r="CG240" s="279"/>
      <c r="CH240" s="279"/>
      <c r="CI240" s="279"/>
      <c r="CJ240" s="279"/>
      <c r="CK240" s="279"/>
      <c r="CL240" s="279"/>
      <c r="CM240" s="279"/>
      <c r="CN240" s="382"/>
    </row>
    <row r="241" ht="16.2" thickBot="true" x14ac:dyDescent="0.3">
      <c r="B241" s="361"/>
      <c r="C241" s="279"/>
      <c r="D241" s="280"/>
      <c r="E241" s="287"/>
      <c r="F241" s="287"/>
      <c r="G241" s="287"/>
      <c r="H241" s="280"/>
      <c r="I241" s="304"/>
      <c r="J241" s="1292">
        <f t="shared" si="23"/>
        <v>50</v>
      </c>
      <c r="K241" s="1210" t="str">
        <f>IF('I. Stream &amp; Compound Data'!G311="","",IF('I. Stream &amp; Compound Data'!V311=1,0,1))</f>
        <v/>
      </c>
      <c r="L241" s="1210" t="str">
        <f>IF(OR(L$122="",I180=""),"",'I. Stream &amp; Compound Data'!H235/$J180*(1-L$127)*(1-L$123)*$K241)</f>
        <v/>
      </c>
      <c r="M241" s="1210" t="str">
        <f>IF(OR(M$122="",I180=""),"",'I. Stream &amp; Compound Data'!K235/$J180*(1-M$127)*(1-M$123)*$K241)</f>
        <v/>
      </c>
      <c r="N241" s="1308" t="str">
        <f>IF(OR(N$122="",I180=""),"",'I. Stream &amp; Compound Data'!N235/$J180*(1-N$127)*(1-N$123)*$K241)</f>
        <v/>
      </c>
      <c r="O241" s="1210" t="str">
        <f>IF(OR(O$122="",I180=""),"",'I. Stream &amp; Compound Data'!Q235/$J180*(1-O$127)*(1-O$123)*$K241)</f>
        <v/>
      </c>
      <c r="P241" s="1210" t="str">
        <f>IF(OR(P$122="",I180=""),"",'I. Stream &amp; Compound Data'!T235/$J180*(1-P$127)*(1-P$123)*$K241)</f>
        <v/>
      </c>
      <c r="Q241" s="263" t="str">
        <f>IF(OR(Q$122="",I180=""),"",'I. Stream &amp; Compound Data'!W235/$J180*(1-Q$127)*(1-Q$123)*$K241)</f>
        <v/>
      </c>
      <c r="R241" s="1225" t="str">
        <f>IF(OR(R$122="",I180=""),"",'I. Stream &amp; Compound Data'!Z235/$J180*(1-R$127)*(1-R$123)*$K241)</f>
        <v/>
      </c>
      <c r="S241" s="1225" t="str">
        <f>IF(OR(S$122="",I180=""),"",'I. Stream &amp; Compound Data'!AC235/$J180*(1-S$127)*(1-S$123)*$K241)</f>
        <v/>
      </c>
      <c r="T241" s="1225" t="str">
        <f>IF(OR(T$122="",I180=""),"",'I. Stream &amp; Compound Data'!AF235/$J180*(1-T$127)*(1-T$123)*$K241)</f>
        <v/>
      </c>
      <c r="U241" s="1226" t="str">
        <f>IF(OR(U$122="",I180=""),"",'I. Stream &amp; Compound Data'!AI235/$J180*(1-U$127)*(1-U$123)*$K241)</f>
        <v/>
      </c>
      <c r="V241" s="1226" t="str">
        <f>IF(OR(V$122="",I180=""),"",'I. Stream &amp; Compound Data'!AL235/$J180*(1-V$127)*(1-V$123)*$K241)</f>
        <v/>
      </c>
      <c r="W241" s="1226" t="str">
        <f>IF(OR(W$122="",I180=""),"",'I. Stream &amp; Compound Data'!AO235/$J180*(1-W$127)*(1-W$123)*$K241)</f>
        <v/>
      </c>
      <c r="X241" s="1226" t="str">
        <f>IF(OR(X$122="",I180=""),"",'I. Stream &amp; Compound Data'!AR235/$J180*(1-X$127)*(1-X$123)*$K241)</f>
        <v/>
      </c>
      <c r="Y241" s="1226" t="str">
        <f>IF(OR(Y$122="",I180=""),"",'I. Stream &amp; Compound Data'!AU235/$J180*(1-Y$127)*(1-Y$123)*$K241)</f>
        <v/>
      </c>
      <c r="Z241" s="1226" t="str">
        <f>IF(OR(Z$122="",I180=""),"",'I. Stream &amp; Compound Data'!AX235/$J180*(1-Z$127)*(1-Z$123)*$K241)</f>
        <v/>
      </c>
      <c r="AA241" s="1226" t="str">
        <f>IF(OR(AA$122="",I180=""),"",'I. Stream &amp; Compound Data'!BA235/$J180*(1-AA$127)*(1-AA$123)*$K241)</f>
        <v/>
      </c>
      <c r="AB241" s="1226" t="str">
        <f>IF(OR(AB$122="",I180=""),"",'I. Stream &amp; Compound Data'!BD235/$J180*(1-AB$127)*(1-AB$123)*$K241)</f>
        <v/>
      </c>
      <c r="AC241" s="1226" t="str">
        <f>IF(OR(AC$122="",I180=""),"",'I. Stream &amp; Compound Data'!BG235/$J180*(1-AC$127)*(1-AC$123)*$K241)</f>
        <v/>
      </c>
      <c r="AD241" s="1226" t="str">
        <f>IF(OR(AD$122="",I180=""),"",'I. Stream &amp; Compound Data'!BJ235/$J180*(1-AD$127)*(1-AD$123)*$K241)</f>
        <v/>
      </c>
      <c r="AE241" s="1226" t="str">
        <f>IF(OR(AE$122="",I180=""),"",'I. Stream &amp; Compound Data'!BM235/$J180*(1-AE$127)*(1-AE$123)*$K241)</f>
        <v/>
      </c>
      <c r="AF241" s="1226" t="str">
        <f>IF(OR(AF$122="",I180=""),"",'I. Stream &amp; Compound Data'!BP235/$J180*(1-AF$127)*(1-AF$123)*$K241)</f>
        <v/>
      </c>
      <c r="AG241" s="1226" t="str">
        <f>IF(OR(AG$122="",I180=""),"",'I. Stream &amp; Compound Data'!BS235/$J180*(1-AG$127)*(1-AG$123)*$K241)</f>
        <v/>
      </c>
      <c r="AH241" s="1226" t="str">
        <f>IF(OR(AH$122="",I180=""),"",'I. Stream &amp; Compound Data'!BV235/$J180*(1-AH$127)*(1-AH$123)*$K241)</f>
        <v/>
      </c>
      <c r="AI241" s="1226" t="str">
        <f>IF(OR(AI$122="",I180=""),"",'I. Stream &amp; Compound Data'!BY235/$J180*(1-AI$127)*(1-AI$123)*$K241)</f>
        <v/>
      </c>
      <c r="AJ241" s="1226" t="str">
        <f>IF(OR(AJ$122="",I180=""),"",'I. Stream &amp; Compound Data'!CB235/$J180*(1-AJ$127)*(1-AJ$123)*$K241)</f>
        <v/>
      </c>
      <c r="AK241" s="1226" t="str">
        <f>IF(OR(AK$122="",I180=""),"",'I. Stream &amp; Compound Data'!CE235/$J180*(1-AK$127)*(1-AK$123)*$K241)</f>
        <v/>
      </c>
      <c r="AL241" s="1226" t="str">
        <f>IF(OR(AL$122="",I180=""),"",'I. Stream &amp; Compound Data'!CH235/$J180*(1-AL$127)*(1-AL$123)*$K241)</f>
        <v/>
      </c>
      <c r="AM241" s="1226" t="str">
        <f>IF(OR(AM$122="",I180=""),"",'I. Stream &amp; Compound Data'!CK235/$J180*(1-AM$127)*(1-AM$123)*$K241)</f>
        <v/>
      </c>
      <c r="AN241" s="1226" t="str">
        <f>IF(OR(AN$122="",I180=""),"",'I. Stream &amp; Compound Data'!CN235/$J180*(1-AN$127)*(1-AN$123)*$K241)</f>
        <v/>
      </c>
      <c r="AO241" s="1226" t="str">
        <f>IF(OR(AO$122="",I180=""),"",'I. Stream &amp; Compound Data'!CQ235/$J180*(1-AO$127)*(1-AO$123)*$K241)</f>
        <v/>
      </c>
      <c r="AP241" s="1226" t="str">
        <f>IF(OR(AP$122="",I180=""),"",'I. Stream &amp; Compound Data'!CT235/$J180*(1-AP$127)*(1-AP$123)*$K241)</f>
        <v/>
      </c>
      <c r="AQ241" s="1226" t="str">
        <f>IF(OR(AQ$122="",I180=""),"",'I. Stream &amp; Compound Data'!CW235/$J180*(1-AQ$127)*(1-AQ$123)*$K241)</f>
        <v/>
      </c>
      <c r="AR241" s="1226" t="str">
        <f>IF(OR(AR$122="",I180=""),"",'I. Stream &amp; Compound Data'!CZ235/$J180*(1-AR$127)*(1-AR$123)*$K241)</f>
        <v/>
      </c>
      <c r="AS241" s="1226" t="str">
        <f>IF(OR(AS$122="",I180=""),"",'I. Stream &amp; Compound Data'!DC235/$J180*(1-AS$127)*(1-AS$123)*$K241)</f>
        <v/>
      </c>
      <c r="AT241" s="1226" t="str">
        <f>IF(OR(AT$122="",I180=""),"",'I. Stream &amp; Compound Data'!DF235/$J180*(1-AT$127)*(1-AT$123)*$K241)</f>
        <v/>
      </c>
      <c r="AU241" s="1226" t="str">
        <f>IF(OR(AU$122="",I180=""),"",'I. Stream &amp; Compound Data'!DI235/$J180*(1-AU$127)*(1-AU$123)*$K241)</f>
        <v/>
      </c>
      <c r="AV241" s="1226" t="str">
        <f>IF(OR(AV$122="",I180=""),"",'I. Stream &amp; Compound Data'!DL235/$J180*(1-AV$127)*(1-AV$123)*$K241)</f>
        <v/>
      </c>
      <c r="AW241" s="1226" t="str">
        <f>IF(OR(AW$122="",I180=""),"",'I. Stream &amp; Compound Data'!DO235/$J180*(1-AW$127)*(1-AW$123)*$K241)</f>
        <v/>
      </c>
      <c r="AX241" s="1226" t="str">
        <f>IF(OR(AX$122="",I180=""),"",'I. Stream &amp; Compound Data'!DR235/$J180*(1-AX$127)*(1-AX$123)*$K241)</f>
        <v/>
      </c>
      <c r="AY241" s="1517" t="str">
        <f>IF(OR(AY$122="",I180=""),"",'I. Stream &amp; Compound Data'!DU235/$J180*(1-AY$127)*(1-AY$123)*$K241)</f>
        <v/>
      </c>
      <c r="AZ241" s="279"/>
      <c r="BA241" s="279"/>
      <c r="BB241" s="279"/>
      <c r="BC241" s="279"/>
      <c r="BD241" s="279"/>
      <c r="BE241" s="279"/>
      <c r="BF241" s="279"/>
      <c r="BG241" s="279"/>
      <c r="BH241" s="279"/>
      <c r="BI241" s="279"/>
      <c r="BJ241" s="279"/>
      <c r="BK241" s="279"/>
      <c r="BL241" s="279"/>
      <c r="BM241" s="279"/>
      <c r="BN241" s="279"/>
      <c r="BO241" s="279"/>
      <c r="BP241" s="279"/>
      <c r="BQ241" s="279"/>
      <c r="BR241" s="279"/>
      <c r="BS241" s="279"/>
      <c r="BT241" s="279"/>
      <c r="BU241" s="279"/>
      <c r="BV241" s="279"/>
      <c r="BW241" s="279"/>
      <c r="BX241" s="279"/>
      <c r="BY241" s="279"/>
      <c r="BZ241" s="279"/>
      <c r="CA241" s="279"/>
      <c r="CB241" s="279"/>
      <c r="CC241" s="279"/>
      <c r="CD241" s="279"/>
      <c r="CE241" s="279"/>
      <c r="CF241" s="279"/>
      <c r="CG241" s="279"/>
      <c r="CH241" s="279"/>
      <c r="CI241" s="279"/>
      <c r="CJ241" s="279"/>
      <c r="CK241" s="279"/>
      <c r="CL241" s="279"/>
      <c r="CM241" s="279"/>
      <c r="CN241" s="382"/>
    </row>
    <row r="242" ht="30.6" thickBot="true" x14ac:dyDescent="0.3">
      <c r="B242" s="361"/>
      <c r="C242" s="279"/>
      <c r="D242" s="280"/>
      <c r="E242" s="287"/>
      <c r="F242" s="287"/>
      <c r="G242" s="287"/>
      <c r="H242" s="280"/>
      <c r="I242" s="304"/>
      <c r="J242" s="279"/>
      <c r="K242" s="326" t="s">
        <v>1587</v>
      </c>
      <c r="L242" s="1518">
        <f t="shared" ref="L242:AY242" si="24">IF(L$122="","",SUM(L192:L241))</f>
        <v>0</v>
      </c>
      <c r="M242" s="1518">
        <f t="shared" si="24"/>
        <v>1656.8929704280156</v>
      </c>
      <c r="N242" s="1518" t="str">
        <f t="shared" si="24"/>
        <v/>
      </c>
      <c r="O242" s="1518" t="str">
        <f t="shared" si="24"/>
        <v/>
      </c>
      <c r="P242" s="1518" t="str">
        <f t="shared" si="24"/>
        <v/>
      </c>
      <c r="Q242" s="1518">
        <f t="shared" si="24"/>
        <v>0</v>
      </c>
      <c r="R242" s="1518" t="str">
        <f t="shared" si="24"/>
        <v/>
      </c>
      <c r="S242" s="1518" t="str">
        <f t="shared" si="24"/>
        <v/>
      </c>
      <c r="T242" s="1518" t="str">
        <f t="shared" si="24"/>
        <v/>
      </c>
      <c r="U242" s="1518" t="str">
        <f t="shared" si="24"/>
        <v/>
      </c>
      <c r="V242" s="1518" t="str">
        <f t="shared" si="24"/>
        <v/>
      </c>
      <c r="W242" s="1518" t="str">
        <f t="shared" si="24"/>
        <v/>
      </c>
      <c r="X242" s="1518" t="str">
        <f t="shared" si="24"/>
        <v/>
      </c>
      <c r="Y242" s="1518" t="str">
        <f t="shared" si="24"/>
        <v/>
      </c>
      <c r="Z242" s="1518" t="str">
        <f t="shared" si="24"/>
        <v/>
      </c>
      <c r="AA242" s="1518" t="str">
        <f t="shared" si="24"/>
        <v/>
      </c>
      <c r="AB242" s="1518" t="str">
        <f t="shared" si="24"/>
        <v/>
      </c>
      <c r="AC242" s="1518" t="str">
        <f t="shared" si="24"/>
        <v/>
      </c>
      <c r="AD242" s="1518" t="str">
        <f t="shared" si="24"/>
        <v/>
      </c>
      <c r="AE242" s="1518" t="str">
        <f t="shared" si="24"/>
        <v/>
      </c>
      <c r="AF242" s="1518" t="str">
        <f t="shared" si="24"/>
        <v/>
      </c>
      <c r="AG242" s="1518" t="str">
        <f t="shared" si="24"/>
        <v/>
      </c>
      <c r="AH242" s="1518" t="str">
        <f t="shared" si="24"/>
        <v/>
      </c>
      <c r="AI242" s="1518" t="str">
        <f t="shared" si="24"/>
        <v/>
      </c>
      <c r="AJ242" s="1518" t="str">
        <f t="shared" si="24"/>
        <v/>
      </c>
      <c r="AK242" s="1518" t="str">
        <f t="shared" si="24"/>
        <v/>
      </c>
      <c r="AL242" s="1518" t="str">
        <f t="shared" si="24"/>
        <v/>
      </c>
      <c r="AM242" s="1518" t="str">
        <f t="shared" si="24"/>
        <v/>
      </c>
      <c r="AN242" s="1518" t="str">
        <f t="shared" si="24"/>
        <v/>
      </c>
      <c r="AO242" s="1518" t="str">
        <f t="shared" si="24"/>
        <v/>
      </c>
      <c r="AP242" s="1518" t="str">
        <f t="shared" si="24"/>
        <v/>
      </c>
      <c r="AQ242" s="1518" t="str">
        <f t="shared" si="24"/>
        <v/>
      </c>
      <c r="AR242" s="1518" t="str">
        <f t="shared" si="24"/>
        <v/>
      </c>
      <c r="AS242" s="1518" t="str">
        <f t="shared" si="24"/>
        <v/>
      </c>
      <c r="AT242" s="1518" t="str">
        <f t="shared" si="24"/>
        <v/>
      </c>
      <c r="AU242" s="1518" t="str">
        <f t="shared" si="24"/>
        <v/>
      </c>
      <c r="AV242" s="1518" t="str">
        <f t="shared" si="24"/>
        <v/>
      </c>
      <c r="AW242" s="1518" t="str">
        <f t="shared" si="24"/>
        <v/>
      </c>
      <c r="AX242" s="1518" t="str">
        <f t="shared" si="24"/>
        <v/>
      </c>
      <c r="AY242" s="1519" t="str">
        <f t="shared" si="24"/>
        <v/>
      </c>
      <c r="AZ242" s="279"/>
      <c r="BA242" s="279"/>
      <c r="BB242" s="279"/>
      <c r="BC242" s="279"/>
      <c r="BD242" s="279"/>
      <c r="BE242" s="279"/>
      <c r="BF242" s="279"/>
      <c r="BG242" s="279"/>
      <c r="BH242" s="279"/>
      <c r="BI242" s="279"/>
      <c r="BJ242" s="279"/>
      <c r="BK242" s="279"/>
      <c r="BL242" s="279"/>
      <c r="BM242" s="279"/>
      <c r="BN242" s="279"/>
      <c r="BO242" s="279"/>
      <c r="BP242" s="279"/>
      <c r="BQ242" s="279"/>
      <c r="BR242" s="279"/>
      <c r="BS242" s="279"/>
      <c r="BT242" s="279"/>
      <c r="BU242" s="279"/>
      <c r="BV242" s="279"/>
      <c r="BW242" s="279"/>
      <c r="BX242" s="279"/>
      <c r="BY242" s="279"/>
      <c r="BZ242" s="279"/>
      <c r="CA242" s="279"/>
      <c r="CB242" s="279"/>
      <c r="CC242" s="279"/>
      <c r="CD242" s="279"/>
      <c r="CE242" s="279"/>
      <c r="CF242" s="279"/>
      <c r="CG242" s="279"/>
      <c r="CH242" s="279"/>
      <c r="CI242" s="279"/>
      <c r="CJ242" s="279"/>
      <c r="CK242" s="279"/>
      <c r="CL242" s="279"/>
      <c r="CM242" s="279"/>
      <c r="CN242" s="382"/>
    </row>
    <row r="243" ht="15.6" x14ac:dyDescent="0.3">
      <c r="B243" s="361"/>
      <c r="C243" s="279"/>
      <c r="D243" s="280"/>
      <c r="E243" s="287"/>
      <c r="F243" s="287"/>
      <c r="G243" s="287"/>
      <c r="H243" s="280"/>
      <c r="I243" s="304"/>
      <c r="J243" s="279"/>
      <c r="K243" s="280"/>
      <c r="L243" s="362"/>
      <c r="M243" s="287"/>
      <c r="N243" s="296"/>
      <c r="O243" s="280"/>
      <c r="P243" s="280"/>
      <c r="Q243" s="279"/>
      <c r="R243" s="297"/>
      <c r="S243" s="298"/>
      <c r="T243" s="298"/>
      <c r="U243" s="299"/>
      <c r="V243" s="279"/>
      <c r="W243" s="279"/>
      <c r="X243" s="279"/>
      <c r="Y243" s="279"/>
      <c r="Z243" s="279"/>
      <c r="AA243" s="279"/>
      <c r="AB243" s="279"/>
      <c r="AC243" s="279"/>
      <c r="AD243" s="279"/>
      <c r="AE243" s="279"/>
      <c r="AF243" s="279"/>
      <c r="AG243" s="279"/>
      <c r="AH243" s="279"/>
      <c r="AI243" s="279"/>
      <c r="AJ243" s="279"/>
      <c r="AK243" s="279"/>
      <c r="AL243" s="279"/>
      <c r="AM243" s="279"/>
      <c r="AN243" s="279"/>
      <c r="AO243" s="279"/>
      <c r="AP243" s="279"/>
      <c r="AQ243" s="279"/>
      <c r="AR243" s="279"/>
      <c r="AS243" s="279"/>
      <c r="AT243" s="279"/>
      <c r="AU243" s="279"/>
      <c r="AV243" s="279"/>
      <c r="AW243" s="279"/>
      <c r="AX243" s="279"/>
      <c r="AY243" s="279"/>
      <c r="AZ243" s="279"/>
      <c r="BA243" s="279"/>
      <c r="BB243" s="279"/>
      <c r="BC243" s="279"/>
      <c r="BD243" s="279"/>
      <c r="BE243" s="279"/>
      <c r="BF243" s="279"/>
      <c r="BG243" s="279"/>
      <c r="BH243" s="279"/>
      <c r="BI243" s="279"/>
      <c r="BJ243" s="279"/>
      <c r="BK243" s="279"/>
      <c r="BL243" s="279"/>
      <c r="BM243" s="279"/>
      <c r="BN243" s="279"/>
      <c r="BO243" s="279"/>
      <c r="BP243" s="279"/>
      <c r="BQ243" s="279"/>
      <c r="BR243" s="279"/>
      <c r="BS243" s="279"/>
      <c r="BT243" s="279"/>
      <c r="BU243" s="279"/>
      <c r="BV243" s="279"/>
      <c r="BW243" s="279"/>
      <c r="BX243" s="279"/>
      <c r="BY243" s="279"/>
      <c r="BZ243" s="279"/>
      <c r="CA243" s="279"/>
      <c r="CB243" s="279"/>
      <c r="CC243" s="279"/>
      <c r="CD243" s="279"/>
      <c r="CE243" s="279"/>
      <c r="CF243" s="279"/>
      <c r="CG243" s="279"/>
      <c r="CH243" s="279"/>
      <c r="CI243" s="279"/>
      <c r="CJ243" s="279"/>
      <c r="CK243" s="279"/>
      <c r="CL243" s="279"/>
      <c r="CM243" s="279"/>
      <c r="CN243" s="382"/>
    </row>
    <row r="244" ht="15.6" thickBot="true" x14ac:dyDescent="0.3">
      <c r="B244" s="724"/>
      <c r="C244" s="724"/>
      <c r="D244" s="724"/>
      <c r="E244" s="724"/>
      <c r="F244" s="724"/>
      <c r="G244" s="724"/>
      <c r="H244" s="724"/>
      <c r="I244" s="724"/>
      <c r="J244" s="724"/>
      <c r="K244" s="724"/>
      <c r="L244" s="724"/>
      <c r="M244" s="724"/>
      <c r="N244" s="724"/>
      <c r="O244" s="724"/>
      <c r="P244" s="724"/>
      <c r="Q244" s="724"/>
      <c r="R244" s="724"/>
      <c r="S244" s="724"/>
      <c r="T244" s="724"/>
      <c r="U244" s="724"/>
      <c r="V244" s="724"/>
      <c r="W244" s="724"/>
      <c r="X244" s="724"/>
      <c r="Y244" s="724"/>
      <c r="Z244" s="724"/>
      <c r="AA244" s="724"/>
      <c r="AB244" s="724"/>
      <c r="AC244" s="724"/>
      <c r="AD244" s="724"/>
      <c r="AE244" s="724"/>
      <c r="AF244" s="724"/>
      <c r="AG244" s="724"/>
      <c r="AH244" s="724"/>
      <c r="AI244" s="724"/>
      <c r="AJ244" s="724"/>
      <c r="AK244" s="724"/>
      <c r="AL244" s="724"/>
      <c r="AM244" s="724"/>
      <c r="AN244" s="724"/>
      <c r="AO244" s="724"/>
      <c r="AP244" s="724"/>
      <c r="AQ244" s="724"/>
      <c r="AR244" s="724"/>
      <c r="AS244" s="724"/>
      <c r="AT244" s="724"/>
      <c r="AU244" s="724"/>
      <c r="AV244" s="724"/>
      <c r="AW244" s="724"/>
      <c r="AX244" s="724"/>
      <c r="AY244" s="724"/>
      <c r="AZ244" s="724"/>
      <c r="BA244" s="724"/>
      <c r="BB244" s="724"/>
      <c r="BC244" s="724"/>
      <c r="BD244" s="724"/>
      <c r="BE244" s="724"/>
      <c r="BF244" s="724"/>
      <c r="BG244" s="724"/>
      <c r="BH244" s="724"/>
      <c r="BI244" s="724"/>
      <c r="BJ244" s="724"/>
      <c r="BK244" s="724"/>
      <c r="BL244" s="724"/>
      <c r="BM244" s="724"/>
      <c r="BN244" s="724"/>
      <c r="BO244" s="724"/>
      <c r="BP244" s="724"/>
      <c r="BQ244" s="724"/>
      <c r="BR244" s="724"/>
      <c r="BS244" s="724"/>
      <c r="BT244" s="724"/>
      <c r="BU244" s="724"/>
      <c r="BV244" s="724"/>
      <c r="BW244" s="724"/>
      <c r="BX244" s="724"/>
      <c r="BY244" s="724"/>
      <c r="BZ244" s="724"/>
      <c r="CA244" s="724"/>
      <c r="CB244" s="724"/>
      <c r="CC244" s="724"/>
      <c r="CD244" s="724"/>
      <c r="CE244" s="724"/>
      <c r="CF244" s="724"/>
      <c r="CG244" s="724"/>
      <c r="CH244" s="724"/>
      <c r="CI244" s="724"/>
      <c r="CJ244" s="724"/>
      <c r="CK244" s="724"/>
      <c r="CL244" s="724"/>
      <c r="CM244" s="724"/>
      <c r="CN244" s="724"/>
    </row>
  </sheetData>
  <sheetProtection sheet="true" objects="true" scenarios="true"/>
  <mergeCells count="22">
    <mergeCell ref="B2:I2"/>
    <mergeCell ref="E185:F185"/>
    <mergeCell ref="E187:F187"/>
    <mergeCell ref="I123:K123"/>
    <mergeCell ref="E184:F184"/>
    <mergeCell ref="E182:F182"/>
    <mergeCell ref="E181:F181"/>
    <mergeCell ref="E186:F186"/>
    <mergeCell ref="I126:K126"/>
    <mergeCell ref="I129:K129"/>
    <mergeCell ref="H3:R3"/>
    <mergeCell ref="H61:Q61"/>
    <mergeCell ref="E183:F183"/>
    <mergeCell ref="I128:K128"/>
    <mergeCell ref="L4:M4"/>
    <mergeCell ref="I119:K119"/>
    <mergeCell ref="I120:K120"/>
    <mergeCell ref="I122:K122"/>
    <mergeCell ref="I124:K124"/>
    <mergeCell ref="I125:K125"/>
    <mergeCell ref="I127:K127"/>
    <mergeCell ref="I121:K121"/>
  </mergeCells>
  <pageMargins left="0.7" right="0.7" top="0.75" bottom="0.75" header="0.3" footer="0.3"/>
  <legacyDrawing r:id="rId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2"/>
  <dimension ref="B3:AR104"/>
  <sheetViews>
    <sheetView zoomScale="85" zoomScaleNormal="85" workbookViewId="0">
      <selection activeCell="K16" sqref="K16"/>
    </sheetView>
  </sheetViews>
  <sheetFormatPr defaultColWidth="9.109375" defaultRowHeight="15.6" x14ac:dyDescent="0.3"/>
  <cols>
    <col min="5" max="5" width="9.109375" style="671"/>
    <col min="9" max="9" width="19.44140625" customWidth="true"/>
    <col min="10" max="10" width="18.6640625" customWidth="true"/>
    <col min="11" max="11" width="14" customWidth="true"/>
    <col min="12" max="12" width="15.109375" style="58" customWidth="true"/>
    <col min="13" max="13" width="14.33203125" customWidth="true"/>
    <col min="14" max="14" width="20" customWidth="true"/>
    <col min="15" max="15" width="16.109375" customWidth="true"/>
    <col min="16" max="16" width="16.109375" style="58" customWidth="true"/>
    <col min="17" max="19" width="14.33203125" style="58" customWidth="true"/>
    <col min="20" max="20" width="25.88671875" customWidth="true"/>
    <col min="21" max="21" width="25.5546875" customWidth="true"/>
    <col min="22" max="22" width="28.88671875" style="62" customWidth="true"/>
    <col min="23" max="23" width="37.109375" customWidth="true"/>
    <col min="24" max="24" width="11.44140625" customWidth="true"/>
    <col min="25" max="25" width="27.5546875" customWidth="true"/>
    <col min="26" max="26" width="28.88671875" customWidth="true"/>
    <col min="27" max="27" width="14" customWidth="true"/>
    <col min="28" max="28" width="14.88671875" customWidth="true"/>
    <col min="29" max="29" width="13.44140625" customWidth="true"/>
    <col min="30" max="30" width="16.33203125" customWidth="true"/>
    <col min="31" max="31" width="28.5546875" customWidth="true"/>
    <col min="32" max="32" width="15.44140625" customWidth="true"/>
    <col min="33" max="33" width="16.5546875" customWidth="true"/>
    <col min="34" max="35" width="15.44140625" customWidth="true"/>
    <col min="36" max="39" width="14.6640625" customWidth="true"/>
    <col min="40" max="41" width="15.6640625" customWidth="true"/>
    <col min="42" max="43" width="16.88671875" customWidth="true"/>
  </cols>
  <sheetData>
    <row r="3" ht="16.2" thickBot="true" x14ac:dyDescent="0.35">
      <c r="K3" s="888"/>
      <c r="L3" s="889"/>
      <c r="M3" s="888"/>
      <c r="N3" s="888"/>
      <c r="O3" s="888"/>
      <c r="P3" s="889"/>
      <c r="Q3" s="889"/>
    </row>
    <row r="4" ht="28.5" customHeight="true" thickBot="true" x14ac:dyDescent="0.45">
      <c r="C4" s="2148" t="s">
        <v>2368</v>
      </c>
      <c r="D4" s="2149"/>
      <c r="E4" s="2149"/>
      <c r="F4" s="2149"/>
      <c r="G4" s="2149"/>
      <c r="H4" s="2149"/>
      <c r="I4" s="2149"/>
      <c r="J4" s="2149"/>
      <c r="K4" s="557"/>
      <c r="L4" s="543"/>
      <c r="M4" s="557"/>
      <c r="N4" s="557"/>
      <c r="O4" s="557"/>
      <c r="P4" s="543"/>
      <c r="Q4" s="651"/>
      <c r="S4" s="2145" t="s">
        <v>2360</v>
      </c>
      <c r="T4" s="2146"/>
      <c r="U4" s="2146"/>
      <c r="V4" s="2146"/>
      <c r="W4" s="2147"/>
      <c r="X4" s="634"/>
      <c r="Y4" s="586"/>
      <c r="Z4" s="586"/>
      <c r="AA4" s="586"/>
      <c r="AB4" s="586"/>
      <c r="AC4" s="586"/>
      <c r="AD4" s="586"/>
      <c r="AE4" s="586"/>
      <c r="AF4" s="586"/>
      <c r="AG4" s="586"/>
      <c r="AH4" s="586"/>
      <c r="AI4" s="586"/>
      <c r="AJ4" s="586"/>
      <c r="AK4" s="586"/>
      <c r="AL4" s="586"/>
      <c r="AM4" s="586"/>
      <c r="AN4" s="586"/>
      <c r="AO4" s="586"/>
      <c r="AP4" s="586"/>
      <c r="AQ4" s="586"/>
      <c r="AR4" s="607"/>
    </row>
    <row r="5" ht="25.5" customHeight="true" thickTop="true" thickBot="true" x14ac:dyDescent="0.45">
      <c r="B5" s="726"/>
      <c r="C5" s="557"/>
      <c r="D5" s="557"/>
      <c r="E5" s="2156" t="s">
        <v>1420</v>
      </c>
      <c r="F5" s="2157"/>
      <c r="G5" s="2157"/>
      <c r="H5" s="2157"/>
      <c r="I5" s="2157"/>
      <c r="J5" s="2157"/>
      <c r="K5" s="2157"/>
      <c r="L5" s="2157"/>
      <c r="M5" s="2157"/>
      <c r="N5" s="2157"/>
      <c r="O5" s="2157"/>
      <c r="P5" s="2158"/>
      <c r="Q5" s="652"/>
      <c r="R5" s="93"/>
      <c r="S5" s="635"/>
      <c r="T5" s="1200" t="s">
        <v>73</v>
      </c>
      <c r="U5" s="1200"/>
      <c r="V5" s="1200"/>
      <c r="W5" s="190"/>
      <c r="X5" s="190"/>
      <c r="Y5" s="2133" t="s">
        <v>1432</v>
      </c>
      <c r="Z5" s="2134"/>
      <c r="AA5" s="2134"/>
      <c r="AB5" s="2134"/>
      <c r="AC5" s="2134"/>
      <c r="AD5" s="2134"/>
      <c r="AE5" s="2134"/>
      <c r="AF5" s="2134"/>
      <c r="AG5" s="2134"/>
      <c r="AH5" s="2134"/>
      <c r="AI5" s="2134"/>
      <c r="AJ5" s="2134"/>
      <c r="AK5" s="2134"/>
      <c r="AL5" s="2134"/>
      <c r="AM5" s="2134"/>
      <c r="AN5" s="2134"/>
      <c r="AO5" s="2134"/>
      <c r="AP5" s="2134"/>
      <c r="AQ5" s="2135"/>
      <c r="AR5" s="608"/>
    </row>
    <row r="6" ht="21.6" thickTop="true" thickBot="true" x14ac:dyDescent="0.35">
      <c r="B6" s="726"/>
      <c r="C6" s="557"/>
      <c r="D6" s="557"/>
      <c r="E6" s="650"/>
      <c r="F6" s="557"/>
      <c r="G6" s="557"/>
      <c r="H6" s="557"/>
      <c r="I6" s="557"/>
      <c r="J6" s="646" t="s">
        <v>2198</v>
      </c>
      <c r="K6" s="647" t="s">
        <v>1411</v>
      </c>
      <c r="L6" s="648" t="s">
        <v>2199</v>
      </c>
      <c r="M6" s="647" t="s">
        <v>1415</v>
      </c>
      <c r="N6" s="648" t="s">
        <v>2200</v>
      </c>
      <c r="O6" s="649" t="s">
        <v>1418</v>
      </c>
      <c r="P6" s="543"/>
      <c r="Q6" s="651"/>
      <c r="S6" s="635"/>
      <c r="T6" s="2150" t="s">
        <v>2369</v>
      </c>
      <c r="U6" s="2151"/>
      <c r="V6" s="212">
        <f>'VII. Economic'!G75/1000000</f>
        <v>0</v>
      </c>
      <c r="W6" s="190"/>
      <c r="X6" s="190"/>
      <c r="Y6" s="190"/>
      <c r="Z6" s="190"/>
      <c r="AA6" s="190"/>
      <c r="AB6" s="190"/>
      <c r="AC6" s="190"/>
      <c r="AD6" s="190"/>
      <c r="AE6" s="190"/>
      <c r="AF6" s="532"/>
      <c r="AG6" s="610"/>
      <c r="AH6" s="570"/>
      <c r="AI6" s="570"/>
      <c r="AJ6" s="297"/>
      <c r="AK6" s="611"/>
      <c r="AL6" s="570"/>
      <c r="AM6" s="570"/>
      <c r="AN6" s="612" t="s">
        <v>1326</v>
      </c>
      <c r="AO6" s="1520">
        <f>'VII. Economic'!U81</f>
        <v>0</v>
      </c>
      <c r="AP6" s="613" t="s">
        <v>1326</v>
      </c>
      <c r="AQ6" s="1521">
        <f>'VII. Economic'!W81</f>
        <v>0.4</v>
      </c>
      <c r="AR6" s="608"/>
    </row>
    <row r="7" ht="25.5" customHeight="true" thickBot="true" x14ac:dyDescent="0.35">
      <c r="B7" s="726"/>
      <c r="C7" s="557"/>
      <c r="D7" s="557"/>
      <c r="E7" s="650"/>
      <c r="F7" s="557"/>
      <c r="G7" s="557"/>
      <c r="H7" s="2114" t="s">
        <v>1336</v>
      </c>
      <c r="I7" s="2115"/>
      <c r="J7" s="233">
        <f>'VII. Economic'!G70/1000000</f>
        <v>0</v>
      </c>
      <c r="K7" s="1522" t="e">
        <f>J7/$J$7</f>
        <v>#DIV/0!</v>
      </c>
      <c r="L7" s="1523">
        <f>J7*M31</f>
        <v>0</v>
      </c>
      <c r="M7" s="1522" t="e">
        <f>L7/$J$7</f>
        <v>#DIV/0!</v>
      </c>
      <c r="N7" s="1524">
        <f>J7*P31</f>
        <v>0</v>
      </c>
      <c r="O7" s="1525" t="e">
        <f>N7/$J$7</f>
        <v>#DIV/0!</v>
      </c>
      <c r="P7" s="543"/>
      <c r="Q7" s="651"/>
      <c r="S7" s="635"/>
      <c r="T7" s="2085" t="s">
        <v>2370</v>
      </c>
      <c r="U7" s="2086"/>
      <c r="V7" s="262">
        <f>L7</f>
        <v>0</v>
      </c>
      <c r="W7" s="190"/>
      <c r="X7" s="190"/>
      <c r="Y7" s="190"/>
      <c r="Z7" s="190"/>
      <c r="AA7" s="190"/>
      <c r="AB7" s="190"/>
      <c r="AC7" s="190"/>
      <c r="AD7" s="190"/>
      <c r="AE7" s="190"/>
      <c r="AF7" s="2074" t="s">
        <v>1244</v>
      </c>
      <c r="AG7" s="2075"/>
      <c r="AH7" s="2075"/>
      <c r="AI7" s="2076"/>
      <c r="AJ7" s="2077" t="s">
        <v>1245</v>
      </c>
      <c r="AK7" s="2078"/>
      <c r="AL7" s="2078"/>
      <c r="AM7" s="2079"/>
      <c r="AN7" s="2080" t="s">
        <v>1798</v>
      </c>
      <c r="AO7" s="2081"/>
      <c r="AP7" s="2081" t="s">
        <v>1799</v>
      </c>
      <c r="AQ7" s="2082"/>
      <c r="AR7" s="608"/>
    </row>
    <row r="8" s="538" customFormat="true" ht="25.5" customHeight="true" thickBot="true" x14ac:dyDescent="0.35">
      <c r="B8" s="890"/>
      <c r="C8" s="653"/>
      <c r="D8" s="653"/>
      <c r="E8" s="423"/>
      <c r="F8" s="653"/>
      <c r="G8" s="653"/>
      <c r="H8" s="2118" t="s">
        <v>1338</v>
      </c>
      <c r="I8" s="2119"/>
      <c r="J8" s="1526">
        <f>'VII. Economic'!G71/1000000</f>
        <v>0</v>
      </c>
      <c r="K8" s="1527" t="e">
        <f>J8/$J$7</f>
        <v>#DIV/0!</v>
      </c>
      <c r="L8" s="1528">
        <f>J7*M32</f>
        <v>0</v>
      </c>
      <c r="M8" s="1529" t="e">
        <f>L8/$J$7</f>
        <v>#DIV/0!</v>
      </c>
      <c r="N8" s="1530">
        <f>J7*P32</f>
        <v>0</v>
      </c>
      <c r="O8" s="1531" t="e">
        <f>N8/$J$7</f>
        <v>#DIV/0!</v>
      </c>
      <c r="P8" s="654"/>
      <c r="Q8" s="655"/>
      <c r="R8" s="891"/>
      <c r="S8" s="636"/>
      <c r="T8" s="2152" t="s">
        <v>1249</v>
      </c>
      <c r="U8" s="2153"/>
      <c r="V8" s="187">
        <f>'VII. Economic'!G57</f>
        <v>10</v>
      </c>
      <c r="W8" s="624"/>
      <c r="X8" s="624"/>
      <c r="Y8" s="507" t="s">
        <v>1238</v>
      </c>
      <c r="Z8" s="502" t="s">
        <v>1792</v>
      </c>
      <c r="AA8" s="614" t="s">
        <v>1793</v>
      </c>
      <c r="AB8" s="502" t="s">
        <v>1430</v>
      </c>
      <c r="AC8" s="614" t="s">
        <v>1428</v>
      </c>
      <c r="AD8" s="614" t="s">
        <v>1429</v>
      </c>
      <c r="AE8" s="269" t="s">
        <v>1431</v>
      </c>
      <c r="AF8" s="615" t="s">
        <v>1242</v>
      </c>
      <c r="AG8" s="616" t="s">
        <v>1333</v>
      </c>
      <c r="AH8" s="617" t="s">
        <v>1258</v>
      </c>
      <c r="AI8" s="618" t="s">
        <v>1259</v>
      </c>
      <c r="AJ8" s="619" t="s">
        <v>1242</v>
      </c>
      <c r="AK8" s="620" t="s">
        <v>1333</v>
      </c>
      <c r="AL8" s="621" t="s">
        <v>1258</v>
      </c>
      <c r="AM8" s="622" t="s">
        <v>1259</v>
      </c>
      <c r="AN8" s="615" t="s">
        <v>1242</v>
      </c>
      <c r="AO8" s="616" t="s">
        <v>1333</v>
      </c>
      <c r="AP8" s="623" t="s">
        <v>1242</v>
      </c>
      <c r="AQ8" s="505" t="s">
        <v>1333</v>
      </c>
      <c r="AR8" s="637"/>
    </row>
    <row r="9" ht="25.5" customHeight="true" thickBot="true" x14ac:dyDescent="0.45">
      <c r="B9" s="726"/>
      <c r="C9" s="557"/>
      <c r="D9" s="557"/>
      <c r="E9" s="650"/>
      <c r="F9" s="557"/>
      <c r="G9" s="557"/>
      <c r="H9" s="2116" t="s">
        <v>1339</v>
      </c>
      <c r="I9" s="2117"/>
      <c r="J9" s="239">
        <f>'VII. Economic'!G72/1000000</f>
        <v>0</v>
      </c>
      <c r="K9" s="1532" t="e">
        <f>J9/$J$7</f>
        <v>#DIV/0!</v>
      </c>
      <c r="L9" s="1533">
        <f>L7+L8</f>
        <v>0</v>
      </c>
      <c r="M9" s="1522" t="e">
        <f>L9/$J$7</f>
        <v>#DIV/0!</v>
      </c>
      <c r="N9" s="1534">
        <f>J7*P33</f>
        <v>0</v>
      </c>
      <c r="O9" s="1525" t="e">
        <f>N9/$J$7</f>
        <v>#DIV/0!</v>
      </c>
      <c r="P9" s="543"/>
      <c r="Q9" s="651"/>
      <c r="S9" s="635"/>
      <c r="T9" s="2002" t="s">
        <v>2371</v>
      </c>
      <c r="U9" s="2003"/>
      <c r="V9" s="187">
        <f>'VII. Economic'!G65/1000000</f>
        <v>39.552324545503645</v>
      </c>
      <c r="W9" s="190"/>
      <c r="X9" s="190"/>
      <c r="Y9" s="495">
        <f>'VII. Economic'!E84</f>
        <v>0</v>
      </c>
      <c r="Z9" s="202">
        <f>IF(Y9=0,-'VII. Economic'!$G$56,IF(Y9='VII. Economic'!$G$60,-($V$7+$V$11),IF(Y9='VII. Economic'!$G$57+'VII. Economic'!$G$60,$V$6+$V$11,0)))</f>
        <v>0</v>
      </c>
      <c r="AA9" s="186">
        <f>IF(Y9&lt;('VII. Economic'!$G$60+1),0,($V$7-$V$6)/$V$8)</f>
        <v>0</v>
      </c>
      <c r="AB9" s="202">
        <f>IF(Y9&lt;('VII. Economic'!$G$60+1),$V$7,IF(AB8-AA9&gt;0,AB8-AA9,0))</f>
        <v>0</v>
      </c>
      <c r="AC9" s="202">
        <f>IF(Y9&lt;('VII. Economic'!$G$60+1),0,$V$9)</f>
        <v>0</v>
      </c>
      <c r="AD9" s="202">
        <f>IF(Y9&lt;('VII. Economic'!$G$60+1),0,$V$10)</f>
        <v>0</v>
      </c>
      <c r="AE9" s="262">
        <f>IF(Y9&lt;('VII. Economic'!$G$60+1),0,(AC9-AD9-AA9)*(1-$V$13)+AA9)</f>
        <v>0</v>
      </c>
      <c r="AF9" s="274">
        <f t="shared" ref="AF9:AF20" si="0">Z9+AE9</f>
        <v>0</v>
      </c>
      <c r="AG9" s="1190">
        <f>AF9</f>
        <v>0</v>
      </c>
      <c r="AH9" s="202" t="str">
        <f>IF(AF9&gt;0,AF9,"")</f>
        <v/>
      </c>
      <c r="AI9" s="1370" t="str">
        <f>IF(AF9&lt;0,AF9,"")</f>
        <v/>
      </c>
      <c r="AJ9" s="185">
        <f>Z9</f>
        <v>0</v>
      </c>
      <c r="AK9" s="186">
        <f>AJ9</f>
        <v>0</v>
      </c>
      <c r="AL9" s="202" t="str">
        <f>IF(AJ9&gt;0,AJ9,"")</f>
        <v/>
      </c>
      <c r="AM9" s="1370" t="str">
        <f>IF(AJ9&lt;0,AJ9,"")</f>
        <v/>
      </c>
      <c r="AN9" s="495">
        <f>Z9</f>
        <v>0</v>
      </c>
      <c r="AO9" s="186">
        <f>AN9</f>
        <v>0</v>
      </c>
      <c r="AP9" s="202">
        <f>Z9</f>
        <v>0</v>
      </c>
      <c r="AQ9" s="187">
        <f>AP9</f>
        <v>0</v>
      </c>
      <c r="AR9" s="608"/>
    </row>
    <row r="10" ht="25.5" customHeight="true" x14ac:dyDescent="0.3">
      <c r="B10" s="726"/>
      <c r="C10" s="557"/>
      <c r="D10" s="557"/>
      <c r="E10" s="650"/>
      <c r="F10" s="557"/>
      <c r="G10" s="557"/>
      <c r="H10" s="2116" t="s">
        <v>1337</v>
      </c>
      <c r="I10" s="2117"/>
      <c r="J10" s="239">
        <f>'II. Equipment &amp; Cost Data'!F201/1000000</f>
        <v>0</v>
      </c>
      <c r="K10" s="1532" t="e">
        <f>J10/$J$7</f>
        <v>#DIV/0!</v>
      </c>
      <c r="L10" s="1533">
        <f>J7*M17</f>
        <v>0</v>
      </c>
      <c r="M10" s="1522" t="e">
        <f>L10/$J$7</f>
        <v>#DIV/0!</v>
      </c>
      <c r="N10" s="1534">
        <f>P17*J7</f>
        <v>0</v>
      </c>
      <c r="O10" s="1525" t="e">
        <f>N10/$J$7</f>
        <v>#DIV/0!</v>
      </c>
      <c r="P10" s="543"/>
      <c r="Q10" s="651"/>
      <c r="S10" s="635"/>
      <c r="T10" s="2085" t="s">
        <v>2372</v>
      </c>
      <c r="U10" s="2086"/>
      <c r="V10" s="262">
        <f>L42</f>
        <v>18.370789204472494</v>
      </c>
      <c r="W10" s="190"/>
      <c r="X10" s="190"/>
      <c r="Y10" s="495">
        <f>'VII. Economic'!E85</f>
        <v>1</v>
      </c>
      <c r="Z10" s="202">
        <f>IF(Y10=0,-'VII. Economic'!$G$56,IF(Y10='VII. Economic'!$G$60,-($V$7+$V$11),IF(Y10='VII. Economic'!$G$57+'VII. Economic'!$G$60,$V$6+$V$11,0)))</f>
        <v>0</v>
      </c>
      <c r="AA10" s="186">
        <f>IF(Y10&lt;('VII. Economic'!$G$60+1),0,($V$7-$V$6)/$V$8)</f>
        <v>0</v>
      </c>
      <c r="AB10" s="202">
        <f>IF(Y10&lt;('VII. Economic'!$G$60+1),$V$7,IF(AB9-AA10&gt;0,AB9-AA10,0))</f>
        <v>0</v>
      </c>
      <c r="AC10" s="202">
        <f>IF(Y10&lt;('VII. Economic'!$G$60+1),0,$V$9)</f>
        <v>0</v>
      </c>
      <c r="AD10" s="202">
        <f>IF(Y10&lt;('VII. Economic'!$G$60+1),0,$V$10)</f>
        <v>0</v>
      </c>
      <c r="AE10" s="262">
        <f>IF(Y10&lt;('VII. Economic'!$G$60+1),0,(AC10-AD10-AA10)*(1-$V$13)+AA10)</f>
        <v>0</v>
      </c>
      <c r="AF10" s="274">
        <f t="shared" si="0"/>
        <v>0</v>
      </c>
      <c r="AG10" s="1190">
        <f t="shared" ref="AG10:AG20" si="1">AF10+AG9</f>
        <v>0</v>
      </c>
      <c r="AH10" s="202" t="str">
        <f t="shared" ref="AH10:AH20" si="2">IF(AF10&gt;0,AF10,"")</f>
        <v/>
      </c>
      <c r="AI10" s="1370" t="str">
        <f t="shared" ref="AI10:AI20" si="3">IF(AF10&lt;0,AF10,"")</f>
        <v/>
      </c>
      <c r="AJ10" s="185">
        <f t="shared" ref="AJ10:AJ20" si="4">AF10/(1+$V$12)^Y10</f>
        <v>0</v>
      </c>
      <c r="AK10" s="186">
        <f t="shared" ref="AK10:AK20" si="5">AK9+AJ10</f>
        <v>0</v>
      </c>
      <c r="AL10" s="202" t="str">
        <f t="shared" ref="AL10:AL20" si="6">IF(AJ10&gt;0,AJ10,"")</f>
        <v/>
      </c>
      <c r="AM10" s="1370" t="str">
        <f t="shared" ref="AM10:AM20" si="7">IF(AJ10&lt;0,AJ10,"")</f>
        <v/>
      </c>
      <c r="AN10" s="495">
        <f>AF10/(1+$AO$6)^Y10</f>
        <v>0</v>
      </c>
      <c r="AO10" s="186">
        <f t="shared" ref="AO10:AQ20" si="8">AN10+AO9</f>
        <v>0</v>
      </c>
      <c r="AP10" s="202">
        <f>AF10/(1+$AQ$6)^Y10</f>
        <v>0</v>
      </c>
      <c r="AQ10" s="187">
        <f t="shared" si="8"/>
        <v>0</v>
      </c>
      <c r="AR10" s="608"/>
    </row>
    <row r="11" ht="18.6" x14ac:dyDescent="0.3">
      <c r="B11" s="726"/>
      <c r="C11" s="557"/>
      <c r="D11" s="557"/>
      <c r="E11" s="650"/>
      <c r="F11" s="557"/>
      <c r="G11" s="557"/>
      <c r="H11" s="557"/>
      <c r="I11" s="557"/>
      <c r="J11" s="557"/>
      <c r="K11" s="557"/>
      <c r="M11" s="557"/>
      <c r="O11" s="557"/>
      <c r="P11" s="543"/>
      <c r="Q11" s="651"/>
      <c r="S11" s="635"/>
      <c r="T11" s="2085" t="s">
        <v>2373</v>
      </c>
      <c r="U11" s="2086"/>
      <c r="V11" s="262">
        <f>L8</f>
        <v>0</v>
      </c>
      <c r="W11" s="190"/>
      <c r="X11" s="190"/>
      <c r="Y11" s="495">
        <f>'VII. Economic'!E86</f>
        <v>2</v>
      </c>
      <c r="Z11" s="202">
        <f>IF(Y11=0,-'VII. Economic'!$G$56,IF(Y11='VII. Economic'!$G$60,-($V$7+$V$11),IF(Y11='VII. Economic'!$G$57+'VII. Economic'!$G$60,$V$6+$V$11,0)))</f>
        <v>0</v>
      </c>
      <c r="AA11" s="186">
        <f>IF(Y11&lt;('VII. Economic'!$G$60+1),0,($V$7-$V$6)/$V$8)</f>
        <v>0</v>
      </c>
      <c r="AB11" s="202">
        <f>IF(Y11&lt;('VII. Economic'!$G$60+1),$V$7,IF(AB10-AA11&gt;0,AB10-AA11,0))</f>
        <v>0</v>
      </c>
      <c r="AC11" s="202">
        <f>IF(Y11&lt;('VII. Economic'!$G$60+1),0,$V$9)</f>
        <v>39.552324545503645</v>
      </c>
      <c r="AD11" s="202">
        <f>IF(Y11&lt;('VII. Economic'!$G$60+1),0,$V$10)</f>
        <v>18.370789204472494</v>
      </c>
      <c r="AE11" s="262">
        <f>IF(Y11&lt;('VII. Economic'!$G$60+1),0,(AC11-AD11-AA11)*(1-$V$13)+AA11)</f>
        <v>14.827074738721803</v>
      </c>
      <c r="AF11" s="274">
        <f t="shared" si="0"/>
        <v>14.827074738721803</v>
      </c>
      <c r="AG11" s="1190">
        <f t="shared" si="1"/>
        <v>14.827074738721803</v>
      </c>
      <c r="AH11" s="202">
        <f t="shared" si="2"/>
        <v>14.827074738721803</v>
      </c>
      <c r="AI11" s="1370" t="str">
        <f t="shared" si="3"/>
        <v/>
      </c>
      <c r="AJ11" s="185">
        <f t="shared" si="4"/>
        <v>12.253780775803142</v>
      </c>
      <c r="AK11" s="186">
        <f t="shared" si="5"/>
        <v>12.253780775803142</v>
      </c>
      <c r="AL11" s="202">
        <f t="shared" si="6"/>
        <v>12.253780775803142</v>
      </c>
      <c r="AM11" s="1370" t="str">
        <f t="shared" si="7"/>
        <v/>
      </c>
      <c r="AN11" s="495">
        <f t="shared" ref="AN11:AN20" si="9">AF11/(1+$AO$6)^Y11</f>
        <v>14.827074738721803</v>
      </c>
      <c r="AO11" s="186">
        <f t="shared" si="8"/>
        <v>14.827074738721803</v>
      </c>
      <c r="AP11" s="202">
        <f t="shared" ref="AP11:AP20" si="10">AF11/(1+$AQ$6)^Y11</f>
        <v>7.5648340503682681</v>
      </c>
      <c r="AQ11" s="187">
        <f t="shared" si="8"/>
        <v>7.5648340503682681</v>
      </c>
      <c r="AR11" s="608"/>
    </row>
    <row r="12" ht="18.6" thickBot="true" x14ac:dyDescent="0.3">
      <c r="B12" s="726"/>
      <c r="C12" s="557"/>
      <c r="D12" s="557"/>
      <c r="E12" s="557"/>
      <c r="F12" s="557"/>
      <c r="G12" s="557"/>
      <c r="H12" s="557"/>
      <c r="I12" s="557"/>
      <c r="J12" s="557"/>
      <c r="K12" s="557"/>
      <c r="L12" s="543"/>
      <c r="M12" s="557"/>
      <c r="N12" s="557"/>
      <c r="O12" s="557"/>
      <c r="P12" s="543"/>
      <c r="Q12" s="651"/>
      <c r="S12" s="635"/>
      <c r="T12" s="2085" t="s">
        <v>1246</v>
      </c>
      <c r="U12" s="2086"/>
      <c r="V12" s="187">
        <f>'VII. Economic'!G76</f>
        <v>0.1</v>
      </c>
      <c r="W12" s="190"/>
      <c r="X12" s="190"/>
      <c r="Y12" s="495">
        <f>'VII. Economic'!E87</f>
        <v>3</v>
      </c>
      <c r="Z12" s="202">
        <f>IF(Y12=0,-'VII. Economic'!$G$56,IF(Y12='VII. Economic'!$G$60,-($V$7+$V$11),IF(Y12='VII. Economic'!$G$57+'VII. Economic'!$G$60,$V$6+$V$11,0)))</f>
        <v>0</v>
      </c>
      <c r="AA12" s="186">
        <f>IF(Y12&lt;('VII. Economic'!$G$60+1),0,($V$7-$V$6)/$V$8)</f>
        <v>0</v>
      </c>
      <c r="AB12" s="202">
        <f>IF(Y12&lt;('VII. Economic'!$G$60+1),$V$7,IF(AB11-AA12&gt;0,AB11-AA12,0))</f>
        <v>0</v>
      </c>
      <c r="AC12" s="202">
        <f>IF(Y12&lt;('VII. Economic'!$G$60+1),0,$V$9)</f>
        <v>39.552324545503645</v>
      </c>
      <c r="AD12" s="202">
        <f>IF(Y12&lt;('VII. Economic'!$G$60+1),0,$V$10)</f>
        <v>18.370789204472494</v>
      </c>
      <c r="AE12" s="262">
        <f>IF(Y12&lt;('VII. Economic'!$G$60+1),0,(AC12-AD12-AA12)*(1-$V$13)+AA12)</f>
        <v>14.827074738721803</v>
      </c>
      <c r="AF12" s="274">
        <f t="shared" si="0"/>
        <v>14.827074738721803</v>
      </c>
      <c r="AG12" s="1190">
        <f t="shared" si="1"/>
        <v>29.654149477443607</v>
      </c>
      <c r="AH12" s="202">
        <f t="shared" si="2"/>
        <v>14.827074738721803</v>
      </c>
      <c r="AI12" s="1370" t="str">
        <f t="shared" si="3"/>
        <v/>
      </c>
      <c r="AJ12" s="185">
        <f t="shared" si="4"/>
        <v>11.139800705275581</v>
      </c>
      <c r="AK12" s="186">
        <f t="shared" si="5"/>
        <v>23.393581481078723</v>
      </c>
      <c r="AL12" s="202">
        <f t="shared" si="6"/>
        <v>11.139800705275581</v>
      </c>
      <c r="AM12" s="1370" t="str">
        <f t="shared" si="7"/>
        <v/>
      </c>
      <c r="AN12" s="495">
        <f t="shared" si="9"/>
        <v>14.827074738721803</v>
      </c>
      <c r="AO12" s="186">
        <f t="shared" si="8"/>
        <v>29.654149477443607</v>
      </c>
      <c r="AP12" s="202">
        <f t="shared" si="10"/>
        <v>5.4034528931201917</v>
      </c>
      <c r="AQ12" s="187">
        <f t="shared" si="8"/>
        <v>12.96828694348846</v>
      </c>
      <c r="AR12" s="608"/>
    </row>
    <row r="13" ht="36.75" customHeight="true" thickBot="true" x14ac:dyDescent="0.35">
      <c r="C13" s="656"/>
      <c r="D13" s="557"/>
      <c r="E13" s="650"/>
      <c r="F13" s="650"/>
      <c r="G13" s="650"/>
      <c r="H13" s="557"/>
      <c r="I13" s="557"/>
      <c r="J13" s="557"/>
      <c r="K13" s="2111" t="s">
        <v>73</v>
      </c>
      <c r="L13" s="2112"/>
      <c r="M13" s="2113"/>
      <c r="N13" s="2111" t="s">
        <v>74</v>
      </c>
      <c r="O13" s="2112"/>
      <c r="P13" s="2113"/>
      <c r="Q13" s="561"/>
      <c r="R13" s="538"/>
      <c r="S13" s="638"/>
      <c r="T13" s="2083" t="s">
        <v>1250</v>
      </c>
      <c r="U13" s="2084"/>
      <c r="V13" s="1461">
        <f>'VII. Economic'!G58</f>
        <v>0.3</v>
      </c>
      <c r="W13" s="190"/>
      <c r="X13" s="190"/>
      <c r="Y13" s="495">
        <f>'VII. Economic'!E88</f>
        <v>4</v>
      </c>
      <c r="Z13" s="202">
        <f>IF(Y13=0,-'VII. Economic'!$G$56,IF(Y13='VII. Economic'!$G$60,-($V$7+$V$11),IF(Y13='VII. Economic'!$G$57+'VII. Economic'!$G$60,$V$6+$V$11,0)))</f>
        <v>0</v>
      </c>
      <c r="AA13" s="186">
        <f>IF(Y13&lt;('VII. Economic'!$G$60+1),0,($V$7-$V$6)/$V$8)</f>
        <v>0</v>
      </c>
      <c r="AB13" s="202">
        <f>IF(Y13&lt;('VII. Economic'!$G$60+1),$V$7,IF(AB12-AA13&gt;0,AB12-AA13,0))</f>
        <v>0</v>
      </c>
      <c r="AC13" s="202">
        <f>IF(Y13&lt;('VII. Economic'!$G$60+1),0,$V$9)</f>
        <v>39.552324545503645</v>
      </c>
      <c r="AD13" s="202">
        <f>IF(Y13&lt;('VII. Economic'!$G$60+1),0,$V$10)</f>
        <v>18.370789204472494</v>
      </c>
      <c r="AE13" s="262">
        <f>IF(Y13&lt;('VII. Economic'!$G$60+1),0,(AC13-AD13-AA13)*(1-$V$13)+AA13)</f>
        <v>14.827074738721803</v>
      </c>
      <c r="AF13" s="274">
        <f t="shared" si="0"/>
        <v>14.827074738721803</v>
      </c>
      <c r="AG13" s="1190">
        <f t="shared" si="1"/>
        <v>44.481224216165408</v>
      </c>
      <c r="AH13" s="202">
        <f t="shared" si="2"/>
        <v>14.827074738721803</v>
      </c>
      <c r="AI13" s="1370" t="str">
        <f t="shared" si="3"/>
        <v/>
      </c>
      <c r="AJ13" s="185">
        <f t="shared" si="4"/>
        <v>10.12709155025053</v>
      </c>
      <c r="AK13" s="186">
        <f t="shared" si="5"/>
        <v>33.520673031329252</v>
      </c>
      <c r="AL13" s="202">
        <f t="shared" si="6"/>
        <v>10.12709155025053</v>
      </c>
      <c r="AM13" s="1370" t="str">
        <f t="shared" si="7"/>
        <v/>
      </c>
      <c r="AN13" s="495">
        <f t="shared" si="9"/>
        <v>14.827074738721803</v>
      </c>
      <c r="AO13" s="186">
        <f t="shared" si="8"/>
        <v>44.481224216165408</v>
      </c>
      <c r="AP13" s="202">
        <f t="shared" si="10"/>
        <v>3.8596092093715662</v>
      </c>
      <c r="AQ13" s="187">
        <f t="shared" si="8"/>
        <v>16.827896152860028</v>
      </c>
      <c r="AR13" s="608"/>
    </row>
    <row r="14" ht="16.2" thickBot="true" x14ac:dyDescent="0.35">
      <c r="C14" s="656"/>
      <c r="D14" s="557"/>
      <c r="E14" s="650"/>
      <c r="F14" s="650"/>
      <c r="G14" s="650"/>
      <c r="H14" s="557"/>
      <c r="I14" s="557"/>
      <c r="J14" s="557"/>
      <c r="K14" s="542"/>
      <c r="L14" s="543"/>
      <c r="M14" s="544" t="s">
        <v>1409</v>
      </c>
      <c r="N14" s="542"/>
      <c r="O14" s="543"/>
      <c r="P14" s="545" t="s">
        <v>1409</v>
      </c>
      <c r="Q14" s="562"/>
      <c r="R14" s="539"/>
      <c r="S14" s="639"/>
      <c r="T14" s="190"/>
      <c r="U14" s="190"/>
      <c r="V14" s="570"/>
      <c r="W14" s="190"/>
      <c r="X14" s="190"/>
      <c r="Y14" s="495">
        <f>'VII. Economic'!E89</f>
        <v>5</v>
      </c>
      <c r="Z14" s="202">
        <f>IF(Y14=0,-'VII. Economic'!$G$56,IF(Y14='VII. Economic'!$G$60,-($V$7+$V$11),IF(Y14='VII. Economic'!$G$57+'VII. Economic'!$G$60,$V$6+$V$11,0)))</f>
        <v>0</v>
      </c>
      <c r="AA14" s="186">
        <f>IF(Y14&lt;('VII. Economic'!$G$60+1),0,($V$7-$V$6)/$V$8)</f>
        <v>0</v>
      </c>
      <c r="AB14" s="202">
        <f>IF(Y14&lt;('VII. Economic'!$G$60+1),$V$7,IF(AB13-AA14&gt;0,AB13-AA14,0))</f>
        <v>0</v>
      </c>
      <c r="AC14" s="202">
        <f>IF(Y14&lt;('VII. Economic'!$G$60+1),0,$V$9)</f>
        <v>39.552324545503645</v>
      </c>
      <c r="AD14" s="202">
        <f>IF(Y14&lt;('VII. Economic'!$G$60+1),0,$V$10)</f>
        <v>18.370789204472494</v>
      </c>
      <c r="AE14" s="262">
        <f>IF(Y14&lt;('VII. Economic'!$G$60+1),0,(AC14-AD14-AA14)*(1-$V$13)+AA14)</f>
        <v>14.827074738721803</v>
      </c>
      <c r="AF14" s="274">
        <f t="shared" si="0"/>
        <v>14.827074738721803</v>
      </c>
      <c r="AG14" s="1190">
        <f t="shared" si="1"/>
        <v>59.308298954887213</v>
      </c>
      <c r="AH14" s="202">
        <f t="shared" si="2"/>
        <v>14.827074738721803</v>
      </c>
      <c r="AI14" s="1370" t="str">
        <f t="shared" si="3"/>
        <v/>
      </c>
      <c r="AJ14" s="185">
        <f t="shared" si="4"/>
        <v>9.2064468638641159</v>
      </c>
      <c r="AK14" s="186">
        <f t="shared" si="5"/>
        <v>42.727119895193368</v>
      </c>
      <c r="AL14" s="202">
        <f t="shared" si="6"/>
        <v>9.2064468638641159</v>
      </c>
      <c r="AM14" s="1370" t="str">
        <f t="shared" si="7"/>
        <v/>
      </c>
      <c r="AN14" s="495">
        <f t="shared" si="9"/>
        <v>14.827074738721803</v>
      </c>
      <c r="AO14" s="186">
        <f t="shared" si="8"/>
        <v>59.308298954887213</v>
      </c>
      <c r="AP14" s="202">
        <f t="shared" si="10"/>
        <v>2.7568637209796902</v>
      </c>
      <c r="AQ14" s="187">
        <f t="shared" si="8"/>
        <v>19.584759873839719</v>
      </c>
      <c r="AR14" s="608"/>
    </row>
    <row r="15" ht="15.75" customHeight="true" x14ac:dyDescent="0.25">
      <c r="C15" s="656"/>
      <c r="D15" s="557"/>
      <c r="E15" s="2120" t="s">
        <v>1342</v>
      </c>
      <c r="F15" s="2122" t="s">
        <v>1363</v>
      </c>
      <c r="G15" s="2123"/>
      <c r="H15" s="2123"/>
      <c r="I15" s="2124"/>
      <c r="J15" s="546"/>
      <c r="K15" s="1137">
        <v>0.65</v>
      </c>
      <c r="L15" s="547" t="s">
        <v>1336</v>
      </c>
      <c r="M15" s="1535">
        <f>K15</f>
        <v>0.65</v>
      </c>
      <c r="N15" s="1137">
        <v>0.85</v>
      </c>
      <c r="O15" s="547" t="s">
        <v>1336</v>
      </c>
      <c r="P15" s="1535">
        <f>N15</f>
        <v>0.85</v>
      </c>
      <c r="Q15" s="564"/>
      <c r="R15" s="537"/>
      <c r="S15" s="640"/>
      <c r="T15" s="190"/>
      <c r="U15" s="190"/>
      <c r="V15" s="570"/>
      <c r="W15" s="190"/>
      <c r="X15" s="190"/>
      <c r="Y15" s="495">
        <f>'VII. Economic'!E90</f>
        <v>6</v>
      </c>
      <c r="Z15" s="202">
        <f>IF(Y15=0,-'VII. Economic'!$G$56,IF(Y15='VII. Economic'!$G$60,-($V$7+$V$11),IF(Y15='VII. Economic'!$G$57+'VII. Economic'!$G$60,$V$6+$V$11,0)))</f>
        <v>0</v>
      </c>
      <c r="AA15" s="186">
        <f>IF(Y15&lt;('VII. Economic'!$G$60+1),0,($V$7-$V$6)/$V$8)</f>
        <v>0</v>
      </c>
      <c r="AB15" s="202">
        <f>IF(Y15&lt;('VII. Economic'!$G$60+1),$V$7,IF(AB14-AA15&gt;0,AB14-AA15,0))</f>
        <v>0</v>
      </c>
      <c r="AC15" s="202">
        <f>IF(Y15&lt;('VII. Economic'!$G$60+1),0,$V$9)</f>
        <v>39.552324545503645</v>
      </c>
      <c r="AD15" s="202">
        <f>IF(Y15&lt;('VII. Economic'!$G$60+1),0,$V$10)</f>
        <v>18.370789204472494</v>
      </c>
      <c r="AE15" s="262">
        <f>IF(Y15&lt;('VII. Economic'!$G$60+1),0,(AC15-AD15-AA15)*(1-$V$13)+AA15)</f>
        <v>14.827074738721803</v>
      </c>
      <c r="AF15" s="274">
        <f t="shared" si="0"/>
        <v>14.827074738721803</v>
      </c>
      <c r="AG15" s="1190">
        <f t="shared" si="1"/>
        <v>74.135373693609012</v>
      </c>
      <c r="AH15" s="202">
        <f t="shared" si="2"/>
        <v>14.827074738721803</v>
      </c>
      <c r="AI15" s="1370" t="str">
        <f t="shared" si="3"/>
        <v/>
      </c>
      <c r="AJ15" s="185">
        <f t="shared" si="4"/>
        <v>8.369497148967378</v>
      </c>
      <c r="AK15" s="186">
        <f t="shared" si="5"/>
        <v>51.096617044160745</v>
      </c>
      <c r="AL15" s="202">
        <f t="shared" si="6"/>
        <v>8.369497148967378</v>
      </c>
      <c r="AM15" s="1370" t="str">
        <f t="shared" si="7"/>
        <v/>
      </c>
      <c r="AN15" s="495">
        <f t="shared" si="9"/>
        <v>14.827074738721803</v>
      </c>
      <c r="AO15" s="186">
        <f t="shared" si="8"/>
        <v>74.135373693609012</v>
      </c>
      <c r="AP15" s="202">
        <f t="shared" si="10"/>
        <v>1.9691883721283503</v>
      </c>
      <c r="AQ15" s="187">
        <f t="shared" si="8"/>
        <v>21.553948245968069</v>
      </c>
      <c r="AR15" s="608"/>
    </row>
    <row r="16" ht="28.5" customHeight="true" x14ac:dyDescent="0.25">
      <c r="C16" s="656"/>
      <c r="D16" s="557"/>
      <c r="E16" s="2121"/>
      <c r="F16" s="2093" t="s">
        <v>1343</v>
      </c>
      <c r="G16" s="2089" t="s">
        <v>1426</v>
      </c>
      <c r="H16" s="2090"/>
      <c r="I16" s="2091"/>
      <c r="J16" s="1202"/>
      <c r="K16" s="1138">
        <v>0.5</v>
      </c>
      <c r="L16" s="549" t="s">
        <v>1336</v>
      </c>
      <c r="M16" s="1014">
        <f>K16</f>
        <v>0.5</v>
      </c>
      <c r="N16" s="1138">
        <v>0.6</v>
      </c>
      <c r="O16" s="549" t="s">
        <v>1336</v>
      </c>
      <c r="P16" s="1014">
        <f>N16</f>
        <v>0.6</v>
      </c>
      <c r="Q16" s="564"/>
      <c r="R16" s="537"/>
      <c r="S16" s="640"/>
      <c r="T16" s="190"/>
      <c r="U16" s="190"/>
      <c r="V16" s="570"/>
      <c r="W16" s="190"/>
      <c r="X16" s="190"/>
      <c r="Y16" s="495">
        <f>'VII. Economic'!E91</f>
        <v>7</v>
      </c>
      <c r="Z16" s="202">
        <f>IF(Y16=0,-'VII. Economic'!$G$56,IF(Y16='VII. Economic'!$G$60,-($V$7+$V$11),IF(Y16='VII. Economic'!$G$57+'VII. Economic'!$G$60,$V$6+$V$11,0)))</f>
        <v>0</v>
      </c>
      <c r="AA16" s="186">
        <f>IF(Y16&lt;('VII. Economic'!$G$60+1),0,($V$7-$V$6)/$V$8)</f>
        <v>0</v>
      </c>
      <c r="AB16" s="202">
        <f>IF(Y16&lt;('VII. Economic'!$G$60+1),$V$7,IF(AB15-AA16&gt;0,AB15-AA16,0))</f>
        <v>0</v>
      </c>
      <c r="AC16" s="202">
        <f>IF(Y16&lt;('VII. Economic'!$G$60+1),0,$V$9)</f>
        <v>39.552324545503645</v>
      </c>
      <c r="AD16" s="202">
        <f>IF(Y16&lt;('VII. Economic'!$G$60+1),0,$V$10)</f>
        <v>18.370789204472494</v>
      </c>
      <c r="AE16" s="262">
        <f>IF(Y16&lt;('VII. Economic'!$G$60+1),0,(AC16-AD16-AA16)*(1-$V$13)+AA16)</f>
        <v>14.827074738721803</v>
      </c>
      <c r="AF16" s="274">
        <f t="shared" si="0"/>
        <v>14.827074738721803</v>
      </c>
      <c r="AG16" s="1190">
        <f t="shared" si="1"/>
        <v>88.962448432330817</v>
      </c>
      <c r="AH16" s="202">
        <f t="shared" si="2"/>
        <v>14.827074738721803</v>
      </c>
      <c r="AI16" s="1370" t="str">
        <f t="shared" si="3"/>
        <v/>
      </c>
      <c r="AJ16" s="185">
        <f t="shared" si="4"/>
        <v>7.608633771788524</v>
      </c>
      <c r="AK16" s="186">
        <f t="shared" si="5"/>
        <v>58.70525081594927</v>
      </c>
      <c r="AL16" s="202">
        <f t="shared" si="6"/>
        <v>7.608633771788524</v>
      </c>
      <c r="AM16" s="1370" t="str">
        <f t="shared" si="7"/>
        <v/>
      </c>
      <c r="AN16" s="495">
        <f t="shared" si="9"/>
        <v>14.827074738721803</v>
      </c>
      <c r="AO16" s="186">
        <f t="shared" si="8"/>
        <v>88.962448432330817</v>
      </c>
      <c r="AP16" s="202">
        <f t="shared" si="10"/>
        <v>1.4065631229488218</v>
      </c>
      <c r="AQ16" s="187">
        <f t="shared" si="8"/>
        <v>22.96051136891689</v>
      </c>
      <c r="AR16" s="608"/>
    </row>
    <row r="17" x14ac:dyDescent="0.3">
      <c r="C17" s="656"/>
      <c r="D17" s="557"/>
      <c r="E17" s="2121"/>
      <c r="F17" s="2093"/>
      <c r="G17" s="404" t="s">
        <v>1344</v>
      </c>
      <c r="H17" s="2103" t="s">
        <v>1364</v>
      </c>
      <c r="I17" s="2104"/>
      <c r="J17" s="1202"/>
      <c r="K17" s="1138">
        <v>0.15</v>
      </c>
      <c r="L17" s="549" t="s">
        <v>1336</v>
      </c>
      <c r="M17" s="1014">
        <f>K17</f>
        <v>0.15</v>
      </c>
      <c r="N17" s="1138">
        <v>0.4</v>
      </c>
      <c r="O17" s="549" t="s">
        <v>1336</v>
      </c>
      <c r="P17" s="1014">
        <f>N17</f>
        <v>0.4</v>
      </c>
      <c r="Q17" s="564"/>
      <c r="R17" s="537"/>
      <c r="S17" s="640"/>
      <c r="T17" s="190"/>
      <c r="U17" s="190"/>
      <c r="V17" s="570"/>
      <c r="W17" s="190"/>
      <c r="X17" s="190"/>
      <c r="Y17" s="495">
        <f>'VII. Economic'!E92</f>
        <v>8</v>
      </c>
      <c r="Z17" s="202">
        <f>IF(Y17=0,-'VII. Economic'!$G$56,IF(Y17='VII. Economic'!$G$60,-($V$7+$V$11),IF(Y17='VII. Economic'!$G$57+'VII. Economic'!$G$60,$V$6+$V$11,0)))</f>
        <v>0</v>
      </c>
      <c r="AA17" s="186">
        <f>IF(Y17&lt;('VII. Economic'!$G$60+1),0,($V$7-$V$6)/$V$8)</f>
        <v>0</v>
      </c>
      <c r="AB17" s="202">
        <f>IF(Y17&lt;('VII. Economic'!$G$60+1),$V$7,IF(AB16-AA17&gt;0,AB16-AA17,0))</f>
        <v>0</v>
      </c>
      <c r="AC17" s="202">
        <f>IF(Y17&lt;('VII. Economic'!$G$60+1),0,$V$9)</f>
        <v>39.552324545503645</v>
      </c>
      <c r="AD17" s="202">
        <f>IF(Y17&lt;('VII. Economic'!$G$60+1),0,$V$10)</f>
        <v>18.370789204472494</v>
      </c>
      <c r="AE17" s="262">
        <f>IF(Y17&lt;('VII. Economic'!$G$60+1),0,(AC17-AD17-AA17)*(1-$V$13)+AA17)</f>
        <v>14.827074738721803</v>
      </c>
      <c r="AF17" s="274">
        <f t="shared" si="0"/>
        <v>14.827074738721803</v>
      </c>
      <c r="AG17" s="1190">
        <f t="shared" si="1"/>
        <v>103.78952317105262</v>
      </c>
      <c r="AH17" s="202">
        <f t="shared" si="2"/>
        <v>14.827074738721803</v>
      </c>
      <c r="AI17" s="1370" t="str">
        <f t="shared" si="3"/>
        <v/>
      </c>
      <c r="AJ17" s="185">
        <f t="shared" si="4"/>
        <v>6.9169397925350227</v>
      </c>
      <c r="AK17" s="186">
        <f t="shared" si="5"/>
        <v>65.622190608484289</v>
      </c>
      <c r="AL17" s="202">
        <f t="shared" si="6"/>
        <v>6.9169397925350227</v>
      </c>
      <c r="AM17" s="1370" t="str">
        <f t="shared" si="7"/>
        <v/>
      </c>
      <c r="AN17" s="495">
        <f t="shared" si="9"/>
        <v>14.827074738721803</v>
      </c>
      <c r="AO17" s="186">
        <f t="shared" si="8"/>
        <v>103.78952317105262</v>
      </c>
      <c r="AP17" s="202">
        <f t="shared" si="10"/>
        <v>1.0046879449634443</v>
      </c>
      <c r="AQ17" s="187">
        <f t="shared" si="8"/>
        <v>23.965199313880333</v>
      </c>
      <c r="AR17" s="608"/>
    </row>
    <row r="18" ht="21" thickBot="true" x14ac:dyDescent="0.35">
      <c r="C18" s="656"/>
      <c r="D18" s="557"/>
      <c r="E18" s="2121"/>
      <c r="F18" s="2093"/>
      <c r="G18" s="404" t="s">
        <v>1345</v>
      </c>
      <c r="H18" s="2101" t="s">
        <v>1340</v>
      </c>
      <c r="I18" s="2102"/>
      <c r="J18" s="1202"/>
      <c r="K18" s="1138">
        <v>0.25</v>
      </c>
      <c r="L18" s="549" t="s">
        <v>1341</v>
      </c>
      <c r="M18" s="1014">
        <f t="shared" ref="M18:M23" si="11">$K$17*K18</f>
        <v>3.7499999999999999E-2</v>
      </c>
      <c r="N18" s="1138">
        <v>0.55000000000000004</v>
      </c>
      <c r="O18" s="549" t="s">
        <v>1341</v>
      </c>
      <c r="P18" s="1014">
        <f t="shared" ref="P18:P23" si="12">$N$17*N18</f>
        <v>0.22000000000000003</v>
      </c>
      <c r="Q18" s="565"/>
      <c r="R18" s="540"/>
      <c r="S18" s="641"/>
      <c r="T18" s="2159" t="s">
        <v>74</v>
      </c>
      <c r="U18" s="2159"/>
      <c r="V18" s="2159"/>
      <c r="W18" s="190"/>
      <c r="X18" s="190"/>
      <c r="Y18" s="495">
        <f>'VII. Economic'!E93</f>
        <v>9</v>
      </c>
      <c r="Z18" s="202">
        <f>IF(Y18=0,-'VII. Economic'!$G$56,IF(Y18='VII. Economic'!$G$60,-($V$7+$V$11),IF(Y18='VII. Economic'!$G$57+'VII. Economic'!$G$60,$V$6+$V$11,0)))</f>
        <v>0</v>
      </c>
      <c r="AA18" s="186">
        <f>IF(Y18&lt;('VII. Economic'!$G$60+1),0,($V$7-$V$6)/$V$8)</f>
        <v>0</v>
      </c>
      <c r="AB18" s="202">
        <f>IF(Y18&lt;('VII. Economic'!$G$60+1),$V$7,IF(AB17-AA18&gt;0,AB17-AA18,0))</f>
        <v>0</v>
      </c>
      <c r="AC18" s="202">
        <f>IF(Y18&lt;('VII. Economic'!$G$60+1),0,$V$9)</f>
        <v>39.552324545503645</v>
      </c>
      <c r="AD18" s="202">
        <f>IF(Y18&lt;('VII. Economic'!$G$60+1),0,$V$10)</f>
        <v>18.370789204472494</v>
      </c>
      <c r="AE18" s="262">
        <f>IF(Y18&lt;('VII. Economic'!$G$60+1),0,(AC18-AD18-AA18)*(1-$V$13)+AA18)</f>
        <v>14.827074738721803</v>
      </c>
      <c r="AF18" s="274">
        <f t="shared" si="0"/>
        <v>14.827074738721803</v>
      </c>
      <c r="AG18" s="1190">
        <f t="shared" si="1"/>
        <v>118.61659790977443</v>
      </c>
      <c r="AH18" s="202">
        <f t="shared" si="2"/>
        <v>14.827074738721803</v>
      </c>
      <c r="AI18" s="1370" t="str">
        <f t="shared" si="3"/>
        <v/>
      </c>
      <c r="AJ18" s="185">
        <f t="shared" si="4"/>
        <v>6.2881270841227472</v>
      </c>
      <c r="AK18" s="186">
        <f t="shared" si="5"/>
        <v>71.910317692607038</v>
      </c>
      <c r="AL18" s="202">
        <f t="shared" si="6"/>
        <v>6.2881270841227472</v>
      </c>
      <c r="AM18" s="1370" t="str">
        <f t="shared" si="7"/>
        <v/>
      </c>
      <c r="AN18" s="495">
        <f t="shared" si="9"/>
        <v>14.827074738721803</v>
      </c>
      <c r="AO18" s="186">
        <f t="shared" si="8"/>
        <v>118.61659790977443</v>
      </c>
      <c r="AP18" s="202">
        <f t="shared" si="10"/>
        <v>0.71763424640246021</v>
      </c>
      <c r="AQ18" s="187">
        <f t="shared" si="8"/>
        <v>24.682833560282795</v>
      </c>
      <c r="AR18" s="608"/>
    </row>
    <row r="19" ht="32.25" customHeight="true" x14ac:dyDescent="0.3">
      <c r="C19" s="656"/>
      <c r="D19" s="557"/>
      <c r="E19" s="2121"/>
      <c r="F19" s="2093"/>
      <c r="G19" s="404" t="s">
        <v>1346</v>
      </c>
      <c r="H19" s="2101" t="s">
        <v>1347</v>
      </c>
      <c r="I19" s="2102"/>
      <c r="J19" s="1202"/>
      <c r="K19" s="1138">
        <v>0.08</v>
      </c>
      <c r="L19" s="549" t="s">
        <v>1341</v>
      </c>
      <c r="M19" s="1014">
        <f t="shared" si="11"/>
        <v>1.2E-2</v>
      </c>
      <c r="N19" s="1138">
        <v>0.5</v>
      </c>
      <c r="O19" s="549" t="s">
        <v>1341</v>
      </c>
      <c r="P19" s="1014">
        <f t="shared" si="12"/>
        <v>0.2</v>
      </c>
      <c r="Q19" s="565"/>
      <c r="R19" s="540"/>
      <c r="S19" s="641"/>
      <c r="T19" s="1860" t="s">
        <v>2369</v>
      </c>
      <c r="U19" s="1861"/>
      <c r="V19" s="212">
        <f>'VII. Economic'!G75/1000000</f>
        <v>0</v>
      </c>
      <c r="W19" s="190"/>
      <c r="X19" s="190"/>
      <c r="Y19" s="495">
        <f>'VII. Economic'!E94</f>
        <v>10</v>
      </c>
      <c r="Z19" s="202">
        <f>IF(Y19=0,-'VII. Economic'!$G$56,IF(Y19='VII. Economic'!$G$60,-($V$7+$V$11),IF(Y19='VII. Economic'!$G$57+'VII. Economic'!$G$60,$V$6+$V$11,0)))</f>
        <v>0</v>
      </c>
      <c r="AA19" s="186">
        <f>IF(Y19&lt;('VII. Economic'!$G$60+1),0,($V$7-$V$6)/$V$8)</f>
        <v>0</v>
      </c>
      <c r="AB19" s="202">
        <f>IF(Y19&lt;('VII. Economic'!$G$60+1),$V$7,IF(AB18-AA19&gt;0,AB18-AA19,0))</f>
        <v>0</v>
      </c>
      <c r="AC19" s="202">
        <f>IF(Y19&lt;('VII. Economic'!$G$60+1),0,$V$9)</f>
        <v>39.552324545503645</v>
      </c>
      <c r="AD19" s="202">
        <f>IF(Y19&lt;('VII. Economic'!$G$60+1),0,$V$10)</f>
        <v>18.370789204472494</v>
      </c>
      <c r="AE19" s="262">
        <f>IF(Y19&lt;('VII. Economic'!$G$60+1),0,(AC19-AD19-AA19)*(1-$V$13)+AA19)</f>
        <v>14.827074738721803</v>
      </c>
      <c r="AF19" s="274">
        <f t="shared" si="0"/>
        <v>14.827074738721803</v>
      </c>
      <c r="AG19" s="1190">
        <f t="shared" si="1"/>
        <v>133.44367264849623</v>
      </c>
      <c r="AH19" s="202">
        <f t="shared" si="2"/>
        <v>14.827074738721803</v>
      </c>
      <c r="AI19" s="1370" t="str">
        <f t="shared" si="3"/>
        <v/>
      </c>
      <c r="AJ19" s="185">
        <f t="shared" si="4"/>
        <v>5.7164791673843149</v>
      </c>
      <c r="AK19" s="186">
        <f t="shared" si="5"/>
        <v>77.626796859991359</v>
      </c>
      <c r="AL19" s="202">
        <f t="shared" si="6"/>
        <v>5.7164791673843149</v>
      </c>
      <c r="AM19" s="1370" t="str">
        <f t="shared" si="7"/>
        <v/>
      </c>
      <c r="AN19" s="495">
        <f t="shared" si="9"/>
        <v>14.827074738721803</v>
      </c>
      <c r="AO19" s="186">
        <f t="shared" si="8"/>
        <v>133.44367264849623</v>
      </c>
      <c r="AP19" s="202">
        <f t="shared" si="10"/>
        <v>0.51259589028747155</v>
      </c>
      <c r="AQ19" s="187">
        <f t="shared" si="8"/>
        <v>25.195429450570266</v>
      </c>
      <c r="AR19" s="608"/>
    </row>
    <row r="20" ht="32.25" customHeight="true" thickBot="true" x14ac:dyDescent="0.35">
      <c r="C20" s="656"/>
      <c r="D20" s="557"/>
      <c r="E20" s="2121"/>
      <c r="F20" s="2093"/>
      <c r="G20" s="404" t="s">
        <v>1348</v>
      </c>
      <c r="H20" s="2101" t="s">
        <v>1349</v>
      </c>
      <c r="I20" s="2102"/>
      <c r="J20" s="1202"/>
      <c r="K20" s="1138">
        <v>0.1</v>
      </c>
      <c r="L20" s="549" t="s">
        <v>1341</v>
      </c>
      <c r="M20" s="1014">
        <f t="shared" si="11"/>
        <v>1.4999999999999999E-2</v>
      </c>
      <c r="N20" s="1138">
        <v>0.8</v>
      </c>
      <c r="O20" s="549" t="s">
        <v>1341</v>
      </c>
      <c r="P20" s="1014">
        <f t="shared" si="12"/>
        <v>0.32000000000000006</v>
      </c>
      <c r="Q20" s="565"/>
      <c r="R20" s="540"/>
      <c r="S20" s="641"/>
      <c r="T20" s="2085" t="s">
        <v>2370</v>
      </c>
      <c r="U20" s="2086"/>
      <c r="V20" s="262">
        <f>N7</f>
        <v>0</v>
      </c>
      <c r="W20" s="190"/>
      <c r="X20" s="190"/>
      <c r="Y20" s="496">
        <f>'VII. Economic'!E95</f>
        <v>11</v>
      </c>
      <c r="Z20" s="1247">
        <f>IF(Y20=0,-'VII. Economic'!$G$56,IF(Y20='VII. Economic'!$G$60,-($V$7+$V$11),IF(Y20='VII. Economic'!$G$57+'VII. Economic'!$G$60,$V$6+$V$11,0)))</f>
        <v>0</v>
      </c>
      <c r="AA20" s="1247">
        <f>IF(Y20&lt;('VII. Economic'!$G$60+1),0,($V$7-$V$6)/$V$8)</f>
        <v>0</v>
      </c>
      <c r="AB20" s="263">
        <f>IF(Y20&lt;('VII. Economic'!$G$60+1),$V$7,IF(AB19-AA20&gt;0,AB19-AA20,0))</f>
        <v>0</v>
      </c>
      <c r="AC20" s="263">
        <f>IF(Y20&lt;('VII. Economic'!$G$60+1),0,$V$9)</f>
        <v>39.552324545503645</v>
      </c>
      <c r="AD20" s="263">
        <f>IF(Y20&lt;('VII. Economic'!$G$60+1),0,$V$10)</f>
        <v>18.370789204472494</v>
      </c>
      <c r="AE20" s="1227">
        <f>IF(Y20&lt;('VII. Economic'!$G$60+1),0,(AC20-AD20-AA20)*(1-$V$13)+AA20)</f>
        <v>14.827074738721803</v>
      </c>
      <c r="AF20" s="1258">
        <f t="shared" si="0"/>
        <v>14.827074738721803</v>
      </c>
      <c r="AG20" s="1247">
        <f t="shared" si="1"/>
        <v>148.27074738721802</v>
      </c>
      <c r="AH20" s="263">
        <f t="shared" si="2"/>
        <v>14.827074738721803</v>
      </c>
      <c r="AI20" s="1370" t="str">
        <f t="shared" si="3"/>
        <v/>
      </c>
      <c r="AJ20" s="185">
        <f t="shared" si="4"/>
        <v>5.196799243076649</v>
      </c>
      <c r="AK20" s="1247">
        <f t="shared" si="5"/>
        <v>82.823596103068013</v>
      </c>
      <c r="AL20" s="263">
        <f t="shared" si="6"/>
        <v>5.196799243076649</v>
      </c>
      <c r="AM20" s="1370" t="str">
        <f t="shared" si="7"/>
        <v/>
      </c>
      <c r="AN20" s="495">
        <f t="shared" si="9"/>
        <v>14.827074738721803</v>
      </c>
      <c r="AO20" s="1536">
        <f t="shared" si="8"/>
        <v>148.27074738721802</v>
      </c>
      <c r="AP20" s="202">
        <f t="shared" si="10"/>
        <v>0.36613992163390829</v>
      </c>
      <c r="AQ20" s="1536">
        <f t="shared" si="8"/>
        <v>25.561569372204175</v>
      </c>
      <c r="AR20" s="608"/>
    </row>
    <row r="21" ht="32.25" customHeight="true" x14ac:dyDescent="0.3">
      <c r="C21" s="656"/>
      <c r="D21" s="557"/>
      <c r="E21" s="2121"/>
      <c r="F21" s="2093"/>
      <c r="G21" s="404" t="s">
        <v>1351</v>
      </c>
      <c r="H21" s="2101" t="s">
        <v>1350</v>
      </c>
      <c r="I21" s="2102"/>
      <c r="J21" s="1202"/>
      <c r="K21" s="1138">
        <v>0.1</v>
      </c>
      <c r="L21" s="549" t="s">
        <v>1341</v>
      </c>
      <c r="M21" s="1014">
        <f t="shared" si="11"/>
        <v>1.4999999999999999E-2</v>
      </c>
      <c r="N21" s="1138">
        <v>0.4</v>
      </c>
      <c r="O21" s="549" t="s">
        <v>1341</v>
      </c>
      <c r="P21" s="1014">
        <f t="shared" si="12"/>
        <v>0.16000000000000003</v>
      </c>
      <c r="Q21" s="565"/>
      <c r="R21" s="540"/>
      <c r="S21" s="641"/>
      <c r="T21" s="1904" t="s">
        <v>1249</v>
      </c>
      <c r="U21" s="1905"/>
      <c r="V21" s="187">
        <f>'VII. Economic'!G57</f>
        <v>10</v>
      </c>
      <c r="W21" s="190"/>
      <c r="X21" s="190"/>
      <c r="Y21" s="190"/>
      <c r="Z21" s="190"/>
      <c r="AA21" s="190"/>
      <c r="AB21" s="190"/>
      <c r="AC21" s="190"/>
      <c r="AD21" s="190"/>
      <c r="AE21" s="190"/>
      <c r="AF21" s="190"/>
      <c r="AG21" s="190"/>
      <c r="AH21" s="190"/>
      <c r="AI21" s="190"/>
      <c r="AJ21" s="190"/>
      <c r="AK21" s="190"/>
      <c r="AL21" s="190"/>
      <c r="AM21" s="190"/>
      <c r="AN21" s="190"/>
      <c r="AO21" s="190"/>
      <c r="AP21" s="190"/>
      <c r="AQ21" s="190"/>
      <c r="AR21" s="608"/>
    </row>
    <row r="22" ht="32.25" customHeight="true" x14ac:dyDescent="0.4">
      <c r="C22" s="656"/>
      <c r="D22" s="557"/>
      <c r="E22" s="2121"/>
      <c r="F22" s="1201" t="s">
        <v>1352</v>
      </c>
      <c r="G22" s="404"/>
      <c r="H22" s="2101" t="s">
        <v>1353</v>
      </c>
      <c r="I22" s="2102"/>
      <c r="J22" s="1202"/>
      <c r="K22" s="1138">
        <v>0.1</v>
      </c>
      <c r="L22" s="549" t="s">
        <v>1341</v>
      </c>
      <c r="M22" s="1014">
        <f t="shared" si="11"/>
        <v>1.4999999999999999E-2</v>
      </c>
      <c r="N22" s="1138">
        <v>0.7</v>
      </c>
      <c r="O22" s="549" t="s">
        <v>1341</v>
      </c>
      <c r="P22" s="1014">
        <f t="shared" si="12"/>
        <v>0.27999999999999997</v>
      </c>
      <c r="Q22" s="565"/>
      <c r="R22" s="540"/>
      <c r="S22" s="641"/>
      <c r="T22" s="1998" t="s">
        <v>2371</v>
      </c>
      <c r="U22" s="1999"/>
      <c r="V22" s="187">
        <f>V9</f>
        <v>39.552324545503645</v>
      </c>
      <c r="W22" s="190"/>
      <c r="X22" s="190"/>
      <c r="Y22" s="190"/>
      <c r="Z22" s="190"/>
      <c r="AA22" s="190"/>
      <c r="AB22" s="190"/>
      <c r="AC22" s="190"/>
      <c r="AD22" s="190"/>
      <c r="AE22" s="190"/>
      <c r="AF22" s="190"/>
      <c r="AG22" s="190"/>
      <c r="AH22" s="190"/>
      <c r="AI22" s="190"/>
      <c r="AJ22" s="190"/>
      <c r="AK22" s="190"/>
      <c r="AL22" s="190"/>
      <c r="AM22" s="190"/>
      <c r="AN22" s="190"/>
      <c r="AO22" s="190"/>
      <c r="AP22" s="190"/>
      <c r="AQ22" s="190"/>
      <c r="AR22" s="608"/>
    </row>
    <row r="23" ht="32.25" customHeight="true" thickBot="true" x14ac:dyDescent="0.35">
      <c r="C23" s="656"/>
      <c r="D23" s="557"/>
      <c r="E23" s="2121"/>
      <c r="F23" s="1201" t="s">
        <v>1354</v>
      </c>
      <c r="G23" s="404"/>
      <c r="H23" s="2103" t="s">
        <v>1355</v>
      </c>
      <c r="I23" s="2104"/>
      <c r="J23" s="1202"/>
      <c r="K23" s="1138">
        <v>0.4</v>
      </c>
      <c r="L23" s="549" t="s">
        <v>1341</v>
      </c>
      <c r="M23" s="1014">
        <f t="shared" si="11"/>
        <v>0.06</v>
      </c>
      <c r="N23" s="1138">
        <v>1</v>
      </c>
      <c r="O23" s="549" t="s">
        <v>1341</v>
      </c>
      <c r="P23" s="1014">
        <f t="shared" si="12"/>
        <v>0.4</v>
      </c>
      <c r="Q23" s="565"/>
      <c r="R23" s="540"/>
      <c r="S23" s="641"/>
      <c r="T23" s="2085" t="s">
        <v>2372</v>
      </c>
      <c r="U23" s="2086"/>
      <c r="V23" s="262">
        <f>N42</f>
        <v>81.701667777785545</v>
      </c>
      <c r="W23" s="190"/>
      <c r="X23" s="190"/>
      <c r="Y23" s="190"/>
      <c r="Z23" s="190"/>
      <c r="AA23" s="190"/>
      <c r="AB23" s="190"/>
      <c r="AC23" s="190"/>
      <c r="AD23" s="190"/>
      <c r="AE23" s="190"/>
      <c r="AF23" s="190"/>
      <c r="AG23" s="190"/>
      <c r="AH23" s="190"/>
      <c r="AI23" s="190"/>
      <c r="AJ23" s="190"/>
      <c r="AK23" s="190"/>
      <c r="AL23" s="190"/>
      <c r="AM23" s="190"/>
      <c r="AN23" s="190"/>
      <c r="AO23" s="190"/>
      <c r="AP23" s="190"/>
      <c r="AQ23" s="190"/>
      <c r="AR23" s="608"/>
    </row>
    <row r="24" ht="32.25" customHeight="true" thickTop="true" thickBot="true" x14ac:dyDescent="0.45">
      <c r="C24" s="656"/>
      <c r="D24" s="557"/>
      <c r="E24" s="2121"/>
      <c r="F24" s="2093" t="s">
        <v>1356</v>
      </c>
      <c r="G24" s="404"/>
      <c r="H24" s="2141" t="s">
        <v>1357</v>
      </c>
      <c r="I24" s="239"/>
      <c r="J24" s="1202"/>
      <c r="K24" s="1138">
        <v>0.01</v>
      </c>
      <c r="L24" s="549" t="s">
        <v>1336</v>
      </c>
      <c r="M24" s="1014">
        <f>K24</f>
        <v>0.01</v>
      </c>
      <c r="N24" s="1138">
        <v>0.02</v>
      </c>
      <c r="O24" s="549" t="s">
        <v>1336</v>
      </c>
      <c r="P24" s="1014">
        <f>N24</f>
        <v>0.02</v>
      </c>
      <c r="Q24" s="564"/>
      <c r="R24" s="537"/>
      <c r="S24" s="640"/>
      <c r="T24" s="2085" t="s">
        <v>2373</v>
      </c>
      <c r="U24" s="2086"/>
      <c r="V24" s="262">
        <f>N8</f>
        <v>0</v>
      </c>
      <c r="W24" s="190"/>
      <c r="X24" s="190"/>
      <c r="Y24" s="2136" t="s">
        <v>1433</v>
      </c>
      <c r="Z24" s="2137"/>
      <c r="AA24" s="2137"/>
      <c r="AB24" s="2137"/>
      <c r="AC24" s="2137"/>
      <c r="AD24" s="2137"/>
      <c r="AE24" s="2137"/>
      <c r="AF24" s="2137"/>
      <c r="AG24" s="2137"/>
      <c r="AH24" s="2137"/>
      <c r="AI24" s="2137"/>
      <c r="AJ24" s="2137"/>
      <c r="AK24" s="2137"/>
      <c r="AL24" s="2137"/>
      <c r="AM24" s="2137"/>
      <c r="AN24" s="2137"/>
      <c r="AO24" s="2137"/>
      <c r="AP24" s="2137"/>
      <c r="AQ24" s="2138"/>
      <c r="AR24" s="608"/>
    </row>
    <row r="25" ht="32.25" customHeight="true" thickTop="true" thickBot="true" x14ac:dyDescent="0.35">
      <c r="C25" s="656"/>
      <c r="D25" s="557"/>
      <c r="E25" s="2121"/>
      <c r="F25" s="2093"/>
      <c r="G25" s="404"/>
      <c r="H25" s="2141"/>
      <c r="I25" s="239"/>
      <c r="J25" s="1202"/>
      <c r="K25" s="1138">
        <v>0.04</v>
      </c>
      <c r="L25" s="549" t="s">
        <v>1341</v>
      </c>
      <c r="M25" s="1537">
        <f>K17*K25</f>
        <v>6.0000000000000001E-3</v>
      </c>
      <c r="N25" s="1138">
        <v>0.08</v>
      </c>
      <c r="O25" s="549" t="s">
        <v>1341</v>
      </c>
      <c r="P25" s="1014">
        <f>N17*N25</f>
        <v>3.2000000000000001E-2</v>
      </c>
      <c r="Q25" s="566"/>
      <c r="R25" s="541"/>
      <c r="S25" s="642"/>
      <c r="T25" s="1864" t="s">
        <v>1246</v>
      </c>
      <c r="U25" s="1865"/>
      <c r="V25" s="187">
        <f>'VII. Economic'!G76</f>
        <v>0.1</v>
      </c>
      <c r="W25" s="190"/>
      <c r="X25" s="190"/>
      <c r="Y25" s="625"/>
      <c r="Z25" s="611"/>
      <c r="AA25" s="570"/>
      <c r="AB25" s="626"/>
      <c r="AC25" s="532"/>
      <c r="AD25" s="292"/>
      <c r="AE25" s="287"/>
      <c r="AF25" s="532"/>
      <c r="AG25" s="610"/>
      <c r="AH25" s="570"/>
      <c r="AI25" s="570"/>
      <c r="AJ25" s="297"/>
      <c r="AK25" s="611"/>
      <c r="AL25" s="570"/>
      <c r="AM25" s="570"/>
      <c r="AN25" s="612" t="s">
        <v>1326</v>
      </c>
      <c r="AO25" s="1520">
        <f>'VII. Economic'!U81</f>
        <v>0</v>
      </c>
      <c r="AP25" s="613" t="s">
        <v>1326</v>
      </c>
      <c r="AQ25" s="1521">
        <f>'VII. Economic'!W81</f>
        <v>0.4</v>
      </c>
      <c r="AR25" s="608"/>
    </row>
    <row r="26" ht="32.25" customHeight="true" thickBot="true" x14ac:dyDescent="0.35">
      <c r="C26" s="656"/>
      <c r="D26" s="557"/>
      <c r="E26" s="2121" t="s">
        <v>1358</v>
      </c>
      <c r="F26" s="2125" t="s">
        <v>1359</v>
      </c>
      <c r="G26" s="2126"/>
      <c r="H26" s="2126"/>
      <c r="I26" s="2127"/>
      <c r="J26" s="1202"/>
      <c r="K26" s="1138">
        <v>0.15</v>
      </c>
      <c r="L26" s="549" t="s">
        <v>1336</v>
      </c>
      <c r="M26" s="1014">
        <f>K26</f>
        <v>0.15</v>
      </c>
      <c r="N26" s="1138">
        <v>0.35</v>
      </c>
      <c r="O26" s="549" t="s">
        <v>1336</v>
      </c>
      <c r="P26" s="1014">
        <f>N26</f>
        <v>0.35</v>
      </c>
      <c r="Q26" s="564"/>
      <c r="R26" s="537"/>
      <c r="S26" s="640"/>
      <c r="T26" s="2004" t="s">
        <v>1250</v>
      </c>
      <c r="U26" s="2005"/>
      <c r="V26" s="1461">
        <f>'VII. Economic'!G58</f>
        <v>0.3</v>
      </c>
      <c r="W26" s="190"/>
      <c r="X26" s="190"/>
      <c r="Y26" s="190"/>
      <c r="Z26" s="643"/>
      <c r="AA26" s="644"/>
      <c r="AB26" s="643"/>
      <c r="AC26" s="643"/>
      <c r="AD26" s="643"/>
      <c r="AE26" s="630"/>
      <c r="AF26" s="2074" t="s">
        <v>1244</v>
      </c>
      <c r="AG26" s="2075"/>
      <c r="AH26" s="2075"/>
      <c r="AI26" s="2076"/>
      <c r="AJ26" s="2077" t="s">
        <v>1245</v>
      </c>
      <c r="AK26" s="2078"/>
      <c r="AL26" s="2078"/>
      <c r="AM26" s="2079"/>
      <c r="AN26" s="2080" t="s">
        <v>1798</v>
      </c>
      <c r="AO26" s="2081"/>
      <c r="AP26" s="2081" t="s">
        <v>1799</v>
      </c>
      <c r="AQ26" s="2082"/>
      <c r="AR26" s="608"/>
    </row>
    <row r="27" ht="31.2" x14ac:dyDescent="0.3">
      <c r="C27" s="656"/>
      <c r="D27" s="557"/>
      <c r="E27" s="2121"/>
      <c r="F27" s="1201" t="s">
        <v>1360</v>
      </c>
      <c r="G27" s="404"/>
      <c r="H27" s="2103" t="s">
        <v>1361</v>
      </c>
      <c r="I27" s="2104"/>
      <c r="J27" s="1202"/>
      <c r="K27" s="1138">
        <v>0.05</v>
      </c>
      <c r="L27" s="549" t="s">
        <v>1362</v>
      </c>
      <c r="M27" s="1014">
        <f>K15*K27</f>
        <v>3.2500000000000001E-2</v>
      </c>
      <c r="N27" s="1138">
        <v>0.3</v>
      </c>
      <c r="O27" s="549" t="s">
        <v>1362</v>
      </c>
      <c r="P27" s="1014">
        <f>N15*N27</f>
        <v>0.255</v>
      </c>
      <c r="Q27" s="565"/>
      <c r="R27" s="540"/>
      <c r="S27" s="641"/>
      <c r="T27" s="190"/>
      <c r="U27" s="190"/>
      <c r="V27" s="570"/>
      <c r="W27" s="624"/>
      <c r="X27" s="624"/>
      <c r="Y27" s="507" t="s">
        <v>1238</v>
      </c>
      <c r="Z27" s="502" t="s">
        <v>1240</v>
      </c>
      <c r="AA27" s="614" t="s">
        <v>1427</v>
      </c>
      <c r="AB27" s="502" t="s">
        <v>1430</v>
      </c>
      <c r="AC27" s="614" t="s">
        <v>1428</v>
      </c>
      <c r="AD27" s="614" t="s">
        <v>1429</v>
      </c>
      <c r="AE27" s="269" t="s">
        <v>1431</v>
      </c>
      <c r="AF27" s="627" t="s">
        <v>1242</v>
      </c>
      <c r="AG27" s="616" t="s">
        <v>1333</v>
      </c>
      <c r="AH27" s="617" t="s">
        <v>1258</v>
      </c>
      <c r="AI27" s="618" t="s">
        <v>1259</v>
      </c>
      <c r="AJ27" s="619" t="s">
        <v>1242</v>
      </c>
      <c r="AK27" s="620" t="s">
        <v>1333</v>
      </c>
      <c r="AL27" s="621" t="s">
        <v>1258</v>
      </c>
      <c r="AM27" s="622" t="s">
        <v>1259</v>
      </c>
      <c r="AN27" s="615" t="s">
        <v>1242</v>
      </c>
      <c r="AO27" s="616" t="s">
        <v>1333</v>
      </c>
      <c r="AP27" s="623" t="s">
        <v>1242</v>
      </c>
      <c r="AQ27" s="505" t="s">
        <v>1333</v>
      </c>
      <c r="AR27" s="608"/>
    </row>
    <row r="28" x14ac:dyDescent="0.3">
      <c r="C28" s="656"/>
      <c r="D28" s="557"/>
      <c r="E28" s="2121"/>
      <c r="F28" s="1201" t="s">
        <v>1365</v>
      </c>
      <c r="G28" s="404"/>
      <c r="H28" s="2103" t="s">
        <v>1366</v>
      </c>
      <c r="I28" s="2104"/>
      <c r="J28" s="1202"/>
      <c r="K28" s="1138">
        <v>0.01</v>
      </c>
      <c r="L28" s="549" t="s">
        <v>1336</v>
      </c>
      <c r="M28" s="1014">
        <f>K28</f>
        <v>0.01</v>
      </c>
      <c r="N28" s="1138">
        <v>0.03</v>
      </c>
      <c r="O28" s="549" t="s">
        <v>1336</v>
      </c>
      <c r="P28" s="1014">
        <f>N28</f>
        <v>0.03</v>
      </c>
      <c r="Q28" s="564"/>
      <c r="R28" s="537"/>
      <c r="S28" s="640"/>
      <c r="T28" s="190"/>
      <c r="U28" s="190"/>
      <c r="V28" s="570"/>
      <c r="W28" s="190"/>
      <c r="X28" s="190"/>
      <c r="Y28" s="495">
        <f>'VII. Economic'!E84</f>
        <v>0</v>
      </c>
      <c r="Z28" s="202">
        <f>IF(Y28=0,-'VII. Economic'!$G$56,IF(Y28='VII. Economic'!$G$60,-($N$9),IF(Y28='VII. Economic'!$G$57+'VII. Economic'!$G$60,$V$19+$V$24,0)))</f>
        <v>0</v>
      </c>
      <c r="AA28" s="186">
        <f>IF(Y28&lt;('VII. Economic'!$G$60+1),0,($V$20-$V$19)/$V$21)</f>
        <v>0</v>
      </c>
      <c r="AB28" s="202">
        <f>IF(Y28&lt;('VII. Economic'!$G$60+1),$V$20,IF(AB27-AA28&gt;0,AB27-AA28,0))</f>
        <v>0</v>
      </c>
      <c r="AC28" s="202">
        <f>IF(Y28&lt;('VII. Economic'!$G$60+1),0,$V$22)</f>
        <v>0</v>
      </c>
      <c r="AD28" s="202">
        <f>IF(Y28&lt;('VII. Economic'!$G$60+1),0,$V$23)</f>
        <v>0</v>
      </c>
      <c r="AE28" s="262">
        <f>IF(Y28&lt;('VII. Economic'!$G$60+1),0,(AC28-AD28-AA28)*(1-$V$26)+AA28)</f>
        <v>0</v>
      </c>
      <c r="AF28" s="1538">
        <f t="shared" ref="AF28:AF38" si="13">Z28+AE28</f>
        <v>0</v>
      </c>
      <c r="AG28" s="1190">
        <f>AF28</f>
        <v>0</v>
      </c>
      <c r="AH28" s="202" t="str">
        <f>IF(AF28&gt;0,AF28,"")</f>
        <v/>
      </c>
      <c r="AI28" s="1370" t="str">
        <f>IF(AF28&lt;0,AF28,"")</f>
        <v/>
      </c>
      <c r="AJ28" s="185">
        <f>Z28</f>
        <v>0</v>
      </c>
      <c r="AK28" s="186">
        <f>AJ28</f>
        <v>0</v>
      </c>
      <c r="AL28" s="202" t="str">
        <f>IF(AJ28&gt;0,AJ28,"")</f>
        <v/>
      </c>
      <c r="AM28" s="1370" t="str">
        <f>IF(AJ28&lt;0,AJ28,"")</f>
        <v/>
      </c>
      <c r="AN28" s="495">
        <f>Z28</f>
        <v>0</v>
      </c>
      <c r="AO28" s="186">
        <f>AN28</f>
        <v>0</v>
      </c>
      <c r="AP28" s="202">
        <f>Z28</f>
        <v>0</v>
      </c>
      <c r="AQ28" s="187">
        <f>AP28</f>
        <v>0</v>
      </c>
      <c r="AR28" s="608"/>
    </row>
    <row r="29" ht="27" customHeight="true" x14ac:dyDescent="0.3">
      <c r="C29" s="656"/>
      <c r="D29" s="557"/>
      <c r="E29" s="2121"/>
      <c r="F29" s="1201" t="s">
        <v>1367</v>
      </c>
      <c r="G29" s="404"/>
      <c r="H29" s="2087" t="s">
        <v>1368</v>
      </c>
      <c r="I29" s="2088"/>
      <c r="J29" s="1202"/>
      <c r="K29" s="1138">
        <v>0.1</v>
      </c>
      <c r="L29" s="549" t="s">
        <v>1336</v>
      </c>
      <c r="M29" s="1014">
        <f>K29</f>
        <v>0.1</v>
      </c>
      <c r="N29" s="1138">
        <v>0.2</v>
      </c>
      <c r="O29" s="549" t="s">
        <v>1336</v>
      </c>
      <c r="P29" s="1014">
        <f>N29</f>
        <v>0.2</v>
      </c>
      <c r="Q29" s="564"/>
      <c r="R29" s="537"/>
      <c r="S29" s="640"/>
      <c r="T29" s="190"/>
      <c r="U29" s="190"/>
      <c r="V29" s="570"/>
      <c r="W29" s="190"/>
      <c r="X29" s="190"/>
      <c r="Y29" s="495">
        <f>'VII. Economic'!E85</f>
        <v>1</v>
      </c>
      <c r="Z29" s="202">
        <f>IF(Y29=0,-'VII. Economic'!$G$56,IF(Y29='VII. Economic'!$G$60,-($N$9),IF(Y29='VII. Economic'!$G$57+'VII. Economic'!$G$60,$V$19+$V$24,0)))</f>
        <v>0</v>
      </c>
      <c r="AA29" s="186">
        <f>IF(Y29&lt;('VII. Economic'!$G$60+1),0,($V$20-$V$19)/$V$21)</f>
        <v>0</v>
      </c>
      <c r="AB29" s="202">
        <f>IF(Y29&lt;('VII. Economic'!$G$60+1),$V$20,IF(AB28-AA29&gt;0,AB28-AA29,0))</f>
        <v>0</v>
      </c>
      <c r="AC29" s="202">
        <f>IF(Y29&lt;('VII. Economic'!$G$60+1),0,$V$22)</f>
        <v>0</v>
      </c>
      <c r="AD29" s="202">
        <f>IF(Y29&lt;('VII. Economic'!$G$60+1),0,$V$23)</f>
        <v>0</v>
      </c>
      <c r="AE29" s="262">
        <f>IF(Y29&lt;('VII. Economic'!$G$60+1),0,(AC29-AD29-AA29)*(1-$V$26)+AA29)</f>
        <v>0</v>
      </c>
      <c r="AF29" s="1538">
        <f>Z29+AE29</f>
        <v>0</v>
      </c>
      <c r="AG29" s="1190">
        <f t="shared" ref="AG29:AG39" si="14">AF29+AG28</f>
        <v>0</v>
      </c>
      <c r="AH29" s="202" t="str">
        <f t="shared" ref="AH29:AH39" si="15">IF(AF29&gt;0,AF29,"")</f>
        <v/>
      </c>
      <c r="AI29" s="1370" t="str">
        <f t="shared" ref="AI29:AI39" si="16">IF(AF29&lt;0,AF29,"")</f>
        <v/>
      </c>
      <c r="AJ29" s="185">
        <f t="shared" ref="AJ29:AJ39" si="17">AF29/(1+$V$25)^Y29</f>
        <v>0</v>
      </c>
      <c r="AK29" s="186">
        <f t="shared" ref="AK29:AK39" si="18">AK28+AJ29</f>
        <v>0</v>
      </c>
      <c r="AL29" s="202" t="str">
        <f t="shared" ref="AL29:AL39" si="19">IF(AJ29&gt;0,AJ29,"")</f>
        <v/>
      </c>
      <c r="AM29" s="1370" t="str">
        <f t="shared" ref="AM29:AM39" si="20">IF(AJ29&lt;0,AJ29,"")</f>
        <v/>
      </c>
      <c r="AN29" s="495">
        <f>AF29/(1+$AO$25)^Y29</f>
        <v>0</v>
      </c>
      <c r="AO29" s="186">
        <f t="shared" ref="AO29:AO39" si="21">AN29+AO28</f>
        <v>0</v>
      </c>
      <c r="AP29" s="202">
        <f>AF29/(1+$AQ$25)^Y29</f>
        <v>0</v>
      </c>
      <c r="AQ29" s="187">
        <f t="shared" ref="AQ29:AQ39" si="22">AP29+AQ28</f>
        <v>0</v>
      </c>
      <c r="AR29" s="608"/>
    </row>
    <row r="30" x14ac:dyDescent="0.3">
      <c r="C30" s="656"/>
      <c r="D30" s="557"/>
      <c r="E30" s="2121"/>
      <c r="F30" s="1201" t="s">
        <v>1369</v>
      </c>
      <c r="G30" s="404"/>
      <c r="H30" s="2103" t="s">
        <v>1370</v>
      </c>
      <c r="I30" s="2104"/>
      <c r="J30" s="1202"/>
      <c r="K30" s="1138">
        <v>0.05</v>
      </c>
      <c r="L30" s="549" t="s">
        <v>1336</v>
      </c>
      <c r="M30" s="1014">
        <f>K30</f>
        <v>0.05</v>
      </c>
      <c r="N30" s="1138">
        <v>0.15</v>
      </c>
      <c r="O30" s="549" t="s">
        <v>1336</v>
      </c>
      <c r="P30" s="1014">
        <f>N30</f>
        <v>0.15</v>
      </c>
      <c r="Q30" s="564"/>
      <c r="R30" s="537"/>
      <c r="S30" s="640"/>
      <c r="T30" s="190"/>
      <c r="U30" s="190"/>
      <c r="V30" s="570"/>
      <c r="W30" s="190"/>
      <c r="X30" s="190"/>
      <c r="Y30" s="495">
        <f>'VII. Economic'!E86</f>
        <v>2</v>
      </c>
      <c r="Z30" s="202">
        <f>IF(Y30=0,-'VII. Economic'!$G$56,IF(Y30='VII. Economic'!$G$60,-($N$9),IF(Y30='VII. Economic'!$G$57+'VII. Economic'!$G$60,$V$19+$V$24,0)))</f>
        <v>0</v>
      </c>
      <c r="AA30" s="186">
        <f>IF(Y30&lt;('VII. Economic'!$G$60+1),0,($V$20-$V$19)/$V$21)</f>
        <v>0</v>
      </c>
      <c r="AB30" s="202">
        <f>IF(Y30&lt;('VII. Economic'!$G$60+1),$V$20,IF(AB29-AA30&gt;0,AB29-AA30,0))</f>
        <v>0</v>
      </c>
      <c r="AC30" s="202">
        <f>IF(Y30&lt;('VII. Economic'!$G$60+1),0,$V$22)</f>
        <v>39.552324545503645</v>
      </c>
      <c r="AD30" s="202">
        <f>IF(Y30&lt;('VII. Economic'!$G$60+1),0,$V$23)</f>
        <v>81.701667777785545</v>
      </c>
      <c r="AE30" s="262">
        <f>IF(Y30&lt;('VII. Economic'!$G$60+1),0,(AC30-AD30-AA30)*(1-$V$26)+AA30)</f>
        <v>-29.504540262597327</v>
      </c>
      <c r="AF30" s="1538">
        <f t="shared" si="13"/>
        <v>-29.504540262597327</v>
      </c>
      <c r="AG30" s="1190">
        <f t="shared" si="14"/>
        <v>-29.504540262597327</v>
      </c>
      <c r="AH30" s="202" t="str">
        <f t="shared" si="15"/>
        <v/>
      </c>
      <c r="AI30" s="1370">
        <f t="shared" si="16"/>
        <v>-29.504540262597327</v>
      </c>
      <c r="AJ30" s="185">
        <f t="shared" si="17"/>
        <v>-24.383917572394481</v>
      </c>
      <c r="AK30" s="186">
        <f t="shared" si="18"/>
        <v>-24.383917572394481</v>
      </c>
      <c r="AL30" s="202" t="str">
        <f t="shared" si="19"/>
        <v/>
      </c>
      <c r="AM30" s="1370">
        <f t="shared" si="20"/>
        <v>-24.383917572394481</v>
      </c>
      <c r="AN30" s="495">
        <f t="shared" ref="AN30:AN39" si="23">AF30/(1+$AO$25)^Y30</f>
        <v>-29.504540262597327</v>
      </c>
      <c r="AO30" s="186">
        <f t="shared" si="21"/>
        <v>-29.504540262597327</v>
      </c>
      <c r="AP30" s="202">
        <f t="shared" ref="AP30:AP39" si="24">AF30/(1+$AQ$25)^Y30</f>
        <v>-15.053336868672108</v>
      </c>
      <c r="AQ30" s="187">
        <f t="shared" si="22"/>
        <v>-15.053336868672108</v>
      </c>
      <c r="AR30" s="608"/>
    </row>
    <row r="31" ht="25.5" customHeight="true" thickBot="true" x14ac:dyDescent="0.35">
      <c r="C31" s="656"/>
      <c r="D31" s="557"/>
      <c r="E31" s="1204" t="s">
        <v>1371</v>
      </c>
      <c r="F31" s="2125" t="s">
        <v>1372</v>
      </c>
      <c r="G31" s="2126"/>
      <c r="H31" s="2126"/>
      <c r="I31" s="2127"/>
      <c r="J31" s="550" t="s">
        <v>1373</v>
      </c>
      <c r="K31" s="1138"/>
      <c r="L31" s="549"/>
      <c r="M31" s="1014">
        <f>M17+M18+M19+M20+M21+M22+M23+M27+M28+M29+M30</f>
        <v>0.49700000000000005</v>
      </c>
      <c r="N31" s="1138"/>
      <c r="O31" s="549"/>
      <c r="P31" s="1014">
        <f>P17+P18+P19+P20+P21+P22+P23+P27+P28+P29+P30</f>
        <v>2.6150000000000002</v>
      </c>
      <c r="Q31" s="566"/>
      <c r="R31" s="541"/>
      <c r="S31" s="642"/>
      <c r="T31" s="2159" t="s">
        <v>1791</v>
      </c>
      <c r="U31" s="2159"/>
      <c r="V31" s="2159"/>
      <c r="W31" s="190"/>
      <c r="X31" s="190"/>
      <c r="Y31" s="495">
        <f>'VII. Economic'!E87</f>
        <v>3</v>
      </c>
      <c r="Z31" s="202">
        <f>IF(Y31=0,-'VII. Economic'!$G$56,IF(Y31='VII. Economic'!$G$60,-($N$9),IF(Y31='VII. Economic'!$G$57+'VII. Economic'!$G$60,$V$19+$V$24,0)))</f>
        <v>0</v>
      </c>
      <c r="AA31" s="186">
        <f>IF(Y31&lt;('VII. Economic'!$G$60+1),0,($V$20-$V$19)/$V$21)</f>
        <v>0</v>
      </c>
      <c r="AB31" s="202">
        <f>IF(Y31&lt;('VII. Economic'!$G$60+1),$V$20,IF(AB30-AA31&gt;0,AB30-AA31,0))</f>
        <v>0</v>
      </c>
      <c r="AC31" s="202">
        <f>IF(Y31&lt;('VII. Economic'!$G$60+1),0,$V$22)</f>
        <v>39.552324545503645</v>
      </c>
      <c r="AD31" s="202">
        <f>IF(Y31&lt;('VII. Economic'!$G$60+1),0,$V$23)</f>
        <v>81.701667777785545</v>
      </c>
      <c r="AE31" s="262">
        <f>IF(Y31&lt;('VII. Economic'!$G$60+1),0,(AC31-AD31-AA31)*(1-$V$26)+AA31)</f>
        <v>-29.504540262597327</v>
      </c>
      <c r="AF31" s="1538">
        <f t="shared" si="13"/>
        <v>-29.504540262597327</v>
      </c>
      <c r="AG31" s="1190">
        <f t="shared" si="14"/>
        <v>-59.009080525194655</v>
      </c>
      <c r="AH31" s="202" t="str">
        <f t="shared" si="15"/>
        <v/>
      </c>
      <c r="AI31" s="1370">
        <f t="shared" si="16"/>
        <v>-29.504540262597327</v>
      </c>
      <c r="AJ31" s="185">
        <f t="shared" si="17"/>
        <v>-22.16719779308589</v>
      </c>
      <c r="AK31" s="186">
        <f t="shared" si="18"/>
        <v>-46.551115365480371</v>
      </c>
      <c r="AL31" s="202" t="str">
        <f t="shared" si="19"/>
        <v/>
      </c>
      <c r="AM31" s="1370">
        <f t="shared" si="20"/>
        <v>-22.16719779308589</v>
      </c>
      <c r="AN31" s="495">
        <f t="shared" si="23"/>
        <v>-29.504540262597327</v>
      </c>
      <c r="AO31" s="186">
        <f t="shared" si="21"/>
        <v>-59.009080525194655</v>
      </c>
      <c r="AP31" s="202">
        <f t="shared" si="24"/>
        <v>-10.752383477622935</v>
      </c>
      <c r="AQ31" s="187">
        <f t="shared" si="22"/>
        <v>-25.805720346295043</v>
      </c>
      <c r="AR31" s="608"/>
    </row>
    <row r="32" ht="25.5" customHeight="true" x14ac:dyDescent="0.25">
      <c r="C32" s="656"/>
      <c r="D32" s="557"/>
      <c r="E32" s="1204" t="s">
        <v>1374</v>
      </c>
      <c r="F32" s="2125" t="s">
        <v>1338</v>
      </c>
      <c r="G32" s="2126"/>
      <c r="H32" s="2126"/>
      <c r="I32" s="2127"/>
      <c r="J32" s="1202"/>
      <c r="K32" s="1138">
        <v>0.1</v>
      </c>
      <c r="L32" s="549" t="s">
        <v>1339</v>
      </c>
      <c r="M32" s="1014">
        <f>K32*K33</f>
        <v>0.11100000000000002</v>
      </c>
      <c r="N32" s="1138">
        <v>0.2</v>
      </c>
      <c r="O32" s="549" t="s">
        <v>1339</v>
      </c>
      <c r="P32" s="1014">
        <f>N32*N33</f>
        <v>0.25</v>
      </c>
      <c r="Q32" s="564"/>
      <c r="R32" s="537"/>
      <c r="S32" s="640"/>
      <c r="T32" s="2072" t="s">
        <v>1249</v>
      </c>
      <c r="U32" s="2073"/>
      <c r="V32" s="1238">
        <f>V8</f>
        <v>10</v>
      </c>
      <c r="W32" s="190"/>
      <c r="X32" s="190"/>
      <c r="Y32" s="495">
        <f>'VII. Economic'!E88</f>
        <v>4</v>
      </c>
      <c r="Z32" s="202">
        <f>IF(Y32=0,-'VII. Economic'!$G$56,IF(Y32='VII. Economic'!$G$60,-($N$9),IF(Y32='VII. Economic'!$G$57+'VII. Economic'!$G$60,$V$19+$V$24,0)))</f>
        <v>0</v>
      </c>
      <c r="AA32" s="186">
        <f>IF(Y32&lt;('VII. Economic'!$G$60+1),0,($V$20-$V$19)/$V$21)</f>
        <v>0</v>
      </c>
      <c r="AB32" s="202">
        <f>IF(Y32&lt;('VII. Economic'!$G$60+1),$V$20,IF(AB31-AA32&gt;0,AB31-AA32,0))</f>
        <v>0</v>
      </c>
      <c r="AC32" s="202">
        <f>IF(Y32&lt;('VII. Economic'!$G$60+1),0,$V$22)</f>
        <v>39.552324545503645</v>
      </c>
      <c r="AD32" s="202">
        <f>IF(Y32&lt;('VII. Economic'!$G$60+1),0,$V$23)</f>
        <v>81.701667777785545</v>
      </c>
      <c r="AE32" s="262">
        <f>IF(Y32&lt;('VII. Economic'!$G$60+1),0,(AC32-AD32-AA32)*(1-$V$26)+AA32)</f>
        <v>-29.504540262597327</v>
      </c>
      <c r="AF32" s="1538">
        <f t="shared" si="13"/>
        <v>-29.504540262597327</v>
      </c>
      <c r="AG32" s="1190">
        <f t="shared" si="14"/>
        <v>-88.513620787791979</v>
      </c>
      <c r="AH32" s="202" t="str">
        <f t="shared" si="15"/>
        <v/>
      </c>
      <c r="AI32" s="1370">
        <f t="shared" si="16"/>
        <v>-29.504540262597327</v>
      </c>
      <c r="AJ32" s="185">
        <f t="shared" si="17"/>
        <v>-20.151997993714446</v>
      </c>
      <c r="AK32" s="186">
        <f t="shared" si="18"/>
        <v>-66.703113359194816</v>
      </c>
      <c r="AL32" s="202" t="str">
        <f t="shared" si="19"/>
        <v/>
      </c>
      <c r="AM32" s="1370">
        <f t="shared" si="20"/>
        <v>-20.151997993714446</v>
      </c>
      <c r="AN32" s="495">
        <f t="shared" si="23"/>
        <v>-29.504540262597327</v>
      </c>
      <c r="AO32" s="186">
        <f t="shared" si="21"/>
        <v>-88.513620787791979</v>
      </c>
      <c r="AP32" s="202">
        <f t="shared" si="24"/>
        <v>-7.6802739125878112</v>
      </c>
      <c r="AQ32" s="187">
        <f t="shared" si="22"/>
        <v>-33.485994258882855</v>
      </c>
      <c r="AR32" s="608"/>
    </row>
    <row r="33" ht="25.5" customHeight="true" thickBot="true" x14ac:dyDescent="0.35">
      <c r="C33" s="656"/>
      <c r="D33" s="557"/>
      <c r="E33" s="551" t="s">
        <v>1375</v>
      </c>
      <c r="F33" s="2128" t="s">
        <v>1339</v>
      </c>
      <c r="G33" s="2129"/>
      <c r="H33" s="2129"/>
      <c r="I33" s="2130"/>
      <c r="J33" s="552" t="s">
        <v>1376</v>
      </c>
      <c r="K33" s="1139">
        <v>1.1100000000000001</v>
      </c>
      <c r="L33" s="553" t="s">
        <v>1336</v>
      </c>
      <c r="M33" s="1539">
        <f>K33</f>
        <v>1.1100000000000001</v>
      </c>
      <c r="N33" s="1139">
        <v>1.25</v>
      </c>
      <c r="O33" s="553" t="s">
        <v>1336</v>
      </c>
      <c r="P33" s="1539">
        <f>N33</f>
        <v>1.25</v>
      </c>
      <c r="Q33" s="564"/>
      <c r="R33" s="537"/>
      <c r="S33" s="640"/>
      <c r="T33" s="1866" t="s">
        <v>2374</v>
      </c>
      <c r="U33" s="1867"/>
      <c r="V33" s="1235">
        <f>L9</f>
        <v>0</v>
      </c>
      <c r="W33" s="190"/>
      <c r="X33" s="190"/>
      <c r="Y33" s="495">
        <f>'VII. Economic'!E89</f>
        <v>5</v>
      </c>
      <c r="Z33" s="202">
        <f>IF(Y33=0,-'VII. Economic'!$G$56,IF(Y33='VII. Economic'!$G$60,-($N$9),IF(Y33='VII. Economic'!$G$57+'VII. Economic'!$G$60,$V$19+$V$24,0)))</f>
        <v>0</v>
      </c>
      <c r="AA33" s="186">
        <f>IF(Y33&lt;('VII. Economic'!$G$60+1),0,($V$20-$V$19)/$V$21)</f>
        <v>0</v>
      </c>
      <c r="AB33" s="202">
        <f>IF(Y33&lt;('VII. Economic'!$G$60+1),$V$20,IF(AB32-AA33&gt;0,AB32-AA33,0))</f>
        <v>0</v>
      </c>
      <c r="AC33" s="202">
        <f>IF(Y33&lt;('VII. Economic'!$G$60+1),0,$V$22)</f>
        <v>39.552324545503645</v>
      </c>
      <c r="AD33" s="202">
        <f>IF(Y33&lt;('VII. Economic'!$G$60+1),0,$V$23)</f>
        <v>81.701667777785545</v>
      </c>
      <c r="AE33" s="262">
        <f>IF(Y33&lt;('VII. Economic'!$G$60+1),0,(AC33-AD33-AA33)*(1-$V$26)+AA33)</f>
        <v>-29.504540262597327</v>
      </c>
      <c r="AF33" s="1538">
        <f t="shared" si="13"/>
        <v>-29.504540262597327</v>
      </c>
      <c r="AG33" s="1190">
        <f t="shared" si="14"/>
        <v>-118.01816105038931</v>
      </c>
      <c r="AH33" s="202" t="str">
        <f t="shared" si="15"/>
        <v/>
      </c>
      <c r="AI33" s="1370">
        <f t="shared" si="16"/>
        <v>-29.504540262597327</v>
      </c>
      <c r="AJ33" s="185">
        <f t="shared" si="17"/>
        <v>-18.31999817610404</v>
      </c>
      <c r="AK33" s="186">
        <f t="shared" si="18"/>
        <v>-85.023111535298852</v>
      </c>
      <c r="AL33" s="202" t="str">
        <f t="shared" si="19"/>
        <v/>
      </c>
      <c r="AM33" s="1370">
        <f t="shared" si="20"/>
        <v>-18.31999817610404</v>
      </c>
      <c r="AN33" s="495">
        <f t="shared" si="23"/>
        <v>-29.504540262597327</v>
      </c>
      <c r="AO33" s="186">
        <f t="shared" si="21"/>
        <v>-118.01816105038931</v>
      </c>
      <c r="AP33" s="202">
        <f t="shared" si="24"/>
        <v>-5.4859099375627229</v>
      </c>
      <c r="AQ33" s="187">
        <f t="shared" si="22"/>
        <v>-38.971904196445578</v>
      </c>
      <c r="AR33" s="608"/>
    </row>
    <row r="34" ht="25.5" customHeight="true" x14ac:dyDescent="0.3">
      <c r="B34" s="726"/>
      <c r="C34" s="557"/>
      <c r="D34" s="557"/>
      <c r="E34" s="650"/>
      <c r="F34" s="650"/>
      <c r="G34" s="650"/>
      <c r="H34" s="557"/>
      <c r="I34" s="557"/>
      <c r="J34" s="557"/>
      <c r="K34" s="548"/>
      <c r="L34" s="543"/>
      <c r="M34" s="557"/>
      <c r="N34" s="548"/>
      <c r="O34" s="543"/>
      <c r="P34" s="557"/>
      <c r="Q34" s="563"/>
      <c r="R34"/>
      <c r="S34" s="587"/>
      <c r="T34" s="1866" t="s">
        <v>1296</v>
      </c>
      <c r="U34" s="1867"/>
      <c r="V34" s="1540">
        <f>'VII. Economic'!G79</f>
        <v>0.16</v>
      </c>
      <c r="W34" s="190"/>
      <c r="X34" s="190"/>
      <c r="Y34" s="495">
        <f>'VII. Economic'!E90</f>
        <v>6</v>
      </c>
      <c r="Z34" s="202">
        <f>IF(Y34=0,-'VII. Economic'!$G$56,IF(Y34='VII. Economic'!$G$60,-($N$9),IF(Y34='VII. Economic'!$G$57+'VII. Economic'!$G$60,$V$19+$V$24,0)))</f>
        <v>0</v>
      </c>
      <c r="AA34" s="186">
        <f>IF(Y34&lt;('VII. Economic'!$G$60+1),0,($V$20-$V$19)/$V$21)</f>
        <v>0</v>
      </c>
      <c r="AB34" s="202">
        <f>IF(Y34&lt;('VII. Economic'!$G$60+1),$V$20,IF(AB33-AA34&gt;0,AB33-AA34,0))</f>
        <v>0</v>
      </c>
      <c r="AC34" s="202">
        <f>IF(Y34&lt;('VII. Economic'!$G$60+1),0,$V$22)</f>
        <v>39.552324545503645</v>
      </c>
      <c r="AD34" s="202">
        <f>IF(Y34&lt;('VII. Economic'!$G$60+1),0,$V$23)</f>
        <v>81.701667777785545</v>
      </c>
      <c r="AE34" s="262">
        <f>IF(Y34&lt;('VII. Economic'!$G$60+1),0,(AC34-AD34-AA34)*(1-$V$26)+AA34)</f>
        <v>-29.504540262597327</v>
      </c>
      <c r="AF34" s="1538">
        <f t="shared" si="13"/>
        <v>-29.504540262597327</v>
      </c>
      <c r="AG34" s="1190">
        <f t="shared" si="14"/>
        <v>-147.52270131298664</v>
      </c>
      <c r="AH34" s="202" t="str">
        <f t="shared" si="15"/>
        <v/>
      </c>
      <c r="AI34" s="1370">
        <f t="shared" si="16"/>
        <v>-29.504540262597327</v>
      </c>
      <c r="AJ34" s="185">
        <f t="shared" si="17"/>
        <v>-16.654543796458217</v>
      </c>
      <c r="AK34" s="186">
        <f t="shared" si="18"/>
        <v>-101.67765533175707</v>
      </c>
      <c r="AL34" s="202" t="str">
        <f t="shared" si="19"/>
        <v/>
      </c>
      <c r="AM34" s="1370">
        <f t="shared" si="20"/>
        <v>-16.654543796458217</v>
      </c>
      <c r="AN34" s="495">
        <f t="shared" si="23"/>
        <v>-29.504540262597327</v>
      </c>
      <c r="AO34" s="186">
        <f t="shared" si="21"/>
        <v>-147.52270131298664</v>
      </c>
      <c r="AP34" s="202">
        <f t="shared" si="24"/>
        <v>-3.9185070982590879</v>
      </c>
      <c r="AQ34" s="187">
        <f t="shared" si="22"/>
        <v>-42.890411294704663</v>
      </c>
      <c r="AR34" s="608"/>
    </row>
    <row r="35" ht="25.5" customHeight="true" x14ac:dyDescent="0.3">
      <c r="B35" s="726"/>
      <c r="C35" s="557"/>
      <c r="D35" s="557"/>
      <c r="E35" s="650"/>
      <c r="F35" s="650"/>
      <c r="G35" s="650"/>
      <c r="H35" s="557"/>
      <c r="I35" s="557"/>
      <c r="J35" s="557"/>
      <c r="K35" s="548"/>
      <c r="L35" s="543"/>
      <c r="M35" s="557"/>
      <c r="N35" s="548"/>
      <c r="O35" s="543"/>
      <c r="P35" s="557"/>
      <c r="Q35" s="563"/>
      <c r="R35"/>
      <c r="S35" s="587"/>
      <c r="T35" s="1866" t="s">
        <v>1435</v>
      </c>
      <c r="U35" s="1867"/>
      <c r="V35" s="1235">
        <f>SUM(Z45:Z56)</f>
        <v>148.27074738721802</v>
      </c>
      <c r="W35" s="190"/>
      <c r="X35" s="190"/>
      <c r="Y35" s="495">
        <f>'VII. Economic'!E91</f>
        <v>7</v>
      </c>
      <c r="Z35" s="202">
        <f>IF(Y35=0,-'VII. Economic'!$G$56,IF(Y35='VII. Economic'!$G$60,-($N$9),IF(Y35='VII. Economic'!$G$57+'VII. Economic'!$G$60,$V$19+$V$24,0)))</f>
        <v>0</v>
      </c>
      <c r="AA35" s="186">
        <f>IF(Y35&lt;('VII. Economic'!$G$60+1),0,($V$20-$V$19)/$V$21)</f>
        <v>0</v>
      </c>
      <c r="AB35" s="202">
        <f>IF(Y35&lt;('VII. Economic'!$G$60+1),$V$20,IF(AB34-AA35&gt;0,AB34-AA35,0))</f>
        <v>0</v>
      </c>
      <c r="AC35" s="202">
        <f>IF(Y35&lt;('VII. Economic'!$G$60+1),0,$V$22)</f>
        <v>39.552324545503645</v>
      </c>
      <c r="AD35" s="202">
        <f>IF(Y35&lt;('VII. Economic'!$G$60+1),0,$V$23)</f>
        <v>81.701667777785545</v>
      </c>
      <c r="AE35" s="262">
        <f>IF(Y35&lt;('VII. Economic'!$G$60+1),0,(AC35-AD35-AA35)*(1-$V$26)+AA35)</f>
        <v>-29.504540262597327</v>
      </c>
      <c r="AF35" s="1538">
        <f t="shared" si="13"/>
        <v>-29.504540262597327</v>
      </c>
      <c r="AG35" s="1190">
        <f t="shared" si="14"/>
        <v>-177.02724157558396</v>
      </c>
      <c r="AH35" s="202" t="str">
        <f t="shared" si="15"/>
        <v/>
      </c>
      <c r="AI35" s="1370">
        <f t="shared" si="16"/>
        <v>-29.504540262597327</v>
      </c>
      <c r="AJ35" s="185">
        <f t="shared" si="17"/>
        <v>-15.140494360416557</v>
      </c>
      <c r="AK35" s="186">
        <f t="shared" si="18"/>
        <v>-116.81814969217362</v>
      </c>
      <c r="AL35" s="202" t="str">
        <f t="shared" si="19"/>
        <v/>
      </c>
      <c r="AM35" s="1370">
        <f t="shared" si="20"/>
        <v>-15.140494360416557</v>
      </c>
      <c r="AN35" s="495">
        <f t="shared" si="23"/>
        <v>-29.504540262597327</v>
      </c>
      <c r="AO35" s="186">
        <f t="shared" si="21"/>
        <v>-177.02724157558396</v>
      </c>
      <c r="AP35" s="202">
        <f t="shared" si="24"/>
        <v>-2.7989336416136346</v>
      </c>
      <c r="AQ35" s="187">
        <f t="shared" si="22"/>
        <v>-45.6893449363183</v>
      </c>
      <c r="AR35" s="608"/>
    </row>
    <row r="36" ht="25.5" customHeight="true" thickBot="true" x14ac:dyDescent="0.35">
      <c r="B36" s="726"/>
      <c r="C36" s="557"/>
      <c r="D36" s="557"/>
      <c r="E36" s="650"/>
      <c r="F36" s="650"/>
      <c r="G36" s="650"/>
      <c r="H36" s="557"/>
      <c r="I36" s="557"/>
      <c r="J36" s="557"/>
      <c r="K36" s="548"/>
      <c r="L36" s="543"/>
      <c r="M36" s="557"/>
      <c r="N36" s="548"/>
      <c r="O36" s="543"/>
      <c r="P36" s="557"/>
      <c r="Q36" s="563"/>
      <c r="R36"/>
      <c r="S36" s="587"/>
      <c r="T36" s="2004" t="s">
        <v>1299</v>
      </c>
      <c r="U36" s="2005"/>
      <c r="V36" s="1237">
        <f>V35-V34*V32*V33</f>
        <v>148.27074738721802</v>
      </c>
      <c r="W36" s="190"/>
      <c r="X36" s="190"/>
      <c r="Y36" s="495">
        <f>'VII. Economic'!E92</f>
        <v>8</v>
      </c>
      <c r="Z36" s="202">
        <f>IF(Y36=0,-'VII. Economic'!$G$56,IF(Y36='VII. Economic'!$G$60,-($N$9),IF(Y36='VII. Economic'!$G$57+'VII. Economic'!$G$60,$V$19+$V$24,0)))</f>
        <v>0</v>
      </c>
      <c r="AA36" s="186">
        <f>IF(Y36&lt;('VII. Economic'!$G$60+1),0,($V$20-$V$19)/$V$21)</f>
        <v>0</v>
      </c>
      <c r="AB36" s="202">
        <f>IF(Y36&lt;('VII. Economic'!$G$60+1),$V$20,IF(AB35-AA36&gt;0,AB35-AA36,0))</f>
        <v>0</v>
      </c>
      <c r="AC36" s="202">
        <f>IF(Y36&lt;('VII. Economic'!$G$60+1),0,$V$22)</f>
        <v>39.552324545503645</v>
      </c>
      <c r="AD36" s="202">
        <f>IF(Y36&lt;('VII. Economic'!$G$60+1),0,$V$23)</f>
        <v>81.701667777785545</v>
      </c>
      <c r="AE36" s="262">
        <f>IF(Y36&lt;('VII. Economic'!$G$60+1),0,(AC36-AD36-AA36)*(1-$V$26)+AA36)</f>
        <v>-29.504540262597327</v>
      </c>
      <c r="AF36" s="1538">
        <f t="shared" si="13"/>
        <v>-29.504540262597327</v>
      </c>
      <c r="AG36" s="1190">
        <f t="shared" si="14"/>
        <v>-206.53178183818127</v>
      </c>
      <c r="AH36" s="202" t="str">
        <f t="shared" si="15"/>
        <v/>
      </c>
      <c r="AI36" s="1370">
        <f t="shared" si="16"/>
        <v>-29.504540262597327</v>
      </c>
      <c r="AJ36" s="185">
        <f t="shared" si="17"/>
        <v>-13.764085782196872</v>
      </c>
      <c r="AK36" s="186">
        <f t="shared" si="18"/>
        <v>-130.58223547437049</v>
      </c>
      <c r="AL36" s="202" t="str">
        <f t="shared" si="19"/>
        <v/>
      </c>
      <c r="AM36" s="1370">
        <f t="shared" si="20"/>
        <v>-13.764085782196872</v>
      </c>
      <c r="AN36" s="495">
        <f t="shared" si="23"/>
        <v>-29.504540262597327</v>
      </c>
      <c r="AO36" s="186">
        <f t="shared" si="21"/>
        <v>-206.53178183818127</v>
      </c>
      <c r="AP36" s="202">
        <f t="shared" si="24"/>
        <v>-1.9992383154383107</v>
      </c>
      <c r="AQ36" s="187">
        <f t="shared" si="22"/>
        <v>-47.688583251756612</v>
      </c>
      <c r="AR36" s="608"/>
    </row>
    <row r="37" x14ac:dyDescent="0.3">
      <c r="B37" s="726"/>
      <c r="C37" s="557"/>
      <c r="D37" s="557"/>
      <c r="E37" s="650"/>
      <c r="F37" s="557"/>
      <c r="G37" s="557"/>
      <c r="H37" s="557"/>
      <c r="I37" s="557"/>
      <c r="J37" s="557"/>
      <c r="K37" s="548"/>
      <c r="L37" s="543"/>
      <c r="M37" s="557"/>
      <c r="N37" s="548"/>
      <c r="O37" s="543"/>
      <c r="P37" s="557"/>
      <c r="Q37" s="563"/>
      <c r="R37"/>
      <c r="S37" s="587"/>
      <c r="T37" s="190"/>
      <c r="U37" s="190"/>
      <c r="V37" s="570"/>
      <c r="W37" s="190"/>
      <c r="X37" s="190"/>
      <c r="Y37" s="495">
        <f>'VII. Economic'!E93</f>
        <v>9</v>
      </c>
      <c r="Z37" s="202">
        <f>IF(Y37=0,-'VII. Economic'!$G$56,IF(Y37='VII. Economic'!$G$60,-($N$9),IF(Y37='VII. Economic'!$G$57+'VII. Economic'!$G$60,$V$19+$V$24,0)))</f>
        <v>0</v>
      </c>
      <c r="AA37" s="186">
        <f>IF(Y37&lt;('VII. Economic'!$G$60+1),0,($V$20-$V$19)/$V$21)</f>
        <v>0</v>
      </c>
      <c r="AB37" s="202">
        <f>IF(Y37&lt;('VII. Economic'!$G$60+1),$V$20,IF(AB36-AA37&gt;0,AB36-AA37,0))</f>
        <v>0</v>
      </c>
      <c r="AC37" s="202">
        <f>IF(Y37&lt;('VII. Economic'!$G$60+1),0,$V$22)</f>
        <v>39.552324545503645</v>
      </c>
      <c r="AD37" s="202">
        <f>IF(Y37&lt;('VII. Economic'!$G$60+1),0,$V$23)</f>
        <v>81.701667777785545</v>
      </c>
      <c r="AE37" s="262">
        <f>IF(Y37&lt;('VII. Economic'!$G$60+1),0,(AC37-AD37-AA37)*(1-$V$26)+AA37)</f>
        <v>-29.504540262597327</v>
      </c>
      <c r="AF37" s="1538">
        <f t="shared" si="13"/>
        <v>-29.504540262597327</v>
      </c>
      <c r="AG37" s="1190">
        <f t="shared" si="14"/>
        <v>-236.03632210077859</v>
      </c>
      <c r="AH37" s="202" t="str">
        <f t="shared" si="15"/>
        <v/>
      </c>
      <c r="AI37" s="1370">
        <f t="shared" si="16"/>
        <v>-29.504540262597327</v>
      </c>
      <c r="AJ37" s="185">
        <f t="shared" si="17"/>
        <v>-12.51280525654261</v>
      </c>
      <c r="AK37" s="186">
        <f t="shared" si="18"/>
        <v>-143.0950407309131</v>
      </c>
      <c r="AL37" s="202" t="str">
        <f t="shared" si="19"/>
        <v/>
      </c>
      <c r="AM37" s="1370">
        <f t="shared" si="20"/>
        <v>-12.51280525654261</v>
      </c>
      <c r="AN37" s="495">
        <f t="shared" si="23"/>
        <v>-29.504540262597327</v>
      </c>
      <c r="AO37" s="186">
        <f t="shared" si="21"/>
        <v>-236.03632210077859</v>
      </c>
      <c r="AP37" s="202">
        <f t="shared" si="24"/>
        <v>-1.428027368170222</v>
      </c>
      <c r="AQ37" s="187">
        <f t="shared" si="22"/>
        <v>-49.116610619926831</v>
      </c>
      <c r="AR37" s="608"/>
    </row>
    <row r="38" ht="16.2" thickBot="true" x14ac:dyDescent="0.35">
      <c r="B38" s="726"/>
      <c r="C38" s="557"/>
      <c r="D38" s="557"/>
      <c r="E38" s="650"/>
      <c r="F38" s="557"/>
      <c r="G38" s="557"/>
      <c r="H38" s="557"/>
      <c r="I38" s="557"/>
      <c r="J38" s="557"/>
      <c r="K38" s="548"/>
      <c r="L38" s="543"/>
      <c r="M38" s="557"/>
      <c r="N38" s="548"/>
      <c r="O38" s="543"/>
      <c r="P38" s="557"/>
      <c r="Q38" s="563"/>
      <c r="R38"/>
      <c r="S38" s="587"/>
      <c r="T38" s="190"/>
      <c r="U38" s="190"/>
      <c r="V38" s="570"/>
      <c r="W38" s="190"/>
      <c r="X38" s="190"/>
      <c r="Y38" s="495">
        <f>'VII. Economic'!E94</f>
        <v>10</v>
      </c>
      <c r="Z38" s="202">
        <f>IF(Y38=0,-'VII. Economic'!$G$56,IF(Y38='VII. Economic'!$G$60,-($N$9),IF(Y38='VII. Economic'!$G$57+'VII. Economic'!$G$60,$V$19+$V$24,0)))</f>
        <v>0</v>
      </c>
      <c r="AA38" s="186">
        <f>IF(Y38&lt;('VII. Economic'!$G$60+1),0,($V$20-$V$19)/$V$21)</f>
        <v>0</v>
      </c>
      <c r="AB38" s="202">
        <f>IF(Y38&lt;('VII. Economic'!$G$60+1),$V$20,IF(AB37-AA38&gt;0,AB37-AA38,0))</f>
        <v>0</v>
      </c>
      <c r="AC38" s="202">
        <f>IF(Y38&lt;('VII. Economic'!$G$60+1),0,$V$22)</f>
        <v>39.552324545503645</v>
      </c>
      <c r="AD38" s="202">
        <f>IF(Y38&lt;('VII. Economic'!$G$60+1),0,$V$23)</f>
        <v>81.701667777785545</v>
      </c>
      <c r="AE38" s="262">
        <f>IF(Y38&lt;('VII. Economic'!$G$60+1),0,(AC38-AD38-AA38)*(1-$V$26)+AA38)</f>
        <v>-29.504540262597327</v>
      </c>
      <c r="AF38" s="1538">
        <f t="shared" si="13"/>
        <v>-29.504540262597327</v>
      </c>
      <c r="AG38" s="1190">
        <f t="shared" si="14"/>
        <v>-265.54086236337594</v>
      </c>
      <c r="AH38" s="202" t="str">
        <f t="shared" si="15"/>
        <v/>
      </c>
      <c r="AI38" s="1370">
        <f t="shared" si="16"/>
        <v>-29.504540262597327</v>
      </c>
      <c r="AJ38" s="185">
        <f t="shared" si="17"/>
        <v>-11.375277505947826</v>
      </c>
      <c r="AK38" s="186">
        <f t="shared" si="18"/>
        <v>-154.47031823686092</v>
      </c>
      <c r="AL38" s="202" t="str">
        <f t="shared" si="19"/>
        <v/>
      </c>
      <c r="AM38" s="1370">
        <f t="shared" si="20"/>
        <v>-11.375277505947826</v>
      </c>
      <c r="AN38" s="495">
        <f t="shared" si="23"/>
        <v>-29.504540262597327</v>
      </c>
      <c r="AO38" s="186">
        <f t="shared" si="21"/>
        <v>-265.54086236337594</v>
      </c>
      <c r="AP38" s="202">
        <f t="shared" si="24"/>
        <v>-1.0200195486930157</v>
      </c>
      <c r="AQ38" s="187">
        <f t="shared" si="22"/>
        <v>-50.136630168619845</v>
      </c>
      <c r="AR38" s="608"/>
    </row>
    <row r="39" ht="24" customHeight="true" thickTop="true" thickBot="true" x14ac:dyDescent="0.3">
      <c r="B39" s="726"/>
      <c r="C39" s="557"/>
      <c r="D39" s="557"/>
      <c r="E39" s="2156" t="s">
        <v>1421</v>
      </c>
      <c r="F39" s="2157"/>
      <c r="G39" s="2157"/>
      <c r="H39" s="2157"/>
      <c r="I39" s="2157"/>
      <c r="J39" s="2157"/>
      <c r="K39" s="2157"/>
      <c r="L39" s="2157"/>
      <c r="M39" s="2157"/>
      <c r="N39" s="2157"/>
      <c r="O39" s="2157"/>
      <c r="P39" s="2158"/>
      <c r="Q39" s="652"/>
      <c r="R39" s="93"/>
      <c r="S39" s="587"/>
      <c r="T39" s="190"/>
      <c r="U39" s="190"/>
      <c r="V39" s="570"/>
      <c r="W39" s="190"/>
      <c r="X39" s="190"/>
      <c r="Y39" s="496">
        <f>'VII. Economic'!E95</f>
        <v>11</v>
      </c>
      <c r="Z39" s="1247">
        <f>IF(Y39=0,-'VII. Economic'!$G$56,IF(Y39='VII. Economic'!$G$60,-($N$9),IF(Y39='VII. Economic'!$G$57+'VII. Economic'!$G$60,$V$19+$V$24,0)))</f>
        <v>0</v>
      </c>
      <c r="AA39" s="1247">
        <f>IF(Y39&lt;('VII. Economic'!$G$60+1),0,($V$20-$V$19)/$V$21)</f>
        <v>0</v>
      </c>
      <c r="AB39" s="263">
        <f>IF(Y39&lt;('VII. Economic'!$G$60+1),$V$20,IF(AB38-AA39&gt;0,AB38-AA39,0))</f>
        <v>0</v>
      </c>
      <c r="AC39" s="263">
        <f>IF(Y39&lt;('VII. Economic'!$G$60+1),0,$V$22)</f>
        <v>39.552324545503645</v>
      </c>
      <c r="AD39" s="263">
        <f>IF(Y39&lt;('VII. Economic'!$G$60+1),0,$V$23)</f>
        <v>81.701667777785545</v>
      </c>
      <c r="AE39" s="1227">
        <f>IF(Y39&lt;('VII. Economic'!$G$60+1),0,(AC39-AD39-AA39)*(1-$V$26)+AA39)</f>
        <v>-29.504540262597327</v>
      </c>
      <c r="AF39" s="1541">
        <f>Z39+AE39</f>
        <v>-29.504540262597327</v>
      </c>
      <c r="AG39" s="1247">
        <f t="shared" si="14"/>
        <v>-295.04540262597328</v>
      </c>
      <c r="AH39" s="263" t="str">
        <f t="shared" si="15"/>
        <v/>
      </c>
      <c r="AI39" s="1370">
        <f t="shared" si="16"/>
        <v>-29.504540262597327</v>
      </c>
      <c r="AJ39" s="185">
        <f t="shared" si="17"/>
        <v>-10.341161369043476</v>
      </c>
      <c r="AK39" s="1247">
        <f t="shared" si="18"/>
        <v>-164.8114796059044</v>
      </c>
      <c r="AL39" s="263" t="str">
        <f t="shared" si="19"/>
        <v/>
      </c>
      <c r="AM39" s="1370">
        <f t="shared" si="20"/>
        <v>-10.341161369043476</v>
      </c>
      <c r="AN39" s="495">
        <f t="shared" si="23"/>
        <v>-29.504540262597327</v>
      </c>
      <c r="AO39" s="1542">
        <f t="shared" si="21"/>
        <v>-295.04540262597328</v>
      </c>
      <c r="AP39" s="202">
        <f t="shared" si="24"/>
        <v>-0.72858539192358274</v>
      </c>
      <c r="AQ39" s="1543">
        <f t="shared" si="22"/>
        <v>-50.865215560543426</v>
      </c>
      <c r="AR39" s="608"/>
    </row>
    <row r="40" ht="16.8" thickTop="true" thickBot="true" x14ac:dyDescent="0.35">
      <c r="B40" s="726"/>
      <c r="C40" s="557"/>
      <c r="D40" s="557"/>
      <c r="E40" s="650"/>
      <c r="F40" s="557"/>
      <c r="G40" s="557"/>
      <c r="H40" s="557"/>
      <c r="I40" s="557"/>
      <c r="J40" s="646" t="s">
        <v>1412</v>
      </c>
      <c r="K40" s="647" t="s">
        <v>1414</v>
      </c>
      <c r="L40" s="648" t="s">
        <v>1413</v>
      </c>
      <c r="M40" s="647" t="s">
        <v>1416</v>
      </c>
      <c r="N40" s="648" t="s">
        <v>1417</v>
      </c>
      <c r="O40" s="649" t="s">
        <v>1419</v>
      </c>
      <c r="P40" s="557"/>
      <c r="Q40" s="563"/>
      <c r="R40"/>
      <c r="S40" s="587"/>
      <c r="T40" s="190"/>
      <c r="U40" s="190"/>
      <c r="V40" s="570"/>
      <c r="W40" s="190"/>
      <c r="X40" s="190"/>
      <c r="Y40" s="190"/>
      <c r="Z40" s="190"/>
      <c r="AA40" s="190"/>
      <c r="AB40" s="190"/>
      <c r="AC40" s="190"/>
      <c r="AD40" s="190"/>
      <c r="AE40" s="190"/>
      <c r="AF40" s="190"/>
      <c r="AG40" s="190"/>
      <c r="AH40" s="190"/>
      <c r="AI40" s="190"/>
      <c r="AJ40" s="190"/>
      <c r="AK40" s="190"/>
      <c r="AL40" s="190"/>
      <c r="AM40" s="190"/>
      <c r="AN40" s="190"/>
      <c r="AO40" s="190"/>
      <c r="AP40" s="190"/>
      <c r="AQ40" s="190"/>
      <c r="AR40" s="608"/>
    </row>
    <row r="41" ht="21" thickBot="true" x14ac:dyDescent="0.35">
      <c r="B41" s="726"/>
      <c r="C41" s="557"/>
      <c r="D41" s="557"/>
      <c r="E41" s="650"/>
      <c r="F41" s="557"/>
      <c r="G41" s="557"/>
      <c r="H41" s="2131" t="s">
        <v>1119</v>
      </c>
      <c r="I41" s="2132"/>
      <c r="J41" s="453">
        <f>'VII. Economic'!I21</f>
        <v>48.344182117032872</v>
      </c>
      <c r="K41" s="1532">
        <f t="shared" ref="K41:K46" si="25">J41/$J$41</f>
        <v>1</v>
      </c>
      <c r="L41" s="1544">
        <f>J41*M74+L7*M75</f>
        <v>25.622416522027425</v>
      </c>
      <c r="M41" s="1532">
        <f t="shared" ref="M41:M46" si="26">L41/$J$41</f>
        <v>0.53</v>
      </c>
      <c r="N41" s="1545">
        <f>J41*P74+N7*P75</f>
        <v>93.787713307043774</v>
      </c>
      <c r="O41" s="1546">
        <f t="shared" ref="O41:O46" si="27">N41/$J$41</f>
        <v>1.94</v>
      </c>
      <c r="P41" s="557"/>
      <c r="Q41" s="563"/>
      <c r="R41"/>
      <c r="S41" s="587"/>
      <c r="T41" s="2159" t="s">
        <v>1304</v>
      </c>
      <c r="U41" s="2159"/>
      <c r="V41" s="318" t="s">
        <v>73</v>
      </c>
      <c r="W41" s="318" t="s">
        <v>74</v>
      </c>
      <c r="X41" s="190"/>
      <c r="Y41" s="190"/>
      <c r="Z41" s="190"/>
      <c r="AA41" s="190"/>
      <c r="AB41" s="190"/>
      <c r="AC41" s="190"/>
      <c r="AD41" s="190"/>
      <c r="AE41" s="190"/>
      <c r="AF41" s="190"/>
      <c r="AG41" s="190"/>
      <c r="AH41" s="190"/>
      <c r="AI41" s="190"/>
      <c r="AJ41" s="190"/>
      <c r="AK41" s="190"/>
      <c r="AL41" s="190"/>
      <c r="AM41" s="190"/>
      <c r="AN41" s="190"/>
      <c r="AO41" s="190"/>
      <c r="AP41" s="190"/>
      <c r="AQ41" s="190"/>
      <c r="AR41" s="608"/>
    </row>
    <row r="42" ht="25.5" customHeight="true" thickBot="true" x14ac:dyDescent="0.35">
      <c r="B42" s="726"/>
      <c r="C42" s="557"/>
      <c r="D42" s="557"/>
      <c r="E42" s="650"/>
      <c r="F42" s="557"/>
      <c r="G42" s="557"/>
      <c r="H42" s="2095" t="s">
        <v>1123</v>
      </c>
      <c r="I42" s="2096"/>
      <c r="J42" s="239">
        <f>'VII. Economic'!G73/1000000</f>
        <v>38.675345693626298</v>
      </c>
      <c r="K42" s="1532">
        <f t="shared" si="25"/>
        <v>0.8</v>
      </c>
      <c r="L42" s="1533">
        <f>J41*M76+L7*M77</f>
        <v>18.370789204472494</v>
      </c>
      <c r="M42" s="1532">
        <f t="shared" si="26"/>
        <v>0.38000000000000006</v>
      </c>
      <c r="N42" s="1547">
        <f>J41*P76+N7*P77</f>
        <v>81.701667777785545</v>
      </c>
      <c r="O42" s="1546">
        <f t="shared" si="27"/>
        <v>1.6899999999999997</v>
      </c>
      <c r="P42" s="557"/>
      <c r="Q42" s="563"/>
      <c r="R42"/>
      <c r="S42" s="587"/>
      <c r="T42" s="2072" t="s">
        <v>1249</v>
      </c>
      <c r="U42" s="2073"/>
      <c r="V42" s="1178">
        <f>V32</f>
        <v>10</v>
      </c>
      <c r="W42" s="276">
        <f>V42</f>
        <v>10</v>
      </c>
      <c r="X42" s="190"/>
      <c r="Y42" s="190"/>
      <c r="Z42" s="190"/>
      <c r="AA42" s="190"/>
      <c r="AB42" s="190"/>
      <c r="AC42" s="190"/>
      <c r="AD42" s="190"/>
      <c r="AE42" s="190"/>
      <c r="AF42" s="190"/>
      <c r="AG42" s="190"/>
      <c r="AH42" s="190"/>
      <c r="AI42" s="190"/>
      <c r="AJ42" s="190"/>
      <c r="AK42" s="190"/>
      <c r="AL42" s="190"/>
      <c r="AM42" s="190"/>
      <c r="AN42" s="190"/>
      <c r="AO42" s="190"/>
      <c r="AP42" s="190"/>
      <c r="AQ42" s="190"/>
      <c r="AR42" s="608"/>
    </row>
    <row r="43" ht="25.5" customHeight="true" x14ac:dyDescent="0.35">
      <c r="B43" s="726"/>
      <c r="C43" s="557"/>
      <c r="D43" s="557"/>
      <c r="E43" s="650"/>
      <c r="F43" s="557"/>
      <c r="G43" s="557"/>
      <c r="H43" s="2095" t="s">
        <v>1422</v>
      </c>
      <c r="I43" s="2096"/>
      <c r="J43" s="239">
        <f>'VII. Economic'!G64/1000000</f>
        <v>29.711389233842521</v>
      </c>
      <c r="K43" s="1532">
        <f t="shared" si="25"/>
        <v>0.61458045069242051</v>
      </c>
      <c r="L43" s="1533">
        <f>J41*M52</f>
        <v>4.8344182117032872</v>
      </c>
      <c r="M43" s="1532">
        <f t="shared" si="26"/>
        <v>0.1</v>
      </c>
      <c r="N43" s="1547">
        <f>J41*P52</f>
        <v>38.675345693626298</v>
      </c>
      <c r="O43" s="1546">
        <f t="shared" si="27"/>
        <v>0.8</v>
      </c>
      <c r="P43" s="557"/>
      <c r="Q43" s="563"/>
      <c r="R43"/>
      <c r="S43" s="587"/>
      <c r="T43" s="1866" t="s">
        <v>1436</v>
      </c>
      <c r="U43" s="1867"/>
      <c r="V43" s="1168">
        <f>L9</f>
        <v>0</v>
      </c>
      <c r="W43" s="1268">
        <f>N9</f>
        <v>0</v>
      </c>
      <c r="X43" s="371"/>
      <c r="Y43" s="628"/>
      <c r="Z43" s="2070" t="s">
        <v>73</v>
      </c>
      <c r="AA43" s="2071"/>
      <c r="AB43" s="190"/>
      <c r="AC43" s="190"/>
      <c r="AD43" s="190"/>
      <c r="AE43" s="190"/>
      <c r="AF43" s="190"/>
      <c r="AG43" s="190"/>
      <c r="AH43" s="190"/>
      <c r="AI43" s="190"/>
      <c r="AJ43" s="190"/>
      <c r="AK43" s="190"/>
      <c r="AL43" s="190"/>
      <c r="AM43" s="190"/>
      <c r="AN43" s="190"/>
      <c r="AO43" s="190"/>
      <c r="AP43" s="190"/>
      <c r="AQ43" s="190"/>
      <c r="AR43" s="608"/>
    </row>
    <row r="44" ht="34.5" customHeight="true" x14ac:dyDescent="0.35">
      <c r="B44" s="726"/>
      <c r="C44" s="557"/>
      <c r="D44" s="557"/>
      <c r="E44" s="650"/>
      <c r="F44" s="557"/>
      <c r="G44" s="557"/>
      <c r="H44" s="2095" t="s">
        <v>1423</v>
      </c>
      <c r="I44" s="2096"/>
      <c r="J44" s="239">
        <f>'VII. Economic'!G62/1000000</f>
        <v>0</v>
      </c>
      <c r="K44" s="1532">
        <f t="shared" si="25"/>
        <v>0</v>
      </c>
      <c r="L44" s="1533">
        <f>J41*M55</f>
        <v>4.8344182117032872</v>
      </c>
      <c r="M44" s="1532">
        <f t="shared" si="26"/>
        <v>0.1</v>
      </c>
      <c r="N44" s="1547">
        <f>J41*P55</f>
        <v>9.6688364234065745</v>
      </c>
      <c r="O44" s="1546">
        <f t="shared" si="27"/>
        <v>0.2</v>
      </c>
      <c r="P44" s="557"/>
      <c r="Q44" s="563"/>
      <c r="R44"/>
      <c r="S44" s="587"/>
      <c r="T44" s="1866" t="s">
        <v>2375</v>
      </c>
      <c r="U44" s="1867"/>
      <c r="V44" s="1168">
        <f>L42</f>
        <v>18.370789204472494</v>
      </c>
      <c r="W44" s="1268">
        <f>N42</f>
        <v>81.701667777785545</v>
      </c>
      <c r="X44" s="190"/>
      <c r="Y44" s="285" t="s">
        <v>1238</v>
      </c>
      <c r="Z44" s="2066" t="s">
        <v>1434</v>
      </c>
      <c r="AA44" s="2067"/>
      <c r="AB44" s="190"/>
      <c r="AC44" s="190"/>
      <c r="AD44" s="190"/>
      <c r="AE44" s="190"/>
      <c r="AF44" s="190"/>
      <c r="AG44" s="190"/>
      <c r="AH44" s="190"/>
      <c r="AI44" s="190"/>
      <c r="AJ44" s="190"/>
      <c r="AK44" s="190"/>
      <c r="AL44" s="190"/>
      <c r="AM44" s="190"/>
      <c r="AN44" s="190"/>
      <c r="AO44" s="190"/>
      <c r="AP44" s="190"/>
      <c r="AQ44" s="190"/>
      <c r="AR44" s="608"/>
    </row>
    <row r="45" ht="25.5" customHeight="true" x14ac:dyDescent="0.35">
      <c r="B45" s="726"/>
      <c r="C45" s="557"/>
      <c r="D45" s="557"/>
      <c r="E45" s="650"/>
      <c r="F45" s="557"/>
      <c r="G45" s="557"/>
      <c r="H45" s="2095" t="s">
        <v>1424</v>
      </c>
      <c r="I45" s="2096"/>
      <c r="J45" s="239">
        <f>'VII. Economic'!G63/1000000</f>
        <v>0</v>
      </c>
      <c r="K45" s="1532">
        <f t="shared" si="25"/>
        <v>0</v>
      </c>
      <c r="L45" s="1533">
        <f>L41*M55</f>
        <v>2.5622416522027427</v>
      </c>
      <c r="M45" s="1532">
        <f t="shared" si="26"/>
        <v>5.3000000000000012E-2</v>
      </c>
      <c r="N45" s="1547">
        <f>N41*P55</f>
        <v>18.757542661408756</v>
      </c>
      <c r="O45" s="1546">
        <f t="shared" si="27"/>
        <v>0.38800000000000001</v>
      </c>
      <c r="P45" s="557"/>
      <c r="Q45" s="563"/>
      <c r="R45"/>
      <c r="S45" s="587"/>
      <c r="T45" s="1866" t="s">
        <v>1246</v>
      </c>
      <c r="U45" s="1867"/>
      <c r="V45" s="1168">
        <f>V12</f>
        <v>0.1</v>
      </c>
      <c r="W45" s="1268">
        <f>V25</f>
        <v>0.1</v>
      </c>
      <c r="X45" s="190"/>
      <c r="Y45" s="1548">
        <f>Y28</f>
        <v>0</v>
      </c>
      <c r="Z45" s="2066">
        <f>AE9-AA9</f>
        <v>0</v>
      </c>
      <c r="AA45" s="2067"/>
      <c r="AB45" s="190"/>
      <c r="AC45" s="190"/>
      <c r="AD45" s="190"/>
      <c r="AE45" s="190"/>
      <c r="AF45" s="190"/>
      <c r="AG45" s="190"/>
      <c r="AH45" s="190"/>
      <c r="AI45" s="190"/>
      <c r="AJ45" s="190"/>
      <c r="AK45" s="190"/>
      <c r="AL45" s="190"/>
      <c r="AM45" s="190"/>
      <c r="AN45" s="190"/>
      <c r="AO45" s="190"/>
      <c r="AP45" s="190"/>
      <c r="AQ45" s="190"/>
      <c r="AR45" s="608"/>
    </row>
    <row r="46" ht="25.5" customHeight="true" thickBot="true" x14ac:dyDescent="0.4">
      <c r="B46" s="726"/>
      <c r="C46" s="557"/>
      <c r="D46" s="557"/>
      <c r="E46" s="650"/>
      <c r="F46" s="557"/>
      <c r="G46" s="557"/>
      <c r="H46" s="2097" t="s">
        <v>1425</v>
      </c>
      <c r="I46" s="2098"/>
      <c r="J46" s="467">
        <f>'VII. Economic'!G68/1000000</f>
        <v>0.7803431999999999</v>
      </c>
      <c r="K46" s="1549">
        <f t="shared" si="25"/>
        <v>1.6141408662389292E-2</v>
      </c>
      <c r="L46" s="1550">
        <f>L41*M53</f>
        <v>2.5622416522027427</v>
      </c>
      <c r="M46" s="1532">
        <f t="shared" si="26"/>
        <v>5.3000000000000012E-2</v>
      </c>
      <c r="N46" s="1551">
        <f>N41*P53</f>
        <v>18.757542661408756</v>
      </c>
      <c r="O46" s="1546">
        <f t="shared" si="27"/>
        <v>0.38800000000000001</v>
      </c>
      <c r="P46" s="557"/>
      <c r="Q46" s="563"/>
      <c r="R46"/>
      <c r="S46" s="587"/>
      <c r="T46" s="1866" t="s">
        <v>1437</v>
      </c>
      <c r="U46" s="1867"/>
      <c r="V46" s="1168">
        <f>V43*((V45*(1+V45)^V42)/((1+V45)^V42-1))</f>
        <v>0</v>
      </c>
      <c r="W46" s="1377">
        <f>W43*((W45*(1+W45)^W42)/((1+W45)^W42-1))</f>
        <v>0</v>
      </c>
      <c r="X46" s="190"/>
      <c r="Y46" s="1548">
        <f t="shared" ref="Y46:Y56" si="28">Y29</f>
        <v>1</v>
      </c>
      <c r="Z46" s="2066">
        <f t="shared" ref="Z46:Z56" si="29">AE10-AA10</f>
        <v>0</v>
      </c>
      <c r="AA46" s="2067"/>
      <c r="AB46" s="190"/>
      <c r="AC46" s="190"/>
      <c r="AD46" s="190"/>
      <c r="AE46" s="190"/>
      <c r="AF46" s="190"/>
      <c r="AG46" s="190"/>
      <c r="AH46" s="190"/>
      <c r="AI46" s="190"/>
      <c r="AJ46" s="190"/>
      <c r="AK46" s="190"/>
      <c r="AL46" s="190"/>
      <c r="AM46" s="190"/>
      <c r="AN46" s="190"/>
      <c r="AO46" s="190"/>
      <c r="AP46" s="190"/>
      <c r="AQ46" s="190"/>
      <c r="AR46" s="608"/>
    </row>
    <row r="47" ht="25.5" customHeight="true" x14ac:dyDescent="0.3">
      <c r="B47" s="726"/>
      <c r="C47" s="557"/>
      <c r="D47" s="557"/>
      <c r="E47" s="650"/>
      <c r="F47" s="557"/>
      <c r="G47" s="557"/>
      <c r="H47" s="557"/>
      <c r="I47" s="557"/>
      <c r="J47" s="557"/>
      <c r="K47" s="557"/>
      <c r="L47" s="543"/>
      <c r="M47" s="557"/>
      <c r="N47" s="543"/>
      <c r="O47" s="557"/>
      <c r="P47" s="557"/>
      <c r="Q47" s="563"/>
      <c r="R47"/>
      <c r="S47" s="587"/>
      <c r="T47" s="2142" t="s">
        <v>2376</v>
      </c>
      <c r="U47" s="1867"/>
      <c r="V47" s="1168">
        <f>V44+V46</f>
        <v>18.370789204472494</v>
      </c>
      <c r="W47" s="1377">
        <f>W44+W46</f>
        <v>81.701667777785545</v>
      </c>
      <c r="X47" s="190"/>
      <c r="Y47" s="1548">
        <f t="shared" si="28"/>
        <v>2</v>
      </c>
      <c r="Z47" s="2066">
        <f t="shared" si="29"/>
        <v>14.827074738721803</v>
      </c>
      <c r="AA47" s="2067"/>
      <c r="AB47" s="190"/>
      <c r="AC47" s="190"/>
      <c r="AD47" s="190"/>
      <c r="AE47" s="190"/>
      <c r="AF47" s="190"/>
      <c r="AG47" s="190"/>
      <c r="AH47" s="190"/>
      <c r="AI47" s="190"/>
      <c r="AJ47" s="190"/>
      <c r="AK47" s="190"/>
      <c r="AL47" s="190"/>
      <c r="AM47" s="190"/>
      <c r="AN47" s="190"/>
      <c r="AO47" s="190"/>
      <c r="AP47" s="190"/>
      <c r="AQ47" s="190"/>
      <c r="AR47" s="608"/>
    </row>
    <row r="48" ht="33" customHeight="true" thickBot="true" x14ac:dyDescent="0.45">
      <c r="C48" s="657"/>
      <c r="D48" s="658"/>
      <c r="E48" s="658"/>
      <c r="F48" s="658"/>
      <c r="G48" s="658"/>
      <c r="H48" s="658"/>
      <c r="I48" s="658"/>
      <c r="J48" s="658"/>
      <c r="K48" s="557"/>
      <c r="L48" s="543"/>
      <c r="M48" s="557"/>
      <c r="N48" s="543"/>
      <c r="O48" s="557"/>
      <c r="P48" s="557"/>
      <c r="Q48" s="563"/>
      <c r="R48"/>
      <c r="S48" s="587"/>
      <c r="T48" s="1866" t="s">
        <v>2377</v>
      </c>
      <c r="U48" s="1867"/>
      <c r="V48" s="1168">
        <f>AE11</f>
        <v>14.827074738721803</v>
      </c>
      <c r="W48" s="1377">
        <f>AE30</f>
        <v>-29.504540262597327</v>
      </c>
      <c r="X48" s="190"/>
      <c r="Y48" s="1548">
        <f t="shared" si="28"/>
        <v>3</v>
      </c>
      <c r="Z48" s="2066">
        <f t="shared" si="29"/>
        <v>14.827074738721803</v>
      </c>
      <c r="AA48" s="2067"/>
      <c r="AB48" s="190"/>
      <c r="AC48" s="190"/>
      <c r="AD48" s="190"/>
      <c r="AE48" s="190"/>
      <c r="AF48" s="190"/>
      <c r="AG48" s="190"/>
      <c r="AH48" s="190"/>
      <c r="AI48" s="190"/>
      <c r="AJ48" s="190"/>
      <c r="AK48" s="190"/>
      <c r="AL48" s="190"/>
      <c r="AM48" s="190"/>
      <c r="AN48" s="190"/>
      <c r="AO48" s="190"/>
      <c r="AP48" s="190"/>
      <c r="AQ48" s="190"/>
      <c r="AR48" s="608"/>
    </row>
    <row r="49" ht="33" customHeight="true" thickBot="true" x14ac:dyDescent="0.35">
      <c r="C49" s="656"/>
      <c r="D49" s="557"/>
      <c r="E49" s="650"/>
      <c r="F49" s="557"/>
      <c r="G49" s="557"/>
      <c r="H49" s="557"/>
      <c r="I49" s="557"/>
      <c r="J49" s="557"/>
      <c r="K49" s="2111" t="s">
        <v>73</v>
      </c>
      <c r="L49" s="2112"/>
      <c r="M49" s="2112"/>
      <c r="N49" s="2111" t="s">
        <v>74</v>
      </c>
      <c r="O49" s="2112"/>
      <c r="P49" s="2113"/>
      <c r="Q49" s="561"/>
      <c r="R49" s="538"/>
      <c r="S49" s="638"/>
      <c r="T49" s="2004" t="s">
        <v>2378</v>
      </c>
      <c r="U49" s="2005"/>
      <c r="V49" s="1210">
        <f>V48-V46</f>
        <v>14.827074738721803</v>
      </c>
      <c r="W49" s="1270">
        <f>W48-W46</f>
        <v>-29.504540262597327</v>
      </c>
      <c r="X49" s="190"/>
      <c r="Y49" s="1548">
        <f t="shared" si="28"/>
        <v>4</v>
      </c>
      <c r="Z49" s="2066">
        <f t="shared" si="29"/>
        <v>14.827074738721803</v>
      </c>
      <c r="AA49" s="2067"/>
      <c r="AB49" s="190"/>
      <c r="AC49" s="190"/>
      <c r="AD49" s="190"/>
      <c r="AE49" s="190"/>
      <c r="AF49" s="190"/>
      <c r="AG49" s="190"/>
      <c r="AH49" s="190"/>
      <c r="AI49" s="190"/>
      <c r="AJ49" s="190"/>
      <c r="AK49" s="190"/>
      <c r="AL49" s="190"/>
      <c r="AM49" s="190"/>
      <c r="AN49" s="190"/>
      <c r="AO49" s="190"/>
      <c r="AP49" s="190"/>
      <c r="AQ49" s="190"/>
      <c r="AR49" s="608"/>
    </row>
    <row r="50" x14ac:dyDescent="0.3">
      <c r="C50" s="656"/>
      <c r="D50" s="557"/>
      <c r="E50" s="2120" t="s">
        <v>1342</v>
      </c>
      <c r="F50" s="2099" t="s">
        <v>1122</v>
      </c>
      <c r="G50" s="2099"/>
      <c r="H50" s="2099"/>
      <c r="I50" s="2099"/>
      <c r="J50" s="554" t="s">
        <v>1408</v>
      </c>
      <c r="K50" s="555"/>
      <c r="L50" s="543"/>
      <c r="M50" s="1205" t="s">
        <v>1410</v>
      </c>
      <c r="N50" s="555"/>
      <c r="O50" s="543"/>
      <c r="P50" s="545" t="s">
        <v>1410</v>
      </c>
      <c r="Q50" s="562"/>
      <c r="R50" s="539"/>
      <c r="S50" s="639"/>
      <c r="T50" s="195"/>
      <c r="U50" s="190"/>
      <c r="V50" s="611"/>
      <c r="W50" s="190"/>
      <c r="X50" s="190"/>
      <c r="Y50" s="1548">
        <f t="shared" si="28"/>
        <v>5</v>
      </c>
      <c r="Z50" s="2066">
        <f t="shared" si="29"/>
        <v>14.827074738721803</v>
      </c>
      <c r="AA50" s="2067"/>
      <c r="AB50" s="190"/>
      <c r="AC50" s="190"/>
      <c r="AD50" s="190"/>
      <c r="AE50" s="190"/>
      <c r="AF50" s="190"/>
      <c r="AG50" s="190"/>
      <c r="AH50" s="190"/>
      <c r="AI50" s="190"/>
      <c r="AJ50" s="190"/>
      <c r="AK50" s="190"/>
      <c r="AL50" s="190"/>
      <c r="AM50" s="190"/>
      <c r="AN50" s="190"/>
      <c r="AO50" s="190"/>
      <c r="AP50" s="190"/>
      <c r="AQ50" s="190"/>
      <c r="AR50" s="608"/>
    </row>
    <row r="51" x14ac:dyDescent="0.3">
      <c r="C51" s="656"/>
      <c r="D51" s="557"/>
      <c r="E51" s="2121"/>
      <c r="F51" s="2093" t="s">
        <v>1343</v>
      </c>
      <c r="G51" s="404"/>
      <c r="H51" s="2101" t="s">
        <v>1377</v>
      </c>
      <c r="I51" s="2102"/>
      <c r="J51" s="1202"/>
      <c r="K51" s="1138">
        <v>0.66</v>
      </c>
      <c r="L51" s="549" t="s">
        <v>1119</v>
      </c>
      <c r="M51" s="1552">
        <f>K51</f>
        <v>0.66</v>
      </c>
      <c r="N51" s="1138"/>
      <c r="O51" s="549"/>
      <c r="P51" s="556"/>
      <c r="Q51" s="563"/>
      <c r="R51"/>
      <c r="S51" s="587"/>
      <c r="T51" s="195"/>
      <c r="U51" s="190"/>
      <c r="V51" s="611"/>
      <c r="W51" s="190"/>
      <c r="X51" s="190"/>
      <c r="Y51" s="1548">
        <f t="shared" si="28"/>
        <v>6</v>
      </c>
      <c r="Z51" s="2066">
        <f t="shared" si="29"/>
        <v>14.827074738721803</v>
      </c>
      <c r="AA51" s="2067"/>
      <c r="AB51" s="190"/>
      <c r="AC51" s="190"/>
      <c r="AD51" s="190"/>
      <c r="AE51" s="190"/>
      <c r="AF51" s="190"/>
      <c r="AG51" s="190"/>
      <c r="AH51" s="190"/>
      <c r="AI51" s="190"/>
      <c r="AJ51" s="190"/>
      <c r="AK51" s="190"/>
      <c r="AL51" s="190"/>
      <c r="AM51" s="190"/>
      <c r="AN51" s="190"/>
      <c r="AO51" s="190"/>
      <c r="AP51" s="190"/>
      <c r="AQ51" s="190"/>
      <c r="AR51" s="608"/>
    </row>
    <row r="52" x14ac:dyDescent="0.3">
      <c r="C52" s="656"/>
      <c r="D52" s="557"/>
      <c r="E52" s="2121"/>
      <c r="F52" s="2093"/>
      <c r="G52" s="404" t="s">
        <v>1344</v>
      </c>
      <c r="H52" s="2101" t="s">
        <v>1378</v>
      </c>
      <c r="I52" s="2102"/>
      <c r="J52" s="1202"/>
      <c r="K52" s="1138">
        <v>0.1</v>
      </c>
      <c r="L52" s="549" t="s">
        <v>1119</v>
      </c>
      <c r="M52" s="1015">
        <f>K52</f>
        <v>0.1</v>
      </c>
      <c r="N52" s="1138">
        <v>0.8</v>
      </c>
      <c r="O52" s="549" t="s">
        <v>1119</v>
      </c>
      <c r="P52" s="1014">
        <f>N52</f>
        <v>0.8</v>
      </c>
      <c r="Q52" s="564"/>
      <c r="R52" s="537"/>
      <c r="S52" s="640"/>
      <c r="T52" s="195"/>
      <c r="U52" s="190"/>
      <c r="V52" s="611"/>
      <c r="W52" s="190"/>
      <c r="X52" s="190"/>
      <c r="Y52" s="1548">
        <f t="shared" si="28"/>
        <v>7</v>
      </c>
      <c r="Z52" s="2066">
        <f t="shared" si="29"/>
        <v>14.827074738721803</v>
      </c>
      <c r="AA52" s="2067"/>
      <c r="AB52" s="190"/>
      <c r="AC52" s="190"/>
      <c r="AD52" s="190"/>
      <c r="AE52" s="190"/>
      <c r="AF52" s="190"/>
      <c r="AG52" s="190"/>
      <c r="AH52" s="190"/>
      <c r="AI52" s="190"/>
      <c r="AJ52" s="190"/>
      <c r="AK52" s="190"/>
      <c r="AL52" s="190"/>
      <c r="AM52" s="190"/>
      <c r="AN52" s="190"/>
      <c r="AO52" s="190"/>
      <c r="AP52" s="190"/>
      <c r="AQ52" s="190"/>
      <c r="AR52" s="608"/>
    </row>
    <row r="53" x14ac:dyDescent="0.3">
      <c r="C53" s="656"/>
      <c r="D53" s="557"/>
      <c r="E53" s="2121"/>
      <c r="F53" s="2093"/>
      <c r="G53" s="404" t="s">
        <v>1345</v>
      </c>
      <c r="H53" s="2101" t="s">
        <v>1381</v>
      </c>
      <c r="I53" s="2102"/>
      <c r="J53" s="1202"/>
      <c r="K53" s="1138">
        <v>0.1</v>
      </c>
      <c r="L53" s="549" t="s">
        <v>1119</v>
      </c>
      <c r="M53" s="1015">
        <f>K53</f>
        <v>0.1</v>
      </c>
      <c r="N53" s="1138">
        <v>0.2</v>
      </c>
      <c r="O53" s="549" t="s">
        <v>1119</v>
      </c>
      <c r="P53" s="1014">
        <f>N53</f>
        <v>0.2</v>
      </c>
      <c r="Q53" s="564"/>
      <c r="R53" s="537"/>
      <c r="S53" s="640"/>
      <c r="T53" s="190"/>
      <c r="U53" s="190"/>
      <c r="V53" s="570"/>
      <c r="W53" s="190"/>
      <c r="X53" s="190"/>
      <c r="Y53" s="1548">
        <f t="shared" si="28"/>
        <v>8</v>
      </c>
      <c r="Z53" s="2066">
        <f t="shared" si="29"/>
        <v>14.827074738721803</v>
      </c>
      <c r="AA53" s="2067"/>
      <c r="AB53" s="190"/>
      <c r="AC53" s="190"/>
      <c r="AD53" s="190"/>
      <c r="AE53" s="190"/>
      <c r="AF53" s="190"/>
      <c r="AG53" s="190"/>
      <c r="AH53" s="190"/>
      <c r="AI53" s="190"/>
      <c r="AJ53" s="190"/>
      <c r="AK53" s="190"/>
      <c r="AL53" s="190"/>
      <c r="AM53" s="190"/>
      <c r="AN53" s="190"/>
      <c r="AO53" s="190"/>
      <c r="AP53" s="190"/>
      <c r="AQ53" s="190"/>
      <c r="AR53" s="608"/>
    </row>
    <row r="54" ht="27" customHeight="true" thickBot="true" x14ac:dyDescent="0.35">
      <c r="C54" s="656"/>
      <c r="D54" s="557"/>
      <c r="E54" s="2121"/>
      <c r="F54" s="2093"/>
      <c r="G54" s="404" t="s">
        <v>1346</v>
      </c>
      <c r="H54" s="2101" t="s">
        <v>1379</v>
      </c>
      <c r="I54" s="2102"/>
      <c r="J54" s="1202"/>
      <c r="K54" s="1138">
        <v>0.1</v>
      </c>
      <c r="L54" s="549" t="s">
        <v>1380</v>
      </c>
      <c r="M54" s="1015">
        <f>K53*K54</f>
        <v>1.0000000000000002E-2</v>
      </c>
      <c r="N54" s="1138">
        <v>0.2</v>
      </c>
      <c r="O54" s="549" t="s">
        <v>1380</v>
      </c>
      <c r="P54" s="1014">
        <f>N53*N54</f>
        <v>4.0000000000000008E-2</v>
      </c>
      <c r="Q54" s="564"/>
      <c r="R54" s="537"/>
      <c r="S54" s="640"/>
      <c r="T54" s="2105" t="s">
        <v>2380</v>
      </c>
      <c r="U54" s="2105"/>
      <c r="V54" s="1203"/>
      <c r="W54" s="626"/>
      <c r="X54" s="190"/>
      <c r="Y54" s="1548">
        <f t="shared" si="28"/>
        <v>9</v>
      </c>
      <c r="Z54" s="2066">
        <f t="shared" si="29"/>
        <v>14.827074738721803</v>
      </c>
      <c r="AA54" s="2067"/>
      <c r="AB54" s="190"/>
      <c r="AC54" s="190"/>
      <c r="AD54" s="190"/>
      <c r="AE54" s="190"/>
      <c r="AF54" s="190"/>
      <c r="AG54" s="190"/>
      <c r="AH54" s="190"/>
      <c r="AI54" s="190"/>
      <c r="AJ54" s="190"/>
      <c r="AK54" s="190"/>
      <c r="AL54" s="190"/>
      <c r="AM54" s="190"/>
      <c r="AN54" s="190"/>
      <c r="AO54" s="190"/>
      <c r="AP54" s="190"/>
      <c r="AQ54" s="190"/>
      <c r="AR54" s="608"/>
    </row>
    <row r="55" ht="30" customHeight="true" x14ac:dyDescent="0.3">
      <c r="C55" s="656"/>
      <c r="D55" s="557"/>
      <c r="E55" s="2121"/>
      <c r="F55" s="2093"/>
      <c r="G55" s="404" t="s">
        <v>1348</v>
      </c>
      <c r="H55" s="2101" t="s">
        <v>1382</v>
      </c>
      <c r="I55" s="2102"/>
      <c r="J55" s="1202"/>
      <c r="K55" s="1138">
        <v>0.1</v>
      </c>
      <c r="L55" s="549" t="s">
        <v>1119</v>
      </c>
      <c r="M55" s="1015">
        <f>K55</f>
        <v>0.1</v>
      </c>
      <c r="N55" s="1138">
        <v>0.2</v>
      </c>
      <c r="O55" s="549" t="s">
        <v>1119</v>
      </c>
      <c r="P55" s="1014">
        <f>N55</f>
        <v>0.2</v>
      </c>
      <c r="Q55" s="564"/>
      <c r="R55" s="537"/>
      <c r="S55" s="640"/>
      <c r="T55" s="567"/>
      <c r="U55" s="1199" t="s">
        <v>1440</v>
      </c>
      <c r="V55" s="629" t="s">
        <v>1441</v>
      </c>
      <c r="W55" s="190"/>
      <c r="X55" s="190"/>
      <c r="Y55" s="1548">
        <f t="shared" si="28"/>
        <v>10</v>
      </c>
      <c r="Z55" s="2066">
        <f t="shared" si="29"/>
        <v>14.827074738721803</v>
      </c>
      <c r="AA55" s="2067"/>
      <c r="AB55" s="190"/>
      <c r="AC55" s="190"/>
      <c r="AD55" s="190"/>
      <c r="AE55" s="190"/>
      <c r="AF55" s="190"/>
      <c r="AG55" s="190"/>
      <c r="AH55" s="190"/>
      <c r="AI55" s="190"/>
      <c r="AJ55" s="190"/>
      <c r="AK55" s="190"/>
      <c r="AL55" s="190"/>
      <c r="AM55" s="190"/>
      <c r="AN55" s="190"/>
      <c r="AO55" s="190"/>
      <c r="AP55" s="190"/>
      <c r="AQ55" s="190"/>
      <c r="AR55" s="608"/>
    </row>
    <row r="56" ht="33.75" customHeight="true" thickBot="true" x14ac:dyDescent="0.35">
      <c r="C56" s="656"/>
      <c r="D56" s="557"/>
      <c r="E56" s="2121"/>
      <c r="F56" s="2093"/>
      <c r="G56" s="404" t="s">
        <v>1351</v>
      </c>
      <c r="H56" s="2101" t="s">
        <v>1385</v>
      </c>
      <c r="I56" s="2102"/>
      <c r="J56" s="1202"/>
      <c r="K56" s="1138">
        <v>0.02</v>
      </c>
      <c r="L56" s="549" t="s">
        <v>1336</v>
      </c>
      <c r="M56" s="1015">
        <f>K56</f>
        <v>0.02</v>
      </c>
      <c r="N56" s="1138">
        <v>0.1</v>
      </c>
      <c r="O56" s="549" t="s">
        <v>1336</v>
      </c>
      <c r="P56" s="1014">
        <f>N56</f>
        <v>0.1</v>
      </c>
      <c r="Q56" s="564"/>
      <c r="R56" s="537"/>
      <c r="S56" s="640"/>
      <c r="T56" s="1172" t="s">
        <v>1439</v>
      </c>
      <c r="U56" s="1171">
        <f>'VI. Energy'!L6/1000*8766</f>
        <v>43102020.882891089</v>
      </c>
      <c r="V56" s="1245">
        <f>'VI. Energy'!N6/1000*8766</f>
        <v>431020208.82891089</v>
      </c>
      <c r="W56" s="190"/>
      <c r="X56" s="190"/>
      <c r="Y56" s="1553">
        <f t="shared" si="28"/>
        <v>11</v>
      </c>
      <c r="Z56" s="2068">
        <f t="shared" si="29"/>
        <v>14.827074738721803</v>
      </c>
      <c r="AA56" s="2069"/>
      <c r="AB56" s="190"/>
      <c r="AC56" s="190"/>
      <c r="AD56" s="190"/>
      <c r="AE56" s="190"/>
      <c r="AF56" s="190"/>
      <c r="AG56" s="190"/>
      <c r="AH56" s="190"/>
      <c r="AI56" s="190"/>
      <c r="AJ56" s="190"/>
      <c r="AK56" s="190"/>
      <c r="AL56" s="190"/>
      <c r="AM56" s="190"/>
      <c r="AN56" s="190"/>
      <c r="AO56" s="190"/>
      <c r="AP56" s="190"/>
      <c r="AQ56" s="190"/>
      <c r="AR56" s="608"/>
    </row>
    <row r="57" ht="30" customHeight="true" x14ac:dyDescent="0.25">
      <c r="C57" s="656"/>
      <c r="D57" s="557"/>
      <c r="E57" s="2121"/>
      <c r="F57" s="2093"/>
      <c r="G57" s="407" t="s">
        <v>1383</v>
      </c>
      <c r="H57" s="2139" t="s">
        <v>1384</v>
      </c>
      <c r="I57" s="2140"/>
      <c r="J57" s="1202"/>
      <c r="K57" s="1138">
        <v>5.0000000000000001E-3</v>
      </c>
      <c r="L57" s="549" t="s">
        <v>1336</v>
      </c>
      <c r="M57" s="1015">
        <f>K57</f>
        <v>5.0000000000000001E-3</v>
      </c>
      <c r="N57" s="1138">
        <v>0.01</v>
      </c>
      <c r="O57" s="549" t="s">
        <v>1336</v>
      </c>
      <c r="P57" s="1014">
        <f>N57</f>
        <v>0.01</v>
      </c>
      <c r="Q57" s="564"/>
      <c r="R57" s="537"/>
      <c r="S57" s="640"/>
      <c r="T57" s="1170" t="s">
        <v>1800</v>
      </c>
      <c r="U57" s="1171">
        <f>'III. Utility Data'!H25</f>
        <v>1.72</v>
      </c>
      <c r="V57" s="1245">
        <f>'III. Utility Data'!H16</f>
        <v>16.8</v>
      </c>
      <c r="W57" s="190"/>
      <c r="X57" s="190"/>
      <c r="Y57" s="190"/>
      <c r="Z57" s="190"/>
      <c r="AA57" s="190"/>
      <c r="AB57" s="190"/>
      <c r="AC57" s="190"/>
      <c r="AD57" s="190"/>
      <c r="AE57" s="190"/>
      <c r="AF57" s="190"/>
      <c r="AG57" s="190"/>
      <c r="AH57" s="190"/>
      <c r="AI57" s="190"/>
      <c r="AJ57" s="190"/>
      <c r="AK57" s="190"/>
      <c r="AL57" s="190"/>
      <c r="AM57" s="190"/>
      <c r="AN57" s="190"/>
      <c r="AO57" s="190"/>
      <c r="AP57" s="190"/>
      <c r="AQ57" s="190"/>
      <c r="AR57" s="608"/>
    </row>
    <row r="58" ht="33" customHeight="true" thickBot="true" x14ac:dyDescent="0.35">
      <c r="C58" s="656"/>
      <c r="D58" s="557"/>
      <c r="E58" s="2121"/>
      <c r="F58" s="2093"/>
      <c r="G58" s="404" t="s">
        <v>1386</v>
      </c>
      <c r="H58" s="2103" t="s">
        <v>1387</v>
      </c>
      <c r="I58" s="2104"/>
      <c r="J58" s="1202"/>
      <c r="K58" s="1138">
        <v>0.1</v>
      </c>
      <c r="L58" s="549" t="s">
        <v>1380</v>
      </c>
      <c r="M58" s="1015">
        <f>K58*K53</f>
        <v>1.0000000000000002E-2</v>
      </c>
      <c r="N58" s="1138">
        <v>0.2</v>
      </c>
      <c r="O58" s="549" t="s">
        <v>1380</v>
      </c>
      <c r="P58" s="1014">
        <f>N58*N53</f>
        <v>4.0000000000000008E-2</v>
      </c>
      <c r="Q58" s="564"/>
      <c r="R58" s="537"/>
      <c r="S58" s="587"/>
      <c r="T58" s="344" t="s">
        <v>2379</v>
      </c>
      <c r="U58" s="1249">
        <f>U56*U57/1000000</f>
        <v>74.135475918572666</v>
      </c>
      <c r="V58" s="1251">
        <f>V56*V57/1000000</f>
        <v>7241.1395083257039</v>
      </c>
      <c r="W58" s="190"/>
      <c r="X58" s="190"/>
      <c r="Y58" s="190"/>
      <c r="Z58" s="190"/>
      <c r="AA58" s="190"/>
      <c r="AB58" s="190"/>
      <c r="AC58" s="190"/>
      <c r="AD58" s="190"/>
      <c r="AE58" s="190"/>
      <c r="AF58" s="190"/>
      <c r="AG58" s="190"/>
      <c r="AH58" s="190"/>
      <c r="AI58" s="190"/>
      <c r="AJ58" s="190"/>
      <c r="AK58" s="190"/>
      <c r="AL58" s="190"/>
      <c r="AM58" s="190"/>
      <c r="AN58" s="190"/>
      <c r="AO58" s="190"/>
      <c r="AP58" s="190"/>
      <c r="AQ58" s="190"/>
      <c r="AR58" s="608"/>
    </row>
    <row r="59" ht="21" customHeight="true" x14ac:dyDescent="0.3">
      <c r="C59" s="656"/>
      <c r="D59" s="557"/>
      <c r="E59" s="2121"/>
      <c r="F59" s="2093"/>
      <c r="G59" s="404" t="s">
        <v>1388</v>
      </c>
      <c r="H59" s="2103" t="s">
        <v>1389</v>
      </c>
      <c r="I59" s="2104"/>
      <c r="J59" s="1202"/>
      <c r="K59" s="1138">
        <v>0</v>
      </c>
      <c r="L59" s="549" t="s">
        <v>1119</v>
      </c>
      <c r="M59" s="1015">
        <f>K59</f>
        <v>0</v>
      </c>
      <c r="N59" s="1138">
        <v>0.06</v>
      </c>
      <c r="O59" s="549" t="s">
        <v>1119</v>
      </c>
      <c r="P59" s="1014">
        <f>N59</f>
        <v>0.06</v>
      </c>
      <c r="Q59" s="564"/>
      <c r="R59" s="537"/>
      <c r="S59" s="635"/>
      <c r="T59" s="190"/>
      <c r="U59" s="631"/>
      <c r="V59" s="631"/>
      <c r="W59" s="190"/>
      <c r="X59" s="190"/>
      <c r="Y59" s="190"/>
      <c r="Z59" s="190"/>
      <c r="AA59" s="190"/>
      <c r="AB59" s="190"/>
      <c r="AC59" s="190"/>
      <c r="AD59" s="190"/>
      <c r="AE59" s="190"/>
      <c r="AF59" s="190"/>
      <c r="AG59" s="190"/>
      <c r="AH59" s="190"/>
      <c r="AI59" s="190"/>
      <c r="AJ59" s="190"/>
      <c r="AK59" s="190"/>
      <c r="AL59" s="190"/>
      <c r="AM59" s="190"/>
      <c r="AN59" s="190"/>
      <c r="AO59" s="190"/>
      <c r="AP59" s="190"/>
      <c r="AQ59" s="190"/>
      <c r="AR59" s="608"/>
    </row>
    <row r="60" ht="21" customHeight="true" x14ac:dyDescent="0.3">
      <c r="C60" s="656"/>
      <c r="D60" s="557"/>
      <c r="E60" s="2121"/>
      <c r="F60" s="2093" t="s">
        <v>1352</v>
      </c>
      <c r="G60" s="404"/>
      <c r="H60" s="2103" t="s">
        <v>1390</v>
      </c>
      <c r="I60" s="2104"/>
      <c r="J60" s="1202"/>
      <c r="K60" s="1138">
        <v>0.01</v>
      </c>
      <c r="L60" s="549" t="s">
        <v>1119</v>
      </c>
      <c r="M60" s="1015">
        <f>K60</f>
        <v>0.01</v>
      </c>
      <c r="N60" s="1138">
        <v>0.2</v>
      </c>
      <c r="O60" s="549" t="s">
        <v>1119</v>
      </c>
      <c r="P60" s="1014">
        <f>N60</f>
        <v>0.2</v>
      </c>
      <c r="Q60" s="564"/>
      <c r="R60" s="537"/>
      <c r="S60" s="640"/>
      <c r="T60" s="190"/>
      <c r="U60" s="190"/>
      <c r="V60" s="570"/>
      <c r="W60" s="190"/>
      <c r="X60" s="190"/>
      <c r="Y60" s="190"/>
      <c r="Z60" s="190"/>
      <c r="AA60" s="190"/>
      <c r="AB60" s="190"/>
      <c r="AC60" s="190"/>
      <c r="AD60" s="190"/>
      <c r="AE60" s="190"/>
      <c r="AF60" s="190"/>
      <c r="AG60" s="190"/>
      <c r="AH60" s="190"/>
      <c r="AI60" s="190"/>
      <c r="AJ60" s="190"/>
      <c r="AK60" s="190"/>
      <c r="AL60" s="190"/>
      <c r="AM60" s="190"/>
      <c r="AN60" s="190"/>
      <c r="AO60" s="190"/>
      <c r="AP60" s="190"/>
      <c r="AQ60" s="190"/>
      <c r="AR60" s="608"/>
    </row>
    <row r="61" ht="21" customHeight="true" x14ac:dyDescent="0.3">
      <c r="C61" s="656"/>
      <c r="D61" s="557"/>
      <c r="E61" s="2121"/>
      <c r="F61" s="2093"/>
      <c r="G61" s="404" t="s">
        <v>1391</v>
      </c>
      <c r="H61" s="2103" t="s">
        <v>1392</v>
      </c>
      <c r="I61" s="2104"/>
      <c r="J61" s="1202"/>
      <c r="K61" s="1138">
        <v>0.1</v>
      </c>
      <c r="L61" s="549" t="s">
        <v>1336</v>
      </c>
      <c r="M61" s="1015"/>
      <c r="N61" s="1138">
        <v>0.1</v>
      </c>
      <c r="O61" s="549" t="s">
        <v>1336</v>
      </c>
      <c r="P61" s="1014"/>
      <c r="Q61" s="563"/>
      <c r="R61"/>
      <c r="S61" s="587"/>
      <c r="T61" s="190"/>
      <c r="U61" s="190"/>
      <c r="V61" s="570"/>
      <c r="W61" s="190"/>
      <c r="X61" s="335"/>
      <c r="Y61" s="190"/>
      <c r="Z61" s="190"/>
      <c r="AA61" s="190"/>
      <c r="AB61" s="190"/>
      <c r="AC61" s="190"/>
      <c r="AD61" s="190"/>
      <c r="AE61" s="190"/>
      <c r="AF61" s="190"/>
      <c r="AG61" s="190"/>
      <c r="AH61" s="190"/>
      <c r="AI61" s="190"/>
      <c r="AJ61" s="190"/>
      <c r="AK61" s="190"/>
      <c r="AL61" s="190"/>
      <c r="AM61" s="190"/>
      <c r="AN61" s="190"/>
      <c r="AO61" s="190"/>
      <c r="AP61" s="190"/>
      <c r="AQ61" s="190"/>
      <c r="AR61" s="608"/>
    </row>
    <row r="62" ht="21" customHeight="true" x14ac:dyDescent="0.3">
      <c r="C62" s="656"/>
      <c r="D62" s="557"/>
      <c r="E62" s="2121"/>
      <c r="F62" s="2093"/>
      <c r="G62" s="404" t="s">
        <v>1394</v>
      </c>
      <c r="H62" s="2103" t="s">
        <v>1393</v>
      </c>
      <c r="I62" s="2104"/>
      <c r="J62" s="1202"/>
      <c r="K62" s="1138">
        <v>0.01</v>
      </c>
      <c r="L62" s="549" t="s">
        <v>1336</v>
      </c>
      <c r="M62" s="1015"/>
      <c r="N62" s="1138">
        <v>0.04</v>
      </c>
      <c r="O62" s="549" t="s">
        <v>1336</v>
      </c>
      <c r="P62" s="1014"/>
      <c r="Q62" s="563"/>
      <c r="R62"/>
      <c r="S62" s="587"/>
      <c r="T62" s="190"/>
      <c r="U62" s="190"/>
      <c r="V62" s="570"/>
      <c r="W62" s="190"/>
      <c r="X62" s="335"/>
      <c r="Y62" s="190"/>
      <c r="Z62" s="190"/>
      <c r="AA62" s="190"/>
      <c r="AB62" s="190"/>
      <c r="AC62" s="190"/>
      <c r="AD62" s="190"/>
      <c r="AE62" s="190"/>
      <c r="AF62" s="190"/>
      <c r="AG62" s="190"/>
      <c r="AH62" s="190"/>
      <c r="AI62" s="190"/>
      <c r="AJ62" s="190"/>
      <c r="AK62" s="190"/>
      <c r="AL62" s="190"/>
      <c r="AM62" s="190"/>
      <c r="AN62" s="190"/>
      <c r="AO62" s="190"/>
      <c r="AP62" s="190"/>
      <c r="AQ62" s="190"/>
      <c r="AR62" s="608"/>
    </row>
    <row r="63" ht="21" thickBot="true" x14ac:dyDescent="0.35">
      <c r="C63" s="656"/>
      <c r="D63" s="557"/>
      <c r="E63" s="2121"/>
      <c r="F63" s="2093"/>
      <c r="G63" s="404" t="s">
        <v>1395</v>
      </c>
      <c r="H63" s="2103" t="s">
        <v>1396</v>
      </c>
      <c r="I63" s="2104"/>
      <c r="J63" s="1202"/>
      <c r="K63" s="1138">
        <v>4.0000000000000001E-3</v>
      </c>
      <c r="L63" s="549" t="s">
        <v>1336</v>
      </c>
      <c r="M63" s="1015"/>
      <c r="N63" s="1138">
        <v>0.01</v>
      </c>
      <c r="O63" s="549" t="s">
        <v>1336</v>
      </c>
      <c r="P63" s="1014"/>
      <c r="Q63" s="563"/>
      <c r="R63"/>
      <c r="S63" s="587"/>
      <c r="T63" s="2105" t="s">
        <v>1317</v>
      </c>
      <c r="U63" s="2105"/>
      <c r="V63" s="570"/>
      <c r="W63" s="190"/>
      <c r="X63" s="335"/>
      <c r="Y63" s="190"/>
      <c r="Z63" s="190"/>
      <c r="AA63" s="190"/>
      <c r="AB63" s="190"/>
      <c r="AC63" s="190"/>
      <c r="AD63" s="190"/>
      <c r="AE63" s="190"/>
      <c r="AF63" s="190"/>
      <c r="AG63" s="190"/>
      <c r="AH63" s="190"/>
      <c r="AI63" s="190"/>
      <c r="AJ63" s="190"/>
      <c r="AK63" s="190"/>
      <c r="AL63" s="190"/>
      <c r="AM63" s="190"/>
      <c r="AN63" s="190"/>
      <c r="AO63" s="190"/>
      <c r="AP63" s="190"/>
      <c r="AQ63" s="190"/>
      <c r="AR63" s="608"/>
    </row>
    <row r="64" ht="31.5" customHeight="true" x14ac:dyDescent="0.3">
      <c r="C64" s="656"/>
      <c r="D64" s="557"/>
      <c r="E64" s="2121"/>
      <c r="F64" s="2093"/>
      <c r="G64" s="404" t="s">
        <v>1397</v>
      </c>
      <c r="H64" s="2103" t="s">
        <v>1398</v>
      </c>
      <c r="I64" s="2104"/>
      <c r="J64" s="1202"/>
      <c r="K64" s="1138">
        <v>0.08</v>
      </c>
      <c r="L64" s="549" t="s">
        <v>1399</v>
      </c>
      <c r="M64" s="1015"/>
      <c r="N64" s="1138">
        <v>0.12</v>
      </c>
      <c r="O64" s="549" t="s">
        <v>1399</v>
      </c>
      <c r="P64" s="1014"/>
      <c r="Q64" s="563"/>
      <c r="R64"/>
      <c r="S64" s="587"/>
      <c r="T64" s="2154" t="s">
        <v>1320</v>
      </c>
      <c r="U64" s="2155"/>
      <c r="V64" s="1554">
        <f>'VII. Economic'!F310</f>
        <v>0</v>
      </c>
      <c r="W64" s="190"/>
      <c r="X64" s="335"/>
      <c r="Y64" s="190"/>
      <c r="Z64" s="190"/>
      <c r="AA64" s="190"/>
      <c r="AB64" s="190"/>
      <c r="AC64" s="190"/>
      <c r="AD64" s="190"/>
      <c r="AE64" s="190"/>
      <c r="AF64" s="190"/>
      <c r="AG64" s="190"/>
      <c r="AH64" s="190"/>
      <c r="AI64" s="190"/>
      <c r="AJ64" s="190"/>
      <c r="AK64" s="190"/>
      <c r="AL64" s="190"/>
      <c r="AM64" s="190"/>
      <c r="AN64" s="190"/>
      <c r="AO64" s="190"/>
      <c r="AP64" s="190"/>
      <c r="AQ64" s="190"/>
      <c r="AR64" s="608"/>
    </row>
    <row r="65" ht="31.5" customHeight="true" x14ac:dyDescent="0.3">
      <c r="C65" s="656"/>
      <c r="D65" s="557"/>
      <c r="E65" s="2121"/>
      <c r="F65" s="2093"/>
      <c r="G65" s="404" t="s">
        <v>1400</v>
      </c>
      <c r="H65" s="558" t="s">
        <v>1401</v>
      </c>
      <c r="I65" s="239"/>
      <c r="J65" s="1202"/>
      <c r="K65" s="1138">
        <v>0</v>
      </c>
      <c r="L65" s="549" t="s">
        <v>1339</v>
      </c>
      <c r="M65" s="1015"/>
      <c r="N65" s="1138">
        <v>0.1</v>
      </c>
      <c r="O65" s="549" t="s">
        <v>1339</v>
      </c>
      <c r="P65" s="1014"/>
      <c r="Q65" s="563"/>
      <c r="R65"/>
      <c r="S65" s="587"/>
      <c r="T65" s="1888" t="s">
        <v>2381</v>
      </c>
      <c r="U65" s="1889"/>
      <c r="V65" s="1377">
        <f>'VII. Economic'!F311</f>
        <v>0</v>
      </c>
      <c r="W65" s="190"/>
      <c r="X65" s="335"/>
      <c r="Y65" s="190"/>
      <c r="Z65" s="190"/>
      <c r="AA65" s="190"/>
      <c r="AB65" s="190"/>
      <c r="AC65" s="190"/>
      <c r="AD65" s="190"/>
      <c r="AE65" s="190"/>
      <c r="AF65" s="190"/>
      <c r="AG65" s="190"/>
      <c r="AH65" s="190"/>
      <c r="AI65" s="190"/>
      <c r="AJ65" s="190"/>
      <c r="AK65" s="190"/>
      <c r="AL65" s="190"/>
      <c r="AM65" s="190"/>
      <c r="AN65" s="190"/>
      <c r="AO65" s="190"/>
      <c r="AP65" s="190"/>
      <c r="AQ65" s="190"/>
      <c r="AR65" s="608"/>
    </row>
    <row r="66" ht="31.5" customHeight="true" x14ac:dyDescent="0.3">
      <c r="C66" s="656"/>
      <c r="D66" s="557"/>
      <c r="E66" s="2121"/>
      <c r="F66" s="2093" t="s">
        <v>1354</v>
      </c>
      <c r="G66" s="404"/>
      <c r="H66" s="2092" t="s">
        <v>1402</v>
      </c>
      <c r="I66" s="2092"/>
      <c r="J66" s="1202"/>
      <c r="K66" s="1138">
        <v>0.5</v>
      </c>
      <c r="L66" s="549" t="s">
        <v>1380</v>
      </c>
      <c r="M66" s="1015"/>
      <c r="N66" s="1138">
        <v>0.7</v>
      </c>
      <c r="O66" s="549" t="s">
        <v>1380</v>
      </c>
      <c r="P66" s="1014"/>
      <c r="Q66" s="563"/>
      <c r="R66"/>
      <c r="S66" s="587"/>
      <c r="T66" s="1888" t="s">
        <v>1446</v>
      </c>
      <c r="U66" s="1889"/>
      <c r="V66" s="1377">
        <f>'VII. Economic'!F312</f>
        <v>0</v>
      </c>
      <c r="W66" s="190"/>
      <c r="X66" s="632"/>
      <c r="Y66" s="190"/>
      <c r="Z66" s="190"/>
      <c r="AA66" s="190"/>
      <c r="AB66" s="190"/>
      <c r="AC66" s="190"/>
      <c r="AD66" s="190"/>
      <c r="AE66" s="190"/>
      <c r="AF66" s="190"/>
      <c r="AG66" s="190"/>
      <c r="AH66" s="190"/>
      <c r="AI66" s="190"/>
      <c r="AJ66" s="190"/>
      <c r="AK66" s="190"/>
      <c r="AL66" s="190"/>
      <c r="AM66" s="190"/>
      <c r="AN66" s="190"/>
      <c r="AO66" s="190"/>
      <c r="AP66" s="190"/>
      <c r="AQ66" s="190"/>
      <c r="AR66" s="608"/>
    </row>
    <row r="67" ht="31.5" customHeight="true" x14ac:dyDescent="0.3">
      <c r="C67" s="656"/>
      <c r="D67" s="557"/>
      <c r="E67" s="2121"/>
      <c r="F67" s="2093"/>
      <c r="G67" s="404"/>
      <c r="H67" s="2092"/>
      <c r="I67" s="2092"/>
      <c r="J67" s="1202"/>
      <c r="K67" s="1138">
        <v>0.05</v>
      </c>
      <c r="L67" s="549" t="s">
        <v>1119</v>
      </c>
      <c r="M67" s="1015">
        <f>K67</f>
        <v>0.05</v>
      </c>
      <c r="N67" s="1138">
        <v>0.15</v>
      </c>
      <c r="O67" s="549" t="s">
        <v>1119</v>
      </c>
      <c r="P67" s="1014">
        <f>N67</f>
        <v>0.15</v>
      </c>
      <c r="Q67" s="564"/>
      <c r="R67" s="537"/>
      <c r="S67" s="640"/>
      <c r="T67" s="1888" t="s">
        <v>2382</v>
      </c>
      <c r="U67" s="1889"/>
      <c r="V67" s="1377">
        <f>'VII. Economic'!F313</f>
        <v>0</v>
      </c>
      <c r="W67" s="190"/>
      <c r="X67" s="632"/>
      <c r="Y67" s="190"/>
      <c r="Z67" s="190"/>
      <c r="AA67" s="190"/>
      <c r="AB67" s="190"/>
      <c r="AC67" s="190"/>
      <c r="AD67" s="190"/>
      <c r="AE67" s="190"/>
      <c r="AF67" s="190"/>
      <c r="AG67" s="190"/>
      <c r="AH67" s="190"/>
      <c r="AI67" s="190"/>
      <c r="AJ67" s="190"/>
      <c r="AK67" s="190"/>
      <c r="AL67" s="190"/>
      <c r="AM67" s="190"/>
      <c r="AN67" s="190"/>
      <c r="AO67" s="190"/>
      <c r="AP67" s="190"/>
      <c r="AQ67" s="190"/>
      <c r="AR67" s="608"/>
    </row>
    <row r="68" ht="31.5" customHeight="true" x14ac:dyDescent="0.25">
      <c r="C68" s="656"/>
      <c r="D68" s="557"/>
      <c r="E68" s="2121" t="s">
        <v>1358</v>
      </c>
      <c r="F68" s="2100" t="s">
        <v>1403</v>
      </c>
      <c r="G68" s="2100"/>
      <c r="H68" s="2100"/>
      <c r="I68" s="2100"/>
      <c r="J68" s="1202"/>
      <c r="K68" s="1138">
        <v>0.15</v>
      </c>
      <c r="L68" s="549" t="s">
        <v>1119</v>
      </c>
      <c r="M68" s="1015">
        <f>K68</f>
        <v>0.15</v>
      </c>
      <c r="N68" s="1138">
        <v>0.25</v>
      </c>
      <c r="O68" s="549" t="s">
        <v>1119</v>
      </c>
      <c r="P68" s="1014">
        <f>N68</f>
        <v>0.25</v>
      </c>
      <c r="Q68" s="564"/>
      <c r="R68" s="537"/>
      <c r="S68" s="640"/>
      <c r="T68" s="1888" t="s">
        <v>2383</v>
      </c>
      <c r="U68" s="1889"/>
      <c r="V68" s="1377">
        <f>'VII. Economic'!F314</f>
        <v>0</v>
      </c>
      <c r="W68" s="190"/>
      <c r="X68" s="632"/>
      <c r="Y68" s="190"/>
      <c r="Z68" s="190"/>
      <c r="AA68" s="190"/>
      <c r="AB68" s="190"/>
      <c r="AC68" s="190"/>
      <c r="AD68" s="190"/>
      <c r="AE68" s="190"/>
      <c r="AF68" s="190"/>
      <c r="AG68" s="190"/>
      <c r="AH68" s="190"/>
      <c r="AI68" s="190"/>
      <c r="AJ68" s="190"/>
      <c r="AK68" s="190"/>
      <c r="AL68" s="190"/>
      <c r="AM68" s="190"/>
      <c r="AN68" s="190"/>
      <c r="AO68" s="190"/>
      <c r="AP68" s="190"/>
      <c r="AQ68" s="190"/>
      <c r="AR68" s="608"/>
    </row>
    <row r="69" ht="31.5" customHeight="true" thickBot="true" x14ac:dyDescent="0.35">
      <c r="C69" s="656"/>
      <c r="D69" s="557"/>
      <c r="E69" s="2121"/>
      <c r="F69" s="2094" t="s">
        <v>1360</v>
      </c>
      <c r="G69" s="404"/>
      <c r="H69" s="2092" t="s">
        <v>1404</v>
      </c>
      <c r="I69" s="2092"/>
      <c r="J69" s="1202"/>
      <c r="K69" s="1138">
        <v>0.2</v>
      </c>
      <c r="L69" s="549" t="s">
        <v>1380</v>
      </c>
      <c r="M69" s="1015"/>
      <c r="N69" s="1138">
        <v>0.2</v>
      </c>
      <c r="O69" s="549" t="s">
        <v>1380</v>
      </c>
      <c r="P69" s="1014"/>
      <c r="Q69" s="563"/>
      <c r="R69"/>
      <c r="S69" s="587"/>
      <c r="T69" s="2143" t="s">
        <v>2384</v>
      </c>
      <c r="U69" s="2144"/>
      <c r="V69" s="1379">
        <f>'VII. Economic'!F315</f>
        <v>0</v>
      </c>
      <c r="W69" s="190"/>
      <c r="X69" s="335"/>
      <c r="Y69" s="190"/>
      <c r="Z69" s="190"/>
      <c r="AA69" s="190"/>
      <c r="AB69" s="190"/>
      <c r="AC69" s="190"/>
      <c r="AD69" s="190"/>
      <c r="AE69" s="190"/>
      <c r="AF69" s="190"/>
      <c r="AG69" s="190"/>
      <c r="AH69" s="190"/>
      <c r="AI69" s="190"/>
      <c r="AJ69" s="190"/>
      <c r="AK69" s="190"/>
      <c r="AL69" s="190"/>
      <c r="AM69" s="190"/>
      <c r="AN69" s="190"/>
      <c r="AO69" s="190"/>
      <c r="AP69" s="190"/>
      <c r="AQ69" s="190"/>
      <c r="AR69" s="608"/>
    </row>
    <row r="70" x14ac:dyDescent="0.3">
      <c r="C70" s="656"/>
      <c r="D70" s="557"/>
      <c r="E70" s="2121"/>
      <c r="F70" s="2094"/>
      <c r="G70" s="404"/>
      <c r="H70" s="2092"/>
      <c r="I70" s="2092"/>
      <c r="J70" s="1202"/>
      <c r="K70" s="1138">
        <v>0.02</v>
      </c>
      <c r="L70" s="549" t="s">
        <v>1119</v>
      </c>
      <c r="M70" s="1015">
        <f>K70</f>
        <v>0.02</v>
      </c>
      <c r="N70" s="1138">
        <v>0.05</v>
      </c>
      <c r="O70" s="549" t="s">
        <v>1119</v>
      </c>
      <c r="P70" s="1014">
        <f>N70</f>
        <v>0.05</v>
      </c>
      <c r="Q70" s="564"/>
      <c r="R70" s="537"/>
      <c r="S70" s="640"/>
      <c r="T70" s="190"/>
      <c r="U70" s="190"/>
      <c r="V70" s="570"/>
      <c r="W70" s="190"/>
      <c r="X70" s="190"/>
      <c r="Y70" s="190"/>
      <c r="Z70" s="190"/>
      <c r="AA70" s="190"/>
      <c r="AB70" s="190"/>
      <c r="AC70" s="190"/>
      <c r="AD70" s="190"/>
      <c r="AE70" s="190"/>
      <c r="AF70" s="190"/>
      <c r="AG70" s="190"/>
      <c r="AH70" s="190"/>
      <c r="AI70" s="190"/>
      <c r="AJ70" s="190"/>
      <c r="AK70" s="190"/>
      <c r="AL70" s="190"/>
      <c r="AM70" s="190"/>
      <c r="AN70" s="190"/>
      <c r="AO70" s="190"/>
      <c r="AP70" s="190"/>
      <c r="AQ70" s="190"/>
      <c r="AR70" s="608"/>
    </row>
    <row r="71" x14ac:dyDescent="0.3">
      <c r="C71" s="656"/>
      <c r="D71" s="557"/>
      <c r="E71" s="2121"/>
      <c r="F71" s="559" t="s">
        <v>1365</v>
      </c>
      <c r="G71" s="404"/>
      <c r="H71" s="2103" t="s">
        <v>1405</v>
      </c>
      <c r="I71" s="2104"/>
      <c r="J71" s="1202"/>
      <c r="K71" s="1138">
        <v>0.02</v>
      </c>
      <c r="L71" s="549" t="s">
        <v>1119</v>
      </c>
      <c r="M71" s="1015">
        <f>K71</f>
        <v>0.02</v>
      </c>
      <c r="N71" s="1138">
        <v>0.2</v>
      </c>
      <c r="O71" s="549" t="s">
        <v>1119</v>
      </c>
      <c r="P71" s="1014">
        <f>N71</f>
        <v>0.2</v>
      </c>
      <c r="Q71" s="564"/>
      <c r="R71" s="537"/>
      <c r="S71" s="640"/>
      <c r="T71" s="190"/>
      <c r="U71" s="190"/>
      <c r="V71" s="570"/>
      <c r="W71" s="190"/>
      <c r="X71" s="190"/>
      <c r="Y71" s="190"/>
      <c r="Z71" s="190"/>
      <c r="AA71" s="190"/>
      <c r="AB71" s="190"/>
      <c r="AC71" s="190"/>
      <c r="AD71" s="190"/>
      <c r="AE71" s="190"/>
      <c r="AF71" s="190"/>
      <c r="AG71" s="190"/>
      <c r="AH71" s="190"/>
      <c r="AI71" s="190"/>
      <c r="AJ71" s="190"/>
      <c r="AK71" s="190"/>
      <c r="AL71" s="190"/>
      <c r="AM71" s="190"/>
      <c r="AN71" s="190"/>
      <c r="AO71" s="190"/>
      <c r="AP71" s="190"/>
      <c r="AQ71" s="190"/>
      <c r="AR71" s="608"/>
    </row>
    <row r="72" x14ac:dyDescent="0.3">
      <c r="C72" s="656"/>
      <c r="D72" s="557"/>
      <c r="E72" s="2121"/>
      <c r="F72" s="2093" t="s">
        <v>1367</v>
      </c>
      <c r="G72" s="404"/>
      <c r="H72" s="2092" t="s">
        <v>1406</v>
      </c>
      <c r="I72" s="2092"/>
      <c r="J72" s="1202"/>
      <c r="K72" s="1138">
        <v>0.05</v>
      </c>
      <c r="L72" s="549" t="s">
        <v>1119</v>
      </c>
      <c r="M72" s="1015">
        <f>K72</f>
        <v>0.05</v>
      </c>
      <c r="N72" s="1138">
        <v>0.05</v>
      </c>
      <c r="O72" s="549" t="s">
        <v>1119</v>
      </c>
      <c r="P72" s="1014">
        <f>N72</f>
        <v>0.05</v>
      </c>
      <c r="Q72" s="564"/>
      <c r="R72" s="537"/>
      <c r="S72" s="640"/>
      <c r="T72" s="190"/>
      <c r="U72" s="190"/>
      <c r="V72" s="570"/>
      <c r="W72" s="190"/>
      <c r="X72" s="190"/>
      <c r="Y72" s="190"/>
      <c r="Z72" s="190"/>
      <c r="AA72" s="190"/>
      <c r="AB72" s="190"/>
      <c r="AC72" s="190"/>
      <c r="AD72" s="190"/>
      <c r="AE72" s="190"/>
      <c r="AF72" s="190"/>
      <c r="AG72" s="190"/>
      <c r="AH72" s="190"/>
      <c r="AI72" s="190"/>
      <c r="AJ72" s="190"/>
      <c r="AK72" s="190"/>
      <c r="AL72" s="190"/>
      <c r="AM72" s="190"/>
      <c r="AN72" s="190"/>
      <c r="AO72" s="190"/>
      <c r="AP72" s="190"/>
      <c r="AQ72" s="190"/>
      <c r="AR72" s="608"/>
    </row>
    <row r="73" ht="16.2" thickBot="true" x14ac:dyDescent="0.35">
      <c r="C73" s="656"/>
      <c r="D73" s="557"/>
      <c r="E73" s="2121"/>
      <c r="F73" s="2093"/>
      <c r="G73" s="404"/>
      <c r="H73" s="2092"/>
      <c r="I73" s="2092"/>
      <c r="J73" s="1202"/>
      <c r="K73" s="1138">
        <v>0.02</v>
      </c>
      <c r="L73" s="549" t="s">
        <v>1407</v>
      </c>
      <c r="M73" s="1015"/>
      <c r="N73" s="1138">
        <v>0.05</v>
      </c>
      <c r="O73" s="549" t="s">
        <v>1407</v>
      </c>
      <c r="P73" s="1014"/>
      <c r="Q73" s="563"/>
      <c r="R73"/>
      <c r="S73" s="587"/>
      <c r="T73" s="190"/>
      <c r="U73" s="190"/>
      <c r="V73" s="570"/>
      <c r="W73" s="190"/>
      <c r="X73" s="190"/>
      <c r="Y73" s="190"/>
      <c r="Z73" s="190"/>
      <c r="AA73" s="190"/>
      <c r="AB73" s="190"/>
      <c r="AC73" s="190"/>
      <c r="AD73" s="190"/>
      <c r="AE73" s="190"/>
      <c r="AF73" s="190"/>
      <c r="AG73" s="190"/>
      <c r="AH73" s="190"/>
      <c r="AI73" s="190"/>
      <c r="AJ73" s="190"/>
      <c r="AK73" s="190"/>
      <c r="AL73" s="190"/>
      <c r="AM73" s="190"/>
      <c r="AN73" s="190"/>
      <c r="AO73" s="190"/>
      <c r="AP73" s="190"/>
      <c r="AQ73" s="190"/>
      <c r="AR73" s="608"/>
    </row>
    <row r="74" ht="31.5" customHeight="true" x14ac:dyDescent="0.3">
      <c r="C74" s="656"/>
      <c r="D74" s="557"/>
      <c r="E74" s="1204" t="s">
        <v>1371</v>
      </c>
      <c r="F74" s="2100" t="s">
        <v>1118</v>
      </c>
      <c r="G74" s="2100"/>
      <c r="H74" s="2100"/>
      <c r="I74" s="2100"/>
      <c r="J74" s="550" t="s">
        <v>1373</v>
      </c>
      <c r="K74" s="1138"/>
      <c r="L74" s="549"/>
      <c r="M74" s="1015">
        <f>M52+M53+M54+M55+M58+M59+M60+M67+M68</f>
        <v>0.53</v>
      </c>
      <c r="N74" s="1138"/>
      <c r="O74" s="549"/>
      <c r="P74" s="1014">
        <f>P52+P53+P54+P55+P58+P59+P60+P67+P68</f>
        <v>1.94</v>
      </c>
      <c r="Q74" s="564"/>
      <c r="R74" s="537"/>
      <c r="S74" s="635"/>
      <c r="T74" s="567"/>
      <c r="U74" s="1199" t="s">
        <v>1444</v>
      </c>
      <c r="V74" s="629" t="s">
        <v>1445</v>
      </c>
      <c r="W74" s="190"/>
      <c r="X74" s="626"/>
      <c r="Y74" s="190"/>
      <c r="Z74" s="190"/>
      <c r="AA74" s="190"/>
      <c r="AB74" s="190"/>
      <c r="AC74" s="190"/>
      <c r="AD74" s="190"/>
      <c r="AE74" s="190"/>
      <c r="AF74" s="190"/>
      <c r="AG74" s="190"/>
      <c r="AH74" s="190"/>
      <c r="AI74" s="190"/>
      <c r="AJ74" s="190"/>
      <c r="AK74" s="190"/>
      <c r="AL74" s="190"/>
      <c r="AM74" s="190"/>
      <c r="AN74" s="190"/>
      <c r="AO74" s="190"/>
      <c r="AP74" s="190"/>
      <c r="AQ74" s="190"/>
      <c r="AR74" s="608"/>
    </row>
    <row r="75" ht="37.5" customHeight="true" x14ac:dyDescent="0.3">
      <c r="C75" s="656"/>
      <c r="D75" s="557"/>
      <c r="E75" s="560"/>
      <c r="F75" s="239"/>
      <c r="G75" s="239"/>
      <c r="H75" s="239"/>
      <c r="I75" s="239"/>
      <c r="J75" s="1202"/>
      <c r="K75" s="1138"/>
      <c r="L75" s="549"/>
      <c r="M75" s="1015">
        <f>SUM(M56:M57)</f>
        <v>2.5000000000000001E-2</v>
      </c>
      <c r="N75" s="1140"/>
      <c r="O75" s="239"/>
      <c r="P75" s="1014">
        <f>SUM(P56:P57)</f>
        <v>0.11</v>
      </c>
      <c r="Q75" s="564"/>
      <c r="R75" s="537"/>
      <c r="S75" s="635"/>
      <c r="T75" s="1172" t="s">
        <v>2385</v>
      </c>
      <c r="U75" s="202">
        <f>V68</f>
        <v>0</v>
      </c>
      <c r="V75" s="262">
        <f>V68</f>
        <v>0</v>
      </c>
      <c r="W75" s="190"/>
      <c r="X75" s="190"/>
      <c r="Y75" s="633"/>
      <c r="Z75" s="633"/>
      <c r="AA75" s="190"/>
      <c r="AB75" s="190"/>
      <c r="AC75" s="190"/>
      <c r="AD75" s="190"/>
      <c r="AE75" s="190"/>
      <c r="AF75" s="190"/>
      <c r="AG75" s="190"/>
      <c r="AH75" s="190"/>
      <c r="AI75" s="190"/>
      <c r="AJ75" s="190"/>
      <c r="AK75" s="190"/>
      <c r="AL75" s="190"/>
      <c r="AM75" s="190"/>
      <c r="AN75" s="190"/>
      <c r="AO75" s="190"/>
      <c r="AP75" s="190"/>
      <c r="AQ75" s="190"/>
      <c r="AR75" s="608"/>
    </row>
    <row r="76" ht="31.5" customHeight="true" x14ac:dyDescent="0.25">
      <c r="C76" s="656"/>
      <c r="D76" s="557"/>
      <c r="E76" s="2106" t="s">
        <v>1123</v>
      </c>
      <c r="F76" s="2100"/>
      <c r="G76" s="2100"/>
      <c r="H76" s="2100"/>
      <c r="I76" s="2100"/>
      <c r="J76" s="2109" t="s">
        <v>1342</v>
      </c>
      <c r="K76" s="1138"/>
      <c r="L76" s="549"/>
      <c r="M76" s="1015">
        <f>M52+M53+M54+M55+M58+M59+M60+M67</f>
        <v>0.38000000000000006</v>
      </c>
      <c r="N76" s="1140"/>
      <c r="O76" s="239"/>
      <c r="P76" s="1014">
        <f>P52+P53+P54+P55+P58+P59+P60+P67</f>
        <v>1.69</v>
      </c>
      <c r="Q76" s="564"/>
      <c r="R76" s="537"/>
      <c r="S76" s="635"/>
      <c r="T76" s="1170" t="s">
        <v>2386</v>
      </c>
      <c r="U76" s="202">
        <f>'III. Utility Data'!G12*1000</f>
        <v>6.7000000000000004E-2</v>
      </c>
      <c r="V76" s="262">
        <f>'III. Utility Data'!G15*1000</f>
        <v>1</v>
      </c>
      <c r="W76" s="190"/>
      <c r="X76" s="190"/>
      <c r="Y76" s="190"/>
      <c r="Z76" s="190"/>
      <c r="AA76" s="190"/>
      <c r="AB76" s="190"/>
      <c r="AC76" s="190"/>
      <c r="AD76" s="190"/>
      <c r="AE76" s="190"/>
      <c r="AF76" s="190"/>
      <c r="AG76" s="190"/>
      <c r="AH76" s="190"/>
      <c r="AI76" s="190"/>
      <c r="AJ76" s="190"/>
      <c r="AK76" s="190"/>
      <c r="AL76" s="190"/>
      <c r="AM76" s="190"/>
      <c r="AN76" s="190"/>
      <c r="AO76" s="190"/>
      <c r="AP76" s="190"/>
      <c r="AQ76" s="190"/>
      <c r="AR76" s="608"/>
    </row>
    <row r="77" ht="31.5" customHeight="true" thickBot="true" x14ac:dyDescent="0.3">
      <c r="C77" s="656"/>
      <c r="D77" s="557"/>
      <c r="E77" s="2107"/>
      <c r="F77" s="2108"/>
      <c r="G77" s="2108"/>
      <c r="H77" s="2108"/>
      <c r="I77" s="2108"/>
      <c r="J77" s="2110"/>
      <c r="K77" s="1139"/>
      <c r="L77" s="553"/>
      <c r="M77" s="1555">
        <f>SUM(M56:M57)</f>
        <v>2.5000000000000001E-2</v>
      </c>
      <c r="N77" s="1141"/>
      <c r="O77" s="467"/>
      <c r="P77" s="1539">
        <f>SUM(P56:P57)</f>
        <v>0.11</v>
      </c>
      <c r="Q77" s="564"/>
      <c r="R77" s="537"/>
      <c r="S77" s="635"/>
      <c r="T77" s="344" t="s">
        <v>1438</v>
      </c>
      <c r="U77" s="1231">
        <f>U75*U76</f>
        <v>0</v>
      </c>
      <c r="V77" s="1237">
        <f>V75*V76</f>
        <v>0</v>
      </c>
      <c r="W77" s="190"/>
      <c r="X77" s="190"/>
      <c r="Y77" s="190"/>
      <c r="Z77" s="190"/>
      <c r="AA77" s="190"/>
      <c r="AB77" s="190"/>
      <c r="AC77" s="190"/>
      <c r="AD77" s="190"/>
      <c r="AE77" s="190"/>
      <c r="AF77" s="190"/>
      <c r="AG77" s="190"/>
      <c r="AH77" s="190"/>
      <c r="AI77" s="190"/>
      <c r="AJ77" s="190"/>
      <c r="AK77" s="190"/>
      <c r="AL77" s="190"/>
      <c r="AM77" s="190"/>
      <c r="AN77" s="190"/>
      <c r="AO77" s="190"/>
      <c r="AP77" s="190"/>
      <c r="AQ77" s="190"/>
      <c r="AR77" s="608"/>
    </row>
    <row r="78" ht="16.2" thickBot="true" x14ac:dyDescent="0.35">
      <c r="C78" s="659"/>
      <c r="D78" s="158"/>
      <c r="E78" s="660"/>
      <c r="F78" s="158"/>
      <c r="G78" s="158"/>
      <c r="H78" s="158"/>
      <c r="I78" s="158"/>
      <c r="J78" s="158"/>
      <c r="K78" s="158"/>
      <c r="L78" s="661"/>
      <c r="M78" s="158"/>
      <c r="N78" s="661"/>
      <c r="O78" s="158"/>
      <c r="P78" s="158"/>
      <c r="Q78" s="662"/>
      <c r="R78"/>
      <c r="S78" s="645"/>
      <c r="T78" s="590"/>
      <c r="U78" s="590"/>
      <c r="V78" s="591"/>
      <c r="W78" s="590"/>
      <c r="X78" s="590"/>
      <c r="Y78" s="590"/>
      <c r="Z78" s="590"/>
      <c r="AA78" s="590"/>
      <c r="AB78" s="590"/>
      <c r="AC78" s="590"/>
      <c r="AD78" s="590"/>
      <c r="AE78" s="590"/>
      <c r="AF78" s="590"/>
      <c r="AG78" s="590"/>
      <c r="AH78" s="590"/>
      <c r="AI78" s="590"/>
      <c r="AJ78" s="590"/>
      <c r="AK78" s="590"/>
      <c r="AL78" s="590"/>
      <c r="AM78" s="590"/>
      <c r="AN78" s="590"/>
      <c r="AO78" s="590"/>
      <c r="AP78" s="590"/>
      <c r="AQ78" s="590"/>
      <c r="AR78" s="609"/>
    </row>
    <row r="79" x14ac:dyDescent="0.3">
      <c r="N79" s="58"/>
      <c r="P79"/>
      <c r="Q79"/>
      <c r="R79"/>
      <c r="X79" s="557"/>
    </row>
    <row r="81" ht="28.5" customHeight="true" x14ac:dyDescent="0.3"/>
    <row r="83" ht="33" customHeight="true" x14ac:dyDescent="0.3"/>
    <row r="84" ht="34.5" customHeight="true" x14ac:dyDescent="0.3"/>
    <row r="85" ht="34.5" customHeight="true" x14ac:dyDescent="0.3"/>
    <row r="86" ht="34.5" customHeight="true" x14ac:dyDescent="0.3"/>
    <row r="87" ht="34.5" customHeight="true" x14ac:dyDescent="0.3"/>
    <row r="94" ht="37.5" customHeight="true" x14ac:dyDescent="0.3"/>
    <row r="95" ht="20.25" customHeight="true" x14ac:dyDescent="0.3"/>
    <row r="96" ht="20.25" customHeight="true" x14ac:dyDescent="0.3"/>
    <row r="97" ht="20.25" customHeight="true" x14ac:dyDescent="0.3"/>
    <row r="102" x14ac:dyDescent="0.3">
      <c r="T102" s="62"/>
      <c r="U102" s="62"/>
    </row>
    <row r="103" x14ac:dyDescent="0.3">
      <c r="T103" s="62"/>
      <c r="U103" s="62"/>
    </row>
    <row r="104" x14ac:dyDescent="0.3">
      <c r="T104" s="62"/>
      <c r="U104" s="62"/>
    </row>
  </sheetData>
  <sheetProtection sheet="true" objects="true" scenarios="true"/>
  <mergeCells count="134">
    <mergeCell ref="T67:U67"/>
    <mergeCell ref="T68:U68"/>
    <mergeCell ref="T69:U69"/>
    <mergeCell ref="S4:W4"/>
    <mergeCell ref="C4:J4"/>
    <mergeCell ref="T6:U6"/>
    <mergeCell ref="T7:U7"/>
    <mergeCell ref="T8:U8"/>
    <mergeCell ref="T10:U10"/>
    <mergeCell ref="T64:U64"/>
    <mergeCell ref="T65:U65"/>
    <mergeCell ref="T66:U66"/>
    <mergeCell ref="E5:P5"/>
    <mergeCell ref="E39:P39"/>
    <mergeCell ref="T18:V18"/>
    <mergeCell ref="T31:V31"/>
    <mergeCell ref="T41:U41"/>
    <mergeCell ref="K49:M49"/>
    <mergeCell ref="N49:P49"/>
    <mergeCell ref="T43:U43"/>
    <mergeCell ref="T44:U44"/>
    <mergeCell ref="T45:U45"/>
    <mergeCell ref="T42:U42"/>
    <mergeCell ref="F24:F25"/>
    <mergeCell ref="Y5:AQ5"/>
    <mergeCell ref="Y24:AQ24"/>
    <mergeCell ref="H56:I56"/>
    <mergeCell ref="H57:I57"/>
    <mergeCell ref="H58:I58"/>
    <mergeCell ref="H42:I42"/>
    <mergeCell ref="H43:I43"/>
    <mergeCell ref="H44:I44"/>
    <mergeCell ref="H24:H25"/>
    <mergeCell ref="H19:I19"/>
    <mergeCell ref="H20:I20"/>
    <mergeCell ref="H21:I21"/>
    <mergeCell ref="H22:I22"/>
    <mergeCell ref="H23:I23"/>
    <mergeCell ref="H27:I27"/>
    <mergeCell ref="H28:I28"/>
    <mergeCell ref="H30:I30"/>
    <mergeCell ref="H55:I55"/>
    <mergeCell ref="H53:I53"/>
    <mergeCell ref="H54:I54"/>
    <mergeCell ref="T46:U46"/>
    <mergeCell ref="T47:U47"/>
    <mergeCell ref="T48:U48"/>
    <mergeCell ref="T49:U49"/>
    <mergeCell ref="F74:I74"/>
    <mergeCell ref="T63:U63"/>
    <mergeCell ref="T54:U54"/>
    <mergeCell ref="E76:I77"/>
    <mergeCell ref="J76:J77"/>
    <mergeCell ref="K13:M13"/>
    <mergeCell ref="N13:P13"/>
    <mergeCell ref="H7:I7"/>
    <mergeCell ref="H9:I9"/>
    <mergeCell ref="H10:I10"/>
    <mergeCell ref="H8:I8"/>
    <mergeCell ref="E15:E25"/>
    <mergeCell ref="E26:E30"/>
    <mergeCell ref="F16:F21"/>
    <mergeCell ref="E50:E67"/>
    <mergeCell ref="E68:E73"/>
    <mergeCell ref="F51:F59"/>
    <mergeCell ref="F60:F65"/>
    <mergeCell ref="F15:I15"/>
    <mergeCell ref="F26:I26"/>
    <mergeCell ref="F31:I31"/>
    <mergeCell ref="F32:I32"/>
    <mergeCell ref="F33:I33"/>
    <mergeCell ref="H41:I41"/>
    <mergeCell ref="H29:I29"/>
    <mergeCell ref="G16:I16"/>
    <mergeCell ref="H72:I73"/>
    <mergeCell ref="F72:F73"/>
    <mergeCell ref="H66:I67"/>
    <mergeCell ref="F66:F67"/>
    <mergeCell ref="H69:I70"/>
    <mergeCell ref="F69:F70"/>
    <mergeCell ref="H45:I45"/>
    <mergeCell ref="H46:I46"/>
    <mergeCell ref="F50:I50"/>
    <mergeCell ref="F68:I68"/>
    <mergeCell ref="H51:I51"/>
    <mergeCell ref="H52:I52"/>
    <mergeCell ref="H63:I63"/>
    <mergeCell ref="H64:I64"/>
    <mergeCell ref="H71:I71"/>
    <mergeCell ref="H59:I59"/>
    <mergeCell ref="H60:I60"/>
    <mergeCell ref="H61:I61"/>
    <mergeCell ref="H62:I62"/>
    <mergeCell ref="H17:I17"/>
    <mergeCell ref="H18:I18"/>
    <mergeCell ref="AF7:AI7"/>
    <mergeCell ref="AJ7:AM7"/>
    <mergeCell ref="AN7:AO7"/>
    <mergeCell ref="AP7:AQ7"/>
    <mergeCell ref="T9:U9"/>
    <mergeCell ref="AN26:AO26"/>
    <mergeCell ref="AP26:AQ26"/>
    <mergeCell ref="T19:U19"/>
    <mergeCell ref="T21:U21"/>
    <mergeCell ref="T22:U22"/>
    <mergeCell ref="AF26:AI26"/>
    <mergeCell ref="AJ26:AM26"/>
    <mergeCell ref="T13:U13"/>
    <mergeCell ref="T26:U26"/>
    <mergeCell ref="T11:U11"/>
    <mergeCell ref="T20:U20"/>
    <mergeCell ref="T23:U23"/>
    <mergeCell ref="T24:U24"/>
    <mergeCell ref="T12:U12"/>
    <mergeCell ref="Z50:AA50"/>
    <mergeCell ref="Z51:AA51"/>
    <mergeCell ref="Z52:AA52"/>
    <mergeCell ref="Z53:AA53"/>
    <mergeCell ref="T25:U25"/>
    <mergeCell ref="Z54:AA54"/>
    <mergeCell ref="Z55:AA55"/>
    <mergeCell ref="Z56:AA56"/>
    <mergeCell ref="Z43:AA43"/>
    <mergeCell ref="Z44:AA44"/>
    <mergeCell ref="Z45:AA45"/>
    <mergeCell ref="Z46:AA46"/>
    <mergeCell ref="Z47:AA47"/>
    <mergeCell ref="Z48:AA48"/>
    <mergeCell ref="T32:U32"/>
    <mergeCell ref="T33:U33"/>
    <mergeCell ref="T34:U34"/>
    <mergeCell ref="T35:U35"/>
    <mergeCell ref="T36:U36"/>
    <mergeCell ref="Z49:AA49"/>
  </mergeCells>
  <pageMargins left="0.7" right="0.7" top="0.75" bottom="0.75" header="0.3" footer="0.3"/>
  <pageSetup orientation="portrait" r:id="rId1"/>
  <legacy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9"/>
  <dimension ref="B1:Q580"/>
  <sheetViews>
    <sheetView zoomScale="70" zoomScaleNormal="70" workbookViewId="0">
      <selection activeCell="N38" sqref="N38:N42"/>
    </sheetView>
  </sheetViews>
  <sheetFormatPr defaultColWidth="9.109375" defaultRowHeight="14.4" x14ac:dyDescent="0.3"/>
  <cols>
    <col min="1" max="2" width="9.109375" style="60"/>
    <col min="3" max="3" width="43.5546875" style="63" customWidth="true"/>
    <col min="4" max="4" width="19" style="64" customWidth="true"/>
    <col min="5" max="5" width="19.6640625" style="63" customWidth="true"/>
    <col min="6" max="6" width="19.5546875" style="63" customWidth="true"/>
    <col min="7" max="7" width="15.5546875" style="60" customWidth="true"/>
    <col min="8" max="8" width="11.33203125" style="60" customWidth="true"/>
    <col min="9" max="9" width="9.88671875" style="60" customWidth="true"/>
    <col min="10" max="10" width="9.109375" style="60"/>
    <col min="11" max="11" width="12.109375" style="60" customWidth="true"/>
    <col min="12" max="12" width="9.109375" style="60"/>
    <col min="13" max="13" width="11.88671875" style="60" customWidth="true"/>
    <col min="14" max="16384" width="9.109375" style="60"/>
  </cols>
  <sheetData>
    <row r="1" ht="15" thickBot="true" x14ac:dyDescent="0.35"/>
    <row r="2" ht="21.75" customHeight="true" thickBot="true" x14ac:dyDescent="0.35">
      <c r="B2" s="2145" t="s">
        <v>2390</v>
      </c>
      <c r="C2" s="2146"/>
      <c r="D2" s="2146"/>
      <c r="E2" s="2146"/>
      <c r="F2" s="2147"/>
      <c r="G2" s="971"/>
      <c r="H2" s="971"/>
      <c r="I2" s="971"/>
      <c r="J2" s="971"/>
      <c r="K2" s="971"/>
      <c r="L2" s="971"/>
      <c r="M2" s="972"/>
    </row>
    <row r="3" ht="33.75" customHeight="true" thickBot="true" x14ac:dyDescent="0.35">
      <c r="B3" s="973"/>
      <c r="C3" s="974" t="s">
        <v>252</v>
      </c>
      <c r="D3" s="975" t="s">
        <v>375</v>
      </c>
      <c r="E3" s="976" t="s">
        <v>2301</v>
      </c>
      <c r="F3" s="952"/>
      <c r="G3" s="951"/>
      <c r="H3" s="951"/>
      <c r="I3" s="951"/>
      <c r="J3" s="951"/>
      <c r="K3" s="951"/>
      <c r="L3" s="951"/>
      <c r="M3" s="977"/>
    </row>
    <row r="4" ht="19.5" customHeight="true" x14ac:dyDescent="0.3">
      <c r="B4" s="973"/>
      <c r="C4" s="896" t="s">
        <v>341</v>
      </c>
      <c r="D4" s="897" t="s">
        <v>342</v>
      </c>
      <c r="E4" s="898">
        <v>533.29999999999995</v>
      </c>
      <c r="F4" s="952"/>
      <c r="G4" s="951"/>
      <c r="H4" s="951"/>
      <c r="I4" s="951"/>
      <c r="J4" s="2160" t="s">
        <v>381</v>
      </c>
      <c r="K4" s="2160"/>
      <c r="L4" s="2160"/>
      <c r="M4" s="978" t="s">
        <v>380</v>
      </c>
    </row>
    <row r="5" x14ac:dyDescent="0.3">
      <c r="B5" s="973"/>
      <c r="C5" s="899" t="s">
        <v>337</v>
      </c>
      <c r="D5" s="900" t="s">
        <v>338</v>
      </c>
      <c r="E5" s="901">
        <v>6.4</v>
      </c>
      <c r="F5" s="952"/>
      <c r="G5" s="951"/>
      <c r="H5" s="951"/>
      <c r="I5" s="951"/>
      <c r="J5" s="2160" t="s">
        <v>382</v>
      </c>
      <c r="K5" s="2160"/>
      <c r="L5" s="2160"/>
      <c r="M5" s="1142">
        <f>IF(ISNA(VLOOKUP(M4,D5:E55,2,FALSE))=TRUE,0,VLOOKUP(M4,D5:E55,2,FALSE))</f>
        <v>0</v>
      </c>
    </row>
    <row r="6" x14ac:dyDescent="0.3">
      <c r="B6" s="973"/>
      <c r="C6" s="899" t="s">
        <v>327</v>
      </c>
      <c r="D6" s="900" t="s">
        <v>328</v>
      </c>
      <c r="E6" s="901">
        <v>50</v>
      </c>
      <c r="F6" s="952"/>
      <c r="G6" s="951"/>
      <c r="H6" s="951"/>
      <c r="I6" s="951"/>
      <c r="J6" s="951"/>
      <c r="K6" s="951"/>
      <c r="L6" s="951"/>
      <c r="M6" s="977"/>
    </row>
    <row r="7" x14ac:dyDescent="0.3">
      <c r="B7" s="973"/>
      <c r="C7" s="899" t="s">
        <v>303</v>
      </c>
      <c r="D7" s="900" t="s">
        <v>304</v>
      </c>
      <c r="E7" s="901">
        <v>1</v>
      </c>
      <c r="F7" s="952"/>
      <c r="G7" s="951"/>
      <c r="H7" s="951"/>
      <c r="I7" s="951"/>
      <c r="J7" s="951"/>
      <c r="K7" s="951"/>
      <c r="L7" s="951"/>
      <c r="M7" s="977"/>
    </row>
    <row r="8" x14ac:dyDescent="0.3">
      <c r="B8" s="973"/>
      <c r="C8" s="899" t="s">
        <v>343</v>
      </c>
      <c r="D8" s="900" t="s">
        <v>344</v>
      </c>
      <c r="E8" s="901">
        <v>1.3</v>
      </c>
      <c r="F8" s="952"/>
      <c r="G8" s="951"/>
      <c r="H8" s="951"/>
      <c r="I8" s="951"/>
      <c r="J8" s="951"/>
      <c r="K8" s="951"/>
      <c r="L8" s="951"/>
      <c r="M8" s="977"/>
    </row>
    <row r="9" x14ac:dyDescent="0.3">
      <c r="B9" s="973"/>
      <c r="C9" s="899" t="s">
        <v>323</v>
      </c>
      <c r="D9" s="900" t="s">
        <v>324</v>
      </c>
      <c r="E9" s="901">
        <v>0.05</v>
      </c>
      <c r="F9" s="952"/>
      <c r="G9" s="951"/>
      <c r="H9" s="951"/>
      <c r="I9" s="951"/>
      <c r="J9" s="951"/>
      <c r="K9" s="951"/>
      <c r="L9" s="951"/>
      <c r="M9" s="977"/>
    </row>
    <row r="10" x14ac:dyDescent="0.3">
      <c r="B10" s="973"/>
      <c r="C10" s="899" t="s">
        <v>335</v>
      </c>
      <c r="D10" s="900" t="s">
        <v>336</v>
      </c>
      <c r="E10" s="901">
        <v>1.7</v>
      </c>
      <c r="F10" s="952"/>
      <c r="G10" s="951"/>
      <c r="H10" s="951"/>
      <c r="I10" s="951"/>
      <c r="J10" s="951"/>
      <c r="K10" s="951"/>
      <c r="L10" s="951"/>
      <c r="M10" s="977"/>
    </row>
    <row r="11" x14ac:dyDescent="0.3">
      <c r="B11" s="973"/>
      <c r="C11" s="899" t="s">
        <v>372</v>
      </c>
      <c r="D11" s="900" t="s">
        <v>373</v>
      </c>
      <c r="E11" s="901">
        <v>0.4</v>
      </c>
      <c r="F11" s="952"/>
      <c r="G11" s="951"/>
      <c r="H11" s="951"/>
      <c r="I11" s="951"/>
      <c r="J11" s="951"/>
      <c r="K11" s="951"/>
      <c r="L11" s="951"/>
      <c r="M11" s="977"/>
    </row>
    <row r="12" x14ac:dyDescent="0.3">
      <c r="B12" s="973"/>
      <c r="C12" s="899" t="s">
        <v>362</v>
      </c>
      <c r="D12" s="900" t="s">
        <v>363</v>
      </c>
      <c r="E12" s="901">
        <v>1.33</v>
      </c>
      <c r="F12" s="952"/>
      <c r="G12" s="951"/>
      <c r="H12" s="951"/>
      <c r="I12" s="951"/>
      <c r="J12" s="951"/>
      <c r="K12" s="951"/>
      <c r="L12" s="951"/>
      <c r="M12" s="977"/>
    </row>
    <row r="13" x14ac:dyDescent="0.3">
      <c r="B13" s="973"/>
      <c r="C13" s="899" t="s">
        <v>329</v>
      </c>
      <c r="D13" s="900" t="s">
        <v>330</v>
      </c>
      <c r="E13" s="901">
        <v>3.8</v>
      </c>
      <c r="F13" s="952"/>
      <c r="G13" s="951"/>
      <c r="H13" s="951"/>
      <c r="I13" s="951"/>
      <c r="J13" s="951"/>
      <c r="K13" s="951"/>
      <c r="L13" s="951"/>
      <c r="M13" s="977"/>
    </row>
    <row r="14" x14ac:dyDescent="0.3">
      <c r="B14" s="973"/>
      <c r="C14" s="899" t="s">
        <v>294</v>
      </c>
      <c r="D14" s="900" t="s">
        <v>379</v>
      </c>
      <c r="E14" s="901">
        <v>53.3</v>
      </c>
      <c r="F14" s="952"/>
      <c r="G14" s="951"/>
      <c r="H14" s="951"/>
      <c r="I14" s="951"/>
      <c r="J14" s="951"/>
      <c r="K14" s="951"/>
      <c r="L14" s="951"/>
      <c r="M14" s="977"/>
    </row>
    <row r="15" x14ac:dyDescent="0.3">
      <c r="B15" s="973"/>
      <c r="C15" s="899" t="s">
        <v>356</v>
      </c>
      <c r="D15" s="900" t="s">
        <v>357</v>
      </c>
      <c r="E15" s="901">
        <v>0.8</v>
      </c>
      <c r="F15" s="952"/>
      <c r="G15" s="951"/>
      <c r="H15" s="951"/>
      <c r="I15" s="951"/>
      <c r="J15" s="951"/>
      <c r="K15" s="951"/>
      <c r="L15" s="951"/>
      <c r="M15" s="977"/>
      <c r="N15" s="61"/>
    </row>
    <row r="16" x14ac:dyDescent="0.3">
      <c r="B16" s="973"/>
      <c r="C16" s="899" t="s">
        <v>358</v>
      </c>
      <c r="D16" s="900" t="s">
        <v>359</v>
      </c>
      <c r="E16" s="901">
        <v>4</v>
      </c>
      <c r="F16" s="952"/>
      <c r="G16" s="951"/>
      <c r="H16" s="951"/>
      <c r="I16" s="951"/>
      <c r="J16" s="951"/>
      <c r="K16" s="951"/>
      <c r="L16" s="951"/>
      <c r="M16" s="977"/>
    </row>
    <row r="17" x14ac:dyDescent="0.3">
      <c r="B17" s="973"/>
      <c r="C17" s="899" t="s">
        <v>959</v>
      </c>
      <c r="D17" s="900" t="s">
        <v>960</v>
      </c>
      <c r="E17" s="901">
        <v>18</v>
      </c>
      <c r="F17" s="952"/>
      <c r="G17" s="951"/>
      <c r="H17" s="951"/>
      <c r="I17" s="951"/>
      <c r="J17" s="951"/>
      <c r="K17" s="951"/>
      <c r="L17" s="951"/>
      <c r="M17" s="977"/>
    </row>
    <row r="18" x14ac:dyDescent="0.3">
      <c r="B18" s="973"/>
      <c r="C18" s="899" t="s">
        <v>376</v>
      </c>
      <c r="D18" s="900" t="s">
        <v>377</v>
      </c>
      <c r="E18" s="901">
        <v>0.04</v>
      </c>
      <c r="F18" s="952"/>
      <c r="G18" s="951"/>
      <c r="H18" s="951"/>
      <c r="I18" s="951"/>
      <c r="J18" s="951"/>
      <c r="K18" s="951"/>
      <c r="L18" s="951"/>
      <c r="M18" s="977"/>
    </row>
    <row r="19" x14ac:dyDescent="0.3">
      <c r="B19" s="973"/>
      <c r="C19" s="899" t="s">
        <v>325</v>
      </c>
      <c r="D19" s="900" t="s">
        <v>326</v>
      </c>
      <c r="E19" s="901">
        <v>3200</v>
      </c>
      <c r="F19" s="952"/>
      <c r="G19" s="951"/>
      <c r="H19" s="951"/>
      <c r="I19" s="951"/>
      <c r="J19" s="951"/>
      <c r="K19" s="951"/>
      <c r="L19" s="951"/>
      <c r="M19" s="977"/>
    </row>
    <row r="20" x14ac:dyDescent="0.3">
      <c r="B20" s="973"/>
      <c r="C20" s="899" t="s">
        <v>353</v>
      </c>
      <c r="D20" s="900" t="s">
        <v>354</v>
      </c>
      <c r="E20" s="901">
        <v>200</v>
      </c>
      <c r="F20" s="952"/>
      <c r="G20" s="951"/>
      <c r="H20" s="951"/>
      <c r="I20" s="951"/>
      <c r="J20" s="951"/>
      <c r="K20" s="951"/>
      <c r="L20" s="951"/>
      <c r="M20" s="977"/>
      <c r="Q20" s="61"/>
    </row>
    <row r="21" x14ac:dyDescent="0.3">
      <c r="B21" s="973"/>
      <c r="C21" s="899" t="s">
        <v>315</v>
      </c>
      <c r="D21" s="900" t="s">
        <v>316</v>
      </c>
      <c r="E21" s="901">
        <v>8.4</v>
      </c>
      <c r="F21" s="952"/>
      <c r="G21" s="951"/>
      <c r="H21" s="951"/>
      <c r="I21" s="951"/>
      <c r="J21" s="951"/>
      <c r="K21" s="951"/>
      <c r="L21" s="951"/>
      <c r="M21" s="977"/>
    </row>
    <row r="22" x14ac:dyDescent="0.3">
      <c r="B22" s="973"/>
      <c r="C22" s="899" t="s">
        <v>320</v>
      </c>
      <c r="D22" s="900" t="s">
        <v>378</v>
      </c>
      <c r="E22" s="901">
        <v>4.0999999999999996</v>
      </c>
      <c r="F22" s="952"/>
      <c r="G22" s="951"/>
      <c r="H22" s="951"/>
      <c r="I22" s="951"/>
      <c r="J22" s="951"/>
      <c r="K22" s="951"/>
      <c r="L22" s="951"/>
      <c r="M22" s="977"/>
    </row>
    <row r="23" x14ac:dyDescent="0.3">
      <c r="B23" s="973"/>
      <c r="C23" s="899" t="s">
        <v>308</v>
      </c>
      <c r="D23" s="900" t="s">
        <v>309</v>
      </c>
      <c r="E23" s="901">
        <v>0.73</v>
      </c>
      <c r="F23" s="952"/>
      <c r="G23" s="951"/>
      <c r="H23" s="951"/>
      <c r="I23" s="951"/>
      <c r="J23" s="951"/>
      <c r="K23" s="951"/>
      <c r="L23" s="951"/>
      <c r="M23" s="977"/>
    </row>
    <row r="24" x14ac:dyDescent="0.3">
      <c r="B24" s="973"/>
      <c r="C24" s="899" t="s">
        <v>321</v>
      </c>
      <c r="D24" s="900" t="s">
        <v>322</v>
      </c>
      <c r="E24" s="901">
        <v>0.76</v>
      </c>
      <c r="F24" s="952"/>
      <c r="G24" s="951"/>
      <c r="H24" s="951"/>
      <c r="I24" s="951"/>
      <c r="J24" s="951"/>
      <c r="K24" s="951"/>
      <c r="L24" s="951"/>
      <c r="M24" s="977"/>
    </row>
    <row r="25" x14ac:dyDescent="0.3">
      <c r="B25" s="973"/>
      <c r="C25" s="899" t="s">
        <v>295</v>
      </c>
      <c r="D25" s="900" t="s">
        <v>296</v>
      </c>
      <c r="E25" s="901">
        <v>3.6</v>
      </c>
      <c r="F25" s="952"/>
      <c r="G25" s="951"/>
      <c r="H25" s="951"/>
      <c r="I25" s="951"/>
      <c r="J25" s="951"/>
      <c r="K25" s="951"/>
      <c r="L25" s="951"/>
      <c r="M25" s="977"/>
    </row>
    <row r="26" x14ac:dyDescent="0.3">
      <c r="B26" s="973"/>
      <c r="C26" s="899" t="s">
        <v>346</v>
      </c>
      <c r="D26" s="900" t="s">
        <v>347</v>
      </c>
      <c r="E26" s="901">
        <v>16</v>
      </c>
      <c r="F26" s="952"/>
      <c r="G26" s="951"/>
      <c r="H26" s="951"/>
      <c r="I26" s="951"/>
      <c r="J26" s="951"/>
      <c r="K26" s="951"/>
      <c r="L26" s="951"/>
      <c r="M26" s="977"/>
    </row>
    <row r="27" x14ac:dyDescent="0.3">
      <c r="B27" s="973"/>
      <c r="C27" s="899" t="s">
        <v>349</v>
      </c>
      <c r="D27" s="900" t="s">
        <v>350</v>
      </c>
      <c r="E27" s="901">
        <v>1</v>
      </c>
      <c r="F27" s="952"/>
      <c r="G27" s="951"/>
      <c r="H27" s="951"/>
      <c r="I27" s="951"/>
      <c r="J27" s="951"/>
      <c r="K27" s="951"/>
      <c r="L27" s="951"/>
      <c r="M27" s="977"/>
    </row>
    <row r="28" x14ac:dyDescent="0.3">
      <c r="B28" s="973"/>
      <c r="C28" s="899" t="s">
        <v>351</v>
      </c>
      <c r="D28" s="900" t="s">
        <v>352</v>
      </c>
      <c r="E28" s="901">
        <v>0.64</v>
      </c>
      <c r="F28" s="952"/>
      <c r="G28" s="951"/>
      <c r="H28" s="951"/>
      <c r="I28" s="951"/>
      <c r="J28" s="951"/>
      <c r="K28" s="951"/>
      <c r="L28" s="951"/>
      <c r="M28" s="977"/>
    </row>
    <row r="29" x14ac:dyDescent="0.3">
      <c r="B29" s="973"/>
      <c r="C29" s="899" t="s">
        <v>331</v>
      </c>
      <c r="D29" s="900" t="s">
        <v>332</v>
      </c>
      <c r="E29" s="901">
        <v>0.43</v>
      </c>
      <c r="F29" s="952"/>
      <c r="G29" s="951"/>
      <c r="H29" s="951"/>
      <c r="I29" s="951"/>
      <c r="J29" s="951"/>
      <c r="K29" s="951"/>
      <c r="L29" s="951"/>
      <c r="M29" s="977"/>
    </row>
    <row r="30" x14ac:dyDescent="0.3">
      <c r="B30" s="973"/>
      <c r="C30" s="899" t="s">
        <v>333</v>
      </c>
      <c r="D30" s="900" t="s">
        <v>334</v>
      </c>
      <c r="E30" s="901">
        <v>0.3</v>
      </c>
      <c r="F30" s="952"/>
      <c r="G30" s="951"/>
      <c r="H30" s="951"/>
      <c r="I30" s="951"/>
      <c r="J30" s="951"/>
      <c r="K30" s="951"/>
      <c r="L30" s="951"/>
      <c r="M30" s="977"/>
    </row>
    <row r="31" x14ac:dyDescent="0.3">
      <c r="B31" s="973"/>
      <c r="C31" s="899" t="s">
        <v>301</v>
      </c>
      <c r="D31" s="900" t="s">
        <v>302</v>
      </c>
      <c r="E31" s="901">
        <v>16</v>
      </c>
      <c r="F31" s="952"/>
      <c r="G31" s="951"/>
      <c r="H31" s="951"/>
      <c r="I31" s="951"/>
      <c r="J31" s="951"/>
      <c r="K31" s="951"/>
      <c r="L31" s="951"/>
      <c r="M31" s="977"/>
    </row>
    <row r="32" x14ac:dyDescent="0.3">
      <c r="B32" s="973"/>
      <c r="C32" s="899" t="s">
        <v>313</v>
      </c>
      <c r="D32" s="900" t="s">
        <v>314</v>
      </c>
      <c r="E32" s="901">
        <v>0.5</v>
      </c>
      <c r="F32" s="952"/>
      <c r="G32" s="951"/>
      <c r="H32" s="951"/>
      <c r="I32" s="951"/>
      <c r="J32" s="951"/>
      <c r="K32" s="951"/>
      <c r="L32" s="951"/>
      <c r="M32" s="977"/>
    </row>
    <row r="33" x14ac:dyDescent="0.3">
      <c r="B33" s="973"/>
      <c r="C33" s="899" t="s">
        <v>306</v>
      </c>
      <c r="D33" s="900" t="s">
        <v>307</v>
      </c>
      <c r="E33" s="901">
        <v>3200</v>
      </c>
      <c r="F33" s="952"/>
      <c r="G33" s="951"/>
      <c r="H33" s="951"/>
      <c r="I33" s="951"/>
      <c r="J33" s="951"/>
      <c r="K33" s="951"/>
      <c r="L33" s="951"/>
      <c r="M33" s="977"/>
    </row>
    <row r="34" x14ac:dyDescent="0.3">
      <c r="B34" s="973"/>
      <c r="C34" s="899" t="s">
        <v>370</v>
      </c>
      <c r="D34" s="900" t="s">
        <v>371</v>
      </c>
      <c r="E34" s="901">
        <v>400</v>
      </c>
      <c r="F34" s="952"/>
      <c r="G34" s="951"/>
      <c r="H34" s="951"/>
      <c r="I34" s="951"/>
      <c r="J34" s="951"/>
      <c r="K34" s="951"/>
      <c r="L34" s="951"/>
      <c r="M34" s="977"/>
    </row>
    <row r="35" x14ac:dyDescent="0.3">
      <c r="B35" s="973"/>
      <c r="C35" s="899" t="s">
        <v>311</v>
      </c>
      <c r="D35" s="900" t="s">
        <v>312</v>
      </c>
      <c r="E35" s="901">
        <v>640</v>
      </c>
      <c r="F35" s="952"/>
      <c r="G35" s="951"/>
      <c r="H35" s="951"/>
      <c r="I35" s="951"/>
      <c r="J35" s="951"/>
      <c r="K35" s="951"/>
      <c r="L35" s="951"/>
      <c r="M35" s="977"/>
    </row>
    <row r="36" x14ac:dyDescent="0.3">
      <c r="B36" s="973"/>
      <c r="C36" s="899" t="s">
        <v>360</v>
      </c>
      <c r="D36" s="900" t="s">
        <v>361</v>
      </c>
      <c r="E36" s="901">
        <v>160</v>
      </c>
      <c r="F36" s="952"/>
      <c r="G36" s="951"/>
      <c r="H36" s="951"/>
      <c r="I36" s="951"/>
      <c r="J36" s="951"/>
      <c r="K36" s="951"/>
      <c r="L36" s="951"/>
      <c r="M36" s="977"/>
    </row>
    <row r="37" x14ac:dyDescent="0.3">
      <c r="B37" s="973"/>
      <c r="C37" s="899" t="s">
        <v>368</v>
      </c>
      <c r="D37" s="900" t="s">
        <v>369</v>
      </c>
      <c r="E37" s="901">
        <v>160</v>
      </c>
      <c r="F37" s="952"/>
      <c r="G37" s="951"/>
      <c r="H37" s="951"/>
      <c r="I37" s="951"/>
      <c r="J37" s="951"/>
      <c r="K37" s="951"/>
      <c r="L37" s="951"/>
      <c r="M37" s="977"/>
    </row>
    <row r="38" x14ac:dyDescent="0.3">
      <c r="B38" s="973"/>
      <c r="C38" s="899" t="s">
        <v>297</v>
      </c>
      <c r="D38" s="900" t="s">
        <v>298</v>
      </c>
      <c r="E38" s="901">
        <v>32</v>
      </c>
      <c r="F38" s="952"/>
      <c r="G38" s="951"/>
      <c r="H38" s="951"/>
      <c r="I38" s="951"/>
      <c r="J38" s="951"/>
      <c r="K38" s="951"/>
      <c r="L38" s="951"/>
      <c r="M38" s="977"/>
    </row>
    <row r="39" x14ac:dyDescent="0.3">
      <c r="B39" s="973"/>
      <c r="C39" s="899" t="s">
        <v>299</v>
      </c>
      <c r="D39" s="900" t="s">
        <v>300</v>
      </c>
      <c r="E39" s="901">
        <v>160</v>
      </c>
      <c r="F39" s="952"/>
      <c r="G39" s="951"/>
      <c r="H39" s="951"/>
      <c r="I39" s="951"/>
      <c r="J39" s="951"/>
      <c r="K39" s="951"/>
      <c r="L39" s="951"/>
      <c r="M39" s="977"/>
    </row>
    <row r="40" x14ac:dyDescent="0.3">
      <c r="B40" s="973"/>
      <c r="C40" s="899" t="s">
        <v>310</v>
      </c>
      <c r="D40" s="902"/>
      <c r="E40" s="901">
        <v>640</v>
      </c>
      <c r="F40" s="952"/>
      <c r="G40" s="951"/>
      <c r="H40" s="951"/>
      <c r="I40" s="951"/>
      <c r="J40" s="951"/>
      <c r="K40" s="951"/>
      <c r="L40" s="951"/>
      <c r="M40" s="977"/>
    </row>
    <row r="41" x14ac:dyDescent="0.3">
      <c r="B41" s="973"/>
      <c r="C41" s="899" t="s">
        <v>305</v>
      </c>
      <c r="D41" s="902"/>
      <c r="E41" s="901">
        <v>8000</v>
      </c>
      <c r="F41" s="952"/>
      <c r="G41" s="951"/>
      <c r="H41" s="951"/>
      <c r="I41" s="951"/>
      <c r="J41" s="951"/>
      <c r="K41" s="951"/>
      <c r="L41" s="951"/>
      <c r="M41" s="977"/>
    </row>
    <row r="42" x14ac:dyDescent="0.3">
      <c r="B42" s="973"/>
      <c r="C42" s="899" t="s">
        <v>317</v>
      </c>
      <c r="D42" s="902"/>
      <c r="E42" s="901">
        <v>320</v>
      </c>
      <c r="F42" s="952"/>
      <c r="G42" s="951"/>
      <c r="H42" s="951"/>
      <c r="I42" s="951"/>
      <c r="J42" s="951"/>
      <c r="K42" s="951"/>
      <c r="L42" s="951"/>
      <c r="M42" s="977"/>
    </row>
    <row r="43" x14ac:dyDescent="0.3">
      <c r="B43" s="973"/>
      <c r="C43" s="899" t="s">
        <v>318</v>
      </c>
      <c r="D43" s="902"/>
      <c r="E43" s="901">
        <v>160</v>
      </c>
      <c r="F43" s="952"/>
      <c r="G43" s="951"/>
      <c r="H43" s="951"/>
      <c r="I43" s="951"/>
      <c r="J43" s="951"/>
      <c r="K43" s="951"/>
      <c r="L43" s="951"/>
      <c r="M43" s="977"/>
    </row>
    <row r="44" x14ac:dyDescent="0.3">
      <c r="B44" s="973"/>
      <c r="C44" s="899" t="s">
        <v>319</v>
      </c>
      <c r="D44" s="902"/>
      <c r="E44" s="901">
        <v>6.4</v>
      </c>
      <c r="F44" s="952"/>
      <c r="G44" s="951"/>
      <c r="H44" s="951"/>
      <c r="I44" s="951"/>
      <c r="J44" s="951"/>
      <c r="K44" s="951"/>
      <c r="L44" s="951"/>
      <c r="M44" s="977"/>
    </row>
    <row r="45" x14ac:dyDescent="0.3">
      <c r="B45" s="973"/>
      <c r="C45" s="899" t="s">
        <v>339</v>
      </c>
      <c r="D45" s="902"/>
      <c r="E45" s="901">
        <v>1.6</v>
      </c>
      <c r="F45" s="952"/>
      <c r="G45" s="951"/>
      <c r="H45" s="951"/>
      <c r="I45" s="951"/>
      <c r="J45" s="951"/>
      <c r="K45" s="951"/>
      <c r="L45" s="951"/>
      <c r="M45" s="977"/>
    </row>
    <row r="46" x14ac:dyDescent="0.3">
      <c r="B46" s="973"/>
      <c r="C46" s="899" t="s">
        <v>340</v>
      </c>
      <c r="D46" s="902"/>
      <c r="E46" s="901">
        <v>3.2</v>
      </c>
      <c r="F46" s="952"/>
      <c r="G46" s="951"/>
      <c r="H46" s="951"/>
      <c r="I46" s="951"/>
      <c r="J46" s="951"/>
      <c r="K46" s="951"/>
      <c r="L46" s="951"/>
      <c r="M46" s="977"/>
    </row>
    <row r="47" x14ac:dyDescent="0.3">
      <c r="B47" s="973"/>
      <c r="C47" s="899" t="s">
        <v>345</v>
      </c>
      <c r="D47" s="902"/>
      <c r="E47" s="901">
        <v>800</v>
      </c>
      <c r="F47" s="952"/>
      <c r="G47" s="951"/>
      <c r="H47" s="951"/>
      <c r="I47" s="951"/>
      <c r="J47" s="951"/>
      <c r="K47" s="951"/>
      <c r="L47" s="951"/>
      <c r="M47" s="977"/>
    </row>
    <row r="48" x14ac:dyDescent="0.3">
      <c r="B48" s="973"/>
      <c r="C48" s="899" t="s">
        <v>348</v>
      </c>
      <c r="D48" s="902"/>
      <c r="E48" s="901">
        <v>3.2</v>
      </c>
      <c r="F48" s="952"/>
      <c r="G48" s="951"/>
      <c r="H48" s="951"/>
      <c r="I48" s="951"/>
      <c r="J48" s="951"/>
      <c r="K48" s="951"/>
      <c r="L48" s="951"/>
      <c r="M48" s="977"/>
    </row>
    <row r="49" x14ac:dyDescent="0.3">
      <c r="B49" s="973"/>
      <c r="C49" s="899" t="s">
        <v>355</v>
      </c>
      <c r="D49" s="902"/>
      <c r="E49" s="901">
        <v>160</v>
      </c>
      <c r="F49" s="952"/>
      <c r="G49" s="951"/>
      <c r="H49" s="951"/>
      <c r="I49" s="951"/>
      <c r="J49" s="951"/>
      <c r="K49" s="951"/>
      <c r="L49" s="951"/>
      <c r="M49" s="977"/>
    </row>
    <row r="50" x14ac:dyDescent="0.3">
      <c r="B50" s="973"/>
      <c r="C50" s="899" t="s">
        <v>364</v>
      </c>
      <c r="D50" s="902"/>
      <c r="E50" s="901">
        <v>26.7</v>
      </c>
      <c r="F50" s="952"/>
      <c r="G50" s="951"/>
      <c r="H50" s="951"/>
      <c r="I50" s="951"/>
      <c r="J50" s="951"/>
      <c r="K50" s="951"/>
      <c r="L50" s="951"/>
      <c r="M50" s="977"/>
    </row>
    <row r="51" x14ac:dyDescent="0.3">
      <c r="B51" s="973"/>
      <c r="C51" s="899" t="s">
        <v>365</v>
      </c>
      <c r="D51" s="902"/>
      <c r="E51" s="901">
        <v>2.6</v>
      </c>
      <c r="F51" s="952"/>
      <c r="G51" s="951"/>
      <c r="H51" s="951"/>
      <c r="I51" s="951"/>
      <c r="J51" s="951"/>
      <c r="K51" s="951"/>
      <c r="L51" s="951"/>
      <c r="M51" s="977"/>
    </row>
    <row r="52" x14ac:dyDescent="0.3">
      <c r="B52" s="973"/>
      <c r="C52" s="899" t="s">
        <v>366</v>
      </c>
      <c r="D52" s="902"/>
      <c r="E52" s="901">
        <v>53.3</v>
      </c>
      <c r="F52" s="952"/>
      <c r="G52" s="951"/>
      <c r="H52" s="951"/>
      <c r="I52" s="951"/>
      <c r="J52" s="951"/>
      <c r="K52" s="951"/>
      <c r="L52" s="951"/>
      <c r="M52" s="977"/>
    </row>
    <row r="53" x14ac:dyDescent="0.3">
      <c r="B53" s="973"/>
      <c r="C53" s="899" t="s">
        <v>367</v>
      </c>
      <c r="D53" s="902"/>
      <c r="E53" s="901">
        <v>3.2</v>
      </c>
      <c r="F53" s="952"/>
      <c r="G53" s="951"/>
      <c r="H53" s="951"/>
      <c r="I53" s="951"/>
      <c r="J53" s="951"/>
      <c r="K53" s="951"/>
      <c r="L53" s="951"/>
      <c r="M53" s="977"/>
    </row>
    <row r="54" x14ac:dyDescent="0.3">
      <c r="B54" s="973"/>
      <c r="C54" s="899" t="s">
        <v>374</v>
      </c>
      <c r="D54" s="902"/>
      <c r="E54" s="901">
        <v>1.6</v>
      </c>
      <c r="F54" s="952"/>
      <c r="G54" s="951"/>
      <c r="H54" s="951"/>
      <c r="I54" s="951"/>
      <c r="J54" s="951"/>
      <c r="K54" s="951"/>
      <c r="L54" s="951"/>
      <c r="M54" s="977"/>
    </row>
    <row r="55" ht="15" thickBot="true" x14ac:dyDescent="0.35">
      <c r="B55" s="973"/>
      <c r="C55" s="903" t="s">
        <v>367</v>
      </c>
      <c r="D55" s="904"/>
      <c r="E55" s="905">
        <v>3.2</v>
      </c>
      <c r="F55" s="952"/>
      <c r="G55" s="951"/>
      <c r="H55" s="951"/>
      <c r="I55" s="951"/>
      <c r="J55" s="951"/>
      <c r="K55" s="951"/>
      <c r="L55" s="951"/>
      <c r="M55" s="977"/>
    </row>
    <row r="56" x14ac:dyDescent="0.3">
      <c r="B56" s="973"/>
      <c r="C56" s="952"/>
      <c r="D56" s="953"/>
      <c r="E56" s="952"/>
      <c r="F56" s="952"/>
      <c r="G56" s="951"/>
      <c r="H56" s="951"/>
      <c r="I56" s="951"/>
      <c r="J56" s="951"/>
      <c r="K56" s="951"/>
      <c r="L56" s="951"/>
      <c r="M56" s="977"/>
    </row>
    <row r="57" x14ac:dyDescent="0.3">
      <c r="B57" s="973"/>
      <c r="C57" s="952"/>
      <c r="D57" s="953"/>
      <c r="E57" s="952"/>
      <c r="F57" s="952"/>
      <c r="G57" s="951"/>
      <c r="H57" s="951"/>
      <c r="I57" s="951"/>
      <c r="J57" s="951"/>
      <c r="K57" s="951"/>
      <c r="L57" s="951"/>
      <c r="M57" s="977"/>
    </row>
    <row r="58" x14ac:dyDescent="0.3">
      <c r="B58" s="973"/>
      <c r="C58" s="952"/>
      <c r="D58" s="953"/>
      <c r="E58" s="952"/>
      <c r="F58" s="952"/>
      <c r="G58" s="951"/>
      <c r="H58" s="951"/>
      <c r="I58" s="951"/>
      <c r="J58" s="951"/>
      <c r="K58" s="951"/>
      <c r="L58" s="951"/>
      <c r="M58" s="977"/>
    </row>
    <row r="59" x14ac:dyDescent="0.3">
      <c r="B59" s="973"/>
      <c r="C59" s="952"/>
      <c r="D59" s="953"/>
      <c r="E59" s="952"/>
      <c r="F59" s="952"/>
      <c r="G59" s="951"/>
      <c r="H59" s="951"/>
      <c r="I59" s="951"/>
      <c r="J59" s="951"/>
      <c r="K59" s="951"/>
      <c r="L59" s="951"/>
      <c r="M59" s="977"/>
    </row>
    <row r="60" x14ac:dyDescent="0.3">
      <c r="B60" s="973"/>
      <c r="C60" s="952"/>
      <c r="D60" s="953"/>
      <c r="E60" s="952"/>
      <c r="F60" s="952"/>
      <c r="G60" s="951"/>
      <c r="H60" s="951"/>
      <c r="I60" s="951"/>
      <c r="J60" s="951"/>
      <c r="K60" s="951"/>
      <c r="L60" s="951"/>
      <c r="M60" s="977"/>
    </row>
    <row r="61" x14ac:dyDescent="0.3">
      <c r="B61" s="973"/>
      <c r="C61" s="952"/>
      <c r="D61" s="953"/>
      <c r="E61" s="952"/>
      <c r="F61" s="952"/>
      <c r="G61" s="951"/>
      <c r="H61" s="951"/>
      <c r="I61" s="951"/>
      <c r="J61" s="951"/>
      <c r="K61" s="951"/>
      <c r="L61" s="951"/>
      <c r="M61" s="977"/>
    </row>
    <row r="62" x14ac:dyDescent="0.3">
      <c r="B62" s="973"/>
      <c r="C62" s="952"/>
      <c r="D62" s="953"/>
      <c r="E62" s="952"/>
      <c r="F62" s="952"/>
      <c r="G62" s="951"/>
      <c r="H62" s="951"/>
      <c r="I62" s="951"/>
      <c r="J62" s="951"/>
      <c r="K62" s="951"/>
      <c r="L62" s="951"/>
      <c r="M62" s="977"/>
    </row>
    <row r="63" x14ac:dyDescent="0.3">
      <c r="B63" s="973"/>
      <c r="C63" s="952"/>
      <c r="D63" s="953"/>
      <c r="E63" s="952"/>
      <c r="F63" s="952"/>
      <c r="G63" s="951"/>
      <c r="H63" s="951"/>
      <c r="I63" s="951"/>
      <c r="J63" s="951"/>
      <c r="K63" s="951"/>
      <c r="L63" s="951"/>
      <c r="M63" s="977"/>
    </row>
    <row r="64" x14ac:dyDescent="0.3">
      <c r="B64" s="973"/>
      <c r="C64" s="952"/>
      <c r="D64" s="953"/>
      <c r="E64" s="952"/>
      <c r="F64" s="952"/>
      <c r="G64" s="951"/>
      <c r="H64" s="951"/>
      <c r="I64" s="951"/>
      <c r="J64" s="951"/>
      <c r="K64" s="951"/>
      <c r="L64" s="951"/>
      <c r="M64" s="977"/>
    </row>
    <row r="65" x14ac:dyDescent="0.3">
      <c r="B65" s="973"/>
      <c r="C65" s="952"/>
      <c r="D65" s="953"/>
      <c r="E65" s="952"/>
      <c r="F65" s="952"/>
      <c r="G65" s="951"/>
      <c r="H65" s="951"/>
      <c r="I65" s="951"/>
      <c r="J65" s="951"/>
      <c r="K65" s="951"/>
      <c r="L65" s="951"/>
      <c r="M65" s="977"/>
    </row>
    <row r="66" x14ac:dyDescent="0.3">
      <c r="B66" s="973"/>
      <c r="C66" s="952"/>
      <c r="D66" s="953"/>
      <c r="E66" s="952"/>
      <c r="F66" s="952"/>
      <c r="G66" s="951"/>
      <c r="H66" s="951"/>
      <c r="I66" s="951"/>
      <c r="J66" s="951"/>
      <c r="K66" s="951"/>
      <c r="L66" s="951"/>
      <c r="M66" s="977"/>
    </row>
    <row r="67" ht="29.4" thickBot="true" x14ac:dyDescent="0.35">
      <c r="B67" s="973"/>
      <c r="C67" s="974" t="s">
        <v>252</v>
      </c>
      <c r="D67" s="975" t="s">
        <v>375</v>
      </c>
      <c r="E67" s="976" t="s">
        <v>2302</v>
      </c>
      <c r="F67" s="952"/>
      <c r="G67" s="951"/>
      <c r="H67" s="951"/>
      <c r="I67" s="951"/>
      <c r="J67" s="951"/>
      <c r="K67" s="951"/>
      <c r="L67" s="951"/>
      <c r="M67" s="977"/>
    </row>
    <row r="68" x14ac:dyDescent="0.3">
      <c r="B68" s="973"/>
      <c r="C68" s="906" t="s">
        <v>535</v>
      </c>
      <c r="D68" s="907" t="s">
        <v>536</v>
      </c>
      <c r="E68" s="898">
        <v>0.55400000000000005</v>
      </c>
      <c r="F68" s="952"/>
      <c r="G68" s="951"/>
      <c r="H68" s="951"/>
      <c r="I68" s="951"/>
      <c r="J68" s="2160" t="s">
        <v>381</v>
      </c>
      <c r="K68" s="2160"/>
      <c r="L68" s="2160"/>
      <c r="M68" s="978" t="s">
        <v>475</v>
      </c>
    </row>
    <row r="69" x14ac:dyDescent="0.3">
      <c r="B69" s="973"/>
      <c r="C69" s="908" t="s">
        <v>558</v>
      </c>
      <c r="D69" s="909" t="s">
        <v>559</v>
      </c>
      <c r="E69" s="901">
        <v>0.44600000000000001</v>
      </c>
      <c r="F69" s="952"/>
      <c r="G69" s="951"/>
      <c r="H69" s="951"/>
      <c r="I69" s="951"/>
      <c r="J69" s="2160" t="s">
        <v>382</v>
      </c>
      <c r="K69" s="2160"/>
      <c r="L69" s="2160"/>
      <c r="M69" s="1142">
        <f>IF(ISNA(VLOOKUP(M68,D69:E156,2,FALSE))=TRUE,0,VLOOKUP(M68,D69:E156,2,FALSE))</f>
        <v>0.59499999999999997</v>
      </c>
    </row>
    <row r="70" x14ac:dyDescent="0.3">
      <c r="B70" s="973"/>
      <c r="C70" s="908" t="s">
        <v>586</v>
      </c>
      <c r="D70" s="909" t="s">
        <v>587</v>
      </c>
      <c r="E70" s="901">
        <v>3.0000000000000001E-3</v>
      </c>
      <c r="F70" s="952"/>
      <c r="G70" s="951"/>
      <c r="H70" s="951"/>
      <c r="I70" s="951"/>
      <c r="J70" s="951"/>
      <c r="K70" s="951"/>
      <c r="L70" s="951"/>
      <c r="M70" s="977"/>
    </row>
    <row r="71" x14ac:dyDescent="0.3">
      <c r="B71" s="973"/>
      <c r="C71" s="908" t="s">
        <v>588</v>
      </c>
      <c r="D71" s="909" t="s">
        <v>589</v>
      </c>
      <c r="E71" s="901">
        <v>0.156</v>
      </c>
      <c r="F71" s="952"/>
      <c r="G71" s="951"/>
      <c r="H71" s="951"/>
      <c r="I71" s="951"/>
      <c r="J71" s="951"/>
      <c r="K71" s="951"/>
      <c r="L71" s="951"/>
      <c r="M71" s="977"/>
    </row>
    <row r="72" ht="12" customHeight="true" x14ac:dyDescent="0.3">
      <c r="B72" s="973"/>
      <c r="C72" s="908" t="s">
        <v>557</v>
      </c>
      <c r="D72" s="909" t="s">
        <v>188</v>
      </c>
      <c r="E72" s="901">
        <v>0.20499999999999999</v>
      </c>
      <c r="F72" s="952"/>
      <c r="G72" s="951"/>
      <c r="H72" s="951"/>
      <c r="I72" s="951"/>
      <c r="J72" s="951"/>
      <c r="K72" s="951"/>
      <c r="L72" s="951"/>
      <c r="M72" s="977"/>
    </row>
    <row r="73" ht="12" customHeight="true" x14ac:dyDescent="0.3">
      <c r="B73" s="973"/>
      <c r="C73" s="908" t="s">
        <v>560</v>
      </c>
      <c r="D73" s="909" t="s">
        <v>561</v>
      </c>
      <c r="E73" s="901">
        <v>0.216</v>
      </c>
      <c r="F73" s="952"/>
      <c r="G73" s="951"/>
      <c r="H73" s="951"/>
      <c r="I73" s="951"/>
      <c r="J73" s="951"/>
      <c r="K73" s="951"/>
      <c r="L73" s="951"/>
      <c r="M73" s="977"/>
    </row>
    <row r="74" x14ac:dyDescent="0.3">
      <c r="B74" s="973"/>
      <c r="C74" s="908" t="s">
        <v>549</v>
      </c>
      <c r="D74" s="909" t="s">
        <v>550</v>
      </c>
      <c r="E74" s="901">
        <v>0.182</v>
      </c>
      <c r="F74" s="952"/>
      <c r="G74" s="951"/>
      <c r="H74" s="951"/>
      <c r="I74" s="951"/>
      <c r="J74" s="951"/>
      <c r="K74" s="951"/>
      <c r="L74" s="951"/>
      <c r="M74" s="977"/>
    </row>
    <row r="75" x14ac:dyDescent="0.3">
      <c r="B75" s="973"/>
      <c r="C75" s="908" t="s">
        <v>562</v>
      </c>
      <c r="D75" s="909" t="s">
        <v>563</v>
      </c>
      <c r="E75" s="901">
        <v>0.628</v>
      </c>
      <c r="F75" s="952"/>
      <c r="G75" s="951"/>
      <c r="H75" s="951"/>
      <c r="I75" s="951"/>
      <c r="J75" s="951"/>
      <c r="K75" s="951"/>
      <c r="L75" s="951"/>
      <c r="M75" s="977"/>
    </row>
    <row r="76" x14ac:dyDescent="0.3">
      <c r="B76" s="973"/>
      <c r="C76" s="908" t="s">
        <v>303</v>
      </c>
      <c r="D76" s="909" t="s">
        <v>504</v>
      </c>
      <c r="E76" s="901">
        <v>0.33400000000000002</v>
      </c>
      <c r="F76" s="952"/>
      <c r="G76" s="951"/>
      <c r="H76" s="951"/>
      <c r="I76" s="951"/>
      <c r="J76" s="951"/>
      <c r="K76" s="951"/>
      <c r="L76" s="951"/>
      <c r="M76" s="977"/>
    </row>
    <row r="77" x14ac:dyDescent="0.3">
      <c r="B77" s="973"/>
      <c r="C77" s="908" t="s">
        <v>604</v>
      </c>
      <c r="D77" s="909" t="s">
        <v>605</v>
      </c>
      <c r="E77" s="901">
        <v>2E-3</v>
      </c>
      <c r="F77" s="952"/>
      <c r="G77" s="951"/>
      <c r="H77" s="951"/>
      <c r="I77" s="951"/>
      <c r="J77" s="951"/>
      <c r="K77" s="951"/>
      <c r="L77" s="951"/>
      <c r="M77" s="977"/>
    </row>
    <row r="78" x14ac:dyDescent="0.3">
      <c r="B78" s="973"/>
      <c r="C78" s="908" t="s">
        <v>428</v>
      </c>
      <c r="D78" s="910" t="s">
        <v>429</v>
      </c>
      <c r="E78" s="901">
        <v>3.4000000000000002E-2</v>
      </c>
      <c r="F78" s="952"/>
      <c r="G78" s="951"/>
      <c r="H78" s="951"/>
      <c r="I78" s="951"/>
      <c r="J78" s="951"/>
      <c r="K78" s="951"/>
      <c r="L78" s="951"/>
      <c r="M78" s="977"/>
    </row>
    <row r="79" x14ac:dyDescent="0.3">
      <c r="B79" s="973"/>
      <c r="C79" s="908" t="s">
        <v>430</v>
      </c>
      <c r="D79" s="910" t="s">
        <v>431</v>
      </c>
      <c r="E79" s="901">
        <v>0.14000000000000001</v>
      </c>
      <c r="F79" s="952"/>
      <c r="G79" s="951"/>
      <c r="H79" s="951"/>
      <c r="I79" s="951"/>
      <c r="J79" s="951"/>
      <c r="K79" s="951"/>
      <c r="L79" s="951"/>
      <c r="M79" s="977"/>
    </row>
    <row r="80" x14ac:dyDescent="0.3">
      <c r="B80" s="973"/>
      <c r="C80" s="908" t="s">
        <v>478</v>
      </c>
      <c r="D80" s="909" t="s">
        <v>479</v>
      </c>
      <c r="E80" s="901">
        <v>1</v>
      </c>
      <c r="F80" s="952"/>
      <c r="G80" s="951"/>
      <c r="H80" s="951"/>
      <c r="I80" s="951"/>
      <c r="J80" s="951"/>
      <c r="K80" s="951"/>
      <c r="L80" s="951"/>
      <c r="M80" s="977"/>
    </row>
    <row r="81" x14ac:dyDescent="0.3">
      <c r="B81" s="973"/>
      <c r="C81" s="899" t="s">
        <v>502</v>
      </c>
      <c r="D81" s="909" t="s">
        <v>503</v>
      </c>
      <c r="E81" s="901">
        <v>0.28000000000000003</v>
      </c>
      <c r="F81" s="952"/>
      <c r="G81" s="951"/>
      <c r="H81" s="951"/>
      <c r="I81" s="951"/>
      <c r="J81" s="951"/>
      <c r="K81" s="951"/>
      <c r="L81" s="951"/>
      <c r="M81" s="977"/>
    </row>
    <row r="82" x14ac:dyDescent="0.3">
      <c r="B82" s="973"/>
      <c r="C82" s="908" t="s">
        <v>600</v>
      </c>
      <c r="D82" s="909" t="s">
        <v>601</v>
      </c>
      <c r="E82" s="901">
        <v>3.5000000000000003E-2</v>
      </c>
      <c r="F82" s="952"/>
      <c r="G82" s="951"/>
      <c r="H82" s="951"/>
      <c r="I82" s="951"/>
      <c r="J82" s="951"/>
      <c r="K82" s="951"/>
      <c r="L82" s="951"/>
      <c r="M82" s="977"/>
    </row>
    <row r="83" x14ac:dyDescent="0.3">
      <c r="B83" s="973"/>
      <c r="C83" s="908" t="s">
        <v>432</v>
      </c>
      <c r="D83" s="910" t="s">
        <v>433</v>
      </c>
      <c r="E83" s="901">
        <v>0.41099999999999998</v>
      </c>
      <c r="F83" s="952"/>
      <c r="G83" s="951"/>
      <c r="H83" s="951"/>
      <c r="I83" s="951"/>
      <c r="J83" s="951"/>
      <c r="K83" s="951"/>
      <c r="L83" s="951"/>
      <c r="M83" s="977"/>
    </row>
    <row r="84" x14ac:dyDescent="0.3">
      <c r="B84" s="973"/>
      <c r="C84" s="908" t="s">
        <v>610</v>
      </c>
      <c r="D84" s="909" t="s">
        <v>611</v>
      </c>
      <c r="E84" s="901">
        <v>0.27200000000000002</v>
      </c>
      <c r="F84" s="952"/>
      <c r="G84" s="951"/>
      <c r="H84" s="951"/>
      <c r="I84" s="951"/>
      <c r="J84" s="951"/>
      <c r="K84" s="951"/>
      <c r="L84" s="951"/>
      <c r="M84" s="977"/>
    </row>
    <row r="85" x14ac:dyDescent="0.3">
      <c r="B85" s="973"/>
      <c r="C85" s="908" t="s">
        <v>537</v>
      </c>
      <c r="D85" s="909" t="s">
        <v>538</v>
      </c>
      <c r="E85" s="901">
        <v>0.65</v>
      </c>
      <c r="F85" s="952"/>
      <c r="G85" s="951"/>
      <c r="H85" s="951"/>
      <c r="I85" s="951"/>
      <c r="J85" s="951"/>
      <c r="K85" s="951"/>
      <c r="L85" s="951"/>
      <c r="M85" s="977"/>
    </row>
    <row r="86" x14ac:dyDescent="0.3">
      <c r="B86" s="973"/>
      <c r="C86" s="908" t="s">
        <v>602</v>
      </c>
      <c r="D86" s="909" t="s">
        <v>603</v>
      </c>
      <c r="E86" s="901">
        <v>3.1E-2</v>
      </c>
      <c r="F86" s="952"/>
      <c r="G86" s="951"/>
      <c r="H86" s="951"/>
      <c r="I86" s="951"/>
      <c r="J86" s="951"/>
      <c r="K86" s="951"/>
      <c r="L86" s="951"/>
      <c r="M86" s="977"/>
    </row>
    <row r="87" x14ac:dyDescent="0.3">
      <c r="B87" s="973"/>
      <c r="C87" s="908" t="s">
        <v>436</v>
      </c>
      <c r="D87" s="909" t="s">
        <v>437</v>
      </c>
      <c r="E87" s="901">
        <v>0.42599999999999999</v>
      </c>
      <c r="F87" s="952"/>
      <c r="G87" s="951"/>
      <c r="H87" s="951"/>
      <c r="I87" s="951"/>
      <c r="J87" s="951"/>
      <c r="K87" s="951"/>
      <c r="L87" s="951"/>
      <c r="M87" s="977"/>
    </row>
    <row r="88" x14ac:dyDescent="0.3">
      <c r="B88" s="973"/>
      <c r="C88" s="908" t="s">
        <v>612</v>
      </c>
      <c r="D88" s="909" t="s">
        <v>613</v>
      </c>
      <c r="E88" s="901">
        <v>0.23200000000000001</v>
      </c>
      <c r="F88" s="952"/>
      <c r="G88" s="951"/>
      <c r="H88" s="951"/>
      <c r="I88" s="951"/>
      <c r="J88" s="951"/>
      <c r="K88" s="951"/>
      <c r="L88" s="951"/>
      <c r="M88" s="977"/>
    </row>
    <row r="89" x14ac:dyDescent="0.3">
      <c r="B89" s="973"/>
      <c r="C89" s="908" t="s">
        <v>568</v>
      </c>
      <c r="D89" s="909" t="s">
        <v>569</v>
      </c>
      <c r="E89" s="901">
        <v>0.191</v>
      </c>
      <c r="F89" s="952"/>
      <c r="G89" s="951"/>
      <c r="H89" s="951"/>
      <c r="I89" s="951"/>
      <c r="J89" s="951"/>
      <c r="K89" s="951"/>
      <c r="L89" s="951"/>
      <c r="M89" s="977"/>
    </row>
    <row r="90" x14ac:dyDescent="0.3">
      <c r="B90" s="973"/>
      <c r="C90" s="908" t="s">
        <v>448</v>
      </c>
      <c r="D90" s="909" t="s">
        <v>449</v>
      </c>
      <c r="E90" s="901">
        <v>0.32100000000000001</v>
      </c>
      <c r="F90" s="952"/>
      <c r="G90" s="951"/>
      <c r="H90" s="951"/>
      <c r="I90" s="951"/>
      <c r="J90" s="951"/>
      <c r="K90" s="951"/>
      <c r="L90" s="951"/>
      <c r="M90" s="977"/>
    </row>
    <row r="91" x14ac:dyDescent="0.3">
      <c r="B91" s="973"/>
      <c r="C91" s="908" t="s">
        <v>440</v>
      </c>
      <c r="D91" s="909" t="s">
        <v>441</v>
      </c>
      <c r="E91" s="901">
        <v>0.59799999999999998</v>
      </c>
      <c r="F91" s="952"/>
      <c r="G91" s="951"/>
      <c r="H91" s="951"/>
      <c r="I91" s="951"/>
      <c r="J91" s="951"/>
      <c r="K91" s="951"/>
      <c r="L91" s="951"/>
      <c r="M91" s="977"/>
    </row>
    <row r="92" x14ac:dyDescent="0.3">
      <c r="B92" s="973"/>
      <c r="C92" s="908" t="s">
        <v>498</v>
      </c>
      <c r="D92" s="909" t="s">
        <v>499</v>
      </c>
      <c r="E92" s="901">
        <v>1.18</v>
      </c>
      <c r="F92" s="952"/>
      <c r="G92" s="951"/>
      <c r="H92" s="951"/>
      <c r="I92" s="951"/>
      <c r="J92" s="951"/>
      <c r="K92" s="951"/>
      <c r="L92" s="951"/>
      <c r="M92" s="977"/>
    </row>
    <row r="93" x14ac:dyDescent="0.3">
      <c r="B93" s="973"/>
      <c r="C93" s="908" t="s">
        <v>564</v>
      </c>
      <c r="D93" s="909" t="s">
        <v>565</v>
      </c>
      <c r="E93" s="901">
        <v>0.59099999999999997</v>
      </c>
      <c r="F93" s="952"/>
      <c r="G93" s="951"/>
      <c r="H93" s="951"/>
      <c r="I93" s="951"/>
      <c r="J93" s="951"/>
      <c r="K93" s="951"/>
      <c r="L93" s="951"/>
      <c r="M93" s="977"/>
    </row>
    <row r="94" x14ac:dyDescent="0.3">
      <c r="B94" s="973"/>
      <c r="C94" s="908" t="s">
        <v>543</v>
      </c>
      <c r="D94" s="909" t="s">
        <v>544</v>
      </c>
      <c r="E94" s="901">
        <v>0.85499999999999998</v>
      </c>
      <c r="F94" s="952"/>
      <c r="G94" s="951"/>
      <c r="H94" s="951"/>
      <c r="I94" s="951"/>
      <c r="J94" s="951"/>
      <c r="K94" s="951"/>
      <c r="L94" s="951"/>
      <c r="M94" s="977"/>
    </row>
    <row r="95" x14ac:dyDescent="0.3">
      <c r="B95" s="973"/>
      <c r="C95" s="908" t="s">
        <v>566</v>
      </c>
      <c r="D95" s="909" t="s">
        <v>567</v>
      </c>
      <c r="E95" s="901">
        <v>0.46800000000000003</v>
      </c>
      <c r="F95" s="952"/>
      <c r="G95" s="951"/>
      <c r="H95" s="951"/>
      <c r="I95" s="951"/>
      <c r="J95" s="951"/>
      <c r="K95" s="951"/>
      <c r="L95" s="951"/>
      <c r="M95" s="977"/>
    </row>
    <row r="96" x14ac:dyDescent="0.3">
      <c r="B96" s="973"/>
      <c r="C96" s="908" t="s">
        <v>551</v>
      </c>
      <c r="D96" s="909" t="s">
        <v>552</v>
      </c>
      <c r="E96" s="901">
        <v>0.51100000000000001</v>
      </c>
      <c r="F96" s="952"/>
      <c r="G96" s="951"/>
      <c r="H96" s="951"/>
      <c r="I96" s="951"/>
      <c r="J96" s="951"/>
      <c r="K96" s="951"/>
      <c r="L96" s="951"/>
      <c r="M96" s="977"/>
    </row>
    <row r="97" x14ac:dyDescent="0.3">
      <c r="B97" s="973"/>
      <c r="C97" s="908" t="s">
        <v>608</v>
      </c>
      <c r="D97" s="909" t="s">
        <v>609</v>
      </c>
      <c r="E97" s="901">
        <v>7.4999999999999997E-2</v>
      </c>
      <c r="F97" s="952"/>
      <c r="G97" s="951"/>
      <c r="H97" s="951"/>
      <c r="I97" s="951"/>
      <c r="J97" s="951"/>
      <c r="K97" s="951"/>
      <c r="L97" s="951"/>
      <c r="M97" s="977"/>
    </row>
    <row r="98" x14ac:dyDescent="0.3">
      <c r="B98" s="973"/>
      <c r="C98" s="908" t="s">
        <v>590</v>
      </c>
      <c r="D98" s="909" t="s">
        <v>591</v>
      </c>
      <c r="E98" s="901">
        <v>3.5000000000000003E-2</v>
      </c>
      <c r="F98" s="952"/>
      <c r="G98" s="951"/>
      <c r="H98" s="951"/>
      <c r="I98" s="951"/>
      <c r="J98" s="951"/>
      <c r="K98" s="951"/>
      <c r="L98" s="951"/>
      <c r="M98" s="977"/>
    </row>
    <row r="99" x14ac:dyDescent="0.3">
      <c r="B99" s="973"/>
      <c r="C99" s="908" t="s">
        <v>574</v>
      </c>
      <c r="D99" s="909" t="s">
        <v>575</v>
      </c>
      <c r="E99" s="901">
        <v>4.5999999999999999E-2</v>
      </c>
      <c r="F99" s="952"/>
      <c r="G99" s="951"/>
      <c r="H99" s="951"/>
      <c r="I99" s="951"/>
      <c r="J99" s="951"/>
      <c r="K99" s="951"/>
      <c r="L99" s="951"/>
      <c r="M99" s="977"/>
    </row>
    <row r="100" x14ac:dyDescent="0.3">
      <c r="B100" s="973"/>
      <c r="C100" s="908" t="s">
        <v>450</v>
      </c>
      <c r="D100" s="909" t="s">
        <v>451</v>
      </c>
      <c r="E100" s="901">
        <v>0.94299999999999995</v>
      </c>
      <c r="F100" s="952"/>
      <c r="G100" s="951"/>
      <c r="H100" s="951"/>
      <c r="I100" s="951"/>
      <c r="J100" s="951"/>
      <c r="K100" s="951"/>
      <c r="L100" s="951"/>
      <c r="M100" s="977"/>
    </row>
    <row r="101" x14ac:dyDescent="0.3">
      <c r="B101" s="973"/>
      <c r="C101" s="908" t="s">
        <v>507</v>
      </c>
      <c r="D101" s="909" t="s">
        <v>508</v>
      </c>
      <c r="E101" s="901">
        <v>0.83099999999999996</v>
      </c>
      <c r="F101" s="952"/>
      <c r="G101" s="951"/>
      <c r="H101" s="951"/>
      <c r="I101" s="951"/>
      <c r="J101" s="951"/>
      <c r="K101" s="951"/>
      <c r="L101" s="951"/>
      <c r="M101" s="977"/>
    </row>
    <row r="102" x14ac:dyDescent="0.3">
      <c r="B102" s="973"/>
      <c r="C102" s="908" t="s">
        <v>521</v>
      </c>
      <c r="D102" s="909" t="s">
        <v>522</v>
      </c>
      <c r="E102" s="901">
        <v>1.3240000000000001</v>
      </c>
      <c r="F102" s="952"/>
      <c r="G102" s="951"/>
      <c r="H102" s="951"/>
      <c r="I102" s="951"/>
      <c r="J102" s="951"/>
      <c r="K102" s="951"/>
      <c r="L102" s="951"/>
      <c r="M102" s="977"/>
    </row>
    <row r="103" x14ac:dyDescent="0.3">
      <c r="B103" s="973"/>
      <c r="C103" s="908" t="s">
        <v>446</v>
      </c>
      <c r="D103" s="909" t="s">
        <v>447</v>
      </c>
      <c r="E103" s="901">
        <v>0.66100000000000003</v>
      </c>
      <c r="F103" s="952"/>
      <c r="G103" s="951"/>
      <c r="H103" s="951"/>
      <c r="I103" s="951"/>
      <c r="J103" s="951"/>
      <c r="K103" s="951"/>
      <c r="L103" s="951"/>
      <c r="M103" s="977"/>
    </row>
    <row r="104" x14ac:dyDescent="0.3">
      <c r="B104" s="973"/>
      <c r="C104" s="908" t="s">
        <v>517</v>
      </c>
      <c r="D104" s="909" t="s">
        <v>518</v>
      </c>
      <c r="E104" s="901">
        <v>0.74399999999999999</v>
      </c>
      <c r="F104" s="952"/>
      <c r="G104" s="951"/>
      <c r="H104" s="951"/>
      <c r="I104" s="951"/>
      <c r="J104" s="951"/>
      <c r="K104" s="951"/>
      <c r="L104" s="951"/>
      <c r="M104" s="977"/>
    </row>
    <row r="105" x14ac:dyDescent="0.3">
      <c r="B105" s="973"/>
      <c r="C105" s="908" t="s">
        <v>513</v>
      </c>
      <c r="D105" s="909" t="s">
        <v>514</v>
      </c>
      <c r="E105" s="901">
        <v>0.80800000000000005</v>
      </c>
      <c r="F105" s="952"/>
      <c r="G105" s="951"/>
      <c r="H105" s="951"/>
      <c r="I105" s="951"/>
      <c r="J105" s="951"/>
      <c r="K105" s="951"/>
      <c r="L105" s="951"/>
      <c r="M105" s="977"/>
    </row>
    <row r="106" x14ac:dyDescent="0.3">
      <c r="B106" s="973"/>
      <c r="C106" s="908" t="s">
        <v>547</v>
      </c>
      <c r="D106" s="909" t="s">
        <v>548</v>
      </c>
      <c r="E106" s="911">
        <v>-5.6000000000000001E-2</v>
      </c>
      <c r="F106" s="952"/>
      <c r="G106" s="951"/>
      <c r="H106" s="951"/>
      <c r="I106" s="951"/>
      <c r="J106" s="951"/>
      <c r="K106" s="951"/>
      <c r="L106" s="951"/>
      <c r="M106" s="977"/>
    </row>
    <row r="107" x14ac:dyDescent="0.3">
      <c r="B107" s="973"/>
      <c r="C107" s="908" t="s">
        <v>515</v>
      </c>
      <c r="D107" s="909" t="s">
        <v>516</v>
      </c>
      <c r="E107" s="901">
        <v>0.71299999999999997</v>
      </c>
      <c r="F107" s="952"/>
      <c r="G107" s="951"/>
      <c r="H107" s="951"/>
      <c r="I107" s="951"/>
      <c r="J107" s="951"/>
      <c r="K107" s="951"/>
      <c r="L107" s="951"/>
      <c r="M107" s="977"/>
    </row>
    <row r="108" x14ac:dyDescent="0.3">
      <c r="B108" s="973"/>
      <c r="C108" s="908" t="s">
        <v>584</v>
      </c>
      <c r="D108" s="909" t="s">
        <v>585</v>
      </c>
      <c r="E108" s="901">
        <v>0.45200000000000001</v>
      </c>
      <c r="F108" s="952"/>
      <c r="G108" s="951"/>
      <c r="H108" s="951"/>
      <c r="I108" s="951"/>
      <c r="J108" s="951"/>
      <c r="K108" s="951"/>
      <c r="L108" s="951"/>
      <c r="M108" s="977"/>
    </row>
    <row r="109" x14ac:dyDescent="0.3">
      <c r="B109" s="973"/>
      <c r="C109" s="908" t="s">
        <v>511</v>
      </c>
      <c r="D109" s="909" t="s">
        <v>512</v>
      </c>
      <c r="E109" s="901">
        <v>0.94799999999999995</v>
      </c>
      <c r="F109" s="952"/>
      <c r="G109" s="951"/>
      <c r="H109" s="951"/>
      <c r="I109" s="951"/>
      <c r="J109" s="951"/>
      <c r="K109" s="951"/>
      <c r="L109" s="951"/>
      <c r="M109" s="977"/>
    </row>
    <row r="110" x14ac:dyDescent="0.3">
      <c r="B110" s="973"/>
      <c r="C110" s="908" t="s">
        <v>434</v>
      </c>
      <c r="D110" s="909" t="s">
        <v>435</v>
      </c>
      <c r="E110" s="901">
        <v>0.6</v>
      </c>
      <c r="F110" s="952"/>
      <c r="G110" s="951"/>
      <c r="H110" s="951"/>
      <c r="I110" s="951"/>
      <c r="J110" s="951"/>
      <c r="K110" s="951"/>
      <c r="L110" s="951"/>
      <c r="M110" s="977"/>
    </row>
    <row r="111" x14ac:dyDescent="0.3">
      <c r="B111" s="973"/>
      <c r="C111" s="908" t="s">
        <v>482</v>
      </c>
      <c r="D111" s="909" t="s">
        <v>483</v>
      </c>
      <c r="E111" s="901">
        <v>1.1299999999999999</v>
      </c>
      <c r="F111" s="952"/>
      <c r="G111" s="951"/>
      <c r="H111" s="951"/>
      <c r="I111" s="951"/>
      <c r="J111" s="951"/>
      <c r="K111" s="951"/>
      <c r="L111" s="951"/>
      <c r="M111" s="977"/>
    </row>
    <row r="112" x14ac:dyDescent="0.3">
      <c r="B112" s="973"/>
      <c r="C112" s="908" t="s">
        <v>484</v>
      </c>
      <c r="D112" s="909" t="s">
        <v>485</v>
      </c>
      <c r="E112" s="901">
        <v>0.99</v>
      </c>
      <c r="F112" s="952"/>
      <c r="G112" s="951"/>
      <c r="H112" s="951"/>
      <c r="I112" s="951"/>
      <c r="J112" s="951"/>
      <c r="K112" s="951"/>
      <c r="L112" s="951"/>
      <c r="M112" s="977"/>
    </row>
    <row r="113" x14ac:dyDescent="0.3">
      <c r="B113" s="973"/>
      <c r="C113" s="908" t="s">
        <v>444</v>
      </c>
      <c r="D113" s="909" t="s">
        <v>445</v>
      </c>
      <c r="E113" s="901">
        <v>0.77800000000000002</v>
      </c>
      <c r="F113" s="952"/>
      <c r="G113" s="951"/>
      <c r="H113" s="951"/>
      <c r="I113" s="951"/>
      <c r="J113" s="951"/>
      <c r="K113" s="951"/>
      <c r="L113" s="951"/>
      <c r="M113" s="977"/>
    </row>
    <row r="114" x14ac:dyDescent="0.3">
      <c r="B114" s="973"/>
      <c r="C114" s="908" t="s">
        <v>594</v>
      </c>
      <c r="D114" s="909" t="s">
        <v>595</v>
      </c>
      <c r="E114" s="901">
        <v>0.51800000000000002</v>
      </c>
      <c r="F114" s="952"/>
      <c r="G114" s="951"/>
      <c r="H114" s="951"/>
      <c r="I114" s="951"/>
      <c r="J114" s="951"/>
      <c r="K114" s="951"/>
      <c r="L114" s="951"/>
      <c r="M114" s="977"/>
    </row>
    <row r="115" x14ac:dyDescent="0.3">
      <c r="B115" s="973"/>
      <c r="C115" s="908" t="s">
        <v>553</v>
      </c>
      <c r="D115" s="909" t="s">
        <v>554</v>
      </c>
      <c r="E115" s="901">
        <v>0.84299999999999997</v>
      </c>
      <c r="F115" s="952"/>
      <c r="G115" s="951"/>
      <c r="H115" s="951"/>
      <c r="I115" s="951"/>
      <c r="J115" s="951"/>
      <c r="K115" s="951"/>
      <c r="L115" s="951"/>
      <c r="M115" s="977"/>
    </row>
    <row r="116" x14ac:dyDescent="0.3">
      <c r="B116" s="973"/>
      <c r="C116" s="908" t="s">
        <v>580</v>
      </c>
      <c r="D116" s="909" t="s">
        <v>581</v>
      </c>
      <c r="E116" s="901">
        <v>0.29099999999999998</v>
      </c>
      <c r="F116" s="952"/>
      <c r="G116" s="951"/>
      <c r="H116" s="951"/>
      <c r="I116" s="951"/>
      <c r="J116" s="951"/>
      <c r="K116" s="951"/>
      <c r="L116" s="951"/>
      <c r="M116" s="977"/>
    </row>
    <row r="117" x14ac:dyDescent="0.3">
      <c r="B117" s="973"/>
      <c r="C117" s="908" t="s">
        <v>509</v>
      </c>
      <c r="D117" s="909" t="s">
        <v>510</v>
      </c>
      <c r="E117" s="901">
        <v>0.08</v>
      </c>
      <c r="F117" s="952"/>
      <c r="G117" s="951"/>
      <c r="H117" s="951"/>
      <c r="I117" s="951"/>
      <c r="J117" s="951"/>
      <c r="K117" s="951"/>
      <c r="L117" s="951"/>
      <c r="M117" s="977"/>
    </row>
    <row r="118" x14ac:dyDescent="0.3">
      <c r="B118" s="973"/>
      <c r="C118" s="908" t="s">
        <v>523</v>
      </c>
      <c r="D118" s="909" t="s">
        <v>524</v>
      </c>
      <c r="E118" s="901">
        <v>1.2989999999999999</v>
      </c>
      <c r="F118" s="952"/>
      <c r="G118" s="951"/>
      <c r="H118" s="951"/>
      <c r="I118" s="951"/>
      <c r="J118" s="951"/>
      <c r="K118" s="951"/>
      <c r="L118" s="951"/>
      <c r="M118" s="977"/>
    </row>
    <row r="119" x14ac:dyDescent="0.3">
      <c r="B119" s="973"/>
      <c r="C119" s="908" t="s">
        <v>476</v>
      </c>
      <c r="D119" s="909" t="s">
        <v>477</v>
      </c>
      <c r="E119" s="901">
        <v>0.73199999999999998</v>
      </c>
      <c r="F119" s="952"/>
      <c r="G119" s="951"/>
      <c r="H119" s="951"/>
      <c r="I119" s="951"/>
      <c r="J119" s="951"/>
      <c r="K119" s="951"/>
      <c r="L119" s="951"/>
      <c r="M119" s="977"/>
    </row>
    <row r="120" x14ac:dyDescent="0.3">
      <c r="B120" s="973"/>
      <c r="C120" s="908" t="s">
        <v>505</v>
      </c>
      <c r="D120" s="909" t="s">
        <v>506</v>
      </c>
      <c r="E120" s="901">
        <v>0.77100000000000002</v>
      </c>
      <c r="F120" s="952"/>
      <c r="G120" s="951"/>
      <c r="H120" s="951"/>
      <c r="I120" s="951"/>
      <c r="J120" s="951"/>
      <c r="K120" s="951"/>
      <c r="L120" s="951"/>
      <c r="M120" s="977"/>
    </row>
    <row r="121" x14ac:dyDescent="0.3">
      <c r="B121" s="973"/>
      <c r="C121" s="908" t="s">
        <v>572</v>
      </c>
      <c r="D121" s="909" t="s">
        <v>573</v>
      </c>
      <c r="E121" s="901">
        <v>0.622</v>
      </c>
      <c r="F121" s="952"/>
      <c r="G121" s="951"/>
      <c r="H121" s="951"/>
      <c r="I121" s="951"/>
      <c r="J121" s="951"/>
      <c r="K121" s="951"/>
      <c r="L121" s="951"/>
      <c r="M121" s="977"/>
    </row>
    <row r="122" x14ac:dyDescent="0.3">
      <c r="B122" s="973"/>
      <c r="C122" s="908" t="s">
        <v>555</v>
      </c>
      <c r="D122" s="909" t="s">
        <v>556</v>
      </c>
      <c r="E122" s="901">
        <v>0.52900000000000003</v>
      </c>
      <c r="F122" s="952"/>
      <c r="G122" s="951"/>
      <c r="H122" s="951"/>
      <c r="I122" s="951"/>
      <c r="J122" s="951"/>
      <c r="K122" s="951"/>
      <c r="L122" s="951"/>
      <c r="M122" s="977"/>
    </row>
    <row r="123" x14ac:dyDescent="0.3">
      <c r="B123" s="973"/>
      <c r="C123" s="908" t="s">
        <v>488</v>
      </c>
      <c r="D123" s="909" t="s">
        <v>489</v>
      </c>
      <c r="E123" s="901">
        <v>1.04</v>
      </c>
      <c r="F123" s="952"/>
      <c r="G123" s="951"/>
      <c r="H123" s="951"/>
      <c r="I123" s="951"/>
      <c r="J123" s="951"/>
      <c r="K123" s="951"/>
      <c r="L123" s="951"/>
      <c r="M123" s="977"/>
    </row>
    <row r="124" x14ac:dyDescent="0.3">
      <c r="B124" s="973"/>
      <c r="C124" s="908" t="s">
        <v>578</v>
      </c>
      <c r="D124" s="909" t="s">
        <v>579</v>
      </c>
      <c r="E124" s="901">
        <v>0.48099999999999998</v>
      </c>
      <c r="F124" s="952"/>
      <c r="G124" s="951"/>
      <c r="H124" s="951"/>
      <c r="I124" s="951"/>
      <c r="J124" s="951"/>
      <c r="K124" s="951"/>
      <c r="L124" s="951"/>
      <c r="M124" s="977"/>
    </row>
    <row r="125" x14ac:dyDescent="0.3">
      <c r="B125" s="973"/>
      <c r="C125" s="908" t="s">
        <v>438</v>
      </c>
      <c r="D125" s="909" t="s">
        <v>439</v>
      </c>
      <c r="E125" s="901">
        <v>0.624</v>
      </c>
      <c r="F125" s="952"/>
      <c r="G125" s="951"/>
      <c r="H125" s="951"/>
      <c r="I125" s="951"/>
      <c r="J125" s="951"/>
      <c r="K125" s="951"/>
      <c r="L125" s="951"/>
      <c r="M125" s="977"/>
    </row>
    <row r="126" x14ac:dyDescent="0.3">
      <c r="B126" s="973"/>
      <c r="C126" s="908" t="s">
        <v>486</v>
      </c>
      <c r="D126" s="909" t="s">
        <v>487</v>
      </c>
      <c r="E126" s="901">
        <v>0.95</v>
      </c>
      <c r="F126" s="952"/>
      <c r="G126" s="951"/>
      <c r="H126" s="951"/>
      <c r="I126" s="951"/>
      <c r="J126" s="951"/>
      <c r="K126" s="951"/>
      <c r="L126" s="951"/>
      <c r="M126" s="977"/>
    </row>
    <row r="127" x14ac:dyDescent="0.3">
      <c r="B127" s="973"/>
      <c r="C127" s="908" t="s">
        <v>442</v>
      </c>
      <c r="D127" s="909" t="s">
        <v>443</v>
      </c>
      <c r="E127" s="901">
        <v>0.64800000000000002</v>
      </c>
      <c r="F127" s="952"/>
      <c r="G127" s="951"/>
      <c r="H127" s="951"/>
      <c r="I127" s="951"/>
      <c r="J127" s="951"/>
      <c r="K127" s="951"/>
      <c r="L127" s="951"/>
      <c r="M127" s="977"/>
    </row>
    <row r="128" x14ac:dyDescent="0.3">
      <c r="B128" s="973"/>
      <c r="C128" s="908" t="s">
        <v>545</v>
      </c>
      <c r="D128" s="909" t="s">
        <v>546</v>
      </c>
      <c r="E128" s="901">
        <v>0.88700000000000001</v>
      </c>
      <c r="F128" s="952"/>
      <c r="G128" s="951"/>
      <c r="H128" s="951"/>
      <c r="I128" s="951"/>
      <c r="J128" s="951"/>
      <c r="K128" s="951"/>
      <c r="L128" s="951"/>
      <c r="M128" s="977"/>
    </row>
    <row r="129" x14ac:dyDescent="0.3">
      <c r="B129" s="973"/>
      <c r="C129" s="908" t="s">
        <v>474</v>
      </c>
      <c r="D129" s="909" t="s">
        <v>475</v>
      </c>
      <c r="E129" s="901">
        <v>0.59499999999999997</v>
      </c>
      <c r="F129" s="952"/>
      <c r="G129" s="951"/>
      <c r="H129" s="951"/>
      <c r="I129" s="951"/>
      <c r="J129" s="951"/>
      <c r="K129" s="951"/>
      <c r="L129" s="951"/>
      <c r="M129" s="977"/>
    </row>
    <row r="130" x14ac:dyDescent="0.3">
      <c r="B130" s="973"/>
      <c r="C130" s="908" t="s">
        <v>458</v>
      </c>
      <c r="D130" s="909" t="s">
        <v>459</v>
      </c>
      <c r="E130" s="901">
        <v>0.68200000000000005</v>
      </c>
      <c r="F130" s="952"/>
      <c r="G130" s="951"/>
      <c r="H130" s="951"/>
      <c r="I130" s="951"/>
      <c r="J130" s="951"/>
      <c r="K130" s="951"/>
      <c r="L130" s="951"/>
      <c r="M130" s="977"/>
    </row>
    <row r="131" x14ac:dyDescent="0.3">
      <c r="B131" s="973"/>
      <c r="C131" s="908" t="s">
        <v>592</v>
      </c>
      <c r="D131" s="909" t="s">
        <v>593</v>
      </c>
      <c r="E131" s="901">
        <v>0.629</v>
      </c>
      <c r="F131" s="952"/>
      <c r="G131" s="951"/>
      <c r="H131" s="951"/>
      <c r="I131" s="951"/>
      <c r="J131" s="951"/>
      <c r="K131" s="951"/>
      <c r="L131" s="951"/>
      <c r="M131" s="977"/>
    </row>
    <row r="132" x14ac:dyDescent="0.3">
      <c r="B132" s="973"/>
      <c r="C132" s="908" t="s">
        <v>462</v>
      </c>
      <c r="D132" s="909" t="s">
        <v>463</v>
      </c>
      <c r="E132" s="901">
        <v>0.69299999999999995</v>
      </c>
      <c r="F132" s="952"/>
      <c r="G132" s="951"/>
      <c r="H132" s="951"/>
      <c r="I132" s="951"/>
      <c r="J132" s="951"/>
      <c r="K132" s="951"/>
      <c r="L132" s="951"/>
      <c r="M132" s="977"/>
    </row>
    <row r="133" x14ac:dyDescent="0.3">
      <c r="B133" s="973"/>
      <c r="C133" s="908" t="s">
        <v>472</v>
      </c>
      <c r="D133" s="909" t="s">
        <v>473</v>
      </c>
      <c r="E133" s="901">
        <v>0.57699999999999996</v>
      </c>
      <c r="F133" s="952"/>
      <c r="G133" s="951"/>
      <c r="H133" s="951"/>
      <c r="I133" s="951"/>
      <c r="J133" s="951"/>
      <c r="K133" s="951"/>
      <c r="L133" s="951"/>
      <c r="M133" s="977"/>
    </row>
    <row r="134" x14ac:dyDescent="0.3">
      <c r="B134" s="973"/>
      <c r="C134" s="908" t="s">
        <v>480</v>
      </c>
      <c r="D134" s="909" t="s">
        <v>481</v>
      </c>
      <c r="E134" s="901">
        <v>1.08</v>
      </c>
      <c r="F134" s="952"/>
      <c r="G134" s="951"/>
      <c r="H134" s="951"/>
      <c r="I134" s="951"/>
      <c r="J134" s="951"/>
      <c r="K134" s="951"/>
      <c r="L134" s="951"/>
      <c r="M134" s="977"/>
    </row>
    <row r="135" x14ac:dyDescent="0.3">
      <c r="B135" s="973"/>
      <c r="C135" s="908" t="s">
        <v>596</v>
      </c>
      <c r="D135" s="909" t="s">
        <v>597</v>
      </c>
      <c r="E135" s="901">
        <v>0.26300000000000001</v>
      </c>
      <c r="F135" s="952"/>
      <c r="G135" s="951"/>
      <c r="H135" s="951"/>
      <c r="I135" s="951"/>
      <c r="J135" s="951"/>
      <c r="K135" s="951"/>
      <c r="L135" s="951"/>
      <c r="M135" s="977"/>
    </row>
    <row r="136" x14ac:dyDescent="0.3">
      <c r="B136" s="973"/>
      <c r="C136" s="908" t="s">
        <v>539</v>
      </c>
      <c r="D136" s="909" t="s">
        <v>540</v>
      </c>
      <c r="E136" s="901">
        <v>0.755</v>
      </c>
      <c r="F136" s="952"/>
      <c r="G136" s="951"/>
      <c r="H136" s="951"/>
      <c r="I136" s="951"/>
      <c r="J136" s="951"/>
      <c r="K136" s="951"/>
      <c r="L136" s="951"/>
      <c r="M136" s="977"/>
    </row>
    <row r="137" x14ac:dyDescent="0.3">
      <c r="B137" s="973"/>
      <c r="C137" s="908" t="s">
        <v>570</v>
      </c>
      <c r="D137" s="909" t="s">
        <v>571</v>
      </c>
      <c r="E137" s="901">
        <v>0.61699999999999999</v>
      </c>
      <c r="F137" s="952"/>
      <c r="G137" s="951"/>
      <c r="H137" s="951"/>
      <c r="I137" s="951"/>
      <c r="J137" s="951"/>
      <c r="K137" s="951"/>
      <c r="L137" s="951"/>
      <c r="M137" s="977"/>
    </row>
    <row r="138" x14ac:dyDescent="0.3">
      <c r="B138" s="973"/>
      <c r="C138" s="908" t="s">
        <v>541</v>
      </c>
      <c r="D138" s="909" t="s">
        <v>542</v>
      </c>
      <c r="E138" s="901">
        <v>0.77</v>
      </c>
      <c r="F138" s="952"/>
      <c r="G138" s="951"/>
      <c r="H138" s="951"/>
      <c r="I138" s="951"/>
      <c r="J138" s="951"/>
      <c r="K138" s="951"/>
      <c r="L138" s="951"/>
      <c r="M138" s="977"/>
    </row>
    <row r="139" x14ac:dyDescent="0.3">
      <c r="B139" s="973"/>
      <c r="C139" s="908" t="s">
        <v>582</v>
      </c>
      <c r="D139" s="909" t="s">
        <v>583</v>
      </c>
      <c r="E139" s="901">
        <v>0.51100000000000001</v>
      </c>
      <c r="F139" s="952"/>
      <c r="G139" s="951"/>
      <c r="H139" s="951"/>
      <c r="I139" s="951"/>
      <c r="J139" s="951"/>
      <c r="K139" s="951"/>
      <c r="L139" s="951"/>
      <c r="M139" s="977"/>
    </row>
    <row r="140" x14ac:dyDescent="0.3">
      <c r="B140" s="973"/>
      <c r="C140" s="908" t="s">
        <v>466</v>
      </c>
      <c r="D140" s="909" t="s">
        <v>467</v>
      </c>
      <c r="E140" s="901">
        <v>0.68</v>
      </c>
      <c r="F140" s="952"/>
      <c r="G140" s="951"/>
      <c r="H140" s="951"/>
      <c r="I140" s="951"/>
      <c r="J140" s="951"/>
      <c r="K140" s="951"/>
      <c r="L140" s="951"/>
      <c r="M140" s="977"/>
    </row>
    <row r="141" x14ac:dyDescent="0.3">
      <c r="B141" s="973"/>
      <c r="C141" s="908" t="s">
        <v>606</v>
      </c>
      <c r="D141" s="909" t="s">
        <v>607</v>
      </c>
      <c r="E141" s="901">
        <v>3.5000000000000003E-2</v>
      </c>
      <c r="F141" s="952"/>
      <c r="G141" s="951"/>
      <c r="H141" s="951"/>
      <c r="I141" s="951"/>
      <c r="J141" s="951"/>
      <c r="K141" s="951"/>
      <c r="L141" s="951"/>
      <c r="M141" s="977"/>
    </row>
    <row r="142" x14ac:dyDescent="0.3">
      <c r="B142" s="973"/>
      <c r="C142" s="908" t="s">
        <v>576</v>
      </c>
      <c r="D142" s="909" t="s">
        <v>577</v>
      </c>
      <c r="E142" s="901">
        <v>0.32800000000000001</v>
      </c>
      <c r="F142" s="952"/>
      <c r="G142" s="951"/>
      <c r="H142" s="951"/>
      <c r="I142" s="951"/>
      <c r="J142" s="951"/>
      <c r="K142" s="951"/>
      <c r="L142" s="951"/>
      <c r="M142" s="977"/>
    </row>
    <row r="143" x14ac:dyDescent="0.3">
      <c r="B143" s="973"/>
      <c r="C143" s="908" t="s">
        <v>452</v>
      </c>
      <c r="D143" s="909" t="s">
        <v>453</v>
      </c>
      <c r="E143" s="901">
        <v>0.77</v>
      </c>
      <c r="F143" s="952"/>
      <c r="G143" s="951"/>
      <c r="H143" s="951"/>
      <c r="I143" s="951"/>
      <c r="J143" s="951"/>
      <c r="K143" s="951"/>
      <c r="L143" s="951"/>
      <c r="M143" s="977"/>
    </row>
    <row r="144" x14ac:dyDescent="0.3">
      <c r="B144" s="973"/>
      <c r="C144" s="908" t="s">
        <v>614</v>
      </c>
      <c r="D144" s="909" t="s">
        <v>615</v>
      </c>
      <c r="E144" s="901">
        <v>0.17199999999999999</v>
      </c>
      <c r="F144" s="952"/>
      <c r="G144" s="951"/>
      <c r="H144" s="951"/>
      <c r="I144" s="951"/>
      <c r="J144" s="951"/>
      <c r="K144" s="951"/>
      <c r="L144" s="951"/>
      <c r="M144" s="977"/>
    </row>
    <row r="145" x14ac:dyDescent="0.3">
      <c r="B145" s="973"/>
      <c r="C145" s="899" t="s">
        <v>616</v>
      </c>
      <c r="D145" s="909" t="s">
        <v>617</v>
      </c>
      <c r="E145" s="901">
        <v>0.10100000000000001</v>
      </c>
      <c r="F145" s="952"/>
      <c r="G145" s="951"/>
      <c r="H145" s="951"/>
      <c r="I145" s="951"/>
      <c r="J145" s="951"/>
      <c r="K145" s="951"/>
      <c r="L145" s="951"/>
      <c r="M145" s="977"/>
    </row>
    <row r="146" x14ac:dyDescent="0.3">
      <c r="B146" s="973"/>
      <c r="C146" s="908" t="s">
        <v>494</v>
      </c>
      <c r="D146" s="909" t="s">
        <v>495</v>
      </c>
      <c r="E146" s="901">
        <v>0.77</v>
      </c>
      <c r="F146" s="952"/>
      <c r="G146" s="951"/>
      <c r="H146" s="951"/>
      <c r="I146" s="951"/>
      <c r="J146" s="951"/>
      <c r="K146" s="951"/>
      <c r="L146" s="951"/>
      <c r="M146" s="977"/>
    </row>
    <row r="147" x14ac:dyDescent="0.3">
      <c r="B147" s="973"/>
      <c r="C147" s="908" t="s">
        <v>519</v>
      </c>
      <c r="D147" s="909" t="s">
        <v>520</v>
      </c>
      <c r="E147" s="901">
        <v>1.2450000000000001</v>
      </c>
      <c r="F147" s="952"/>
      <c r="G147" s="951"/>
      <c r="H147" s="951"/>
      <c r="I147" s="951"/>
      <c r="J147" s="951"/>
      <c r="K147" s="951"/>
      <c r="L147" s="951"/>
      <c r="M147" s="977"/>
    </row>
    <row r="148" x14ac:dyDescent="0.3">
      <c r="B148" s="973"/>
      <c r="C148" s="908" t="s">
        <v>492</v>
      </c>
      <c r="D148" s="909" t="s">
        <v>493</v>
      </c>
      <c r="E148" s="901">
        <v>1.18</v>
      </c>
      <c r="F148" s="952"/>
      <c r="G148" s="951"/>
      <c r="H148" s="951"/>
      <c r="I148" s="951"/>
      <c r="J148" s="951"/>
      <c r="K148" s="951"/>
      <c r="L148" s="951"/>
      <c r="M148" s="977"/>
    </row>
    <row r="149" x14ac:dyDescent="0.3">
      <c r="B149" s="973"/>
      <c r="C149" s="908" t="s">
        <v>456</v>
      </c>
      <c r="D149" s="909" t="s">
        <v>457</v>
      </c>
      <c r="E149" s="901">
        <v>0.73</v>
      </c>
      <c r="F149" s="952"/>
      <c r="G149" s="951"/>
      <c r="H149" s="951"/>
      <c r="I149" s="951"/>
      <c r="J149" s="951"/>
      <c r="K149" s="951"/>
      <c r="L149" s="951"/>
      <c r="M149" s="977"/>
    </row>
    <row r="150" x14ac:dyDescent="0.3">
      <c r="B150" s="973"/>
      <c r="C150" s="908" t="s">
        <v>454</v>
      </c>
      <c r="D150" s="909" t="s">
        <v>455</v>
      </c>
      <c r="E150" s="901">
        <v>0.71899999999999997</v>
      </c>
      <c r="F150" s="952"/>
      <c r="G150" s="951"/>
      <c r="H150" s="951"/>
      <c r="I150" s="951"/>
      <c r="J150" s="951"/>
      <c r="K150" s="951"/>
      <c r="L150" s="951"/>
      <c r="M150" s="977"/>
    </row>
    <row r="151" x14ac:dyDescent="0.3">
      <c r="B151" s="973"/>
      <c r="C151" s="908" t="s">
        <v>460</v>
      </c>
      <c r="D151" s="909" t="s">
        <v>461</v>
      </c>
      <c r="E151" s="901">
        <v>0.69399999999999995</v>
      </c>
      <c r="F151" s="952"/>
      <c r="G151" s="951"/>
      <c r="H151" s="951"/>
      <c r="I151" s="951"/>
      <c r="J151" s="951"/>
      <c r="K151" s="951"/>
      <c r="L151" s="951"/>
      <c r="M151" s="977"/>
    </row>
    <row r="152" x14ac:dyDescent="0.3">
      <c r="B152" s="973"/>
      <c r="C152" s="908" t="s">
        <v>525</v>
      </c>
      <c r="D152" s="909" t="s">
        <v>526</v>
      </c>
      <c r="E152" s="901">
        <v>0.84599999999999997</v>
      </c>
      <c r="F152" s="952"/>
      <c r="G152" s="951"/>
      <c r="H152" s="951"/>
      <c r="I152" s="951"/>
      <c r="J152" s="951"/>
      <c r="K152" s="951"/>
      <c r="L152" s="951"/>
      <c r="M152" s="977"/>
    </row>
    <row r="153" x14ac:dyDescent="0.3">
      <c r="B153" s="973"/>
      <c r="C153" s="908" t="s">
        <v>527</v>
      </c>
      <c r="D153" s="909" t="s">
        <v>528</v>
      </c>
      <c r="E153" s="901">
        <v>0.98499999999999999</v>
      </c>
      <c r="F153" s="952"/>
      <c r="G153" s="951"/>
      <c r="H153" s="951"/>
      <c r="I153" s="951"/>
      <c r="J153" s="951"/>
      <c r="K153" s="951"/>
      <c r="L153" s="951"/>
      <c r="M153" s="977"/>
    </row>
    <row r="154" x14ac:dyDescent="0.3">
      <c r="B154" s="973"/>
      <c r="C154" s="908" t="s">
        <v>529</v>
      </c>
      <c r="D154" s="909" t="s">
        <v>530</v>
      </c>
      <c r="E154" s="901">
        <v>0.93500000000000005</v>
      </c>
      <c r="F154" s="952"/>
      <c r="G154" s="951"/>
      <c r="H154" s="951"/>
      <c r="I154" s="951"/>
      <c r="J154" s="951"/>
      <c r="K154" s="951"/>
      <c r="L154" s="951"/>
      <c r="M154" s="977"/>
    </row>
    <row r="155" x14ac:dyDescent="0.3">
      <c r="B155" s="973"/>
      <c r="C155" s="908" t="s">
        <v>623</v>
      </c>
      <c r="D155" s="909" t="s">
        <v>624</v>
      </c>
      <c r="E155" s="901">
        <v>2.7E-2</v>
      </c>
      <c r="F155" s="952"/>
      <c r="G155" s="951"/>
      <c r="H155" s="951"/>
      <c r="I155" s="951"/>
      <c r="J155" s="951"/>
      <c r="K155" s="951"/>
      <c r="L155" s="951"/>
      <c r="M155" s="977"/>
    </row>
    <row r="156" x14ac:dyDescent="0.3">
      <c r="B156" s="973"/>
      <c r="C156" s="908" t="s">
        <v>468</v>
      </c>
      <c r="D156" s="909" t="s">
        <v>469</v>
      </c>
      <c r="E156" s="901">
        <v>0.65700000000000003</v>
      </c>
      <c r="F156" s="952"/>
      <c r="G156" s="951"/>
      <c r="H156" s="951"/>
      <c r="I156" s="951"/>
      <c r="J156" s="951"/>
      <c r="K156" s="951"/>
      <c r="L156" s="951"/>
      <c r="M156" s="977"/>
    </row>
    <row r="157" x14ac:dyDescent="0.3">
      <c r="B157" s="973"/>
      <c r="C157" s="908" t="s">
        <v>470</v>
      </c>
      <c r="D157" s="909" t="s">
        <v>471</v>
      </c>
      <c r="E157" s="901">
        <v>0.61599999999999999</v>
      </c>
      <c r="F157" s="952"/>
      <c r="G157" s="951"/>
      <c r="H157" s="951"/>
      <c r="I157" s="951"/>
      <c r="J157" s="951"/>
      <c r="K157" s="951"/>
      <c r="L157" s="951"/>
      <c r="M157" s="977"/>
    </row>
    <row r="158" x14ac:dyDescent="0.3">
      <c r="B158" s="973"/>
      <c r="C158" s="908" t="s">
        <v>598</v>
      </c>
      <c r="D158" s="909" t="s">
        <v>599</v>
      </c>
      <c r="E158" s="901">
        <v>0.26800000000000002</v>
      </c>
      <c r="F158" s="952"/>
      <c r="G158" s="951"/>
      <c r="H158" s="951"/>
      <c r="I158" s="951"/>
      <c r="J158" s="951"/>
      <c r="K158" s="951"/>
      <c r="L158" s="951"/>
      <c r="M158" s="977"/>
    </row>
    <row r="159" x14ac:dyDescent="0.3">
      <c r="B159" s="973"/>
      <c r="C159" s="908" t="s">
        <v>464</v>
      </c>
      <c r="D159" s="909" t="s">
        <v>465</v>
      </c>
      <c r="E159" s="901">
        <v>0.70599999999999996</v>
      </c>
      <c r="F159" s="952"/>
      <c r="G159" s="951"/>
      <c r="H159" s="951"/>
      <c r="I159" s="951"/>
      <c r="J159" s="951"/>
      <c r="K159" s="951"/>
      <c r="L159" s="951"/>
      <c r="M159" s="977"/>
    </row>
    <row r="160" x14ac:dyDescent="0.3">
      <c r="B160" s="973"/>
      <c r="C160" s="908" t="s">
        <v>622</v>
      </c>
      <c r="D160" s="910" t="s">
        <v>625</v>
      </c>
      <c r="E160" s="901">
        <v>4.8000000000000001E-2</v>
      </c>
      <c r="F160" s="952"/>
      <c r="G160" s="951"/>
      <c r="H160" s="951"/>
      <c r="I160" s="951"/>
      <c r="J160" s="951"/>
      <c r="K160" s="951"/>
      <c r="L160" s="951"/>
      <c r="M160" s="977"/>
    </row>
    <row r="161" x14ac:dyDescent="0.3">
      <c r="B161" s="973"/>
      <c r="C161" s="908" t="s">
        <v>496</v>
      </c>
      <c r="D161" s="909" t="s">
        <v>497</v>
      </c>
      <c r="E161" s="901">
        <v>0.70299999999999996</v>
      </c>
      <c r="F161" s="952"/>
      <c r="G161" s="951"/>
      <c r="H161" s="951"/>
      <c r="I161" s="951"/>
      <c r="J161" s="951"/>
      <c r="K161" s="951"/>
      <c r="L161" s="951"/>
      <c r="M161" s="977"/>
    </row>
    <row r="162" x14ac:dyDescent="0.3">
      <c r="B162" s="973"/>
      <c r="C162" s="908" t="s">
        <v>500</v>
      </c>
      <c r="D162" s="909" t="s">
        <v>501</v>
      </c>
      <c r="E162" s="901">
        <v>7.6999999999999999E-2</v>
      </c>
      <c r="F162" s="952"/>
      <c r="G162" s="951"/>
      <c r="H162" s="951"/>
      <c r="I162" s="951"/>
      <c r="J162" s="951"/>
      <c r="K162" s="951"/>
      <c r="L162" s="951"/>
      <c r="M162" s="977"/>
    </row>
    <row r="163" x14ac:dyDescent="0.3">
      <c r="B163" s="973"/>
      <c r="C163" s="908" t="s">
        <v>618</v>
      </c>
      <c r="D163" s="909" t="s">
        <v>619</v>
      </c>
      <c r="E163" s="901">
        <v>-0.42699999999999999</v>
      </c>
      <c r="F163" s="952"/>
      <c r="G163" s="951"/>
      <c r="H163" s="951"/>
      <c r="I163" s="951"/>
      <c r="J163" s="951"/>
      <c r="K163" s="951"/>
      <c r="L163" s="951"/>
      <c r="M163" s="977"/>
    </row>
    <row r="164" x14ac:dyDescent="0.3">
      <c r="B164" s="973"/>
      <c r="C164" s="908" t="s">
        <v>620</v>
      </c>
      <c r="D164" s="909" t="s">
        <v>621</v>
      </c>
      <c r="E164" s="901">
        <v>2.8000000000000001E-2</v>
      </c>
      <c r="F164" s="952"/>
      <c r="G164" s="951"/>
      <c r="H164" s="951"/>
      <c r="I164" s="951"/>
      <c r="J164" s="951"/>
      <c r="K164" s="951"/>
      <c r="L164" s="951"/>
      <c r="M164" s="977"/>
    </row>
    <row r="165" x14ac:dyDescent="0.3">
      <c r="B165" s="973"/>
      <c r="C165" s="899" t="s">
        <v>533</v>
      </c>
      <c r="D165" s="909" t="s">
        <v>534</v>
      </c>
      <c r="E165" s="901">
        <v>1.1950000000000001</v>
      </c>
      <c r="F165" s="952"/>
      <c r="G165" s="951"/>
      <c r="H165" s="951"/>
      <c r="I165" s="951"/>
      <c r="J165" s="951"/>
      <c r="K165" s="951"/>
      <c r="L165" s="951"/>
      <c r="M165" s="977"/>
    </row>
    <row r="166" x14ac:dyDescent="0.3">
      <c r="B166" s="973"/>
      <c r="C166" s="908" t="s">
        <v>490</v>
      </c>
      <c r="D166" s="909" t="s">
        <v>491</v>
      </c>
      <c r="E166" s="901">
        <v>0.83</v>
      </c>
      <c r="F166" s="952"/>
      <c r="G166" s="951"/>
      <c r="H166" s="951"/>
      <c r="I166" s="951"/>
      <c r="J166" s="951"/>
      <c r="K166" s="951"/>
      <c r="L166" s="951"/>
      <c r="M166" s="977"/>
    </row>
    <row r="167" ht="15" thickBot="true" x14ac:dyDescent="0.35">
      <c r="B167" s="973"/>
      <c r="C167" s="903" t="s">
        <v>531</v>
      </c>
      <c r="D167" s="912" t="s">
        <v>532</v>
      </c>
      <c r="E167" s="905">
        <v>1.242</v>
      </c>
      <c r="F167" s="952"/>
      <c r="G167" s="951"/>
      <c r="H167" s="951"/>
      <c r="I167" s="951"/>
      <c r="J167" s="951"/>
      <c r="K167" s="951"/>
      <c r="L167" s="951"/>
      <c r="M167" s="977"/>
    </row>
    <row r="168" x14ac:dyDescent="0.3">
      <c r="B168" s="973"/>
      <c r="C168" s="952"/>
      <c r="D168" s="953"/>
      <c r="E168" s="952"/>
      <c r="F168" s="952"/>
      <c r="G168" s="951"/>
      <c r="H168" s="951"/>
      <c r="I168" s="951"/>
      <c r="J168" s="951"/>
      <c r="K168" s="951"/>
      <c r="L168" s="951"/>
      <c r="M168" s="977"/>
    </row>
    <row r="169" x14ac:dyDescent="0.3">
      <c r="B169" s="973"/>
      <c r="C169" s="952"/>
      <c r="D169" s="953"/>
      <c r="E169" s="952"/>
      <c r="F169" s="952"/>
      <c r="G169" s="951"/>
      <c r="H169" s="951"/>
      <c r="I169" s="951"/>
      <c r="J169" s="951"/>
      <c r="K169" s="951"/>
      <c r="L169" s="951"/>
      <c r="M169" s="977"/>
    </row>
    <row r="170" x14ac:dyDescent="0.3">
      <c r="B170" s="973"/>
      <c r="C170" s="952"/>
      <c r="D170" s="953"/>
      <c r="E170" s="952"/>
      <c r="F170" s="952"/>
      <c r="G170" s="951"/>
      <c r="H170" s="951"/>
      <c r="I170" s="951"/>
      <c r="J170" s="951"/>
      <c r="K170" s="951"/>
      <c r="L170" s="951"/>
      <c r="M170" s="977"/>
    </row>
    <row r="171" x14ac:dyDescent="0.3">
      <c r="B171" s="973"/>
      <c r="C171" s="952"/>
      <c r="D171" s="953"/>
      <c r="E171" s="952"/>
      <c r="F171" s="952"/>
      <c r="G171" s="951"/>
      <c r="H171" s="951"/>
      <c r="I171" s="951"/>
      <c r="J171" s="951"/>
      <c r="K171" s="951"/>
      <c r="L171" s="951"/>
      <c r="M171" s="977"/>
    </row>
    <row r="172" x14ac:dyDescent="0.3">
      <c r="B172" s="973"/>
      <c r="C172" s="952"/>
      <c r="D172" s="953"/>
      <c r="E172" s="952"/>
      <c r="F172" s="952"/>
      <c r="G172" s="951"/>
      <c r="H172" s="951"/>
      <c r="I172" s="951"/>
      <c r="J172" s="951"/>
      <c r="K172" s="951"/>
      <c r="L172" s="951"/>
      <c r="M172" s="977"/>
    </row>
    <row r="173" x14ac:dyDescent="0.3">
      <c r="B173" s="973"/>
      <c r="C173" s="952"/>
      <c r="D173" s="953"/>
      <c r="E173" s="952"/>
      <c r="F173" s="952"/>
      <c r="G173" s="951"/>
      <c r="H173" s="951"/>
      <c r="I173" s="951"/>
      <c r="J173" s="951"/>
      <c r="K173" s="951"/>
      <c r="L173" s="951"/>
      <c r="M173" s="977"/>
    </row>
    <row r="174" x14ac:dyDescent="0.3">
      <c r="B174" s="973"/>
      <c r="C174" s="952"/>
      <c r="D174" s="953"/>
      <c r="E174" s="952"/>
      <c r="F174" s="952"/>
      <c r="G174" s="951"/>
      <c r="H174" s="951"/>
      <c r="I174" s="951"/>
      <c r="J174" s="951"/>
      <c r="K174" s="951"/>
      <c r="L174" s="951"/>
      <c r="M174" s="977"/>
    </row>
    <row r="175" x14ac:dyDescent="0.3">
      <c r="B175" s="973"/>
      <c r="C175" s="952"/>
      <c r="D175" s="953"/>
      <c r="E175" s="952"/>
      <c r="F175" s="952"/>
      <c r="G175" s="951"/>
      <c r="H175" s="951"/>
      <c r="I175" s="951"/>
      <c r="J175" s="951"/>
      <c r="K175" s="951"/>
      <c r="L175" s="951"/>
      <c r="M175" s="977"/>
    </row>
    <row r="176" x14ac:dyDescent="0.3">
      <c r="B176" s="973"/>
      <c r="C176" s="952"/>
      <c r="D176" s="953"/>
      <c r="E176" s="952"/>
      <c r="F176" s="952"/>
      <c r="G176" s="951"/>
      <c r="H176" s="951"/>
      <c r="I176" s="951"/>
      <c r="J176" s="951"/>
      <c r="K176" s="951"/>
      <c r="L176" s="951"/>
      <c r="M176" s="977"/>
    </row>
    <row r="177" x14ac:dyDescent="0.3">
      <c r="B177" s="973"/>
      <c r="C177" s="952"/>
      <c r="D177" s="953"/>
      <c r="E177" s="952"/>
      <c r="F177" s="952"/>
      <c r="G177" s="951"/>
      <c r="H177" s="951"/>
      <c r="I177" s="951"/>
      <c r="J177" s="951"/>
      <c r="K177" s="951"/>
      <c r="L177" s="951"/>
      <c r="M177" s="977"/>
    </row>
    <row r="178" x14ac:dyDescent="0.3">
      <c r="B178" s="973"/>
      <c r="C178" s="952"/>
      <c r="D178" s="953"/>
      <c r="E178" s="952"/>
      <c r="F178" s="952"/>
      <c r="G178" s="951"/>
      <c r="H178" s="951"/>
      <c r="I178" s="951"/>
      <c r="J178" s="951"/>
      <c r="K178" s="951"/>
      <c r="L178" s="951"/>
      <c r="M178" s="977"/>
    </row>
    <row r="179" ht="29.4" thickBot="true" x14ac:dyDescent="0.35">
      <c r="B179" s="973"/>
      <c r="C179" s="974" t="s">
        <v>252</v>
      </c>
      <c r="D179" s="975" t="s">
        <v>375</v>
      </c>
      <c r="E179" s="976" t="s">
        <v>2303</v>
      </c>
      <c r="F179" s="952"/>
      <c r="G179" s="951"/>
      <c r="H179" s="951"/>
      <c r="I179" s="951"/>
      <c r="J179" s="951"/>
      <c r="K179" s="951"/>
      <c r="L179" s="951"/>
      <c r="M179" s="977"/>
    </row>
    <row r="180" x14ac:dyDescent="0.3">
      <c r="B180" s="973"/>
      <c r="C180" s="906" t="s">
        <v>635</v>
      </c>
      <c r="D180" s="897" t="s">
        <v>625</v>
      </c>
      <c r="E180" s="898">
        <v>1</v>
      </c>
      <c r="F180" s="952"/>
      <c r="G180" s="951"/>
      <c r="H180" s="951"/>
      <c r="I180" s="951"/>
      <c r="J180" s="2160" t="s">
        <v>381</v>
      </c>
      <c r="K180" s="2160"/>
      <c r="L180" s="2160"/>
      <c r="M180" s="978" t="s">
        <v>475</v>
      </c>
    </row>
    <row r="181" x14ac:dyDescent="0.3">
      <c r="B181" s="973"/>
      <c r="C181" s="908" t="s">
        <v>638</v>
      </c>
      <c r="D181" s="913" t="s">
        <v>639</v>
      </c>
      <c r="E181" s="901">
        <v>0.88</v>
      </c>
      <c r="F181" s="952"/>
      <c r="G181" s="951"/>
      <c r="H181" s="951"/>
      <c r="I181" s="951"/>
      <c r="J181" s="2160" t="s">
        <v>382</v>
      </c>
      <c r="K181" s="2160"/>
      <c r="L181" s="2160"/>
      <c r="M181" s="1142">
        <f>IF(ISNA(VLOOKUP(M180,D180:E184,2,FALSE))=TRUE,0,VLOOKUP(M180,D180:E184,2,FALSE))</f>
        <v>0</v>
      </c>
    </row>
    <row r="182" x14ac:dyDescent="0.3">
      <c r="B182" s="973"/>
      <c r="C182" s="908" t="s">
        <v>640</v>
      </c>
      <c r="D182" s="913" t="s">
        <v>641</v>
      </c>
      <c r="E182" s="901">
        <v>1.6</v>
      </c>
      <c r="F182" s="952"/>
      <c r="G182" s="951"/>
      <c r="H182" s="951"/>
      <c r="I182" s="951"/>
      <c r="J182" s="951"/>
      <c r="K182" s="951"/>
      <c r="L182" s="951"/>
      <c r="M182" s="977"/>
    </row>
    <row r="183" x14ac:dyDescent="0.3">
      <c r="B183" s="973"/>
      <c r="C183" s="908" t="s">
        <v>636</v>
      </c>
      <c r="D183" s="913" t="s">
        <v>637</v>
      </c>
      <c r="E183" s="901">
        <v>1.88</v>
      </c>
      <c r="F183" s="952"/>
      <c r="G183" s="951"/>
      <c r="H183" s="951"/>
      <c r="I183" s="951"/>
      <c r="J183" s="951"/>
      <c r="K183" s="951"/>
      <c r="L183" s="951"/>
      <c r="M183" s="977"/>
    </row>
    <row r="184" x14ac:dyDescent="0.3">
      <c r="B184" s="973"/>
      <c r="C184" s="908" t="s">
        <v>643</v>
      </c>
      <c r="D184" s="913" t="s">
        <v>644</v>
      </c>
      <c r="E184" s="901">
        <v>0.65</v>
      </c>
      <c r="F184" s="952"/>
      <c r="G184" s="951"/>
      <c r="H184" s="951"/>
      <c r="I184" s="951"/>
      <c r="J184" s="951"/>
      <c r="K184" s="951"/>
      <c r="L184" s="951"/>
      <c r="M184" s="977"/>
    </row>
    <row r="185" ht="15" thickBot="true" x14ac:dyDescent="0.35">
      <c r="B185" s="973"/>
      <c r="C185" s="914" t="s">
        <v>642</v>
      </c>
      <c r="D185" s="915" t="s">
        <v>621</v>
      </c>
      <c r="E185" s="905">
        <v>0.7</v>
      </c>
      <c r="F185" s="952"/>
      <c r="G185" s="951"/>
      <c r="H185" s="951"/>
      <c r="I185" s="951"/>
      <c r="J185" s="951"/>
      <c r="K185" s="951"/>
      <c r="L185" s="951"/>
      <c r="M185" s="977"/>
    </row>
    <row r="186" x14ac:dyDescent="0.3">
      <c r="B186" s="973"/>
      <c r="C186" s="952"/>
      <c r="D186" s="953"/>
      <c r="E186" s="952"/>
      <c r="F186" s="952"/>
      <c r="G186" s="951"/>
      <c r="H186" s="951"/>
      <c r="I186" s="951"/>
      <c r="J186" s="951"/>
      <c r="K186" s="951"/>
      <c r="L186" s="951"/>
      <c r="M186" s="977"/>
    </row>
    <row r="187" x14ac:dyDescent="0.3">
      <c r="B187" s="973"/>
      <c r="C187" s="952"/>
      <c r="D187" s="953"/>
      <c r="E187" s="952"/>
      <c r="F187" s="952"/>
      <c r="G187" s="951"/>
      <c r="H187" s="951"/>
      <c r="I187" s="951"/>
      <c r="J187" s="951"/>
      <c r="K187" s="951"/>
      <c r="L187" s="951"/>
      <c r="M187" s="977"/>
    </row>
    <row r="188" x14ac:dyDescent="0.3">
      <c r="B188" s="973"/>
      <c r="C188" s="952"/>
      <c r="D188" s="953"/>
      <c r="E188" s="952"/>
      <c r="F188" s="952"/>
      <c r="G188" s="951"/>
      <c r="H188" s="951"/>
      <c r="I188" s="951"/>
      <c r="J188" s="951"/>
      <c r="K188" s="951"/>
      <c r="L188" s="951"/>
      <c r="M188" s="977"/>
    </row>
    <row r="189" x14ac:dyDescent="0.3">
      <c r="B189" s="973"/>
      <c r="C189" s="952"/>
      <c r="D189" s="953"/>
      <c r="E189" s="952"/>
      <c r="F189" s="952"/>
      <c r="G189" s="951"/>
      <c r="H189" s="951"/>
      <c r="I189" s="951"/>
      <c r="J189" s="951"/>
      <c r="K189" s="951"/>
      <c r="L189" s="951"/>
      <c r="M189" s="977"/>
    </row>
    <row r="190" x14ac:dyDescent="0.3">
      <c r="B190" s="973"/>
      <c r="C190" s="952"/>
      <c r="D190" s="953"/>
      <c r="E190" s="952"/>
      <c r="F190" s="952"/>
      <c r="G190" s="951"/>
      <c r="H190" s="951"/>
      <c r="I190" s="951"/>
      <c r="J190" s="951"/>
      <c r="K190" s="951"/>
      <c r="L190" s="951"/>
      <c r="M190" s="977"/>
    </row>
    <row r="191" x14ac:dyDescent="0.3">
      <c r="B191" s="973"/>
      <c r="C191" s="952"/>
      <c r="D191" s="953"/>
      <c r="E191" s="952"/>
      <c r="F191" s="952"/>
      <c r="G191" s="951"/>
      <c r="H191" s="951"/>
      <c r="I191" s="951"/>
      <c r="J191" s="951"/>
      <c r="K191" s="951"/>
      <c r="L191" s="951"/>
      <c r="M191" s="977"/>
    </row>
    <row r="192" x14ac:dyDescent="0.3">
      <c r="B192" s="973"/>
      <c r="C192" s="952"/>
      <c r="D192" s="953"/>
      <c r="E192" s="952"/>
      <c r="F192" s="952"/>
      <c r="G192" s="951"/>
      <c r="H192" s="951"/>
      <c r="I192" s="951"/>
      <c r="J192" s="951"/>
      <c r="K192" s="951"/>
      <c r="L192" s="951"/>
      <c r="M192" s="977"/>
    </row>
    <row r="193" x14ac:dyDescent="0.3">
      <c r="B193" s="973"/>
      <c r="C193" s="952"/>
      <c r="D193" s="953"/>
      <c r="E193" s="952"/>
      <c r="F193" s="952"/>
      <c r="G193" s="951"/>
      <c r="H193" s="951"/>
      <c r="I193" s="951"/>
      <c r="J193" s="951"/>
      <c r="K193" s="951"/>
      <c r="L193" s="951"/>
      <c r="M193" s="977"/>
    </row>
    <row r="194" x14ac:dyDescent="0.3">
      <c r="B194" s="973"/>
      <c r="C194" s="952"/>
      <c r="D194" s="953"/>
      <c r="E194" s="952"/>
      <c r="F194" s="952"/>
      <c r="G194" s="951"/>
      <c r="H194" s="951"/>
      <c r="I194" s="951"/>
      <c r="J194" s="951"/>
      <c r="K194" s="951"/>
      <c r="L194" s="951"/>
      <c r="M194" s="977"/>
    </row>
    <row r="195" x14ac:dyDescent="0.3">
      <c r="B195" s="973"/>
      <c r="C195" s="952"/>
      <c r="D195" s="953"/>
      <c r="E195" s="952"/>
      <c r="F195" s="952"/>
      <c r="G195" s="951"/>
      <c r="H195" s="951"/>
      <c r="I195" s="951"/>
      <c r="J195" s="951"/>
      <c r="K195" s="951"/>
      <c r="L195" s="951"/>
      <c r="M195" s="977"/>
    </row>
    <row r="196" x14ac:dyDescent="0.3">
      <c r="B196" s="973"/>
      <c r="C196" s="952"/>
      <c r="D196" s="953"/>
      <c r="E196" s="952"/>
      <c r="F196" s="952"/>
      <c r="G196" s="951"/>
      <c r="H196" s="951"/>
      <c r="I196" s="951"/>
      <c r="J196" s="951"/>
      <c r="K196" s="951"/>
      <c r="L196" s="951"/>
      <c r="M196" s="977"/>
    </row>
    <row r="197" ht="30" customHeight="true" thickBot="true" x14ac:dyDescent="0.35">
      <c r="B197" s="973"/>
      <c r="C197" s="974" t="s">
        <v>252</v>
      </c>
      <c r="D197" s="975" t="s">
        <v>375</v>
      </c>
      <c r="E197" s="976" t="s">
        <v>2304</v>
      </c>
      <c r="F197" s="952"/>
      <c r="G197" s="951"/>
      <c r="H197" s="951"/>
      <c r="I197" s="951"/>
      <c r="J197" s="951"/>
      <c r="K197" s="951"/>
      <c r="L197" s="951"/>
      <c r="M197" s="977"/>
    </row>
    <row r="198" x14ac:dyDescent="0.3">
      <c r="B198" s="973"/>
      <c r="C198" s="906" t="s">
        <v>588</v>
      </c>
      <c r="D198" s="907" t="s">
        <v>589</v>
      </c>
      <c r="E198" s="898">
        <v>1.07</v>
      </c>
      <c r="F198" s="952"/>
      <c r="G198" s="951"/>
      <c r="H198" s="951"/>
      <c r="I198" s="951"/>
      <c r="J198" s="2160" t="s">
        <v>381</v>
      </c>
      <c r="K198" s="2160"/>
      <c r="L198" s="2160"/>
      <c r="M198" s="978" t="s">
        <v>188</v>
      </c>
    </row>
    <row r="199" x14ac:dyDescent="0.3">
      <c r="B199" s="973"/>
      <c r="C199" s="908" t="s">
        <v>549</v>
      </c>
      <c r="D199" s="909" t="s">
        <v>673</v>
      </c>
      <c r="E199" s="901">
        <v>2.09</v>
      </c>
      <c r="F199" s="952"/>
      <c r="G199" s="951"/>
      <c r="H199" s="951"/>
      <c r="I199" s="951"/>
      <c r="J199" s="2160" t="s">
        <v>382</v>
      </c>
      <c r="K199" s="2160"/>
      <c r="L199" s="2160"/>
      <c r="M199" s="1142">
        <f>IF(ISNA(VLOOKUP(M198,D198:E211,2,FALSE))=TRUE,0,VLOOKUP(M198,D198:E211,2,FALSE))</f>
        <v>1.5</v>
      </c>
    </row>
    <row r="200" x14ac:dyDescent="0.3">
      <c r="B200" s="973"/>
      <c r="C200" s="908" t="s">
        <v>686</v>
      </c>
      <c r="D200" s="909" t="s">
        <v>188</v>
      </c>
      <c r="E200" s="901">
        <v>1.5</v>
      </c>
      <c r="F200" s="952"/>
      <c r="G200" s="951"/>
      <c r="H200" s="951"/>
      <c r="I200" s="951"/>
      <c r="J200" s="951"/>
      <c r="K200" s="951"/>
      <c r="L200" s="951"/>
      <c r="M200" s="977"/>
    </row>
    <row r="201" x14ac:dyDescent="0.3">
      <c r="B201" s="973"/>
      <c r="C201" s="908" t="s">
        <v>478</v>
      </c>
      <c r="D201" s="909" t="s">
        <v>479</v>
      </c>
      <c r="E201" s="901">
        <v>1</v>
      </c>
      <c r="F201" s="952"/>
      <c r="G201" s="951"/>
      <c r="H201" s="951"/>
      <c r="I201" s="951"/>
      <c r="J201" s="951"/>
      <c r="K201" s="951"/>
      <c r="L201" s="951"/>
      <c r="M201" s="977"/>
    </row>
    <row r="202" x14ac:dyDescent="0.3">
      <c r="B202" s="973"/>
      <c r="C202" s="908" t="s">
        <v>610</v>
      </c>
      <c r="D202" s="916" t="s">
        <v>611</v>
      </c>
      <c r="E202" s="901">
        <v>1.28</v>
      </c>
      <c r="F202" s="952"/>
      <c r="G202" s="951"/>
      <c r="H202" s="951"/>
      <c r="I202" s="951"/>
      <c r="J202" s="951"/>
      <c r="K202" s="951"/>
      <c r="L202" s="951"/>
      <c r="M202" s="977"/>
    </row>
    <row r="203" x14ac:dyDescent="0.3">
      <c r="B203" s="973"/>
      <c r="C203" s="908" t="s">
        <v>689</v>
      </c>
      <c r="D203" s="916" t="s">
        <v>603</v>
      </c>
      <c r="E203" s="901">
        <v>0.47</v>
      </c>
      <c r="F203" s="952"/>
      <c r="G203" s="951"/>
      <c r="H203" s="951"/>
      <c r="I203" s="951"/>
      <c r="J203" s="951"/>
      <c r="K203" s="951"/>
      <c r="L203" s="951"/>
      <c r="M203" s="977"/>
    </row>
    <row r="204" x14ac:dyDescent="0.3">
      <c r="B204" s="973"/>
      <c r="C204" s="908" t="s">
        <v>687</v>
      </c>
      <c r="D204" s="916" t="s">
        <v>688</v>
      </c>
      <c r="E204" s="901">
        <v>1.5</v>
      </c>
      <c r="F204" s="952"/>
      <c r="G204" s="951"/>
      <c r="H204" s="951"/>
      <c r="I204" s="951"/>
      <c r="J204" s="951"/>
      <c r="K204" s="951"/>
      <c r="L204" s="951"/>
      <c r="M204" s="977"/>
    </row>
    <row r="205" x14ac:dyDescent="0.3">
      <c r="B205" s="973"/>
      <c r="C205" s="908" t="s">
        <v>680</v>
      </c>
      <c r="D205" s="909" t="s">
        <v>681</v>
      </c>
      <c r="E205" s="901">
        <v>0.81</v>
      </c>
      <c r="F205" s="952"/>
      <c r="G205" s="951"/>
      <c r="H205" s="951"/>
      <c r="I205" s="951"/>
      <c r="J205" s="951"/>
      <c r="K205" s="951"/>
      <c r="L205" s="951"/>
      <c r="M205" s="977"/>
    </row>
    <row r="206" x14ac:dyDescent="0.3">
      <c r="B206" s="973"/>
      <c r="C206" s="908" t="s">
        <v>682</v>
      </c>
      <c r="D206" s="916" t="s">
        <v>683</v>
      </c>
      <c r="E206" s="901">
        <v>1.29</v>
      </c>
      <c r="F206" s="952"/>
      <c r="G206" s="951"/>
      <c r="H206" s="951"/>
      <c r="I206" s="951"/>
      <c r="J206" s="951"/>
      <c r="K206" s="951"/>
      <c r="L206" s="951"/>
      <c r="M206" s="977"/>
    </row>
    <row r="207" x14ac:dyDescent="0.3">
      <c r="B207" s="973"/>
      <c r="C207" s="908" t="s">
        <v>690</v>
      </c>
      <c r="D207" s="916" t="s">
        <v>691</v>
      </c>
      <c r="E207" s="901">
        <v>2.38</v>
      </c>
      <c r="F207" s="952"/>
      <c r="G207" s="951"/>
      <c r="H207" s="951"/>
      <c r="I207" s="951"/>
      <c r="J207" s="951"/>
      <c r="K207" s="951"/>
      <c r="L207" s="951"/>
      <c r="M207" s="977"/>
    </row>
    <row r="208" x14ac:dyDescent="0.3">
      <c r="B208" s="973"/>
      <c r="C208" s="908" t="s">
        <v>678</v>
      </c>
      <c r="D208" s="909" t="s">
        <v>679</v>
      </c>
      <c r="E208" s="901">
        <v>0.54</v>
      </c>
      <c r="F208" s="952"/>
      <c r="G208" s="951"/>
      <c r="H208" s="951"/>
      <c r="I208" s="951"/>
      <c r="J208" s="951"/>
      <c r="K208" s="951"/>
      <c r="L208" s="951"/>
      <c r="M208" s="977"/>
    </row>
    <row r="209" x14ac:dyDescent="0.3">
      <c r="B209" s="973"/>
      <c r="C209" s="908" t="s">
        <v>674</v>
      </c>
      <c r="D209" s="909" t="s">
        <v>675</v>
      </c>
      <c r="E209" s="901">
        <v>0.8</v>
      </c>
      <c r="F209" s="952"/>
      <c r="G209" s="951"/>
      <c r="H209" s="951"/>
      <c r="I209" s="951"/>
      <c r="J209" s="951"/>
      <c r="K209" s="951"/>
      <c r="L209" s="951"/>
      <c r="M209" s="977"/>
    </row>
    <row r="210" x14ac:dyDescent="0.3">
      <c r="B210" s="973"/>
      <c r="C210" s="908" t="s">
        <v>676</v>
      </c>
      <c r="D210" s="909" t="s">
        <v>677</v>
      </c>
      <c r="E210" s="901">
        <v>1</v>
      </c>
      <c r="F210" s="952"/>
      <c r="G210" s="951"/>
      <c r="H210" s="951"/>
      <c r="I210" s="951"/>
      <c r="J210" s="951"/>
      <c r="K210" s="951"/>
      <c r="L210" s="951"/>
      <c r="M210" s="977"/>
    </row>
    <row r="211" ht="15" thickBot="true" x14ac:dyDescent="0.35">
      <c r="B211" s="973"/>
      <c r="C211" s="914" t="s">
        <v>684</v>
      </c>
      <c r="D211" s="917" t="s">
        <v>685</v>
      </c>
      <c r="E211" s="905">
        <v>0.14000000000000001</v>
      </c>
      <c r="F211" s="952"/>
      <c r="G211" s="951"/>
      <c r="H211" s="951"/>
      <c r="I211" s="951"/>
      <c r="J211" s="951"/>
      <c r="K211" s="951"/>
      <c r="L211" s="951"/>
      <c r="M211" s="977"/>
    </row>
    <row r="212" x14ac:dyDescent="0.3">
      <c r="B212" s="973"/>
      <c r="C212" s="952"/>
      <c r="D212" s="953"/>
      <c r="E212" s="952"/>
      <c r="F212" s="952"/>
      <c r="G212" s="951"/>
      <c r="H212" s="951"/>
      <c r="I212" s="951"/>
      <c r="J212" s="951"/>
      <c r="K212" s="951"/>
      <c r="L212" s="951"/>
      <c r="M212" s="977"/>
    </row>
    <row r="213" x14ac:dyDescent="0.3">
      <c r="B213" s="973"/>
      <c r="C213" s="952"/>
      <c r="D213" s="953"/>
      <c r="E213" s="952"/>
      <c r="F213" s="952"/>
      <c r="G213" s="951"/>
      <c r="H213" s="951"/>
      <c r="I213" s="951"/>
      <c r="J213" s="951"/>
      <c r="K213" s="951"/>
      <c r="L213" s="951"/>
      <c r="M213" s="977"/>
    </row>
    <row r="214" x14ac:dyDescent="0.3">
      <c r="B214" s="973"/>
      <c r="C214" s="952"/>
      <c r="D214" s="953"/>
      <c r="E214" s="952"/>
      <c r="F214" s="952"/>
      <c r="G214" s="951"/>
      <c r="H214" s="951"/>
      <c r="I214" s="951"/>
      <c r="J214" s="951"/>
      <c r="K214" s="951"/>
      <c r="L214" s="951"/>
      <c r="M214" s="977"/>
    </row>
    <row r="215" x14ac:dyDescent="0.3">
      <c r="B215" s="973"/>
      <c r="C215" s="952"/>
      <c r="D215" s="953"/>
      <c r="E215" s="952"/>
      <c r="F215" s="952"/>
      <c r="G215" s="951"/>
      <c r="H215" s="951"/>
      <c r="I215" s="951"/>
      <c r="J215" s="951"/>
      <c r="K215" s="951"/>
      <c r="L215" s="951"/>
      <c r="M215" s="977"/>
    </row>
    <row r="216" x14ac:dyDescent="0.3">
      <c r="B216" s="973"/>
      <c r="C216" s="952"/>
      <c r="D216" s="953"/>
      <c r="E216" s="952"/>
      <c r="F216" s="952"/>
      <c r="G216" s="951"/>
      <c r="H216" s="951"/>
      <c r="I216" s="951"/>
      <c r="J216" s="951"/>
      <c r="K216" s="951"/>
      <c r="L216" s="951"/>
      <c r="M216" s="977"/>
    </row>
    <row r="217" x14ac:dyDescent="0.3">
      <c r="B217" s="973"/>
      <c r="C217" s="952"/>
      <c r="D217" s="953"/>
      <c r="E217" s="952"/>
      <c r="F217" s="952"/>
      <c r="G217" s="951"/>
      <c r="H217" s="951"/>
      <c r="I217" s="951"/>
      <c r="J217" s="951"/>
      <c r="K217" s="951"/>
      <c r="L217" s="951"/>
      <c r="M217" s="977"/>
    </row>
    <row r="218" x14ac:dyDescent="0.3">
      <c r="B218" s="973"/>
      <c r="C218" s="952"/>
      <c r="D218" s="953"/>
      <c r="E218" s="952"/>
      <c r="F218" s="952"/>
      <c r="G218" s="951"/>
      <c r="H218" s="951"/>
      <c r="I218" s="951"/>
      <c r="J218" s="951"/>
      <c r="K218" s="951"/>
      <c r="L218" s="951"/>
      <c r="M218" s="977"/>
    </row>
    <row r="219" x14ac:dyDescent="0.3">
      <c r="B219" s="973"/>
      <c r="C219" s="952"/>
      <c r="D219" s="953"/>
      <c r="E219" s="952"/>
      <c r="F219" s="952"/>
      <c r="G219" s="951"/>
      <c r="H219" s="951"/>
      <c r="I219" s="951"/>
      <c r="J219" s="951"/>
      <c r="K219" s="951"/>
      <c r="L219" s="951"/>
      <c r="M219" s="977"/>
    </row>
    <row r="220" x14ac:dyDescent="0.3">
      <c r="B220" s="973"/>
      <c r="C220" s="952"/>
      <c r="D220" s="953"/>
      <c r="E220" s="952"/>
      <c r="F220" s="952"/>
      <c r="G220" s="951"/>
      <c r="H220" s="951"/>
      <c r="I220" s="951"/>
      <c r="J220" s="951"/>
      <c r="K220" s="951"/>
      <c r="L220" s="951"/>
      <c r="M220" s="977"/>
    </row>
    <row r="221" x14ac:dyDescent="0.3">
      <c r="B221" s="973"/>
      <c r="C221" s="952"/>
      <c r="D221" s="953"/>
      <c r="E221" s="952"/>
      <c r="F221" s="952"/>
      <c r="G221" s="951"/>
      <c r="H221" s="951"/>
      <c r="I221" s="951"/>
      <c r="J221" s="951"/>
      <c r="K221" s="951"/>
      <c r="L221" s="951"/>
      <c r="M221" s="977"/>
    </row>
    <row r="222" x14ac:dyDescent="0.3">
      <c r="B222" s="973"/>
      <c r="C222" s="952"/>
      <c r="D222" s="953"/>
      <c r="E222" s="952"/>
      <c r="F222" s="952"/>
      <c r="G222" s="951"/>
      <c r="H222" s="951"/>
      <c r="I222" s="951"/>
      <c r="J222" s="951"/>
      <c r="K222" s="951"/>
      <c r="L222" s="951"/>
      <c r="M222" s="977"/>
    </row>
    <row r="223" ht="28.5" customHeight="true" thickBot="true" x14ac:dyDescent="0.35">
      <c r="B223" s="973"/>
      <c r="C223" s="974" t="s">
        <v>252</v>
      </c>
      <c r="D223" s="975" t="s">
        <v>375</v>
      </c>
      <c r="E223" s="979" t="s">
        <v>951</v>
      </c>
      <c r="F223" s="976" t="s">
        <v>2305</v>
      </c>
      <c r="G223" s="951"/>
      <c r="H223" s="951"/>
      <c r="I223" s="951"/>
      <c r="J223" s="951"/>
      <c r="K223" s="951"/>
      <c r="L223" s="951"/>
      <c r="M223" s="977"/>
    </row>
    <row r="224" ht="16.5" customHeight="true" x14ac:dyDescent="0.3">
      <c r="B224" s="973"/>
      <c r="C224" s="918" t="s">
        <v>831</v>
      </c>
      <c r="D224" s="907" t="s">
        <v>536</v>
      </c>
      <c r="E224" s="919">
        <v>5</v>
      </c>
      <c r="F224" s="1143">
        <f t="shared" ref="F224:F255" si="0">$E$285/E224</f>
        <v>0.4</v>
      </c>
      <c r="G224" s="951"/>
      <c r="H224" s="951"/>
      <c r="I224" s="951"/>
      <c r="J224" s="2160" t="s">
        <v>381</v>
      </c>
      <c r="K224" s="2160"/>
      <c r="L224" s="2160"/>
      <c r="M224" s="978" t="s">
        <v>761</v>
      </c>
    </row>
    <row r="225" ht="16.5" customHeight="true" x14ac:dyDescent="0.3">
      <c r="B225" s="973"/>
      <c r="C225" s="920" t="s">
        <v>788</v>
      </c>
      <c r="D225" s="909" t="s">
        <v>882</v>
      </c>
      <c r="E225" s="921">
        <v>0.01</v>
      </c>
      <c r="F225" s="1144">
        <f t="shared" si="0"/>
        <v>200</v>
      </c>
      <c r="G225" s="951"/>
      <c r="H225" s="951"/>
      <c r="I225" s="951"/>
      <c r="J225" s="2160" t="s">
        <v>382</v>
      </c>
      <c r="K225" s="2160"/>
      <c r="L225" s="2160"/>
      <c r="M225" s="1142">
        <f>IF(ISNA(VLOOKUP(M224,D224:F346,3,FALSE))=TRUE,0,VLOOKUP(M224,D224:F346,3,FALSE))</f>
        <v>0.16666666666666666</v>
      </c>
    </row>
    <row r="226" ht="16.5" customHeight="true" x14ac:dyDescent="0.3">
      <c r="B226" s="973"/>
      <c r="C226" s="920" t="s">
        <v>914</v>
      </c>
      <c r="D226" s="909" t="s">
        <v>913</v>
      </c>
      <c r="E226" s="921">
        <v>12</v>
      </c>
      <c r="F226" s="1144">
        <f t="shared" si="0"/>
        <v>0.16666666666666666</v>
      </c>
      <c r="G226" s="951"/>
      <c r="H226" s="951"/>
      <c r="I226" s="951"/>
      <c r="J226" s="951"/>
      <c r="K226" s="951"/>
      <c r="L226" s="951"/>
      <c r="M226" s="977"/>
    </row>
    <row r="227" ht="16.5" customHeight="true" x14ac:dyDescent="0.3">
      <c r="B227" s="973"/>
      <c r="C227" s="920" t="s">
        <v>780</v>
      </c>
      <c r="D227" s="909" t="s">
        <v>779</v>
      </c>
      <c r="E227" s="921">
        <v>0.03</v>
      </c>
      <c r="F227" s="1144">
        <f t="shared" si="0"/>
        <v>66.666666666666671</v>
      </c>
      <c r="G227" s="951"/>
      <c r="H227" s="951"/>
      <c r="I227" s="951"/>
      <c r="J227" s="951"/>
      <c r="K227" s="951"/>
      <c r="L227" s="951"/>
      <c r="M227" s="977"/>
    </row>
    <row r="228" ht="16.5" customHeight="true" x14ac:dyDescent="0.3">
      <c r="B228" s="973"/>
      <c r="C228" s="920" t="s">
        <v>940</v>
      </c>
      <c r="D228" s="909" t="s">
        <v>781</v>
      </c>
      <c r="E228" s="921">
        <v>1</v>
      </c>
      <c r="F228" s="1144">
        <f t="shared" si="0"/>
        <v>2</v>
      </c>
      <c r="G228" s="951"/>
      <c r="H228" s="951"/>
      <c r="I228" s="951"/>
      <c r="J228" s="951"/>
      <c r="K228" s="951"/>
      <c r="L228" s="951"/>
      <c r="M228" s="977"/>
    </row>
    <row r="229" ht="16.5" customHeight="true" x14ac:dyDescent="0.3">
      <c r="B229" s="973"/>
      <c r="C229" s="920" t="s">
        <v>719</v>
      </c>
      <c r="D229" s="909" t="s">
        <v>718</v>
      </c>
      <c r="E229" s="921">
        <v>40</v>
      </c>
      <c r="F229" s="1144">
        <f t="shared" si="0"/>
        <v>0.05</v>
      </c>
      <c r="G229" s="951"/>
      <c r="H229" s="951"/>
      <c r="I229" s="951"/>
      <c r="J229" s="951"/>
      <c r="K229" s="951"/>
      <c r="L229" s="951"/>
      <c r="M229" s="977"/>
    </row>
    <row r="230" ht="16.5" customHeight="true" x14ac:dyDescent="0.3">
      <c r="B230" s="973"/>
      <c r="C230" s="920" t="s">
        <v>815</v>
      </c>
      <c r="D230" s="909" t="s">
        <v>814</v>
      </c>
      <c r="E230" s="921">
        <v>400</v>
      </c>
      <c r="F230" s="1144">
        <f t="shared" si="0"/>
        <v>5.0000000000000001E-3</v>
      </c>
      <c r="G230" s="951"/>
      <c r="H230" s="951"/>
      <c r="I230" s="951"/>
      <c r="J230" s="951"/>
      <c r="K230" s="951"/>
      <c r="L230" s="951"/>
      <c r="M230" s="977"/>
    </row>
    <row r="231" ht="16.5" customHeight="true" x14ac:dyDescent="0.3">
      <c r="B231" s="973"/>
      <c r="C231" s="920" t="s">
        <v>806</v>
      </c>
      <c r="D231" s="909" t="s">
        <v>805</v>
      </c>
      <c r="E231" s="921">
        <v>1</v>
      </c>
      <c r="F231" s="1144">
        <f t="shared" si="0"/>
        <v>2</v>
      </c>
      <c r="G231" s="951"/>
      <c r="H231" s="951"/>
      <c r="I231" s="951"/>
      <c r="J231" s="951"/>
      <c r="K231" s="951"/>
      <c r="L231" s="951"/>
      <c r="M231" s="977"/>
    </row>
    <row r="232" ht="16.5" customHeight="true" x14ac:dyDescent="0.3">
      <c r="B232" s="973"/>
      <c r="C232" s="920" t="s">
        <v>802</v>
      </c>
      <c r="D232" s="909" t="s">
        <v>801</v>
      </c>
      <c r="E232" s="921">
        <v>0.03</v>
      </c>
      <c r="F232" s="1144">
        <f t="shared" si="0"/>
        <v>66.666666666666671</v>
      </c>
      <c r="G232" s="951"/>
      <c r="H232" s="951"/>
      <c r="I232" s="951"/>
      <c r="J232" s="951"/>
      <c r="K232" s="951"/>
      <c r="L232" s="951"/>
      <c r="M232" s="977"/>
    </row>
    <row r="233" ht="16.5" customHeight="true" x14ac:dyDescent="0.3">
      <c r="B233" s="973"/>
      <c r="C233" s="920" t="s">
        <v>800</v>
      </c>
      <c r="D233" s="909" t="s">
        <v>799</v>
      </c>
      <c r="E233" s="921">
        <v>1E-3</v>
      </c>
      <c r="F233" s="1144">
        <f t="shared" si="0"/>
        <v>2000</v>
      </c>
      <c r="G233" s="951"/>
      <c r="H233" s="951"/>
      <c r="I233" s="951"/>
      <c r="J233" s="951"/>
      <c r="K233" s="951"/>
      <c r="L233" s="951"/>
      <c r="M233" s="977"/>
    </row>
    <row r="234" ht="16.5" customHeight="true" x14ac:dyDescent="0.3">
      <c r="B234" s="973"/>
      <c r="C234" s="920" t="s">
        <v>762</v>
      </c>
      <c r="D234" s="909" t="s">
        <v>761</v>
      </c>
      <c r="E234" s="921">
        <v>12</v>
      </c>
      <c r="F234" s="1144">
        <f t="shared" si="0"/>
        <v>0.16666666666666666</v>
      </c>
      <c r="G234" s="951"/>
      <c r="H234" s="951"/>
      <c r="I234" s="951"/>
      <c r="J234" s="951"/>
      <c r="K234" s="951"/>
      <c r="L234" s="951"/>
      <c r="M234" s="977"/>
    </row>
    <row r="235" ht="16.5" customHeight="true" x14ac:dyDescent="0.3">
      <c r="B235" s="973"/>
      <c r="C235" s="920" t="s">
        <v>740</v>
      </c>
      <c r="D235" s="909" t="s">
        <v>504</v>
      </c>
      <c r="E235" s="921">
        <v>30</v>
      </c>
      <c r="F235" s="1144">
        <f t="shared" si="0"/>
        <v>6.6666666666666666E-2</v>
      </c>
      <c r="G235" s="951"/>
      <c r="H235" s="951"/>
      <c r="I235" s="951"/>
      <c r="J235" s="951"/>
      <c r="K235" s="951"/>
      <c r="L235" s="951"/>
      <c r="M235" s="977"/>
    </row>
    <row r="236" ht="16.5" customHeight="true" x14ac:dyDescent="0.3">
      <c r="B236" s="973"/>
      <c r="C236" s="920" t="s">
        <v>706</v>
      </c>
      <c r="D236" s="909" t="s">
        <v>605</v>
      </c>
      <c r="E236" s="921">
        <v>100</v>
      </c>
      <c r="F236" s="1144">
        <f t="shared" si="0"/>
        <v>0.02</v>
      </c>
      <c r="G236" s="951"/>
      <c r="H236" s="951"/>
      <c r="I236" s="951"/>
      <c r="J236" s="951"/>
      <c r="K236" s="951"/>
      <c r="L236" s="951"/>
      <c r="M236" s="977"/>
    </row>
    <row r="237" ht="16.5" customHeight="true" x14ac:dyDescent="0.3">
      <c r="B237" s="973"/>
      <c r="C237" s="920" t="s">
        <v>819</v>
      </c>
      <c r="D237" s="909" t="s">
        <v>818</v>
      </c>
      <c r="E237" s="921">
        <v>5.0000000000000001E-3</v>
      </c>
      <c r="F237" s="1144">
        <f t="shared" si="0"/>
        <v>400</v>
      </c>
      <c r="G237" s="951"/>
      <c r="H237" s="951"/>
      <c r="I237" s="951"/>
      <c r="J237" s="951"/>
      <c r="K237" s="951"/>
      <c r="L237" s="951"/>
      <c r="M237" s="977"/>
    </row>
    <row r="238" ht="16.5" customHeight="true" x14ac:dyDescent="0.3">
      <c r="B238" s="973"/>
      <c r="C238" s="920" t="s">
        <v>798</v>
      </c>
      <c r="D238" s="909" t="s">
        <v>603</v>
      </c>
      <c r="E238" s="921">
        <v>2000</v>
      </c>
      <c r="F238" s="1144">
        <f t="shared" si="0"/>
        <v>1E-3</v>
      </c>
      <c r="G238" s="951"/>
      <c r="H238" s="951"/>
      <c r="I238" s="951"/>
      <c r="J238" s="951"/>
      <c r="K238" s="951"/>
      <c r="L238" s="951"/>
      <c r="M238" s="977"/>
    </row>
    <row r="239" ht="16.5" customHeight="true" x14ac:dyDescent="0.3">
      <c r="B239" s="973"/>
      <c r="C239" s="920" t="s">
        <v>708</v>
      </c>
      <c r="D239" s="909" t="s">
        <v>707</v>
      </c>
      <c r="E239" s="921">
        <v>400</v>
      </c>
      <c r="F239" s="1144">
        <f t="shared" si="0"/>
        <v>5.0000000000000001E-3</v>
      </c>
      <c r="G239" s="951"/>
      <c r="H239" s="951"/>
      <c r="I239" s="951"/>
      <c r="J239" s="951"/>
      <c r="K239" s="951"/>
      <c r="L239" s="951"/>
      <c r="M239" s="977"/>
    </row>
    <row r="240" ht="16.5" customHeight="true" x14ac:dyDescent="0.3">
      <c r="B240" s="973"/>
      <c r="C240" s="920" t="s">
        <v>930</v>
      </c>
      <c r="D240" s="909" t="s">
        <v>609</v>
      </c>
      <c r="E240" s="921">
        <v>10</v>
      </c>
      <c r="F240" s="1144">
        <f t="shared" si="0"/>
        <v>0.2</v>
      </c>
      <c r="G240" s="951"/>
      <c r="H240" s="951"/>
      <c r="I240" s="951"/>
      <c r="J240" s="951"/>
      <c r="K240" s="951"/>
      <c r="L240" s="951"/>
      <c r="M240" s="977"/>
    </row>
    <row r="241" ht="16.5" customHeight="true" x14ac:dyDescent="0.3">
      <c r="B241" s="973"/>
      <c r="C241" s="920" t="s">
        <v>793</v>
      </c>
      <c r="D241" s="909" t="s">
        <v>792</v>
      </c>
      <c r="E241" s="921">
        <v>200</v>
      </c>
      <c r="F241" s="1144">
        <f t="shared" si="0"/>
        <v>0.01</v>
      </c>
      <c r="G241" s="951"/>
      <c r="H241" s="951"/>
      <c r="I241" s="951"/>
      <c r="J241" s="951"/>
      <c r="K241" s="951"/>
      <c r="L241" s="951"/>
      <c r="M241" s="977"/>
    </row>
    <row r="242" ht="16.5" customHeight="true" x14ac:dyDescent="0.3">
      <c r="B242" s="973"/>
      <c r="C242" s="920" t="s">
        <v>787</v>
      </c>
      <c r="D242" s="909" t="s">
        <v>786</v>
      </c>
      <c r="E242" s="921">
        <v>8</v>
      </c>
      <c r="F242" s="1144">
        <f t="shared" si="0"/>
        <v>0.25</v>
      </c>
      <c r="G242" s="951"/>
      <c r="H242" s="951"/>
      <c r="I242" s="951"/>
      <c r="J242" s="951"/>
      <c r="K242" s="951"/>
      <c r="L242" s="951"/>
      <c r="M242" s="977"/>
    </row>
    <row r="243" ht="16.5" customHeight="true" x14ac:dyDescent="0.3">
      <c r="B243" s="973"/>
      <c r="C243" s="920" t="s">
        <v>737</v>
      </c>
      <c r="D243" s="909" t="s">
        <v>736</v>
      </c>
      <c r="E243" s="921">
        <v>20</v>
      </c>
      <c r="F243" s="1144">
        <f t="shared" si="0"/>
        <v>0.1</v>
      </c>
      <c r="G243" s="951"/>
      <c r="H243" s="951"/>
      <c r="I243" s="951"/>
      <c r="J243" s="951"/>
      <c r="K243" s="951"/>
      <c r="L243" s="951"/>
      <c r="M243" s="977"/>
    </row>
    <row r="244" ht="16.5" customHeight="true" x14ac:dyDescent="0.3">
      <c r="B244" s="973"/>
      <c r="C244" s="920" t="s">
        <v>735</v>
      </c>
      <c r="D244" s="909" t="s">
        <v>734</v>
      </c>
      <c r="E244" s="921">
        <v>0.01</v>
      </c>
      <c r="F244" s="1144">
        <f t="shared" si="0"/>
        <v>200</v>
      </c>
      <c r="G244" s="951"/>
      <c r="H244" s="951"/>
      <c r="I244" s="951"/>
      <c r="J244" s="951"/>
      <c r="K244" s="951"/>
      <c r="L244" s="951"/>
      <c r="M244" s="977"/>
    </row>
    <row r="245" ht="16.5" customHeight="true" x14ac:dyDescent="0.3">
      <c r="B245" s="973"/>
      <c r="C245" s="920" t="s">
        <v>835</v>
      </c>
      <c r="D245" s="909" t="s">
        <v>834</v>
      </c>
      <c r="E245" s="921">
        <v>0.1</v>
      </c>
      <c r="F245" s="1144">
        <f t="shared" si="0"/>
        <v>20</v>
      </c>
      <c r="G245" s="951"/>
      <c r="H245" s="951"/>
      <c r="I245" s="951"/>
      <c r="J245" s="951"/>
      <c r="K245" s="951"/>
      <c r="L245" s="951"/>
      <c r="M245" s="977"/>
    </row>
    <row r="246" ht="16.5" customHeight="true" x14ac:dyDescent="0.3">
      <c r="B246" s="973"/>
      <c r="C246" s="920" t="s">
        <v>888</v>
      </c>
      <c r="D246" s="909" t="s">
        <v>887</v>
      </c>
      <c r="E246" s="921">
        <v>2</v>
      </c>
      <c r="F246" s="1144">
        <f t="shared" si="0"/>
        <v>1</v>
      </c>
      <c r="G246" s="951"/>
      <c r="H246" s="951"/>
      <c r="I246" s="951"/>
      <c r="J246" s="951"/>
      <c r="K246" s="951"/>
      <c r="L246" s="951"/>
      <c r="M246" s="977"/>
    </row>
    <row r="247" ht="16.5" customHeight="true" x14ac:dyDescent="0.3">
      <c r="B247" s="973"/>
      <c r="C247" s="920" t="s">
        <v>871</v>
      </c>
      <c r="D247" s="909" t="s">
        <v>870</v>
      </c>
      <c r="E247" s="921">
        <v>5</v>
      </c>
      <c r="F247" s="1144">
        <f t="shared" si="0"/>
        <v>0.4</v>
      </c>
      <c r="G247" s="951"/>
      <c r="H247" s="951"/>
      <c r="I247" s="951"/>
      <c r="J247" s="951"/>
      <c r="K247" s="951"/>
      <c r="L247" s="951"/>
      <c r="M247" s="977"/>
    </row>
    <row r="248" ht="16.5" customHeight="true" x14ac:dyDescent="0.3">
      <c r="B248" s="973"/>
      <c r="C248" s="920" t="s">
        <v>742</v>
      </c>
      <c r="D248" s="909" t="s">
        <v>741</v>
      </c>
      <c r="E248" s="921">
        <v>25</v>
      </c>
      <c r="F248" s="1144">
        <f t="shared" si="0"/>
        <v>0.08</v>
      </c>
      <c r="G248" s="951"/>
      <c r="H248" s="951"/>
      <c r="I248" s="951"/>
      <c r="J248" s="951"/>
      <c r="K248" s="951"/>
      <c r="L248" s="951"/>
      <c r="M248" s="977"/>
    </row>
    <row r="249" ht="16.5" customHeight="true" x14ac:dyDescent="0.3">
      <c r="B249" s="973"/>
      <c r="C249" s="920" t="s">
        <v>865</v>
      </c>
      <c r="D249" s="909" t="s">
        <v>864</v>
      </c>
      <c r="E249" s="921">
        <v>20</v>
      </c>
      <c r="F249" s="1144">
        <f t="shared" si="0"/>
        <v>0.1</v>
      </c>
      <c r="G249" s="951"/>
      <c r="H249" s="951"/>
      <c r="I249" s="951"/>
      <c r="J249" s="951"/>
      <c r="K249" s="951"/>
      <c r="L249" s="951"/>
      <c r="M249" s="977"/>
    </row>
    <row r="250" ht="16.5" customHeight="true" x14ac:dyDescent="0.3">
      <c r="B250" s="973"/>
      <c r="C250" s="920" t="s">
        <v>954</v>
      </c>
      <c r="D250" s="909" t="s">
        <v>953</v>
      </c>
      <c r="E250" s="921">
        <v>1</v>
      </c>
      <c r="F250" s="1144">
        <f t="shared" si="0"/>
        <v>2</v>
      </c>
      <c r="G250" s="951"/>
      <c r="H250" s="951"/>
      <c r="I250" s="951"/>
      <c r="J250" s="951"/>
      <c r="K250" s="951"/>
      <c r="L250" s="951"/>
      <c r="M250" s="977"/>
    </row>
    <row r="251" ht="16.5" customHeight="true" x14ac:dyDescent="0.3">
      <c r="B251" s="973"/>
      <c r="C251" s="920" t="s">
        <v>863</v>
      </c>
      <c r="D251" s="909" t="s">
        <v>862</v>
      </c>
      <c r="E251" s="921">
        <v>12</v>
      </c>
      <c r="F251" s="1144">
        <f t="shared" si="0"/>
        <v>0.16666666666666666</v>
      </c>
      <c r="G251" s="951"/>
      <c r="H251" s="951"/>
      <c r="I251" s="951"/>
      <c r="J251" s="951"/>
      <c r="K251" s="951"/>
      <c r="L251" s="951"/>
      <c r="M251" s="977"/>
    </row>
    <row r="252" ht="16.5" customHeight="true" x14ac:dyDescent="0.3">
      <c r="B252" s="973"/>
      <c r="C252" s="920" t="s">
        <v>711</v>
      </c>
      <c r="D252" s="909" t="s">
        <v>710</v>
      </c>
      <c r="E252" s="921">
        <v>40</v>
      </c>
      <c r="F252" s="1144">
        <f t="shared" si="0"/>
        <v>0.05</v>
      </c>
      <c r="G252" s="951"/>
      <c r="H252" s="951"/>
      <c r="I252" s="951"/>
      <c r="J252" s="951"/>
      <c r="K252" s="951"/>
      <c r="L252" s="951"/>
      <c r="M252" s="977"/>
    </row>
    <row r="253" ht="16.5" customHeight="true" x14ac:dyDescent="0.3">
      <c r="B253" s="973"/>
      <c r="C253" s="920" t="s">
        <v>945</v>
      </c>
      <c r="D253" s="909" t="s">
        <v>508</v>
      </c>
      <c r="E253" s="921">
        <v>30</v>
      </c>
      <c r="F253" s="1144">
        <f t="shared" si="0"/>
        <v>6.6666666666666666E-2</v>
      </c>
      <c r="G253" s="951"/>
      <c r="H253" s="951"/>
      <c r="I253" s="951"/>
      <c r="J253" s="951"/>
      <c r="K253" s="951"/>
      <c r="L253" s="951"/>
      <c r="M253" s="977"/>
    </row>
    <row r="254" ht="16.5" customHeight="true" x14ac:dyDescent="0.3">
      <c r="B254" s="973"/>
      <c r="C254" s="920" t="s">
        <v>942</v>
      </c>
      <c r="D254" s="922" t="s">
        <v>949</v>
      </c>
      <c r="E254" s="921">
        <v>100</v>
      </c>
      <c r="F254" s="1144">
        <f t="shared" si="0"/>
        <v>0.02</v>
      </c>
      <c r="G254" s="951"/>
      <c r="H254" s="951"/>
      <c r="I254" s="951"/>
      <c r="J254" s="951"/>
      <c r="K254" s="951"/>
      <c r="L254" s="951"/>
      <c r="M254" s="977"/>
    </row>
    <row r="255" ht="16.5" customHeight="true" x14ac:dyDescent="0.3">
      <c r="B255" s="973"/>
      <c r="C255" s="920" t="s">
        <v>715</v>
      </c>
      <c r="D255" s="909" t="s">
        <v>714</v>
      </c>
      <c r="E255" s="921">
        <v>50</v>
      </c>
      <c r="F255" s="1144">
        <f t="shared" si="0"/>
        <v>0.04</v>
      </c>
      <c r="G255" s="951"/>
      <c r="H255" s="951"/>
      <c r="I255" s="951"/>
      <c r="J255" s="951"/>
      <c r="K255" s="951"/>
      <c r="L255" s="951"/>
      <c r="M255" s="977"/>
    </row>
    <row r="256" ht="16.5" customHeight="true" x14ac:dyDescent="0.3">
      <c r="B256" s="973"/>
      <c r="C256" s="920" t="s">
        <v>820</v>
      </c>
      <c r="D256" s="909" t="s">
        <v>514</v>
      </c>
      <c r="E256" s="921">
        <v>20</v>
      </c>
      <c r="F256" s="1144">
        <f t="shared" ref="F256:F287" si="1">$E$285/E256</f>
        <v>0.1</v>
      </c>
      <c r="G256" s="951"/>
      <c r="H256" s="951"/>
      <c r="I256" s="951"/>
      <c r="J256" s="951"/>
      <c r="K256" s="951"/>
      <c r="L256" s="951"/>
      <c r="M256" s="977"/>
    </row>
    <row r="257" ht="16.5" customHeight="true" x14ac:dyDescent="0.3">
      <c r="B257" s="973"/>
      <c r="C257" s="920" t="s">
        <v>906</v>
      </c>
      <c r="D257" s="909" t="s">
        <v>377</v>
      </c>
      <c r="E257" s="921">
        <v>50</v>
      </c>
      <c r="F257" s="1144">
        <f t="shared" si="1"/>
        <v>0.04</v>
      </c>
      <c r="G257" s="951"/>
      <c r="H257" s="951"/>
      <c r="I257" s="951"/>
      <c r="J257" s="951"/>
      <c r="K257" s="951"/>
      <c r="L257" s="951"/>
      <c r="M257" s="977"/>
    </row>
    <row r="258" ht="16.5" customHeight="true" x14ac:dyDescent="0.3">
      <c r="B258" s="973"/>
      <c r="C258" s="920" t="s">
        <v>770</v>
      </c>
      <c r="D258" s="909" t="s">
        <v>769</v>
      </c>
      <c r="E258" s="921">
        <v>10</v>
      </c>
      <c r="F258" s="1144">
        <f t="shared" si="1"/>
        <v>0.2</v>
      </c>
      <c r="G258" s="951"/>
      <c r="H258" s="951"/>
      <c r="I258" s="951"/>
      <c r="J258" s="951"/>
      <c r="K258" s="951"/>
      <c r="L258" s="951"/>
      <c r="M258" s="977"/>
    </row>
    <row r="259" ht="16.5" customHeight="true" x14ac:dyDescent="0.3">
      <c r="B259" s="973"/>
      <c r="C259" s="920" t="s">
        <v>947</v>
      </c>
      <c r="D259" s="909" t="s">
        <v>512</v>
      </c>
      <c r="E259" s="921">
        <v>30</v>
      </c>
      <c r="F259" s="1144">
        <f t="shared" si="1"/>
        <v>6.6666666666666666E-2</v>
      </c>
      <c r="G259" s="951"/>
      <c r="H259" s="951"/>
      <c r="I259" s="951"/>
      <c r="J259" s="951"/>
      <c r="K259" s="951"/>
      <c r="L259" s="951"/>
      <c r="M259" s="977"/>
    </row>
    <row r="260" ht="16.5" customHeight="true" x14ac:dyDescent="0.3">
      <c r="B260" s="973"/>
      <c r="C260" s="920" t="s">
        <v>943</v>
      </c>
      <c r="D260" s="922" t="s">
        <v>950</v>
      </c>
      <c r="E260" s="921">
        <v>100</v>
      </c>
      <c r="F260" s="1144">
        <f t="shared" si="1"/>
        <v>0.02</v>
      </c>
      <c r="G260" s="951"/>
      <c r="H260" s="951"/>
      <c r="I260" s="951"/>
      <c r="J260" s="951"/>
      <c r="K260" s="951"/>
      <c r="L260" s="951"/>
      <c r="M260" s="977"/>
    </row>
    <row r="261" ht="16.5" customHeight="true" x14ac:dyDescent="0.3">
      <c r="B261" s="973"/>
      <c r="C261" s="920" t="s">
        <v>721</v>
      </c>
      <c r="D261" s="909" t="s">
        <v>720</v>
      </c>
      <c r="E261" s="921">
        <v>50</v>
      </c>
      <c r="F261" s="1144">
        <f t="shared" si="1"/>
        <v>0.04</v>
      </c>
      <c r="G261" s="951"/>
      <c r="H261" s="951"/>
      <c r="I261" s="951"/>
      <c r="J261" s="951"/>
      <c r="K261" s="951"/>
      <c r="L261" s="951"/>
      <c r="M261" s="977"/>
    </row>
    <row r="262" ht="16.5" customHeight="true" x14ac:dyDescent="0.3">
      <c r="B262" s="973"/>
      <c r="C262" s="920" t="s">
        <v>709</v>
      </c>
      <c r="D262" s="909" t="s">
        <v>681</v>
      </c>
      <c r="E262" s="921">
        <v>10</v>
      </c>
      <c r="F262" s="1144">
        <f t="shared" si="1"/>
        <v>0.2</v>
      </c>
      <c r="G262" s="951"/>
      <c r="H262" s="951"/>
      <c r="I262" s="951"/>
      <c r="J262" s="951"/>
      <c r="K262" s="951"/>
      <c r="L262" s="951"/>
      <c r="M262" s="977"/>
    </row>
    <row r="263" ht="16.5" customHeight="true" x14ac:dyDescent="0.3">
      <c r="B263" s="973"/>
      <c r="C263" s="920" t="s">
        <v>946</v>
      </c>
      <c r="D263" s="909" t="s">
        <v>510</v>
      </c>
      <c r="E263" s="921">
        <v>30</v>
      </c>
      <c r="F263" s="1144">
        <f t="shared" si="1"/>
        <v>6.6666666666666666E-2</v>
      </c>
      <c r="G263" s="951"/>
      <c r="H263" s="951"/>
      <c r="I263" s="951"/>
      <c r="J263" s="951"/>
      <c r="K263" s="951"/>
      <c r="L263" s="951"/>
      <c r="M263" s="977"/>
    </row>
    <row r="264" ht="16.5" customHeight="true" x14ac:dyDescent="0.3">
      <c r="B264" s="973"/>
      <c r="C264" s="920" t="s">
        <v>941</v>
      </c>
      <c r="D264" s="922" t="s">
        <v>948</v>
      </c>
      <c r="E264" s="921">
        <v>100</v>
      </c>
      <c r="F264" s="1144">
        <f t="shared" si="1"/>
        <v>0.02</v>
      </c>
      <c r="G264" s="951"/>
      <c r="H264" s="951"/>
      <c r="I264" s="951"/>
      <c r="J264" s="951"/>
      <c r="K264" s="951"/>
      <c r="L264" s="951"/>
      <c r="M264" s="977"/>
    </row>
    <row r="265" ht="16.5" customHeight="true" x14ac:dyDescent="0.3">
      <c r="B265" s="973"/>
      <c r="C265" s="920" t="s">
        <v>717</v>
      </c>
      <c r="D265" s="909" t="s">
        <v>716</v>
      </c>
      <c r="E265" s="921">
        <v>50</v>
      </c>
      <c r="F265" s="1144">
        <f t="shared" si="1"/>
        <v>0.04</v>
      </c>
      <c r="G265" s="951"/>
      <c r="H265" s="951"/>
      <c r="I265" s="951"/>
      <c r="J265" s="951"/>
      <c r="K265" s="951"/>
      <c r="L265" s="951"/>
      <c r="M265" s="977"/>
    </row>
    <row r="266" ht="16.5" customHeight="true" x14ac:dyDescent="0.3">
      <c r="B266" s="973"/>
      <c r="C266" s="920" t="s">
        <v>919</v>
      </c>
      <c r="D266" s="909" t="s">
        <v>506</v>
      </c>
      <c r="E266" s="921">
        <v>40</v>
      </c>
      <c r="F266" s="1144">
        <f t="shared" si="1"/>
        <v>0.05</v>
      </c>
      <c r="G266" s="951"/>
      <c r="H266" s="951"/>
      <c r="I266" s="951"/>
      <c r="J266" s="951"/>
      <c r="K266" s="951"/>
      <c r="L266" s="951"/>
      <c r="M266" s="977"/>
    </row>
    <row r="267" ht="16.5" customHeight="true" x14ac:dyDescent="0.3">
      <c r="B267" s="973"/>
      <c r="C267" s="920" t="s">
        <v>891</v>
      </c>
      <c r="D267" s="909" t="s">
        <v>691</v>
      </c>
      <c r="E267" s="921">
        <v>30</v>
      </c>
      <c r="F267" s="1144">
        <f t="shared" si="1"/>
        <v>6.6666666666666666E-2</v>
      </c>
      <c r="G267" s="951"/>
      <c r="H267" s="951"/>
      <c r="I267" s="951"/>
      <c r="J267" s="951"/>
      <c r="K267" s="951"/>
      <c r="L267" s="951"/>
      <c r="M267" s="977"/>
    </row>
    <row r="268" ht="16.5" customHeight="true" x14ac:dyDescent="0.3">
      <c r="B268" s="973"/>
      <c r="C268" s="920" t="s">
        <v>817</v>
      </c>
      <c r="D268" s="909" t="s">
        <v>816</v>
      </c>
      <c r="E268" s="921">
        <v>3.0000000000000001E-3</v>
      </c>
      <c r="F268" s="1144">
        <f t="shared" si="1"/>
        <v>666.66666666666663</v>
      </c>
      <c r="G268" s="951"/>
      <c r="H268" s="951"/>
      <c r="I268" s="951"/>
      <c r="J268" s="951"/>
      <c r="K268" s="951"/>
      <c r="L268" s="951"/>
      <c r="M268" s="977"/>
    </row>
    <row r="269" ht="16.5" customHeight="true" x14ac:dyDescent="0.3">
      <c r="B269" s="973"/>
      <c r="C269" s="920" t="s">
        <v>911</v>
      </c>
      <c r="D269" s="909" t="s">
        <v>910</v>
      </c>
      <c r="E269" s="921">
        <v>1</v>
      </c>
      <c r="F269" s="1144">
        <f t="shared" si="1"/>
        <v>2</v>
      </c>
      <c r="G269" s="951"/>
      <c r="H269" s="951"/>
      <c r="I269" s="951"/>
      <c r="J269" s="951"/>
      <c r="K269" s="951"/>
      <c r="L269" s="951"/>
      <c r="M269" s="977"/>
    </row>
    <row r="270" ht="16.5" customHeight="true" x14ac:dyDescent="0.3">
      <c r="B270" s="973"/>
      <c r="C270" s="920" t="s">
        <v>811</v>
      </c>
      <c r="D270" s="909" t="s">
        <v>789</v>
      </c>
      <c r="E270" s="921">
        <v>20</v>
      </c>
      <c r="F270" s="1144">
        <f t="shared" si="1"/>
        <v>0.1</v>
      </c>
      <c r="G270" s="951"/>
      <c r="H270" s="951"/>
      <c r="I270" s="951"/>
      <c r="J270" s="951"/>
      <c r="K270" s="951"/>
      <c r="L270" s="951"/>
      <c r="M270" s="977"/>
    </row>
    <row r="271" ht="16.5" customHeight="true" x14ac:dyDescent="0.3">
      <c r="B271" s="973"/>
      <c r="C271" s="920" t="s">
        <v>833</v>
      </c>
      <c r="D271" s="909" t="s">
        <v>832</v>
      </c>
      <c r="E271" s="921">
        <v>0.03</v>
      </c>
      <c r="F271" s="1144">
        <f t="shared" si="1"/>
        <v>66.666666666666671</v>
      </c>
      <c r="G271" s="951"/>
      <c r="H271" s="951"/>
      <c r="I271" s="951"/>
      <c r="J271" s="951"/>
      <c r="K271" s="951"/>
      <c r="L271" s="951"/>
      <c r="M271" s="977"/>
    </row>
    <row r="272" ht="16.5" customHeight="true" x14ac:dyDescent="0.3">
      <c r="B272" s="973"/>
      <c r="C272" s="920" t="s">
        <v>713</v>
      </c>
      <c r="D272" s="909" t="s">
        <v>712</v>
      </c>
      <c r="E272" s="921">
        <v>20</v>
      </c>
      <c r="F272" s="1144">
        <f t="shared" si="1"/>
        <v>0.1</v>
      </c>
      <c r="G272" s="951"/>
      <c r="H272" s="951"/>
      <c r="I272" s="951"/>
      <c r="J272" s="951"/>
      <c r="K272" s="951"/>
      <c r="L272" s="951"/>
      <c r="M272" s="977"/>
    </row>
    <row r="273" ht="16.5" customHeight="true" x14ac:dyDescent="0.3">
      <c r="B273" s="973"/>
      <c r="C273" s="920" t="s">
        <v>856</v>
      </c>
      <c r="D273" s="909" t="s">
        <v>855</v>
      </c>
      <c r="E273" s="921">
        <v>0.01</v>
      </c>
      <c r="F273" s="1144">
        <f t="shared" si="1"/>
        <v>200</v>
      </c>
      <c r="G273" s="951"/>
      <c r="H273" s="951"/>
      <c r="I273" s="951"/>
      <c r="J273" s="951"/>
      <c r="K273" s="951"/>
      <c r="L273" s="951"/>
      <c r="M273" s="977"/>
    </row>
    <row r="274" ht="16.5" customHeight="true" x14ac:dyDescent="0.3">
      <c r="B274" s="973"/>
      <c r="C274" s="920" t="s">
        <v>824</v>
      </c>
      <c r="D274" s="909" t="s">
        <v>823</v>
      </c>
      <c r="E274" s="921">
        <v>0.01</v>
      </c>
      <c r="F274" s="1144">
        <f t="shared" si="1"/>
        <v>200</v>
      </c>
      <c r="G274" s="951"/>
      <c r="H274" s="951"/>
      <c r="I274" s="951"/>
      <c r="J274" s="951"/>
      <c r="K274" s="951"/>
      <c r="L274" s="951"/>
      <c r="M274" s="977"/>
    </row>
    <row r="275" ht="16.5" customHeight="true" x14ac:dyDescent="0.3">
      <c r="B275" s="973"/>
      <c r="C275" s="920" t="s">
        <v>905</v>
      </c>
      <c r="D275" s="909" t="s">
        <v>904</v>
      </c>
      <c r="E275" s="921">
        <v>2</v>
      </c>
      <c r="F275" s="1144">
        <f t="shared" si="1"/>
        <v>1</v>
      </c>
      <c r="G275" s="951"/>
      <c r="H275" s="951"/>
      <c r="I275" s="951"/>
      <c r="J275" s="951"/>
      <c r="K275" s="951"/>
      <c r="L275" s="951"/>
      <c r="M275" s="977"/>
    </row>
    <row r="276" ht="16.5" customHeight="true" x14ac:dyDescent="0.3">
      <c r="B276" s="973"/>
      <c r="C276" s="920" t="s">
        <v>925</v>
      </c>
      <c r="D276" s="909" t="s">
        <v>924</v>
      </c>
      <c r="E276" s="921">
        <v>50</v>
      </c>
      <c r="F276" s="1144">
        <f t="shared" si="1"/>
        <v>0.04</v>
      </c>
      <c r="G276" s="951"/>
      <c r="H276" s="951"/>
      <c r="I276" s="951"/>
      <c r="J276" s="951"/>
      <c r="K276" s="951"/>
      <c r="L276" s="951"/>
      <c r="M276" s="977"/>
    </row>
    <row r="277" ht="16.5" customHeight="true" x14ac:dyDescent="0.3">
      <c r="B277" s="973"/>
      <c r="C277" s="920" t="s">
        <v>912</v>
      </c>
      <c r="D277" s="909" t="s">
        <v>607</v>
      </c>
      <c r="E277" s="921">
        <v>10</v>
      </c>
      <c r="F277" s="1144">
        <f t="shared" si="1"/>
        <v>0.2</v>
      </c>
      <c r="G277" s="951"/>
      <c r="H277" s="951"/>
      <c r="I277" s="951"/>
      <c r="J277" s="951"/>
      <c r="K277" s="951"/>
      <c r="L277" s="951"/>
      <c r="M277" s="977"/>
    </row>
    <row r="278" ht="16.5" customHeight="true" x14ac:dyDescent="0.3">
      <c r="B278" s="973"/>
      <c r="C278" s="920" t="s">
        <v>810</v>
      </c>
      <c r="D278" s="909" t="s">
        <v>809</v>
      </c>
      <c r="E278" s="921">
        <v>800</v>
      </c>
      <c r="F278" s="1144">
        <f t="shared" si="1"/>
        <v>2.5000000000000001E-3</v>
      </c>
      <c r="G278" s="951"/>
      <c r="H278" s="951"/>
      <c r="I278" s="951"/>
      <c r="J278" s="951"/>
      <c r="K278" s="951"/>
      <c r="L278" s="951"/>
      <c r="M278" s="977"/>
    </row>
    <row r="279" ht="16.5" customHeight="true" x14ac:dyDescent="0.3">
      <c r="B279" s="973"/>
      <c r="C279" s="920" t="s">
        <v>877</v>
      </c>
      <c r="D279" s="909" t="s">
        <v>876</v>
      </c>
      <c r="E279" s="921">
        <v>1000</v>
      </c>
      <c r="F279" s="1144">
        <f t="shared" si="1"/>
        <v>2E-3</v>
      </c>
      <c r="G279" s="951"/>
      <c r="H279" s="951"/>
      <c r="I279" s="951"/>
      <c r="J279" s="951"/>
      <c r="K279" s="951"/>
      <c r="L279" s="951"/>
      <c r="M279" s="977"/>
    </row>
    <row r="280" ht="16.5" customHeight="true" x14ac:dyDescent="0.3">
      <c r="B280" s="973"/>
      <c r="C280" s="920" t="s">
        <v>916</v>
      </c>
      <c r="D280" s="909" t="s">
        <v>915</v>
      </c>
      <c r="E280" s="921">
        <v>5</v>
      </c>
      <c r="F280" s="1144">
        <f t="shared" si="1"/>
        <v>0.4</v>
      </c>
      <c r="G280" s="951"/>
      <c r="H280" s="951"/>
      <c r="I280" s="951"/>
      <c r="J280" s="951"/>
      <c r="K280" s="951"/>
      <c r="L280" s="951"/>
      <c r="M280" s="977"/>
    </row>
    <row r="281" ht="16.5" customHeight="true" x14ac:dyDescent="0.3">
      <c r="B281" s="973"/>
      <c r="C281" s="920" t="s">
        <v>828</v>
      </c>
      <c r="D281" s="909" t="s">
        <v>827</v>
      </c>
      <c r="E281" s="921">
        <v>2E-3</v>
      </c>
      <c r="F281" s="1144">
        <f t="shared" si="1"/>
        <v>1000</v>
      </c>
      <c r="G281" s="951"/>
      <c r="H281" s="951"/>
      <c r="I281" s="951"/>
      <c r="J281" s="951"/>
      <c r="K281" s="951"/>
      <c r="L281" s="951"/>
      <c r="M281" s="977"/>
    </row>
    <row r="282" ht="16.5" customHeight="true" x14ac:dyDescent="0.3">
      <c r="B282" s="973"/>
      <c r="C282" s="920" t="s">
        <v>822</v>
      </c>
      <c r="D282" s="909" t="s">
        <v>821</v>
      </c>
      <c r="E282" s="921">
        <v>0.03</v>
      </c>
      <c r="F282" s="1144">
        <f t="shared" si="1"/>
        <v>66.666666666666671</v>
      </c>
      <c r="G282" s="951"/>
      <c r="H282" s="951"/>
      <c r="I282" s="951"/>
      <c r="J282" s="951"/>
      <c r="K282" s="951"/>
      <c r="L282" s="951"/>
      <c r="M282" s="977"/>
    </row>
    <row r="283" ht="16.5" customHeight="true" x14ac:dyDescent="0.3">
      <c r="B283" s="973"/>
      <c r="C283" s="920" t="s">
        <v>727</v>
      </c>
      <c r="D283" s="909" t="s">
        <v>726</v>
      </c>
      <c r="E283" s="921">
        <v>0.03</v>
      </c>
      <c r="F283" s="1144">
        <f t="shared" si="1"/>
        <v>66.666666666666671</v>
      </c>
      <c r="G283" s="951"/>
      <c r="H283" s="951"/>
      <c r="I283" s="951"/>
      <c r="J283" s="951"/>
      <c r="K283" s="951"/>
      <c r="L283" s="951"/>
      <c r="M283" s="977"/>
    </row>
    <row r="284" ht="16.5" customHeight="true" x14ac:dyDescent="0.3">
      <c r="B284" s="973"/>
      <c r="C284" s="920" t="s">
        <v>808</v>
      </c>
      <c r="D284" s="909" t="s">
        <v>807</v>
      </c>
      <c r="E284" s="921">
        <v>2</v>
      </c>
      <c r="F284" s="1144">
        <f t="shared" si="1"/>
        <v>1</v>
      </c>
      <c r="G284" s="951"/>
      <c r="H284" s="951"/>
      <c r="I284" s="951"/>
      <c r="J284" s="951"/>
      <c r="K284" s="951"/>
      <c r="L284" s="951"/>
      <c r="M284" s="977"/>
    </row>
    <row r="285" ht="16.5" customHeight="true" x14ac:dyDescent="0.3">
      <c r="B285" s="973"/>
      <c r="C285" s="920" t="s">
        <v>852</v>
      </c>
      <c r="D285" s="909" t="s">
        <v>851</v>
      </c>
      <c r="E285" s="921">
        <v>2</v>
      </c>
      <c r="F285" s="1144">
        <f t="shared" si="1"/>
        <v>1</v>
      </c>
      <c r="G285" s="951"/>
      <c r="H285" s="951"/>
      <c r="I285" s="951"/>
      <c r="J285" s="951"/>
      <c r="K285" s="951"/>
      <c r="L285" s="951"/>
      <c r="M285" s="977"/>
    </row>
    <row r="286" ht="16.5" customHeight="true" x14ac:dyDescent="0.3">
      <c r="B286" s="973"/>
      <c r="C286" s="920" t="s">
        <v>795</v>
      </c>
      <c r="D286" s="909" t="s">
        <v>794</v>
      </c>
      <c r="E286" s="921">
        <v>0.03</v>
      </c>
      <c r="F286" s="1144">
        <f t="shared" si="1"/>
        <v>66.666666666666671</v>
      </c>
      <c r="G286" s="951"/>
      <c r="H286" s="951"/>
      <c r="I286" s="951"/>
      <c r="J286" s="951"/>
      <c r="K286" s="951"/>
      <c r="L286" s="951"/>
      <c r="M286" s="977"/>
    </row>
    <row r="287" ht="16.5" customHeight="true" x14ac:dyDescent="0.3">
      <c r="B287" s="973"/>
      <c r="C287" s="920" t="s">
        <v>826</v>
      </c>
      <c r="D287" s="909" t="s">
        <v>825</v>
      </c>
      <c r="E287" s="921">
        <v>1</v>
      </c>
      <c r="F287" s="1144">
        <f t="shared" si="1"/>
        <v>2</v>
      </c>
      <c r="G287" s="951"/>
      <c r="H287" s="951"/>
      <c r="I287" s="951"/>
      <c r="J287" s="951"/>
      <c r="K287" s="951"/>
      <c r="L287" s="951"/>
      <c r="M287" s="977"/>
    </row>
    <row r="288" ht="16.5" customHeight="true" x14ac:dyDescent="0.3">
      <c r="B288" s="973"/>
      <c r="C288" s="920" t="s">
        <v>826</v>
      </c>
      <c r="D288" s="909" t="s">
        <v>825</v>
      </c>
      <c r="E288" s="921">
        <v>0.05</v>
      </c>
      <c r="F288" s="1144">
        <f t="shared" ref="F288:F319" si="2">$E$285/E288</f>
        <v>40</v>
      </c>
      <c r="G288" s="951"/>
      <c r="H288" s="951"/>
      <c r="I288" s="951"/>
      <c r="J288" s="951"/>
      <c r="K288" s="951"/>
      <c r="L288" s="951"/>
      <c r="M288" s="977"/>
    </row>
    <row r="289" ht="16.5" customHeight="true" x14ac:dyDescent="0.3">
      <c r="B289" s="973"/>
      <c r="C289" s="920" t="s">
        <v>844</v>
      </c>
      <c r="D289" s="909" t="s">
        <v>843</v>
      </c>
      <c r="E289" s="921">
        <v>0.03</v>
      </c>
      <c r="F289" s="1144">
        <f t="shared" si="2"/>
        <v>66.666666666666671</v>
      </c>
      <c r="G289" s="951"/>
      <c r="H289" s="951"/>
      <c r="I289" s="951"/>
      <c r="J289" s="951"/>
      <c r="K289" s="951"/>
      <c r="L289" s="951"/>
      <c r="M289" s="977"/>
    </row>
    <row r="290" ht="16.5" customHeight="true" x14ac:dyDescent="0.3">
      <c r="B290" s="973"/>
      <c r="C290" s="920" t="s">
        <v>756</v>
      </c>
      <c r="D290" s="909" t="s">
        <v>755</v>
      </c>
      <c r="E290" s="921">
        <v>0.03</v>
      </c>
      <c r="F290" s="1144">
        <f t="shared" si="2"/>
        <v>66.666666666666671</v>
      </c>
      <c r="G290" s="951"/>
      <c r="H290" s="951"/>
      <c r="I290" s="951"/>
      <c r="J290" s="951"/>
      <c r="K290" s="951"/>
      <c r="L290" s="951"/>
      <c r="M290" s="977"/>
    </row>
    <row r="291" ht="16.5" customHeight="true" x14ac:dyDescent="0.3">
      <c r="B291" s="973"/>
      <c r="C291" s="920" t="s">
        <v>837</v>
      </c>
      <c r="D291" s="909" t="s">
        <v>836</v>
      </c>
      <c r="E291" s="921">
        <v>0.02</v>
      </c>
      <c r="F291" s="1144">
        <f t="shared" si="2"/>
        <v>100</v>
      </c>
      <c r="G291" s="951"/>
      <c r="H291" s="951"/>
      <c r="I291" s="951"/>
      <c r="J291" s="951"/>
      <c r="K291" s="951"/>
      <c r="L291" s="951"/>
      <c r="M291" s="977"/>
    </row>
    <row r="292" ht="16.5" customHeight="true" x14ac:dyDescent="0.3">
      <c r="B292" s="973"/>
      <c r="C292" s="920" t="s">
        <v>934</v>
      </c>
      <c r="D292" s="909" t="s">
        <v>933</v>
      </c>
      <c r="E292" s="921">
        <v>8.0000000000000002E-3</v>
      </c>
      <c r="F292" s="1144">
        <f t="shared" si="2"/>
        <v>250</v>
      </c>
      <c r="G292" s="951"/>
      <c r="H292" s="951"/>
      <c r="I292" s="951"/>
      <c r="J292" s="951"/>
      <c r="K292" s="951"/>
      <c r="L292" s="951"/>
      <c r="M292" s="977"/>
    </row>
    <row r="293" ht="16.5" customHeight="true" x14ac:dyDescent="0.3">
      <c r="B293" s="973"/>
      <c r="C293" s="920" t="s">
        <v>881</v>
      </c>
      <c r="D293" s="909" t="s">
        <v>880</v>
      </c>
      <c r="E293" s="921">
        <v>0.01</v>
      </c>
      <c r="F293" s="1144">
        <f t="shared" si="2"/>
        <v>200</v>
      </c>
      <c r="G293" s="951"/>
      <c r="H293" s="951"/>
      <c r="I293" s="951"/>
      <c r="J293" s="951"/>
      <c r="K293" s="951"/>
      <c r="L293" s="951"/>
      <c r="M293" s="977"/>
    </row>
    <row r="294" ht="16.5" customHeight="true" x14ac:dyDescent="0.3">
      <c r="B294" s="973"/>
      <c r="C294" s="920" t="s">
        <v>944</v>
      </c>
      <c r="D294" s="909" t="s">
        <v>937</v>
      </c>
      <c r="E294" s="921">
        <v>30</v>
      </c>
      <c r="F294" s="1144">
        <f t="shared" si="2"/>
        <v>6.6666666666666666E-2</v>
      </c>
      <c r="G294" s="951"/>
      <c r="H294" s="951"/>
      <c r="I294" s="951"/>
      <c r="J294" s="951"/>
      <c r="K294" s="951"/>
      <c r="L294" s="951"/>
      <c r="M294" s="977"/>
    </row>
    <row r="295" ht="16.5" customHeight="true" x14ac:dyDescent="0.3">
      <c r="B295" s="973"/>
      <c r="C295" s="920" t="s">
        <v>932</v>
      </c>
      <c r="D295" s="909" t="s">
        <v>931</v>
      </c>
      <c r="E295" s="921">
        <v>0.1</v>
      </c>
      <c r="F295" s="1144">
        <f t="shared" si="2"/>
        <v>20</v>
      </c>
      <c r="G295" s="951"/>
      <c r="H295" s="951"/>
      <c r="I295" s="951"/>
      <c r="J295" s="951"/>
      <c r="K295" s="951"/>
      <c r="L295" s="951"/>
      <c r="M295" s="977"/>
    </row>
    <row r="296" ht="16.5" customHeight="true" x14ac:dyDescent="0.3">
      <c r="B296" s="973"/>
      <c r="C296" s="920" t="s">
        <v>840</v>
      </c>
      <c r="D296" s="909" t="s">
        <v>839</v>
      </c>
      <c r="E296" s="921">
        <v>10</v>
      </c>
      <c r="F296" s="1144">
        <f t="shared" si="2"/>
        <v>0.2</v>
      </c>
      <c r="G296" s="951"/>
      <c r="H296" s="951"/>
      <c r="I296" s="951"/>
      <c r="J296" s="951"/>
      <c r="K296" s="951"/>
      <c r="L296" s="951"/>
      <c r="M296" s="977"/>
    </row>
    <row r="297" ht="16.5" customHeight="true" x14ac:dyDescent="0.3">
      <c r="B297" s="973"/>
      <c r="C297" s="920" t="s">
        <v>748</v>
      </c>
      <c r="D297" s="909" t="s">
        <v>747</v>
      </c>
      <c r="E297" s="921">
        <v>100</v>
      </c>
      <c r="F297" s="1144">
        <f t="shared" si="2"/>
        <v>0.02</v>
      </c>
      <c r="G297" s="951"/>
      <c r="H297" s="951"/>
      <c r="I297" s="951"/>
      <c r="J297" s="951"/>
      <c r="K297" s="951"/>
      <c r="L297" s="951"/>
      <c r="M297" s="977"/>
    </row>
    <row r="298" ht="16.5" customHeight="true" x14ac:dyDescent="0.3">
      <c r="B298" s="973"/>
      <c r="C298" s="920" t="s">
        <v>879</v>
      </c>
      <c r="D298" s="909" t="s">
        <v>878</v>
      </c>
      <c r="E298" s="921">
        <v>1</v>
      </c>
      <c r="F298" s="1144">
        <f t="shared" si="2"/>
        <v>2</v>
      </c>
      <c r="G298" s="951"/>
      <c r="H298" s="951"/>
      <c r="I298" s="951"/>
      <c r="J298" s="951"/>
      <c r="K298" s="951"/>
      <c r="L298" s="951"/>
      <c r="M298" s="977"/>
    </row>
    <row r="299" ht="16.5" customHeight="true" x14ac:dyDescent="0.3">
      <c r="B299" s="973"/>
      <c r="C299" s="920" t="s">
        <v>766</v>
      </c>
      <c r="D299" s="909" t="s">
        <v>765</v>
      </c>
      <c r="E299" s="921">
        <v>0.1</v>
      </c>
      <c r="F299" s="1144">
        <f t="shared" si="2"/>
        <v>20</v>
      </c>
      <c r="G299" s="951"/>
      <c r="H299" s="951"/>
      <c r="I299" s="951"/>
      <c r="J299" s="951"/>
      <c r="K299" s="951"/>
      <c r="L299" s="951"/>
      <c r="M299" s="977"/>
    </row>
    <row r="300" ht="16.5" customHeight="true" x14ac:dyDescent="0.3">
      <c r="B300" s="973"/>
      <c r="C300" s="920" t="s">
        <v>731</v>
      </c>
      <c r="D300" s="909" t="s">
        <v>730</v>
      </c>
      <c r="E300" s="921">
        <v>2</v>
      </c>
      <c r="F300" s="1144">
        <f t="shared" si="2"/>
        <v>1</v>
      </c>
      <c r="G300" s="951"/>
      <c r="H300" s="951"/>
      <c r="I300" s="951"/>
      <c r="J300" s="951"/>
      <c r="K300" s="951"/>
      <c r="L300" s="951"/>
      <c r="M300" s="977"/>
    </row>
    <row r="301" ht="16.5" customHeight="true" x14ac:dyDescent="0.3">
      <c r="B301" s="973"/>
      <c r="C301" s="920" t="s">
        <v>869</v>
      </c>
      <c r="D301" s="909" t="s">
        <v>868</v>
      </c>
      <c r="E301" s="921">
        <v>0.01</v>
      </c>
      <c r="F301" s="1144">
        <f t="shared" si="2"/>
        <v>200</v>
      </c>
      <c r="G301" s="951"/>
      <c r="H301" s="951"/>
      <c r="I301" s="951"/>
      <c r="J301" s="951"/>
      <c r="K301" s="951"/>
      <c r="L301" s="951"/>
      <c r="M301" s="977"/>
    </row>
    <row r="302" ht="16.5" customHeight="true" x14ac:dyDescent="0.3">
      <c r="B302" s="973"/>
      <c r="C302" s="920" t="s">
        <v>921</v>
      </c>
      <c r="D302" s="909" t="s">
        <v>920</v>
      </c>
      <c r="E302" s="921">
        <v>0.25</v>
      </c>
      <c r="F302" s="1144">
        <f t="shared" si="2"/>
        <v>8</v>
      </c>
      <c r="G302" s="951"/>
      <c r="H302" s="951"/>
      <c r="I302" s="951"/>
      <c r="J302" s="951"/>
      <c r="K302" s="951"/>
      <c r="L302" s="951"/>
      <c r="M302" s="977"/>
    </row>
    <row r="303" ht="16.5" customHeight="true" x14ac:dyDescent="0.3">
      <c r="B303" s="973"/>
      <c r="C303" s="920" t="s">
        <v>854</v>
      </c>
      <c r="D303" s="909" t="s">
        <v>853</v>
      </c>
      <c r="E303" s="921">
        <v>0.5</v>
      </c>
      <c r="F303" s="1144">
        <f t="shared" si="2"/>
        <v>4</v>
      </c>
      <c r="G303" s="951"/>
      <c r="H303" s="951"/>
      <c r="I303" s="951"/>
      <c r="J303" s="951"/>
      <c r="K303" s="951"/>
      <c r="L303" s="951"/>
      <c r="M303" s="977"/>
    </row>
    <row r="304" ht="16.5" customHeight="true" x14ac:dyDescent="0.3">
      <c r="B304" s="973"/>
      <c r="C304" s="920" t="s">
        <v>772</v>
      </c>
      <c r="D304" s="909" t="s">
        <v>771</v>
      </c>
      <c r="E304" s="921">
        <v>1E-3</v>
      </c>
      <c r="F304" s="1144">
        <f t="shared" si="2"/>
        <v>2000</v>
      </c>
      <c r="G304" s="951"/>
      <c r="H304" s="951"/>
      <c r="I304" s="951"/>
      <c r="J304" s="951"/>
      <c r="K304" s="951"/>
      <c r="L304" s="951"/>
      <c r="M304" s="977"/>
    </row>
    <row r="305" ht="16.5" customHeight="true" x14ac:dyDescent="0.3">
      <c r="B305" s="973"/>
      <c r="C305" s="920" t="s">
        <v>907</v>
      </c>
      <c r="D305" s="909" t="s">
        <v>957</v>
      </c>
      <c r="E305" s="921">
        <v>0.05</v>
      </c>
      <c r="F305" s="1144">
        <f t="shared" si="2"/>
        <v>40</v>
      </c>
      <c r="G305" s="951"/>
      <c r="H305" s="951"/>
      <c r="I305" s="951"/>
      <c r="J305" s="951"/>
      <c r="K305" s="951"/>
      <c r="L305" s="951"/>
      <c r="M305" s="977"/>
    </row>
    <row r="306" ht="16.5" customHeight="true" x14ac:dyDescent="0.3">
      <c r="B306" s="973"/>
      <c r="C306" s="920" t="s">
        <v>907</v>
      </c>
      <c r="D306" s="909" t="s">
        <v>957</v>
      </c>
      <c r="E306" s="921">
        <v>25</v>
      </c>
      <c r="F306" s="1144">
        <f t="shared" si="2"/>
        <v>0.08</v>
      </c>
      <c r="G306" s="951"/>
      <c r="H306" s="951"/>
      <c r="I306" s="951"/>
      <c r="J306" s="951"/>
      <c r="K306" s="951"/>
      <c r="L306" s="951"/>
      <c r="M306" s="977"/>
    </row>
    <row r="307" ht="16.5" customHeight="true" x14ac:dyDescent="0.3">
      <c r="B307" s="973"/>
      <c r="C307" s="920" t="s">
        <v>918</v>
      </c>
      <c r="D307" s="909" t="s">
        <v>917</v>
      </c>
      <c r="E307" s="921">
        <v>10</v>
      </c>
      <c r="F307" s="1144">
        <f t="shared" si="2"/>
        <v>0.2</v>
      </c>
      <c r="G307" s="951"/>
      <c r="H307" s="951"/>
      <c r="I307" s="951"/>
      <c r="J307" s="951"/>
      <c r="K307" s="951"/>
      <c r="L307" s="951"/>
      <c r="M307" s="977"/>
    </row>
    <row r="308" ht="16.5" customHeight="true" x14ac:dyDescent="0.3">
      <c r="B308" s="973"/>
      <c r="C308" s="920" t="s">
        <v>636</v>
      </c>
      <c r="D308" s="909" t="s">
        <v>637</v>
      </c>
      <c r="E308" s="921">
        <v>15</v>
      </c>
      <c r="F308" s="1144">
        <f t="shared" si="2"/>
        <v>0.13333333333333333</v>
      </c>
      <c r="G308" s="951"/>
      <c r="H308" s="951"/>
      <c r="I308" s="951"/>
      <c r="J308" s="951"/>
      <c r="K308" s="951"/>
      <c r="L308" s="951"/>
      <c r="M308" s="977"/>
    </row>
    <row r="309" ht="16.5" customHeight="true" x14ac:dyDescent="0.3">
      <c r="B309" s="973"/>
      <c r="C309" s="920" t="s">
        <v>746</v>
      </c>
      <c r="D309" s="909" t="s">
        <v>745</v>
      </c>
      <c r="E309" s="921">
        <v>2</v>
      </c>
      <c r="F309" s="1144">
        <f t="shared" si="2"/>
        <v>1</v>
      </c>
      <c r="G309" s="951"/>
      <c r="H309" s="951"/>
      <c r="I309" s="951"/>
      <c r="J309" s="951"/>
      <c r="K309" s="951"/>
      <c r="L309" s="951"/>
      <c r="M309" s="977"/>
    </row>
    <row r="310" ht="16.5" customHeight="true" x14ac:dyDescent="0.3">
      <c r="B310" s="973"/>
      <c r="C310" s="920" t="s">
        <v>760</v>
      </c>
      <c r="D310" s="909" t="s">
        <v>759</v>
      </c>
      <c r="E310" s="921">
        <v>2</v>
      </c>
      <c r="F310" s="1144">
        <f t="shared" si="2"/>
        <v>1</v>
      </c>
      <c r="G310" s="951"/>
      <c r="H310" s="951"/>
      <c r="I310" s="951"/>
      <c r="J310" s="951"/>
      <c r="K310" s="951"/>
      <c r="L310" s="951"/>
      <c r="M310" s="977"/>
    </row>
    <row r="311" ht="16.5" customHeight="true" x14ac:dyDescent="0.3">
      <c r="B311" s="973"/>
      <c r="C311" s="920" t="s">
        <v>838</v>
      </c>
      <c r="D311" s="909" t="s">
        <v>955</v>
      </c>
      <c r="E311" s="921">
        <v>0.25</v>
      </c>
      <c r="F311" s="1144">
        <f t="shared" si="2"/>
        <v>8</v>
      </c>
      <c r="G311" s="951"/>
      <c r="H311" s="951"/>
      <c r="I311" s="951"/>
      <c r="J311" s="951"/>
      <c r="K311" s="951"/>
      <c r="L311" s="951"/>
      <c r="M311" s="977"/>
    </row>
    <row r="312" ht="16.5" customHeight="true" x14ac:dyDescent="0.3">
      <c r="B312" s="973"/>
      <c r="C312" s="920" t="s">
        <v>857</v>
      </c>
      <c r="D312" s="909" t="s">
        <v>956</v>
      </c>
      <c r="E312" s="921">
        <v>2</v>
      </c>
      <c r="F312" s="1144">
        <f t="shared" si="2"/>
        <v>1</v>
      </c>
      <c r="G312" s="951"/>
      <c r="H312" s="951"/>
      <c r="I312" s="951"/>
      <c r="J312" s="951"/>
      <c r="K312" s="951"/>
      <c r="L312" s="951"/>
      <c r="M312" s="977"/>
    </row>
    <row r="313" ht="16.5" customHeight="true" x14ac:dyDescent="0.3">
      <c r="B313" s="973"/>
      <c r="C313" s="920" t="s">
        <v>791</v>
      </c>
      <c r="D313" s="909" t="s">
        <v>790</v>
      </c>
      <c r="E313" s="921">
        <v>0.5</v>
      </c>
      <c r="F313" s="1144">
        <f t="shared" si="2"/>
        <v>4</v>
      </c>
      <c r="G313" s="951"/>
      <c r="H313" s="951"/>
      <c r="I313" s="951"/>
      <c r="J313" s="951"/>
      <c r="K313" s="951"/>
      <c r="L313" s="951"/>
      <c r="M313" s="977"/>
    </row>
    <row r="314" ht="16.5" customHeight="true" x14ac:dyDescent="0.3">
      <c r="B314" s="973"/>
      <c r="C314" s="920" t="s">
        <v>754</v>
      </c>
      <c r="D314" s="909" t="s">
        <v>753</v>
      </c>
      <c r="E314" s="921">
        <v>0.1</v>
      </c>
      <c r="F314" s="1144">
        <f t="shared" si="2"/>
        <v>20</v>
      </c>
      <c r="G314" s="951"/>
      <c r="H314" s="951"/>
      <c r="I314" s="951"/>
      <c r="J314" s="951"/>
      <c r="K314" s="951"/>
      <c r="L314" s="951"/>
      <c r="M314" s="977"/>
    </row>
    <row r="315" ht="16.5" customHeight="true" x14ac:dyDescent="0.3">
      <c r="B315" s="973"/>
      <c r="C315" s="920" t="s">
        <v>929</v>
      </c>
      <c r="D315" s="909" t="s">
        <v>928</v>
      </c>
      <c r="E315" s="921">
        <v>0.4</v>
      </c>
      <c r="F315" s="1144">
        <f t="shared" si="2"/>
        <v>5</v>
      </c>
      <c r="G315" s="951"/>
      <c r="H315" s="951"/>
      <c r="I315" s="951"/>
      <c r="J315" s="951"/>
      <c r="K315" s="951"/>
      <c r="L315" s="951"/>
      <c r="M315" s="977"/>
    </row>
    <row r="316" ht="16.5" customHeight="true" x14ac:dyDescent="0.3">
      <c r="B316" s="973"/>
      <c r="C316" s="920" t="s">
        <v>859</v>
      </c>
      <c r="D316" s="909" t="s">
        <v>858</v>
      </c>
      <c r="E316" s="921">
        <v>3</v>
      </c>
      <c r="F316" s="1144">
        <f t="shared" si="2"/>
        <v>0.66666666666666663</v>
      </c>
      <c r="G316" s="951"/>
      <c r="H316" s="951"/>
      <c r="I316" s="951"/>
      <c r="J316" s="951"/>
      <c r="K316" s="951"/>
      <c r="L316" s="951"/>
      <c r="M316" s="977"/>
    </row>
    <row r="317" ht="16.5" customHeight="true" x14ac:dyDescent="0.3">
      <c r="B317" s="973"/>
      <c r="C317" s="920" t="s">
        <v>909</v>
      </c>
      <c r="D317" s="909" t="s">
        <v>908</v>
      </c>
      <c r="E317" s="921">
        <v>400000</v>
      </c>
      <c r="F317" s="1144">
        <f t="shared" si="2"/>
        <v>5.0000000000000004E-6</v>
      </c>
      <c r="G317" s="951"/>
      <c r="H317" s="951"/>
      <c r="I317" s="951"/>
      <c r="J317" s="951"/>
      <c r="K317" s="951"/>
      <c r="L317" s="951"/>
      <c r="M317" s="977"/>
    </row>
    <row r="318" ht="16.5" customHeight="true" x14ac:dyDescent="0.3">
      <c r="B318" s="973"/>
      <c r="C318" s="920" t="s">
        <v>768</v>
      </c>
      <c r="D318" s="909" t="s">
        <v>767</v>
      </c>
      <c r="E318" s="921">
        <v>2</v>
      </c>
      <c r="F318" s="1144">
        <f t="shared" si="2"/>
        <v>1</v>
      </c>
      <c r="G318" s="951"/>
      <c r="H318" s="951"/>
      <c r="I318" s="951"/>
      <c r="J318" s="951"/>
      <c r="K318" s="951"/>
      <c r="L318" s="951"/>
      <c r="M318" s="977"/>
    </row>
    <row r="319" ht="16.5" customHeight="true" x14ac:dyDescent="0.3">
      <c r="B319" s="973"/>
      <c r="C319" s="920" t="s">
        <v>725</v>
      </c>
      <c r="D319" s="909" t="s">
        <v>724</v>
      </c>
      <c r="E319" s="921">
        <v>0.02</v>
      </c>
      <c r="F319" s="1144">
        <f t="shared" si="2"/>
        <v>100</v>
      </c>
      <c r="G319" s="951"/>
      <c r="H319" s="951"/>
      <c r="I319" s="951"/>
      <c r="J319" s="951"/>
      <c r="K319" s="951"/>
      <c r="L319" s="951"/>
      <c r="M319" s="977"/>
    </row>
    <row r="320" ht="16.5" customHeight="true" x14ac:dyDescent="0.3">
      <c r="B320" s="973"/>
      <c r="C320" s="920" t="s">
        <v>758</v>
      </c>
      <c r="D320" s="909" t="s">
        <v>757</v>
      </c>
      <c r="E320" s="921">
        <v>250000</v>
      </c>
      <c r="F320" s="1144">
        <f t="shared" ref="F320:F345" si="3">$E$285/E320</f>
        <v>7.9999999999999996E-6</v>
      </c>
      <c r="G320" s="951"/>
      <c r="H320" s="951"/>
      <c r="I320" s="951"/>
      <c r="J320" s="951"/>
      <c r="K320" s="951"/>
      <c r="L320" s="951"/>
      <c r="M320" s="977"/>
    </row>
    <row r="321" ht="16.5" customHeight="true" x14ac:dyDescent="0.3">
      <c r="B321" s="973"/>
      <c r="C321" s="920" t="s">
        <v>830</v>
      </c>
      <c r="D321" s="909" t="s">
        <v>829</v>
      </c>
      <c r="E321" s="921">
        <v>1000</v>
      </c>
      <c r="F321" s="1144">
        <f t="shared" si="3"/>
        <v>2E-3</v>
      </c>
      <c r="G321" s="951"/>
      <c r="H321" s="951"/>
      <c r="I321" s="951"/>
      <c r="J321" s="951"/>
      <c r="K321" s="951"/>
      <c r="L321" s="951"/>
      <c r="M321" s="977"/>
    </row>
    <row r="322" ht="16.5" customHeight="true" x14ac:dyDescent="0.3">
      <c r="B322" s="973"/>
      <c r="C322" s="920" t="s">
        <v>893</v>
      </c>
      <c r="D322" s="909" t="s">
        <v>892</v>
      </c>
      <c r="E322" s="921">
        <v>1</v>
      </c>
      <c r="F322" s="1144">
        <f t="shared" si="3"/>
        <v>2</v>
      </c>
      <c r="G322" s="951"/>
      <c r="H322" s="951"/>
      <c r="I322" s="951"/>
      <c r="J322" s="951"/>
      <c r="K322" s="951"/>
      <c r="L322" s="951"/>
      <c r="M322" s="977"/>
    </row>
    <row r="323" ht="16.5" customHeight="true" x14ac:dyDescent="0.3">
      <c r="B323" s="973"/>
      <c r="C323" s="920" t="s">
        <v>901</v>
      </c>
      <c r="D323" s="909" t="s">
        <v>900</v>
      </c>
      <c r="E323" s="921">
        <v>100</v>
      </c>
      <c r="F323" s="1144">
        <f t="shared" si="3"/>
        <v>0.02</v>
      </c>
      <c r="G323" s="951"/>
      <c r="H323" s="951"/>
      <c r="I323" s="951"/>
      <c r="J323" s="951"/>
      <c r="K323" s="951"/>
      <c r="L323" s="951"/>
      <c r="M323" s="977"/>
    </row>
    <row r="324" ht="16.5" customHeight="true" x14ac:dyDescent="0.3">
      <c r="B324" s="973"/>
      <c r="C324" s="920" t="s">
        <v>923</v>
      </c>
      <c r="D324" s="909" t="s">
        <v>922</v>
      </c>
      <c r="E324" s="921">
        <v>5.0000000000000001E-3</v>
      </c>
      <c r="F324" s="1144">
        <f t="shared" si="3"/>
        <v>400</v>
      </c>
      <c r="G324" s="951"/>
      <c r="H324" s="951"/>
      <c r="I324" s="951"/>
      <c r="J324" s="951"/>
      <c r="K324" s="951"/>
      <c r="L324" s="951"/>
      <c r="M324" s="977"/>
    </row>
    <row r="325" ht="16.5" customHeight="true" x14ac:dyDescent="0.3">
      <c r="B325" s="973"/>
      <c r="C325" s="920" t="s">
        <v>739</v>
      </c>
      <c r="D325" s="909" t="s">
        <v>738</v>
      </c>
      <c r="E325" s="921">
        <v>500</v>
      </c>
      <c r="F325" s="1144">
        <f t="shared" si="3"/>
        <v>4.0000000000000001E-3</v>
      </c>
      <c r="G325" s="951"/>
      <c r="H325" s="951"/>
      <c r="I325" s="951"/>
      <c r="J325" s="951"/>
      <c r="K325" s="951"/>
      <c r="L325" s="951"/>
      <c r="M325" s="977"/>
    </row>
    <row r="326" ht="16.5" customHeight="true" x14ac:dyDescent="0.3">
      <c r="B326" s="973"/>
      <c r="C326" s="920" t="s">
        <v>875</v>
      </c>
      <c r="D326" s="909" t="s">
        <v>874</v>
      </c>
      <c r="E326" s="921">
        <v>1</v>
      </c>
      <c r="F326" s="1144">
        <f t="shared" si="3"/>
        <v>2</v>
      </c>
      <c r="G326" s="951"/>
      <c r="H326" s="951"/>
      <c r="I326" s="951"/>
      <c r="J326" s="951"/>
      <c r="K326" s="951"/>
      <c r="L326" s="951"/>
      <c r="M326" s="977"/>
    </row>
    <row r="327" ht="16.5" customHeight="true" x14ac:dyDescent="0.3">
      <c r="B327" s="973"/>
      <c r="C327" s="920" t="s">
        <v>797</v>
      </c>
      <c r="D327" s="909" t="s">
        <v>796</v>
      </c>
      <c r="E327" s="921">
        <v>20</v>
      </c>
      <c r="F327" s="1144">
        <f t="shared" si="3"/>
        <v>0.1</v>
      </c>
      <c r="G327" s="951"/>
      <c r="H327" s="951"/>
      <c r="I327" s="951"/>
      <c r="J327" s="951"/>
      <c r="K327" s="951"/>
      <c r="L327" s="951"/>
      <c r="M327" s="977"/>
    </row>
    <row r="328" ht="16.5" customHeight="true" x14ac:dyDescent="0.3">
      <c r="B328" s="973"/>
      <c r="C328" s="920" t="s">
        <v>764</v>
      </c>
      <c r="D328" s="909" t="s">
        <v>763</v>
      </c>
      <c r="E328" s="921">
        <v>10</v>
      </c>
      <c r="F328" s="1144">
        <f t="shared" si="3"/>
        <v>0.2</v>
      </c>
      <c r="G328" s="951"/>
      <c r="H328" s="951"/>
      <c r="I328" s="951"/>
      <c r="J328" s="951"/>
      <c r="K328" s="951"/>
      <c r="L328" s="951"/>
      <c r="M328" s="977"/>
    </row>
    <row r="329" ht="16.5" customHeight="true" x14ac:dyDescent="0.3">
      <c r="B329" s="973"/>
      <c r="C329" s="920" t="s">
        <v>895</v>
      </c>
      <c r="D329" s="909" t="s">
        <v>894</v>
      </c>
      <c r="E329" s="921">
        <v>1.4999999999999999E-2</v>
      </c>
      <c r="F329" s="1144">
        <f t="shared" si="3"/>
        <v>133.33333333333334</v>
      </c>
      <c r="G329" s="951"/>
      <c r="H329" s="951"/>
      <c r="I329" s="951"/>
      <c r="J329" s="951"/>
      <c r="K329" s="951"/>
      <c r="L329" s="951"/>
      <c r="M329" s="977"/>
    </row>
    <row r="330" ht="16.5" customHeight="true" x14ac:dyDescent="0.3">
      <c r="B330" s="973"/>
      <c r="C330" s="920" t="s">
        <v>899</v>
      </c>
      <c r="D330" s="909" t="s">
        <v>898</v>
      </c>
      <c r="E330" s="921">
        <v>0.03</v>
      </c>
      <c r="F330" s="1144">
        <f t="shared" si="3"/>
        <v>66.666666666666671</v>
      </c>
      <c r="G330" s="951"/>
      <c r="H330" s="951"/>
      <c r="I330" s="951"/>
      <c r="J330" s="951"/>
      <c r="K330" s="951"/>
      <c r="L330" s="951"/>
      <c r="M330" s="977"/>
    </row>
    <row r="331" ht="16.5" customHeight="true" x14ac:dyDescent="0.3">
      <c r="B331" s="973"/>
      <c r="C331" s="920" t="s">
        <v>886</v>
      </c>
      <c r="D331" s="909" t="s">
        <v>885</v>
      </c>
      <c r="E331" s="921">
        <v>0.5</v>
      </c>
      <c r="F331" s="1144">
        <f t="shared" si="3"/>
        <v>4</v>
      </c>
      <c r="G331" s="951"/>
      <c r="H331" s="951"/>
      <c r="I331" s="951"/>
      <c r="J331" s="951"/>
      <c r="K331" s="951"/>
      <c r="L331" s="951"/>
      <c r="M331" s="977"/>
    </row>
    <row r="332" ht="16.5" customHeight="true" x14ac:dyDescent="0.3">
      <c r="B332" s="973"/>
      <c r="C332" s="920" t="s">
        <v>846</v>
      </c>
      <c r="D332" s="909" t="s">
        <v>845</v>
      </c>
      <c r="E332" s="921">
        <v>2</v>
      </c>
      <c r="F332" s="1144">
        <f t="shared" si="3"/>
        <v>1</v>
      </c>
      <c r="G332" s="951"/>
      <c r="H332" s="951"/>
      <c r="I332" s="951"/>
      <c r="J332" s="951"/>
      <c r="K332" s="951"/>
      <c r="L332" s="951"/>
      <c r="M332" s="977"/>
    </row>
    <row r="333" ht="16.5" customHeight="true" x14ac:dyDescent="0.3">
      <c r="B333" s="973"/>
      <c r="C333" s="920" t="s">
        <v>804</v>
      </c>
      <c r="D333" s="909" t="s">
        <v>803</v>
      </c>
      <c r="E333" s="921">
        <v>1E-3</v>
      </c>
      <c r="F333" s="1144">
        <f t="shared" si="3"/>
        <v>2000</v>
      </c>
      <c r="G333" s="951"/>
      <c r="H333" s="951"/>
      <c r="I333" s="951"/>
      <c r="J333" s="951"/>
      <c r="K333" s="951"/>
      <c r="L333" s="951"/>
      <c r="M333" s="977"/>
    </row>
    <row r="334" ht="16.5" customHeight="true" x14ac:dyDescent="0.3">
      <c r="B334" s="973"/>
      <c r="C334" s="920" t="s">
        <v>733</v>
      </c>
      <c r="D334" s="909" t="s">
        <v>732</v>
      </c>
      <c r="E334" s="921">
        <v>0.02</v>
      </c>
      <c r="F334" s="1144">
        <f t="shared" si="3"/>
        <v>100</v>
      </c>
      <c r="G334" s="951"/>
      <c r="H334" s="951"/>
      <c r="I334" s="951"/>
      <c r="J334" s="951"/>
      <c r="K334" s="951"/>
      <c r="L334" s="951"/>
      <c r="M334" s="977"/>
    </row>
    <row r="335" ht="16.5" customHeight="true" x14ac:dyDescent="0.3">
      <c r="B335" s="973"/>
      <c r="C335" s="920" t="s">
        <v>884</v>
      </c>
      <c r="D335" s="909" t="s">
        <v>883</v>
      </c>
      <c r="E335" s="921">
        <v>1.5</v>
      </c>
      <c r="F335" s="1144">
        <f t="shared" si="3"/>
        <v>1.3333333333333333</v>
      </c>
      <c r="G335" s="951"/>
      <c r="H335" s="951"/>
      <c r="I335" s="951"/>
      <c r="J335" s="951"/>
      <c r="K335" s="951"/>
      <c r="L335" s="951"/>
      <c r="M335" s="977"/>
    </row>
    <row r="336" ht="16.5" customHeight="true" x14ac:dyDescent="0.3">
      <c r="B336" s="973"/>
      <c r="C336" s="920" t="s">
        <v>785</v>
      </c>
      <c r="D336" s="909" t="s">
        <v>784</v>
      </c>
      <c r="E336" s="921">
        <v>2.0000000000000001E-4</v>
      </c>
      <c r="F336" s="1144">
        <f t="shared" si="3"/>
        <v>10000</v>
      </c>
      <c r="G336" s="951"/>
      <c r="H336" s="951"/>
      <c r="I336" s="951"/>
      <c r="J336" s="951"/>
      <c r="K336" s="951"/>
      <c r="L336" s="951"/>
      <c r="M336" s="977"/>
    </row>
    <row r="337" ht="16.5" customHeight="true" x14ac:dyDescent="0.3">
      <c r="B337" s="973"/>
      <c r="C337" s="920" t="s">
        <v>890</v>
      </c>
      <c r="D337" s="909" t="s">
        <v>889</v>
      </c>
      <c r="E337" s="921">
        <v>0.05</v>
      </c>
      <c r="F337" s="1144">
        <f t="shared" si="3"/>
        <v>40</v>
      </c>
      <c r="G337" s="951"/>
      <c r="H337" s="951"/>
      <c r="I337" s="951"/>
      <c r="J337" s="951"/>
      <c r="K337" s="951"/>
      <c r="L337" s="951"/>
      <c r="M337" s="977"/>
    </row>
    <row r="338" ht="16.5" customHeight="true" x14ac:dyDescent="0.3">
      <c r="B338" s="973"/>
      <c r="C338" s="920" t="s">
        <v>890</v>
      </c>
      <c r="D338" s="909" t="s">
        <v>889</v>
      </c>
      <c r="E338" s="921">
        <v>0.01</v>
      </c>
      <c r="F338" s="1144">
        <f t="shared" si="3"/>
        <v>200</v>
      </c>
      <c r="G338" s="951"/>
      <c r="H338" s="951"/>
      <c r="I338" s="951"/>
      <c r="J338" s="951"/>
      <c r="K338" s="951"/>
      <c r="L338" s="951"/>
      <c r="M338" s="977"/>
    </row>
    <row r="339" ht="16.5" customHeight="true" x14ac:dyDescent="0.3">
      <c r="B339" s="973"/>
      <c r="C339" s="920" t="s">
        <v>927</v>
      </c>
      <c r="D339" s="909" t="s">
        <v>926</v>
      </c>
      <c r="E339" s="921">
        <v>2E-3</v>
      </c>
      <c r="F339" s="1144">
        <f t="shared" si="3"/>
        <v>1000</v>
      </c>
      <c r="G339" s="951"/>
      <c r="H339" s="951"/>
      <c r="I339" s="951"/>
      <c r="J339" s="951"/>
      <c r="K339" s="951"/>
      <c r="L339" s="951"/>
      <c r="M339" s="977"/>
    </row>
    <row r="340" ht="16.5" customHeight="true" x14ac:dyDescent="0.3">
      <c r="B340" s="973"/>
      <c r="C340" s="920" t="s">
        <v>897</v>
      </c>
      <c r="D340" s="909" t="s">
        <v>896</v>
      </c>
      <c r="E340" s="921">
        <v>4</v>
      </c>
      <c r="F340" s="1144">
        <f t="shared" si="3"/>
        <v>0.5</v>
      </c>
      <c r="G340" s="951"/>
      <c r="H340" s="951"/>
      <c r="I340" s="951"/>
      <c r="J340" s="951"/>
      <c r="K340" s="951"/>
      <c r="L340" s="951"/>
      <c r="M340" s="977"/>
    </row>
    <row r="341" ht="16.5" customHeight="true" x14ac:dyDescent="0.3">
      <c r="B341" s="973"/>
      <c r="C341" s="920" t="s">
        <v>783</v>
      </c>
      <c r="D341" s="909" t="s">
        <v>782</v>
      </c>
      <c r="E341" s="921">
        <v>1E-3</v>
      </c>
      <c r="F341" s="1144">
        <f t="shared" si="3"/>
        <v>2000</v>
      </c>
      <c r="G341" s="951"/>
      <c r="H341" s="951"/>
      <c r="I341" s="951"/>
      <c r="J341" s="951"/>
      <c r="K341" s="951"/>
      <c r="L341" s="951"/>
      <c r="M341" s="977"/>
    </row>
    <row r="342" ht="16.5" customHeight="true" x14ac:dyDescent="0.3">
      <c r="B342" s="973"/>
      <c r="C342" s="920" t="s">
        <v>848</v>
      </c>
      <c r="D342" s="909" t="s">
        <v>847</v>
      </c>
      <c r="E342" s="921">
        <v>1E-4</v>
      </c>
      <c r="F342" s="1144">
        <f t="shared" si="3"/>
        <v>20000</v>
      </c>
      <c r="G342" s="951"/>
      <c r="H342" s="951"/>
      <c r="I342" s="951"/>
      <c r="J342" s="951"/>
      <c r="K342" s="951"/>
      <c r="L342" s="951"/>
      <c r="M342" s="977"/>
    </row>
    <row r="343" ht="16.5" customHeight="true" x14ac:dyDescent="0.3">
      <c r="B343" s="973"/>
      <c r="C343" s="920" t="s">
        <v>723</v>
      </c>
      <c r="D343" s="909" t="s">
        <v>722</v>
      </c>
      <c r="E343" s="921">
        <v>0.01</v>
      </c>
      <c r="F343" s="1144">
        <f t="shared" si="3"/>
        <v>200</v>
      </c>
      <c r="G343" s="951"/>
      <c r="H343" s="951"/>
      <c r="I343" s="951"/>
      <c r="J343" s="951"/>
      <c r="K343" s="951"/>
      <c r="L343" s="951"/>
      <c r="M343" s="977"/>
    </row>
    <row r="344" ht="16.5" customHeight="true" x14ac:dyDescent="0.3">
      <c r="B344" s="973"/>
      <c r="C344" s="920" t="s">
        <v>750</v>
      </c>
      <c r="D344" s="909" t="s">
        <v>749</v>
      </c>
      <c r="E344" s="921">
        <v>0.5</v>
      </c>
      <c r="F344" s="1144">
        <f t="shared" si="3"/>
        <v>4</v>
      </c>
      <c r="G344" s="951"/>
      <c r="H344" s="951"/>
      <c r="I344" s="951"/>
      <c r="J344" s="951"/>
      <c r="K344" s="951"/>
      <c r="L344" s="951"/>
      <c r="M344" s="977"/>
    </row>
    <row r="345" ht="16.5" customHeight="true" x14ac:dyDescent="0.3">
      <c r="B345" s="973"/>
      <c r="C345" s="920" t="s">
        <v>813</v>
      </c>
      <c r="D345" s="909" t="s">
        <v>812</v>
      </c>
      <c r="E345" s="921">
        <v>1E-3</v>
      </c>
      <c r="F345" s="1144">
        <f t="shared" si="3"/>
        <v>2000</v>
      </c>
      <c r="G345" s="951"/>
      <c r="H345" s="951"/>
      <c r="I345" s="951"/>
      <c r="J345" s="951"/>
      <c r="K345" s="951"/>
      <c r="L345" s="951"/>
      <c r="M345" s="977"/>
    </row>
    <row r="346" ht="16.5" customHeight="true" thickBot="true" x14ac:dyDescent="0.35">
      <c r="B346" s="973"/>
      <c r="C346" s="923" t="s">
        <v>243</v>
      </c>
      <c r="D346" s="924"/>
      <c r="E346" s="925" t="s">
        <v>952</v>
      </c>
      <c r="F346" s="926"/>
      <c r="G346" s="951"/>
      <c r="H346" s="951"/>
      <c r="I346" s="951"/>
      <c r="J346" s="951"/>
      <c r="K346" s="951"/>
      <c r="L346" s="951"/>
      <c r="M346" s="977"/>
    </row>
    <row r="347" ht="16.5" customHeight="true" x14ac:dyDescent="0.3">
      <c r="B347" s="973"/>
      <c r="C347" s="952"/>
      <c r="D347" s="953"/>
      <c r="E347" s="952"/>
      <c r="F347" s="952"/>
      <c r="G347" s="951"/>
      <c r="H347" s="951"/>
      <c r="I347" s="951"/>
      <c r="J347" s="951"/>
      <c r="K347" s="951"/>
      <c r="L347" s="951"/>
      <c r="M347" s="977"/>
    </row>
    <row r="348" ht="16.5" customHeight="true" x14ac:dyDescent="0.3">
      <c r="B348" s="973"/>
      <c r="C348" s="952"/>
      <c r="D348" s="953"/>
      <c r="E348" s="952"/>
      <c r="F348" s="952"/>
      <c r="G348" s="951"/>
      <c r="H348" s="951"/>
      <c r="I348" s="951"/>
      <c r="J348" s="951"/>
      <c r="K348" s="951"/>
      <c r="L348" s="951"/>
      <c r="M348" s="977"/>
    </row>
    <row r="349" ht="16.5" customHeight="true" x14ac:dyDescent="0.3">
      <c r="B349" s="973"/>
      <c r="C349" s="952"/>
      <c r="D349" s="953"/>
      <c r="E349" s="952"/>
      <c r="F349" s="952"/>
      <c r="G349" s="951"/>
      <c r="H349" s="951"/>
      <c r="I349" s="951"/>
      <c r="J349" s="951"/>
      <c r="K349" s="951"/>
      <c r="L349" s="951"/>
      <c r="M349" s="977"/>
    </row>
    <row r="350" ht="16.5" customHeight="true" x14ac:dyDescent="0.3">
      <c r="B350" s="973"/>
      <c r="C350" s="952"/>
      <c r="D350" s="953"/>
      <c r="E350" s="952"/>
      <c r="F350" s="952"/>
      <c r="G350" s="951"/>
      <c r="H350" s="951"/>
      <c r="I350" s="951"/>
      <c r="J350" s="951"/>
      <c r="K350" s="951"/>
      <c r="L350" s="951"/>
      <c r="M350" s="977"/>
    </row>
    <row r="351" ht="16.5" customHeight="true" x14ac:dyDescent="0.3">
      <c r="B351" s="973"/>
      <c r="C351" s="952"/>
      <c r="D351" s="953"/>
      <c r="E351" s="952"/>
      <c r="F351" s="952"/>
      <c r="G351" s="951"/>
      <c r="H351" s="951"/>
      <c r="I351" s="951"/>
      <c r="J351" s="951"/>
      <c r="K351" s="951"/>
      <c r="L351" s="951"/>
      <c r="M351" s="977"/>
    </row>
    <row r="352" ht="16.5" customHeight="true" x14ac:dyDescent="0.3">
      <c r="B352" s="973"/>
      <c r="C352" s="952"/>
      <c r="D352" s="953"/>
      <c r="E352" s="952"/>
      <c r="F352" s="952"/>
      <c r="G352" s="951"/>
      <c r="H352" s="951"/>
      <c r="I352" s="951"/>
      <c r="J352" s="951"/>
      <c r="K352" s="951"/>
      <c r="L352" s="951"/>
      <c r="M352" s="977"/>
    </row>
    <row r="353" ht="16.5" customHeight="true" x14ac:dyDescent="0.3">
      <c r="B353" s="973"/>
      <c r="C353" s="952"/>
      <c r="D353" s="953"/>
      <c r="E353" s="952"/>
      <c r="F353" s="952"/>
      <c r="G353" s="951"/>
      <c r="H353" s="951"/>
      <c r="I353" s="951"/>
      <c r="J353" s="951"/>
      <c r="K353" s="951"/>
      <c r="L353" s="951"/>
      <c r="M353" s="977"/>
    </row>
    <row r="354" ht="16.5" customHeight="true" x14ac:dyDescent="0.3">
      <c r="B354" s="973"/>
      <c r="C354" s="952"/>
      <c r="D354" s="953"/>
      <c r="E354" s="952"/>
      <c r="F354" s="952"/>
      <c r="G354" s="951"/>
      <c r="H354" s="951"/>
      <c r="I354" s="951"/>
      <c r="J354" s="951"/>
      <c r="K354" s="951"/>
      <c r="L354" s="951"/>
      <c r="M354" s="977"/>
    </row>
    <row r="355" ht="16.5" customHeight="true" x14ac:dyDescent="0.3">
      <c r="B355" s="973"/>
      <c r="C355" s="952"/>
      <c r="D355" s="953"/>
      <c r="E355" s="952"/>
      <c r="F355" s="952"/>
      <c r="G355" s="951"/>
      <c r="H355" s="951"/>
      <c r="I355" s="951"/>
      <c r="J355" s="951"/>
      <c r="K355" s="951"/>
      <c r="L355" s="951"/>
      <c r="M355" s="977"/>
    </row>
    <row r="356" ht="16.5" customHeight="true" x14ac:dyDescent="0.3">
      <c r="B356" s="973"/>
      <c r="C356" s="952"/>
      <c r="D356" s="953"/>
      <c r="E356" s="952"/>
      <c r="F356" s="952"/>
      <c r="G356" s="951"/>
      <c r="H356" s="951"/>
      <c r="I356" s="951"/>
      <c r="J356" s="951"/>
      <c r="K356" s="951"/>
      <c r="L356" s="951"/>
      <c r="M356" s="977"/>
    </row>
    <row r="357" ht="16.5" customHeight="true" x14ac:dyDescent="0.3">
      <c r="B357" s="973"/>
      <c r="C357" s="952"/>
      <c r="D357" s="953"/>
      <c r="E357" s="952"/>
      <c r="F357" s="952"/>
      <c r="G357" s="951"/>
      <c r="H357" s="951"/>
      <c r="I357" s="951"/>
      <c r="J357" s="951"/>
      <c r="K357" s="951"/>
      <c r="L357" s="951"/>
      <c r="M357" s="977"/>
    </row>
    <row r="358" ht="16.5" customHeight="true" x14ac:dyDescent="0.3">
      <c r="B358" s="973"/>
      <c r="C358" s="952"/>
      <c r="D358" s="953"/>
      <c r="E358" s="952"/>
      <c r="F358" s="952"/>
      <c r="G358" s="951"/>
      <c r="H358" s="951"/>
      <c r="I358" s="951"/>
      <c r="J358" s="951"/>
      <c r="K358" s="951"/>
      <c r="L358" s="951"/>
      <c r="M358" s="977"/>
    </row>
    <row r="359" ht="16.5" customHeight="true" x14ac:dyDescent="0.3">
      <c r="B359" s="973"/>
      <c r="C359" s="952"/>
      <c r="D359" s="953"/>
      <c r="E359" s="952"/>
      <c r="F359" s="952"/>
      <c r="G359" s="951"/>
      <c r="H359" s="951"/>
      <c r="I359" s="951"/>
      <c r="J359" s="951"/>
      <c r="K359" s="951"/>
      <c r="L359" s="951"/>
      <c r="M359" s="977"/>
    </row>
    <row r="360" ht="28.5" customHeight="true" thickBot="true" x14ac:dyDescent="0.35">
      <c r="B360" s="973"/>
      <c r="C360" s="974" t="s">
        <v>252</v>
      </c>
      <c r="D360" s="975" t="s">
        <v>375</v>
      </c>
      <c r="E360" s="979" t="s">
        <v>951</v>
      </c>
      <c r="F360" s="976" t="s">
        <v>2306</v>
      </c>
      <c r="G360" s="980"/>
      <c r="H360" s="951"/>
      <c r="I360" s="951"/>
      <c r="J360" s="951"/>
      <c r="K360" s="951"/>
      <c r="L360" s="951"/>
      <c r="M360" s="977"/>
    </row>
    <row r="361" ht="16.5" customHeight="true" x14ac:dyDescent="0.3">
      <c r="B361" s="973"/>
      <c r="C361" s="918" t="s">
        <v>842</v>
      </c>
      <c r="D361" s="907" t="s">
        <v>841</v>
      </c>
      <c r="E361" s="919">
        <v>1000</v>
      </c>
      <c r="F361" s="1143">
        <f t="shared" ref="F361:F374" si="4">$E$372/E361</f>
        <v>5.0000000000000001E-3</v>
      </c>
      <c r="G361" s="980" t="s">
        <v>958</v>
      </c>
      <c r="H361" s="951"/>
      <c r="I361" s="951"/>
      <c r="J361" s="2160" t="s">
        <v>381</v>
      </c>
      <c r="K361" s="2160"/>
      <c r="L361" s="2160"/>
      <c r="M361" s="978" t="s">
        <v>866</v>
      </c>
    </row>
    <row r="362" ht="16.5" customHeight="true" x14ac:dyDescent="0.3">
      <c r="B362" s="973"/>
      <c r="C362" s="920" t="s">
        <v>850</v>
      </c>
      <c r="D362" s="909" t="s">
        <v>849</v>
      </c>
      <c r="E362" s="921">
        <v>25</v>
      </c>
      <c r="F362" s="1144">
        <f t="shared" si="4"/>
        <v>0.2</v>
      </c>
      <c r="G362" s="980" t="s">
        <v>958</v>
      </c>
      <c r="H362" s="951"/>
      <c r="I362" s="951"/>
      <c r="J362" s="2160" t="s">
        <v>382</v>
      </c>
      <c r="K362" s="2160"/>
      <c r="L362" s="2160"/>
      <c r="M362" s="1142">
        <f>IF(ISNA(VLOOKUP(M361,D361:F374,3,FALSE))=TRUE,0,VLOOKUP(M361,D361:F374,3,FALSE))</f>
        <v>16.666666666666668</v>
      </c>
    </row>
    <row r="363" ht="16.5" customHeight="true" x14ac:dyDescent="0.3">
      <c r="B363" s="973"/>
      <c r="C363" s="920" t="s">
        <v>861</v>
      </c>
      <c r="D363" s="909" t="s">
        <v>860</v>
      </c>
      <c r="E363" s="921">
        <v>30</v>
      </c>
      <c r="F363" s="1144">
        <f t="shared" si="4"/>
        <v>0.16666666666666666</v>
      </c>
      <c r="G363" s="980" t="s">
        <v>958</v>
      </c>
      <c r="H363" s="951"/>
      <c r="I363" s="951"/>
      <c r="J363" s="951"/>
      <c r="K363" s="951"/>
      <c r="L363" s="951"/>
      <c r="M363" s="977"/>
    </row>
    <row r="364" ht="16.5" customHeight="true" x14ac:dyDescent="0.3">
      <c r="B364" s="973"/>
      <c r="C364" s="920" t="s">
        <v>867</v>
      </c>
      <c r="D364" s="909" t="s">
        <v>866</v>
      </c>
      <c r="E364" s="921">
        <v>0.3</v>
      </c>
      <c r="F364" s="1144">
        <f t="shared" si="4"/>
        <v>16.666666666666668</v>
      </c>
      <c r="G364" s="980" t="s">
        <v>958</v>
      </c>
      <c r="H364" s="951"/>
      <c r="I364" s="951"/>
      <c r="J364" s="951"/>
      <c r="K364" s="951"/>
      <c r="L364" s="951"/>
      <c r="M364" s="977"/>
    </row>
    <row r="365" ht="16.5" customHeight="true" x14ac:dyDescent="0.3">
      <c r="B365" s="973"/>
      <c r="C365" s="920" t="s">
        <v>873</v>
      </c>
      <c r="D365" s="909" t="s">
        <v>872</v>
      </c>
      <c r="E365" s="921">
        <v>30</v>
      </c>
      <c r="F365" s="1144">
        <f t="shared" si="4"/>
        <v>0.16666666666666666</v>
      </c>
      <c r="G365" s="980" t="s">
        <v>958</v>
      </c>
      <c r="H365" s="951"/>
      <c r="I365" s="951"/>
      <c r="J365" s="951"/>
      <c r="K365" s="951"/>
      <c r="L365" s="951"/>
      <c r="M365" s="977"/>
    </row>
    <row r="366" ht="16.5" customHeight="true" x14ac:dyDescent="0.3">
      <c r="B366" s="973"/>
      <c r="C366" s="920" t="s">
        <v>903</v>
      </c>
      <c r="D366" s="909" t="s">
        <v>902</v>
      </c>
      <c r="E366" s="921">
        <v>0.05</v>
      </c>
      <c r="F366" s="1144">
        <f t="shared" si="4"/>
        <v>100</v>
      </c>
      <c r="G366" s="980" t="s">
        <v>958</v>
      </c>
      <c r="H366" s="951"/>
      <c r="I366" s="951"/>
      <c r="J366" s="951"/>
      <c r="K366" s="951"/>
      <c r="L366" s="951"/>
      <c r="M366" s="977"/>
    </row>
    <row r="367" ht="16.5" customHeight="true" x14ac:dyDescent="0.3">
      <c r="B367" s="973"/>
      <c r="C367" s="920" t="s">
        <v>729</v>
      </c>
      <c r="D367" s="909" t="s">
        <v>728</v>
      </c>
      <c r="E367" s="921">
        <v>25</v>
      </c>
      <c r="F367" s="1144">
        <f t="shared" si="4"/>
        <v>0.2</v>
      </c>
      <c r="G367" s="980" t="s">
        <v>958</v>
      </c>
      <c r="H367" s="951"/>
      <c r="I367" s="951"/>
      <c r="J367" s="951"/>
      <c r="K367" s="951"/>
      <c r="L367" s="951"/>
      <c r="M367" s="977"/>
    </row>
    <row r="368" ht="16.5" customHeight="true" x14ac:dyDescent="0.3">
      <c r="B368" s="973"/>
      <c r="C368" s="920" t="s">
        <v>744</v>
      </c>
      <c r="D368" s="909" t="s">
        <v>743</v>
      </c>
      <c r="E368" s="921">
        <v>1000</v>
      </c>
      <c r="F368" s="1144">
        <f t="shared" si="4"/>
        <v>5.0000000000000001E-3</v>
      </c>
      <c r="G368" s="980" t="s">
        <v>958</v>
      </c>
      <c r="H368" s="951"/>
      <c r="I368" s="951"/>
      <c r="J368" s="951"/>
      <c r="K368" s="951"/>
      <c r="L368" s="951"/>
      <c r="M368" s="977"/>
    </row>
    <row r="369" ht="16.5" customHeight="true" x14ac:dyDescent="0.3">
      <c r="B369" s="973"/>
      <c r="C369" s="920" t="s">
        <v>752</v>
      </c>
      <c r="D369" s="909" t="s">
        <v>751</v>
      </c>
      <c r="E369" s="921">
        <v>2.5</v>
      </c>
      <c r="F369" s="1144">
        <f t="shared" si="4"/>
        <v>2</v>
      </c>
      <c r="G369" s="980" t="s">
        <v>958</v>
      </c>
      <c r="H369" s="951"/>
      <c r="I369" s="951"/>
      <c r="J369" s="951"/>
      <c r="K369" s="951"/>
      <c r="L369" s="951"/>
      <c r="M369" s="977"/>
    </row>
    <row r="370" ht="16.5" customHeight="true" x14ac:dyDescent="0.3">
      <c r="B370" s="973"/>
      <c r="C370" s="920" t="s">
        <v>774</v>
      </c>
      <c r="D370" s="909" t="s">
        <v>773</v>
      </c>
      <c r="E370" s="921">
        <v>15</v>
      </c>
      <c r="F370" s="1144">
        <f t="shared" si="4"/>
        <v>0.33333333333333331</v>
      </c>
      <c r="G370" s="980" t="s">
        <v>958</v>
      </c>
      <c r="H370" s="951"/>
      <c r="I370" s="951"/>
      <c r="J370" s="951"/>
      <c r="K370" s="951"/>
      <c r="L370" s="951"/>
      <c r="M370" s="977"/>
    </row>
    <row r="371" ht="16.5" customHeight="true" x14ac:dyDescent="0.3">
      <c r="B371" s="973"/>
      <c r="C371" s="920" t="s">
        <v>776</v>
      </c>
      <c r="D371" s="909" t="s">
        <v>775</v>
      </c>
      <c r="E371" s="921">
        <v>3</v>
      </c>
      <c r="F371" s="1144">
        <f t="shared" si="4"/>
        <v>1.6666666666666667</v>
      </c>
      <c r="G371" s="980" t="s">
        <v>958</v>
      </c>
      <c r="H371" s="951"/>
      <c r="I371" s="951"/>
      <c r="J371" s="951"/>
      <c r="K371" s="951"/>
      <c r="L371" s="951"/>
      <c r="M371" s="977"/>
    </row>
    <row r="372" ht="16.5" customHeight="true" x14ac:dyDescent="0.3">
      <c r="B372" s="973"/>
      <c r="C372" s="920" t="s">
        <v>778</v>
      </c>
      <c r="D372" s="909" t="s">
        <v>777</v>
      </c>
      <c r="E372" s="921">
        <v>5</v>
      </c>
      <c r="F372" s="1144">
        <f t="shared" si="4"/>
        <v>1</v>
      </c>
      <c r="G372" s="980" t="s">
        <v>958</v>
      </c>
      <c r="H372" s="951"/>
      <c r="I372" s="951"/>
      <c r="J372" s="951"/>
      <c r="K372" s="951"/>
      <c r="L372" s="951"/>
      <c r="M372" s="977"/>
    </row>
    <row r="373" ht="16.5" customHeight="true" x14ac:dyDescent="0.3">
      <c r="B373" s="973"/>
      <c r="C373" s="920" t="s">
        <v>936</v>
      </c>
      <c r="D373" s="909" t="s">
        <v>935</v>
      </c>
      <c r="E373" s="921">
        <v>100</v>
      </c>
      <c r="F373" s="1144">
        <f t="shared" si="4"/>
        <v>0.05</v>
      </c>
      <c r="G373" s="980" t="s">
        <v>958</v>
      </c>
      <c r="H373" s="951"/>
      <c r="I373" s="951"/>
      <c r="J373" s="951"/>
      <c r="K373" s="951"/>
      <c r="L373" s="951"/>
      <c r="M373" s="977"/>
    </row>
    <row r="374" ht="16.5" customHeight="true" thickBot="true" x14ac:dyDescent="0.35">
      <c r="B374" s="973"/>
      <c r="C374" s="923" t="s">
        <v>939</v>
      </c>
      <c r="D374" s="912" t="s">
        <v>938</v>
      </c>
      <c r="E374" s="925">
        <v>40</v>
      </c>
      <c r="F374" s="1145">
        <f t="shared" si="4"/>
        <v>0.125</v>
      </c>
      <c r="G374" s="980" t="s">
        <v>958</v>
      </c>
      <c r="H374" s="951"/>
      <c r="I374" s="951"/>
      <c r="J374" s="951"/>
      <c r="K374" s="951"/>
      <c r="L374" s="951"/>
      <c r="M374" s="977"/>
    </row>
    <row r="375" x14ac:dyDescent="0.3">
      <c r="B375" s="973"/>
      <c r="C375" s="952"/>
      <c r="D375" s="953"/>
      <c r="E375" s="952"/>
      <c r="F375" s="952"/>
      <c r="G375" s="951"/>
      <c r="H375" s="951"/>
      <c r="I375" s="951"/>
      <c r="J375" s="951"/>
      <c r="K375" s="951"/>
      <c r="L375" s="951"/>
      <c r="M375" s="977"/>
    </row>
    <row r="376" x14ac:dyDescent="0.3">
      <c r="B376" s="973"/>
      <c r="C376" s="952"/>
      <c r="D376" s="953"/>
      <c r="E376" s="952"/>
      <c r="F376" s="952"/>
      <c r="G376" s="951"/>
      <c r="H376" s="951"/>
      <c r="I376" s="951"/>
      <c r="J376" s="951"/>
      <c r="K376" s="951"/>
      <c r="L376" s="951"/>
      <c r="M376" s="977"/>
    </row>
    <row r="377" x14ac:dyDescent="0.3">
      <c r="B377" s="973"/>
      <c r="C377" s="952"/>
      <c r="D377" s="953"/>
      <c r="E377" s="952"/>
      <c r="F377" s="952"/>
      <c r="G377" s="951"/>
      <c r="H377" s="951"/>
      <c r="I377" s="951"/>
      <c r="J377" s="951"/>
      <c r="K377" s="951"/>
      <c r="L377" s="951"/>
      <c r="M377" s="977"/>
    </row>
    <row r="378" x14ac:dyDescent="0.3">
      <c r="B378" s="973"/>
      <c r="C378" s="952"/>
      <c r="D378" s="953"/>
      <c r="E378" s="952"/>
      <c r="F378" s="952"/>
      <c r="G378" s="951"/>
      <c r="H378" s="951"/>
      <c r="I378" s="951"/>
      <c r="J378" s="951"/>
      <c r="K378" s="951"/>
      <c r="L378" s="951"/>
      <c r="M378" s="977"/>
    </row>
    <row r="379" x14ac:dyDescent="0.3">
      <c r="B379" s="973"/>
      <c r="C379" s="952"/>
      <c r="D379" s="953"/>
      <c r="E379" s="952"/>
      <c r="F379" s="952"/>
      <c r="G379" s="951"/>
      <c r="H379" s="951"/>
      <c r="I379" s="951"/>
      <c r="J379" s="951"/>
      <c r="K379" s="951"/>
      <c r="L379" s="951"/>
      <c r="M379" s="977"/>
    </row>
    <row r="380" x14ac:dyDescent="0.3">
      <c r="B380" s="973"/>
      <c r="C380" s="952"/>
      <c r="D380" s="953"/>
      <c r="E380" s="952"/>
      <c r="F380" s="952"/>
      <c r="G380" s="951"/>
      <c r="H380" s="951"/>
      <c r="I380" s="951"/>
      <c r="J380" s="951"/>
      <c r="K380" s="951"/>
      <c r="L380" s="951"/>
      <c r="M380" s="977"/>
    </row>
    <row r="381" x14ac:dyDescent="0.3">
      <c r="B381" s="973"/>
      <c r="C381" s="952"/>
      <c r="D381" s="953"/>
      <c r="E381" s="952"/>
      <c r="F381" s="952"/>
      <c r="G381" s="951"/>
      <c r="H381" s="951"/>
      <c r="I381" s="951"/>
      <c r="J381" s="951"/>
      <c r="K381" s="951"/>
      <c r="L381" s="951"/>
      <c r="M381" s="977"/>
    </row>
    <row r="382" x14ac:dyDescent="0.3">
      <c r="B382" s="973"/>
      <c r="C382" s="952"/>
      <c r="D382" s="953"/>
      <c r="E382" s="952"/>
      <c r="F382" s="952"/>
      <c r="G382" s="951"/>
      <c r="H382" s="951"/>
      <c r="I382" s="951"/>
      <c r="J382" s="951"/>
      <c r="K382" s="951"/>
      <c r="L382" s="951"/>
      <c r="M382" s="977"/>
    </row>
    <row r="383" x14ac:dyDescent="0.3">
      <c r="B383" s="973"/>
      <c r="C383" s="952"/>
      <c r="D383" s="953"/>
      <c r="E383" s="952"/>
      <c r="F383" s="952"/>
      <c r="G383" s="951"/>
      <c r="H383" s="951"/>
      <c r="I383" s="951"/>
      <c r="J383" s="951"/>
      <c r="K383" s="951"/>
      <c r="L383" s="951"/>
      <c r="M383" s="977"/>
    </row>
    <row r="384" x14ac:dyDescent="0.3">
      <c r="B384" s="973"/>
      <c r="C384" s="952"/>
      <c r="D384" s="953"/>
      <c r="E384" s="952"/>
      <c r="F384" s="952"/>
      <c r="G384" s="951"/>
      <c r="H384" s="951"/>
      <c r="I384" s="951"/>
      <c r="J384" s="951"/>
      <c r="K384" s="951"/>
      <c r="L384" s="951"/>
      <c r="M384" s="977"/>
    </row>
    <row r="385" x14ac:dyDescent="0.3">
      <c r="B385" s="973"/>
      <c r="C385" s="952"/>
      <c r="D385" s="953"/>
      <c r="E385" s="952"/>
      <c r="F385" s="952"/>
      <c r="G385" s="951"/>
      <c r="H385" s="951"/>
      <c r="I385" s="951"/>
      <c r="J385" s="951"/>
      <c r="K385" s="951"/>
      <c r="L385" s="951"/>
      <c r="M385" s="977"/>
    </row>
    <row r="386" ht="29.4" thickBot="true" x14ac:dyDescent="0.35">
      <c r="B386" s="973"/>
      <c r="C386" s="974" t="s">
        <v>252</v>
      </c>
      <c r="D386" s="975" t="s">
        <v>375</v>
      </c>
      <c r="E386" s="976" t="s">
        <v>2307</v>
      </c>
      <c r="F386" s="952"/>
      <c r="G386" s="951"/>
      <c r="H386" s="951"/>
      <c r="I386" s="951"/>
      <c r="J386" s="951"/>
      <c r="K386" s="951"/>
      <c r="L386" s="951"/>
      <c r="M386" s="977"/>
    </row>
    <row r="387" x14ac:dyDescent="0.3">
      <c r="B387" s="973"/>
      <c r="C387" s="906" t="s">
        <v>991</v>
      </c>
      <c r="D387" s="907" t="s">
        <v>992</v>
      </c>
      <c r="E387" s="898">
        <v>1.34</v>
      </c>
      <c r="F387" s="952"/>
      <c r="G387" s="951"/>
      <c r="H387" s="951"/>
      <c r="I387" s="951"/>
      <c r="J387" s="2160" t="s">
        <v>381</v>
      </c>
      <c r="K387" s="2160"/>
      <c r="L387" s="2160"/>
      <c r="M387" s="978" t="s">
        <v>993</v>
      </c>
    </row>
    <row r="388" x14ac:dyDescent="0.3">
      <c r="B388" s="973"/>
      <c r="C388" s="908" t="s">
        <v>986</v>
      </c>
      <c r="D388" s="909" t="s">
        <v>189</v>
      </c>
      <c r="E388" s="901">
        <v>0.97</v>
      </c>
      <c r="F388" s="952"/>
      <c r="G388" s="951"/>
      <c r="H388" s="951"/>
      <c r="I388" s="951"/>
      <c r="J388" s="2160" t="s">
        <v>382</v>
      </c>
      <c r="K388" s="2160"/>
      <c r="L388" s="2160"/>
      <c r="M388" s="1142">
        <f>IF(ISNA(VLOOKUP(M387,D387:E399,2,FALSE))=TRUE,0,VLOOKUP(M387,D387:E399,2,FALSE))</f>
        <v>9.5000000000000001E-2</v>
      </c>
    </row>
    <row r="389" x14ac:dyDescent="0.3">
      <c r="B389" s="973"/>
      <c r="C389" s="908" t="s">
        <v>636</v>
      </c>
      <c r="D389" s="916" t="s">
        <v>637</v>
      </c>
      <c r="E389" s="901">
        <v>0.33</v>
      </c>
      <c r="F389" s="952"/>
      <c r="G389" s="951"/>
      <c r="H389" s="951"/>
      <c r="I389" s="951"/>
      <c r="J389" s="951"/>
      <c r="K389" s="951"/>
      <c r="L389" s="951"/>
      <c r="M389" s="977"/>
    </row>
    <row r="390" x14ac:dyDescent="0.3">
      <c r="B390" s="973"/>
      <c r="C390" s="908" t="s">
        <v>985</v>
      </c>
      <c r="D390" s="909" t="s">
        <v>993</v>
      </c>
      <c r="E390" s="901">
        <v>9.5000000000000001E-2</v>
      </c>
      <c r="F390" s="952"/>
      <c r="G390" s="951"/>
      <c r="H390" s="951"/>
      <c r="I390" s="951"/>
      <c r="J390" s="951"/>
      <c r="K390" s="951"/>
      <c r="L390" s="951"/>
      <c r="M390" s="977"/>
    </row>
    <row r="391" x14ac:dyDescent="0.3">
      <c r="B391" s="973"/>
      <c r="C391" s="908" t="s">
        <v>979</v>
      </c>
      <c r="D391" s="909" t="s">
        <v>980</v>
      </c>
      <c r="E391" s="901">
        <v>3.06</v>
      </c>
      <c r="F391" s="952"/>
      <c r="G391" s="951"/>
      <c r="H391" s="951"/>
      <c r="I391" s="951"/>
      <c r="J391" s="951"/>
      <c r="K391" s="951"/>
      <c r="L391" s="951"/>
      <c r="M391" s="977"/>
    </row>
    <row r="392" x14ac:dyDescent="0.3">
      <c r="B392" s="973"/>
      <c r="C392" s="908" t="s">
        <v>982</v>
      </c>
      <c r="D392" s="909" t="s">
        <v>619</v>
      </c>
      <c r="E392" s="901">
        <v>0.13</v>
      </c>
      <c r="F392" s="952"/>
      <c r="G392" s="951"/>
      <c r="H392" s="951"/>
      <c r="I392" s="951"/>
      <c r="J392" s="951"/>
      <c r="K392" s="951"/>
      <c r="L392" s="951"/>
      <c r="M392" s="977"/>
    </row>
    <row r="393" x14ac:dyDescent="0.3">
      <c r="B393" s="973"/>
      <c r="C393" s="908" t="s">
        <v>981</v>
      </c>
      <c r="D393" s="922" t="s">
        <v>621</v>
      </c>
      <c r="E393" s="901">
        <v>0.2</v>
      </c>
      <c r="F393" s="952"/>
      <c r="G393" s="951"/>
      <c r="H393" s="951"/>
      <c r="I393" s="951"/>
      <c r="J393" s="951"/>
      <c r="K393" s="951"/>
      <c r="L393" s="951"/>
      <c r="M393" s="977"/>
    </row>
    <row r="394" x14ac:dyDescent="0.3">
      <c r="B394" s="973"/>
      <c r="C394" s="908" t="s">
        <v>2308</v>
      </c>
      <c r="D394" s="909" t="s">
        <v>975</v>
      </c>
      <c r="E394" s="901">
        <v>0.13</v>
      </c>
      <c r="F394" s="952"/>
      <c r="G394" s="951"/>
      <c r="H394" s="951"/>
      <c r="I394" s="951"/>
      <c r="J394" s="951"/>
      <c r="K394" s="951"/>
      <c r="L394" s="951"/>
      <c r="M394" s="977"/>
    </row>
    <row r="395" x14ac:dyDescent="0.3">
      <c r="B395" s="973"/>
      <c r="C395" s="908" t="s">
        <v>983</v>
      </c>
      <c r="D395" s="909" t="s">
        <v>984</v>
      </c>
      <c r="E395" s="901">
        <v>0.1</v>
      </c>
      <c r="F395" s="952"/>
      <c r="G395" s="951"/>
      <c r="H395" s="951"/>
      <c r="I395" s="951"/>
      <c r="J395" s="951"/>
      <c r="K395" s="951"/>
      <c r="L395" s="951"/>
      <c r="M395" s="977"/>
    </row>
    <row r="396" x14ac:dyDescent="0.3">
      <c r="B396" s="973"/>
      <c r="C396" s="908" t="s">
        <v>976</v>
      </c>
      <c r="D396" s="909" t="s">
        <v>977</v>
      </c>
      <c r="E396" s="901">
        <v>0.42</v>
      </c>
      <c r="F396" s="952"/>
      <c r="G396" s="951"/>
      <c r="H396" s="951"/>
      <c r="I396" s="951"/>
      <c r="J396" s="951"/>
      <c r="K396" s="951"/>
      <c r="L396" s="951"/>
      <c r="M396" s="977"/>
    </row>
    <row r="397" x14ac:dyDescent="0.3">
      <c r="B397" s="973"/>
      <c r="C397" s="908" t="s">
        <v>2309</v>
      </c>
      <c r="D397" s="909" t="s">
        <v>978</v>
      </c>
      <c r="E397" s="901">
        <v>1</v>
      </c>
      <c r="F397" s="952"/>
      <c r="G397" s="951"/>
      <c r="H397" s="951"/>
      <c r="I397" s="951"/>
      <c r="J397" s="951"/>
      <c r="K397" s="951"/>
      <c r="L397" s="951"/>
      <c r="M397" s="977"/>
    </row>
    <row r="398" x14ac:dyDescent="0.3">
      <c r="B398" s="973"/>
      <c r="C398" s="908" t="s">
        <v>987</v>
      </c>
      <c r="D398" s="909" t="s">
        <v>988</v>
      </c>
      <c r="E398" s="901">
        <v>2.1999999999999999E-2</v>
      </c>
      <c r="F398" s="952"/>
      <c r="G398" s="951"/>
      <c r="H398" s="951"/>
      <c r="I398" s="951"/>
      <c r="J398" s="951"/>
      <c r="K398" s="951"/>
      <c r="L398" s="951"/>
      <c r="M398" s="977"/>
    </row>
    <row r="399" ht="15" thickBot="true" x14ac:dyDescent="0.35">
      <c r="B399" s="973"/>
      <c r="C399" s="914" t="s">
        <v>989</v>
      </c>
      <c r="D399" s="912" t="s">
        <v>990</v>
      </c>
      <c r="E399" s="905">
        <v>2.1999999999999999E-2</v>
      </c>
      <c r="F399" s="952"/>
      <c r="G399" s="951"/>
      <c r="H399" s="951"/>
      <c r="I399" s="951"/>
      <c r="J399" s="951"/>
      <c r="K399" s="951"/>
      <c r="L399" s="951"/>
      <c r="M399" s="977"/>
    </row>
    <row r="400" x14ac:dyDescent="0.3">
      <c r="B400" s="973"/>
      <c r="C400" s="952"/>
      <c r="D400" s="953"/>
      <c r="E400" s="952"/>
      <c r="F400" s="952"/>
      <c r="G400" s="951"/>
      <c r="H400" s="951"/>
      <c r="I400" s="951"/>
      <c r="J400" s="951"/>
      <c r="K400" s="951"/>
      <c r="L400" s="951"/>
      <c r="M400" s="977"/>
    </row>
    <row r="401" x14ac:dyDescent="0.3">
      <c r="B401" s="973"/>
      <c r="C401" s="952"/>
      <c r="D401" s="953"/>
      <c r="E401" s="952"/>
      <c r="F401" s="952"/>
      <c r="G401" s="951"/>
      <c r="H401" s="951"/>
      <c r="I401" s="951"/>
      <c r="J401" s="951"/>
      <c r="K401" s="951"/>
      <c r="L401" s="951"/>
      <c r="M401" s="977"/>
    </row>
    <row r="402" x14ac:dyDescent="0.3">
      <c r="B402" s="973"/>
      <c r="C402" s="952"/>
      <c r="D402" s="953"/>
      <c r="E402" s="952"/>
      <c r="F402" s="952"/>
      <c r="G402" s="951"/>
      <c r="H402" s="951"/>
      <c r="I402" s="951"/>
      <c r="J402" s="951"/>
      <c r="K402" s="951"/>
      <c r="L402" s="951"/>
      <c r="M402" s="977"/>
    </row>
    <row r="403" x14ac:dyDescent="0.3">
      <c r="B403" s="973"/>
      <c r="C403" s="952"/>
      <c r="D403" s="953"/>
      <c r="E403" s="952"/>
      <c r="F403" s="952"/>
      <c r="G403" s="951"/>
      <c r="H403" s="951"/>
      <c r="I403" s="951"/>
      <c r="J403" s="951"/>
      <c r="K403" s="951"/>
      <c r="L403" s="951"/>
      <c r="M403" s="977"/>
    </row>
    <row r="404" x14ac:dyDescent="0.3">
      <c r="B404" s="973"/>
      <c r="C404" s="952"/>
      <c r="D404" s="953"/>
      <c r="E404" s="952"/>
      <c r="F404" s="952"/>
      <c r="G404" s="951"/>
      <c r="H404" s="951"/>
      <c r="I404" s="951"/>
      <c r="J404" s="951"/>
      <c r="K404" s="951"/>
      <c r="L404" s="951"/>
      <c r="M404" s="977"/>
    </row>
    <row r="405" x14ac:dyDescent="0.3">
      <c r="B405" s="973"/>
      <c r="C405" s="952"/>
      <c r="D405" s="953"/>
      <c r="E405" s="952"/>
      <c r="F405" s="952"/>
      <c r="G405" s="951"/>
      <c r="H405" s="951"/>
      <c r="I405" s="951"/>
      <c r="J405" s="951"/>
      <c r="K405" s="951"/>
      <c r="L405" s="951"/>
      <c r="M405" s="977"/>
    </row>
    <row r="406" x14ac:dyDescent="0.3">
      <c r="B406" s="973"/>
      <c r="C406" s="952"/>
      <c r="D406" s="953"/>
      <c r="E406" s="952"/>
      <c r="F406" s="952"/>
      <c r="G406" s="951"/>
      <c r="H406" s="951"/>
      <c r="I406" s="951"/>
      <c r="J406" s="951"/>
      <c r="K406" s="951"/>
      <c r="L406" s="951"/>
      <c r="M406" s="977"/>
    </row>
    <row r="407" x14ac:dyDescent="0.3">
      <c r="B407" s="973"/>
      <c r="C407" s="952"/>
      <c r="D407" s="953"/>
      <c r="E407" s="952"/>
      <c r="F407" s="952"/>
      <c r="G407" s="951"/>
      <c r="H407" s="951"/>
      <c r="I407" s="951"/>
      <c r="J407" s="951"/>
      <c r="K407" s="951"/>
      <c r="L407" s="951"/>
      <c r="M407" s="977"/>
    </row>
    <row r="408" x14ac:dyDescent="0.3">
      <c r="B408" s="973"/>
      <c r="C408" s="952"/>
      <c r="D408" s="953"/>
      <c r="E408" s="952"/>
      <c r="F408" s="952"/>
      <c r="G408" s="951"/>
      <c r="H408" s="951"/>
      <c r="I408" s="951"/>
      <c r="J408" s="951"/>
      <c r="K408" s="951"/>
      <c r="L408" s="951"/>
      <c r="M408" s="977"/>
    </row>
    <row r="409" x14ac:dyDescent="0.3">
      <c r="B409" s="973"/>
      <c r="C409" s="952"/>
      <c r="D409" s="953"/>
      <c r="E409" s="952"/>
      <c r="F409" s="952"/>
      <c r="G409" s="951"/>
      <c r="H409" s="951"/>
      <c r="I409" s="951"/>
      <c r="J409" s="951"/>
      <c r="K409" s="951"/>
      <c r="L409" s="951"/>
      <c r="M409" s="977"/>
    </row>
    <row r="410" ht="15" thickBot="true" x14ac:dyDescent="0.35">
      <c r="B410" s="973"/>
      <c r="C410" s="952"/>
      <c r="D410" s="953"/>
      <c r="E410" s="952"/>
      <c r="F410" s="952"/>
      <c r="G410" s="951"/>
      <c r="H410" s="951"/>
      <c r="I410" s="951"/>
      <c r="J410" s="951"/>
      <c r="K410" s="951"/>
      <c r="L410" s="951"/>
      <c r="M410" s="977"/>
    </row>
    <row r="411" ht="43.2" x14ac:dyDescent="0.3">
      <c r="B411" s="973"/>
      <c r="C411" s="927" t="s">
        <v>1873</v>
      </c>
      <c r="D411" s="928" t="s">
        <v>375</v>
      </c>
      <c r="E411" s="929"/>
      <c r="F411" s="930" t="s">
        <v>201</v>
      </c>
      <c r="G411" s="951"/>
      <c r="H411" s="951"/>
      <c r="I411" s="951"/>
      <c r="J411" s="951"/>
      <c r="K411" s="951"/>
      <c r="L411" s="951"/>
      <c r="M411" s="977"/>
    </row>
    <row r="412" x14ac:dyDescent="0.3">
      <c r="B412" s="973"/>
      <c r="C412" s="931" t="s">
        <v>1874</v>
      </c>
      <c r="D412" s="932" t="s">
        <v>913</v>
      </c>
      <c r="E412" s="933"/>
      <c r="F412" s="934">
        <v>1400</v>
      </c>
      <c r="G412" s="951"/>
      <c r="H412" s="951"/>
      <c r="I412" s="951"/>
      <c r="J412" s="2160" t="s">
        <v>381</v>
      </c>
      <c r="K412" s="2160"/>
      <c r="L412" s="2160"/>
      <c r="M412" s="978" t="s">
        <v>1981</v>
      </c>
    </row>
    <row r="413" x14ac:dyDescent="0.3">
      <c r="B413" s="973"/>
      <c r="C413" s="931" t="s">
        <v>1875</v>
      </c>
      <c r="D413" s="932" t="s">
        <v>605</v>
      </c>
      <c r="E413" s="935" t="s">
        <v>1876</v>
      </c>
      <c r="F413" s="934">
        <v>146</v>
      </c>
      <c r="G413" s="951"/>
      <c r="H413" s="951"/>
      <c r="I413" s="951"/>
      <c r="J413" s="2160" t="s">
        <v>382</v>
      </c>
      <c r="K413" s="2160"/>
      <c r="L413" s="2160"/>
      <c r="M413" s="1142">
        <f>IF(ISNA(VLOOKUP(M412,D412:F473,3,FALSE))=TRUE,0,VLOOKUP(M412,D412:F473,3,FALSE))</f>
        <v>9810</v>
      </c>
    </row>
    <row r="414" x14ac:dyDescent="0.3">
      <c r="B414" s="973"/>
      <c r="C414" s="931" t="s">
        <v>1877</v>
      </c>
      <c r="D414" s="932" t="s">
        <v>429</v>
      </c>
      <c r="E414" s="935"/>
      <c r="F414" s="934">
        <v>25</v>
      </c>
      <c r="G414" s="951"/>
      <c r="H414" s="951"/>
      <c r="I414" s="951"/>
      <c r="J414" s="951"/>
      <c r="K414" s="951"/>
      <c r="L414" s="951"/>
      <c r="M414" s="977"/>
    </row>
    <row r="415" x14ac:dyDescent="0.3">
      <c r="B415" s="973"/>
      <c r="C415" s="931" t="s">
        <v>1878</v>
      </c>
      <c r="D415" s="932" t="s">
        <v>601</v>
      </c>
      <c r="E415" s="935"/>
      <c r="F415" s="934">
        <v>13</v>
      </c>
      <c r="G415" s="951"/>
      <c r="H415" s="951"/>
      <c r="I415" s="951"/>
      <c r="J415" s="951"/>
      <c r="K415" s="951"/>
      <c r="L415" s="951"/>
      <c r="M415" s="977"/>
    </row>
    <row r="416" x14ac:dyDescent="0.3">
      <c r="B416" s="973"/>
      <c r="C416" s="931" t="s">
        <v>1879</v>
      </c>
      <c r="D416" s="932" t="s">
        <v>1968</v>
      </c>
      <c r="E416" s="935"/>
      <c r="F416" s="934">
        <v>675</v>
      </c>
      <c r="G416" s="951"/>
      <c r="H416" s="951"/>
      <c r="I416" s="951"/>
      <c r="J416" s="951"/>
      <c r="K416" s="951"/>
      <c r="L416" s="951"/>
      <c r="M416" s="977"/>
    </row>
    <row r="417" x14ac:dyDescent="0.3">
      <c r="B417" s="973"/>
      <c r="C417" s="931" t="s">
        <v>1880</v>
      </c>
      <c r="D417" s="932" t="s">
        <v>1969</v>
      </c>
      <c r="E417" s="935" t="s">
        <v>1881</v>
      </c>
      <c r="F417" s="934">
        <v>124</v>
      </c>
      <c r="G417" s="951"/>
      <c r="H417" s="951"/>
      <c r="I417" s="951"/>
      <c r="J417" s="951"/>
      <c r="K417" s="951"/>
      <c r="L417" s="951"/>
      <c r="M417" s="977"/>
    </row>
    <row r="418" x14ac:dyDescent="0.3">
      <c r="B418" s="973"/>
      <c r="C418" s="931" t="s">
        <v>1882</v>
      </c>
      <c r="D418" s="932" t="s">
        <v>1970</v>
      </c>
      <c r="E418" s="935" t="s">
        <v>1883</v>
      </c>
      <c r="F418" s="934">
        <v>1810</v>
      </c>
      <c r="G418" s="951"/>
      <c r="H418" s="951"/>
      <c r="I418" s="951"/>
      <c r="J418" s="951"/>
      <c r="K418" s="951"/>
      <c r="L418" s="951"/>
      <c r="M418" s="977"/>
    </row>
    <row r="419" x14ac:dyDescent="0.3">
      <c r="B419" s="973"/>
      <c r="C419" s="931" t="s">
        <v>1884</v>
      </c>
      <c r="D419" s="932" t="s">
        <v>1971</v>
      </c>
      <c r="E419" s="935"/>
      <c r="F419" s="934">
        <v>14800</v>
      </c>
      <c r="G419" s="951"/>
      <c r="H419" s="951"/>
      <c r="I419" s="951"/>
      <c r="J419" s="951"/>
      <c r="K419" s="981"/>
      <c r="L419" s="951"/>
      <c r="M419" s="977"/>
    </row>
    <row r="420" x14ac:dyDescent="0.3">
      <c r="B420" s="973"/>
      <c r="C420" s="931" t="s">
        <v>1885</v>
      </c>
      <c r="D420" s="932" t="s">
        <v>1972</v>
      </c>
      <c r="E420" s="935"/>
      <c r="F420" s="934">
        <v>7140</v>
      </c>
      <c r="G420" s="951"/>
      <c r="H420" s="951"/>
      <c r="I420" s="951"/>
      <c r="J420" s="951"/>
      <c r="K420" s="951"/>
      <c r="L420" s="951"/>
      <c r="M420" s="977"/>
    </row>
    <row r="421" x14ac:dyDescent="0.3">
      <c r="B421" s="973"/>
      <c r="C421" s="931" t="s">
        <v>1886</v>
      </c>
      <c r="D421" s="932" t="s">
        <v>1982</v>
      </c>
      <c r="E421" s="935"/>
      <c r="F421" s="934">
        <v>2310</v>
      </c>
      <c r="G421" s="951"/>
      <c r="H421" s="951"/>
      <c r="I421" s="951"/>
      <c r="J421" s="951"/>
      <c r="K421" s="951"/>
      <c r="L421" s="951"/>
      <c r="M421" s="977"/>
    </row>
    <row r="422" x14ac:dyDescent="0.3">
      <c r="B422" s="973"/>
      <c r="C422" s="931" t="s">
        <v>1887</v>
      </c>
      <c r="D422" s="932" t="s">
        <v>1983</v>
      </c>
      <c r="E422" s="935" t="s">
        <v>1888</v>
      </c>
      <c r="F422" s="934">
        <v>4750</v>
      </c>
      <c r="G422" s="951"/>
      <c r="H422" s="951"/>
      <c r="I422" s="951"/>
      <c r="J422" s="951"/>
      <c r="K422" s="951"/>
      <c r="L422" s="951"/>
      <c r="M422" s="977"/>
    </row>
    <row r="423" x14ac:dyDescent="0.3">
      <c r="B423" s="973"/>
      <c r="C423" s="931" t="s">
        <v>1889</v>
      </c>
      <c r="D423" s="932" t="s">
        <v>1984</v>
      </c>
      <c r="E423" s="935" t="s">
        <v>1890</v>
      </c>
      <c r="F423" s="934">
        <v>10900</v>
      </c>
      <c r="G423" s="951"/>
      <c r="H423" s="951"/>
      <c r="I423" s="951"/>
      <c r="J423" s="951"/>
      <c r="K423" s="951"/>
      <c r="L423" s="951"/>
      <c r="M423" s="977"/>
    </row>
    <row r="424" x14ac:dyDescent="0.3">
      <c r="B424" s="973"/>
      <c r="C424" s="931" t="s">
        <v>1891</v>
      </c>
      <c r="D424" s="932" t="s">
        <v>1985</v>
      </c>
      <c r="E424" s="935"/>
      <c r="F424" s="934">
        <v>14400</v>
      </c>
      <c r="G424" s="951"/>
      <c r="H424" s="951"/>
      <c r="I424" s="951"/>
      <c r="J424" s="951"/>
      <c r="K424" s="951"/>
      <c r="L424" s="951"/>
      <c r="M424" s="977"/>
    </row>
    <row r="425" x14ac:dyDescent="0.3">
      <c r="B425" s="973"/>
      <c r="C425" s="931" t="s">
        <v>1892</v>
      </c>
      <c r="D425" s="932" t="s">
        <v>1986</v>
      </c>
      <c r="E425" s="935" t="s">
        <v>1893</v>
      </c>
      <c r="F425" s="934">
        <v>7390</v>
      </c>
      <c r="G425" s="951"/>
      <c r="H425" s="951"/>
      <c r="I425" s="951"/>
      <c r="J425" s="951"/>
      <c r="K425" s="951"/>
      <c r="L425" s="951"/>
      <c r="M425" s="977"/>
    </row>
    <row r="426" x14ac:dyDescent="0.3">
      <c r="B426" s="973"/>
      <c r="C426" s="931" t="s">
        <v>1894</v>
      </c>
      <c r="D426" s="932" t="s">
        <v>1987</v>
      </c>
      <c r="E426" s="935" t="s">
        <v>1895</v>
      </c>
      <c r="F426" s="934">
        <v>6130</v>
      </c>
      <c r="G426" s="951"/>
      <c r="H426" s="951"/>
      <c r="I426" s="951"/>
      <c r="J426" s="951"/>
      <c r="K426" s="951"/>
      <c r="L426" s="951"/>
      <c r="M426" s="977"/>
    </row>
    <row r="427" x14ac:dyDescent="0.3">
      <c r="B427" s="973"/>
      <c r="C427" s="931" t="s">
        <v>1896</v>
      </c>
      <c r="D427" s="932" t="s">
        <v>1988</v>
      </c>
      <c r="E427" s="935"/>
      <c r="F427" s="934">
        <v>10000</v>
      </c>
      <c r="G427" s="951"/>
      <c r="H427" s="951"/>
      <c r="I427" s="951"/>
      <c r="J427" s="951"/>
      <c r="K427" s="951"/>
      <c r="L427" s="951"/>
      <c r="M427" s="977"/>
    </row>
    <row r="428" x14ac:dyDescent="0.3">
      <c r="B428" s="973"/>
      <c r="C428" s="931" t="s">
        <v>1897</v>
      </c>
      <c r="D428" s="932" t="s">
        <v>1989</v>
      </c>
      <c r="E428" s="935"/>
      <c r="F428" s="934">
        <v>7370</v>
      </c>
      <c r="G428" s="951"/>
      <c r="H428" s="951"/>
      <c r="I428" s="951"/>
      <c r="J428" s="951"/>
      <c r="K428" s="951"/>
      <c r="L428" s="951"/>
      <c r="M428" s="977"/>
    </row>
    <row r="429" x14ac:dyDescent="0.3">
      <c r="B429" s="973"/>
      <c r="C429" s="931" t="s">
        <v>1898</v>
      </c>
      <c r="D429" s="932" t="s">
        <v>1990</v>
      </c>
      <c r="E429" s="935" t="s">
        <v>1899</v>
      </c>
      <c r="F429" s="934">
        <v>12200</v>
      </c>
      <c r="G429" s="951"/>
      <c r="H429" s="951"/>
      <c r="I429" s="951"/>
      <c r="J429" s="951"/>
      <c r="K429" s="951"/>
      <c r="L429" s="951"/>
      <c r="M429" s="977"/>
    </row>
    <row r="430" x14ac:dyDescent="0.3">
      <c r="B430" s="973"/>
      <c r="C430" s="931" t="s">
        <v>1900</v>
      </c>
      <c r="D430" s="932" t="s">
        <v>1991</v>
      </c>
      <c r="E430" s="935" t="s">
        <v>1901</v>
      </c>
      <c r="F430" s="934">
        <v>8830</v>
      </c>
      <c r="G430" s="951"/>
      <c r="H430" s="951"/>
      <c r="I430" s="951"/>
      <c r="J430" s="951"/>
      <c r="K430" s="951"/>
      <c r="L430" s="951"/>
      <c r="M430" s="977"/>
    </row>
    <row r="431" x14ac:dyDescent="0.3">
      <c r="B431" s="973"/>
      <c r="C431" s="931" t="s">
        <v>1902</v>
      </c>
      <c r="D431" s="932" t="s">
        <v>1992</v>
      </c>
      <c r="E431" s="935" t="s">
        <v>1903</v>
      </c>
      <c r="F431" s="934">
        <v>10300</v>
      </c>
      <c r="G431" s="951"/>
      <c r="H431" s="951"/>
      <c r="I431" s="951"/>
      <c r="J431" s="951"/>
      <c r="K431" s="951"/>
      <c r="L431" s="951"/>
      <c r="M431" s="977"/>
    </row>
    <row r="432" x14ac:dyDescent="0.3">
      <c r="B432" s="973"/>
      <c r="C432" s="931" t="s">
        <v>1904</v>
      </c>
      <c r="D432" s="932" t="s">
        <v>1993</v>
      </c>
      <c r="E432" s="935"/>
      <c r="F432" s="934">
        <v>1</v>
      </c>
      <c r="G432" s="951"/>
      <c r="H432" s="951"/>
      <c r="I432" s="951"/>
      <c r="J432" s="951"/>
      <c r="K432" s="951"/>
      <c r="L432" s="951"/>
      <c r="M432" s="977"/>
    </row>
    <row r="433" x14ac:dyDescent="0.3">
      <c r="B433" s="973"/>
      <c r="C433" s="931" t="s">
        <v>1905</v>
      </c>
      <c r="D433" s="932" t="s">
        <v>1994</v>
      </c>
      <c r="E433" s="935"/>
      <c r="F433" s="934">
        <v>1640</v>
      </c>
      <c r="G433" s="951"/>
      <c r="H433" s="951"/>
      <c r="I433" s="951"/>
      <c r="J433" s="951"/>
      <c r="K433" s="951"/>
      <c r="L433" s="951"/>
      <c r="M433" s="977"/>
    </row>
    <row r="434" x14ac:dyDescent="0.3">
      <c r="B434" s="973"/>
      <c r="C434" s="931" t="s">
        <v>1906</v>
      </c>
      <c r="D434" s="932" t="s">
        <v>1995</v>
      </c>
      <c r="E434" s="935" t="s">
        <v>1907</v>
      </c>
      <c r="F434" s="934">
        <v>77</v>
      </c>
      <c r="G434" s="951"/>
      <c r="H434" s="951"/>
      <c r="I434" s="951"/>
      <c r="J434" s="951"/>
      <c r="K434" s="951"/>
      <c r="L434" s="951"/>
      <c r="M434" s="977"/>
    </row>
    <row r="435" x14ac:dyDescent="0.3">
      <c r="B435" s="973"/>
      <c r="C435" s="931" t="s">
        <v>1906</v>
      </c>
      <c r="D435" s="932" t="s">
        <v>1995</v>
      </c>
      <c r="E435" s="935" t="s">
        <v>1907</v>
      </c>
      <c r="F435" s="934">
        <v>77</v>
      </c>
      <c r="G435" s="951"/>
      <c r="H435" s="951"/>
      <c r="I435" s="951"/>
      <c r="J435" s="951"/>
      <c r="K435" s="951"/>
      <c r="L435" s="951"/>
      <c r="M435" s="977"/>
    </row>
    <row r="436" x14ac:dyDescent="0.3">
      <c r="B436" s="973"/>
      <c r="C436" s="931" t="s">
        <v>1908</v>
      </c>
      <c r="D436" s="932" t="s">
        <v>1996</v>
      </c>
      <c r="E436" s="935"/>
      <c r="F436" s="934">
        <v>1890</v>
      </c>
      <c r="G436" s="951"/>
      <c r="H436" s="951"/>
      <c r="I436" s="951"/>
      <c r="J436" s="951"/>
      <c r="K436" s="951"/>
      <c r="L436" s="951"/>
      <c r="M436" s="977"/>
    </row>
    <row r="437" x14ac:dyDescent="0.3">
      <c r="B437" s="973"/>
      <c r="C437" s="931" t="s">
        <v>1909</v>
      </c>
      <c r="D437" s="932" t="s">
        <v>1997</v>
      </c>
      <c r="E437" s="935"/>
      <c r="F437" s="934">
        <v>3500</v>
      </c>
      <c r="G437" s="951"/>
      <c r="H437" s="951"/>
      <c r="I437" s="951"/>
      <c r="J437" s="951"/>
      <c r="K437" s="951"/>
      <c r="L437" s="951"/>
      <c r="M437" s="977"/>
    </row>
    <row r="438" x14ac:dyDescent="0.3">
      <c r="B438" s="973"/>
      <c r="C438" s="931" t="s">
        <v>1910</v>
      </c>
      <c r="D438" s="932" t="s">
        <v>1998</v>
      </c>
      <c r="E438" s="935" t="s">
        <v>1911</v>
      </c>
      <c r="F438" s="934">
        <v>8860</v>
      </c>
      <c r="G438" s="951"/>
      <c r="H438" s="951"/>
      <c r="I438" s="951"/>
      <c r="J438" s="951"/>
      <c r="K438" s="951"/>
      <c r="L438" s="951"/>
      <c r="M438" s="977"/>
    </row>
    <row r="439" x14ac:dyDescent="0.3">
      <c r="B439" s="973"/>
      <c r="C439" s="931" t="s">
        <v>1912</v>
      </c>
      <c r="D439" s="932" t="s">
        <v>1999</v>
      </c>
      <c r="E439" s="935" t="s">
        <v>1913</v>
      </c>
      <c r="F439" s="934">
        <v>9300</v>
      </c>
      <c r="G439" s="951"/>
      <c r="H439" s="951"/>
      <c r="I439" s="951"/>
      <c r="J439" s="951"/>
      <c r="K439" s="951"/>
      <c r="L439" s="951"/>
      <c r="M439" s="977"/>
    </row>
    <row r="440" x14ac:dyDescent="0.3">
      <c r="B440" s="973"/>
      <c r="C440" s="899" t="s">
        <v>1914</v>
      </c>
      <c r="D440" s="932" t="s">
        <v>2000</v>
      </c>
      <c r="E440" s="933"/>
      <c r="F440" s="936">
        <v>1100</v>
      </c>
      <c r="G440" s="951"/>
      <c r="H440" s="951"/>
      <c r="I440" s="951"/>
      <c r="J440" s="951"/>
      <c r="K440" s="951"/>
      <c r="L440" s="951"/>
      <c r="M440" s="977"/>
    </row>
    <row r="441" x14ac:dyDescent="0.3">
      <c r="B441" s="973"/>
      <c r="C441" s="931" t="s">
        <v>1915</v>
      </c>
      <c r="D441" s="932" t="s">
        <v>2001</v>
      </c>
      <c r="E441" s="935" t="s">
        <v>1916</v>
      </c>
      <c r="F441" s="937">
        <v>794</v>
      </c>
      <c r="G441" s="951"/>
      <c r="H441" s="951"/>
      <c r="I441" s="951"/>
      <c r="J441" s="951"/>
      <c r="K441" s="951"/>
      <c r="L441" s="951"/>
      <c r="M441" s="977"/>
    </row>
    <row r="442" x14ac:dyDescent="0.3">
      <c r="B442" s="973"/>
      <c r="C442" s="938" t="s">
        <v>1959</v>
      </c>
      <c r="D442" s="932" t="s">
        <v>1979</v>
      </c>
      <c r="E442" s="939"/>
      <c r="F442" s="934">
        <v>580</v>
      </c>
      <c r="G442" s="951"/>
      <c r="H442" s="951"/>
      <c r="I442" s="951"/>
      <c r="J442" s="951"/>
      <c r="K442" s="951"/>
      <c r="L442" s="951"/>
      <c r="M442" s="977"/>
    </row>
    <row r="443" x14ac:dyDescent="0.3">
      <c r="B443" s="973"/>
      <c r="C443" s="931" t="s">
        <v>1917</v>
      </c>
      <c r="D443" s="932" t="s">
        <v>2002</v>
      </c>
      <c r="E443" s="935"/>
      <c r="F443" s="934">
        <v>4470</v>
      </c>
      <c r="G443" s="951"/>
      <c r="H443" s="951"/>
      <c r="I443" s="951"/>
      <c r="J443" s="951"/>
      <c r="K443" s="951"/>
      <c r="L443" s="951"/>
      <c r="M443" s="977"/>
    </row>
    <row r="444" x14ac:dyDescent="0.3">
      <c r="B444" s="973"/>
      <c r="C444" s="940" t="s">
        <v>1946</v>
      </c>
      <c r="D444" s="932" t="s">
        <v>2003</v>
      </c>
      <c r="E444" s="939"/>
      <c r="F444" s="934">
        <v>756</v>
      </c>
      <c r="G444" s="951"/>
      <c r="H444" s="951"/>
      <c r="I444" s="951"/>
      <c r="J444" s="951"/>
      <c r="K444" s="951"/>
      <c r="L444" s="951"/>
      <c r="M444" s="977"/>
    </row>
    <row r="445" x14ac:dyDescent="0.3">
      <c r="B445" s="973"/>
      <c r="C445" s="931" t="s">
        <v>1918</v>
      </c>
      <c r="D445" s="932" t="s">
        <v>2004</v>
      </c>
      <c r="E445" s="935" t="s">
        <v>1919</v>
      </c>
      <c r="F445" s="934">
        <v>122</v>
      </c>
      <c r="G445" s="951"/>
      <c r="H445" s="951"/>
      <c r="I445" s="951"/>
      <c r="J445" s="951"/>
      <c r="K445" s="951"/>
      <c r="L445" s="951"/>
      <c r="M445" s="977"/>
    </row>
    <row r="446" x14ac:dyDescent="0.3">
      <c r="B446" s="973"/>
      <c r="C446" s="940" t="s">
        <v>1955</v>
      </c>
      <c r="D446" s="932" t="s">
        <v>1976</v>
      </c>
      <c r="E446" s="939"/>
      <c r="F446" s="934">
        <v>359</v>
      </c>
      <c r="G446" s="951"/>
      <c r="H446" s="951"/>
      <c r="I446" s="951"/>
      <c r="J446" s="951"/>
      <c r="K446" s="951"/>
      <c r="L446" s="951"/>
      <c r="M446" s="977"/>
    </row>
    <row r="447" x14ac:dyDescent="0.3">
      <c r="B447" s="973"/>
      <c r="C447" s="931" t="s">
        <v>1921</v>
      </c>
      <c r="D447" s="932" t="s">
        <v>2005</v>
      </c>
      <c r="E447" s="935"/>
      <c r="F447" s="936">
        <v>330</v>
      </c>
      <c r="G447" s="951"/>
      <c r="H447" s="951"/>
      <c r="I447" s="951"/>
      <c r="J447" s="951"/>
      <c r="K447" s="951"/>
      <c r="L447" s="951"/>
      <c r="M447" s="977"/>
    </row>
    <row r="448" x14ac:dyDescent="0.3">
      <c r="B448" s="973"/>
      <c r="C448" s="931" t="s">
        <v>1922</v>
      </c>
      <c r="D448" s="932" t="s">
        <v>2006</v>
      </c>
      <c r="E448" s="935"/>
      <c r="F448" s="934">
        <v>3220</v>
      </c>
      <c r="G448" s="951"/>
      <c r="H448" s="951"/>
      <c r="I448" s="951"/>
      <c r="J448" s="951"/>
      <c r="K448" s="951"/>
      <c r="L448" s="951"/>
      <c r="M448" s="977"/>
    </row>
    <row r="449" x14ac:dyDescent="0.3">
      <c r="B449" s="973"/>
      <c r="C449" s="931" t="s">
        <v>1923</v>
      </c>
      <c r="D449" s="932" t="s">
        <v>2007</v>
      </c>
      <c r="E449" s="935" t="s">
        <v>1924</v>
      </c>
      <c r="F449" s="934">
        <v>1030</v>
      </c>
      <c r="G449" s="951"/>
      <c r="H449" s="951"/>
      <c r="I449" s="951"/>
      <c r="J449" s="951"/>
      <c r="K449" s="951"/>
      <c r="L449" s="951"/>
      <c r="M449" s="977"/>
    </row>
    <row r="450" x14ac:dyDescent="0.3">
      <c r="B450" s="973"/>
      <c r="C450" s="931" t="s">
        <v>1925</v>
      </c>
      <c r="D450" s="932" t="s">
        <v>2008</v>
      </c>
      <c r="E450" s="935" t="s">
        <v>1926</v>
      </c>
      <c r="F450" s="934">
        <v>595</v>
      </c>
      <c r="G450" s="951"/>
      <c r="H450" s="951"/>
      <c r="I450" s="951"/>
      <c r="J450" s="951"/>
      <c r="K450" s="951"/>
      <c r="L450" s="951"/>
      <c r="M450" s="977"/>
    </row>
    <row r="451" x14ac:dyDescent="0.3">
      <c r="B451" s="973"/>
      <c r="C451" s="931" t="s">
        <v>1927</v>
      </c>
      <c r="D451" s="932" t="s">
        <v>2009</v>
      </c>
      <c r="E451" s="935"/>
      <c r="F451" s="936">
        <v>97</v>
      </c>
      <c r="G451" s="951"/>
      <c r="H451" s="951"/>
      <c r="I451" s="951"/>
      <c r="J451" s="951"/>
      <c r="K451" s="951"/>
      <c r="L451" s="951"/>
      <c r="M451" s="977"/>
    </row>
    <row r="452" x14ac:dyDescent="0.3">
      <c r="B452" s="973"/>
      <c r="C452" s="940" t="s">
        <v>1928</v>
      </c>
      <c r="D452" s="932" t="s">
        <v>2010</v>
      </c>
      <c r="E452" s="935" t="s">
        <v>1929</v>
      </c>
      <c r="F452" s="934">
        <v>9160</v>
      </c>
      <c r="G452" s="951"/>
      <c r="H452" s="951"/>
      <c r="I452" s="951"/>
      <c r="J452" s="951"/>
      <c r="K452" s="951"/>
      <c r="L452" s="951"/>
      <c r="M452" s="977"/>
    </row>
    <row r="453" x14ac:dyDescent="0.3">
      <c r="B453" s="973"/>
      <c r="C453" s="931" t="s">
        <v>1930</v>
      </c>
      <c r="D453" s="932" t="s">
        <v>2011</v>
      </c>
      <c r="E453" s="935"/>
      <c r="F453" s="936">
        <v>640</v>
      </c>
      <c r="G453" s="951"/>
      <c r="H453" s="951"/>
      <c r="I453" s="951"/>
      <c r="J453" s="951"/>
      <c r="K453" s="951"/>
      <c r="L453" s="951"/>
      <c r="M453" s="977"/>
    </row>
    <row r="454" x14ac:dyDescent="0.3">
      <c r="B454" s="973"/>
      <c r="C454" s="931" t="s">
        <v>1931</v>
      </c>
      <c r="D454" s="932" t="s">
        <v>1981</v>
      </c>
      <c r="E454" s="935"/>
      <c r="F454" s="934">
        <v>9810</v>
      </c>
      <c r="G454" s="951"/>
      <c r="H454" s="951"/>
      <c r="I454" s="951"/>
      <c r="J454" s="951"/>
      <c r="K454" s="951"/>
      <c r="L454" s="951"/>
      <c r="M454" s="977"/>
    </row>
    <row r="455" x14ac:dyDescent="0.3">
      <c r="B455" s="973"/>
      <c r="C455" s="931" t="s">
        <v>1932</v>
      </c>
      <c r="D455" s="932" t="s">
        <v>2012</v>
      </c>
      <c r="E455" s="935" t="s">
        <v>1933</v>
      </c>
      <c r="F455" s="934">
        <v>1430</v>
      </c>
      <c r="G455" s="951"/>
      <c r="H455" s="951"/>
      <c r="I455" s="951"/>
      <c r="J455" s="951"/>
      <c r="K455" s="951"/>
      <c r="L455" s="951"/>
      <c r="M455" s="977"/>
    </row>
    <row r="456" x14ac:dyDescent="0.3">
      <c r="B456" s="973"/>
      <c r="C456" s="940" t="s">
        <v>1944</v>
      </c>
      <c r="D456" s="932" t="s">
        <v>2013</v>
      </c>
      <c r="E456" s="939"/>
      <c r="F456" s="934">
        <v>6320</v>
      </c>
      <c r="G456" s="951"/>
      <c r="H456" s="951"/>
      <c r="I456" s="951"/>
      <c r="J456" s="951"/>
      <c r="K456" s="951"/>
      <c r="L456" s="951"/>
      <c r="M456" s="977"/>
    </row>
    <row r="457" x14ac:dyDescent="0.3">
      <c r="B457" s="973"/>
      <c r="C457" s="931" t="s">
        <v>1934</v>
      </c>
      <c r="D457" s="932" t="s">
        <v>2014</v>
      </c>
      <c r="E457" s="935" t="s">
        <v>1935</v>
      </c>
      <c r="F457" s="934">
        <v>725</v>
      </c>
      <c r="G457" s="951"/>
      <c r="H457" s="951"/>
      <c r="I457" s="951"/>
      <c r="J457" s="951"/>
      <c r="K457" s="951"/>
      <c r="L457" s="951"/>
      <c r="M457" s="977"/>
    </row>
    <row r="458" x14ac:dyDescent="0.3">
      <c r="B458" s="973"/>
      <c r="C458" s="940" t="s">
        <v>1954</v>
      </c>
      <c r="D458" s="932" t="s">
        <v>1975</v>
      </c>
      <c r="E458" s="939"/>
      <c r="F458" s="934">
        <v>659</v>
      </c>
      <c r="G458" s="951"/>
      <c r="H458" s="951"/>
      <c r="I458" s="951"/>
      <c r="J458" s="951"/>
      <c r="K458" s="951"/>
      <c r="L458" s="951"/>
      <c r="M458" s="977"/>
    </row>
    <row r="459" x14ac:dyDescent="0.3">
      <c r="B459" s="973"/>
      <c r="C459" s="931" t="s">
        <v>1936</v>
      </c>
      <c r="D459" s="932" t="s">
        <v>2015</v>
      </c>
      <c r="E459" s="935" t="s">
        <v>1937</v>
      </c>
      <c r="F459" s="934">
        <v>22800</v>
      </c>
      <c r="G459" s="951"/>
      <c r="H459" s="951"/>
      <c r="I459" s="951"/>
      <c r="J459" s="951"/>
      <c r="K459" s="951"/>
      <c r="L459" s="951"/>
      <c r="M459" s="977"/>
    </row>
    <row r="460" x14ac:dyDescent="0.3">
      <c r="B460" s="973"/>
      <c r="C460" s="931" t="s">
        <v>1938</v>
      </c>
      <c r="D460" s="932" t="s">
        <v>2016</v>
      </c>
      <c r="E460" s="935" t="s">
        <v>1939</v>
      </c>
      <c r="F460" s="934">
        <v>609</v>
      </c>
      <c r="G460" s="951"/>
      <c r="H460" s="951"/>
      <c r="I460" s="951"/>
      <c r="J460" s="951"/>
      <c r="K460" s="951"/>
      <c r="L460" s="951"/>
      <c r="M460" s="977"/>
    </row>
    <row r="461" x14ac:dyDescent="0.3">
      <c r="B461" s="973"/>
      <c r="C461" s="940" t="s">
        <v>1945</v>
      </c>
      <c r="D461" s="932" t="s">
        <v>2017</v>
      </c>
      <c r="E461" s="939"/>
      <c r="F461" s="934">
        <v>14900</v>
      </c>
      <c r="G461" s="951"/>
      <c r="H461" s="951"/>
      <c r="I461" s="951"/>
      <c r="J461" s="951"/>
      <c r="K461" s="951"/>
      <c r="L461" s="951"/>
      <c r="M461" s="977"/>
    </row>
    <row r="462" x14ac:dyDescent="0.3">
      <c r="B462" s="973"/>
      <c r="C462" s="931" t="s">
        <v>1947</v>
      </c>
      <c r="D462" s="932" t="s">
        <v>2018</v>
      </c>
      <c r="E462" s="941" t="s">
        <v>1948</v>
      </c>
      <c r="F462" s="934">
        <v>17200</v>
      </c>
      <c r="G462" s="951"/>
      <c r="H462" s="951"/>
      <c r="I462" s="951"/>
      <c r="J462" s="951"/>
      <c r="K462" s="951"/>
      <c r="L462" s="951"/>
      <c r="M462" s="977"/>
    </row>
    <row r="463" x14ac:dyDescent="0.3">
      <c r="B463" s="973"/>
      <c r="C463" s="931" t="s">
        <v>1940</v>
      </c>
      <c r="D463" s="932" t="s">
        <v>2019</v>
      </c>
      <c r="E463" s="935"/>
      <c r="F463" s="934">
        <v>298</v>
      </c>
      <c r="G463" s="951"/>
      <c r="H463" s="951"/>
      <c r="I463" s="951"/>
      <c r="J463" s="951"/>
      <c r="K463" s="951"/>
      <c r="L463" s="951"/>
      <c r="M463" s="977"/>
    </row>
    <row r="464" x14ac:dyDescent="0.3">
      <c r="B464" s="973"/>
      <c r="C464" s="940" t="s">
        <v>1953</v>
      </c>
      <c r="D464" s="932" t="s">
        <v>1974</v>
      </c>
      <c r="E464" s="939"/>
      <c r="F464" s="934">
        <v>708</v>
      </c>
      <c r="G464" s="951"/>
      <c r="H464" s="951"/>
      <c r="I464" s="951"/>
      <c r="J464" s="951"/>
      <c r="K464" s="951"/>
      <c r="L464" s="951"/>
      <c r="M464" s="977"/>
    </row>
    <row r="465" x14ac:dyDescent="0.3">
      <c r="B465" s="973"/>
      <c r="C465" s="940" t="s">
        <v>1950</v>
      </c>
      <c r="D465" s="932" t="s">
        <v>1965</v>
      </c>
      <c r="E465" s="939"/>
      <c r="F465" s="934">
        <v>350</v>
      </c>
      <c r="G465" s="951"/>
      <c r="H465" s="951"/>
      <c r="I465" s="951"/>
      <c r="J465" s="951"/>
      <c r="K465" s="951"/>
      <c r="L465" s="951"/>
      <c r="M465" s="977"/>
    </row>
    <row r="466" x14ac:dyDescent="0.3">
      <c r="B466" s="973"/>
      <c r="C466" s="940" t="s">
        <v>1958</v>
      </c>
      <c r="D466" s="932" t="s">
        <v>1978</v>
      </c>
      <c r="E466" s="939"/>
      <c r="F466" s="934">
        <v>575</v>
      </c>
      <c r="G466" s="951"/>
      <c r="H466" s="951"/>
      <c r="I466" s="951"/>
      <c r="J466" s="951"/>
      <c r="K466" s="951"/>
      <c r="L466" s="951"/>
      <c r="M466" s="977"/>
    </row>
    <row r="467" x14ac:dyDescent="0.3">
      <c r="B467" s="973"/>
      <c r="C467" s="940" t="s">
        <v>1941</v>
      </c>
      <c r="D467" s="932" t="s">
        <v>2020</v>
      </c>
      <c r="E467" s="939"/>
      <c r="F467" s="934">
        <v>7500</v>
      </c>
      <c r="G467" s="951"/>
      <c r="H467" s="951"/>
      <c r="I467" s="951"/>
      <c r="J467" s="951"/>
      <c r="K467" s="951"/>
      <c r="L467" s="951"/>
      <c r="M467" s="977"/>
    </row>
    <row r="468" x14ac:dyDescent="0.3">
      <c r="B468" s="973"/>
      <c r="C468" s="938" t="s">
        <v>1951</v>
      </c>
      <c r="D468" s="932" t="s">
        <v>1973</v>
      </c>
      <c r="E468" s="942" t="s">
        <v>1952</v>
      </c>
      <c r="F468" s="934">
        <v>2800</v>
      </c>
      <c r="G468" s="951"/>
      <c r="H468" s="951"/>
      <c r="I468" s="951"/>
      <c r="J468" s="951"/>
      <c r="K468" s="951"/>
      <c r="L468" s="951"/>
      <c r="M468" s="977"/>
    </row>
    <row r="469" x14ac:dyDescent="0.3">
      <c r="B469" s="973"/>
      <c r="C469" s="931" t="s">
        <v>1942</v>
      </c>
      <c r="D469" s="932" t="s">
        <v>2021</v>
      </c>
      <c r="E469" s="935" t="s">
        <v>1943</v>
      </c>
      <c r="F469" s="934">
        <v>1640</v>
      </c>
      <c r="G469" s="951"/>
      <c r="H469" s="951"/>
      <c r="I469" s="951"/>
      <c r="J469" s="951"/>
      <c r="K469" s="951"/>
      <c r="L469" s="951"/>
      <c r="M469" s="977"/>
    </row>
    <row r="470" x14ac:dyDescent="0.3">
      <c r="B470" s="973"/>
      <c r="C470" s="940" t="s">
        <v>1960</v>
      </c>
      <c r="D470" s="932" t="s">
        <v>1980</v>
      </c>
      <c r="E470" s="939"/>
      <c r="F470" s="934">
        <v>110</v>
      </c>
      <c r="G470" s="951"/>
      <c r="H470" s="951"/>
      <c r="I470" s="951"/>
      <c r="J470" s="951"/>
      <c r="K470" s="951"/>
      <c r="L470" s="951"/>
      <c r="M470" s="977"/>
    </row>
    <row r="471" x14ac:dyDescent="0.3">
      <c r="B471" s="973"/>
      <c r="C471" s="938" t="s">
        <v>1961</v>
      </c>
      <c r="D471" s="932" t="s">
        <v>1966</v>
      </c>
      <c r="E471" s="939" t="s">
        <v>1962</v>
      </c>
      <c r="F471" s="934">
        <v>59</v>
      </c>
      <c r="G471" s="951"/>
      <c r="H471" s="951"/>
      <c r="I471" s="951"/>
      <c r="J471" s="951"/>
      <c r="K471" s="951"/>
      <c r="L471" s="951"/>
      <c r="M471" s="977"/>
    </row>
    <row r="472" x14ac:dyDescent="0.3">
      <c r="B472" s="973"/>
      <c r="C472" s="938" t="s">
        <v>1963</v>
      </c>
      <c r="D472" s="932" t="s">
        <v>1967</v>
      </c>
      <c r="E472" s="939" t="s">
        <v>1964</v>
      </c>
      <c r="F472" s="934">
        <v>297</v>
      </c>
      <c r="G472" s="951"/>
      <c r="H472" s="951"/>
      <c r="I472" s="951"/>
      <c r="J472" s="951"/>
      <c r="K472" s="951"/>
      <c r="L472" s="951"/>
      <c r="M472" s="977"/>
    </row>
    <row r="473" ht="15" thickBot="true" x14ac:dyDescent="0.35">
      <c r="B473" s="973"/>
      <c r="C473" s="943" t="s">
        <v>1956</v>
      </c>
      <c r="D473" s="944" t="s">
        <v>1977</v>
      </c>
      <c r="E473" s="945" t="s">
        <v>1957</v>
      </c>
      <c r="F473" s="946">
        <v>1500</v>
      </c>
      <c r="G473" s="951"/>
      <c r="H473" s="951"/>
      <c r="I473" s="951"/>
      <c r="J473" s="951"/>
      <c r="K473" s="951"/>
      <c r="L473" s="951"/>
      <c r="M473" s="977"/>
    </row>
    <row r="474" x14ac:dyDescent="0.3">
      <c r="B474" s="973"/>
      <c r="C474" s="947"/>
      <c r="D474" s="948"/>
      <c r="E474" s="947"/>
      <c r="F474" s="949"/>
      <c r="G474" s="951"/>
      <c r="H474" s="951"/>
      <c r="I474" s="951"/>
      <c r="J474" s="951"/>
      <c r="K474" s="951"/>
      <c r="L474" s="951"/>
      <c r="M474" s="977"/>
    </row>
    <row r="475" x14ac:dyDescent="0.3">
      <c r="B475" s="973"/>
      <c r="C475" s="947"/>
      <c r="D475" s="948"/>
      <c r="E475" s="950"/>
      <c r="F475" s="949"/>
      <c r="G475" s="951"/>
      <c r="H475" s="951"/>
      <c r="I475" s="951"/>
      <c r="J475" s="951"/>
      <c r="K475" s="951"/>
      <c r="L475" s="951"/>
      <c r="M475" s="977"/>
    </row>
    <row r="476" x14ac:dyDescent="0.3">
      <c r="B476" s="973"/>
      <c r="C476" s="947"/>
      <c r="D476" s="948"/>
      <c r="E476" s="947"/>
      <c r="F476" s="949"/>
      <c r="G476" s="951"/>
      <c r="H476" s="951"/>
      <c r="I476" s="951"/>
      <c r="J476" s="951"/>
      <c r="K476" s="951"/>
      <c r="L476" s="951"/>
      <c r="M476" s="977"/>
    </row>
    <row r="477" x14ac:dyDescent="0.3">
      <c r="B477" s="973"/>
      <c r="C477" s="952"/>
      <c r="D477" s="953"/>
      <c r="E477" s="952"/>
      <c r="F477" s="952"/>
      <c r="G477" s="951"/>
      <c r="H477" s="951"/>
      <c r="I477" s="951"/>
      <c r="J477" s="951"/>
      <c r="K477" s="951"/>
      <c r="L477" s="951"/>
      <c r="M477" s="977"/>
    </row>
    <row r="478" x14ac:dyDescent="0.3">
      <c r="B478" s="973"/>
      <c r="C478" s="952"/>
      <c r="D478" s="953"/>
      <c r="E478" s="952"/>
      <c r="F478" s="952"/>
      <c r="G478" s="951"/>
      <c r="H478" s="951"/>
      <c r="I478" s="951"/>
      <c r="J478" s="951"/>
      <c r="K478" s="951"/>
      <c r="L478" s="951"/>
      <c r="M478" s="977"/>
    </row>
    <row r="479" x14ac:dyDescent="0.3">
      <c r="B479" s="973"/>
      <c r="C479" s="952"/>
      <c r="D479" s="953"/>
      <c r="E479" s="952"/>
      <c r="F479" s="952"/>
      <c r="G479" s="951"/>
      <c r="H479" s="951"/>
      <c r="I479" s="951"/>
      <c r="J479" s="951"/>
      <c r="K479" s="951"/>
      <c r="L479" s="951"/>
      <c r="M479" s="977"/>
    </row>
    <row r="480" x14ac:dyDescent="0.3">
      <c r="B480" s="973"/>
      <c r="C480" s="952"/>
      <c r="D480" s="953"/>
      <c r="E480" s="952"/>
      <c r="F480" s="952"/>
      <c r="G480" s="951"/>
      <c r="H480" s="951"/>
      <c r="I480" s="951"/>
      <c r="J480" s="951"/>
      <c r="K480" s="951"/>
      <c r="L480" s="951"/>
      <c r="M480" s="977"/>
    </row>
    <row r="481" x14ac:dyDescent="0.3">
      <c r="B481" s="973"/>
      <c r="C481" s="952"/>
      <c r="D481" s="953"/>
      <c r="E481" s="952"/>
      <c r="F481" s="952"/>
      <c r="G481" s="951"/>
      <c r="H481" s="951"/>
      <c r="I481" s="951"/>
      <c r="J481" s="982"/>
      <c r="K481" s="951"/>
      <c r="L481" s="951"/>
      <c r="M481" s="977"/>
    </row>
    <row r="482" x14ac:dyDescent="0.3">
      <c r="B482" s="973"/>
      <c r="C482" s="952"/>
      <c r="D482" s="953"/>
      <c r="E482" s="952"/>
      <c r="F482" s="952"/>
      <c r="G482" s="951"/>
      <c r="H482" s="951"/>
      <c r="I482" s="951"/>
      <c r="J482" s="951"/>
      <c r="K482" s="951"/>
      <c r="L482" s="951"/>
      <c r="M482" s="977"/>
    </row>
    <row r="483" ht="15.6" thickBot="true" x14ac:dyDescent="0.35">
      <c r="B483" s="973"/>
      <c r="C483" s="954"/>
      <c r="D483" s="955"/>
      <c r="E483" s="956"/>
      <c r="F483" s="954"/>
      <c r="G483" s="957"/>
      <c r="H483" s="957"/>
      <c r="I483" s="951"/>
      <c r="J483" s="951"/>
      <c r="K483" s="951"/>
      <c r="L483" s="951"/>
      <c r="M483" s="977"/>
    </row>
    <row r="484" ht="43.2" x14ac:dyDescent="0.3">
      <c r="B484" s="973"/>
      <c r="C484" s="958" t="s">
        <v>1873</v>
      </c>
      <c r="D484" s="959" t="s">
        <v>375</v>
      </c>
      <c r="E484" s="960" t="s">
        <v>2100</v>
      </c>
      <c r="F484" s="961" t="s">
        <v>202</v>
      </c>
      <c r="G484" s="957"/>
      <c r="H484" s="957"/>
      <c r="I484" s="951"/>
      <c r="J484" s="951"/>
      <c r="K484" s="951"/>
      <c r="L484" s="951"/>
      <c r="M484" s="977"/>
    </row>
    <row r="485" x14ac:dyDescent="0.3">
      <c r="B485" s="973"/>
      <c r="C485" s="962" t="s">
        <v>1874</v>
      </c>
      <c r="D485" s="963" t="s">
        <v>913</v>
      </c>
      <c r="E485" s="935"/>
      <c r="F485" s="964">
        <v>0.73</v>
      </c>
      <c r="G485" s="965"/>
      <c r="H485" s="965"/>
      <c r="I485" s="966"/>
      <c r="J485" s="2160" t="s">
        <v>381</v>
      </c>
      <c r="K485" s="2160"/>
      <c r="L485" s="2160"/>
      <c r="M485" s="978" t="s">
        <v>2114</v>
      </c>
    </row>
    <row r="486" x14ac:dyDescent="0.3">
      <c r="B486" s="973"/>
      <c r="C486" s="962" t="s">
        <v>1875</v>
      </c>
      <c r="D486" s="963" t="s">
        <v>605</v>
      </c>
      <c r="E486" s="935" t="s">
        <v>1876</v>
      </c>
      <c r="F486" s="964">
        <v>0.12</v>
      </c>
      <c r="G486" s="965"/>
      <c r="H486" s="965"/>
      <c r="I486" s="966"/>
      <c r="J486" s="2160" t="s">
        <v>382</v>
      </c>
      <c r="K486" s="2160"/>
      <c r="L486" s="2160"/>
      <c r="M486" s="1142">
        <f>IF(ISNA(VLOOKUP(M485,D485:F558,3,FALSE))=TRUE,0,VLOOKUP(M485,D485:F558,3,FALSE))</f>
        <v>0.65</v>
      </c>
    </row>
    <row r="487" x14ac:dyDescent="0.3">
      <c r="B487" s="973"/>
      <c r="C487" s="962" t="s">
        <v>2023</v>
      </c>
      <c r="D487" s="963" t="s">
        <v>2101</v>
      </c>
      <c r="E487" s="935"/>
      <c r="F487" s="964">
        <v>0.51</v>
      </c>
      <c r="G487" s="965"/>
      <c r="H487" s="965"/>
      <c r="I487" s="966"/>
      <c r="J487" s="966"/>
      <c r="K487" s="951"/>
      <c r="L487" s="951"/>
      <c r="M487" s="977"/>
    </row>
    <row r="488" x14ac:dyDescent="0.3">
      <c r="B488" s="973"/>
      <c r="C488" s="962" t="s">
        <v>1878</v>
      </c>
      <c r="D488" s="963" t="s">
        <v>601</v>
      </c>
      <c r="E488" s="935"/>
      <c r="F488" s="964">
        <v>0.2</v>
      </c>
      <c r="G488" s="965"/>
      <c r="H488" s="965"/>
      <c r="I488" s="966"/>
      <c r="J488" s="966"/>
      <c r="K488" s="951"/>
      <c r="L488" s="951"/>
      <c r="M488" s="977"/>
    </row>
    <row r="489" x14ac:dyDescent="0.3">
      <c r="B489" s="973"/>
      <c r="C489" s="962" t="s">
        <v>2024</v>
      </c>
      <c r="D489" s="963" t="s">
        <v>2102</v>
      </c>
      <c r="E489" s="935" t="s">
        <v>2025</v>
      </c>
      <c r="F489" s="964">
        <v>0.12</v>
      </c>
      <c r="G489" s="965"/>
      <c r="H489" s="965"/>
      <c r="I489" s="966"/>
      <c r="J489" s="966"/>
      <c r="K489" s="951"/>
      <c r="L489" s="951"/>
      <c r="M489" s="977"/>
    </row>
    <row r="490" x14ac:dyDescent="0.3">
      <c r="B490" s="973"/>
      <c r="C490" s="962" t="s">
        <v>2026</v>
      </c>
      <c r="D490" s="963" t="s">
        <v>2103</v>
      </c>
      <c r="E490" s="935"/>
      <c r="F490" s="964">
        <v>0.04</v>
      </c>
      <c r="G490" s="965"/>
      <c r="H490" s="965"/>
      <c r="I490" s="966"/>
      <c r="J490" s="966"/>
      <c r="K490" s="951"/>
      <c r="L490" s="951"/>
      <c r="M490" s="977"/>
    </row>
    <row r="491" x14ac:dyDescent="0.3">
      <c r="B491" s="973"/>
      <c r="C491" s="962" t="s">
        <v>1882</v>
      </c>
      <c r="D491" s="963" t="s">
        <v>1970</v>
      </c>
      <c r="E491" s="935" t="s">
        <v>1883</v>
      </c>
      <c r="F491" s="964">
        <v>0.05</v>
      </c>
      <c r="G491" s="965"/>
      <c r="H491" s="965"/>
      <c r="I491" s="966"/>
      <c r="J491" s="966"/>
      <c r="K491" s="951"/>
      <c r="L491" s="951"/>
      <c r="M491" s="977"/>
    </row>
    <row r="492" x14ac:dyDescent="0.3">
      <c r="B492" s="973"/>
      <c r="C492" s="962" t="s">
        <v>1885</v>
      </c>
      <c r="D492" s="963" t="s">
        <v>1972</v>
      </c>
      <c r="E492" s="935"/>
      <c r="F492" s="964">
        <v>16</v>
      </c>
      <c r="G492" s="965"/>
      <c r="H492" s="965"/>
      <c r="I492" s="966"/>
      <c r="J492" s="966"/>
      <c r="K492" s="951"/>
      <c r="L492" s="951"/>
      <c r="M492" s="977"/>
    </row>
    <row r="493" x14ac:dyDescent="0.3">
      <c r="B493" s="973"/>
      <c r="C493" s="962" t="s">
        <v>1886</v>
      </c>
      <c r="D493" s="963" t="s">
        <v>1982</v>
      </c>
      <c r="E493" s="935"/>
      <c r="F493" s="964">
        <v>7.0000000000000007E-2</v>
      </c>
      <c r="G493" s="965"/>
      <c r="H493" s="965"/>
      <c r="I493" s="966"/>
      <c r="J493" s="966"/>
      <c r="K493" s="951"/>
      <c r="L493" s="951"/>
      <c r="M493" s="977"/>
    </row>
    <row r="494" x14ac:dyDescent="0.3">
      <c r="B494" s="973"/>
      <c r="C494" s="962" t="s">
        <v>1887</v>
      </c>
      <c r="D494" s="963" t="s">
        <v>1983</v>
      </c>
      <c r="E494" s="935" t="s">
        <v>1888</v>
      </c>
      <c r="F494" s="964">
        <v>1</v>
      </c>
      <c r="G494" s="965"/>
      <c r="H494" s="965"/>
      <c r="I494" s="966"/>
      <c r="J494" s="966"/>
      <c r="K494" s="951"/>
      <c r="L494" s="951"/>
      <c r="M494" s="977"/>
    </row>
    <row r="495" x14ac:dyDescent="0.3">
      <c r="B495" s="973"/>
      <c r="C495" s="962" t="s">
        <v>1889</v>
      </c>
      <c r="D495" s="963" t="s">
        <v>1984</v>
      </c>
      <c r="E495" s="935" t="s">
        <v>1890</v>
      </c>
      <c r="F495" s="964">
        <v>1</v>
      </c>
      <c r="G495" s="965"/>
      <c r="H495" s="965"/>
      <c r="I495" s="966"/>
      <c r="J495" s="966"/>
      <c r="K495" s="951"/>
      <c r="L495" s="951"/>
      <c r="M495" s="977"/>
    </row>
    <row r="496" x14ac:dyDescent="0.3">
      <c r="B496" s="973"/>
      <c r="C496" s="962" t="s">
        <v>1891</v>
      </c>
      <c r="D496" s="963" t="s">
        <v>1985</v>
      </c>
      <c r="E496" s="935"/>
      <c r="F496" s="964">
        <v>1</v>
      </c>
      <c r="G496" s="965"/>
      <c r="H496" s="965"/>
      <c r="I496" s="966"/>
      <c r="J496" s="966"/>
      <c r="K496" s="951"/>
      <c r="L496" s="951"/>
      <c r="M496" s="977"/>
    </row>
    <row r="497" x14ac:dyDescent="0.3">
      <c r="B497" s="973"/>
      <c r="C497" s="962" t="s">
        <v>2027</v>
      </c>
      <c r="D497" s="963" t="s">
        <v>2104</v>
      </c>
      <c r="E497" s="935"/>
      <c r="F497" s="964">
        <v>0.85</v>
      </c>
      <c r="G497" s="965"/>
      <c r="H497" s="965"/>
      <c r="I497" s="966"/>
      <c r="J497" s="966"/>
      <c r="K497" s="951"/>
      <c r="L497" s="951"/>
      <c r="M497" s="977"/>
    </row>
    <row r="498" x14ac:dyDescent="0.3">
      <c r="B498" s="973"/>
      <c r="C498" s="962" t="s">
        <v>2028</v>
      </c>
      <c r="D498" s="963" t="s">
        <v>2105</v>
      </c>
      <c r="E498" s="935" t="s">
        <v>2029</v>
      </c>
      <c r="F498" s="964">
        <v>0.04</v>
      </c>
      <c r="G498" s="965"/>
      <c r="H498" s="965"/>
      <c r="I498" s="966"/>
      <c r="J498" s="966"/>
      <c r="K498" s="951"/>
      <c r="L498" s="951"/>
      <c r="M498" s="977"/>
    </row>
    <row r="499" x14ac:dyDescent="0.3">
      <c r="B499" s="973"/>
      <c r="C499" s="962" t="s">
        <v>2030</v>
      </c>
      <c r="D499" s="963" t="s">
        <v>2106</v>
      </c>
      <c r="E499" s="935"/>
      <c r="F499" s="964">
        <v>1</v>
      </c>
      <c r="G499" s="965"/>
      <c r="H499" s="965"/>
      <c r="I499" s="966"/>
      <c r="J499" s="966"/>
      <c r="K499" s="951"/>
      <c r="L499" s="951"/>
      <c r="M499" s="977"/>
    </row>
    <row r="500" x14ac:dyDescent="0.3">
      <c r="B500" s="973"/>
      <c r="C500" s="962" t="s">
        <v>1894</v>
      </c>
      <c r="D500" s="963" t="s">
        <v>1987</v>
      </c>
      <c r="E500" s="935" t="s">
        <v>1895</v>
      </c>
      <c r="F500" s="964">
        <v>1</v>
      </c>
      <c r="G500" s="965"/>
      <c r="H500" s="965"/>
      <c r="I500" s="966"/>
      <c r="J500" s="966"/>
      <c r="K500" s="951"/>
      <c r="L500" s="951"/>
      <c r="M500" s="977"/>
    </row>
    <row r="501" x14ac:dyDescent="0.3">
      <c r="B501" s="973"/>
      <c r="C501" s="962" t="s">
        <v>1896</v>
      </c>
      <c r="D501" s="963" t="s">
        <v>1988</v>
      </c>
      <c r="E501" s="935"/>
      <c r="F501" s="964">
        <v>1</v>
      </c>
      <c r="G501" s="965"/>
      <c r="H501" s="965"/>
      <c r="I501" s="966"/>
      <c r="J501" s="966"/>
      <c r="K501" s="951"/>
      <c r="L501" s="951"/>
      <c r="M501" s="977"/>
    </row>
    <row r="502" x14ac:dyDescent="0.3">
      <c r="B502" s="973"/>
      <c r="C502" s="962" t="s">
        <v>1897</v>
      </c>
      <c r="D502" s="963" t="s">
        <v>1989</v>
      </c>
      <c r="E502" s="935"/>
      <c r="F502" s="964">
        <v>0.44</v>
      </c>
      <c r="G502" s="965"/>
      <c r="H502" s="965"/>
      <c r="I502" s="966"/>
      <c r="J502" s="966"/>
      <c r="K502" s="951"/>
      <c r="L502" s="951"/>
      <c r="M502" s="977"/>
    </row>
    <row r="503" x14ac:dyDescent="0.3">
      <c r="B503" s="973"/>
      <c r="C503" s="962" t="s">
        <v>1905</v>
      </c>
      <c r="D503" s="963" t="s">
        <v>1994</v>
      </c>
      <c r="E503" s="935"/>
      <c r="F503" s="964">
        <v>11.5</v>
      </c>
      <c r="G503" s="965"/>
      <c r="H503" s="965"/>
      <c r="I503" s="966"/>
      <c r="J503" s="966"/>
      <c r="K503" s="951"/>
      <c r="L503" s="951"/>
      <c r="M503" s="977"/>
    </row>
    <row r="504" x14ac:dyDescent="0.3">
      <c r="B504" s="973"/>
      <c r="C504" s="962" t="s">
        <v>1906</v>
      </c>
      <c r="D504" s="963" t="s">
        <v>1995</v>
      </c>
      <c r="E504" s="935" t="s">
        <v>1907</v>
      </c>
      <c r="F504" s="964">
        <v>0.02</v>
      </c>
      <c r="G504" s="965"/>
      <c r="H504" s="965"/>
      <c r="I504" s="966"/>
      <c r="J504" s="966"/>
      <c r="K504" s="951"/>
      <c r="L504" s="951"/>
      <c r="M504" s="977"/>
    </row>
    <row r="505" x14ac:dyDescent="0.3">
      <c r="B505" s="973"/>
      <c r="C505" s="962" t="s">
        <v>1906</v>
      </c>
      <c r="D505" s="963" t="s">
        <v>1995</v>
      </c>
      <c r="E505" s="935" t="s">
        <v>1907</v>
      </c>
      <c r="F505" s="964">
        <v>0.02</v>
      </c>
      <c r="G505" s="965"/>
      <c r="H505" s="965"/>
      <c r="I505" s="966"/>
      <c r="J505" s="966"/>
      <c r="K505" s="951"/>
      <c r="L505" s="951"/>
      <c r="M505" s="977"/>
    </row>
    <row r="506" ht="15" customHeight="true" x14ac:dyDescent="0.3">
      <c r="B506" s="973"/>
      <c r="C506" s="962" t="s">
        <v>2031</v>
      </c>
      <c r="D506" s="963" t="s">
        <v>2107</v>
      </c>
      <c r="E506" s="935"/>
      <c r="F506" s="964">
        <v>0.36</v>
      </c>
      <c r="G506" s="965"/>
      <c r="H506" s="965"/>
      <c r="I506" s="966"/>
      <c r="J506" s="966"/>
      <c r="K506" s="951"/>
      <c r="L506" s="967"/>
      <c r="M506" s="983"/>
    </row>
    <row r="507" ht="15" customHeight="true" x14ac:dyDescent="0.3">
      <c r="B507" s="973"/>
      <c r="C507" s="962" t="s">
        <v>1908</v>
      </c>
      <c r="D507" s="963" t="s">
        <v>1996</v>
      </c>
      <c r="E507" s="935"/>
      <c r="F507" s="964">
        <v>7.1</v>
      </c>
      <c r="G507" s="965"/>
      <c r="H507" s="965"/>
      <c r="I507" s="966"/>
      <c r="J507" s="966"/>
      <c r="K507" s="951"/>
      <c r="L507" s="967"/>
      <c r="M507" s="983"/>
    </row>
    <row r="508" ht="15" customHeight="true" x14ac:dyDescent="0.3">
      <c r="B508" s="973"/>
      <c r="C508" s="962" t="s">
        <v>2032</v>
      </c>
      <c r="D508" s="963" t="s">
        <v>2108</v>
      </c>
      <c r="E508" s="935"/>
      <c r="F508" s="964">
        <v>1</v>
      </c>
      <c r="G508" s="965"/>
      <c r="H508" s="965"/>
      <c r="I508" s="966"/>
      <c r="J508" s="966"/>
      <c r="K508" s="951"/>
      <c r="L508" s="967"/>
      <c r="M508" s="983"/>
    </row>
    <row r="509" ht="15" customHeight="true" x14ac:dyDescent="0.3">
      <c r="B509" s="973"/>
      <c r="C509" s="962" t="s">
        <v>2033</v>
      </c>
      <c r="D509" s="963" t="s">
        <v>2109</v>
      </c>
      <c r="E509" s="935"/>
      <c r="F509" s="964">
        <v>0.95</v>
      </c>
      <c r="G509" s="965"/>
      <c r="H509" s="965"/>
      <c r="I509" s="966"/>
      <c r="J509" s="966"/>
      <c r="K509" s="951"/>
      <c r="L509" s="967"/>
      <c r="M509" s="983"/>
    </row>
    <row r="510" ht="15" customHeight="true" x14ac:dyDescent="0.3">
      <c r="B510" s="973"/>
      <c r="C510" s="962" t="s">
        <v>2034</v>
      </c>
      <c r="D510" s="963" t="s">
        <v>2110</v>
      </c>
      <c r="E510" s="935"/>
      <c r="F510" s="964">
        <v>2.5000000000000001E-2</v>
      </c>
      <c r="G510" s="965"/>
      <c r="H510" s="965"/>
      <c r="I510" s="966"/>
      <c r="J510" s="966"/>
      <c r="K510" s="951"/>
      <c r="L510" s="967"/>
      <c r="M510" s="983"/>
    </row>
    <row r="511" ht="15" customHeight="true" x14ac:dyDescent="0.3">
      <c r="B511" s="973"/>
      <c r="C511" s="962" t="s">
        <v>2035</v>
      </c>
      <c r="D511" s="963" t="s">
        <v>2111</v>
      </c>
      <c r="E511" s="935"/>
      <c r="F511" s="964">
        <v>0.05</v>
      </c>
      <c r="G511" s="965"/>
      <c r="H511" s="965"/>
      <c r="I511" s="966"/>
      <c r="J511" s="966"/>
      <c r="K511" s="951"/>
      <c r="L511" s="967"/>
      <c r="M511" s="983"/>
    </row>
    <row r="512" ht="15" customHeight="true" x14ac:dyDescent="0.3">
      <c r="B512" s="973"/>
      <c r="C512" s="962" t="s">
        <v>2036</v>
      </c>
      <c r="D512" s="963" t="s">
        <v>2112</v>
      </c>
      <c r="E512" s="935"/>
      <c r="F512" s="964">
        <v>1</v>
      </c>
      <c r="G512" s="965"/>
      <c r="H512" s="965"/>
      <c r="I512" s="966"/>
      <c r="J512" s="966"/>
      <c r="K512" s="951"/>
      <c r="L512" s="967"/>
      <c r="M512" s="983"/>
    </row>
    <row r="513" ht="15" customHeight="true" x14ac:dyDescent="0.3">
      <c r="B513" s="973"/>
      <c r="C513" s="962" t="s">
        <v>2037</v>
      </c>
      <c r="D513" s="963" t="s">
        <v>2113</v>
      </c>
      <c r="E513" s="935"/>
      <c r="F513" s="964">
        <v>0.9</v>
      </c>
      <c r="G513" s="965"/>
      <c r="H513" s="965"/>
      <c r="I513" s="966"/>
      <c r="J513" s="966"/>
      <c r="K513" s="951"/>
      <c r="L513" s="967"/>
      <c r="M513" s="983"/>
    </row>
    <row r="514" ht="15" customHeight="true" x14ac:dyDescent="0.3">
      <c r="B514" s="973"/>
      <c r="C514" s="962" t="s">
        <v>2038</v>
      </c>
      <c r="D514" s="963" t="s">
        <v>2114</v>
      </c>
      <c r="E514" s="935"/>
      <c r="F514" s="964">
        <v>0.65</v>
      </c>
      <c r="G514" s="965"/>
      <c r="H514" s="965"/>
      <c r="I514" s="966"/>
      <c r="J514" s="966"/>
      <c r="K514" s="951"/>
      <c r="L514" s="967"/>
      <c r="M514" s="983"/>
    </row>
    <row r="515" ht="15" customHeight="true" x14ac:dyDescent="0.3">
      <c r="B515" s="973"/>
      <c r="C515" s="962" t="s">
        <v>2039</v>
      </c>
      <c r="D515" s="963" t="s">
        <v>2115</v>
      </c>
      <c r="E515" s="935"/>
      <c r="F515" s="964">
        <v>2.8500000000000001E-2</v>
      </c>
      <c r="G515" s="965"/>
      <c r="H515" s="965"/>
      <c r="I515" s="966"/>
      <c r="J515" s="966"/>
      <c r="K515" s="951"/>
      <c r="L515" s="967"/>
      <c r="M515" s="983"/>
    </row>
    <row r="516" ht="15" customHeight="true" x14ac:dyDescent="0.3">
      <c r="B516" s="973"/>
      <c r="C516" s="962" t="s">
        <v>2040</v>
      </c>
      <c r="D516" s="963" t="s">
        <v>2116</v>
      </c>
      <c r="E516" s="935"/>
      <c r="F516" s="964">
        <v>0.73</v>
      </c>
      <c r="G516" s="965"/>
      <c r="H516" s="965"/>
      <c r="I516" s="966"/>
      <c r="J516" s="966"/>
      <c r="K516" s="951"/>
      <c r="L516" s="967"/>
      <c r="M516" s="983"/>
    </row>
    <row r="517" ht="15" customHeight="true" x14ac:dyDescent="0.3">
      <c r="B517" s="973"/>
      <c r="C517" s="962" t="s">
        <v>2041</v>
      </c>
      <c r="D517" s="963" t="s">
        <v>2117</v>
      </c>
      <c r="E517" s="935"/>
      <c r="F517" s="964">
        <v>1.0999999999999999E-2</v>
      </c>
      <c r="G517" s="965"/>
      <c r="H517" s="965"/>
      <c r="I517" s="966"/>
      <c r="J517" s="966"/>
      <c r="K517" s="951"/>
      <c r="L517" s="967"/>
      <c r="M517" s="983"/>
    </row>
    <row r="518" ht="15" customHeight="true" x14ac:dyDescent="0.3">
      <c r="B518" s="973"/>
      <c r="C518" s="962" t="s">
        <v>2042</v>
      </c>
      <c r="D518" s="963" t="s">
        <v>2118</v>
      </c>
      <c r="E518" s="935"/>
      <c r="F518" s="964">
        <v>1.1499999999999999</v>
      </c>
      <c r="G518" s="965"/>
      <c r="H518" s="965"/>
      <c r="I518" s="966"/>
      <c r="J518" s="966"/>
      <c r="K518" s="951"/>
      <c r="L518" s="967"/>
      <c r="M518" s="983"/>
    </row>
    <row r="519" ht="15" customHeight="true" x14ac:dyDescent="0.3">
      <c r="B519" s="973"/>
      <c r="C519" s="962" t="s">
        <v>2043</v>
      </c>
      <c r="D519" s="963" t="s">
        <v>2119</v>
      </c>
      <c r="E519" s="935"/>
      <c r="F519" s="964">
        <v>5.6</v>
      </c>
      <c r="G519" s="965"/>
      <c r="H519" s="965"/>
      <c r="I519" s="966"/>
      <c r="J519" s="966"/>
      <c r="K519" s="951"/>
      <c r="L519" s="967"/>
      <c r="M519" s="983"/>
    </row>
    <row r="520" x14ac:dyDescent="0.3">
      <c r="B520" s="973"/>
      <c r="C520" s="962" t="s">
        <v>2044</v>
      </c>
      <c r="D520" s="963" t="s">
        <v>2120</v>
      </c>
      <c r="E520" s="935"/>
      <c r="F520" s="964">
        <v>5.4999999999999997E-3</v>
      </c>
      <c r="G520" s="965"/>
      <c r="H520" s="965"/>
      <c r="I520" s="966"/>
      <c r="J520" s="966"/>
      <c r="K520" s="951"/>
      <c r="L520" s="951"/>
      <c r="M520" s="977"/>
    </row>
    <row r="521" x14ac:dyDescent="0.3">
      <c r="B521" s="973"/>
      <c r="C521" s="962" t="s">
        <v>2045</v>
      </c>
      <c r="D521" s="963" t="s">
        <v>2121</v>
      </c>
      <c r="E521" s="935"/>
      <c r="F521" s="964">
        <v>7.0000000000000007E-2</v>
      </c>
      <c r="G521" s="965"/>
      <c r="H521" s="965"/>
      <c r="I521" s="966"/>
      <c r="J521" s="966"/>
      <c r="K521" s="951"/>
      <c r="L521" s="951"/>
      <c r="M521" s="977"/>
    </row>
    <row r="522" x14ac:dyDescent="0.3">
      <c r="B522" s="973"/>
      <c r="C522" s="962" t="s">
        <v>2046</v>
      </c>
      <c r="D522" s="963" t="s">
        <v>2122</v>
      </c>
      <c r="E522" s="935"/>
      <c r="F522" s="964">
        <v>4.2500000000000003E-2</v>
      </c>
      <c r="G522" s="965"/>
      <c r="H522" s="965"/>
      <c r="I522" s="966"/>
      <c r="J522" s="966"/>
      <c r="K522" s="951"/>
      <c r="L522" s="951"/>
      <c r="M522" s="977"/>
    </row>
    <row r="523" x14ac:dyDescent="0.3">
      <c r="B523" s="973"/>
      <c r="C523" s="962" t="s">
        <v>2047</v>
      </c>
      <c r="D523" s="963" t="s">
        <v>2123</v>
      </c>
      <c r="E523" s="935"/>
      <c r="F523" s="964">
        <v>4.9999999999999996E-2</v>
      </c>
      <c r="G523" s="965"/>
      <c r="H523" s="965"/>
      <c r="I523" s="966"/>
      <c r="J523" s="966"/>
      <c r="K523" s="951"/>
      <c r="L523" s="951"/>
      <c r="M523" s="977"/>
    </row>
    <row r="524" x14ac:dyDescent="0.3">
      <c r="B524" s="973"/>
      <c r="C524" s="962" t="s">
        <v>2048</v>
      </c>
      <c r="D524" s="963" t="s">
        <v>2124</v>
      </c>
      <c r="E524" s="935"/>
      <c r="F524" s="964">
        <v>4.4999999999999998E-2</v>
      </c>
      <c r="G524" s="965"/>
      <c r="H524" s="965"/>
      <c r="I524" s="966"/>
      <c r="J524" s="966"/>
      <c r="K524" s="951"/>
      <c r="L524" s="951"/>
      <c r="M524" s="977"/>
    </row>
    <row r="525" x14ac:dyDescent="0.3">
      <c r="B525" s="973"/>
      <c r="C525" s="962" t="s">
        <v>2049</v>
      </c>
      <c r="D525" s="963" t="s">
        <v>2125</v>
      </c>
      <c r="E525" s="935"/>
      <c r="F525" s="964">
        <v>4.9999999999999996E-2</v>
      </c>
      <c r="G525" s="965"/>
      <c r="H525" s="965"/>
      <c r="I525" s="966"/>
      <c r="J525" s="966"/>
      <c r="K525" s="951"/>
      <c r="L525" s="951"/>
      <c r="M525" s="977"/>
    </row>
    <row r="526" x14ac:dyDescent="0.3">
      <c r="B526" s="973"/>
      <c r="C526" s="962" t="s">
        <v>1918</v>
      </c>
      <c r="D526" s="963" t="s">
        <v>2004</v>
      </c>
      <c r="E526" s="935" t="s">
        <v>1919</v>
      </c>
      <c r="F526" s="964">
        <v>0.02</v>
      </c>
      <c r="G526" s="965"/>
      <c r="H526" s="965"/>
      <c r="I526" s="966"/>
      <c r="J526" s="966"/>
      <c r="K526" s="951"/>
      <c r="L526" s="951"/>
      <c r="M526" s="977"/>
    </row>
    <row r="527" x14ac:dyDescent="0.3">
      <c r="B527" s="973"/>
      <c r="C527" s="962" t="s">
        <v>1920</v>
      </c>
      <c r="D527" s="963" t="s">
        <v>2126</v>
      </c>
      <c r="E527" s="935"/>
      <c r="F527" s="964">
        <v>1</v>
      </c>
      <c r="G527" s="965"/>
      <c r="H527" s="965"/>
      <c r="I527" s="966"/>
      <c r="J527" s="966"/>
      <c r="K527" s="951"/>
      <c r="L527" s="951"/>
      <c r="M527" s="977"/>
    </row>
    <row r="528" x14ac:dyDescent="0.3">
      <c r="B528" s="973"/>
      <c r="C528" s="962" t="s">
        <v>2050</v>
      </c>
      <c r="D528" s="963" t="s">
        <v>2127</v>
      </c>
      <c r="E528" s="935"/>
      <c r="F528" s="964">
        <v>1</v>
      </c>
      <c r="G528" s="965"/>
      <c r="H528" s="965"/>
      <c r="I528" s="966"/>
      <c r="J528" s="966"/>
      <c r="K528" s="951"/>
      <c r="L528" s="951"/>
      <c r="M528" s="977"/>
    </row>
    <row r="529" x14ac:dyDescent="0.3">
      <c r="B529" s="973"/>
      <c r="C529" s="962" t="s">
        <v>2051</v>
      </c>
      <c r="D529" s="963" t="s">
        <v>2128</v>
      </c>
      <c r="E529" s="935"/>
      <c r="F529" s="964">
        <v>0.14500000000000002</v>
      </c>
      <c r="G529" s="965"/>
      <c r="H529" s="965"/>
      <c r="I529" s="966"/>
      <c r="J529" s="966"/>
      <c r="K529" s="951"/>
      <c r="L529" s="951"/>
      <c r="M529" s="977"/>
    </row>
    <row r="530" x14ac:dyDescent="0.3">
      <c r="B530" s="973"/>
      <c r="C530" s="962" t="s">
        <v>2052</v>
      </c>
      <c r="D530" s="963" t="s">
        <v>2129</v>
      </c>
      <c r="E530" s="935"/>
      <c r="F530" s="964">
        <v>1.55E-2</v>
      </c>
      <c r="G530" s="965"/>
      <c r="H530" s="965"/>
      <c r="I530" s="966"/>
      <c r="J530" s="966"/>
      <c r="K530" s="951"/>
      <c r="L530" s="951"/>
      <c r="M530" s="977"/>
    </row>
    <row r="531" x14ac:dyDescent="0.3">
      <c r="B531" s="973"/>
      <c r="C531" s="962" t="s">
        <v>2053</v>
      </c>
      <c r="D531" s="963" t="s">
        <v>2130</v>
      </c>
      <c r="E531" s="935"/>
      <c r="F531" s="964">
        <v>2.5</v>
      </c>
      <c r="G531" s="965"/>
      <c r="H531" s="965"/>
      <c r="I531" s="966"/>
      <c r="J531" s="966"/>
      <c r="K531" s="951"/>
      <c r="L531" s="951"/>
      <c r="M531" s="977"/>
    </row>
    <row r="532" x14ac:dyDescent="0.3">
      <c r="B532" s="973"/>
      <c r="C532" s="962" t="s">
        <v>2054</v>
      </c>
      <c r="D532" s="963" t="s">
        <v>2131</v>
      </c>
      <c r="E532" s="935"/>
      <c r="F532" s="964">
        <v>6.0000000000000005E-2</v>
      </c>
      <c r="G532" s="965"/>
      <c r="H532" s="965"/>
      <c r="I532" s="966"/>
      <c r="J532" s="966"/>
      <c r="K532" s="951"/>
      <c r="L532" s="951"/>
      <c r="M532" s="977"/>
    </row>
    <row r="533" x14ac:dyDescent="0.3">
      <c r="B533" s="973"/>
      <c r="C533" s="962" t="s">
        <v>2055</v>
      </c>
      <c r="D533" s="963" t="s">
        <v>2132</v>
      </c>
      <c r="E533" s="935"/>
      <c r="F533" s="964">
        <v>0.55000000000000004</v>
      </c>
      <c r="G533" s="965"/>
      <c r="H533" s="965"/>
      <c r="I533" s="966"/>
      <c r="J533" s="966"/>
      <c r="K533" s="951"/>
      <c r="L533" s="951"/>
      <c r="M533" s="977"/>
    </row>
    <row r="534" x14ac:dyDescent="0.3">
      <c r="B534" s="973"/>
      <c r="C534" s="962" t="s">
        <v>2056</v>
      </c>
      <c r="D534" s="963" t="s">
        <v>2133</v>
      </c>
      <c r="E534" s="935"/>
      <c r="F534" s="964">
        <v>2.9</v>
      </c>
      <c r="G534" s="965"/>
      <c r="H534" s="965"/>
      <c r="I534" s="966"/>
      <c r="J534" s="966"/>
      <c r="K534" s="951"/>
      <c r="L534" s="951"/>
      <c r="M534" s="977"/>
    </row>
    <row r="535" x14ac:dyDescent="0.3">
      <c r="B535" s="973"/>
      <c r="C535" s="962" t="s">
        <v>2057</v>
      </c>
      <c r="D535" s="963" t="s">
        <v>2134</v>
      </c>
      <c r="E535" s="935"/>
      <c r="F535" s="964">
        <v>1.6500000000000001E-2</v>
      </c>
      <c r="G535" s="965"/>
      <c r="H535" s="965"/>
      <c r="I535" s="966"/>
      <c r="J535" s="966"/>
      <c r="K535" s="951"/>
      <c r="L535" s="951"/>
      <c r="M535" s="977"/>
    </row>
    <row r="536" x14ac:dyDescent="0.3">
      <c r="B536" s="973"/>
      <c r="C536" s="962" t="s">
        <v>2058</v>
      </c>
      <c r="D536" s="963" t="s">
        <v>2135</v>
      </c>
      <c r="E536" s="935"/>
      <c r="F536" s="964">
        <v>6.7500000000000004E-2</v>
      </c>
      <c r="G536" s="965"/>
      <c r="H536" s="965"/>
      <c r="I536" s="966"/>
      <c r="J536" s="966"/>
      <c r="K536" s="951"/>
      <c r="L536" s="951"/>
      <c r="M536" s="977"/>
    </row>
    <row r="537" x14ac:dyDescent="0.3">
      <c r="B537" s="973"/>
      <c r="C537" s="962" t="s">
        <v>2059</v>
      </c>
      <c r="D537" s="963" t="s">
        <v>2136</v>
      </c>
      <c r="E537" s="935"/>
      <c r="F537" s="964">
        <v>6.3500000000000001E-2</v>
      </c>
      <c r="G537" s="965"/>
      <c r="H537" s="965"/>
      <c r="I537" s="966"/>
      <c r="J537" s="966"/>
      <c r="K537" s="951"/>
      <c r="L537" s="951"/>
      <c r="M537" s="977"/>
    </row>
    <row r="538" x14ac:dyDescent="0.3">
      <c r="B538" s="973"/>
      <c r="C538" s="962" t="s">
        <v>2060</v>
      </c>
      <c r="D538" s="963" t="s">
        <v>2137</v>
      </c>
      <c r="E538" s="935"/>
      <c r="F538" s="964">
        <v>5.4000000000000006E-2</v>
      </c>
      <c r="G538" s="965"/>
      <c r="H538" s="965"/>
      <c r="I538" s="966"/>
      <c r="J538" s="966"/>
      <c r="K538" s="951"/>
      <c r="L538" s="951"/>
      <c r="M538" s="977"/>
    </row>
    <row r="539" x14ac:dyDescent="0.3">
      <c r="B539" s="973"/>
      <c r="C539" s="962" t="s">
        <v>2061</v>
      </c>
      <c r="D539" s="963" t="s">
        <v>2138</v>
      </c>
      <c r="E539" s="935"/>
      <c r="F539" s="964">
        <v>0.27500000000000002</v>
      </c>
      <c r="G539" s="965"/>
      <c r="H539" s="965"/>
      <c r="I539" s="966"/>
      <c r="J539" s="966"/>
      <c r="K539" s="951"/>
      <c r="L539" s="951"/>
      <c r="M539" s="977"/>
    </row>
    <row r="540" x14ac:dyDescent="0.3">
      <c r="B540" s="973"/>
      <c r="C540" s="962" t="s">
        <v>1925</v>
      </c>
      <c r="D540" s="963" t="s">
        <v>2008</v>
      </c>
      <c r="E540" s="935" t="s">
        <v>1926</v>
      </c>
      <c r="F540" s="964">
        <v>0.03</v>
      </c>
      <c r="G540" s="965"/>
      <c r="H540" s="965"/>
      <c r="I540" s="966"/>
      <c r="J540" s="966"/>
      <c r="K540" s="951"/>
      <c r="L540" s="951"/>
      <c r="M540" s="977"/>
    </row>
    <row r="541" x14ac:dyDescent="0.3">
      <c r="B541" s="973"/>
      <c r="C541" s="962" t="s">
        <v>2062</v>
      </c>
      <c r="D541" s="963" t="s">
        <v>2139</v>
      </c>
      <c r="E541" s="935" t="s">
        <v>2063</v>
      </c>
      <c r="F541" s="964">
        <v>0.02</v>
      </c>
      <c r="G541" s="965"/>
      <c r="H541" s="965"/>
      <c r="I541" s="966"/>
      <c r="J541" s="966"/>
      <c r="K541" s="951"/>
      <c r="L541" s="951"/>
      <c r="M541" s="977"/>
    </row>
    <row r="542" x14ac:dyDescent="0.3">
      <c r="B542" s="973"/>
      <c r="C542" s="962" t="s">
        <v>2064</v>
      </c>
      <c r="D542" s="963" t="s">
        <v>2140</v>
      </c>
      <c r="E542" s="935"/>
      <c r="F542" s="964">
        <v>1</v>
      </c>
      <c r="G542" s="965"/>
      <c r="H542" s="965"/>
      <c r="I542" s="966"/>
      <c r="J542" s="966"/>
      <c r="K542" s="951"/>
      <c r="L542" s="951"/>
      <c r="M542" s="977"/>
    </row>
    <row r="543" x14ac:dyDescent="0.3">
      <c r="B543" s="973"/>
      <c r="C543" s="962" t="s">
        <v>2065</v>
      </c>
      <c r="D543" s="963" t="s">
        <v>2141</v>
      </c>
      <c r="E543" s="935"/>
      <c r="F543" s="964">
        <v>4.7E-2</v>
      </c>
      <c r="G543" s="965"/>
      <c r="H543" s="965"/>
      <c r="I543" s="966"/>
      <c r="J543" s="966"/>
      <c r="K543" s="951"/>
      <c r="L543" s="951"/>
      <c r="M543" s="977"/>
    </row>
    <row r="544" x14ac:dyDescent="0.3">
      <c r="B544" s="973"/>
      <c r="C544" s="962" t="s">
        <v>2066</v>
      </c>
      <c r="D544" s="963" t="s">
        <v>2142</v>
      </c>
      <c r="E544" s="935"/>
      <c r="F544" s="964">
        <v>8.8499999999999995E-2</v>
      </c>
      <c r="G544" s="965"/>
      <c r="H544" s="965"/>
      <c r="I544" s="966"/>
      <c r="J544" s="966"/>
      <c r="K544" s="951"/>
      <c r="L544" s="951"/>
      <c r="M544" s="977"/>
    </row>
    <row r="545" x14ac:dyDescent="0.3">
      <c r="B545" s="973"/>
      <c r="C545" s="962" t="s">
        <v>2067</v>
      </c>
      <c r="D545" s="963" t="s">
        <v>2143</v>
      </c>
      <c r="E545" s="935"/>
      <c r="F545" s="964">
        <v>2.2499999999999999E-2</v>
      </c>
      <c r="G545" s="965"/>
      <c r="H545" s="965"/>
      <c r="I545" s="966"/>
      <c r="J545" s="966"/>
      <c r="K545" s="951"/>
      <c r="L545" s="951"/>
      <c r="M545" s="977"/>
    </row>
    <row r="546" x14ac:dyDescent="0.3">
      <c r="B546" s="973"/>
      <c r="C546" s="962" t="s">
        <v>2068</v>
      </c>
      <c r="D546" s="963" t="s">
        <v>2144</v>
      </c>
      <c r="E546" s="935"/>
      <c r="F546" s="964">
        <v>0.74</v>
      </c>
      <c r="G546" s="965"/>
      <c r="H546" s="965"/>
      <c r="I546" s="966"/>
      <c r="J546" s="966"/>
      <c r="K546" s="951"/>
      <c r="L546" s="951"/>
      <c r="M546" s="977"/>
    </row>
    <row r="547" x14ac:dyDescent="0.3">
      <c r="B547" s="973"/>
      <c r="C547" s="962" t="s">
        <v>2069</v>
      </c>
      <c r="D547" s="963" t="s">
        <v>2145</v>
      </c>
      <c r="E547" s="935"/>
      <c r="F547" s="964">
        <v>1</v>
      </c>
      <c r="G547" s="965"/>
      <c r="H547" s="965"/>
      <c r="I547" s="966"/>
      <c r="J547" s="966"/>
      <c r="K547" s="951"/>
      <c r="L547" s="951"/>
      <c r="M547" s="977"/>
    </row>
    <row r="548" x14ac:dyDescent="0.3">
      <c r="B548" s="973"/>
      <c r="C548" s="962" t="s">
        <v>2070</v>
      </c>
      <c r="D548" s="963" t="s">
        <v>2146</v>
      </c>
      <c r="E548" s="935"/>
      <c r="F548" s="964">
        <v>2.9000000000000001E-2</v>
      </c>
      <c r="G548" s="965"/>
      <c r="H548" s="965"/>
      <c r="I548" s="966"/>
      <c r="J548" s="966"/>
      <c r="K548" s="951"/>
      <c r="L548" s="951"/>
      <c r="M548" s="977"/>
    </row>
    <row r="549" x14ac:dyDescent="0.3">
      <c r="B549" s="973"/>
      <c r="C549" s="962" t="s">
        <v>1934</v>
      </c>
      <c r="D549" s="963" t="s">
        <v>2014</v>
      </c>
      <c r="E549" s="935" t="s">
        <v>1935</v>
      </c>
      <c r="F549" s="964">
        <v>0.12</v>
      </c>
      <c r="G549" s="965"/>
      <c r="H549" s="965"/>
      <c r="I549" s="966"/>
      <c r="J549" s="966"/>
      <c r="K549" s="951"/>
      <c r="L549" s="951"/>
      <c r="M549" s="977"/>
    </row>
    <row r="550" x14ac:dyDescent="0.3">
      <c r="B550" s="973"/>
      <c r="C550" s="962" t="s">
        <v>2071</v>
      </c>
      <c r="D550" s="963" t="s">
        <v>2147</v>
      </c>
      <c r="E550" s="935"/>
      <c r="F550" s="964">
        <v>1</v>
      </c>
      <c r="G550" s="965"/>
      <c r="H550" s="965"/>
      <c r="I550" s="966"/>
      <c r="J550" s="966"/>
      <c r="K550" s="951"/>
      <c r="L550" s="951"/>
      <c r="M550" s="977"/>
    </row>
    <row r="551" x14ac:dyDescent="0.3">
      <c r="B551" s="973"/>
      <c r="C551" s="962" t="s">
        <v>2072</v>
      </c>
      <c r="D551" s="963" t="s">
        <v>2148</v>
      </c>
      <c r="E551" s="935"/>
      <c r="F551" s="964">
        <v>3.3</v>
      </c>
      <c r="G551" s="965"/>
      <c r="H551" s="965"/>
      <c r="I551" s="966"/>
      <c r="J551" s="966"/>
      <c r="K551" s="951"/>
      <c r="L551" s="951"/>
      <c r="M551" s="977"/>
    </row>
    <row r="552" x14ac:dyDescent="0.3">
      <c r="B552" s="973"/>
      <c r="C552" s="962" t="s">
        <v>2073</v>
      </c>
      <c r="D552" s="963">
        <v>165977</v>
      </c>
      <c r="E552" s="935"/>
      <c r="F552" s="964">
        <v>1</v>
      </c>
      <c r="G552" s="965"/>
      <c r="H552" s="965"/>
      <c r="I552" s="966"/>
      <c r="J552" s="966"/>
      <c r="K552" s="951"/>
      <c r="L552" s="951"/>
      <c r="M552" s="977"/>
    </row>
    <row r="553" x14ac:dyDescent="0.3">
      <c r="B553" s="973"/>
      <c r="C553" s="962" t="s">
        <v>1938</v>
      </c>
      <c r="D553" s="963" t="s">
        <v>2016</v>
      </c>
      <c r="E553" s="935" t="s">
        <v>1939</v>
      </c>
      <c r="F553" s="964">
        <v>2.1999999999999999E-2</v>
      </c>
      <c r="G553" s="965"/>
      <c r="H553" s="965"/>
      <c r="I553" s="966"/>
      <c r="J553" s="966"/>
      <c r="K553" s="951"/>
      <c r="L553" s="951"/>
      <c r="M553" s="977"/>
    </row>
    <row r="554" x14ac:dyDescent="0.3">
      <c r="B554" s="973"/>
      <c r="C554" s="962" t="s">
        <v>2074</v>
      </c>
      <c r="D554" s="963" t="s">
        <v>2149</v>
      </c>
      <c r="E554" s="935"/>
      <c r="F554" s="964">
        <v>1</v>
      </c>
      <c r="G554" s="965"/>
      <c r="H554" s="965"/>
      <c r="I554" s="966"/>
      <c r="J554" s="966"/>
      <c r="K554" s="951"/>
      <c r="L554" s="951"/>
      <c r="M554" s="977"/>
    </row>
    <row r="555" x14ac:dyDescent="0.3">
      <c r="B555" s="973"/>
      <c r="C555" s="962" t="s">
        <v>2075</v>
      </c>
      <c r="D555" s="963" t="s">
        <v>2150</v>
      </c>
      <c r="E555" s="935"/>
      <c r="F555" s="964">
        <v>1.0999999999999999E-2</v>
      </c>
      <c r="G555" s="965"/>
      <c r="H555" s="965"/>
      <c r="I555" s="966"/>
      <c r="J555" s="966"/>
      <c r="K555" s="951"/>
      <c r="L555" s="951"/>
      <c r="M555" s="977"/>
    </row>
    <row r="556" x14ac:dyDescent="0.3">
      <c r="B556" s="973"/>
      <c r="C556" s="962" t="s">
        <v>2076</v>
      </c>
      <c r="D556" s="963" t="s">
        <v>2151</v>
      </c>
      <c r="E556" s="935"/>
      <c r="F556" s="964">
        <v>0.11850000000000001</v>
      </c>
      <c r="G556" s="965"/>
      <c r="H556" s="965"/>
      <c r="I556" s="966"/>
      <c r="J556" s="966"/>
      <c r="K556" s="951"/>
      <c r="L556" s="951"/>
      <c r="M556" s="977"/>
    </row>
    <row r="557" x14ac:dyDescent="0.3">
      <c r="B557" s="973"/>
      <c r="C557" s="962" t="s">
        <v>2077</v>
      </c>
      <c r="D557" s="963" t="s">
        <v>2152</v>
      </c>
      <c r="E557" s="935"/>
      <c r="F557" s="964">
        <v>1</v>
      </c>
      <c r="G557" s="965"/>
      <c r="H557" s="965"/>
      <c r="I557" s="966"/>
      <c r="J557" s="966"/>
      <c r="K557" s="951"/>
      <c r="L557" s="951"/>
      <c r="M557" s="977"/>
    </row>
    <row r="558" x14ac:dyDescent="0.3">
      <c r="B558" s="973"/>
      <c r="C558" s="962" t="s">
        <v>2078</v>
      </c>
      <c r="D558" s="963" t="s">
        <v>2153</v>
      </c>
      <c r="E558" s="935"/>
      <c r="F558" s="964">
        <v>7.4500000000000011E-2</v>
      </c>
      <c r="G558" s="965"/>
      <c r="H558" s="965"/>
      <c r="I558" s="966"/>
      <c r="J558" s="966"/>
      <c r="K558" s="951"/>
      <c r="L558" s="951"/>
      <c r="M558" s="977"/>
    </row>
    <row r="559" x14ac:dyDescent="0.3">
      <c r="B559" s="973"/>
      <c r="C559" s="962" t="s">
        <v>2079</v>
      </c>
      <c r="D559" s="935" t="s">
        <v>1949</v>
      </c>
      <c r="E559" s="935"/>
      <c r="F559" s="964">
        <v>0.60000000000000009</v>
      </c>
      <c r="G559" s="965"/>
      <c r="H559" s="965"/>
      <c r="I559" s="966"/>
      <c r="J559" s="966"/>
      <c r="K559" s="951"/>
      <c r="L559" s="951"/>
      <c r="M559" s="977"/>
    </row>
    <row r="560" x14ac:dyDescent="0.3">
      <c r="B560" s="973"/>
      <c r="C560" s="962" t="s">
        <v>2080</v>
      </c>
      <c r="D560" s="935" t="s">
        <v>1949</v>
      </c>
      <c r="E560" s="935"/>
      <c r="F560" s="964">
        <v>1.1499999999999999</v>
      </c>
      <c r="G560" s="965"/>
      <c r="H560" s="965"/>
      <c r="I560" s="966"/>
      <c r="J560" s="966"/>
      <c r="K560" s="951"/>
      <c r="L560" s="951"/>
      <c r="M560" s="977"/>
    </row>
    <row r="561" x14ac:dyDescent="0.3">
      <c r="B561" s="973"/>
      <c r="C561" s="962" t="s">
        <v>2081</v>
      </c>
      <c r="D561" s="935" t="s">
        <v>1949</v>
      </c>
      <c r="E561" s="935"/>
      <c r="F561" s="964">
        <v>0.55000000000000004</v>
      </c>
      <c r="G561" s="965"/>
      <c r="H561" s="965"/>
      <c r="I561" s="966"/>
      <c r="J561" s="966"/>
      <c r="K561" s="951"/>
      <c r="L561" s="951"/>
      <c r="M561" s="977"/>
    </row>
    <row r="562" x14ac:dyDescent="0.3">
      <c r="B562" s="973"/>
      <c r="C562" s="962" t="s">
        <v>2082</v>
      </c>
      <c r="D562" s="935" t="s">
        <v>1949</v>
      </c>
      <c r="E562" s="935"/>
      <c r="F562" s="964">
        <v>1.1500000000000001</v>
      </c>
      <c r="G562" s="965"/>
      <c r="H562" s="965"/>
      <c r="I562" s="966"/>
      <c r="J562" s="966"/>
      <c r="K562" s="951"/>
      <c r="L562" s="951"/>
      <c r="M562" s="977"/>
    </row>
    <row r="563" x14ac:dyDescent="0.3">
      <c r="B563" s="973"/>
      <c r="C563" s="962" t="s">
        <v>2083</v>
      </c>
      <c r="D563" s="935" t="s">
        <v>1949</v>
      </c>
      <c r="E563" s="935"/>
      <c r="F563" s="964">
        <v>3.9</v>
      </c>
      <c r="G563" s="965"/>
      <c r="H563" s="965"/>
      <c r="I563" s="966"/>
      <c r="J563" s="966"/>
      <c r="K563" s="951"/>
      <c r="L563" s="951"/>
      <c r="M563" s="977"/>
    </row>
    <row r="564" x14ac:dyDescent="0.3">
      <c r="B564" s="973"/>
      <c r="C564" s="962" t="s">
        <v>2084</v>
      </c>
      <c r="D564" s="935" t="s">
        <v>1949</v>
      </c>
      <c r="E564" s="935"/>
      <c r="F564" s="964">
        <v>0.52</v>
      </c>
      <c r="G564" s="965"/>
      <c r="H564" s="965"/>
      <c r="I564" s="966"/>
      <c r="J564" s="966"/>
      <c r="K564" s="951"/>
      <c r="L564" s="951"/>
      <c r="M564" s="977"/>
    </row>
    <row r="565" x14ac:dyDescent="0.3">
      <c r="B565" s="973"/>
      <c r="C565" s="962" t="s">
        <v>2085</v>
      </c>
      <c r="D565" s="935" t="s">
        <v>1949</v>
      </c>
      <c r="E565" s="935"/>
      <c r="F565" s="964">
        <v>1.9</v>
      </c>
      <c r="G565" s="965"/>
      <c r="H565" s="965"/>
      <c r="I565" s="966"/>
      <c r="J565" s="966"/>
      <c r="K565" s="951"/>
      <c r="L565" s="951"/>
      <c r="M565" s="977"/>
    </row>
    <row r="566" x14ac:dyDescent="0.3">
      <c r="B566" s="973"/>
      <c r="C566" s="962" t="s">
        <v>2086</v>
      </c>
      <c r="D566" s="935" t="s">
        <v>1949</v>
      </c>
      <c r="E566" s="935"/>
      <c r="F566" s="964">
        <v>1.6</v>
      </c>
      <c r="G566" s="965"/>
      <c r="H566" s="965"/>
      <c r="I566" s="966"/>
      <c r="J566" s="966"/>
      <c r="K566" s="951"/>
      <c r="L566" s="951"/>
      <c r="M566" s="977"/>
    </row>
    <row r="567" x14ac:dyDescent="0.3">
      <c r="B567" s="973"/>
      <c r="C567" s="962" t="s">
        <v>2087</v>
      </c>
      <c r="D567" s="935" t="s">
        <v>1949</v>
      </c>
      <c r="E567" s="935"/>
      <c r="F567" s="964">
        <v>1.3</v>
      </c>
      <c r="G567" s="965"/>
      <c r="H567" s="965"/>
      <c r="I567" s="966"/>
      <c r="J567" s="966"/>
      <c r="K567" s="951"/>
      <c r="L567" s="951"/>
      <c r="M567" s="977"/>
    </row>
    <row r="568" x14ac:dyDescent="0.3">
      <c r="B568" s="973"/>
      <c r="C568" s="962" t="s">
        <v>2088</v>
      </c>
      <c r="D568" s="935" t="s">
        <v>1949</v>
      </c>
      <c r="E568" s="935"/>
      <c r="F568" s="964">
        <v>2.35</v>
      </c>
      <c r="G568" s="965"/>
      <c r="H568" s="965"/>
      <c r="I568" s="966"/>
      <c r="J568" s="966"/>
      <c r="K568" s="951"/>
      <c r="L568" s="951"/>
      <c r="M568" s="977"/>
    </row>
    <row r="569" x14ac:dyDescent="0.3">
      <c r="B569" s="973"/>
      <c r="C569" s="962" t="s">
        <v>2089</v>
      </c>
      <c r="D569" s="935" t="s">
        <v>1949</v>
      </c>
      <c r="E569" s="935"/>
      <c r="F569" s="964">
        <v>0.99</v>
      </c>
      <c r="G569" s="965"/>
      <c r="H569" s="965"/>
      <c r="I569" s="966"/>
      <c r="J569" s="966"/>
      <c r="K569" s="951"/>
      <c r="L569" s="951"/>
      <c r="M569" s="977"/>
    </row>
    <row r="570" x14ac:dyDescent="0.3">
      <c r="B570" s="973"/>
      <c r="C570" s="962" t="s">
        <v>2090</v>
      </c>
      <c r="D570" s="935" t="s">
        <v>1949</v>
      </c>
      <c r="E570" s="935"/>
      <c r="F570" s="964">
        <v>0.43500000000000005</v>
      </c>
      <c r="G570" s="965"/>
      <c r="H570" s="965"/>
      <c r="I570" s="966"/>
      <c r="J570" s="966"/>
      <c r="K570" s="951"/>
      <c r="L570" s="951"/>
      <c r="M570" s="977"/>
    </row>
    <row r="571" x14ac:dyDescent="0.3">
      <c r="B571" s="973"/>
      <c r="C571" s="962" t="s">
        <v>2091</v>
      </c>
      <c r="D571" s="935" t="s">
        <v>1949</v>
      </c>
      <c r="E571" s="935"/>
      <c r="F571" s="964">
        <v>0.16499999999999998</v>
      </c>
      <c r="G571" s="965"/>
      <c r="H571" s="965"/>
      <c r="I571" s="966"/>
      <c r="J571" s="966"/>
      <c r="K571" s="951"/>
      <c r="L571" s="951"/>
      <c r="M571" s="977"/>
    </row>
    <row r="572" x14ac:dyDescent="0.3">
      <c r="B572" s="973"/>
      <c r="C572" s="962" t="s">
        <v>2092</v>
      </c>
      <c r="D572" s="935" t="s">
        <v>1949</v>
      </c>
      <c r="E572" s="935"/>
      <c r="F572" s="964">
        <v>0.43500000000000005</v>
      </c>
      <c r="G572" s="965"/>
      <c r="H572" s="965"/>
      <c r="I572" s="966"/>
      <c r="J572" s="966"/>
      <c r="K572" s="951"/>
      <c r="L572" s="951"/>
      <c r="M572" s="977"/>
    </row>
    <row r="573" x14ac:dyDescent="0.3">
      <c r="B573" s="973"/>
      <c r="C573" s="962" t="s">
        <v>2093</v>
      </c>
      <c r="D573" s="935" t="s">
        <v>1949</v>
      </c>
      <c r="E573" s="935"/>
      <c r="F573" s="964">
        <v>0.22</v>
      </c>
      <c r="G573" s="965"/>
      <c r="H573" s="965"/>
      <c r="I573" s="966"/>
      <c r="J573" s="966"/>
      <c r="K573" s="951"/>
      <c r="L573" s="951"/>
      <c r="M573" s="977"/>
    </row>
    <row r="574" x14ac:dyDescent="0.3">
      <c r="B574" s="973"/>
      <c r="C574" s="962" t="s">
        <v>2094</v>
      </c>
      <c r="D574" s="935" t="s">
        <v>1949</v>
      </c>
      <c r="E574" s="935"/>
      <c r="F574" s="964">
        <v>1.05</v>
      </c>
      <c r="G574" s="965"/>
      <c r="H574" s="965"/>
      <c r="I574" s="966"/>
      <c r="J574" s="966"/>
      <c r="K574" s="951"/>
      <c r="L574" s="951"/>
      <c r="M574" s="977"/>
    </row>
    <row r="575" x14ac:dyDescent="0.3">
      <c r="B575" s="973"/>
      <c r="C575" s="962" t="s">
        <v>2095</v>
      </c>
      <c r="D575" s="935" t="s">
        <v>1949</v>
      </c>
      <c r="E575" s="935"/>
      <c r="F575" s="964">
        <v>1.05</v>
      </c>
      <c r="G575" s="965"/>
      <c r="H575" s="965"/>
      <c r="I575" s="966"/>
      <c r="J575" s="966"/>
      <c r="K575" s="951"/>
      <c r="L575" s="951"/>
      <c r="M575" s="977"/>
    </row>
    <row r="576" x14ac:dyDescent="0.3">
      <c r="B576" s="973"/>
      <c r="C576" s="962" t="s">
        <v>2096</v>
      </c>
      <c r="D576" s="935" t="s">
        <v>1949</v>
      </c>
      <c r="E576" s="935"/>
      <c r="F576" s="964">
        <v>1.35</v>
      </c>
      <c r="G576" s="965"/>
      <c r="H576" s="965"/>
      <c r="I576" s="966"/>
      <c r="J576" s="966"/>
      <c r="K576" s="951"/>
      <c r="L576" s="951"/>
      <c r="M576" s="977"/>
    </row>
    <row r="577" x14ac:dyDescent="0.3">
      <c r="B577" s="973"/>
      <c r="C577" s="962" t="s">
        <v>2097</v>
      </c>
      <c r="D577" s="935" t="s">
        <v>1949</v>
      </c>
      <c r="E577" s="935"/>
      <c r="F577" s="964">
        <v>1.45</v>
      </c>
      <c r="G577" s="965"/>
      <c r="H577" s="965"/>
      <c r="I577" s="966"/>
      <c r="J577" s="966"/>
      <c r="K577" s="951"/>
      <c r="L577" s="951"/>
      <c r="M577" s="977"/>
    </row>
    <row r="578" x14ac:dyDescent="0.3">
      <c r="B578" s="973"/>
      <c r="C578" s="962" t="s">
        <v>2098</v>
      </c>
      <c r="D578" s="935" t="s">
        <v>1949</v>
      </c>
      <c r="E578" s="935"/>
      <c r="F578" s="964">
        <v>2</v>
      </c>
      <c r="G578" s="965"/>
      <c r="H578" s="965"/>
      <c r="I578" s="966"/>
      <c r="J578" s="966"/>
      <c r="K578" s="951"/>
      <c r="L578" s="951"/>
      <c r="M578" s="977"/>
    </row>
    <row r="579" ht="15" thickBot="true" x14ac:dyDescent="0.35">
      <c r="B579" s="973"/>
      <c r="C579" s="968" t="s">
        <v>2099</v>
      </c>
      <c r="D579" s="969" t="s">
        <v>1949</v>
      </c>
      <c r="E579" s="969"/>
      <c r="F579" s="970">
        <v>0.9</v>
      </c>
      <c r="G579" s="965"/>
      <c r="H579" s="965"/>
      <c r="I579" s="966"/>
      <c r="J579" s="966"/>
      <c r="K579" s="951"/>
      <c r="L579" s="951"/>
      <c r="M579" s="977"/>
    </row>
    <row r="580" ht="15" thickBot="true" x14ac:dyDescent="0.35">
      <c r="B580" s="984"/>
      <c r="C580" s="985"/>
      <c r="D580" s="986"/>
      <c r="E580" s="985"/>
      <c r="F580" s="985"/>
      <c r="G580" s="987"/>
      <c r="H580" s="987"/>
      <c r="I580" s="987"/>
      <c r="J580" s="987"/>
      <c r="K580" s="987"/>
      <c r="L580" s="987"/>
      <c r="M580" s="988"/>
    </row>
  </sheetData>
  <sheetProtection sheet="true" objects="true" scenarios="true"/>
  <sortState ref="D224:G345">
    <sortCondition ref="D224:D345"/>
  </sortState>
  <mergeCells count="19">
    <mergeCell ref="J181:L181"/>
    <mergeCell ref="J224:L224"/>
    <mergeCell ref="J225:L225"/>
    <mergeCell ref="B2:F2"/>
    <mergeCell ref="J412:L412"/>
    <mergeCell ref="J361:L361"/>
    <mergeCell ref="J362:L362"/>
    <mergeCell ref="J4:L4"/>
    <mergeCell ref="J5:L5"/>
    <mergeCell ref="J68:L68"/>
    <mergeCell ref="J69:L69"/>
    <mergeCell ref="J180:L180"/>
    <mergeCell ref="J198:L198"/>
    <mergeCell ref="J199:L199"/>
    <mergeCell ref="J413:L413"/>
    <mergeCell ref="J485:L485"/>
    <mergeCell ref="J486:L486"/>
    <mergeCell ref="J387:L387"/>
    <mergeCell ref="J388:L388"/>
  </mergeCells>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3"/>
  <dimension ref="B1:AS116"/>
  <sheetViews>
    <sheetView zoomScale="60" zoomScaleNormal="60" workbookViewId="0">
      <selection activeCell="F12" sqref="F12"/>
    </sheetView>
  </sheetViews>
  <sheetFormatPr defaultColWidth="9.109375" defaultRowHeight="13.2" x14ac:dyDescent="0.25"/>
  <cols>
    <col min="1" max="2" width="12.44140625" customWidth="true"/>
    <col min="3" max="3" width="22.5546875" customWidth="true"/>
    <col min="4" max="4" width="38.44140625" customWidth="true"/>
    <col min="5" max="5" width="24" customWidth="true"/>
    <col min="6" max="44" width="17.88671875" customWidth="true"/>
    <col min="45" max="45" width="10.44140625" customWidth="true"/>
    <col min="46" max="46" width="23.109375" customWidth="true"/>
    <col min="47" max="48" width="10.44140625" customWidth="true"/>
    <col min="49" max="49" width="23" customWidth="true"/>
    <col min="50" max="51" width="10.44140625" customWidth="true"/>
    <col min="52" max="52" width="22.44140625" customWidth="true"/>
  </cols>
  <sheetData>
    <row r="1" ht="17.25" customHeight="true" x14ac:dyDescent="0.25">
      <c r="C1" s="892"/>
    </row>
    <row r="2" ht="17.25" customHeight="true" x14ac:dyDescent="0.25"/>
    <row r="3" ht="17.25" customHeight="true" thickBot="true" x14ac:dyDescent="0.3"/>
    <row r="4" ht="22.5" customHeight="true" thickBot="true" x14ac:dyDescent="0.3">
      <c r="B4" s="1959" t="s">
        <v>2360</v>
      </c>
      <c r="C4" s="1882"/>
      <c r="D4" s="1882"/>
      <c r="E4" s="1882"/>
      <c r="F4" s="1882"/>
      <c r="G4" s="1882"/>
      <c r="H4" s="1882"/>
      <c r="I4" s="1883"/>
      <c r="J4" s="586"/>
      <c r="K4" s="586"/>
      <c r="L4" s="586"/>
      <c r="M4" s="586"/>
      <c r="N4" s="586"/>
      <c r="O4" s="586"/>
      <c r="P4" s="586"/>
      <c r="Q4" s="586"/>
      <c r="R4" s="586"/>
      <c r="S4" s="586"/>
      <c r="T4" s="586"/>
      <c r="U4" s="586"/>
      <c r="V4" s="586"/>
      <c r="W4" s="586"/>
      <c r="X4" s="586"/>
      <c r="Y4" s="586"/>
      <c r="Z4" s="586"/>
      <c r="AA4" s="586"/>
      <c r="AB4" s="586"/>
      <c r="AC4" s="586"/>
      <c r="AD4" s="586"/>
      <c r="AE4" s="586"/>
      <c r="AF4" s="586"/>
      <c r="AG4" s="586"/>
      <c r="AH4" s="586"/>
      <c r="AI4" s="586"/>
      <c r="AJ4" s="586"/>
      <c r="AK4" s="586"/>
      <c r="AL4" s="586"/>
      <c r="AM4" s="586"/>
      <c r="AN4" s="586"/>
      <c r="AO4" s="586"/>
      <c r="AP4" s="586"/>
      <c r="AQ4" s="586"/>
      <c r="AR4" s="586"/>
      <c r="AS4" s="607"/>
    </row>
    <row r="5" ht="17.25" customHeight="true" thickBot="true" x14ac:dyDescent="0.3">
      <c r="B5" s="587"/>
      <c r="C5" s="190"/>
      <c r="D5" s="190"/>
      <c r="E5" s="190"/>
      <c r="F5" s="190"/>
      <c r="G5" s="190"/>
      <c r="H5" s="190"/>
      <c r="I5" s="190"/>
      <c r="J5" s="190"/>
      <c r="K5" s="190"/>
      <c r="L5" s="190"/>
      <c r="M5" s="190"/>
      <c r="N5" s="190"/>
      <c r="O5" s="190"/>
      <c r="P5" s="190"/>
      <c r="Q5" s="190"/>
      <c r="R5" s="190"/>
      <c r="S5" s="190"/>
      <c r="T5" s="190"/>
      <c r="U5" s="190"/>
      <c r="V5" s="190"/>
      <c r="W5" s="190"/>
      <c r="X5" s="190"/>
      <c r="Y5" s="190"/>
      <c r="Z5" s="190"/>
      <c r="AA5" s="190"/>
      <c r="AB5" s="190"/>
      <c r="AC5" s="190"/>
      <c r="AD5" s="190"/>
      <c r="AE5" s="190"/>
      <c r="AF5" s="190"/>
      <c r="AG5" s="190"/>
      <c r="AH5" s="190"/>
      <c r="AI5" s="190"/>
      <c r="AJ5" s="190"/>
      <c r="AK5" s="190"/>
      <c r="AL5" s="190"/>
      <c r="AM5" s="190"/>
      <c r="AN5" s="190"/>
      <c r="AO5" s="190"/>
      <c r="AP5" s="190"/>
      <c r="AQ5" s="190"/>
      <c r="AR5" s="190"/>
      <c r="AS5" s="608"/>
    </row>
    <row r="6" ht="30" x14ac:dyDescent="0.25">
      <c r="B6" s="587"/>
      <c r="C6" s="567" t="s">
        <v>1469</v>
      </c>
      <c r="D6" s="267" t="s">
        <v>252</v>
      </c>
      <c r="E6" s="568" t="s">
        <v>1454</v>
      </c>
      <c r="F6" s="190"/>
      <c r="G6" s="190"/>
      <c r="H6" s="190"/>
      <c r="I6" s="190"/>
      <c r="J6" s="190"/>
      <c r="K6" s="190"/>
      <c r="L6" s="190"/>
      <c r="M6" s="190"/>
      <c r="N6" s="190"/>
      <c r="O6" s="190"/>
      <c r="P6" s="190"/>
      <c r="Q6" s="190"/>
      <c r="R6" s="190"/>
      <c r="S6" s="190"/>
      <c r="T6" s="190"/>
      <c r="U6" s="190"/>
      <c r="V6" s="190"/>
      <c r="W6" s="190"/>
      <c r="X6" s="190"/>
      <c r="Y6" s="190"/>
      <c r="Z6" s="190"/>
      <c r="AA6" s="190"/>
      <c r="AB6" s="190"/>
      <c r="AC6" s="190"/>
      <c r="AD6" s="190"/>
      <c r="AE6" s="190"/>
      <c r="AF6" s="190"/>
      <c r="AG6" s="190"/>
      <c r="AH6" s="190"/>
      <c r="AI6" s="190"/>
      <c r="AJ6" s="190"/>
      <c r="AK6" s="190"/>
      <c r="AL6" s="190"/>
      <c r="AM6" s="190"/>
      <c r="AN6" s="190"/>
      <c r="AO6" s="190"/>
      <c r="AP6" s="190"/>
      <c r="AQ6" s="190"/>
      <c r="AR6" s="190"/>
      <c r="AS6" s="608"/>
    </row>
    <row r="7" ht="15" x14ac:dyDescent="0.25">
      <c r="B7" s="587"/>
      <c r="C7" s="495">
        <v>1</v>
      </c>
      <c r="D7" s="202" t="str">
        <f>'I. Stream &amp; Compound Data'!G111</f>
        <v>Carbon Dioxide</v>
      </c>
      <c r="E7" s="1556">
        <f t="array" ref="E7:E56">IF(D7:D56="","",Emergy_Transformity_MseJ_kg)</f>
        <v>37800</v>
      </c>
      <c r="F7" s="190"/>
      <c r="G7" s="190"/>
      <c r="H7" s="190"/>
      <c r="I7" s="190"/>
      <c r="J7" s="190"/>
      <c r="K7" s="190"/>
      <c r="L7" s="190"/>
      <c r="M7" s="190"/>
      <c r="N7" s="190"/>
      <c r="O7" s="190"/>
      <c r="P7" s="190"/>
      <c r="Q7" s="190"/>
      <c r="R7" s="190"/>
      <c r="S7" s="190"/>
      <c r="T7" s="190"/>
      <c r="U7" s="190"/>
      <c r="V7" s="190"/>
      <c r="W7" s="190"/>
      <c r="X7" s="190"/>
      <c r="Y7" s="190"/>
      <c r="Z7" s="190"/>
      <c r="AA7" s="190"/>
      <c r="AB7" s="190"/>
      <c r="AC7" s="190"/>
      <c r="AD7" s="190"/>
      <c r="AE7" s="190"/>
      <c r="AF7" s="190"/>
      <c r="AG7" s="190"/>
      <c r="AH7" s="190"/>
      <c r="AI7" s="190"/>
      <c r="AJ7" s="190"/>
      <c r="AK7" s="190"/>
      <c r="AL7" s="190"/>
      <c r="AM7" s="190"/>
      <c r="AN7" s="190"/>
      <c r="AO7" s="190"/>
      <c r="AP7" s="190"/>
      <c r="AQ7" s="190"/>
      <c r="AR7" s="190"/>
      <c r="AS7" s="608"/>
    </row>
    <row r="8" ht="15" x14ac:dyDescent="0.25">
      <c r="B8" s="587"/>
      <c r="C8" s="495">
        <f>C7+1</f>
        <v>2</v>
      </c>
      <c r="D8" s="202" t="str">
        <f>'I. Stream &amp; Compound Data'!G112</f>
        <v>Water</v>
      </c>
      <c r="E8" s="1556">
        <v>664</v>
      </c>
      <c r="F8" s="190"/>
      <c r="G8" s="190"/>
      <c r="H8" s="190"/>
      <c r="I8" s="190"/>
      <c r="J8" s="190"/>
      <c r="K8" s="190"/>
      <c r="L8" s="190"/>
      <c r="M8" s="190"/>
      <c r="N8" s="190"/>
      <c r="O8" s="190"/>
      <c r="P8" s="190"/>
      <c r="Q8" s="190"/>
      <c r="R8" s="190"/>
      <c r="S8" s="190"/>
      <c r="T8" s="190"/>
      <c r="U8" s="190"/>
      <c r="V8" s="190"/>
      <c r="W8" s="190"/>
      <c r="X8" s="190"/>
      <c r="Y8" s="190"/>
      <c r="Z8" s="190"/>
      <c r="AA8" s="190"/>
      <c r="AB8" s="190"/>
      <c r="AC8" s="190"/>
      <c r="AD8" s="190"/>
      <c r="AE8" s="190"/>
      <c r="AF8" s="190"/>
      <c r="AG8" s="190"/>
      <c r="AH8" s="190"/>
      <c r="AI8" s="190"/>
      <c r="AJ8" s="190"/>
      <c r="AK8" s="190"/>
      <c r="AL8" s="190"/>
      <c r="AM8" s="190"/>
      <c r="AN8" s="190"/>
      <c r="AO8" s="190"/>
      <c r="AP8" s="190"/>
      <c r="AQ8" s="190"/>
      <c r="AR8" s="190"/>
      <c r="AS8" s="608"/>
    </row>
    <row r="9" ht="15" x14ac:dyDescent="0.25">
      <c r="B9" s="587"/>
      <c r="C9" s="495">
        <f t="shared" ref="C9:C56" si="0">C8+1</f>
        <v>3</v>
      </c>
      <c r="D9" s="202" t="str">
        <f>'I. Stream &amp; Compound Data'!G113</f>
        <v>Calcium Oxide</v>
      </c>
      <c r="E9" s="1556">
        <v>0</v>
      </c>
      <c r="F9" s="190"/>
      <c r="G9" s="190"/>
      <c r="H9" s="190"/>
      <c r="I9" s="190"/>
      <c r="J9" s="190"/>
      <c r="K9" s="190"/>
      <c r="L9" s="190"/>
      <c r="M9" s="190"/>
      <c r="N9" s="190"/>
      <c r="O9" s="190"/>
      <c r="P9" s="190"/>
      <c r="Q9" s="190"/>
      <c r="R9" s="190"/>
      <c r="S9" s="190"/>
      <c r="T9" s="190"/>
      <c r="U9" s="190"/>
      <c r="V9" s="190"/>
      <c r="W9" s="190"/>
      <c r="X9" s="190"/>
      <c r="Y9" s="190"/>
      <c r="Z9" s="190"/>
      <c r="AA9" s="190"/>
      <c r="AB9" s="190"/>
      <c r="AC9" s="190"/>
      <c r="AD9" s="190"/>
      <c r="AE9" s="190"/>
      <c r="AF9" s="190"/>
      <c r="AG9" s="190"/>
      <c r="AH9" s="190"/>
      <c r="AI9" s="190"/>
      <c r="AJ9" s="190"/>
      <c r="AK9" s="190"/>
      <c r="AL9" s="190"/>
      <c r="AM9" s="190"/>
      <c r="AN9" s="190"/>
      <c r="AO9" s="190"/>
      <c r="AP9" s="190"/>
      <c r="AQ9" s="190"/>
      <c r="AR9" s="190"/>
      <c r="AS9" s="608"/>
    </row>
    <row r="10" ht="15" x14ac:dyDescent="0.25">
      <c r="B10" s="587"/>
      <c r="C10" s="495">
        <f t="shared" si="0"/>
        <v>4</v>
      </c>
      <c r="D10" s="202" t="str">
        <f>'I. Stream &amp; Compound Data'!G114</f>
        <v>Calcium Carbonate</v>
      </c>
      <c r="E10" s="1556">
        <v>0</v>
      </c>
      <c r="F10" s="190"/>
      <c r="G10" s="190"/>
      <c r="H10" s="190"/>
      <c r="I10" s="190"/>
      <c r="J10" s="190"/>
      <c r="K10" s="190"/>
      <c r="L10" s="190"/>
      <c r="M10" s="190"/>
      <c r="N10" s="190"/>
      <c r="O10" s="190"/>
      <c r="P10" s="190"/>
      <c r="Q10" s="190"/>
      <c r="R10" s="190"/>
      <c r="S10" s="190"/>
      <c r="T10" s="190"/>
      <c r="U10" s="190"/>
      <c r="V10" s="190"/>
      <c r="W10" s="190"/>
      <c r="X10" s="190"/>
      <c r="Y10" s="190"/>
      <c r="Z10" s="190"/>
      <c r="AA10" s="190"/>
      <c r="AB10" s="190"/>
      <c r="AC10" s="190"/>
      <c r="AD10" s="190"/>
      <c r="AE10" s="190"/>
      <c r="AF10" s="190"/>
      <c r="AG10" s="190"/>
      <c r="AH10" s="190"/>
      <c r="AI10" s="190"/>
      <c r="AJ10" s="190"/>
      <c r="AK10" s="190"/>
      <c r="AL10" s="190"/>
      <c r="AM10" s="190"/>
      <c r="AN10" s="190"/>
      <c r="AO10" s="190"/>
      <c r="AP10" s="190"/>
      <c r="AQ10" s="190"/>
      <c r="AR10" s="190"/>
      <c r="AS10" s="608"/>
    </row>
    <row r="11" ht="15" x14ac:dyDescent="0.25">
      <c r="B11" s="587"/>
      <c r="C11" s="495">
        <f t="shared" si="0"/>
        <v>5</v>
      </c>
      <c r="D11" s="202" t="str">
        <f>'I. Stream &amp; Compound Data'!G115</f>
        <v/>
      </c>
      <c r="E11" s="1556" t="str">
        <v/>
      </c>
      <c r="F11" s="190"/>
      <c r="G11" s="190"/>
      <c r="H11" s="190"/>
      <c r="I11" s="190"/>
      <c r="J11" s="190"/>
      <c r="K11" s="190"/>
      <c r="L11" s="190"/>
      <c r="M11" s="190"/>
      <c r="N11" s="190"/>
      <c r="O11" s="190"/>
      <c r="P11" s="190"/>
      <c r="Q11" s="190"/>
      <c r="R11" s="190"/>
      <c r="S11" s="190"/>
      <c r="T11" s="190"/>
      <c r="U11" s="190"/>
      <c r="V11" s="190"/>
      <c r="W11" s="190"/>
      <c r="X11" s="190"/>
      <c r="Y11" s="190"/>
      <c r="Z11" s="190"/>
      <c r="AA11" s="190"/>
      <c r="AB11" s="190"/>
      <c r="AC11" s="190"/>
      <c r="AD11" s="190"/>
      <c r="AE11" s="190"/>
      <c r="AF11" s="190"/>
      <c r="AG11" s="190"/>
      <c r="AH11" s="190"/>
      <c r="AI11" s="190"/>
      <c r="AJ11" s="190"/>
      <c r="AK11" s="190"/>
      <c r="AL11" s="190"/>
      <c r="AM11" s="190"/>
      <c r="AN11" s="190"/>
      <c r="AO11" s="190"/>
      <c r="AP11" s="190"/>
      <c r="AQ11" s="190"/>
      <c r="AR11" s="190"/>
      <c r="AS11" s="608"/>
    </row>
    <row r="12" ht="15" x14ac:dyDescent="0.25">
      <c r="B12" s="587"/>
      <c r="C12" s="495">
        <f t="shared" si="0"/>
        <v>6</v>
      </c>
      <c r="D12" s="202" t="str">
        <f>'I. Stream &amp; Compound Data'!G116</f>
        <v/>
      </c>
      <c r="E12" s="1556" t="str">
        <v/>
      </c>
      <c r="F12" s="190"/>
      <c r="G12" s="190"/>
      <c r="H12" s="190"/>
      <c r="I12" s="190"/>
      <c r="J12" s="190"/>
      <c r="K12" s="190"/>
      <c r="L12" s="190"/>
      <c r="M12" s="190"/>
      <c r="N12" s="190"/>
      <c r="O12" s="190"/>
      <c r="P12" s="190"/>
      <c r="Q12" s="190"/>
      <c r="R12" s="190"/>
      <c r="S12" s="190"/>
      <c r="T12" s="190"/>
      <c r="U12" s="190"/>
      <c r="V12" s="190"/>
      <c r="W12" s="190"/>
      <c r="X12" s="190"/>
      <c r="Y12" s="190"/>
      <c r="Z12" s="190"/>
      <c r="AA12" s="190"/>
      <c r="AB12" s="190"/>
      <c r="AC12" s="190"/>
      <c r="AD12" s="190"/>
      <c r="AE12" s="190"/>
      <c r="AF12" s="190"/>
      <c r="AG12" s="190"/>
      <c r="AH12" s="190"/>
      <c r="AI12" s="190"/>
      <c r="AJ12" s="190"/>
      <c r="AK12" s="190"/>
      <c r="AL12" s="190"/>
      <c r="AM12" s="190"/>
      <c r="AN12" s="190"/>
      <c r="AO12" s="190"/>
      <c r="AP12" s="190"/>
      <c r="AQ12" s="190"/>
      <c r="AR12" s="190"/>
      <c r="AS12" s="608"/>
    </row>
    <row r="13" ht="15" x14ac:dyDescent="0.25">
      <c r="B13" s="587"/>
      <c r="C13" s="495">
        <f t="shared" si="0"/>
        <v>7</v>
      </c>
      <c r="D13" s="202" t="str">
        <f>'I. Stream &amp; Compound Data'!G117</f>
        <v/>
      </c>
      <c r="E13" s="1556" t="str">
        <v/>
      </c>
      <c r="F13" s="190"/>
      <c r="G13" s="190"/>
      <c r="H13" s="190"/>
      <c r="I13" s="190"/>
      <c r="J13" s="190"/>
      <c r="K13" s="190"/>
      <c r="L13" s="190"/>
      <c r="M13" s="190"/>
      <c r="N13" s="190"/>
      <c r="O13" s="190"/>
      <c r="P13" s="190"/>
      <c r="Q13" s="190"/>
      <c r="R13" s="190"/>
      <c r="S13" s="190"/>
      <c r="T13" s="190"/>
      <c r="U13" s="190"/>
      <c r="V13" s="190"/>
      <c r="W13" s="190"/>
      <c r="X13" s="190"/>
      <c r="Y13" s="190"/>
      <c r="Z13" s="190"/>
      <c r="AA13" s="190"/>
      <c r="AB13" s="190"/>
      <c r="AC13" s="190"/>
      <c r="AD13" s="190"/>
      <c r="AE13" s="190"/>
      <c r="AF13" s="190"/>
      <c r="AG13" s="190"/>
      <c r="AH13" s="190"/>
      <c r="AI13" s="190"/>
      <c r="AJ13" s="190"/>
      <c r="AK13" s="190"/>
      <c r="AL13" s="190"/>
      <c r="AM13" s="190"/>
      <c r="AN13" s="190"/>
      <c r="AO13" s="190"/>
      <c r="AP13" s="190"/>
      <c r="AQ13" s="190"/>
      <c r="AR13" s="190"/>
      <c r="AS13" s="608"/>
    </row>
    <row r="14" ht="15" x14ac:dyDescent="0.25">
      <c r="B14" s="587"/>
      <c r="C14" s="495">
        <f t="shared" si="0"/>
        <v>8</v>
      </c>
      <c r="D14" s="202" t="str">
        <f>'I. Stream &amp; Compound Data'!G118</f>
        <v/>
      </c>
      <c r="E14" s="1556" t="str">
        <v/>
      </c>
      <c r="F14" s="190"/>
      <c r="G14" s="190"/>
      <c r="H14" s="190"/>
      <c r="I14" s="190"/>
      <c r="J14" s="190"/>
      <c r="K14" s="190"/>
      <c r="L14" s="190"/>
      <c r="M14" s="190"/>
      <c r="N14" s="190"/>
      <c r="O14" s="190"/>
      <c r="P14" s="190"/>
      <c r="Q14" s="190"/>
      <c r="R14" s="190"/>
      <c r="S14" s="190"/>
      <c r="T14" s="190"/>
      <c r="U14" s="190"/>
      <c r="V14" s="190"/>
      <c r="W14" s="190"/>
      <c r="X14" s="190"/>
      <c r="Y14" s="190"/>
      <c r="Z14" s="190"/>
      <c r="AA14" s="190"/>
      <c r="AB14" s="190"/>
      <c r="AC14" s="190"/>
      <c r="AD14" s="190"/>
      <c r="AE14" s="190"/>
      <c r="AF14" s="190"/>
      <c r="AG14" s="190"/>
      <c r="AH14" s="190"/>
      <c r="AI14" s="190"/>
      <c r="AJ14" s="190"/>
      <c r="AK14" s="190"/>
      <c r="AL14" s="190"/>
      <c r="AM14" s="190"/>
      <c r="AN14" s="190"/>
      <c r="AO14" s="190"/>
      <c r="AP14" s="190"/>
      <c r="AQ14" s="190"/>
      <c r="AR14" s="190"/>
      <c r="AS14" s="608"/>
    </row>
    <row r="15" ht="15" x14ac:dyDescent="0.25">
      <c r="B15" s="587"/>
      <c r="C15" s="495">
        <f t="shared" si="0"/>
        <v>9</v>
      </c>
      <c r="D15" s="202" t="str">
        <f>'I. Stream &amp; Compound Data'!G119</f>
        <v/>
      </c>
      <c r="E15" s="262" t="str">
        <v/>
      </c>
      <c r="F15" s="190"/>
      <c r="G15" s="190"/>
      <c r="H15" s="190"/>
      <c r="I15" s="190"/>
      <c r="J15" s="190"/>
      <c r="K15" s="190"/>
      <c r="L15" s="190"/>
      <c r="M15" s="190"/>
      <c r="N15" s="190"/>
      <c r="O15" s="190"/>
      <c r="P15" s="190"/>
      <c r="Q15" s="190"/>
      <c r="R15" s="190"/>
      <c r="S15" s="190"/>
      <c r="T15" s="190"/>
      <c r="U15" s="190"/>
      <c r="V15" s="190"/>
      <c r="W15" s="190"/>
      <c r="X15" s="190"/>
      <c r="Y15" s="190"/>
      <c r="Z15" s="190"/>
      <c r="AA15" s="190"/>
      <c r="AB15" s="190"/>
      <c r="AC15" s="190"/>
      <c r="AD15" s="190"/>
      <c r="AE15" s="190"/>
      <c r="AF15" s="190"/>
      <c r="AG15" s="190"/>
      <c r="AH15" s="190"/>
      <c r="AI15" s="190"/>
      <c r="AJ15" s="190"/>
      <c r="AK15" s="190"/>
      <c r="AL15" s="190"/>
      <c r="AM15" s="190"/>
      <c r="AN15" s="190"/>
      <c r="AO15" s="190"/>
      <c r="AP15" s="190"/>
      <c r="AQ15" s="190"/>
      <c r="AR15" s="190"/>
      <c r="AS15" s="608"/>
    </row>
    <row r="16" ht="15" x14ac:dyDescent="0.25">
      <c r="B16" s="587"/>
      <c r="C16" s="495">
        <f t="shared" si="0"/>
        <v>10</v>
      </c>
      <c r="D16" s="202" t="str">
        <f>'I. Stream &amp; Compound Data'!G120</f>
        <v/>
      </c>
      <c r="E16" s="262" t="str">
        <v/>
      </c>
      <c r="F16" s="190"/>
      <c r="G16" s="190"/>
      <c r="H16" s="190"/>
      <c r="I16" s="190"/>
      <c r="J16" s="190"/>
      <c r="K16" s="190"/>
      <c r="L16" s="190"/>
      <c r="M16" s="190"/>
      <c r="N16" s="190"/>
      <c r="O16" s="190"/>
      <c r="P16" s="570" t="str">
        <f>IF(P11="","",SUMPRODUCT('I. Stream &amp; Compound Data'!AL32:AL81,S°_MJ_kg_K_1atm_25°C))</f>
        <v/>
      </c>
      <c r="Q16" s="570" t="str">
        <f>IF(Q11="","",SUMPRODUCT('I. Stream &amp; Compound Data'!AO32:AO81,S°_MJ_kg_K_1atm_25°C))</f>
        <v/>
      </c>
      <c r="R16" s="570" t="str">
        <f>IF(R11="","",SUMPRODUCT('I. Stream &amp; Compound Data'!AR32:AR81,S°_MJ_kg_K_1atm_25°C))</f>
        <v/>
      </c>
      <c r="S16" s="570" t="str">
        <f>IF(S11="","",SUMPRODUCT('I. Stream &amp; Compound Data'!AU32:AU81,S°_MJ_kg_K_1atm_25°C))</f>
        <v/>
      </c>
      <c r="T16" s="570" t="str">
        <f>IF(T11="","",SUMPRODUCT('I. Stream &amp; Compound Data'!AX32:AX81,S°_MJ_kg_K_1atm_25°C))</f>
        <v/>
      </c>
      <c r="U16" s="570" t="str">
        <f>IF(U11="","",SUMPRODUCT('I. Stream &amp; Compound Data'!BA32:BA81,S°_MJ_kg_K_1atm_25°C))</f>
        <v/>
      </c>
      <c r="V16" s="570" t="str">
        <f>IF(V11="","",SUMPRODUCT('I. Stream &amp; Compound Data'!BD32:BD81,S°_MJ_kg_K_1atm_25°C))</f>
        <v/>
      </c>
      <c r="W16" s="570" t="str">
        <f>IF(W11="","",SUMPRODUCT('I. Stream &amp; Compound Data'!BG32:BG81,S°_MJ_kg_K_1atm_25°C))</f>
        <v/>
      </c>
      <c r="X16" s="570" t="str">
        <f>IF(X11="","",SUMPRODUCT('I. Stream &amp; Compound Data'!BJ32:BJ81,S°_MJ_kg_K_1atm_25°C))</f>
        <v/>
      </c>
      <c r="Y16" s="570" t="str">
        <f>IF(Y11="","",SUMPRODUCT('I. Stream &amp; Compound Data'!BM32:BM81,S°_MJ_kg_K_1atm_25°C))</f>
        <v/>
      </c>
      <c r="Z16" s="570" t="str">
        <f>IF(Z11="","",SUMPRODUCT('I. Stream &amp; Compound Data'!BP32:BP81,S°_MJ_kg_K_1atm_25°C))</f>
        <v/>
      </c>
      <c r="AA16" s="570" t="str">
        <f>IF(AA11="","",SUMPRODUCT('I. Stream &amp; Compound Data'!BS32:BS81,S°_MJ_kg_K_1atm_25°C))</f>
        <v/>
      </c>
      <c r="AB16" s="570" t="str">
        <f>IF(AB11="","",SUMPRODUCT('I. Stream &amp; Compound Data'!BV32:BV81,S°_MJ_kg_K_1atm_25°C))</f>
        <v/>
      </c>
      <c r="AC16" s="570" t="str">
        <f>IF(AC11="","",SUMPRODUCT('I. Stream &amp; Compound Data'!BY32:BY81,S°_MJ_kg_K_1atm_25°C))</f>
        <v/>
      </c>
      <c r="AD16" s="570" t="str">
        <f>IF(AD11="","",SUMPRODUCT('I. Stream &amp; Compound Data'!CB32:CB81,S°_MJ_kg_K_1atm_25°C))</f>
        <v/>
      </c>
      <c r="AE16" s="570" t="str">
        <f>IF(AE11="","",SUMPRODUCT('I. Stream &amp; Compound Data'!CE32:CE81,S°_MJ_kg_K_1atm_25°C))</f>
        <v/>
      </c>
      <c r="AF16" s="570" t="str">
        <f>IF(AF11="","",SUMPRODUCT('I. Stream &amp; Compound Data'!CH32:CH81,S°_MJ_kg_K_1atm_25°C))</f>
        <v/>
      </c>
      <c r="AG16" s="570" t="str">
        <f>IF(AG11="","",SUMPRODUCT('I. Stream &amp; Compound Data'!CK32:CK81,S°_MJ_kg_K_1atm_25°C))</f>
        <v/>
      </c>
      <c r="AH16" s="570" t="str">
        <f>IF(AH11="","",SUMPRODUCT('I. Stream &amp; Compound Data'!CN32:CN81,S°_MJ_kg_K_1atm_25°C))</f>
        <v/>
      </c>
      <c r="AI16" s="570" t="str">
        <f>IF(AI11="","",SUMPRODUCT('I. Stream &amp; Compound Data'!CQ32:CQ81,S°_MJ_kg_K_1atm_25°C))</f>
        <v/>
      </c>
      <c r="AJ16" s="570" t="str">
        <f>IF(AJ11="","",SUMPRODUCT('I. Stream &amp; Compound Data'!CT32:CT81,S°_MJ_kg_K_1atm_25°C))</f>
        <v/>
      </c>
      <c r="AK16" s="570" t="str">
        <f>IF(AK11="","",SUMPRODUCT('I. Stream &amp; Compound Data'!CW32:CW81,S°_MJ_kg_K_1atm_25°C))</f>
        <v/>
      </c>
      <c r="AL16" s="570" t="str">
        <f>IF(AL11="","",SUMPRODUCT('I. Stream &amp; Compound Data'!CZ32:CZ81,S°_MJ_kg_K_1atm_25°C))</f>
        <v/>
      </c>
      <c r="AM16" s="570" t="str">
        <f>IF(AM11="","",SUMPRODUCT('I. Stream &amp; Compound Data'!DC32:DC81,S°_MJ_kg_K_1atm_25°C))</f>
        <v/>
      </c>
      <c r="AN16" s="570" t="str">
        <f>IF(AN11="","",SUMPRODUCT('I. Stream &amp; Compound Data'!DF32:DF81,S°_MJ_kg_K_1atm_25°C))</f>
        <v/>
      </c>
      <c r="AO16" s="570" t="str">
        <f>IF(AO11="","",SUMPRODUCT('I. Stream &amp; Compound Data'!DI32:DI81,S°_MJ_kg_K_1atm_25°C))</f>
        <v/>
      </c>
      <c r="AP16" s="570" t="str">
        <f>IF(AP11="","",SUMPRODUCT('I. Stream &amp; Compound Data'!DL32:DL81,S°_MJ_kg_K_1atm_25°C))</f>
        <v/>
      </c>
      <c r="AQ16" s="570" t="str">
        <f>IF(AQ11="","",SUMPRODUCT('I. Stream &amp; Compound Data'!DO32:DO81,S°_MJ_kg_K_1atm_25°C))</f>
        <v/>
      </c>
      <c r="AR16" s="570" t="str">
        <f>IF(AR11="","",SUMPRODUCT('I. Stream &amp; Compound Data'!DR32:DR81,S°_MJ_kg_K_1atm_25°C))</f>
        <v/>
      </c>
      <c r="AS16" s="588" t="str">
        <f>IF(AS11="","",SUMPRODUCT('I. Stream &amp; Compound Data'!DU32:DU81,S°_MJ_kg_K_1atm_25°C))</f>
        <v/>
      </c>
    </row>
    <row r="17" ht="15" x14ac:dyDescent="0.25">
      <c r="B17" s="587"/>
      <c r="C17" s="495">
        <f t="shared" si="0"/>
        <v>11</v>
      </c>
      <c r="D17" s="202" t="str">
        <f>'I. Stream &amp; Compound Data'!G121</f>
        <v/>
      </c>
      <c r="E17" s="262" t="str">
        <v/>
      </c>
      <c r="F17" s="190"/>
      <c r="G17" s="190"/>
      <c r="H17" s="190"/>
      <c r="I17" s="190"/>
      <c r="J17" s="190"/>
      <c r="K17" s="190"/>
      <c r="L17" s="190"/>
      <c r="M17" s="190"/>
      <c r="N17" s="190"/>
      <c r="O17" s="190"/>
      <c r="P17" s="190"/>
      <c r="Q17" s="190"/>
      <c r="R17" s="190"/>
      <c r="S17" s="190"/>
      <c r="T17" s="190"/>
      <c r="U17" s="190"/>
      <c r="V17" s="190"/>
      <c r="W17" s="190"/>
      <c r="X17" s="190"/>
      <c r="Y17" s="190"/>
      <c r="Z17" s="190"/>
      <c r="AA17" s="190"/>
      <c r="AB17" s="190"/>
      <c r="AC17" s="190"/>
      <c r="AD17" s="190"/>
      <c r="AE17" s="190"/>
      <c r="AF17" s="190"/>
      <c r="AG17" s="190"/>
      <c r="AH17" s="190"/>
      <c r="AI17" s="190"/>
      <c r="AJ17" s="190"/>
      <c r="AK17" s="190"/>
      <c r="AL17" s="190"/>
      <c r="AM17" s="190"/>
      <c r="AN17" s="190"/>
      <c r="AO17" s="190"/>
      <c r="AP17" s="190"/>
      <c r="AQ17" s="190"/>
      <c r="AR17" s="190"/>
      <c r="AS17" s="608"/>
    </row>
    <row r="18" ht="15" x14ac:dyDescent="0.25">
      <c r="B18" s="587"/>
      <c r="C18" s="495">
        <f t="shared" si="0"/>
        <v>12</v>
      </c>
      <c r="D18" s="202" t="str">
        <f>'I. Stream &amp; Compound Data'!G122</f>
        <v/>
      </c>
      <c r="E18" s="262" t="str">
        <v/>
      </c>
      <c r="F18" s="190"/>
      <c r="G18" s="190"/>
      <c r="H18" s="190"/>
      <c r="I18" s="190"/>
      <c r="J18" s="190"/>
      <c r="K18" s="190"/>
      <c r="L18" s="190"/>
      <c r="M18" s="190"/>
      <c r="N18" s="190"/>
      <c r="O18" s="190"/>
      <c r="P18" s="190"/>
      <c r="Q18" s="190"/>
      <c r="R18" s="190"/>
      <c r="S18" s="190"/>
      <c r="T18" s="190"/>
      <c r="U18" s="190"/>
      <c r="V18" s="190"/>
      <c r="W18" s="190"/>
      <c r="X18" s="190"/>
      <c r="Y18" s="190"/>
      <c r="Z18" s="190"/>
      <c r="AA18" s="190"/>
      <c r="AB18" s="190"/>
      <c r="AC18" s="190"/>
      <c r="AD18" s="190"/>
      <c r="AE18" s="190"/>
      <c r="AF18" s="190"/>
      <c r="AG18" s="190"/>
      <c r="AH18" s="190"/>
      <c r="AI18" s="190"/>
      <c r="AJ18" s="190"/>
      <c r="AK18" s="190"/>
      <c r="AL18" s="190"/>
      <c r="AM18" s="190"/>
      <c r="AN18" s="190"/>
      <c r="AO18" s="190"/>
      <c r="AP18" s="190"/>
      <c r="AQ18" s="190"/>
      <c r="AR18" s="190"/>
      <c r="AS18" s="608"/>
    </row>
    <row r="19" ht="15" x14ac:dyDescent="0.25">
      <c r="B19" s="587"/>
      <c r="C19" s="495">
        <f t="shared" si="0"/>
        <v>13</v>
      </c>
      <c r="D19" s="202" t="str">
        <f>'I. Stream &amp; Compound Data'!G123</f>
        <v/>
      </c>
      <c r="E19" s="262" t="str">
        <v/>
      </c>
      <c r="F19" s="190"/>
      <c r="G19" s="190"/>
      <c r="H19" s="190"/>
      <c r="I19" s="190"/>
      <c r="J19" s="190"/>
      <c r="K19" s="190"/>
      <c r="L19" s="190"/>
      <c r="M19" s="190"/>
      <c r="N19" s="190"/>
      <c r="O19" s="190"/>
      <c r="P19" s="190"/>
      <c r="Q19" s="190"/>
      <c r="R19" s="190"/>
      <c r="S19" s="190"/>
      <c r="T19" s="190"/>
      <c r="U19" s="190"/>
      <c r="V19" s="190"/>
      <c r="W19" s="190"/>
      <c r="X19" s="190"/>
      <c r="Y19" s="190"/>
      <c r="Z19" s="190"/>
      <c r="AA19" s="190"/>
      <c r="AB19" s="190"/>
      <c r="AC19" s="190"/>
      <c r="AD19" s="190"/>
      <c r="AE19" s="190"/>
      <c r="AF19" s="190"/>
      <c r="AG19" s="190"/>
      <c r="AH19" s="190"/>
      <c r="AI19" s="190"/>
      <c r="AJ19" s="190"/>
      <c r="AK19" s="190"/>
      <c r="AL19" s="190"/>
      <c r="AM19" s="190"/>
      <c r="AN19" s="190"/>
      <c r="AO19" s="190"/>
      <c r="AP19" s="190"/>
      <c r="AQ19" s="190"/>
      <c r="AR19" s="190"/>
      <c r="AS19" s="608"/>
    </row>
    <row r="20" ht="15" x14ac:dyDescent="0.25">
      <c r="B20" s="587"/>
      <c r="C20" s="495">
        <f t="shared" si="0"/>
        <v>14</v>
      </c>
      <c r="D20" s="202" t="str">
        <f>'I. Stream &amp; Compound Data'!G124</f>
        <v/>
      </c>
      <c r="E20" s="262" t="str">
        <v/>
      </c>
      <c r="F20" s="190"/>
      <c r="G20" s="190"/>
      <c r="H20" s="190"/>
      <c r="I20" s="190"/>
      <c r="J20" s="190"/>
      <c r="K20" s="190"/>
      <c r="L20" s="190"/>
      <c r="M20" s="190"/>
      <c r="N20" s="190"/>
      <c r="O20" s="190"/>
      <c r="P20" s="190"/>
      <c r="Q20" s="190"/>
      <c r="R20" s="190"/>
      <c r="S20" s="190"/>
      <c r="T20" s="190"/>
      <c r="U20" s="190"/>
      <c r="V20" s="190"/>
      <c r="W20" s="190"/>
      <c r="X20" s="190"/>
      <c r="Y20" s="190"/>
      <c r="Z20" s="190"/>
      <c r="AA20" s="190"/>
      <c r="AB20" s="190"/>
      <c r="AC20" s="190"/>
      <c r="AD20" s="190"/>
      <c r="AE20" s="190"/>
      <c r="AF20" s="190"/>
      <c r="AG20" s="190"/>
      <c r="AH20" s="190"/>
      <c r="AI20" s="190"/>
      <c r="AJ20" s="190"/>
      <c r="AK20" s="190"/>
      <c r="AL20" s="190"/>
      <c r="AM20" s="190"/>
      <c r="AN20" s="190"/>
      <c r="AO20" s="190"/>
      <c r="AP20" s="190"/>
      <c r="AQ20" s="190"/>
      <c r="AR20" s="190"/>
      <c r="AS20" s="608"/>
    </row>
    <row r="21" ht="15" x14ac:dyDescent="0.25">
      <c r="B21" s="587"/>
      <c r="C21" s="495">
        <f t="shared" si="0"/>
        <v>15</v>
      </c>
      <c r="D21" s="202" t="str">
        <f>'I. Stream &amp; Compound Data'!G125</f>
        <v/>
      </c>
      <c r="E21" s="262" t="str">
        <v/>
      </c>
      <c r="F21" s="190"/>
      <c r="G21" s="190"/>
      <c r="H21" s="190"/>
      <c r="I21" s="190"/>
      <c r="J21" s="190"/>
      <c r="K21" s="190"/>
      <c r="L21" s="190"/>
      <c r="M21" s="190"/>
      <c r="N21" s="190"/>
      <c r="O21" s="190"/>
      <c r="P21" s="190"/>
      <c r="Q21" s="190"/>
      <c r="R21" s="190"/>
      <c r="S21" s="190"/>
      <c r="T21" s="190"/>
      <c r="U21" s="190"/>
      <c r="V21" s="190"/>
      <c r="W21" s="190"/>
      <c r="X21" s="190"/>
      <c r="Y21" s="190"/>
      <c r="Z21" s="190"/>
      <c r="AA21" s="190"/>
      <c r="AB21" s="190"/>
      <c r="AC21" s="190"/>
      <c r="AD21" s="190"/>
      <c r="AE21" s="190"/>
      <c r="AF21" s="190"/>
      <c r="AG21" s="190"/>
      <c r="AH21" s="190"/>
      <c r="AI21" s="190"/>
      <c r="AJ21" s="190"/>
      <c r="AK21" s="190"/>
      <c r="AL21" s="190"/>
      <c r="AM21" s="190"/>
      <c r="AN21" s="190"/>
      <c r="AO21" s="190"/>
      <c r="AP21" s="190"/>
      <c r="AQ21" s="190"/>
      <c r="AR21" s="190"/>
      <c r="AS21" s="608"/>
    </row>
    <row r="22" ht="15" x14ac:dyDescent="0.25">
      <c r="B22" s="587"/>
      <c r="C22" s="495">
        <f t="shared" si="0"/>
        <v>16</v>
      </c>
      <c r="D22" s="202" t="str">
        <f>'I. Stream &amp; Compound Data'!G126</f>
        <v/>
      </c>
      <c r="E22" s="262" t="str">
        <v/>
      </c>
      <c r="F22" s="190"/>
      <c r="G22" s="190"/>
      <c r="H22" s="190"/>
      <c r="I22" s="190"/>
      <c r="J22" s="190"/>
      <c r="K22" s="190"/>
      <c r="L22" s="190"/>
      <c r="M22" s="190"/>
      <c r="N22" s="190"/>
      <c r="O22" s="190"/>
      <c r="P22" s="190"/>
      <c r="Q22" s="190"/>
      <c r="R22" s="190"/>
      <c r="S22" s="190"/>
      <c r="T22" s="190"/>
      <c r="U22" s="190"/>
      <c r="V22" s="190"/>
      <c r="W22" s="190"/>
      <c r="X22" s="190"/>
      <c r="Y22" s="190"/>
      <c r="Z22" s="190"/>
      <c r="AA22" s="190"/>
      <c r="AB22" s="190"/>
      <c r="AC22" s="190"/>
      <c r="AD22" s="190"/>
      <c r="AE22" s="190"/>
      <c r="AF22" s="190"/>
      <c r="AG22" s="190"/>
      <c r="AH22" s="190"/>
      <c r="AI22" s="190"/>
      <c r="AJ22" s="190"/>
      <c r="AK22" s="190"/>
      <c r="AL22" s="190"/>
      <c r="AM22" s="190"/>
      <c r="AN22" s="190"/>
      <c r="AO22" s="190"/>
      <c r="AP22" s="190"/>
      <c r="AQ22" s="190"/>
      <c r="AR22" s="190"/>
      <c r="AS22" s="608"/>
    </row>
    <row r="23" ht="15" x14ac:dyDescent="0.25">
      <c r="B23" s="587"/>
      <c r="C23" s="495">
        <f t="shared" si="0"/>
        <v>17</v>
      </c>
      <c r="D23" s="202" t="str">
        <f>'I. Stream &amp; Compound Data'!G127</f>
        <v/>
      </c>
      <c r="E23" s="262" t="str">
        <v/>
      </c>
      <c r="F23" s="190"/>
      <c r="G23" s="190"/>
      <c r="H23" s="190"/>
      <c r="I23" s="190"/>
      <c r="J23" s="190"/>
      <c r="K23" s="190"/>
      <c r="L23" s="190"/>
      <c r="M23" s="190"/>
      <c r="N23" s="190"/>
      <c r="O23" s="190"/>
      <c r="P23" s="190"/>
      <c r="Q23" s="190"/>
      <c r="R23" s="190"/>
      <c r="S23" s="190"/>
      <c r="T23" s="190"/>
      <c r="U23" s="190"/>
      <c r="V23" s="190"/>
      <c r="W23" s="190"/>
      <c r="X23" s="190"/>
      <c r="Y23" s="190"/>
      <c r="Z23" s="190"/>
      <c r="AA23" s="190"/>
      <c r="AB23" s="190"/>
      <c r="AC23" s="190"/>
      <c r="AD23" s="190"/>
      <c r="AE23" s="190"/>
      <c r="AF23" s="190"/>
      <c r="AG23" s="190"/>
      <c r="AH23" s="190"/>
      <c r="AI23" s="190"/>
      <c r="AJ23" s="190"/>
      <c r="AK23" s="190"/>
      <c r="AL23" s="190"/>
      <c r="AM23" s="190"/>
      <c r="AN23" s="190"/>
      <c r="AO23" s="190"/>
      <c r="AP23" s="190"/>
      <c r="AQ23" s="190"/>
      <c r="AR23" s="190"/>
      <c r="AS23" s="608"/>
    </row>
    <row r="24" ht="15" x14ac:dyDescent="0.25">
      <c r="B24" s="587"/>
      <c r="C24" s="495">
        <f t="shared" si="0"/>
        <v>18</v>
      </c>
      <c r="D24" s="202" t="str">
        <f>'I. Stream &amp; Compound Data'!G128</f>
        <v/>
      </c>
      <c r="E24" s="262" t="str">
        <v/>
      </c>
      <c r="F24" s="190"/>
      <c r="G24" s="190"/>
      <c r="H24" s="190"/>
      <c r="I24" s="190"/>
      <c r="J24" s="190"/>
      <c r="K24" s="190"/>
      <c r="L24" s="190"/>
      <c r="M24" s="190"/>
      <c r="N24" s="190"/>
      <c r="O24" s="190"/>
      <c r="P24" s="190"/>
      <c r="Q24" s="190"/>
      <c r="R24" s="190"/>
      <c r="S24" s="190"/>
      <c r="T24" s="190"/>
      <c r="U24" s="190"/>
      <c r="V24" s="190"/>
      <c r="W24" s="190"/>
      <c r="X24" s="190"/>
      <c r="Y24" s="190"/>
      <c r="Z24" s="190"/>
      <c r="AA24" s="190"/>
      <c r="AB24" s="190"/>
      <c r="AC24" s="190"/>
      <c r="AD24" s="190"/>
      <c r="AE24" s="190"/>
      <c r="AF24" s="190"/>
      <c r="AG24" s="190"/>
      <c r="AH24" s="190"/>
      <c r="AI24" s="190"/>
      <c r="AJ24" s="190"/>
      <c r="AK24" s="190"/>
      <c r="AL24" s="190"/>
      <c r="AM24" s="190"/>
      <c r="AN24" s="190"/>
      <c r="AO24" s="190"/>
      <c r="AP24" s="190"/>
      <c r="AQ24" s="190"/>
      <c r="AR24" s="190"/>
      <c r="AS24" s="608"/>
    </row>
    <row r="25" ht="15" x14ac:dyDescent="0.25">
      <c r="B25" s="587"/>
      <c r="C25" s="495">
        <f t="shared" si="0"/>
        <v>19</v>
      </c>
      <c r="D25" s="202" t="str">
        <f>'I. Stream &amp; Compound Data'!G129</f>
        <v/>
      </c>
      <c r="E25" s="262" t="str">
        <v/>
      </c>
      <c r="F25" s="190"/>
      <c r="G25" s="190"/>
      <c r="H25" s="190"/>
      <c r="I25" s="190"/>
      <c r="J25" s="190"/>
      <c r="K25" s="190"/>
      <c r="L25" s="190"/>
      <c r="M25" s="190"/>
      <c r="N25" s="190"/>
      <c r="O25" s="190"/>
      <c r="P25" s="190"/>
      <c r="Q25" s="190"/>
      <c r="R25" s="190"/>
      <c r="S25" s="190"/>
      <c r="T25" s="190"/>
      <c r="U25" s="190"/>
      <c r="V25" s="190"/>
      <c r="W25" s="190"/>
      <c r="X25" s="190"/>
      <c r="Y25" s="190"/>
      <c r="Z25" s="190"/>
      <c r="AA25" s="190"/>
      <c r="AB25" s="190"/>
      <c r="AC25" s="190"/>
      <c r="AD25" s="190"/>
      <c r="AE25" s="190"/>
      <c r="AF25" s="190"/>
      <c r="AG25" s="190"/>
      <c r="AH25" s="190"/>
      <c r="AI25" s="190"/>
      <c r="AJ25" s="190"/>
      <c r="AK25" s="190"/>
      <c r="AL25" s="190"/>
      <c r="AM25" s="190"/>
      <c r="AN25" s="190"/>
      <c r="AO25" s="190"/>
      <c r="AP25" s="190"/>
      <c r="AQ25" s="190"/>
      <c r="AR25" s="190"/>
      <c r="AS25" s="608"/>
    </row>
    <row r="26" ht="15" x14ac:dyDescent="0.25">
      <c r="B26" s="587"/>
      <c r="C26" s="495">
        <f t="shared" si="0"/>
        <v>20</v>
      </c>
      <c r="D26" s="202" t="str">
        <f>'I. Stream &amp; Compound Data'!G130</f>
        <v/>
      </c>
      <c r="E26" s="262" t="str">
        <v/>
      </c>
      <c r="F26" s="190"/>
      <c r="G26" s="190"/>
      <c r="H26" s="190"/>
      <c r="I26" s="190"/>
      <c r="J26" s="190"/>
      <c r="K26" s="190"/>
      <c r="L26" s="190"/>
      <c r="M26" s="190"/>
      <c r="N26" s="190"/>
      <c r="O26" s="190"/>
      <c r="P26" s="190"/>
      <c r="Q26" s="190"/>
      <c r="R26" s="190"/>
      <c r="S26" s="190"/>
      <c r="T26" s="190"/>
      <c r="U26" s="190"/>
      <c r="V26" s="190"/>
      <c r="W26" s="190"/>
      <c r="X26" s="190"/>
      <c r="Y26" s="190"/>
      <c r="Z26" s="190"/>
      <c r="AA26" s="190"/>
      <c r="AB26" s="190"/>
      <c r="AC26" s="190"/>
      <c r="AD26" s="190"/>
      <c r="AE26" s="190"/>
      <c r="AF26" s="190"/>
      <c r="AG26" s="190"/>
      <c r="AH26" s="190"/>
      <c r="AI26" s="190"/>
      <c r="AJ26" s="190"/>
      <c r="AK26" s="190"/>
      <c r="AL26" s="190"/>
      <c r="AM26" s="190"/>
      <c r="AN26" s="190"/>
      <c r="AO26" s="190"/>
      <c r="AP26" s="190"/>
      <c r="AQ26" s="190"/>
      <c r="AR26" s="190"/>
      <c r="AS26" s="608"/>
    </row>
    <row r="27" ht="15" x14ac:dyDescent="0.25">
      <c r="B27" s="587"/>
      <c r="C27" s="495">
        <f t="shared" si="0"/>
        <v>21</v>
      </c>
      <c r="D27" s="202" t="str">
        <f>'I. Stream &amp; Compound Data'!G131</f>
        <v/>
      </c>
      <c r="E27" s="262" t="str">
        <v/>
      </c>
      <c r="F27" s="190"/>
      <c r="G27" s="190"/>
      <c r="H27" s="190"/>
      <c r="I27" s="190"/>
      <c r="J27" s="190"/>
      <c r="K27" s="190"/>
      <c r="L27" s="190"/>
      <c r="M27" s="190"/>
      <c r="N27" s="190"/>
      <c r="O27" s="190"/>
      <c r="P27" s="190"/>
      <c r="Q27" s="190"/>
      <c r="R27" s="190"/>
      <c r="S27" s="190"/>
      <c r="T27" s="190"/>
      <c r="U27" s="190"/>
      <c r="V27" s="190"/>
      <c r="W27" s="190"/>
      <c r="X27" s="190"/>
      <c r="Y27" s="190"/>
      <c r="Z27" s="190"/>
      <c r="AA27" s="190"/>
      <c r="AB27" s="190"/>
      <c r="AC27" s="190"/>
      <c r="AD27" s="190"/>
      <c r="AE27" s="190"/>
      <c r="AF27" s="190"/>
      <c r="AG27" s="190"/>
      <c r="AH27" s="190"/>
      <c r="AI27" s="190"/>
      <c r="AJ27" s="190"/>
      <c r="AK27" s="190"/>
      <c r="AL27" s="190"/>
      <c r="AM27" s="190"/>
      <c r="AN27" s="190"/>
      <c r="AO27" s="190"/>
      <c r="AP27" s="190"/>
      <c r="AQ27" s="190"/>
      <c r="AR27" s="190"/>
      <c r="AS27" s="608"/>
    </row>
    <row r="28" ht="15" x14ac:dyDescent="0.25">
      <c r="B28" s="587"/>
      <c r="C28" s="495">
        <f t="shared" si="0"/>
        <v>22</v>
      </c>
      <c r="D28" s="202" t="str">
        <f>'I. Stream &amp; Compound Data'!G132</f>
        <v/>
      </c>
      <c r="E28" s="262" t="str">
        <v/>
      </c>
      <c r="F28" s="190"/>
      <c r="G28" s="190"/>
      <c r="H28" s="190"/>
      <c r="I28" s="190"/>
      <c r="J28" s="190"/>
      <c r="K28" s="190"/>
      <c r="L28" s="190"/>
      <c r="M28" s="190"/>
      <c r="N28" s="190"/>
      <c r="O28" s="190"/>
      <c r="P28" s="190"/>
      <c r="Q28" s="190"/>
      <c r="R28" s="190"/>
      <c r="S28" s="190"/>
      <c r="T28" s="190"/>
      <c r="U28" s="190"/>
      <c r="V28" s="190"/>
      <c r="W28" s="190"/>
      <c r="X28" s="190"/>
      <c r="Y28" s="190"/>
      <c r="Z28" s="190"/>
      <c r="AA28" s="190"/>
      <c r="AB28" s="190"/>
      <c r="AC28" s="190"/>
      <c r="AD28" s="190"/>
      <c r="AE28" s="190"/>
      <c r="AF28" s="190"/>
      <c r="AG28" s="190"/>
      <c r="AH28" s="190"/>
      <c r="AI28" s="190"/>
      <c r="AJ28" s="190"/>
      <c r="AK28" s="190"/>
      <c r="AL28" s="190"/>
      <c r="AM28" s="190"/>
      <c r="AN28" s="190"/>
      <c r="AO28" s="190"/>
      <c r="AP28" s="190"/>
      <c r="AQ28" s="190"/>
      <c r="AR28" s="190"/>
      <c r="AS28" s="608"/>
    </row>
    <row r="29" ht="15" x14ac:dyDescent="0.25">
      <c r="B29" s="587"/>
      <c r="C29" s="495">
        <f t="shared" si="0"/>
        <v>23</v>
      </c>
      <c r="D29" s="202" t="str">
        <f>'I. Stream &amp; Compound Data'!G133</f>
        <v/>
      </c>
      <c r="E29" s="262" t="str">
        <v/>
      </c>
      <c r="F29" s="190"/>
      <c r="G29" s="190"/>
      <c r="H29" s="190"/>
      <c r="I29" s="190"/>
      <c r="J29" s="190"/>
      <c r="K29" s="190"/>
      <c r="L29" s="190"/>
      <c r="M29" s="190"/>
      <c r="N29" s="190"/>
      <c r="O29" s="190"/>
      <c r="P29" s="190"/>
      <c r="Q29" s="190"/>
      <c r="R29" s="190"/>
      <c r="S29" s="190"/>
      <c r="T29" s="190"/>
      <c r="U29" s="190"/>
      <c r="V29" s="190"/>
      <c r="W29" s="190"/>
      <c r="X29" s="190"/>
      <c r="Y29" s="190"/>
      <c r="Z29" s="190"/>
      <c r="AA29" s="190"/>
      <c r="AB29" s="190"/>
      <c r="AC29" s="190"/>
      <c r="AD29" s="190"/>
      <c r="AE29" s="190"/>
      <c r="AF29" s="190"/>
      <c r="AG29" s="190"/>
      <c r="AH29" s="190"/>
      <c r="AI29" s="190"/>
      <c r="AJ29" s="190"/>
      <c r="AK29" s="190"/>
      <c r="AL29" s="190"/>
      <c r="AM29" s="190"/>
      <c r="AN29" s="190"/>
      <c r="AO29" s="190"/>
      <c r="AP29" s="190"/>
      <c r="AQ29" s="190"/>
      <c r="AR29" s="190"/>
      <c r="AS29" s="608"/>
    </row>
    <row r="30" ht="15" x14ac:dyDescent="0.25">
      <c r="B30" s="587"/>
      <c r="C30" s="495">
        <f t="shared" si="0"/>
        <v>24</v>
      </c>
      <c r="D30" s="202" t="str">
        <f>'I. Stream &amp; Compound Data'!G134</f>
        <v/>
      </c>
      <c r="E30" s="262" t="str">
        <v/>
      </c>
      <c r="F30" s="190"/>
      <c r="G30" s="190"/>
      <c r="H30" s="190"/>
      <c r="I30" s="190"/>
      <c r="J30" s="190"/>
      <c r="K30" s="190"/>
      <c r="L30" s="190"/>
      <c r="M30" s="190"/>
      <c r="N30" s="190"/>
      <c r="O30" s="190"/>
      <c r="P30" s="190"/>
      <c r="Q30" s="190"/>
      <c r="R30" s="190"/>
      <c r="S30" s="190"/>
      <c r="T30" s="190"/>
      <c r="U30" s="190"/>
      <c r="V30" s="190"/>
      <c r="W30" s="190"/>
      <c r="X30" s="190"/>
      <c r="Y30" s="190"/>
      <c r="Z30" s="190"/>
      <c r="AA30" s="190"/>
      <c r="AB30" s="190"/>
      <c r="AC30" s="190"/>
      <c r="AD30" s="190"/>
      <c r="AE30" s="190"/>
      <c r="AF30" s="190"/>
      <c r="AG30" s="190"/>
      <c r="AH30" s="190"/>
      <c r="AI30" s="190"/>
      <c r="AJ30" s="190"/>
      <c r="AK30" s="190"/>
      <c r="AL30" s="190"/>
      <c r="AM30" s="190"/>
      <c r="AN30" s="190"/>
      <c r="AO30" s="190"/>
      <c r="AP30" s="190"/>
      <c r="AQ30" s="190"/>
      <c r="AR30" s="190"/>
      <c r="AS30" s="608"/>
    </row>
    <row r="31" ht="15" x14ac:dyDescent="0.25">
      <c r="B31" s="587"/>
      <c r="C31" s="495">
        <f t="shared" si="0"/>
        <v>25</v>
      </c>
      <c r="D31" s="202" t="str">
        <f>'I. Stream &amp; Compound Data'!G135</f>
        <v/>
      </c>
      <c r="E31" s="262" t="str">
        <v/>
      </c>
      <c r="F31" s="190"/>
      <c r="G31" s="190"/>
      <c r="H31" s="190"/>
      <c r="I31" s="190"/>
      <c r="J31" s="190"/>
      <c r="K31" s="190"/>
      <c r="L31" s="190"/>
      <c r="M31" s="190"/>
      <c r="N31" s="190"/>
      <c r="O31" s="190"/>
      <c r="P31" s="190"/>
      <c r="Q31" s="190"/>
      <c r="R31" s="190"/>
      <c r="S31" s="190"/>
      <c r="T31" s="190"/>
      <c r="U31" s="190"/>
      <c r="V31" s="190"/>
      <c r="W31" s="190"/>
      <c r="X31" s="190"/>
      <c r="Y31" s="190"/>
      <c r="Z31" s="190"/>
      <c r="AA31" s="190"/>
      <c r="AB31" s="190"/>
      <c r="AC31" s="190"/>
      <c r="AD31" s="190"/>
      <c r="AE31" s="190"/>
      <c r="AF31" s="190"/>
      <c r="AG31" s="190"/>
      <c r="AH31" s="190"/>
      <c r="AI31" s="190"/>
      <c r="AJ31" s="190"/>
      <c r="AK31" s="190"/>
      <c r="AL31" s="190"/>
      <c r="AM31" s="190"/>
      <c r="AN31" s="190"/>
      <c r="AO31" s="190"/>
      <c r="AP31" s="190"/>
      <c r="AQ31" s="190"/>
      <c r="AR31" s="190"/>
      <c r="AS31" s="608"/>
    </row>
    <row r="32" ht="15" x14ac:dyDescent="0.25">
      <c r="B32" s="587"/>
      <c r="C32" s="495">
        <f t="shared" si="0"/>
        <v>26</v>
      </c>
      <c r="D32" s="202" t="str">
        <f>'I. Stream &amp; Compound Data'!G136</f>
        <v/>
      </c>
      <c r="E32" s="262" t="str">
        <v/>
      </c>
      <c r="F32" s="190"/>
      <c r="G32" s="190"/>
      <c r="H32" s="190"/>
      <c r="I32" s="190"/>
      <c r="J32" s="190"/>
      <c r="K32" s="190"/>
      <c r="L32" s="190"/>
      <c r="M32" s="190"/>
      <c r="N32" s="190"/>
      <c r="O32" s="190"/>
      <c r="P32" s="190"/>
      <c r="Q32" s="190"/>
      <c r="R32" s="190"/>
      <c r="S32" s="190"/>
      <c r="T32" s="190"/>
      <c r="U32" s="190"/>
      <c r="V32" s="190"/>
      <c r="W32" s="190"/>
      <c r="X32" s="190"/>
      <c r="Y32" s="190"/>
      <c r="Z32" s="190"/>
      <c r="AA32" s="190"/>
      <c r="AB32" s="190"/>
      <c r="AC32" s="190"/>
      <c r="AD32" s="190"/>
      <c r="AE32" s="190"/>
      <c r="AF32" s="190"/>
      <c r="AG32" s="190"/>
      <c r="AH32" s="190"/>
      <c r="AI32" s="190"/>
      <c r="AJ32" s="190"/>
      <c r="AK32" s="190"/>
      <c r="AL32" s="190"/>
      <c r="AM32" s="190"/>
      <c r="AN32" s="190"/>
      <c r="AO32" s="190"/>
      <c r="AP32" s="190"/>
      <c r="AQ32" s="190"/>
      <c r="AR32" s="190"/>
      <c r="AS32" s="608"/>
    </row>
    <row r="33" ht="15" x14ac:dyDescent="0.25">
      <c r="B33" s="587"/>
      <c r="C33" s="495">
        <f t="shared" si="0"/>
        <v>27</v>
      </c>
      <c r="D33" s="202" t="str">
        <f>'I. Stream &amp; Compound Data'!G137</f>
        <v/>
      </c>
      <c r="E33" s="262" t="str">
        <v/>
      </c>
      <c r="F33" s="190"/>
      <c r="G33" s="190"/>
      <c r="H33" s="190"/>
      <c r="I33" s="190"/>
      <c r="J33" s="190"/>
      <c r="K33" s="190"/>
      <c r="L33" s="190"/>
      <c r="M33" s="190"/>
      <c r="N33" s="190"/>
      <c r="O33" s="190"/>
      <c r="P33" s="190"/>
      <c r="Q33" s="190"/>
      <c r="R33" s="190"/>
      <c r="S33" s="190"/>
      <c r="T33" s="190"/>
      <c r="U33" s="190"/>
      <c r="V33" s="190"/>
      <c r="W33" s="190"/>
      <c r="X33" s="190"/>
      <c r="Y33" s="190"/>
      <c r="Z33" s="190"/>
      <c r="AA33" s="190"/>
      <c r="AB33" s="190"/>
      <c r="AC33" s="190"/>
      <c r="AD33" s="190"/>
      <c r="AE33" s="190"/>
      <c r="AF33" s="190"/>
      <c r="AG33" s="190"/>
      <c r="AH33" s="190"/>
      <c r="AI33" s="190"/>
      <c r="AJ33" s="190"/>
      <c r="AK33" s="190"/>
      <c r="AL33" s="190"/>
      <c r="AM33" s="190"/>
      <c r="AN33" s="190"/>
      <c r="AO33" s="190"/>
      <c r="AP33" s="190"/>
      <c r="AQ33" s="190"/>
      <c r="AR33" s="190"/>
      <c r="AS33" s="608"/>
    </row>
    <row r="34" ht="15" x14ac:dyDescent="0.25">
      <c r="B34" s="587"/>
      <c r="C34" s="495">
        <f t="shared" si="0"/>
        <v>28</v>
      </c>
      <c r="D34" s="202" t="str">
        <f>'I. Stream &amp; Compound Data'!G138</f>
        <v/>
      </c>
      <c r="E34" s="262" t="str">
        <v/>
      </c>
      <c r="F34" s="190"/>
      <c r="G34" s="190"/>
      <c r="H34" s="190"/>
      <c r="I34" s="190"/>
      <c r="J34" s="190"/>
      <c r="K34" s="190"/>
      <c r="L34" s="190"/>
      <c r="M34" s="190"/>
      <c r="N34" s="190"/>
      <c r="O34" s="190"/>
      <c r="P34" s="190"/>
      <c r="Q34" s="190"/>
      <c r="R34" s="190"/>
      <c r="S34" s="190"/>
      <c r="T34" s="190"/>
      <c r="U34" s="190"/>
      <c r="V34" s="190"/>
      <c r="W34" s="190"/>
      <c r="X34" s="190"/>
      <c r="Y34" s="190"/>
      <c r="Z34" s="190"/>
      <c r="AA34" s="190"/>
      <c r="AB34" s="190"/>
      <c r="AC34" s="190"/>
      <c r="AD34" s="190"/>
      <c r="AE34" s="190"/>
      <c r="AF34" s="190"/>
      <c r="AG34" s="190"/>
      <c r="AH34" s="190"/>
      <c r="AI34" s="190"/>
      <c r="AJ34" s="190"/>
      <c r="AK34" s="190"/>
      <c r="AL34" s="190"/>
      <c r="AM34" s="190"/>
      <c r="AN34" s="190"/>
      <c r="AO34" s="190"/>
      <c r="AP34" s="190"/>
      <c r="AQ34" s="190"/>
      <c r="AR34" s="190"/>
      <c r="AS34" s="608"/>
    </row>
    <row r="35" ht="15" x14ac:dyDescent="0.25">
      <c r="B35" s="587"/>
      <c r="C35" s="495">
        <f t="shared" si="0"/>
        <v>29</v>
      </c>
      <c r="D35" s="202" t="str">
        <f>'I. Stream &amp; Compound Data'!G139</f>
        <v/>
      </c>
      <c r="E35" s="262" t="str">
        <v/>
      </c>
      <c r="F35" s="190"/>
      <c r="G35" s="190"/>
      <c r="H35" s="190"/>
      <c r="I35" s="190"/>
      <c r="J35" s="190"/>
      <c r="K35" s="190"/>
      <c r="L35" s="190"/>
      <c r="M35" s="190"/>
      <c r="N35" s="190"/>
      <c r="O35" s="190"/>
      <c r="P35" s="190"/>
      <c r="Q35" s="190"/>
      <c r="R35" s="190"/>
      <c r="S35" s="190"/>
      <c r="T35" s="190"/>
      <c r="U35" s="190"/>
      <c r="V35" s="190"/>
      <c r="W35" s="190"/>
      <c r="X35" s="190"/>
      <c r="Y35" s="190"/>
      <c r="Z35" s="190"/>
      <c r="AA35" s="190"/>
      <c r="AB35" s="190"/>
      <c r="AC35" s="190"/>
      <c r="AD35" s="190"/>
      <c r="AE35" s="190"/>
      <c r="AF35" s="190"/>
      <c r="AG35" s="190"/>
      <c r="AH35" s="190"/>
      <c r="AI35" s="190"/>
      <c r="AJ35" s="190"/>
      <c r="AK35" s="190"/>
      <c r="AL35" s="190"/>
      <c r="AM35" s="190"/>
      <c r="AN35" s="190"/>
      <c r="AO35" s="190"/>
      <c r="AP35" s="190"/>
      <c r="AQ35" s="190"/>
      <c r="AR35" s="190"/>
      <c r="AS35" s="608"/>
    </row>
    <row r="36" ht="15" x14ac:dyDescent="0.25">
      <c r="B36" s="587"/>
      <c r="C36" s="495">
        <f t="shared" si="0"/>
        <v>30</v>
      </c>
      <c r="D36" s="202" t="str">
        <f>'I. Stream &amp; Compound Data'!G140</f>
        <v/>
      </c>
      <c r="E36" s="262" t="str">
        <v/>
      </c>
      <c r="F36" s="190"/>
      <c r="G36" s="190"/>
      <c r="H36" s="190"/>
      <c r="I36" s="190"/>
      <c r="J36" s="190"/>
      <c r="K36" s="190"/>
      <c r="L36" s="190"/>
      <c r="M36" s="190"/>
      <c r="N36" s="190"/>
      <c r="O36" s="190"/>
      <c r="P36" s="190"/>
      <c r="Q36" s="190"/>
      <c r="R36" s="190"/>
      <c r="S36" s="190"/>
      <c r="T36" s="190"/>
      <c r="U36" s="190"/>
      <c r="V36" s="190"/>
      <c r="W36" s="190"/>
      <c r="X36" s="190"/>
      <c r="Y36" s="190"/>
      <c r="Z36" s="190"/>
      <c r="AA36" s="190"/>
      <c r="AB36" s="190"/>
      <c r="AC36" s="190"/>
      <c r="AD36" s="190"/>
      <c r="AE36" s="190"/>
      <c r="AF36" s="190"/>
      <c r="AG36" s="190"/>
      <c r="AH36" s="190"/>
      <c r="AI36" s="190"/>
      <c r="AJ36" s="190"/>
      <c r="AK36" s="190"/>
      <c r="AL36" s="190"/>
      <c r="AM36" s="190"/>
      <c r="AN36" s="190"/>
      <c r="AO36" s="190"/>
      <c r="AP36" s="190"/>
      <c r="AQ36" s="190"/>
      <c r="AR36" s="190"/>
      <c r="AS36" s="608"/>
    </row>
    <row r="37" ht="15" x14ac:dyDescent="0.25">
      <c r="B37" s="587"/>
      <c r="C37" s="495">
        <f t="shared" si="0"/>
        <v>31</v>
      </c>
      <c r="D37" s="202" t="str">
        <f>'I. Stream &amp; Compound Data'!G141</f>
        <v/>
      </c>
      <c r="E37" s="262" t="str">
        <v/>
      </c>
      <c r="F37" s="190"/>
      <c r="G37" s="190"/>
      <c r="H37" s="190"/>
      <c r="I37" s="190"/>
      <c r="J37" s="190"/>
      <c r="K37" s="190"/>
      <c r="L37" s="190"/>
      <c r="M37" s="190"/>
      <c r="N37" s="190"/>
      <c r="O37" s="190"/>
      <c r="P37" s="190"/>
      <c r="Q37" s="190"/>
      <c r="R37" s="190"/>
      <c r="S37" s="190"/>
      <c r="T37" s="190"/>
      <c r="U37" s="190"/>
      <c r="V37" s="190"/>
      <c r="W37" s="190"/>
      <c r="X37" s="190"/>
      <c r="Y37" s="190"/>
      <c r="Z37" s="190"/>
      <c r="AA37" s="190"/>
      <c r="AB37" s="190"/>
      <c r="AC37" s="190"/>
      <c r="AD37" s="190"/>
      <c r="AE37" s="190"/>
      <c r="AF37" s="190"/>
      <c r="AG37" s="190"/>
      <c r="AH37" s="190"/>
      <c r="AI37" s="190"/>
      <c r="AJ37" s="190"/>
      <c r="AK37" s="190"/>
      <c r="AL37" s="190"/>
      <c r="AM37" s="190"/>
      <c r="AN37" s="190"/>
      <c r="AO37" s="190"/>
      <c r="AP37" s="190"/>
      <c r="AQ37" s="190"/>
      <c r="AR37" s="190"/>
      <c r="AS37" s="608"/>
    </row>
    <row r="38" ht="15" x14ac:dyDescent="0.25">
      <c r="B38" s="587"/>
      <c r="C38" s="495">
        <f t="shared" si="0"/>
        <v>32</v>
      </c>
      <c r="D38" s="202" t="str">
        <f>'I. Stream &amp; Compound Data'!G142</f>
        <v/>
      </c>
      <c r="E38" s="262" t="str">
        <v/>
      </c>
      <c r="F38" s="190"/>
      <c r="G38" s="190"/>
      <c r="H38" s="190"/>
      <c r="I38" s="190"/>
      <c r="J38" s="190"/>
      <c r="K38" s="190"/>
      <c r="L38" s="190"/>
      <c r="M38" s="190"/>
      <c r="N38" s="190"/>
      <c r="O38" s="190"/>
      <c r="P38" s="190"/>
      <c r="Q38" s="190"/>
      <c r="R38" s="190"/>
      <c r="S38" s="190"/>
      <c r="T38" s="190"/>
      <c r="U38" s="190"/>
      <c r="V38" s="190"/>
      <c r="W38" s="190"/>
      <c r="X38" s="190"/>
      <c r="Y38" s="190"/>
      <c r="Z38" s="190"/>
      <c r="AA38" s="190"/>
      <c r="AB38" s="190"/>
      <c r="AC38" s="190"/>
      <c r="AD38" s="190"/>
      <c r="AE38" s="190"/>
      <c r="AF38" s="190"/>
      <c r="AG38" s="190"/>
      <c r="AH38" s="190"/>
      <c r="AI38" s="190"/>
      <c r="AJ38" s="190"/>
      <c r="AK38" s="190"/>
      <c r="AL38" s="190"/>
      <c r="AM38" s="190"/>
      <c r="AN38" s="190"/>
      <c r="AO38" s="190"/>
      <c r="AP38" s="190"/>
      <c r="AQ38" s="190"/>
      <c r="AR38" s="190"/>
      <c r="AS38" s="608"/>
    </row>
    <row r="39" ht="15" x14ac:dyDescent="0.25">
      <c r="B39" s="587"/>
      <c r="C39" s="495">
        <f t="shared" si="0"/>
        <v>33</v>
      </c>
      <c r="D39" s="202" t="str">
        <f>'I. Stream &amp; Compound Data'!G143</f>
        <v/>
      </c>
      <c r="E39" s="262" t="str">
        <v/>
      </c>
      <c r="F39" s="190"/>
      <c r="G39" s="190"/>
      <c r="H39" s="190"/>
      <c r="I39" s="190"/>
      <c r="J39" s="190"/>
      <c r="K39" s="190"/>
      <c r="L39" s="190"/>
      <c r="M39" s="190"/>
      <c r="N39" s="190"/>
      <c r="O39" s="190"/>
      <c r="P39" s="190"/>
      <c r="Q39" s="190"/>
      <c r="R39" s="190"/>
      <c r="S39" s="190"/>
      <c r="T39" s="190"/>
      <c r="U39" s="190"/>
      <c r="V39" s="190"/>
      <c r="W39" s="190"/>
      <c r="X39" s="190"/>
      <c r="Y39" s="190"/>
      <c r="Z39" s="190"/>
      <c r="AA39" s="190"/>
      <c r="AB39" s="190"/>
      <c r="AC39" s="190"/>
      <c r="AD39" s="190"/>
      <c r="AE39" s="190"/>
      <c r="AF39" s="190"/>
      <c r="AG39" s="190"/>
      <c r="AH39" s="190"/>
      <c r="AI39" s="190"/>
      <c r="AJ39" s="190"/>
      <c r="AK39" s="190"/>
      <c r="AL39" s="190"/>
      <c r="AM39" s="190"/>
      <c r="AN39" s="190"/>
      <c r="AO39" s="190"/>
      <c r="AP39" s="190"/>
      <c r="AQ39" s="190"/>
      <c r="AR39" s="190"/>
      <c r="AS39" s="608"/>
    </row>
    <row r="40" ht="15" x14ac:dyDescent="0.25">
      <c r="B40" s="587"/>
      <c r="C40" s="495">
        <f t="shared" si="0"/>
        <v>34</v>
      </c>
      <c r="D40" s="202" t="str">
        <f>'I. Stream &amp; Compound Data'!G144</f>
        <v/>
      </c>
      <c r="E40" s="262" t="str">
        <v/>
      </c>
      <c r="F40" s="190"/>
      <c r="G40" s="190"/>
      <c r="H40" s="190"/>
      <c r="I40" s="190"/>
      <c r="J40" s="190"/>
      <c r="K40" s="190"/>
      <c r="L40" s="190"/>
      <c r="M40" s="190"/>
      <c r="N40" s="190"/>
      <c r="O40" s="190"/>
      <c r="P40" s="190"/>
      <c r="Q40" s="190"/>
      <c r="R40" s="190"/>
      <c r="S40" s="190"/>
      <c r="T40" s="190"/>
      <c r="U40" s="190"/>
      <c r="V40" s="190"/>
      <c r="W40" s="190"/>
      <c r="X40" s="190"/>
      <c r="Y40" s="190"/>
      <c r="Z40" s="190"/>
      <c r="AA40" s="190"/>
      <c r="AB40" s="190"/>
      <c r="AC40" s="190"/>
      <c r="AD40" s="190"/>
      <c r="AE40" s="190"/>
      <c r="AF40" s="190"/>
      <c r="AG40" s="190"/>
      <c r="AH40" s="190"/>
      <c r="AI40" s="190"/>
      <c r="AJ40" s="190"/>
      <c r="AK40" s="190"/>
      <c r="AL40" s="190"/>
      <c r="AM40" s="190"/>
      <c r="AN40" s="190"/>
      <c r="AO40" s="190"/>
      <c r="AP40" s="190"/>
      <c r="AQ40" s="190"/>
      <c r="AR40" s="190"/>
      <c r="AS40" s="608"/>
    </row>
    <row r="41" ht="15" x14ac:dyDescent="0.25">
      <c r="B41" s="587"/>
      <c r="C41" s="495">
        <f t="shared" si="0"/>
        <v>35</v>
      </c>
      <c r="D41" s="202" t="str">
        <f>'I. Stream &amp; Compound Data'!G145</f>
        <v/>
      </c>
      <c r="E41" s="262" t="str">
        <v/>
      </c>
      <c r="F41" s="190"/>
      <c r="G41" s="190"/>
      <c r="H41" s="190"/>
      <c r="I41" s="190"/>
      <c r="J41" s="190"/>
      <c r="K41" s="190"/>
      <c r="L41" s="190"/>
      <c r="M41" s="190"/>
      <c r="N41" s="190"/>
      <c r="O41" s="190"/>
      <c r="P41" s="190"/>
      <c r="Q41" s="190"/>
      <c r="R41" s="190"/>
      <c r="S41" s="190"/>
      <c r="T41" s="190"/>
      <c r="U41" s="190"/>
      <c r="V41" s="190"/>
      <c r="W41" s="190"/>
      <c r="X41" s="190"/>
      <c r="Y41" s="190"/>
      <c r="Z41" s="190"/>
      <c r="AA41" s="190"/>
      <c r="AB41" s="190"/>
      <c r="AC41" s="190"/>
      <c r="AD41" s="190"/>
      <c r="AE41" s="190"/>
      <c r="AF41" s="190"/>
      <c r="AG41" s="190"/>
      <c r="AH41" s="190"/>
      <c r="AI41" s="190"/>
      <c r="AJ41" s="190"/>
      <c r="AK41" s="190"/>
      <c r="AL41" s="190"/>
      <c r="AM41" s="190"/>
      <c r="AN41" s="190"/>
      <c r="AO41" s="190"/>
      <c r="AP41" s="190"/>
      <c r="AQ41" s="190"/>
      <c r="AR41" s="190"/>
      <c r="AS41" s="608"/>
    </row>
    <row r="42" ht="15" x14ac:dyDescent="0.25">
      <c r="B42" s="587"/>
      <c r="C42" s="495">
        <f t="shared" si="0"/>
        <v>36</v>
      </c>
      <c r="D42" s="202" t="str">
        <f>'I. Stream &amp; Compound Data'!G146</f>
        <v/>
      </c>
      <c r="E42" s="262" t="str">
        <v/>
      </c>
      <c r="F42" s="190"/>
      <c r="G42" s="190"/>
      <c r="H42" s="190"/>
      <c r="I42" s="190"/>
      <c r="J42" s="190"/>
      <c r="K42" s="190"/>
      <c r="L42" s="190"/>
      <c r="M42" s="190"/>
      <c r="N42" s="190"/>
      <c r="O42" s="190"/>
      <c r="P42" s="190"/>
      <c r="Q42" s="190"/>
      <c r="R42" s="190"/>
      <c r="S42" s="190"/>
      <c r="T42" s="190"/>
      <c r="U42" s="190"/>
      <c r="V42" s="190"/>
      <c r="W42" s="190"/>
      <c r="X42" s="190"/>
      <c r="Y42" s="190"/>
      <c r="Z42" s="190"/>
      <c r="AA42" s="190"/>
      <c r="AB42" s="190"/>
      <c r="AC42" s="190"/>
      <c r="AD42" s="190"/>
      <c r="AE42" s="190"/>
      <c r="AF42" s="190"/>
      <c r="AG42" s="190"/>
      <c r="AH42" s="190"/>
      <c r="AI42" s="190"/>
      <c r="AJ42" s="190"/>
      <c r="AK42" s="190"/>
      <c r="AL42" s="190"/>
      <c r="AM42" s="190"/>
      <c r="AN42" s="190"/>
      <c r="AO42" s="190"/>
      <c r="AP42" s="190"/>
      <c r="AQ42" s="190"/>
      <c r="AR42" s="190"/>
      <c r="AS42" s="608"/>
    </row>
    <row r="43" ht="15" x14ac:dyDescent="0.25">
      <c r="B43" s="587"/>
      <c r="C43" s="495">
        <f t="shared" si="0"/>
        <v>37</v>
      </c>
      <c r="D43" s="202" t="str">
        <f>'I. Stream &amp; Compound Data'!G147</f>
        <v/>
      </c>
      <c r="E43" s="262" t="str">
        <v/>
      </c>
      <c r="F43" s="190"/>
      <c r="G43" s="190"/>
      <c r="H43" s="190"/>
      <c r="I43" s="190"/>
      <c r="J43" s="190"/>
      <c r="K43" s="190"/>
      <c r="L43" s="190"/>
      <c r="M43" s="190"/>
      <c r="N43" s="190"/>
      <c r="O43" s="190"/>
      <c r="P43" s="190"/>
      <c r="Q43" s="190"/>
      <c r="R43" s="190"/>
      <c r="S43" s="190"/>
      <c r="T43" s="190"/>
      <c r="U43" s="190"/>
      <c r="V43" s="190"/>
      <c r="W43" s="190"/>
      <c r="X43" s="190"/>
      <c r="Y43" s="190"/>
      <c r="Z43" s="190"/>
      <c r="AA43" s="190"/>
      <c r="AB43" s="190"/>
      <c r="AC43" s="190"/>
      <c r="AD43" s="190"/>
      <c r="AE43" s="190"/>
      <c r="AF43" s="190"/>
      <c r="AG43" s="190"/>
      <c r="AH43" s="190"/>
      <c r="AI43" s="190"/>
      <c r="AJ43" s="190"/>
      <c r="AK43" s="190"/>
      <c r="AL43" s="190"/>
      <c r="AM43" s="190"/>
      <c r="AN43" s="190"/>
      <c r="AO43" s="190"/>
      <c r="AP43" s="190"/>
      <c r="AQ43" s="190"/>
      <c r="AR43" s="190"/>
      <c r="AS43" s="608"/>
    </row>
    <row r="44" ht="15" x14ac:dyDescent="0.25">
      <c r="B44" s="587"/>
      <c r="C44" s="495">
        <f t="shared" si="0"/>
        <v>38</v>
      </c>
      <c r="D44" s="202" t="str">
        <f>'I. Stream &amp; Compound Data'!G148</f>
        <v/>
      </c>
      <c r="E44" s="262" t="str">
        <v/>
      </c>
      <c r="F44" s="190"/>
      <c r="G44" s="190"/>
      <c r="H44" s="190"/>
      <c r="I44" s="190"/>
      <c r="J44" s="190"/>
      <c r="K44" s="190"/>
      <c r="L44" s="190"/>
      <c r="M44" s="190"/>
      <c r="N44" s="190"/>
      <c r="O44" s="190"/>
      <c r="P44" s="190"/>
      <c r="Q44" s="190"/>
      <c r="R44" s="190"/>
      <c r="S44" s="190"/>
      <c r="T44" s="190"/>
      <c r="U44" s="190"/>
      <c r="V44" s="190"/>
      <c r="W44" s="190"/>
      <c r="X44" s="190"/>
      <c r="Y44" s="190"/>
      <c r="Z44" s="190"/>
      <c r="AA44" s="190"/>
      <c r="AB44" s="190"/>
      <c r="AC44" s="190"/>
      <c r="AD44" s="190"/>
      <c r="AE44" s="190"/>
      <c r="AF44" s="190"/>
      <c r="AG44" s="190"/>
      <c r="AH44" s="190"/>
      <c r="AI44" s="190"/>
      <c r="AJ44" s="190"/>
      <c r="AK44" s="190"/>
      <c r="AL44" s="190"/>
      <c r="AM44" s="190"/>
      <c r="AN44" s="190"/>
      <c r="AO44" s="190"/>
      <c r="AP44" s="190"/>
      <c r="AQ44" s="190"/>
      <c r="AR44" s="190"/>
      <c r="AS44" s="608"/>
    </row>
    <row r="45" ht="15" x14ac:dyDescent="0.25">
      <c r="B45" s="587"/>
      <c r="C45" s="495">
        <f t="shared" si="0"/>
        <v>39</v>
      </c>
      <c r="D45" s="202" t="str">
        <f>'I. Stream &amp; Compound Data'!G149</f>
        <v/>
      </c>
      <c r="E45" s="262" t="str">
        <v/>
      </c>
      <c r="F45" s="190"/>
      <c r="G45" s="190"/>
      <c r="H45" s="190"/>
      <c r="I45" s="190"/>
      <c r="J45" s="190"/>
      <c r="K45" s="190"/>
      <c r="L45" s="190"/>
      <c r="M45" s="190"/>
      <c r="N45" s="190"/>
      <c r="O45" s="190"/>
      <c r="P45" s="190"/>
      <c r="Q45" s="190"/>
      <c r="R45" s="190"/>
      <c r="S45" s="190"/>
      <c r="T45" s="190"/>
      <c r="U45" s="190"/>
      <c r="V45" s="190"/>
      <c r="W45" s="190"/>
      <c r="X45" s="190"/>
      <c r="Y45" s="190"/>
      <c r="Z45" s="190"/>
      <c r="AA45" s="190"/>
      <c r="AB45" s="190"/>
      <c r="AC45" s="190"/>
      <c r="AD45" s="190"/>
      <c r="AE45" s="190"/>
      <c r="AF45" s="190"/>
      <c r="AG45" s="190"/>
      <c r="AH45" s="190"/>
      <c r="AI45" s="190"/>
      <c r="AJ45" s="190"/>
      <c r="AK45" s="190"/>
      <c r="AL45" s="190"/>
      <c r="AM45" s="190"/>
      <c r="AN45" s="190"/>
      <c r="AO45" s="190"/>
      <c r="AP45" s="190"/>
      <c r="AQ45" s="190"/>
      <c r="AR45" s="190"/>
      <c r="AS45" s="608"/>
    </row>
    <row r="46" ht="15" x14ac:dyDescent="0.25">
      <c r="B46" s="587"/>
      <c r="C46" s="495">
        <f t="shared" si="0"/>
        <v>40</v>
      </c>
      <c r="D46" s="202" t="str">
        <f>'I. Stream &amp; Compound Data'!G150</f>
        <v/>
      </c>
      <c r="E46" s="262" t="str">
        <v/>
      </c>
      <c r="F46" s="190"/>
      <c r="G46" s="190"/>
      <c r="H46" s="190"/>
      <c r="I46" s="190"/>
      <c r="J46" s="190"/>
      <c r="K46" s="190"/>
      <c r="L46" s="190"/>
      <c r="M46" s="190"/>
      <c r="N46" s="190"/>
      <c r="O46" s="190"/>
      <c r="P46" s="190"/>
      <c r="Q46" s="190"/>
      <c r="R46" s="190"/>
      <c r="S46" s="190"/>
      <c r="T46" s="190"/>
      <c r="U46" s="190"/>
      <c r="V46" s="190"/>
      <c r="W46" s="190"/>
      <c r="X46" s="190"/>
      <c r="Y46" s="190"/>
      <c r="Z46" s="190"/>
      <c r="AA46" s="190"/>
      <c r="AB46" s="190"/>
      <c r="AC46" s="190"/>
      <c r="AD46" s="190"/>
      <c r="AE46" s="190"/>
      <c r="AF46" s="190"/>
      <c r="AG46" s="190"/>
      <c r="AH46" s="190"/>
      <c r="AI46" s="190"/>
      <c r="AJ46" s="190"/>
      <c r="AK46" s="190"/>
      <c r="AL46" s="190"/>
      <c r="AM46" s="190"/>
      <c r="AN46" s="190"/>
      <c r="AO46" s="190"/>
      <c r="AP46" s="190"/>
      <c r="AQ46" s="190"/>
      <c r="AR46" s="190"/>
      <c r="AS46" s="608"/>
    </row>
    <row r="47" ht="15" x14ac:dyDescent="0.25">
      <c r="B47" s="587"/>
      <c r="C47" s="495">
        <f t="shared" si="0"/>
        <v>41</v>
      </c>
      <c r="D47" s="202" t="str">
        <f>'I. Stream &amp; Compound Data'!G151</f>
        <v/>
      </c>
      <c r="E47" s="262" t="str">
        <v/>
      </c>
      <c r="F47" s="190"/>
      <c r="G47" s="190"/>
      <c r="H47" s="190"/>
      <c r="I47" s="190"/>
      <c r="J47" s="190"/>
      <c r="K47" s="190"/>
      <c r="L47" s="190"/>
      <c r="M47" s="190"/>
      <c r="N47" s="190"/>
      <c r="O47" s="190"/>
      <c r="P47" s="190"/>
      <c r="Q47" s="190"/>
      <c r="R47" s="190"/>
      <c r="S47" s="190"/>
      <c r="T47" s="190"/>
      <c r="U47" s="190"/>
      <c r="V47" s="190"/>
      <c r="W47" s="190"/>
      <c r="X47" s="190"/>
      <c r="Y47" s="190"/>
      <c r="Z47" s="190"/>
      <c r="AA47" s="190"/>
      <c r="AB47" s="190"/>
      <c r="AC47" s="190"/>
      <c r="AD47" s="190"/>
      <c r="AE47" s="190"/>
      <c r="AF47" s="190"/>
      <c r="AG47" s="190"/>
      <c r="AH47" s="190"/>
      <c r="AI47" s="190"/>
      <c r="AJ47" s="190"/>
      <c r="AK47" s="190"/>
      <c r="AL47" s="190"/>
      <c r="AM47" s="190"/>
      <c r="AN47" s="190"/>
      <c r="AO47" s="190"/>
      <c r="AP47" s="190"/>
      <c r="AQ47" s="190"/>
      <c r="AR47" s="190"/>
      <c r="AS47" s="608"/>
    </row>
    <row r="48" ht="15" x14ac:dyDescent="0.25">
      <c r="B48" s="587"/>
      <c r="C48" s="495">
        <f t="shared" si="0"/>
        <v>42</v>
      </c>
      <c r="D48" s="202" t="str">
        <f>'I. Stream &amp; Compound Data'!G152</f>
        <v/>
      </c>
      <c r="E48" s="262" t="str">
        <v/>
      </c>
      <c r="F48" s="190"/>
      <c r="G48" s="190"/>
      <c r="H48" s="190"/>
      <c r="I48" s="190"/>
      <c r="J48" s="190"/>
      <c r="K48" s="190"/>
      <c r="L48" s="190"/>
      <c r="M48" s="190"/>
      <c r="N48" s="190"/>
      <c r="O48" s="190"/>
      <c r="P48" s="190"/>
      <c r="Q48" s="190"/>
      <c r="R48" s="190"/>
      <c r="S48" s="190"/>
      <c r="T48" s="190"/>
      <c r="U48" s="190"/>
      <c r="V48" s="190"/>
      <c r="W48" s="190"/>
      <c r="X48" s="190"/>
      <c r="Y48" s="190"/>
      <c r="Z48" s="190"/>
      <c r="AA48" s="190"/>
      <c r="AB48" s="190"/>
      <c r="AC48" s="190"/>
      <c r="AD48" s="190"/>
      <c r="AE48" s="190"/>
      <c r="AF48" s="190"/>
      <c r="AG48" s="190"/>
      <c r="AH48" s="190"/>
      <c r="AI48" s="190"/>
      <c r="AJ48" s="190"/>
      <c r="AK48" s="190"/>
      <c r="AL48" s="190"/>
      <c r="AM48" s="190"/>
      <c r="AN48" s="190"/>
      <c r="AO48" s="190"/>
      <c r="AP48" s="190"/>
      <c r="AQ48" s="190"/>
      <c r="AR48" s="190"/>
      <c r="AS48" s="608"/>
    </row>
    <row r="49" ht="15" x14ac:dyDescent="0.25">
      <c r="B49" s="587"/>
      <c r="C49" s="495">
        <f t="shared" si="0"/>
        <v>43</v>
      </c>
      <c r="D49" s="202" t="str">
        <f>'I. Stream &amp; Compound Data'!G153</f>
        <v/>
      </c>
      <c r="E49" s="262" t="str">
        <v/>
      </c>
      <c r="F49" s="190"/>
      <c r="G49" s="190"/>
      <c r="H49" s="190"/>
      <c r="I49" s="190"/>
      <c r="J49" s="190"/>
      <c r="K49" s="190"/>
      <c r="L49" s="190"/>
      <c r="M49" s="190"/>
      <c r="N49" s="190"/>
      <c r="O49" s="190"/>
      <c r="P49" s="190"/>
      <c r="Q49" s="190"/>
      <c r="R49" s="190"/>
      <c r="S49" s="190"/>
      <c r="T49" s="190"/>
      <c r="U49" s="190"/>
      <c r="V49" s="190"/>
      <c r="W49" s="190"/>
      <c r="X49" s="190"/>
      <c r="Y49" s="190"/>
      <c r="Z49" s="190"/>
      <c r="AA49" s="190"/>
      <c r="AB49" s="190"/>
      <c r="AC49" s="190"/>
      <c r="AD49" s="190"/>
      <c r="AE49" s="190"/>
      <c r="AF49" s="190"/>
      <c r="AG49" s="190"/>
      <c r="AH49" s="190"/>
      <c r="AI49" s="190"/>
      <c r="AJ49" s="190"/>
      <c r="AK49" s="190"/>
      <c r="AL49" s="190"/>
      <c r="AM49" s="190"/>
      <c r="AN49" s="190"/>
      <c r="AO49" s="190"/>
      <c r="AP49" s="190"/>
      <c r="AQ49" s="190"/>
      <c r="AR49" s="190"/>
      <c r="AS49" s="608"/>
    </row>
    <row r="50" ht="15" x14ac:dyDescent="0.25">
      <c r="B50" s="587"/>
      <c r="C50" s="495">
        <f t="shared" si="0"/>
        <v>44</v>
      </c>
      <c r="D50" s="202" t="str">
        <f>'I. Stream &amp; Compound Data'!G154</f>
        <v/>
      </c>
      <c r="E50" s="262" t="str">
        <v/>
      </c>
      <c r="F50" s="190"/>
      <c r="G50" s="190"/>
      <c r="H50" s="190"/>
      <c r="I50" s="190"/>
      <c r="J50" s="190"/>
      <c r="K50" s="190"/>
      <c r="L50" s="190"/>
      <c r="M50" s="190"/>
      <c r="N50" s="190"/>
      <c r="O50" s="190"/>
      <c r="P50" s="190"/>
      <c r="Q50" s="190"/>
      <c r="R50" s="190"/>
      <c r="S50" s="190"/>
      <c r="T50" s="190"/>
      <c r="U50" s="190"/>
      <c r="V50" s="190"/>
      <c r="W50" s="190"/>
      <c r="X50" s="190"/>
      <c r="Y50" s="190"/>
      <c r="Z50" s="190"/>
      <c r="AA50" s="190"/>
      <c r="AB50" s="190"/>
      <c r="AC50" s="190"/>
      <c r="AD50" s="190"/>
      <c r="AE50" s="190"/>
      <c r="AF50" s="190"/>
      <c r="AG50" s="190"/>
      <c r="AH50" s="190"/>
      <c r="AI50" s="190"/>
      <c r="AJ50" s="190"/>
      <c r="AK50" s="190"/>
      <c r="AL50" s="190"/>
      <c r="AM50" s="190"/>
      <c r="AN50" s="190"/>
      <c r="AO50" s="190"/>
      <c r="AP50" s="190"/>
      <c r="AQ50" s="190"/>
      <c r="AR50" s="190"/>
      <c r="AS50" s="608"/>
    </row>
    <row r="51" ht="15" x14ac:dyDescent="0.25">
      <c r="B51" s="587"/>
      <c r="C51" s="495">
        <f t="shared" si="0"/>
        <v>45</v>
      </c>
      <c r="D51" s="202" t="str">
        <f>'I. Stream &amp; Compound Data'!G155</f>
        <v/>
      </c>
      <c r="E51" s="262" t="str">
        <v/>
      </c>
      <c r="F51" s="190"/>
      <c r="G51" s="190"/>
      <c r="H51" s="190"/>
      <c r="I51" s="190"/>
      <c r="J51" s="190"/>
      <c r="K51" s="190"/>
      <c r="L51" s="190"/>
      <c r="M51" s="190"/>
      <c r="N51" s="190"/>
      <c r="O51" s="190"/>
      <c r="P51" s="190"/>
      <c r="Q51" s="190"/>
      <c r="R51" s="190"/>
      <c r="S51" s="190"/>
      <c r="T51" s="190"/>
      <c r="U51" s="190"/>
      <c r="V51" s="190"/>
      <c r="W51" s="190"/>
      <c r="X51" s="190"/>
      <c r="Y51" s="190"/>
      <c r="Z51" s="190"/>
      <c r="AA51" s="190"/>
      <c r="AB51" s="190"/>
      <c r="AC51" s="190"/>
      <c r="AD51" s="190"/>
      <c r="AE51" s="190"/>
      <c r="AF51" s="190"/>
      <c r="AG51" s="190"/>
      <c r="AH51" s="190"/>
      <c r="AI51" s="190"/>
      <c r="AJ51" s="190"/>
      <c r="AK51" s="190"/>
      <c r="AL51" s="190"/>
      <c r="AM51" s="190"/>
      <c r="AN51" s="190"/>
      <c r="AO51" s="190"/>
      <c r="AP51" s="190"/>
      <c r="AQ51" s="190"/>
      <c r="AR51" s="190"/>
      <c r="AS51" s="608"/>
    </row>
    <row r="52" ht="15" x14ac:dyDescent="0.25">
      <c r="B52" s="587"/>
      <c r="C52" s="495">
        <f t="shared" si="0"/>
        <v>46</v>
      </c>
      <c r="D52" s="202" t="str">
        <f>'I. Stream &amp; Compound Data'!G156</f>
        <v/>
      </c>
      <c r="E52" s="262" t="str">
        <v/>
      </c>
      <c r="F52" s="190"/>
      <c r="G52" s="190"/>
      <c r="H52" s="190"/>
      <c r="I52" s="190"/>
      <c r="J52" s="190"/>
      <c r="K52" s="190"/>
      <c r="L52" s="190"/>
      <c r="M52" s="190"/>
      <c r="N52" s="190"/>
      <c r="O52" s="190"/>
      <c r="P52" s="190"/>
      <c r="Q52" s="190"/>
      <c r="R52" s="190"/>
      <c r="S52" s="190"/>
      <c r="T52" s="190"/>
      <c r="U52" s="190"/>
      <c r="V52" s="190"/>
      <c r="W52" s="190"/>
      <c r="X52" s="190"/>
      <c r="Y52" s="190"/>
      <c r="Z52" s="190"/>
      <c r="AA52" s="190"/>
      <c r="AB52" s="190"/>
      <c r="AC52" s="190"/>
      <c r="AD52" s="190"/>
      <c r="AE52" s="190"/>
      <c r="AF52" s="190"/>
      <c r="AG52" s="190"/>
      <c r="AH52" s="190"/>
      <c r="AI52" s="190"/>
      <c r="AJ52" s="190"/>
      <c r="AK52" s="190"/>
      <c r="AL52" s="190"/>
      <c r="AM52" s="190"/>
      <c r="AN52" s="190"/>
      <c r="AO52" s="190"/>
      <c r="AP52" s="190"/>
      <c r="AQ52" s="190"/>
      <c r="AR52" s="190"/>
      <c r="AS52" s="608"/>
    </row>
    <row r="53" ht="15" x14ac:dyDescent="0.25">
      <c r="B53" s="587"/>
      <c r="C53" s="495">
        <f t="shared" si="0"/>
        <v>47</v>
      </c>
      <c r="D53" s="202" t="str">
        <f>'I. Stream &amp; Compound Data'!G157</f>
        <v/>
      </c>
      <c r="E53" s="262" t="str">
        <v/>
      </c>
      <c r="F53" s="190"/>
      <c r="G53" s="190"/>
      <c r="H53" s="190"/>
      <c r="I53" s="190"/>
      <c r="J53" s="190"/>
      <c r="K53" s="190"/>
      <c r="L53" s="190"/>
      <c r="M53" s="190"/>
      <c r="N53" s="190"/>
      <c r="O53" s="190"/>
      <c r="P53" s="190"/>
      <c r="Q53" s="190"/>
      <c r="R53" s="190"/>
      <c r="S53" s="190"/>
      <c r="T53" s="190"/>
      <c r="U53" s="190"/>
      <c r="V53" s="190"/>
      <c r="W53" s="190"/>
      <c r="X53" s="190"/>
      <c r="Y53" s="190"/>
      <c r="Z53" s="190"/>
      <c r="AA53" s="190"/>
      <c r="AB53" s="190"/>
      <c r="AC53" s="190"/>
      <c r="AD53" s="190"/>
      <c r="AE53" s="190"/>
      <c r="AF53" s="190"/>
      <c r="AG53" s="190"/>
      <c r="AH53" s="190"/>
      <c r="AI53" s="190"/>
      <c r="AJ53" s="190"/>
      <c r="AK53" s="190"/>
      <c r="AL53" s="190"/>
      <c r="AM53" s="190"/>
      <c r="AN53" s="190"/>
      <c r="AO53" s="190"/>
      <c r="AP53" s="190"/>
      <c r="AQ53" s="190"/>
      <c r="AR53" s="190"/>
      <c r="AS53" s="608"/>
    </row>
    <row r="54" ht="15" x14ac:dyDescent="0.25">
      <c r="B54" s="587"/>
      <c r="C54" s="495">
        <f t="shared" si="0"/>
        <v>48</v>
      </c>
      <c r="D54" s="202" t="str">
        <f>'I. Stream &amp; Compound Data'!G158</f>
        <v/>
      </c>
      <c r="E54" s="262" t="str">
        <v/>
      </c>
      <c r="F54" s="190"/>
      <c r="G54" s="190"/>
      <c r="H54" s="190"/>
      <c r="I54" s="190"/>
      <c r="J54" s="190"/>
      <c r="K54" s="190"/>
      <c r="L54" s="190"/>
      <c r="M54" s="190"/>
      <c r="N54" s="190"/>
      <c r="O54" s="190"/>
      <c r="P54" s="190"/>
      <c r="Q54" s="190"/>
      <c r="R54" s="190"/>
      <c r="S54" s="190"/>
      <c r="T54" s="190"/>
      <c r="U54" s="190"/>
      <c r="V54" s="190"/>
      <c r="W54" s="190"/>
      <c r="X54" s="190"/>
      <c r="Y54" s="190"/>
      <c r="Z54" s="190"/>
      <c r="AA54" s="190"/>
      <c r="AB54" s="190"/>
      <c r="AC54" s="190"/>
      <c r="AD54" s="190"/>
      <c r="AE54" s="190"/>
      <c r="AF54" s="190"/>
      <c r="AG54" s="190"/>
      <c r="AH54" s="190"/>
      <c r="AI54" s="190"/>
      <c r="AJ54" s="190"/>
      <c r="AK54" s="190"/>
      <c r="AL54" s="190"/>
      <c r="AM54" s="190"/>
      <c r="AN54" s="190"/>
      <c r="AO54" s="190"/>
      <c r="AP54" s="190"/>
      <c r="AQ54" s="190"/>
      <c r="AR54" s="190"/>
      <c r="AS54" s="608"/>
    </row>
    <row r="55" ht="15" x14ac:dyDescent="0.25">
      <c r="B55" s="587"/>
      <c r="C55" s="495">
        <f t="shared" si="0"/>
        <v>49</v>
      </c>
      <c r="D55" s="202" t="str">
        <f>'I. Stream &amp; Compound Data'!G159</f>
        <v/>
      </c>
      <c r="E55" s="262" t="str">
        <v/>
      </c>
      <c r="F55" s="190"/>
      <c r="G55" s="190"/>
      <c r="H55" s="190"/>
      <c r="I55" s="190"/>
      <c r="J55" s="190"/>
      <c r="K55" s="190"/>
      <c r="L55" s="190"/>
      <c r="M55" s="190"/>
      <c r="N55" s="190"/>
      <c r="O55" s="190"/>
      <c r="P55" s="190"/>
      <c r="Q55" s="190"/>
      <c r="R55" s="190"/>
      <c r="S55" s="190"/>
      <c r="T55" s="190"/>
      <c r="U55" s="190"/>
      <c r="V55" s="190"/>
      <c r="W55" s="190"/>
      <c r="X55" s="190"/>
      <c r="Y55" s="190"/>
      <c r="Z55" s="190"/>
      <c r="AA55" s="190"/>
      <c r="AB55" s="190"/>
      <c r="AC55" s="190"/>
      <c r="AD55" s="190"/>
      <c r="AE55" s="190"/>
      <c r="AF55" s="190"/>
      <c r="AG55" s="190"/>
      <c r="AH55" s="190"/>
      <c r="AI55" s="190"/>
      <c r="AJ55" s="190"/>
      <c r="AK55" s="190"/>
      <c r="AL55" s="190"/>
      <c r="AM55" s="190"/>
      <c r="AN55" s="190"/>
      <c r="AO55" s="190"/>
      <c r="AP55" s="190"/>
      <c r="AQ55" s="190"/>
      <c r="AR55" s="190"/>
      <c r="AS55" s="608"/>
    </row>
    <row r="56" ht="15.6" thickBot="true" x14ac:dyDescent="0.3">
      <c r="B56" s="587"/>
      <c r="C56" s="496">
        <f t="shared" si="0"/>
        <v>50</v>
      </c>
      <c r="D56" s="263" t="str">
        <f>'I. Stream &amp; Compound Data'!G160</f>
        <v/>
      </c>
      <c r="E56" s="1227" t="str">
        <v/>
      </c>
      <c r="F56" s="190"/>
      <c r="G56" s="190"/>
      <c r="H56" s="190"/>
      <c r="I56" s="190"/>
      <c r="J56" s="190"/>
      <c r="K56" s="190"/>
      <c r="L56" s="190"/>
      <c r="M56" s="190"/>
      <c r="N56" s="190"/>
      <c r="O56" s="190"/>
      <c r="P56" s="190"/>
      <c r="Q56" s="190"/>
      <c r="R56" s="190"/>
      <c r="S56" s="190"/>
      <c r="T56" s="190"/>
      <c r="U56" s="190"/>
      <c r="V56" s="190"/>
      <c r="W56" s="190"/>
      <c r="X56" s="190"/>
      <c r="Y56" s="190"/>
      <c r="Z56" s="190"/>
      <c r="AA56" s="190"/>
      <c r="AB56" s="190"/>
      <c r="AC56" s="190"/>
      <c r="AD56" s="190"/>
      <c r="AE56" s="190"/>
      <c r="AF56" s="190"/>
      <c r="AG56" s="190"/>
      <c r="AH56" s="190"/>
      <c r="AI56" s="190"/>
      <c r="AJ56" s="190"/>
      <c r="AK56" s="190"/>
      <c r="AL56" s="190"/>
      <c r="AM56" s="190"/>
      <c r="AN56" s="190"/>
      <c r="AO56" s="190"/>
      <c r="AP56" s="190"/>
      <c r="AQ56" s="190"/>
      <c r="AR56" s="190"/>
      <c r="AS56" s="608"/>
    </row>
    <row r="57" x14ac:dyDescent="0.25">
      <c r="B57" s="587"/>
      <c r="C57" s="190"/>
      <c r="D57" s="190"/>
      <c r="E57" s="190"/>
      <c r="F57" s="190"/>
      <c r="G57" s="190"/>
      <c r="H57" s="190"/>
      <c r="I57" s="190"/>
      <c r="J57" s="190"/>
      <c r="K57" s="190"/>
      <c r="L57" s="190"/>
      <c r="M57" s="190"/>
      <c r="N57" s="190"/>
      <c r="O57" s="190"/>
      <c r="P57" s="190"/>
      <c r="Q57" s="190"/>
      <c r="R57" s="190"/>
      <c r="S57" s="190"/>
      <c r="T57" s="190"/>
      <c r="U57" s="190"/>
      <c r="V57" s="190"/>
      <c r="W57" s="190"/>
      <c r="X57" s="190"/>
      <c r="Y57" s="190"/>
      <c r="Z57" s="190"/>
      <c r="AA57" s="190"/>
      <c r="AB57" s="190"/>
      <c r="AC57" s="190"/>
      <c r="AD57" s="190"/>
      <c r="AE57" s="190"/>
      <c r="AF57" s="190"/>
      <c r="AG57" s="190"/>
      <c r="AH57" s="190"/>
      <c r="AI57" s="190"/>
      <c r="AJ57" s="190"/>
      <c r="AK57" s="190"/>
      <c r="AL57" s="190"/>
      <c r="AM57" s="190"/>
      <c r="AN57" s="190"/>
      <c r="AO57" s="190"/>
      <c r="AP57" s="190"/>
      <c r="AQ57" s="190"/>
      <c r="AR57" s="190"/>
      <c r="AS57" s="608"/>
    </row>
    <row r="58" x14ac:dyDescent="0.25">
      <c r="B58" s="587"/>
      <c r="C58" s="190"/>
      <c r="D58" s="190"/>
      <c r="E58" s="190"/>
      <c r="F58" s="190"/>
      <c r="G58" s="190"/>
      <c r="H58" s="190"/>
      <c r="I58" s="190"/>
      <c r="J58" s="190"/>
      <c r="K58" s="190"/>
      <c r="L58" s="190"/>
      <c r="M58" s="190"/>
      <c r="N58" s="190"/>
      <c r="O58" s="190"/>
      <c r="P58" s="190"/>
      <c r="Q58" s="190"/>
      <c r="R58" s="190"/>
      <c r="S58" s="190"/>
      <c r="T58" s="190"/>
      <c r="U58" s="190"/>
      <c r="V58" s="190"/>
      <c r="W58" s="190"/>
      <c r="X58" s="190"/>
      <c r="Y58" s="190"/>
      <c r="Z58" s="190"/>
      <c r="AA58" s="190"/>
      <c r="AB58" s="190"/>
      <c r="AC58" s="190"/>
      <c r="AD58" s="190"/>
      <c r="AE58" s="190"/>
      <c r="AF58" s="190"/>
      <c r="AG58" s="190"/>
      <c r="AH58" s="190"/>
      <c r="AI58" s="190"/>
      <c r="AJ58" s="190"/>
      <c r="AK58" s="190"/>
      <c r="AL58" s="190"/>
      <c r="AM58" s="190"/>
      <c r="AN58" s="190"/>
      <c r="AO58" s="190"/>
      <c r="AP58" s="190"/>
      <c r="AQ58" s="190"/>
      <c r="AR58" s="190"/>
      <c r="AS58" s="608"/>
    </row>
    <row r="59" x14ac:dyDescent="0.25">
      <c r="B59" s="587"/>
      <c r="C59" s="190"/>
      <c r="D59" s="190"/>
      <c r="E59" s="190"/>
      <c r="F59" s="190"/>
      <c r="G59" s="190"/>
      <c r="H59" s="190"/>
      <c r="I59" s="190"/>
      <c r="J59" s="190"/>
      <c r="K59" s="190"/>
      <c r="L59" s="190"/>
      <c r="M59" s="190"/>
      <c r="N59" s="190"/>
      <c r="O59" s="190"/>
      <c r="P59" s="190"/>
      <c r="Q59" s="190"/>
      <c r="R59" s="190"/>
      <c r="S59" s="190"/>
      <c r="T59" s="190"/>
      <c r="U59" s="190"/>
      <c r="V59" s="190"/>
      <c r="W59" s="190"/>
      <c r="X59" s="190"/>
      <c r="Y59" s="190"/>
      <c r="Z59" s="190"/>
      <c r="AA59" s="190"/>
      <c r="AB59" s="190"/>
      <c r="AC59" s="190"/>
      <c r="AD59" s="190"/>
      <c r="AE59" s="190"/>
      <c r="AF59" s="190"/>
      <c r="AG59" s="190"/>
      <c r="AH59" s="190"/>
      <c r="AI59" s="190"/>
      <c r="AJ59" s="190"/>
      <c r="AK59" s="190"/>
      <c r="AL59" s="190"/>
      <c r="AM59" s="190"/>
      <c r="AN59" s="190"/>
      <c r="AO59" s="190"/>
      <c r="AP59" s="190"/>
      <c r="AQ59" s="190"/>
      <c r="AR59" s="190"/>
      <c r="AS59" s="608"/>
    </row>
    <row r="60" ht="22.8" x14ac:dyDescent="0.4">
      <c r="B60" s="587"/>
      <c r="C60" s="190"/>
      <c r="D60" s="569" t="s">
        <v>1471</v>
      </c>
      <c r="E60" s="570"/>
      <c r="F60" s="371"/>
      <c r="G60" s="570"/>
      <c r="H60" s="570"/>
      <c r="I60" s="570"/>
      <c r="J60" s="570"/>
      <c r="K60" s="570"/>
      <c r="L60" s="570"/>
      <c r="M60" s="570"/>
      <c r="N60" s="570"/>
      <c r="O60" s="190"/>
      <c r="P60" s="190"/>
      <c r="Q60" s="190"/>
      <c r="R60" s="190"/>
      <c r="S60" s="190"/>
      <c r="T60" s="190"/>
      <c r="U60" s="190"/>
      <c r="V60" s="190"/>
      <c r="W60" s="190"/>
      <c r="X60" s="190"/>
      <c r="Y60" s="190"/>
      <c r="Z60" s="190"/>
      <c r="AA60" s="190"/>
      <c r="AB60" s="190"/>
      <c r="AC60" s="190"/>
      <c r="AD60" s="190"/>
      <c r="AE60" s="190"/>
      <c r="AF60" s="190"/>
      <c r="AG60" s="190"/>
      <c r="AH60" s="190"/>
      <c r="AI60" s="190"/>
      <c r="AJ60" s="190"/>
      <c r="AK60" s="190"/>
      <c r="AL60" s="190"/>
      <c r="AM60" s="190"/>
      <c r="AN60" s="190"/>
      <c r="AO60" s="190"/>
      <c r="AP60" s="190"/>
      <c r="AQ60" s="190"/>
      <c r="AR60" s="190"/>
      <c r="AS60" s="608"/>
    </row>
    <row r="61" ht="16.2" thickBot="true" x14ac:dyDescent="0.3">
      <c r="B61" s="587"/>
      <c r="C61" s="190"/>
      <c r="D61" s="571"/>
      <c r="E61" s="572">
        <v>1</v>
      </c>
      <c r="F61" s="194">
        <f>E61+1</f>
        <v>2</v>
      </c>
      <c r="G61" s="194">
        <f t="shared" ref="G61:AR61" si="1">F61+1</f>
        <v>3</v>
      </c>
      <c r="H61" s="194">
        <f t="shared" si="1"/>
        <v>4</v>
      </c>
      <c r="I61" s="194">
        <f t="shared" si="1"/>
        <v>5</v>
      </c>
      <c r="J61" s="194">
        <f t="shared" si="1"/>
        <v>6</v>
      </c>
      <c r="K61" s="194">
        <f t="shared" si="1"/>
        <v>7</v>
      </c>
      <c r="L61" s="194">
        <f t="shared" si="1"/>
        <v>8</v>
      </c>
      <c r="M61" s="194">
        <f t="shared" si="1"/>
        <v>9</v>
      </c>
      <c r="N61" s="194">
        <f t="shared" si="1"/>
        <v>10</v>
      </c>
      <c r="O61" s="194">
        <f t="shared" si="1"/>
        <v>11</v>
      </c>
      <c r="P61" s="194">
        <f t="shared" si="1"/>
        <v>12</v>
      </c>
      <c r="Q61" s="194">
        <f t="shared" si="1"/>
        <v>13</v>
      </c>
      <c r="R61" s="194">
        <f t="shared" si="1"/>
        <v>14</v>
      </c>
      <c r="S61" s="194">
        <f t="shared" si="1"/>
        <v>15</v>
      </c>
      <c r="T61" s="194">
        <f t="shared" si="1"/>
        <v>16</v>
      </c>
      <c r="U61" s="194">
        <f t="shared" si="1"/>
        <v>17</v>
      </c>
      <c r="V61" s="194">
        <f t="shared" si="1"/>
        <v>18</v>
      </c>
      <c r="W61" s="194">
        <f t="shared" si="1"/>
        <v>19</v>
      </c>
      <c r="X61" s="194">
        <f t="shared" si="1"/>
        <v>20</v>
      </c>
      <c r="Y61" s="194">
        <f t="shared" si="1"/>
        <v>21</v>
      </c>
      <c r="Z61" s="194">
        <f t="shared" si="1"/>
        <v>22</v>
      </c>
      <c r="AA61" s="194">
        <f>Z61+1</f>
        <v>23</v>
      </c>
      <c r="AB61" s="194">
        <f t="shared" si="1"/>
        <v>24</v>
      </c>
      <c r="AC61" s="194">
        <f t="shared" si="1"/>
        <v>25</v>
      </c>
      <c r="AD61" s="194">
        <f t="shared" si="1"/>
        <v>26</v>
      </c>
      <c r="AE61" s="194">
        <f t="shared" si="1"/>
        <v>27</v>
      </c>
      <c r="AF61" s="194">
        <f>AE61+1</f>
        <v>28</v>
      </c>
      <c r="AG61" s="194">
        <f t="shared" si="1"/>
        <v>29</v>
      </c>
      <c r="AH61" s="194">
        <f t="shared" si="1"/>
        <v>30</v>
      </c>
      <c r="AI61" s="194">
        <f>AH61+1</f>
        <v>31</v>
      </c>
      <c r="AJ61" s="194">
        <f t="shared" si="1"/>
        <v>32</v>
      </c>
      <c r="AK61" s="194">
        <f t="shared" si="1"/>
        <v>33</v>
      </c>
      <c r="AL61" s="194">
        <f t="shared" si="1"/>
        <v>34</v>
      </c>
      <c r="AM61" s="194">
        <f t="shared" si="1"/>
        <v>35</v>
      </c>
      <c r="AN61" s="194">
        <f t="shared" si="1"/>
        <v>36</v>
      </c>
      <c r="AO61" s="194">
        <f>AN61+1</f>
        <v>37</v>
      </c>
      <c r="AP61" s="194">
        <f t="shared" si="1"/>
        <v>38</v>
      </c>
      <c r="AQ61" s="194">
        <f>AP61+1</f>
        <v>39</v>
      </c>
      <c r="AR61" s="194">
        <f t="shared" si="1"/>
        <v>40</v>
      </c>
      <c r="AS61" s="608"/>
    </row>
    <row r="62" ht="19.5" customHeight="true" x14ac:dyDescent="0.25">
      <c r="B62" s="587"/>
      <c r="C62" s="190"/>
      <c r="D62" s="1165" t="s">
        <v>76</v>
      </c>
      <c r="E62" s="1185" t="str">
        <f t="array" ref="E62:AR62">TRANSPOSE(IN_stream_number)</f>
        <v>S2</v>
      </c>
      <c r="F62" s="1185" t="str">
        <v/>
      </c>
      <c r="G62" s="1185" t="str">
        <v/>
      </c>
      <c r="H62" s="1185" t="str">
        <v/>
      </c>
      <c r="I62" s="1185" t="str">
        <v/>
      </c>
      <c r="J62" s="1185" t="str">
        <v/>
      </c>
      <c r="K62" s="1185" t="str">
        <v/>
      </c>
      <c r="L62" s="1185" t="str">
        <v/>
      </c>
      <c r="M62" s="1185" t="str">
        <v/>
      </c>
      <c r="N62" s="1185" t="str">
        <v/>
      </c>
      <c r="O62" s="1183" t="str">
        <v/>
      </c>
      <c r="P62" s="1183" t="str">
        <v/>
      </c>
      <c r="Q62" s="1183" t="str">
        <v/>
      </c>
      <c r="R62" s="1183" t="str">
        <v/>
      </c>
      <c r="S62" s="1183" t="str">
        <v/>
      </c>
      <c r="T62" s="1183" t="str">
        <v/>
      </c>
      <c r="U62" s="1183" t="str">
        <v/>
      </c>
      <c r="V62" s="1183" t="str">
        <v/>
      </c>
      <c r="W62" s="1183" t="str">
        <v/>
      </c>
      <c r="X62" s="1183" t="str">
        <v/>
      </c>
      <c r="Y62" s="1183" t="str">
        <v/>
      </c>
      <c r="Z62" s="1183" t="str">
        <v/>
      </c>
      <c r="AA62" s="1183" t="str">
        <v/>
      </c>
      <c r="AB62" s="1183" t="str">
        <v/>
      </c>
      <c r="AC62" s="1183" t="str">
        <v/>
      </c>
      <c r="AD62" s="1183" t="str">
        <v/>
      </c>
      <c r="AE62" s="1183" t="str">
        <v/>
      </c>
      <c r="AF62" s="1183" t="str">
        <v/>
      </c>
      <c r="AG62" s="1183" t="str">
        <v/>
      </c>
      <c r="AH62" s="1183" t="str">
        <v/>
      </c>
      <c r="AI62" s="1183" t="str">
        <v/>
      </c>
      <c r="AJ62" s="1183" t="str">
        <v/>
      </c>
      <c r="AK62" s="1183" t="str">
        <v/>
      </c>
      <c r="AL62" s="1183" t="str">
        <v/>
      </c>
      <c r="AM62" s="1183" t="str">
        <v/>
      </c>
      <c r="AN62" s="1183" t="str">
        <v/>
      </c>
      <c r="AO62" s="1183" t="str">
        <v/>
      </c>
      <c r="AP62" s="1183" t="str">
        <v/>
      </c>
      <c r="AQ62" s="1183" t="str">
        <v/>
      </c>
      <c r="AR62" s="1557" t="str">
        <v/>
      </c>
      <c r="AS62" s="608"/>
    </row>
    <row r="63" ht="19.5" customHeight="true" x14ac:dyDescent="0.25">
      <c r="B63" s="587"/>
      <c r="C63" s="190"/>
      <c r="D63" s="274" t="s">
        <v>28</v>
      </c>
      <c r="E63" s="202" t="str">
        <f t="array" ref="E63:AR63">TRANSPOSE(IN_renewab)</f>
        <v>no</v>
      </c>
      <c r="F63" s="202" t="str">
        <v/>
      </c>
      <c r="G63" s="202" t="str">
        <v/>
      </c>
      <c r="H63" s="202" t="str">
        <v/>
      </c>
      <c r="I63" s="202" t="str">
        <v/>
      </c>
      <c r="J63" s="202" t="str">
        <v/>
      </c>
      <c r="K63" s="202" t="str">
        <v/>
      </c>
      <c r="L63" s="202" t="str">
        <v/>
      </c>
      <c r="M63" s="202" t="str">
        <v/>
      </c>
      <c r="N63" s="202" t="str">
        <v/>
      </c>
      <c r="O63" s="205" t="str">
        <v/>
      </c>
      <c r="P63" s="205" t="str">
        <v/>
      </c>
      <c r="Q63" s="205" t="str">
        <v/>
      </c>
      <c r="R63" s="205" t="str">
        <v/>
      </c>
      <c r="S63" s="205" t="str">
        <v/>
      </c>
      <c r="T63" s="205" t="str">
        <v/>
      </c>
      <c r="U63" s="205" t="str">
        <v/>
      </c>
      <c r="V63" s="205" t="str">
        <v/>
      </c>
      <c r="W63" s="205" t="str">
        <v/>
      </c>
      <c r="X63" s="205" t="str">
        <v/>
      </c>
      <c r="Y63" s="205" t="str">
        <v/>
      </c>
      <c r="Z63" s="205" t="str">
        <v/>
      </c>
      <c r="AA63" s="205" t="str">
        <v/>
      </c>
      <c r="AB63" s="205" t="str">
        <v/>
      </c>
      <c r="AC63" s="205" t="str">
        <v/>
      </c>
      <c r="AD63" s="205" t="str">
        <v/>
      </c>
      <c r="AE63" s="205" t="str">
        <v/>
      </c>
      <c r="AF63" s="205" t="str">
        <v/>
      </c>
      <c r="AG63" s="205" t="str">
        <v/>
      </c>
      <c r="AH63" s="205" t="str">
        <v/>
      </c>
      <c r="AI63" s="205" t="str">
        <v/>
      </c>
      <c r="AJ63" s="205" t="str">
        <v/>
      </c>
      <c r="AK63" s="205" t="str">
        <v/>
      </c>
      <c r="AL63" s="205" t="str">
        <v/>
      </c>
      <c r="AM63" s="205" t="str">
        <v/>
      </c>
      <c r="AN63" s="205" t="str">
        <v/>
      </c>
      <c r="AO63" s="205" t="str">
        <v/>
      </c>
      <c r="AP63" s="205" t="str">
        <v/>
      </c>
      <c r="AQ63" s="205" t="str">
        <v/>
      </c>
      <c r="AR63" s="1343" t="str">
        <v/>
      </c>
      <c r="AS63" s="608"/>
    </row>
    <row r="64" ht="19.5" customHeight="true" x14ac:dyDescent="0.25">
      <c r="B64" s="587"/>
      <c r="C64" s="190"/>
      <c r="D64" s="495" t="s">
        <v>1474</v>
      </c>
      <c r="E64" s="202">
        <f t="array" ref="E64:AR64">TRANSPOSE(IN_Enthalpy_MJ_h)</f>
        <v>-8184519.7560000001</v>
      </c>
      <c r="F64" s="202" t="str">
        <v/>
      </c>
      <c r="G64" s="202" t="str">
        <v/>
      </c>
      <c r="H64" s="202" t="str">
        <v/>
      </c>
      <c r="I64" s="202" t="str">
        <v/>
      </c>
      <c r="J64" s="202" t="str">
        <v/>
      </c>
      <c r="K64" s="202" t="str">
        <v/>
      </c>
      <c r="L64" s="202" t="str">
        <v/>
      </c>
      <c r="M64" s="202" t="str">
        <v/>
      </c>
      <c r="N64" s="202" t="str">
        <v/>
      </c>
      <c r="O64" s="205" t="str">
        <v/>
      </c>
      <c r="P64" s="205" t="str">
        <v/>
      </c>
      <c r="Q64" s="205" t="str">
        <v/>
      </c>
      <c r="R64" s="205" t="str">
        <v/>
      </c>
      <c r="S64" s="205" t="str">
        <v/>
      </c>
      <c r="T64" s="205" t="str">
        <v/>
      </c>
      <c r="U64" s="205" t="str">
        <v/>
      </c>
      <c r="V64" s="205" t="str">
        <v/>
      </c>
      <c r="W64" s="205" t="str">
        <v/>
      </c>
      <c r="X64" s="205" t="str">
        <v/>
      </c>
      <c r="Y64" s="205" t="str">
        <v/>
      </c>
      <c r="Z64" s="205" t="str">
        <v/>
      </c>
      <c r="AA64" s="205" t="str">
        <v/>
      </c>
      <c r="AB64" s="205" t="str">
        <v/>
      </c>
      <c r="AC64" s="205" t="str">
        <v/>
      </c>
      <c r="AD64" s="205" t="str">
        <v/>
      </c>
      <c r="AE64" s="205" t="str">
        <v/>
      </c>
      <c r="AF64" s="205" t="str">
        <v/>
      </c>
      <c r="AG64" s="205" t="str">
        <v/>
      </c>
      <c r="AH64" s="205" t="str">
        <v/>
      </c>
      <c r="AI64" s="205" t="str">
        <v/>
      </c>
      <c r="AJ64" s="205" t="str">
        <v/>
      </c>
      <c r="AK64" s="205" t="str">
        <v/>
      </c>
      <c r="AL64" s="205" t="str">
        <v/>
      </c>
      <c r="AM64" s="205" t="str">
        <v/>
      </c>
      <c r="AN64" s="205" t="str">
        <v/>
      </c>
      <c r="AO64" s="205" t="str">
        <v/>
      </c>
      <c r="AP64" s="205" t="str">
        <v/>
      </c>
      <c r="AQ64" s="205" t="str">
        <v/>
      </c>
      <c r="AR64" s="1343" t="str">
        <v/>
      </c>
      <c r="AS64" s="608"/>
    </row>
    <row r="65" ht="19.5" customHeight="true" x14ac:dyDescent="0.25">
      <c r="B65" s="587"/>
      <c r="C65" s="190"/>
      <c r="D65" s="495" t="s">
        <v>1475</v>
      </c>
      <c r="E65" s="202">
        <f t="array" ref="E65:AR65">TRANSPOSE(IN_Entropy_MJ_h_K)</f>
        <v>-17.838678213498213</v>
      </c>
      <c r="F65" s="202" t="str">
        <v/>
      </c>
      <c r="G65" s="202" t="str">
        <v/>
      </c>
      <c r="H65" s="202" t="str">
        <v/>
      </c>
      <c r="I65" s="202" t="str">
        <v/>
      </c>
      <c r="J65" s="202" t="str">
        <v/>
      </c>
      <c r="K65" s="202" t="str">
        <v/>
      </c>
      <c r="L65" s="202" t="str">
        <v/>
      </c>
      <c r="M65" s="202" t="str">
        <v/>
      </c>
      <c r="N65" s="202" t="str">
        <v/>
      </c>
      <c r="O65" s="205" t="str">
        <v/>
      </c>
      <c r="P65" s="205" t="str">
        <v/>
      </c>
      <c r="Q65" s="205" t="str">
        <v/>
      </c>
      <c r="R65" s="205" t="str">
        <v/>
      </c>
      <c r="S65" s="205" t="str">
        <v/>
      </c>
      <c r="T65" s="205" t="str">
        <v/>
      </c>
      <c r="U65" s="205" t="str">
        <v/>
      </c>
      <c r="V65" s="205" t="str">
        <v/>
      </c>
      <c r="W65" s="205" t="str">
        <v/>
      </c>
      <c r="X65" s="205" t="str">
        <v/>
      </c>
      <c r="Y65" s="205" t="str">
        <v/>
      </c>
      <c r="Z65" s="205" t="str">
        <v/>
      </c>
      <c r="AA65" s="205" t="str">
        <v/>
      </c>
      <c r="AB65" s="205" t="str">
        <v/>
      </c>
      <c r="AC65" s="205" t="str">
        <v/>
      </c>
      <c r="AD65" s="205" t="str">
        <v/>
      </c>
      <c r="AE65" s="205" t="str">
        <v/>
      </c>
      <c r="AF65" s="205" t="str">
        <v/>
      </c>
      <c r="AG65" s="205" t="str">
        <v/>
      </c>
      <c r="AH65" s="205" t="str">
        <v/>
      </c>
      <c r="AI65" s="205" t="str">
        <v/>
      </c>
      <c r="AJ65" s="205" t="str">
        <v/>
      </c>
      <c r="AK65" s="205" t="str">
        <v/>
      </c>
      <c r="AL65" s="205" t="str">
        <v/>
      </c>
      <c r="AM65" s="205" t="str">
        <v/>
      </c>
      <c r="AN65" s="205" t="str">
        <v/>
      </c>
      <c r="AO65" s="205" t="str">
        <v/>
      </c>
      <c r="AP65" s="205" t="str">
        <v/>
      </c>
      <c r="AQ65" s="205" t="str">
        <v/>
      </c>
      <c r="AR65" s="1343" t="str">
        <v/>
      </c>
      <c r="AS65" s="608"/>
    </row>
    <row r="66" ht="19.5" customHeight="true" thickBot="true" x14ac:dyDescent="0.3">
      <c r="B66" s="587"/>
      <c r="C66" s="190"/>
      <c r="D66" s="573" t="s">
        <v>1455</v>
      </c>
      <c r="E66" s="1558">
        <f>IF(E62="","",SUMPRODUCT($E$7:$E56,'I. Stream &amp; Compound Data'!H32:H81))</f>
        <v>0</v>
      </c>
      <c r="F66" s="1558" t="str">
        <f>IF(F62="","",SUMPRODUCT($E$7:$E56,'I. Stream &amp; Compound Data'!K32:K81))</f>
        <v/>
      </c>
      <c r="G66" s="1558" t="str">
        <f>IF(G62="","",SUMPRODUCT($E$7:$E56,'I. Stream &amp; Compound Data'!N32:N81))</f>
        <v/>
      </c>
      <c r="H66" s="1558" t="str">
        <f>IF(H62="","",SUMPRODUCT($E$7:$E56,'I. Stream &amp; Compound Data'!Q32:Q81))</f>
        <v/>
      </c>
      <c r="I66" s="1558" t="str">
        <f>IF(I62="","",SUMPRODUCT($E$7:$E56,'I. Stream &amp; Compound Data'!T32:T81))</f>
        <v/>
      </c>
      <c r="J66" s="1558" t="str">
        <f>IF(J62="","",SUMPRODUCT($E$7:$E56,'I. Stream &amp; Compound Data'!W32:W81))</f>
        <v/>
      </c>
      <c r="K66" s="1558" t="str">
        <f>IF(K62="","",SUMPRODUCT($E$7:$E56,'I. Stream &amp; Compound Data'!Z32:Z81))</f>
        <v/>
      </c>
      <c r="L66" s="1558" t="str">
        <f>IF(L62="","",SUMPRODUCT($E$7:$E56,'I. Stream &amp; Compound Data'!AC32:AC81))</f>
        <v/>
      </c>
      <c r="M66" s="1558" t="str">
        <f>IF(M62="","",SUMPRODUCT($E$7:$E56,'I. Stream &amp; Compound Data'!AF32:AF81))</f>
        <v/>
      </c>
      <c r="N66" s="1558" t="str">
        <f>IF(N62="","",SUMPRODUCT($E$7:$E56,'I. Stream &amp; Compound Data'!AI32:AI81))</f>
        <v/>
      </c>
      <c r="O66" s="263" t="str">
        <f>IF(O62="","",SUMPRODUCT('I. Stream &amp; Compound Data'!AL32:AL81,($E$7:$E$56)))</f>
        <v/>
      </c>
      <c r="P66" s="263" t="str">
        <f>IF(P62="","",SUMPRODUCT('I. Stream &amp; Compound Data'!AO32:AO81,($E$7:$E$56)))</f>
        <v/>
      </c>
      <c r="Q66" s="263" t="str">
        <f>IF(Q62="","",SUMPRODUCT('I. Stream &amp; Compound Data'!AR32:AR81,($E$7:$E$56)))</f>
        <v/>
      </c>
      <c r="R66" s="263" t="str">
        <f>IF(R62="","",SUMPRODUCT('I. Stream &amp; Compound Data'!AU32:AU81,($E$7:$E$56)))</f>
        <v/>
      </c>
      <c r="S66" s="263" t="str">
        <f>IF(S62="","",SUMPRODUCT('I. Stream &amp; Compound Data'!AX32:AX81,($E$7:$E$56)))</f>
        <v/>
      </c>
      <c r="T66" s="263" t="str">
        <f>IF(T62="","",SUMPRODUCT('I. Stream &amp; Compound Data'!BA32:BA81,($E$7:$E$56)))</f>
        <v/>
      </c>
      <c r="U66" s="263" t="str">
        <f>IF(U62="","",SUMPRODUCT('I. Stream &amp; Compound Data'!BD32:BD81,($E$7:$E$56)))</f>
        <v/>
      </c>
      <c r="V66" s="263" t="str">
        <f>IF(V62="","",SUMPRODUCT('I. Stream &amp; Compound Data'!BG32:BG81,($E$7:$E$56)))</f>
        <v/>
      </c>
      <c r="W66" s="263" t="str">
        <f>IF(W62="","",SUMPRODUCT('I. Stream &amp; Compound Data'!BJ32:BJ81,($E$7:$E$56)))</f>
        <v/>
      </c>
      <c r="X66" s="263" t="str">
        <f>IF(X62="","",SUMPRODUCT('I. Stream &amp; Compound Data'!BM32:BM81,($E$7:$E$56)))</f>
        <v/>
      </c>
      <c r="Y66" s="263" t="str">
        <f>IF(Y62="","",SUMPRODUCT('I. Stream &amp; Compound Data'!BP32:BP81,($E$7:$E$56)))</f>
        <v/>
      </c>
      <c r="Z66" s="263" t="str">
        <f>IF(Z62="","",SUMPRODUCT('I. Stream &amp; Compound Data'!BS32:BS81,($E$7:$E$56)))</f>
        <v/>
      </c>
      <c r="AA66" s="263" t="str">
        <f>IF(AA62="","",SUMPRODUCT('I. Stream &amp; Compound Data'!BV32:BV81,($E$7:$E$56)))</f>
        <v/>
      </c>
      <c r="AB66" s="263" t="str">
        <f>IF(AB62="","",SUMPRODUCT('I. Stream &amp; Compound Data'!BY32:BY81,($E$7:$E$56)))</f>
        <v/>
      </c>
      <c r="AC66" s="263" t="str">
        <f>IF(AC62="","",SUMPRODUCT('I. Stream &amp; Compound Data'!CB32:CB81,($E$7:$E$56)))</f>
        <v/>
      </c>
      <c r="AD66" s="263" t="str">
        <f>IF(AD62="","",SUMPRODUCT('I. Stream &amp; Compound Data'!CE32:CE81,($E$7:$E$56)))</f>
        <v/>
      </c>
      <c r="AE66" s="263" t="str">
        <f>IF(AE62="","",SUMPRODUCT('I. Stream &amp; Compound Data'!CH32:CH81,($E$7:$E$56)))</f>
        <v/>
      </c>
      <c r="AF66" s="263" t="str">
        <f>IF(AF62="","",SUMPRODUCT('I. Stream &amp; Compound Data'!CK32:CK81,($E$7:$E$56)))</f>
        <v/>
      </c>
      <c r="AG66" s="263" t="str">
        <f>IF(AG62="","",SUMPRODUCT('I. Stream &amp; Compound Data'!CN32:CN81,($E$7:$E$56)))</f>
        <v/>
      </c>
      <c r="AH66" s="263" t="str">
        <f>IF(AH62="","",SUMPRODUCT('I. Stream &amp; Compound Data'!CQ32:CQ81,($E$7:$E$56)))</f>
        <v/>
      </c>
      <c r="AI66" s="263" t="str">
        <f>IF(AI62="","",SUMPRODUCT('I. Stream &amp; Compound Data'!CT32:CT81,($E$7:$E$56)))</f>
        <v/>
      </c>
      <c r="AJ66" s="263" t="str">
        <f>IF(AJ62="","",SUMPRODUCT('I. Stream &amp; Compound Data'!CW32:CW81,($E$7:$E$56)))</f>
        <v/>
      </c>
      <c r="AK66" s="263" t="str">
        <f>IF(AK62="","",SUMPRODUCT('I. Stream &amp; Compound Data'!CZ32:CZ81,($E$7:$E$56)))</f>
        <v/>
      </c>
      <c r="AL66" s="263" t="str">
        <f>IF(AL62="","",SUMPRODUCT('I. Stream &amp; Compound Data'!DC32:DC81,($E$7:$E$56)))</f>
        <v/>
      </c>
      <c r="AM66" s="263" t="str">
        <f>IF(AM62="","",SUMPRODUCT('I. Stream &amp; Compound Data'!DF32:DF81,($E$7:$E$56)))</f>
        <v/>
      </c>
      <c r="AN66" s="263" t="str">
        <f>IF(AN62="","",SUMPRODUCT('I. Stream &amp; Compound Data'!DI32:DI81,($E$7:$E$56)))</f>
        <v/>
      </c>
      <c r="AO66" s="263" t="str">
        <f>IF(AO62="","",SUMPRODUCT('I. Stream &amp; Compound Data'!DL32:DL81,($E$7:$E$56)))</f>
        <v/>
      </c>
      <c r="AP66" s="263" t="str">
        <f>IF(AP62="","",SUMPRODUCT('I. Stream &amp; Compound Data'!DO32:DO81,($E$7:$E$56)))</f>
        <v/>
      </c>
      <c r="AQ66" s="263" t="str">
        <f>IF(AQ62="","",SUMPRODUCT('I. Stream &amp; Compound Data'!DR32:DR81,($E$7:$E$56)))</f>
        <v/>
      </c>
      <c r="AR66" s="1227" t="str">
        <f>IF(AR62="","",SUMPRODUCT('I. Stream &amp; Compound Data'!DU32:DU81,($E$7:$E$56)))</f>
        <v/>
      </c>
      <c r="AS66" s="608"/>
    </row>
    <row r="67" ht="15" x14ac:dyDescent="0.25">
      <c r="B67" s="587"/>
      <c r="C67" s="190"/>
      <c r="D67" s="193"/>
      <c r="E67" s="193"/>
      <c r="F67" s="371"/>
      <c r="G67" s="570"/>
      <c r="H67" s="570"/>
      <c r="I67" s="570"/>
      <c r="J67" s="570"/>
      <c r="K67" s="570"/>
      <c r="L67" s="570"/>
      <c r="M67" s="570"/>
      <c r="N67" s="570"/>
      <c r="O67" s="190"/>
      <c r="P67" s="190"/>
      <c r="Q67" s="190"/>
      <c r="R67" s="190"/>
      <c r="S67" s="190"/>
      <c r="T67" s="190"/>
      <c r="U67" s="190"/>
      <c r="V67" s="190"/>
      <c r="W67" s="190"/>
      <c r="X67" s="190"/>
      <c r="Y67" s="190"/>
      <c r="Z67" s="190"/>
      <c r="AA67" s="190"/>
      <c r="AB67" s="190"/>
      <c r="AC67" s="190"/>
      <c r="AD67" s="190"/>
      <c r="AE67" s="190"/>
      <c r="AF67" s="190"/>
      <c r="AG67" s="190"/>
      <c r="AH67" s="190"/>
      <c r="AI67" s="190"/>
      <c r="AJ67" s="190"/>
      <c r="AK67" s="190"/>
      <c r="AL67" s="190"/>
      <c r="AM67" s="190"/>
      <c r="AN67" s="190"/>
      <c r="AO67" s="190"/>
      <c r="AP67" s="190"/>
      <c r="AQ67" s="190"/>
      <c r="AR67" s="190"/>
      <c r="AS67" s="608"/>
    </row>
    <row r="68" ht="15" x14ac:dyDescent="0.25">
      <c r="B68" s="587"/>
      <c r="C68" s="190"/>
      <c r="D68" s="193"/>
      <c r="E68" s="193"/>
      <c r="F68" s="371"/>
      <c r="G68" s="570"/>
      <c r="H68" s="570"/>
      <c r="I68" s="570"/>
      <c r="J68" s="570"/>
      <c r="K68" s="570"/>
      <c r="L68" s="570"/>
      <c r="M68" s="570"/>
      <c r="N68" s="570"/>
      <c r="O68" s="190"/>
      <c r="P68" s="190"/>
      <c r="Q68" s="190"/>
      <c r="R68" s="190"/>
      <c r="S68" s="190"/>
      <c r="T68" s="190"/>
      <c r="U68" s="190"/>
      <c r="V68" s="190"/>
      <c r="W68" s="190"/>
      <c r="X68" s="190"/>
      <c r="Y68" s="190"/>
      <c r="Z68" s="190"/>
      <c r="AA68" s="190"/>
      <c r="AB68" s="190"/>
      <c r="AC68" s="190"/>
      <c r="AD68" s="190"/>
      <c r="AE68" s="190"/>
      <c r="AF68" s="190"/>
      <c r="AG68" s="190"/>
      <c r="AH68" s="190"/>
      <c r="AI68" s="190"/>
      <c r="AJ68" s="190"/>
      <c r="AK68" s="190"/>
      <c r="AL68" s="190"/>
      <c r="AM68" s="190"/>
      <c r="AN68" s="190"/>
      <c r="AO68" s="190"/>
      <c r="AP68" s="190"/>
      <c r="AQ68" s="190"/>
      <c r="AR68" s="190"/>
      <c r="AS68" s="608"/>
    </row>
    <row r="69" ht="15" x14ac:dyDescent="0.25">
      <c r="B69" s="587"/>
      <c r="C69" s="190"/>
      <c r="D69" s="193"/>
      <c r="E69" s="193"/>
      <c r="F69" s="371"/>
      <c r="G69" s="570"/>
      <c r="H69" s="570"/>
      <c r="I69" s="570"/>
      <c r="J69" s="570"/>
      <c r="K69" s="570"/>
      <c r="L69" s="570"/>
      <c r="M69" s="570"/>
      <c r="N69" s="570"/>
      <c r="O69" s="190"/>
      <c r="P69" s="190"/>
      <c r="Q69" s="190"/>
      <c r="R69" s="190"/>
      <c r="S69" s="190"/>
      <c r="T69" s="190"/>
      <c r="U69" s="190"/>
      <c r="V69" s="190"/>
      <c r="W69" s="190"/>
      <c r="X69" s="190"/>
      <c r="Y69" s="190"/>
      <c r="Z69" s="190"/>
      <c r="AA69" s="190"/>
      <c r="AB69" s="190"/>
      <c r="AC69" s="190"/>
      <c r="AD69" s="190"/>
      <c r="AE69" s="190"/>
      <c r="AF69" s="190"/>
      <c r="AG69" s="190"/>
      <c r="AH69" s="190"/>
      <c r="AI69" s="190"/>
      <c r="AJ69" s="190"/>
      <c r="AK69" s="190"/>
      <c r="AL69" s="190"/>
      <c r="AM69" s="190"/>
      <c r="AN69" s="190"/>
      <c r="AO69" s="190"/>
      <c r="AP69" s="190"/>
      <c r="AQ69" s="190"/>
      <c r="AR69" s="190"/>
      <c r="AS69" s="608"/>
    </row>
    <row r="70" ht="22.8" x14ac:dyDescent="0.4">
      <c r="B70" s="587"/>
      <c r="C70" s="190"/>
      <c r="D70" s="569" t="s">
        <v>1480</v>
      </c>
      <c r="E70" s="193"/>
      <c r="F70" s="371"/>
      <c r="G70" s="570"/>
      <c r="H70" s="570"/>
      <c r="I70" s="570"/>
      <c r="J70" s="570"/>
      <c r="K70" s="570"/>
      <c r="L70" s="570"/>
      <c r="M70" s="570"/>
      <c r="N70" s="570"/>
      <c r="O70" s="190"/>
      <c r="P70" s="190"/>
      <c r="Q70" s="190"/>
      <c r="R70" s="190"/>
      <c r="S70" s="190"/>
      <c r="T70" s="190"/>
      <c r="U70" s="190"/>
      <c r="V70" s="190"/>
      <c r="W70" s="190"/>
      <c r="X70" s="190"/>
      <c r="Y70" s="190"/>
      <c r="Z70" s="190"/>
      <c r="AA70" s="190"/>
      <c r="AB70" s="190"/>
      <c r="AC70" s="190"/>
      <c r="AD70" s="190"/>
      <c r="AE70" s="190"/>
      <c r="AF70" s="190"/>
      <c r="AG70" s="190"/>
      <c r="AH70" s="190"/>
      <c r="AI70" s="190"/>
      <c r="AJ70" s="190"/>
      <c r="AK70" s="190"/>
      <c r="AL70" s="190"/>
      <c r="AM70" s="190"/>
      <c r="AN70" s="190"/>
      <c r="AO70" s="190"/>
      <c r="AP70" s="190"/>
      <c r="AQ70" s="190"/>
      <c r="AR70" s="190"/>
      <c r="AS70" s="608"/>
    </row>
    <row r="71" ht="16.2" thickBot="true" x14ac:dyDescent="0.3">
      <c r="B71" s="587"/>
      <c r="C71" s="190"/>
      <c r="D71" s="571"/>
      <c r="E71" s="572">
        <v>1</v>
      </c>
      <c r="F71" s="194">
        <f>E71+1</f>
        <v>2</v>
      </c>
      <c r="G71" s="194">
        <f t="shared" ref="G71:AR71" si="2">F71+1</f>
        <v>3</v>
      </c>
      <c r="H71" s="194">
        <f t="shared" si="2"/>
        <v>4</v>
      </c>
      <c r="I71" s="194">
        <f t="shared" si="2"/>
        <v>5</v>
      </c>
      <c r="J71" s="194">
        <f t="shared" si="2"/>
        <v>6</v>
      </c>
      <c r="K71" s="194">
        <f t="shared" si="2"/>
        <v>7</v>
      </c>
      <c r="L71" s="194">
        <f t="shared" si="2"/>
        <v>8</v>
      </c>
      <c r="M71" s="194">
        <f t="shared" si="2"/>
        <v>9</v>
      </c>
      <c r="N71" s="194">
        <f t="shared" si="2"/>
        <v>10</v>
      </c>
      <c r="O71" s="194">
        <f t="shared" si="2"/>
        <v>11</v>
      </c>
      <c r="P71" s="194">
        <f t="shared" si="2"/>
        <v>12</v>
      </c>
      <c r="Q71" s="194">
        <f t="shared" si="2"/>
        <v>13</v>
      </c>
      <c r="R71" s="194">
        <f t="shared" si="2"/>
        <v>14</v>
      </c>
      <c r="S71" s="194">
        <f t="shared" si="2"/>
        <v>15</v>
      </c>
      <c r="T71" s="194">
        <f t="shared" si="2"/>
        <v>16</v>
      </c>
      <c r="U71" s="194">
        <f t="shared" si="2"/>
        <v>17</v>
      </c>
      <c r="V71" s="194">
        <f t="shared" si="2"/>
        <v>18</v>
      </c>
      <c r="W71" s="194">
        <f t="shared" si="2"/>
        <v>19</v>
      </c>
      <c r="X71" s="194">
        <f t="shared" si="2"/>
        <v>20</v>
      </c>
      <c r="Y71" s="194">
        <f t="shared" si="2"/>
        <v>21</v>
      </c>
      <c r="Z71" s="194">
        <f t="shared" si="2"/>
        <v>22</v>
      </c>
      <c r="AA71" s="194">
        <f t="shared" si="2"/>
        <v>23</v>
      </c>
      <c r="AB71" s="194">
        <f t="shared" si="2"/>
        <v>24</v>
      </c>
      <c r="AC71" s="194">
        <f t="shared" si="2"/>
        <v>25</v>
      </c>
      <c r="AD71" s="194">
        <f t="shared" si="2"/>
        <v>26</v>
      </c>
      <c r="AE71" s="194">
        <f t="shared" si="2"/>
        <v>27</v>
      </c>
      <c r="AF71" s="194">
        <f t="shared" si="2"/>
        <v>28</v>
      </c>
      <c r="AG71" s="194">
        <f t="shared" si="2"/>
        <v>29</v>
      </c>
      <c r="AH71" s="194">
        <f t="shared" si="2"/>
        <v>30</v>
      </c>
      <c r="AI71" s="194">
        <f t="shared" si="2"/>
        <v>31</v>
      </c>
      <c r="AJ71" s="194">
        <f t="shared" si="2"/>
        <v>32</v>
      </c>
      <c r="AK71" s="194">
        <f t="shared" si="2"/>
        <v>33</v>
      </c>
      <c r="AL71" s="194">
        <f t="shared" si="2"/>
        <v>34</v>
      </c>
      <c r="AM71" s="194">
        <f t="shared" si="2"/>
        <v>35</v>
      </c>
      <c r="AN71" s="194">
        <f t="shared" si="2"/>
        <v>36</v>
      </c>
      <c r="AO71" s="194">
        <f t="shared" si="2"/>
        <v>37</v>
      </c>
      <c r="AP71" s="194">
        <f t="shared" si="2"/>
        <v>38</v>
      </c>
      <c r="AQ71" s="194">
        <f t="shared" si="2"/>
        <v>39</v>
      </c>
      <c r="AR71" s="194">
        <f t="shared" si="2"/>
        <v>40</v>
      </c>
      <c r="AS71" s="608"/>
    </row>
    <row r="72" ht="21" customHeight="true" x14ac:dyDescent="0.25">
      <c r="B72" s="587"/>
      <c r="C72" s="190"/>
      <c r="D72" s="1165" t="s">
        <v>76</v>
      </c>
      <c r="E72" s="1185" t="str">
        <f t="array" ref="E72:AR72">TRANSPOSE(OUT_stream_Num)</f>
        <v>S1-2</v>
      </c>
      <c r="F72" s="1185" t="str">
        <v>CO2</v>
      </c>
      <c r="G72" s="1185" t="str">
        <v/>
      </c>
      <c r="H72" s="1185" t="str">
        <v/>
      </c>
      <c r="I72" s="1185" t="str">
        <v/>
      </c>
      <c r="J72" s="1185">
        <v>303</v>
      </c>
      <c r="K72" s="1185" t="str">
        <v/>
      </c>
      <c r="L72" s="1185" t="str">
        <v/>
      </c>
      <c r="M72" s="1185" t="str">
        <v/>
      </c>
      <c r="N72" s="1185" t="str">
        <v/>
      </c>
      <c r="O72" s="1183" t="str">
        <v/>
      </c>
      <c r="P72" s="1183" t="str">
        <v/>
      </c>
      <c r="Q72" s="1183" t="str">
        <v/>
      </c>
      <c r="R72" s="1183" t="str">
        <v/>
      </c>
      <c r="S72" s="1183" t="str">
        <v/>
      </c>
      <c r="T72" s="1183" t="str">
        <v/>
      </c>
      <c r="U72" s="1183" t="str">
        <v/>
      </c>
      <c r="V72" s="1183" t="str">
        <v/>
      </c>
      <c r="W72" s="1183" t="str">
        <v/>
      </c>
      <c r="X72" s="1183" t="str">
        <v/>
      </c>
      <c r="Y72" s="1183" t="str">
        <v/>
      </c>
      <c r="Z72" s="1183" t="str">
        <v/>
      </c>
      <c r="AA72" s="1183" t="str">
        <v/>
      </c>
      <c r="AB72" s="1183" t="str">
        <v/>
      </c>
      <c r="AC72" s="1183" t="str">
        <v/>
      </c>
      <c r="AD72" s="1183" t="str">
        <v/>
      </c>
      <c r="AE72" s="1183" t="str">
        <v/>
      </c>
      <c r="AF72" s="1183" t="str">
        <v/>
      </c>
      <c r="AG72" s="1183" t="str">
        <v/>
      </c>
      <c r="AH72" s="1183" t="str">
        <v/>
      </c>
      <c r="AI72" s="1183" t="str">
        <v/>
      </c>
      <c r="AJ72" s="1183" t="str">
        <v/>
      </c>
      <c r="AK72" s="1183" t="str">
        <v/>
      </c>
      <c r="AL72" s="1183" t="str">
        <v/>
      </c>
      <c r="AM72" s="1183" t="str">
        <v/>
      </c>
      <c r="AN72" s="1183" t="str">
        <v/>
      </c>
      <c r="AO72" s="1183" t="str">
        <v/>
      </c>
      <c r="AP72" s="1183" t="str">
        <v/>
      </c>
      <c r="AQ72" s="1183" t="str">
        <v/>
      </c>
      <c r="AR72" s="1557" t="str">
        <v/>
      </c>
      <c r="AS72" s="608"/>
    </row>
    <row r="73" ht="21" customHeight="true" x14ac:dyDescent="0.25">
      <c r="B73" s="587"/>
      <c r="C73" s="190"/>
      <c r="D73" s="274" t="s">
        <v>1481</v>
      </c>
      <c r="E73" s="202">
        <f t="array" ref="E73:AR73">TRANSPOSE(OUT_Product_1__waste_0)</f>
        <v>1</v>
      </c>
      <c r="F73" s="202">
        <v>0</v>
      </c>
      <c r="G73" s="202" t="str">
        <v/>
      </c>
      <c r="H73" s="202" t="str">
        <v/>
      </c>
      <c r="I73" s="202" t="str">
        <v/>
      </c>
      <c r="J73" s="202">
        <v>0</v>
      </c>
      <c r="K73" s="202" t="str">
        <v/>
      </c>
      <c r="L73" s="202" t="str">
        <v/>
      </c>
      <c r="M73" s="202" t="str">
        <v/>
      </c>
      <c r="N73" s="202" t="str">
        <v/>
      </c>
      <c r="O73" s="205" t="str">
        <v/>
      </c>
      <c r="P73" s="205" t="str">
        <v/>
      </c>
      <c r="Q73" s="205" t="str">
        <v/>
      </c>
      <c r="R73" s="205" t="str">
        <v/>
      </c>
      <c r="S73" s="205" t="str">
        <v/>
      </c>
      <c r="T73" s="205" t="str">
        <v/>
      </c>
      <c r="U73" s="205" t="str">
        <v/>
      </c>
      <c r="V73" s="205" t="str">
        <v/>
      </c>
      <c r="W73" s="205" t="str">
        <v/>
      </c>
      <c r="X73" s="205" t="str">
        <v/>
      </c>
      <c r="Y73" s="205" t="str">
        <v/>
      </c>
      <c r="Z73" s="205" t="str">
        <v/>
      </c>
      <c r="AA73" s="205" t="str">
        <v/>
      </c>
      <c r="AB73" s="205" t="str">
        <v/>
      </c>
      <c r="AC73" s="205" t="str">
        <v/>
      </c>
      <c r="AD73" s="205" t="str">
        <v/>
      </c>
      <c r="AE73" s="205" t="str">
        <v/>
      </c>
      <c r="AF73" s="205" t="str">
        <v/>
      </c>
      <c r="AG73" s="205" t="str">
        <v/>
      </c>
      <c r="AH73" s="205" t="str">
        <v/>
      </c>
      <c r="AI73" s="205" t="str">
        <v/>
      </c>
      <c r="AJ73" s="205" t="str">
        <v/>
      </c>
      <c r="AK73" s="205" t="str">
        <v/>
      </c>
      <c r="AL73" s="205" t="str">
        <v/>
      </c>
      <c r="AM73" s="205" t="str">
        <v/>
      </c>
      <c r="AN73" s="205" t="str">
        <v/>
      </c>
      <c r="AO73" s="205" t="str">
        <v/>
      </c>
      <c r="AP73" s="205" t="str">
        <v/>
      </c>
      <c r="AQ73" s="205" t="str">
        <v/>
      </c>
      <c r="AR73" s="1343" t="str">
        <v/>
      </c>
      <c r="AS73" s="608"/>
    </row>
    <row r="74" ht="21" customHeight="true" x14ac:dyDescent="0.25">
      <c r="B74" s="587"/>
      <c r="C74" s="190"/>
      <c r="D74" s="274" t="s">
        <v>28</v>
      </c>
      <c r="E74" s="202" t="str">
        <f t="array" ref="E74:AR74">TRANSPOSE(OUT_renewability)</f>
        <v>yes</v>
      </c>
      <c r="F74" s="202" t="str">
        <v/>
      </c>
      <c r="G74" s="202" t="str">
        <v/>
      </c>
      <c r="H74" s="202" t="str">
        <v/>
      </c>
      <c r="I74" s="202" t="str">
        <v/>
      </c>
      <c r="J74" s="202" t="str">
        <v/>
      </c>
      <c r="K74" s="202" t="str">
        <v/>
      </c>
      <c r="L74" s="202" t="str">
        <v/>
      </c>
      <c r="M74" s="202" t="str">
        <v/>
      </c>
      <c r="N74" s="202" t="str">
        <v/>
      </c>
      <c r="O74" s="205" t="str">
        <v/>
      </c>
      <c r="P74" s="205" t="str">
        <v/>
      </c>
      <c r="Q74" s="205" t="str">
        <v/>
      </c>
      <c r="R74" s="205" t="str">
        <v/>
      </c>
      <c r="S74" s="205" t="str">
        <v/>
      </c>
      <c r="T74" s="205" t="str">
        <v/>
      </c>
      <c r="U74" s="205" t="str">
        <v/>
      </c>
      <c r="V74" s="205" t="str">
        <v/>
      </c>
      <c r="W74" s="205" t="str">
        <v/>
      </c>
      <c r="X74" s="205" t="str">
        <v/>
      </c>
      <c r="Y74" s="205" t="str">
        <v/>
      </c>
      <c r="Z74" s="205" t="str">
        <v/>
      </c>
      <c r="AA74" s="205" t="str">
        <v/>
      </c>
      <c r="AB74" s="205" t="str">
        <v/>
      </c>
      <c r="AC74" s="205" t="str">
        <v/>
      </c>
      <c r="AD74" s="205" t="str">
        <v/>
      </c>
      <c r="AE74" s="205" t="str">
        <v/>
      </c>
      <c r="AF74" s="205" t="str">
        <v/>
      </c>
      <c r="AG74" s="205" t="str">
        <v/>
      </c>
      <c r="AH74" s="205" t="str">
        <v/>
      </c>
      <c r="AI74" s="205" t="str">
        <v/>
      </c>
      <c r="AJ74" s="205" t="str">
        <v/>
      </c>
      <c r="AK74" s="205" t="str">
        <v/>
      </c>
      <c r="AL74" s="205" t="str">
        <v/>
      </c>
      <c r="AM74" s="205" t="str">
        <v/>
      </c>
      <c r="AN74" s="205" t="str">
        <v/>
      </c>
      <c r="AO74" s="205" t="str">
        <v/>
      </c>
      <c r="AP74" s="205" t="str">
        <v/>
      </c>
      <c r="AQ74" s="205" t="str">
        <v/>
      </c>
      <c r="AR74" s="1343" t="str">
        <v/>
      </c>
      <c r="AS74" s="608"/>
    </row>
    <row r="75" ht="21" customHeight="true" x14ac:dyDescent="0.25">
      <c r="B75" s="587"/>
      <c r="C75" s="190"/>
      <c r="D75" s="495" t="s">
        <v>1474</v>
      </c>
      <c r="E75" s="202">
        <f t="array" ref="E75:AR75">TRANSPOSE(OUT_Enthalpy__MJ_h)</f>
        <v>-4916954.2417169847</v>
      </c>
      <c r="F75" s="202">
        <v>-399821.58125213848</v>
      </c>
      <c r="G75" s="202" t="str">
        <v/>
      </c>
      <c r="H75" s="202" t="str">
        <v/>
      </c>
      <c r="I75" s="202" t="str">
        <v/>
      </c>
      <c r="J75" s="202">
        <v>0</v>
      </c>
      <c r="K75" s="202" t="str">
        <v/>
      </c>
      <c r="L75" s="202" t="str">
        <v/>
      </c>
      <c r="M75" s="202" t="str">
        <v/>
      </c>
      <c r="N75" s="202" t="str">
        <v/>
      </c>
      <c r="O75" s="205" t="str">
        <v/>
      </c>
      <c r="P75" s="205" t="str">
        <v/>
      </c>
      <c r="Q75" s="205" t="str">
        <v/>
      </c>
      <c r="R75" s="205" t="str">
        <v/>
      </c>
      <c r="S75" s="205" t="str">
        <v/>
      </c>
      <c r="T75" s="205" t="str">
        <v/>
      </c>
      <c r="U75" s="205" t="str">
        <v/>
      </c>
      <c r="V75" s="205" t="str">
        <v/>
      </c>
      <c r="W75" s="205" t="str">
        <v/>
      </c>
      <c r="X75" s="205" t="str">
        <v/>
      </c>
      <c r="Y75" s="205" t="str">
        <v/>
      </c>
      <c r="Z75" s="205" t="str">
        <v/>
      </c>
      <c r="AA75" s="205" t="str">
        <v/>
      </c>
      <c r="AB75" s="205" t="str">
        <v/>
      </c>
      <c r="AC75" s="205" t="str">
        <v/>
      </c>
      <c r="AD75" s="205" t="str">
        <v/>
      </c>
      <c r="AE75" s="205" t="str">
        <v/>
      </c>
      <c r="AF75" s="205" t="str">
        <v/>
      </c>
      <c r="AG75" s="205" t="str">
        <v/>
      </c>
      <c r="AH75" s="205" t="str">
        <v/>
      </c>
      <c r="AI75" s="205" t="str">
        <v/>
      </c>
      <c r="AJ75" s="205" t="str">
        <v/>
      </c>
      <c r="AK75" s="205" t="str">
        <v/>
      </c>
      <c r="AL75" s="205" t="str">
        <v/>
      </c>
      <c r="AM75" s="205" t="str">
        <v/>
      </c>
      <c r="AN75" s="205" t="str">
        <v/>
      </c>
      <c r="AO75" s="205" t="str">
        <v/>
      </c>
      <c r="AP75" s="205" t="str">
        <v/>
      </c>
      <c r="AQ75" s="205" t="str">
        <v/>
      </c>
      <c r="AR75" s="1343" t="str">
        <v/>
      </c>
      <c r="AS75" s="608"/>
    </row>
    <row r="76" ht="21" customHeight="true" x14ac:dyDescent="0.25">
      <c r="B76" s="587"/>
      <c r="C76" s="190"/>
      <c r="D76" s="495" t="s">
        <v>1475</v>
      </c>
      <c r="E76" s="202">
        <f t="array" ref="E76:AR76">TRANSPOSE(OUT_Entropy__MJ_K_h)</f>
        <v>-9.7321236926486687</v>
      </c>
      <c r="F76" s="202">
        <v>0.19630744634537137</v>
      </c>
      <c r="G76" s="202" t="str">
        <v/>
      </c>
      <c r="H76" s="202" t="str">
        <v/>
      </c>
      <c r="I76" s="202" t="str">
        <v/>
      </c>
      <c r="J76" s="202">
        <v>0</v>
      </c>
      <c r="K76" s="202" t="str">
        <v/>
      </c>
      <c r="L76" s="202" t="str">
        <v/>
      </c>
      <c r="M76" s="202" t="str">
        <v/>
      </c>
      <c r="N76" s="202" t="str">
        <v/>
      </c>
      <c r="O76" s="205" t="str">
        <v/>
      </c>
      <c r="P76" s="205" t="str">
        <v/>
      </c>
      <c r="Q76" s="205" t="str">
        <v/>
      </c>
      <c r="R76" s="205" t="str">
        <v/>
      </c>
      <c r="S76" s="205" t="str">
        <v/>
      </c>
      <c r="T76" s="205" t="str">
        <v/>
      </c>
      <c r="U76" s="205" t="str">
        <v/>
      </c>
      <c r="V76" s="205" t="str">
        <v/>
      </c>
      <c r="W76" s="205" t="str">
        <v/>
      </c>
      <c r="X76" s="205" t="str">
        <v/>
      </c>
      <c r="Y76" s="205" t="str">
        <v/>
      </c>
      <c r="Z76" s="205" t="str">
        <v/>
      </c>
      <c r="AA76" s="205" t="str">
        <v/>
      </c>
      <c r="AB76" s="205" t="str">
        <v/>
      </c>
      <c r="AC76" s="205" t="str">
        <v/>
      </c>
      <c r="AD76" s="205" t="str">
        <v/>
      </c>
      <c r="AE76" s="205" t="str">
        <v/>
      </c>
      <c r="AF76" s="205" t="str">
        <v/>
      </c>
      <c r="AG76" s="205" t="str">
        <v/>
      </c>
      <c r="AH76" s="205" t="str">
        <v/>
      </c>
      <c r="AI76" s="205" t="str">
        <v/>
      </c>
      <c r="AJ76" s="205" t="str">
        <v/>
      </c>
      <c r="AK76" s="205" t="str">
        <v/>
      </c>
      <c r="AL76" s="205" t="str">
        <v/>
      </c>
      <c r="AM76" s="205" t="str">
        <v/>
      </c>
      <c r="AN76" s="205" t="str">
        <v/>
      </c>
      <c r="AO76" s="205" t="str">
        <v/>
      </c>
      <c r="AP76" s="205" t="str">
        <v/>
      </c>
      <c r="AQ76" s="205" t="str">
        <v/>
      </c>
      <c r="AR76" s="1343" t="str">
        <v/>
      </c>
      <c r="AS76" s="608"/>
    </row>
    <row r="77" ht="21" customHeight="true" thickBot="true" x14ac:dyDescent="0.3">
      <c r="B77" s="587"/>
      <c r="C77" s="190"/>
      <c r="D77" s="573" t="s">
        <v>1455</v>
      </c>
      <c r="E77" s="1558">
        <f>IF(E72="","",SUMPRODUCT($E$7:$E56,'I. Stream &amp; Compound Data'!H186:H235))</f>
        <v>0</v>
      </c>
      <c r="F77" s="1558">
        <f>IF(F72="","",SUMPRODUCT($E$7:$E56,'I. Stream &amp; Compound Data'!K186:K235))</f>
        <v>112672367.15363999</v>
      </c>
      <c r="G77" s="1558" t="str">
        <f>IF(G72="","",SUMPRODUCT($E$7:$E56,'I. Stream &amp; Compound Data'!N186:N235))</f>
        <v/>
      </c>
      <c r="H77" s="1558" t="str">
        <f>IF(H72="","",SUMPRODUCT($E$7:$E56,'I. Stream &amp; Compound Data'!Q186:Q235))</f>
        <v/>
      </c>
      <c r="I77" s="1558" t="str">
        <f>IF(I72="","",SUMPRODUCT($E$7:$E56,'I. Stream &amp; Compound Data'!T186:T235))</f>
        <v/>
      </c>
      <c r="J77" s="1558">
        <f>IF(J72="","",SUMPRODUCT($E$7:$E56,'I. Stream &amp; Compound Data'!W186:W235))</f>
        <v>0</v>
      </c>
      <c r="K77" s="1558" t="str">
        <f>IF(K72="","",SUMPRODUCT($E$7:$E56,'I. Stream &amp; Compound Data'!Z186:Z235))</f>
        <v/>
      </c>
      <c r="L77" s="1558" t="str">
        <f>IF(L72="","",SUMPRODUCT($E$7:$E56,'I. Stream &amp; Compound Data'!AC186:AC235))</f>
        <v/>
      </c>
      <c r="M77" s="1558" t="str">
        <f>IF(M72="","",SUMPRODUCT($E$7:$E56,'I. Stream &amp; Compound Data'!AF186:AF235))</f>
        <v/>
      </c>
      <c r="N77" s="1558" t="str">
        <f>IF(N72="","",SUMPRODUCT($E$7:$E56,'I. Stream &amp; Compound Data'!AI186:AI235))</f>
        <v/>
      </c>
      <c r="O77" s="263" t="str">
        <f>IF(O72="","",SUMPRODUCT('I. Stream &amp; Compound Data'!AL186:AL235,($E$7:$E$56)))</f>
        <v/>
      </c>
      <c r="P77" s="263" t="str">
        <f>IF(P72="","",SUMPRODUCT('I. Stream &amp; Compound Data'!AO186:AO235,($E$7:$E$56)))</f>
        <v/>
      </c>
      <c r="Q77" s="263" t="str">
        <f>IF(Q72="","",SUMPRODUCT('I. Stream &amp; Compound Data'!AR186:AR235,($E$7:$E$56)))</f>
        <v/>
      </c>
      <c r="R77" s="263" t="str">
        <f>IF(R72="","",SUMPRODUCT('I. Stream &amp; Compound Data'!AU186:AU235,($E$7:$E$56)))</f>
        <v/>
      </c>
      <c r="S77" s="263" t="str">
        <f>IF(S72="","",SUMPRODUCT('I. Stream &amp; Compound Data'!AX186:AX235,($E$7:$E$56)))</f>
        <v/>
      </c>
      <c r="T77" s="263" t="str">
        <f>IF(T72="","",SUMPRODUCT('I. Stream &amp; Compound Data'!BA186:BA235,($E$7:$E$56)))</f>
        <v/>
      </c>
      <c r="U77" s="263" t="str">
        <f>IF(U72="","",SUMPRODUCT('I. Stream &amp; Compound Data'!BD186:BD235,($E$7:$E$56)))</f>
        <v/>
      </c>
      <c r="V77" s="263" t="str">
        <f>IF(V72="","",SUMPRODUCT('I. Stream &amp; Compound Data'!BG186:BG235,($E$7:$E$56)))</f>
        <v/>
      </c>
      <c r="W77" s="263" t="str">
        <f>IF(W72="","",SUMPRODUCT('I. Stream &amp; Compound Data'!BJ186:BJ235,($E$7:$E$56)))</f>
        <v/>
      </c>
      <c r="X77" s="263" t="str">
        <f>IF(X72="","",SUMPRODUCT('I. Stream &amp; Compound Data'!BM186:BM235,($E$7:$E$56)))</f>
        <v/>
      </c>
      <c r="Y77" s="263" t="str">
        <f>IF(Y72="","",SUMPRODUCT('I. Stream &amp; Compound Data'!BP186:BP235,($E$7:$E$56)))</f>
        <v/>
      </c>
      <c r="Z77" s="263" t="str">
        <f>IF(Z72="","",SUMPRODUCT('I. Stream &amp; Compound Data'!BS186:BS235,($E$7:$E$56)))</f>
        <v/>
      </c>
      <c r="AA77" s="263" t="str">
        <f>IF(AA72="","",SUMPRODUCT('I. Stream &amp; Compound Data'!BV186:BV235,($E$7:$E$56)))</f>
        <v/>
      </c>
      <c r="AB77" s="263" t="str">
        <f>IF(AB72="","",SUMPRODUCT('I. Stream &amp; Compound Data'!BY186:BY235,($E$7:$E$56)))</f>
        <v/>
      </c>
      <c r="AC77" s="263" t="str">
        <f>IF(AC72="","",SUMPRODUCT('I. Stream &amp; Compound Data'!CB186:CB235,($E$7:$E$56)))</f>
        <v/>
      </c>
      <c r="AD77" s="263" t="str">
        <f>IF(AD72="","",SUMPRODUCT('I. Stream &amp; Compound Data'!CE186:CE235,($E$7:$E$56)))</f>
        <v/>
      </c>
      <c r="AE77" s="263" t="str">
        <f>IF(AE72="","",SUMPRODUCT('I. Stream &amp; Compound Data'!CH186:CH235,($E$7:$E$56)))</f>
        <v/>
      </c>
      <c r="AF77" s="263" t="str">
        <f>IF(AF72="","",SUMPRODUCT('I. Stream &amp; Compound Data'!CK186:CK235,($E$7:$E$56)))</f>
        <v/>
      </c>
      <c r="AG77" s="263" t="str">
        <f>IF(AG72="","",SUMPRODUCT('I. Stream &amp; Compound Data'!CN186:CN235,($E$7:$E$56)))</f>
        <v/>
      </c>
      <c r="AH77" s="263" t="str">
        <f>IF(AH72="","",SUMPRODUCT('I. Stream &amp; Compound Data'!CQ186:CQ235,($E$7:$E$56)))</f>
        <v/>
      </c>
      <c r="AI77" s="263" t="str">
        <f>IF(AI72="","",SUMPRODUCT('I. Stream &amp; Compound Data'!CT186:CT235,($E$7:$E$56)))</f>
        <v/>
      </c>
      <c r="AJ77" s="263" t="str">
        <f>IF(AJ72="","",SUMPRODUCT('I. Stream &amp; Compound Data'!CW186:CW235,($E$7:$E$56)))</f>
        <v/>
      </c>
      <c r="AK77" s="263" t="str">
        <f>IF(AK72="","",SUMPRODUCT('I. Stream &amp; Compound Data'!CZ186:CZ235,($E$7:$E$56)))</f>
        <v/>
      </c>
      <c r="AL77" s="263" t="str">
        <f>IF(AL72="","",SUMPRODUCT('I. Stream &amp; Compound Data'!DC186:DC235,($E$7:$E$56)))</f>
        <v/>
      </c>
      <c r="AM77" s="263" t="str">
        <f>IF(AM72="","",SUMPRODUCT('I. Stream &amp; Compound Data'!DF186:DF235,($E$7:$E$56)))</f>
        <v/>
      </c>
      <c r="AN77" s="263" t="str">
        <f>IF(AN72="","",SUMPRODUCT('I. Stream &amp; Compound Data'!DI186:DI235,($E$7:$E$56)))</f>
        <v/>
      </c>
      <c r="AO77" s="263" t="str">
        <f>IF(AO72="","",SUMPRODUCT('I. Stream &amp; Compound Data'!DL186:DL235,($E$7:$E$56)))</f>
        <v/>
      </c>
      <c r="AP77" s="263" t="str">
        <f>IF(AP72="","",SUMPRODUCT('I. Stream &amp; Compound Data'!DO186:DO235,($E$7:$E$56)))</f>
        <v/>
      </c>
      <c r="AQ77" s="263" t="str">
        <f>IF(AQ72="","",SUMPRODUCT('I. Stream &amp; Compound Data'!DR186:DR235,($E$7:$E$56)))</f>
        <v/>
      </c>
      <c r="AR77" s="1227" t="str">
        <f>IF(AR72="","",SUMPRODUCT('I. Stream &amp; Compound Data'!DU186:DU235,($E$7:$E$56)))</f>
        <v/>
      </c>
      <c r="AS77" s="608"/>
    </row>
    <row r="78" x14ac:dyDescent="0.25">
      <c r="B78" s="587"/>
      <c r="C78" s="190"/>
      <c r="D78" s="190"/>
      <c r="E78" s="190"/>
      <c r="F78" s="190"/>
      <c r="G78" s="190"/>
      <c r="H78" s="190"/>
      <c r="I78" s="190"/>
      <c r="J78" s="190"/>
      <c r="K78" s="190"/>
      <c r="L78" s="190"/>
      <c r="M78" s="190"/>
      <c r="N78" s="190"/>
      <c r="O78" s="190"/>
      <c r="P78" s="190"/>
      <c r="Q78" s="190"/>
      <c r="R78" s="190"/>
      <c r="S78" s="190"/>
      <c r="T78" s="190"/>
      <c r="U78" s="190"/>
      <c r="V78" s="190"/>
      <c r="W78" s="190"/>
      <c r="X78" s="190"/>
      <c r="Y78" s="190"/>
      <c r="Z78" s="190"/>
      <c r="AA78" s="190"/>
      <c r="AB78" s="190"/>
      <c r="AC78" s="190"/>
      <c r="AD78" s="190"/>
      <c r="AE78" s="190"/>
      <c r="AF78" s="190"/>
      <c r="AG78" s="190"/>
      <c r="AH78" s="190"/>
      <c r="AI78" s="190"/>
      <c r="AJ78" s="190"/>
      <c r="AK78" s="190"/>
      <c r="AL78" s="190"/>
      <c r="AM78" s="190"/>
      <c r="AN78" s="190"/>
      <c r="AO78" s="190"/>
      <c r="AP78" s="190"/>
      <c r="AQ78" s="190"/>
      <c r="AR78" s="190"/>
      <c r="AS78" s="608"/>
    </row>
    <row r="79" x14ac:dyDescent="0.25">
      <c r="B79" s="587"/>
      <c r="C79" s="190"/>
      <c r="D79" s="190"/>
      <c r="E79" s="190"/>
      <c r="F79" s="190"/>
      <c r="G79" s="190"/>
      <c r="H79" s="190"/>
      <c r="I79" s="190"/>
      <c r="J79" s="190"/>
      <c r="K79" s="190"/>
      <c r="L79" s="190"/>
      <c r="M79" s="190"/>
      <c r="N79" s="190"/>
      <c r="O79" s="190"/>
      <c r="P79" s="190"/>
      <c r="Q79" s="190"/>
      <c r="R79" s="190"/>
      <c r="S79" s="190"/>
      <c r="T79" s="190"/>
      <c r="U79" s="190"/>
      <c r="V79" s="190"/>
      <c r="W79" s="190"/>
      <c r="X79" s="190"/>
      <c r="Y79" s="190"/>
      <c r="Z79" s="190"/>
      <c r="AA79" s="190"/>
      <c r="AB79" s="190"/>
      <c r="AC79" s="190"/>
      <c r="AD79" s="190"/>
      <c r="AE79" s="190"/>
      <c r="AF79" s="190"/>
      <c r="AG79" s="190"/>
      <c r="AH79" s="190"/>
      <c r="AI79" s="190"/>
      <c r="AJ79" s="190"/>
      <c r="AK79" s="190"/>
      <c r="AL79" s="190"/>
      <c r="AM79" s="190"/>
      <c r="AN79" s="190"/>
      <c r="AO79" s="190"/>
      <c r="AP79" s="190"/>
      <c r="AQ79" s="190"/>
      <c r="AR79" s="190"/>
      <c r="AS79" s="608"/>
    </row>
    <row r="80" ht="13.8" thickBot="true" x14ac:dyDescent="0.3">
      <c r="B80" s="587"/>
      <c r="C80" s="190"/>
      <c r="D80" s="190"/>
      <c r="E80" s="190"/>
      <c r="F80" s="190"/>
      <c r="G80" s="190"/>
      <c r="H80" s="190"/>
      <c r="I80" s="190"/>
      <c r="J80" s="190"/>
      <c r="K80" s="190"/>
      <c r="L80" s="190"/>
      <c r="M80" s="190"/>
      <c r="N80" s="190"/>
      <c r="O80" s="190"/>
      <c r="P80" s="190"/>
      <c r="Q80" s="190"/>
      <c r="R80" s="190"/>
      <c r="S80" s="190"/>
      <c r="T80" s="190"/>
      <c r="U80" s="190"/>
      <c r="V80" s="190"/>
      <c r="W80" s="190"/>
      <c r="X80" s="190"/>
      <c r="Y80" s="190"/>
      <c r="Z80" s="190"/>
      <c r="AA80" s="190"/>
      <c r="AB80" s="190"/>
      <c r="AC80" s="190"/>
      <c r="AD80" s="190"/>
      <c r="AE80" s="190"/>
      <c r="AF80" s="190"/>
      <c r="AG80" s="190"/>
      <c r="AH80" s="190"/>
      <c r="AI80" s="190"/>
      <c r="AJ80" s="190"/>
      <c r="AK80" s="190"/>
      <c r="AL80" s="190"/>
      <c r="AM80" s="190"/>
      <c r="AN80" s="190"/>
      <c r="AO80" s="190"/>
      <c r="AP80" s="190"/>
      <c r="AQ80" s="190"/>
      <c r="AR80" s="190"/>
      <c r="AS80" s="608"/>
    </row>
    <row r="81" ht="33" customHeight="true" x14ac:dyDescent="0.25">
      <c r="B81" s="587"/>
      <c r="C81" s="190"/>
      <c r="D81" s="567" t="s">
        <v>1625</v>
      </c>
      <c r="E81" s="1559">
        <f>SUMIF(E73:AR73,"=1",E77:AR77)</f>
        <v>0</v>
      </c>
      <c r="F81" s="190"/>
      <c r="G81" s="190"/>
      <c r="H81" s="190"/>
      <c r="I81" s="190"/>
      <c r="J81" s="190"/>
      <c r="K81" s="190"/>
      <c r="L81" s="190"/>
      <c r="M81" s="190"/>
      <c r="N81" s="190"/>
      <c r="O81" s="190"/>
      <c r="P81" s="190"/>
      <c r="Q81" s="190"/>
      <c r="R81" s="190"/>
      <c r="S81" s="190"/>
      <c r="T81" s="190"/>
      <c r="U81" s="190"/>
      <c r="V81" s="190"/>
      <c r="W81" s="190"/>
      <c r="X81" s="190"/>
      <c r="Y81" s="190"/>
      <c r="Z81" s="190"/>
      <c r="AA81" s="190"/>
      <c r="AB81" s="190"/>
      <c r="AC81" s="190"/>
      <c r="AD81" s="190"/>
      <c r="AE81" s="190"/>
      <c r="AF81" s="190"/>
      <c r="AG81" s="190"/>
      <c r="AH81" s="190"/>
      <c r="AI81" s="190"/>
      <c r="AJ81" s="190"/>
      <c r="AK81" s="190"/>
      <c r="AL81" s="190"/>
      <c r="AM81" s="190"/>
      <c r="AN81" s="190"/>
      <c r="AO81" s="190"/>
      <c r="AP81" s="190"/>
      <c r="AQ81" s="190"/>
      <c r="AR81" s="190"/>
      <c r="AS81" s="608"/>
    </row>
    <row r="82" ht="33" customHeight="true" x14ac:dyDescent="0.25">
      <c r="B82" s="587"/>
      <c r="C82" s="190"/>
      <c r="D82" s="495" t="s">
        <v>1626</v>
      </c>
      <c r="E82" s="1556">
        <f>SUMIF(E63:AR63,"=yes",E66:AR66)</f>
        <v>0</v>
      </c>
      <c r="F82" s="190"/>
      <c r="G82" s="190"/>
      <c r="H82" s="190"/>
      <c r="I82" s="190"/>
      <c r="J82" s="190"/>
      <c r="K82" s="190"/>
      <c r="L82" s="190"/>
      <c r="M82" s="190"/>
      <c r="N82" s="190"/>
      <c r="O82" s="190"/>
      <c r="P82" s="190"/>
      <c r="Q82" s="190"/>
      <c r="R82" s="190"/>
      <c r="S82" s="190"/>
      <c r="T82" s="190"/>
      <c r="U82" s="190"/>
      <c r="V82" s="190"/>
      <c r="W82" s="190"/>
      <c r="X82" s="190"/>
      <c r="Y82" s="190"/>
      <c r="Z82" s="190"/>
      <c r="AA82" s="190"/>
      <c r="AB82" s="190"/>
      <c r="AC82" s="190"/>
      <c r="AD82" s="190"/>
      <c r="AE82" s="190"/>
      <c r="AF82" s="190"/>
      <c r="AG82" s="190"/>
      <c r="AH82" s="190"/>
      <c r="AI82" s="190"/>
      <c r="AJ82" s="190"/>
      <c r="AK82" s="190"/>
      <c r="AL82" s="190"/>
      <c r="AM82" s="190"/>
      <c r="AN82" s="190"/>
      <c r="AO82" s="190"/>
      <c r="AP82" s="190"/>
      <c r="AQ82" s="190"/>
      <c r="AR82" s="190"/>
      <c r="AS82" s="608"/>
    </row>
    <row r="83" ht="33" customHeight="true" x14ac:dyDescent="0.25">
      <c r="B83" s="587"/>
      <c r="C83" s="190"/>
      <c r="D83" s="574" t="s">
        <v>1627</v>
      </c>
      <c r="E83" s="1556">
        <f>E84-E82</f>
        <v>0</v>
      </c>
      <c r="F83" s="190"/>
      <c r="G83" s="190"/>
      <c r="H83" s="190"/>
      <c r="I83" s="190"/>
      <c r="J83" s="190"/>
      <c r="K83" s="190"/>
      <c r="L83" s="190"/>
      <c r="M83" s="190"/>
      <c r="N83" s="190"/>
      <c r="O83" s="190"/>
      <c r="P83" s="190"/>
      <c r="Q83" s="190"/>
      <c r="R83" s="190"/>
      <c r="S83" s="190"/>
      <c r="T83" s="190"/>
      <c r="U83" s="190"/>
      <c r="V83" s="190"/>
      <c r="W83" s="190"/>
      <c r="X83" s="190"/>
      <c r="Y83" s="190"/>
      <c r="Z83" s="190"/>
      <c r="AA83" s="190"/>
      <c r="AB83" s="190"/>
      <c r="AC83" s="190"/>
      <c r="AD83" s="190"/>
      <c r="AE83" s="190"/>
      <c r="AF83" s="190"/>
      <c r="AG83" s="190"/>
      <c r="AH83" s="190"/>
      <c r="AI83" s="190"/>
      <c r="AJ83" s="190"/>
      <c r="AK83" s="190"/>
      <c r="AL83" s="190"/>
      <c r="AM83" s="190"/>
      <c r="AN83" s="190"/>
      <c r="AO83" s="190"/>
      <c r="AP83" s="190"/>
      <c r="AQ83" s="190"/>
      <c r="AR83" s="190"/>
      <c r="AS83" s="608"/>
    </row>
    <row r="84" ht="33" customHeight="true" x14ac:dyDescent="0.25">
      <c r="B84" s="587"/>
      <c r="C84" s="190"/>
      <c r="D84" s="495" t="s">
        <v>1628</v>
      </c>
      <c r="E84" s="1556">
        <f>SUM(E66:AR66)</f>
        <v>0</v>
      </c>
      <c r="F84" s="190"/>
      <c r="G84" s="190"/>
      <c r="H84" s="190"/>
      <c r="I84" s="190"/>
      <c r="J84" s="190"/>
      <c r="K84" s="190"/>
      <c r="L84" s="190"/>
      <c r="M84" s="190"/>
      <c r="N84" s="190"/>
      <c r="O84" s="190"/>
      <c r="P84" s="190"/>
      <c r="Q84" s="190"/>
      <c r="R84" s="190"/>
      <c r="S84" s="190"/>
      <c r="T84" s="190"/>
      <c r="U84" s="190"/>
      <c r="V84" s="190"/>
      <c r="W84" s="190"/>
      <c r="X84" s="190"/>
      <c r="Y84" s="190"/>
      <c r="Z84" s="190"/>
      <c r="AA84" s="190"/>
      <c r="AB84" s="190"/>
      <c r="AC84" s="190"/>
      <c r="AD84" s="190"/>
      <c r="AE84" s="190"/>
      <c r="AF84" s="190"/>
      <c r="AG84" s="190"/>
      <c r="AH84" s="190"/>
      <c r="AI84" s="190"/>
      <c r="AJ84" s="190"/>
      <c r="AK84" s="190"/>
      <c r="AL84" s="190"/>
      <c r="AM84" s="190"/>
      <c r="AN84" s="190"/>
      <c r="AO84" s="190"/>
      <c r="AP84" s="190"/>
      <c r="AQ84" s="190"/>
      <c r="AR84" s="190"/>
      <c r="AS84" s="608"/>
    </row>
    <row r="85" ht="33" customHeight="true" thickBot="true" x14ac:dyDescent="0.3">
      <c r="B85" s="587"/>
      <c r="C85" s="190"/>
      <c r="D85" s="218" t="s">
        <v>1629</v>
      </c>
      <c r="E85" s="215">
        <f>SUM(E77:AR77)-E81</f>
        <v>112672367.15363999</v>
      </c>
      <c r="F85" s="190"/>
      <c r="G85" s="190"/>
      <c r="H85" s="190"/>
      <c r="I85" s="190"/>
      <c r="J85" s="190"/>
      <c r="K85" s="190"/>
      <c r="L85" s="190"/>
      <c r="M85" s="190"/>
      <c r="N85" s="190"/>
      <c r="O85" s="190"/>
      <c r="P85" s="190"/>
      <c r="Q85" s="190"/>
      <c r="R85" s="190"/>
      <c r="S85" s="190"/>
      <c r="T85" s="190"/>
      <c r="U85" s="190"/>
      <c r="V85" s="190"/>
      <c r="W85" s="190"/>
      <c r="X85" s="190"/>
      <c r="Y85" s="190"/>
      <c r="Z85" s="190"/>
      <c r="AA85" s="190"/>
      <c r="AB85" s="190"/>
      <c r="AC85" s="190"/>
      <c r="AD85" s="190"/>
      <c r="AE85" s="190"/>
      <c r="AF85" s="190"/>
      <c r="AG85" s="190"/>
      <c r="AH85" s="190"/>
      <c r="AI85" s="190"/>
      <c r="AJ85" s="190"/>
      <c r="AK85" s="190"/>
      <c r="AL85" s="190"/>
      <c r="AM85" s="190"/>
      <c r="AN85" s="190"/>
      <c r="AO85" s="190"/>
      <c r="AP85" s="190"/>
      <c r="AQ85" s="190"/>
      <c r="AR85" s="190"/>
      <c r="AS85" s="608"/>
    </row>
    <row r="86" x14ac:dyDescent="0.25">
      <c r="B86" s="587"/>
      <c r="C86" s="190"/>
      <c r="D86" s="190"/>
      <c r="E86" s="190"/>
      <c r="F86" s="190"/>
      <c r="G86" s="190"/>
      <c r="H86" s="190"/>
      <c r="I86" s="190"/>
      <c r="J86" s="190"/>
      <c r="K86" s="190"/>
      <c r="L86" s="190"/>
      <c r="M86" s="190"/>
      <c r="N86" s="190"/>
      <c r="O86" s="190"/>
      <c r="P86" s="190"/>
      <c r="Q86" s="190"/>
      <c r="R86" s="190"/>
      <c r="S86" s="190"/>
      <c r="T86" s="190"/>
      <c r="U86" s="190"/>
      <c r="V86" s="190"/>
      <c r="W86" s="190"/>
      <c r="X86" s="190"/>
      <c r="Y86" s="190"/>
      <c r="Z86" s="190"/>
      <c r="AA86" s="190"/>
      <c r="AB86" s="190"/>
      <c r="AC86" s="190"/>
      <c r="AD86" s="190"/>
      <c r="AE86" s="190"/>
      <c r="AF86" s="190"/>
      <c r="AG86" s="190"/>
      <c r="AH86" s="190"/>
      <c r="AI86" s="190"/>
      <c r="AJ86" s="190"/>
      <c r="AK86" s="190"/>
      <c r="AL86" s="190"/>
      <c r="AM86" s="190"/>
      <c r="AN86" s="190"/>
      <c r="AO86" s="190"/>
      <c r="AP86" s="190"/>
      <c r="AQ86" s="190"/>
      <c r="AR86" s="190"/>
      <c r="AS86" s="608"/>
    </row>
    <row r="87" x14ac:dyDescent="0.25">
      <c r="B87" s="587"/>
      <c r="C87" s="190"/>
      <c r="D87" s="190"/>
      <c r="E87" s="190"/>
      <c r="F87" s="190"/>
      <c r="G87" s="190"/>
      <c r="H87" s="190"/>
      <c r="I87" s="190"/>
      <c r="J87" s="190"/>
      <c r="K87" s="190"/>
      <c r="L87" s="190"/>
      <c r="M87" s="190"/>
      <c r="N87" s="190"/>
      <c r="O87" s="190"/>
      <c r="P87" s="190"/>
      <c r="Q87" s="190"/>
      <c r="R87" s="190"/>
      <c r="S87" s="190"/>
      <c r="T87" s="190"/>
      <c r="U87" s="190"/>
      <c r="V87" s="190"/>
      <c r="W87" s="190"/>
      <c r="X87" s="190"/>
      <c r="Y87" s="190"/>
      <c r="Z87" s="190"/>
      <c r="AA87" s="190"/>
      <c r="AB87" s="190"/>
      <c r="AC87" s="190"/>
      <c r="AD87" s="190"/>
      <c r="AE87" s="190"/>
      <c r="AF87" s="190"/>
      <c r="AG87" s="190"/>
      <c r="AH87" s="190"/>
      <c r="AI87" s="190"/>
      <c r="AJ87" s="190"/>
      <c r="AK87" s="190"/>
      <c r="AL87" s="190"/>
      <c r="AM87" s="190"/>
      <c r="AN87" s="190"/>
      <c r="AO87" s="190"/>
      <c r="AP87" s="190"/>
      <c r="AQ87" s="190"/>
      <c r="AR87" s="190"/>
      <c r="AS87" s="608"/>
    </row>
    <row r="88" x14ac:dyDescent="0.25">
      <c r="B88" s="587"/>
      <c r="C88" s="190"/>
      <c r="D88" s="190"/>
      <c r="E88" s="190"/>
      <c r="F88" s="190"/>
      <c r="G88" s="190"/>
      <c r="H88" s="190"/>
      <c r="I88" s="190"/>
      <c r="J88" s="190"/>
      <c r="K88" s="190"/>
      <c r="L88" s="190"/>
      <c r="M88" s="190"/>
      <c r="N88" s="190"/>
      <c r="O88" s="190"/>
      <c r="P88" s="190"/>
      <c r="Q88" s="190"/>
      <c r="R88" s="190"/>
      <c r="S88" s="190"/>
      <c r="T88" s="190"/>
      <c r="U88" s="190"/>
      <c r="V88" s="190"/>
      <c r="W88" s="190"/>
      <c r="X88" s="190"/>
      <c r="Y88" s="190"/>
      <c r="Z88" s="190"/>
      <c r="AA88" s="190"/>
      <c r="AB88" s="190"/>
      <c r="AC88" s="190"/>
      <c r="AD88" s="190"/>
      <c r="AE88" s="190"/>
      <c r="AF88" s="190"/>
      <c r="AG88" s="190"/>
      <c r="AH88" s="190"/>
      <c r="AI88" s="190"/>
      <c r="AJ88" s="190"/>
      <c r="AK88" s="190"/>
      <c r="AL88" s="190"/>
      <c r="AM88" s="190"/>
      <c r="AN88" s="190"/>
      <c r="AO88" s="190"/>
      <c r="AP88" s="190"/>
      <c r="AQ88" s="190"/>
      <c r="AR88" s="190"/>
      <c r="AS88" s="608"/>
    </row>
    <row r="89" ht="15.6" thickBot="true" x14ac:dyDescent="0.3">
      <c r="B89" s="587"/>
      <c r="C89" s="190"/>
      <c r="D89" s="570"/>
      <c r="E89" s="575" t="s">
        <v>88</v>
      </c>
      <c r="F89" s="319" t="s">
        <v>28</v>
      </c>
      <c r="G89" s="319" t="s">
        <v>1456</v>
      </c>
      <c r="H89" s="570"/>
      <c r="I89" s="190"/>
      <c r="J89" s="190"/>
      <c r="K89" s="190"/>
      <c r="L89" s="190"/>
      <c r="M89" s="190"/>
      <c r="N89" s="190"/>
      <c r="O89" s="190"/>
      <c r="P89" s="190"/>
      <c r="Q89" s="190"/>
      <c r="R89" s="190"/>
      <c r="S89" s="190"/>
      <c r="T89" s="190"/>
      <c r="U89" s="190"/>
      <c r="V89" s="190"/>
      <c r="W89" s="190"/>
      <c r="X89" s="190"/>
      <c r="Y89" s="190"/>
      <c r="Z89" s="190"/>
      <c r="AA89" s="190"/>
      <c r="AB89" s="190"/>
      <c r="AC89" s="190"/>
      <c r="AD89" s="190"/>
      <c r="AE89" s="190"/>
      <c r="AF89" s="190"/>
      <c r="AG89" s="190"/>
      <c r="AH89" s="190"/>
      <c r="AI89" s="190"/>
      <c r="AJ89" s="190"/>
      <c r="AK89" s="190"/>
      <c r="AL89" s="190"/>
      <c r="AM89" s="190"/>
      <c r="AN89" s="190"/>
      <c r="AO89" s="190"/>
      <c r="AP89" s="190"/>
      <c r="AQ89" s="190"/>
      <c r="AR89" s="190"/>
      <c r="AS89" s="608"/>
    </row>
    <row r="90" ht="30" x14ac:dyDescent="0.25">
      <c r="B90" s="587"/>
      <c r="C90" s="190"/>
      <c r="D90" s="576" t="s">
        <v>1145</v>
      </c>
      <c r="E90" s="1560">
        <f>'III. Utility Data'!J46</f>
        <v>0</v>
      </c>
      <c r="F90" s="577"/>
      <c r="G90" s="578"/>
      <c r="H90" s="570"/>
      <c r="I90" s="190"/>
      <c r="J90" s="190"/>
      <c r="K90" s="190"/>
      <c r="L90" s="190"/>
      <c r="M90" s="190"/>
      <c r="N90" s="190"/>
      <c r="O90" s="190"/>
      <c r="P90" s="190"/>
      <c r="Q90" s="190"/>
      <c r="R90" s="190"/>
      <c r="S90" s="190"/>
      <c r="T90" s="190"/>
      <c r="U90" s="190"/>
      <c r="V90" s="190"/>
      <c r="W90" s="190"/>
      <c r="X90" s="190"/>
      <c r="Y90" s="190"/>
      <c r="Z90" s="190"/>
      <c r="AA90" s="190"/>
      <c r="AB90" s="190"/>
      <c r="AC90" s="190"/>
      <c r="AD90" s="190"/>
      <c r="AE90" s="190"/>
      <c r="AF90" s="190"/>
      <c r="AG90" s="190"/>
      <c r="AH90" s="190"/>
      <c r="AI90" s="190"/>
      <c r="AJ90" s="190"/>
      <c r="AK90" s="190"/>
      <c r="AL90" s="190"/>
      <c r="AM90" s="190"/>
      <c r="AN90" s="190"/>
      <c r="AO90" s="190"/>
      <c r="AP90" s="190"/>
      <c r="AQ90" s="190"/>
      <c r="AR90" s="190"/>
      <c r="AS90" s="608"/>
    </row>
    <row r="91" ht="30" x14ac:dyDescent="0.25">
      <c r="B91" s="587"/>
      <c r="C91" s="190"/>
      <c r="D91" s="574" t="s">
        <v>1447</v>
      </c>
      <c r="E91" s="1561">
        <f>'III. Utility Data'!F99</f>
        <v>576000</v>
      </c>
      <c r="F91" s="579"/>
      <c r="G91" s="580"/>
      <c r="H91" s="570"/>
      <c r="I91" s="190"/>
      <c r="J91" s="190"/>
      <c r="K91" s="190"/>
      <c r="L91" s="190"/>
      <c r="M91" s="190"/>
      <c r="N91" s="190"/>
      <c r="O91" s="190"/>
      <c r="P91" s="190"/>
      <c r="Q91" s="190"/>
      <c r="R91" s="190"/>
      <c r="S91" s="190"/>
      <c r="T91" s="190"/>
      <c r="U91" s="190"/>
      <c r="V91" s="190"/>
      <c r="W91" s="190"/>
      <c r="X91" s="190"/>
      <c r="Y91" s="190"/>
      <c r="Z91" s="190"/>
      <c r="AA91" s="190"/>
      <c r="AB91" s="190"/>
      <c r="AC91" s="190"/>
      <c r="AD91" s="190"/>
      <c r="AE91" s="190"/>
      <c r="AF91" s="190"/>
      <c r="AG91" s="190"/>
      <c r="AH91" s="190"/>
      <c r="AI91" s="190"/>
      <c r="AJ91" s="190"/>
      <c r="AK91" s="190"/>
      <c r="AL91" s="190"/>
      <c r="AM91" s="190"/>
      <c r="AN91" s="190"/>
      <c r="AO91" s="190"/>
      <c r="AP91" s="190"/>
      <c r="AQ91" s="190"/>
      <c r="AR91" s="190"/>
      <c r="AS91" s="608"/>
    </row>
    <row r="92" ht="30.6" thickBot="true" x14ac:dyDescent="0.3">
      <c r="B92" s="587"/>
      <c r="C92" s="190"/>
      <c r="D92" s="218" t="s">
        <v>1448</v>
      </c>
      <c r="E92" s="1562">
        <f>E90*E91</f>
        <v>0</v>
      </c>
      <c r="F92" s="1563">
        <f>E92*'III. Utility Data'!F95</f>
        <v>0</v>
      </c>
      <c r="G92" s="1564">
        <f>E92-F92</f>
        <v>0</v>
      </c>
      <c r="H92" s="570"/>
      <c r="I92" s="190"/>
      <c r="J92" s="190"/>
      <c r="K92" s="190"/>
      <c r="L92" s="190"/>
      <c r="M92" s="190"/>
      <c r="N92" s="190"/>
      <c r="O92" s="190"/>
      <c r="P92" s="190"/>
      <c r="Q92" s="190"/>
      <c r="R92" s="190"/>
      <c r="S92" s="190"/>
      <c r="T92" s="190"/>
      <c r="U92" s="190"/>
      <c r="V92" s="190"/>
      <c r="W92" s="190"/>
      <c r="X92" s="190"/>
      <c r="Y92" s="190"/>
      <c r="Z92" s="190"/>
      <c r="AA92" s="190"/>
      <c r="AB92" s="190"/>
      <c r="AC92" s="190"/>
      <c r="AD92" s="190"/>
      <c r="AE92" s="190"/>
      <c r="AF92" s="190"/>
      <c r="AG92" s="190"/>
      <c r="AH92" s="190"/>
      <c r="AI92" s="190"/>
      <c r="AJ92" s="190"/>
      <c r="AK92" s="190"/>
      <c r="AL92" s="190"/>
      <c r="AM92" s="190"/>
      <c r="AN92" s="190"/>
      <c r="AO92" s="190"/>
      <c r="AP92" s="190"/>
      <c r="AQ92" s="190"/>
      <c r="AR92" s="190"/>
      <c r="AS92" s="608"/>
    </row>
    <row r="93" ht="15" x14ac:dyDescent="0.25">
      <c r="B93" s="587"/>
      <c r="C93" s="190"/>
      <c r="D93" s="581"/>
      <c r="E93" s="582"/>
      <c r="F93" s="582"/>
      <c r="G93" s="582"/>
      <c r="H93" s="570"/>
      <c r="I93" s="190"/>
      <c r="J93" s="190"/>
      <c r="K93" s="190"/>
      <c r="L93" s="190"/>
      <c r="M93" s="190"/>
      <c r="N93" s="190"/>
      <c r="O93" s="190"/>
      <c r="P93" s="190"/>
      <c r="Q93" s="190"/>
      <c r="R93" s="190"/>
      <c r="S93" s="190"/>
      <c r="T93" s="190"/>
      <c r="U93" s="190"/>
      <c r="V93" s="190"/>
      <c r="W93" s="190"/>
      <c r="X93" s="190"/>
      <c r="Y93" s="190"/>
      <c r="Z93" s="190"/>
      <c r="AA93" s="190"/>
      <c r="AB93" s="190"/>
      <c r="AC93" s="190"/>
      <c r="AD93" s="190"/>
      <c r="AE93" s="190"/>
      <c r="AF93" s="190"/>
      <c r="AG93" s="190"/>
      <c r="AH93" s="190"/>
      <c r="AI93" s="190"/>
      <c r="AJ93" s="190"/>
      <c r="AK93" s="190"/>
      <c r="AL93" s="190"/>
      <c r="AM93" s="190"/>
      <c r="AN93" s="190"/>
      <c r="AO93" s="190"/>
      <c r="AP93" s="190"/>
      <c r="AQ93" s="190"/>
      <c r="AR93" s="190"/>
      <c r="AS93" s="608"/>
    </row>
    <row r="94" ht="15.6" thickBot="true" x14ac:dyDescent="0.3">
      <c r="B94" s="587"/>
      <c r="C94" s="190"/>
      <c r="D94" s="570"/>
      <c r="E94" s="319" t="s">
        <v>88</v>
      </c>
      <c r="F94" s="319" t="s">
        <v>28</v>
      </c>
      <c r="G94" s="319" t="s">
        <v>1456</v>
      </c>
      <c r="H94" s="570"/>
      <c r="I94" s="190"/>
      <c r="J94" s="190"/>
      <c r="K94" s="190"/>
      <c r="L94" s="190"/>
      <c r="M94" s="190"/>
      <c r="N94" s="190"/>
      <c r="O94" s="190"/>
      <c r="P94" s="190"/>
      <c r="Q94" s="190"/>
      <c r="R94" s="190"/>
      <c r="S94" s="190"/>
      <c r="T94" s="190"/>
      <c r="U94" s="190"/>
      <c r="V94" s="190"/>
      <c r="W94" s="190"/>
      <c r="X94" s="190"/>
      <c r="Y94" s="190"/>
      <c r="Z94" s="190"/>
      <c r="AA94" s="190"/>
      <c r="AB94" s="190"/>
      <c r="AC94" s="190"/>
      <c r="AD94" s="190"/>
      <c r="AE94" s="190"/>
      <c r="AF94" s="190"/>
      <c r="AG94" s="190"/>
      <c r="AH94" s="190"/>
      <c r="AI94" s="190"/>
      <c r="AJ94" s="190"/>
      <c r="AK94" s="190"/>
      <c r="AL94" s="190"/>
      <c r="AM94" s="190"/>
      <c r="AN94" s="190"/>
      <c r="AO94" s="190"/>
      <c r="AP94" s="190"/>
      <c r="AQ94" s="190"/>
      <c r="AR94" s="190"/>
      <c r="AS94" s="608"/>
    </row>
    <row r="95" ht="15" x14ac:dyDescent="0.25">
      <c r="B95" s="587"/>
      <c r="C95" s="190"/>
      <c r="D95" s="576" t="s">
        <v>1148</v>
      </c>
      <c r="E95" s="1185">
        <f>'III. Utility Data'!J44</f>
        <v>0</v>
      </c>
      <c r="F95" s="577"/>
      <c r="G95" s="578"/>
      <c r="H95" s="570"/>
      <c r="I95" s="190"/>
      <c r="J95" s="190"/>
      <c r="K95" s="190"/>
      <c r="L95" s="190"/>
      <c r="M95" s="190"/>
      <c r="N95" s="190"/>
      <c r="O95" s="190"/>
      <c r="P95" s="190"/>
      <c r="Q95" s="190"/>
      <c r="R95" s="190"/>
      <c r="S95" s="190"/>
      <c r="T95" s="190"/>
      <c r="U95" s="190"/>
      <c r="V95" s="190"/>
      <c r="W95" s="190"/>
      <c r="X95" s="190"/>
      <c r="Y95" s="190"/>
      <c r="Z95" s="190"/>
      <c r="AA95" s="190"/>
      <c r="AB95" s="190"/>
      <c r="AC95" s="190"/>
      <c r="AD95" s="190"/>
      <c r="AE95" s="190"/>
      <c r="AF95" s="190"/>
      <c r="AG95" s="190"/>
      <c r="AH95" s="190"/>
      <c r="AI95" s="190"/>
      <c r="AJ95" s="190"/>
      <c r="AK95" s="190"/>
      <c r="AL95" s="190"/>
      <c r="AM95" s="190"/>
      <c r="AN95" s="190"/>
      <c r="AO95" s="190"/>
      <c r="AP95" s="190"/>
      <c r="AQ95" s="190"/>
      <c r="AR95" s="190"/>
      <c r="AS95" s="608"/>
    </row>
    <row r="96" ht="17.4" x14ac:dyDescent="0.25">
      <c r="B96" s="587"/>
      <c r="C96" s="190"/>
      <c r="D96" s="574" t="s">
        <v>1450</v>
      </c>
      <c r="E96" s="202">
        <f>'III. Utility Data'!F114</f>
        <v>0</v>
      </c>
      <c r="F96" s="579"/>
      <c r="G96" s="580"/>
      <c r="H96" s="570"/>
      <c r="I96" s="190"/>
      <c r="J96" s="190"/>
      <c r="K96" s="190"/>
      <c r="L96" s="190"/>
      <c r="M96" s="190"/>
      <c r="N96" s="190"/>
      <c r="O96" s="190"/>
      <c r="P96" s="190"/>
      <c r="Q96" s="190"/>
      <c r="R96" s="190"/>
      <c r="S96" s="190"/>
      <c r="T96" s="190"/>
      <c r="U96" s="190"/>
      <c r="V96" s="190"/>
      <c r="W96" s="190"/>
      <c r="X96" s="190"/>
      <c r="Y96" s="190"/>
      <c r="Z96" s="190"/>
      <c r="AA96" s="190"/>
      <c r="AB96" s="190"/>
      <c r="AC96" s="190"/>
      <c r="AD96" s="190"/>
      <c r="AE96" s="190"/>
      <c r="AF96" s="190"/>
      <c r="AG96" s="190"/>
      <c r="AH96" s="190"/>
      <c r="AI96" s="190"/>
      <c r="AJ96" s="190"/>
      <c r="AK96" s="190"/>
      <c r="AL96" s="190"/>
      <c r="AM96" s="190"/>
      <c r="AN96" s="190"/>
      <c r="AO96" s="190"/>
      <c r="AP96" s="190"/>
      <c r="AQ96" s="190"/>
      <c r="AR96" s="190"/>
      <c r="AS96" s="608"/>
    </row>
    <row r="97" ht="32.4" x14ac:dyDescent="0.25">
      <c r="B97" s="587"/>
      <c r="C97" s="190"/>
      <c r="D97" s="574" t="s">
        <v>1852</v>
      </c>
      <c r="E97" s="1565">
        <f>'III. Utility Data'!F59</f>
        <v>1710000</v>
      </c>
      <c r="F97" s="583"/>
      <c r="G97" s="584"/>
      <c r="H97" s="570"/>
      <c r="I97" s="190"/>
      <c r="J97" s="190"/>
      <c r="K97" s="190"/>
      <c r="L97" s="190"/>
      <c r="M97" s="190"/>
      <c r="N97" s="190"/>
      <c r="O97" s="190"/>
      <c r="P97" s="190"/>
      <c r="Q97" s="190"/>
      <c r="R97" s="190"/>
      <c r="S97" s="190"/>
      <c r="T97" s="190"/>
      <c r="U97" s="190"/>
      <c r="V97" s="190"/>
      <c r="W97" s="190"/>
      <c r="X97" s="190"/>
      <c r="Y97" s="190"/>
      <c r="Z97" s="190"/>
      <c r="AA97" s="190"/>
      <c r="AB97" s="190"/>
      <c r="AC97" s="190"/>
      <c r="AD97" s="190"/>
      <c r="AE97" s="190"/>
      <c r="AF97" s="190"/>
      <c r="AG97" s="190"/>
      <c r="AH97" s="190"/>
      <c r="AI97" s="190"/>
      <c r="AJ97" s="190"/>
      <c r="AK97" s="190"/>
      <c r="AL97" s="190"/>
      <c r="AM97" s="190"/>
      <c r="AN97" s="190"/>
      <c r="AO97" s="190"/>
      <c r="AP97" s="190"/>
      <c r="AQ97" s="190"/>
      <c r="AR97" s="190"/>
      <c r="AS97" s="608"/>
    </row>
    <row r="98" ht="30.6" thickBot="true" x14ac:dyDescent="0.3">
      <c r="B98" s="587"/>
      <c r="C98" s="190"/>
      <c r="D98" s="218" t="s">
        <v>1449</v>
      </c>
      <c r="E98" s="1566">
        <f>E97*E96</f>
        <v>0</v>
      </c>
      <c r="F98" s="1563">
        <f>E98*'III. Utility Data'!F110</f>
        <v>0</v>
      </c>
      <c r="G98" s="1564">
        <f>E98-F98</f>
        <v>0</v>
      </c>
      <c r="H98" s="570"/>
      <c r="I98" s="190"/>
      <c r="J98" s="190"/>
      <c r="K98" s="190"/>
      <c r="L98" s="190"/>
      <c r="M98" s="190"/>
      <c r="N98" s="190"/>
      <c r="O98" s="190"/>
      <c r="P98" s="190"/>
      <c r="Q98" s="190"/>
      <c r="R98" s="190"/>
      <c r="S98" s="190"/>
      <c r="T98" s="190"/>
      <c r="U98" s="190"/>
      <c r="V98" s="190"/>
      <c r="W98" s="190"/>
      <c r="X98" s="190"/>
      <c r="Y98" s="190"/>
      <c r="Z98" s="190"/>
      <c r="AA98" s="190"/>
      <c r="AB98" s="190"/>
      <c r="AC98" s="190"/>
      <c r="AD98" s="190"/>
      <c r="AE98" s="190"/>
      <c r="AF98" s="190"/>
      <c r="AG98" s="190"/>
      <c r="AH98" s="190"/>
      <c r="AI98" s="190"/>
      <c r="AJ98" s="190"/>
      <c r="AK98" s="190"/>
      <c r="AL98" s="190"/>
      <c r="AM98" s="190"/>
      <c r="AN98" s="190"/>
      <c r="AO98" s="190"/>
      <c r="AP98" s="190"/>
      <c r="AQ98" s="190"/>
      <c r="AR98" s="190"/>
      <c r="AS98" s="608"/>
    </row>
    <row r="99" ht="15" x14ac:dyDescent="0.25">
      <c r="B99" s="587"/>
      <c r="C99" s="190"/>
      <c r="D99" s="581"/>
      <c r="E99" s="582"/>
      <c r="F99" s="582"/>
      <c r="G99" s="582"/>
      <c r="H99" s="570"/>
      <c r="I99" s="190"/>
      <c r="J99" s="190"/>
      <c r="K99" s="190"/>
      <c r="L99" s="190"/>
      <c r="M99" s="190"/>
      <c r="N99" s="190"/>
      <c r="O99" s="190"/>
      <c r="P99" s="190"/>
      <c r="Q99" s="190"/>
      <c r="R99" s="190"/>
      <c r="S99" s="190"/>
      <c r="T99" s="190"/>
      <c r="U99" s="190"/>
      <c r="V99" s="190"/>
      <c r="W99" s="190"/>
      <c r="X99" s="190"/>
      <c r="Y99" s="190"/>
      <c r="Z99" s="190"/>
      <c r="AA99" s="190"/>
      <c r="AB99" s="190"/>
      <c r="AC99" s="190"/>
      <c r="AD99" s="190"/>
      <c r="AE99" s="190"/>
      <c r="AF99" s="190"/>
      <c r="AG99" s="190"/>
      <c r="AH99" s="190"/>
      <c r="AI99" s="190"/>
      <c r="AJ99" s="190"/>
      <c r="AK99" s="190"/>
      <c r="AL99" s="190"/>
      <c r="AM99" s="190"/>
      <c r="AN99" s="190"/>
      <c r="AO99" s="190"/>
      <c r="AP99" s="190"/>
      <c r="AQ99" s="190"/>
      <c r="AR99" s="190"/>
      <c r="AS99" s="608"/>
    </row>
    <row r="100" ht="15.6" thickBot="true" x14ac:dyDescent="0.3">
      <c r="B100" s="587"/>
      <c r="C100" s="190"/>
      <c r="D100" s="581"/>
      <c r="E100" s="319" t="s">
        <v>88</v>
      </c>
      <c r="F100" s="319" t="s">
        <v>28</v>
      </c>
      <c r="G100" s="319" t="s">
        <v>1456</v>
      </c>
      <c r="H100" s="570"/>
      <c r="I100" s="190"/>
      <c r="J100" s="190"/>
      <c r="K100" s="190"/>
      <c r="L100" s="190"/>
      <c r="M100" s="190"/>
      <c r="N100" s="190"/>
      <c r="O100" s="190"/>
      <c r="P100" s="190"/>
      <c r="Q100" s="190"/>
      <c r="R100" s="190"/>
      <c r="S100" s="190"/>
      <c r="T100" s="190"/>
      <c r="U100" s="190"/>
      <c r="V100" s="190"/>
      <c r="W100" s="190"/>
      <c r="X100" s="190"/>
      <c r="Y100" s="190"/>
      <c r="Z100" s="190"/>
      <c r="AA100" s="190"/>
      <c r="AB100" s="190"/>
      <c r="AC100" s="190"/>
      <c r="AD100" s="190"/>
      <c r="AE100" s="190"/>
      <c r="AF100" s="190"/>
      <c r="AG100" s="190"/>
      <c r="AH100" s="190"/>
      <c r="AI100" s="190"/>
      <c r="AJ100" s="190"/>
      <c r="AK100" s="190"/>
      <c r="AL100" s="190"/>
      <c r="AM100" s="190"/>
      <c r="AN100" s="190"/>
      <c r="AO100" s="190"/>
      <c r="AP100" s="190"/>
      <c r="AQ100" s="190"/>
      <c r="AR100" s="190"/>
      <c r="AS100" s="608"/>
    </row>
    <row r="101" ht="15" x14ac:dyDescent="0.25">
      <c r="B101" s="587"/>
      <c r="C101" s="190"/>
      <c r="D101" s="576" t="s">
        <v>1451</v>
      </c>
      <c r="E101" s="1185">
        <f>ABS('III. Utility Data'!F45)</f>
        <v>0</v>
      </c>
      <c r="F101" s="577"/>
      <c r="G101" s="578"/>
      <c r="H101" s="570"/>
      <c r="I101" s="190"/>
      <c r="J101" s="190"/>
      <c r="K101" s="190"/>
      <c r="L101" s="190"/>
      <c r="M101" s="190"/>
      <c r="N101" s="190"/>
      <c r="O101" s="190"/>
      <c r="P101" s="190"/>
      <c r="Q101" s="190"/>
      <c r="R101" s="190"/>
      <c r="S101" s="190"/>
      <c r="T101" s="190"/>
      <c r="U101" s="190"/>
      <c r="V101" s="190"/>
      <c r="W101" s="190"/>
      <c r="X101" s="190"/>
      <c r="Y101" s="190"/>
      <c r="Z101" s="190"/>
      <c r="AA101" s="190"/>
      <c r="AB101" s="190"/>
      <c r="AC101" s="190"/>
      <c r="AD101" s="190"/>
      <c r="AE101" s="190"/>
      <c r="AF101" s="190"/>
      <c r="AG101" s="190"/>
      <c r="AH101" s="190"/>
      <c r="AI101" s="190"/>
      <c r="AJ101" s="190"/>
      <c r="AK101" s="190"/>
      <c r="AL101" s="190"/>
      <c r="AM101" s="190"/>
      <c r="AN101" s="190"/>
      <c r="AO101" s="190"/>
      <c r="AP101" s="190"/>
      <c r="AQ101" s="190"/>
      <c r="AR101" s="190"/>
      <c r="AS101" s="608"/>
    </row>
    <row r="102" ht="30" x14ac:dyDescent="0.25">
      <c r="B102" s="587"/>
      <c r="C102" s="190"/>
      <c r="D102" s="574" t="s">
        <v>1452</v>
      </c>
      <c r="E102" s="1565">
        <f>'III. Utility Data'!F89</f>
        <v>69000</v>
      </c>
      <c r="F102" s="583"/>
      <c r="G102" s="584"/>
      <c r="H102" s="570"/>
      <c r="I102" s="190"/>
      <c r="J102" s="190"/>
      <c r="K102" s="190"/>
      <c r="L102" s="190"/>
      <c r="M102" s="190"/>
      <c r="N102" s="190"/>
      <c r="O102" s="190"/>
      <c r="P102" s="190"/>
      <c r="Q102" s="190"/>
      <c r="R102" s="190"/>
      <c r="S102" s="190"/>
      <c r="T102" s="190"/>
      <c r="U102" s="190"/>
      <c r="V102" s="190"/>
      <c r="W102" s="190"/>
      <c r="X102" s="190"/>
      <c r="Y102" s="190"/>
      <c r="Z102" s="190"/>
      <c r="AA102" s="190"/>
      <c r="AB102" s="190"/>
      <c r="AC102" s="190"/>
      <c r="AD102" s="190"/>
      <c r="AE102" s="190"/>
      <c r="AF102" s="190"/>
      <c r="AG102" s="190"/>
      <c r="AH102" s="190"/>
      <c r="AI102" s="190"/>
      <c r="AJ102" s="190"/>
      <c r="AK102" s="190"/>
      <c r="AL102" s="190"/>
      <c r="AM102" s="190"/>
      <c r="AN102" s="190"/>
      <c r="AO102" s="190"/>
      <c r="AP102" s="190"/>
      <c r="AQ102" s="190"/>
      <c r="AR102" s="190"/>
      <c r="AS102" s="608"/>
    </row>
    <row r="103" ht="30.6" thickBot="true" x14ac:dyDescent="0.3">
      <c r="B103" s="587"/>
      <c r="C103" s="190"/>
      <c r="D103" s="218" t="s">
        <v>1453</v>
      </c>
      <c r="E103" s="1566">
        <f>E102*E101</f>
        <v>0</v>
      </c>
      <c r="F103" s="1563">
        <f>E103*'III. Utility Data'!F84</f>
        <v>0</v>
      </c>
      <c r="G103" s="1564">
        <f>E103-F103</f>
        <v>0</v>
      </c>
      <c r="H103" s="570"/>
      <c r="I103" s="190"/>
      <c r="J103" s="190"/>
      <c r="K103" s="190"/>
      <c r="L103" s="190"/>
      <c r="M103" s="190"/>
      <c r="N103" s="190"/>
      <c r="O103" s="190"/>
      <c r="P103" s="190"/>
      <c r="Q103" s="190"/>
      <c r="R103" s="190"/>
      <c r="S103" s="190"/>
      <c r="T103" s="190"/>
      <c r="U103" s="190"/>
      <c r="V103" s="190"/>
      <c r="W103" s="190"/>
      <c r="X103" s="190"/>
      <c r="Y103" s="190"/>
      <c r="Z103" s="190"/>
      <c r="AA103" s="190"/>
      <c r="AB103" s="190"/>
      <c r="AC103" s="190"/>
      <c r="AD103" s="190"/>
      <c r="AE103" s="190"/>
      <c r="AF103" s="190"/>
      <c r="AG103" s="190"/>
      <c r="AH103" s="190"/>
      <c r="AI103" s="190"/>
      <c r="AJ103" s="190"/>
      <c r="AK103" s="190"/>
      <c r="AL103" s="190"/>
      <c r="AM103" s="190"/>
      <c r="AN103" s="190"/>
      <c r="AO103" s="190"/>
      <c r="AP103" s="190"/>
      <c r="AQ103" s="190"/>
      <c r="AR103" s="190"/>
      <c r="AS103" s="608"/>
    </row>
    <row r="104" ht="15" x14ac:dyDescent="0.25">
      <c r="B104" s="587"/>
      <c r="C104" s="190"/>
      <c r="D104" s="570"/>
      <c r="E104" s="570"/>
      <c r="F104" s="570"/>
      <c r="G104" s="570"/>
      <c r="H104" s="570"/>
      <c r="I104" s="190"/>
      <c r="J104" s="190"/>
      <c r="K104" s="190"/>
      <c r="L104" s="190"/>
      <c r="M104" s="190"/>
      <c r="N104" s="190"/>
      <c r="O104" s="190"/>
      <c r="P104" s="190"/>
      <c r="Q104" s="190"/>
      <c r="R104" s="190"/>
      <c r="S104" s="190"/>
      <c r="T104" s="190"/>
      <c r="U104" s="190"/>
      <c r="V104" s="190"/>
      <c r="W104" s="190"/>
      <c r="X104" s="190"/>
      <c r="Y104" s="190"/>
      <c r="Z104" s="190"/>
      <c r="AA104" s="190"/>
      <c r="AB104" s="190"/>
      <c r="AC104" s="190"/>
      <c r="AD104" s="190"/>
      <c r="AE104" s="190"/>
      <c r="AF104" s="190"/>
      <c r="AG104" s="190"/>
      <c r="AH104" s="190"/>
      <c r="AI104" s="190"/>
      <c r="AJ104" s="190"/>
      <c r="AK104" s="190"/>
      <c r="AL104" s="190"/>
      <c r="AM104" s="190"/>
      <c r="AN104" s="190"/>
      <c r="AO104" s="190"/>
      <c r="AP104" s="190"/>
      <c r="AQ104" s="190"/>
      <c r="AR104" s="190"/>
      <c r="AS104" s="608"/>
    </row>
    <row r="105" ht="15" x14ac:dyDescent="0.25">
      <c r="B105" s="587"/>
      <c r="C105" s="190"/>
      <c r="D105" s="570"/>
      <c r="E105" s="570"/>
      <c r="F105" s="570"/>
      <c r="G105" s="570"/>
      <c r="H105" s="570"/>
      <c r="I105" s="190"/>
      <c r="J105" s="190"/>
      <c r="K105" s="190"/>
      <c r="L105" s="190"/>
      <c r="M105" s="190"/>
      <c r="N105" s="190"/>
      <c r="O105" s="190"/>
      <c r="P105" s="190"/>
      <c r="Q105" s="190"/>
      <c r="R105" s="190"/>
      <c r="S105" s="190"/>
      <c r="T105" s="190"/>
      <c r="U105" s="190"/>
      <c r="V105" s="190"/>
      <c r="W105" s="190"/>
      <c r="X105" s="190"/>
      <c r="Y105" s="190"/>
      <c r="Z105" s="190"/>
      <c r="AA105" s="190"/>
      <c r="AB105" s="190"/>
      <c r="AC105" s="190"/>
      <c r="AD105" s="190"/>
      <c r="AE105" s="190"/>
      <c r="AF105" s="190"/>
      <c r="AG105" s="190"/>
      <c r="AH105" s="190"/>
      <c r="AI105" s="190"/>
      <c r="AJ105" s="190"/>
      <c r="AK105" s="190"/>
      <c r="AL105" s="190"/>
      <c r="AM105" s="190"/>
      <c r="AN105" s="190"/>
      <c r="AO105" s="190"/>
      <c r="AP105" s="190"/>
      <c r="AQ105" s="190"/>
      <c r="AR105" s="190"/>
      <c r="AS105" s="608"/>
    </row>
    <row r="106" ht="15" x14ac:dyDescent="0.25">
      <c r="B106" s="587"/>
      <c r="C106" s="190"/>
      <c r="D106" s="570"/>
      <c r="E106" s="570"/>
      <c r="F106" s="570"/>
      <c r="G106" s="570"/>
      <c r="H106" s="570"/>
      <c r="I106" s="190"/>
      <c r="J106" s="190"/>
      <c r="K106" s="190"/>
      <c r="L106" s="190"/>
      <c r="M106" s="190"/>
      <c r="N106" s="190"/>
      <c r="O106" s="190"/>
      <c r="P106" s="190"/>
      <c r="Q106" s="190"/>
      <c r="R106" s="190"/>
      <c r="S106" s="190"/>
      <c r="T106" s="190"/>
      <c r="U106" s="190"/>
      <c r="V106" s="190"/>
      <c r="W106" s="190"/>
      <c r="X106" s="190"/>
      <c r="Y106" s="190"/>
      <c r="Z106" s="190"/>
      <c r="AA106" s="190"/>
      <c r="AB106" s="190"/>
      <c r="AC106" s="190"/>
      <c r="AD106" s="190"/>
      <c r="AE106" s="190"/>
      <c r="AF106" s="190"/>
      <c r="AG106" s="190"/>
      <c r="AH106" s="190"/>
      <c r="AI106" s="190"/>
      <c r="AJ106" s="190"/>
      <c r="AK106" s="190"/>
      <c r="AL106" s="190"/>
      <c r="AM106" s="190"/>
      <c r="AN106" s="190"/>
      <c r="AO106" s="190"/>
      <c r="AP106" s="190"/>
      <c r="AQ106" s="190"/>
      <c r="AR106" s="190"/>
      <c r="AS106" s="608"/>
    </row>
    <row r="107" ht="15.6" thickBot="true" x14ac:dyDescent="0.3">
      <c r="B107" s="587"/>
      <c r="C107" s="190"/>
      <c r="D107" s="570"/>
      <c r="E107" s="570"/>
      <c r="F107" s="570"/>
      <c r="G107" s="570"/>
      <c r="H107" s="570"/>
      <c r="I107" s="190"/>
      <c r="J107" s="190"/>
      <c r="K107" s="190"/>
      <c r="L107" s="190"/>
      <c r="M107" s="190"/>
      <c r="N107" s="190"/>
      <c r="O107" s="190"/>
      <c r="P107" s="190"/>
      <c r="Q107" s="190"/>
      <c r="R107" s="190"/>
      <c r="S107" s="190"/>
      <c r="T107" s="190"/>
      <c r="U107" s="190"/>
      <c r="V107" s="190"/>
      <c r="W107" s="190"/>
      <c r="X107" s="190"/>
      <c r="Y107" s="190"/>
      <c r="Z107" s="190"/>
      <c r="AA107" s="190"/>
      <c r="AB107" s="190"/>
      <c r="AC107" s="190"/>
      <c r="AD107" s="190"/>
      <c r="AE107" s="190"/>
      <c r="AF107" s="190"/>
      <c r="AG107" s="190"/>
      <c r="AH107" s="190"/>
      <c r="AI107" s="190"/>
      <c r="AJ107" s="190"/>
      <c r="AK107" s="190"/>
      <c r="AL107" s="190"/>
      <c r="AM107" s="190"/>
      <c r="AN107" s="190"/>
      <c r="AO107" s="190"/>
      <c r="AP107" s="190"/>
      <c r="AQ107" s="190"/>
      <c r="AR107" s="190"/>
      <c r="AS107" s="608"/>
    </row>
    <row r="108" ht="18.6" x14ac:dyDescent="0.25">
      <c r="B108" s="587"/>
      <c r="C108" s="190"/>
      <c r="D108" s="211" t="s">
        <v>2154</v>
      </c>
      <c r="E108" s="1559">
        <f>E81</f>
        <v>0</v>
      </c>
      <c r="F108" s="570"/>
      <c r="G108" s="570"/>
      <c r="H108" s="570"/>
      <c r="I108" s="190"/>
      <c r="J108" s="190"/>
      <c r="K108" s="190"/>
      <c r="L108" s="190"/>
      <c r="M108" s="190"/>
      <c r="N108" s="190"/>
      <c r="O108" s="190"/>
      <c r="P108" s="190"/>
      <c r="Q108" s="190"/>
      <c r="R108" s="190"/>
      <c r="S108" s="190"/>
      <c r="T108" s="190"/>
      <c r="U108" s="190"/>
      <c r="V108" s="190"/>
      <c r="W108" s="190"/>
      <c r="X108" s="190"/>
      <c r="Y108" s="190"/>
      <c r="Z108" s="190"/>
      <c r="AA108" s="190"/>
      <c r="AB108" s="190"/>
      <c r="AC108" s="190"/>
      <c r="AD108" s="190"/>
      <c r="AE108" s="190"/>
      <c r="AF108" s="190"/>
      <c r="AG108" s="190"/>
      <c r="AH108" s="190"/>
      <c r="AI108" s="190"/>
      <c r="AJ108" s="190"/>
      <c r="AK108" s="190"/>
      <c r="AL108" s="190"/>
      <c r="AM108" s="190"/>
      <c r="AN108" s="190"/>
      <c r="AO108" s="190"/>
      <c r="AP108" s="190"/>
      <c r="AQ108" s="190"/>
      <c r="AR108" s="190"/>
      <c r="AS108" s="608"/>
    </row>
    <row r="109" ht="18.6" x14ac:dyDescent="0.25">
      <c r="B109" s="587"/>
      <c r="C109" s="190"/>
      <c r="D109" s="1211" t="s">
        <v>2155</v>
      </c>
      <c r="E109" s="1556">
        <f>E85</f>
        <v>112672367.15363999</v>
      </c>
      <c r="F109" s="570"/>
      <c r="G109" s="570"/>
      <c r="H109" s="570"/>
      <c r="I109" s="190"/>
      <c r="J109" s="190"/>
      <c r="K109" s="190"/>
      <c r="L109" s="190"/>
      <c r="M109" s="190"/>
      <c r="N109" s="190"/>
      <c r="O109" s="190"/>
      <c r="P109" s="190"/>
      <c r="Q109" s="190"/>
      <c r="R109" s="190"/>
      <c r="S109" s="190"/>
      <c r="T109" s="190"/>
      <c r="U109" s="190"/>
      <c r="V109" s="190"/>
      <c r="W109" s="190"/>
      <c r="X109" s="190"/>
      <c r="Y109" s="190"/>
      <c r="Z109" s="190"/>
      <c r="AA109" s="190"/>
      <c r="AB109" s="190"/>
      <c r="AC109" s="190"/>
      <c r="AD109" s="190"/>
      <c r="AE109" s="190"/>
      <c r="AF109" s="190"/>
      <c r="AG109" s="190"/>
      <c r="AH109" s="190"/>
      <c r="AI109" s="190"/>
      <c r="AJ109" s="190"/>
      <c r="AK109" s="190"/>
      <c r="AL109" s="190"/>
      <c r="AM109" s="190"/>
      <c r="AN109" s="190"/>
      <c r="AO109" s="190"/>
      <c r="AP109" s="190"/>
      <c r="AQ109" s="190"/>
      <c r="AR109" s="190"/>
      <c r="AS109" s="608"/>
    </row>
    <row r="110" ht="18.6" x14ac:dyDescent="0.25">
      <c r="B110" s="587"/>
      <c r="C110" s="190"/>
      <c r="D110" s="1211" t="s">
        <v>2156</v>
      </c>
      <c r="E110" s="1556">
        <f>E84+E92+E98+E103</f>
        <v>0</v>
      </c>
      <c r="F110" s="570"/>
      <c r="G110" s="570"/>
      <c r="H110" s="570"/>
      <c r="I110" s="190"/>
      <c r="J110" s="190"/>
      <c r="K110" s="190"/>
      <c r="L110" s="190"/>
      <c r="M110" s="190"/>
      <c r="N110" s="190"/>
      <c r="O110" s="190"/>
      <c r="P110" s="190"/>
      <c r="Q110" s="190"/>
      <c r="R110" s="190"/>
      <c r="S110" s="190"/>
      <c r="T110" s="190"/>
      <c r="U110" s="190"/>
      <c r="V110" s="190"/>
      <c r="W110" s="190"/>
      <c r="X110" s="190"/>
      <c r="Y110" s="190"/>
      <c r="Z110" s="190"/>
      <c r="AA110" s="190"/>
      <c r="AB110" s="190"/>
      <c r="AC110" s="190"/>
      <c r="AD110" s="190"/>
      <c r="AE110" s="190"/>
      <c r="AF110" s="190"/>
      <c r="AG110" s="190"/>
      <c r="AH110" s="190"/>
      <c r="AI110" s="190"/>
      <c r="AJ110" s="190"/>
      <c r="AK110" s="190"/>
      <c r="AL110" s="190"/>
      <c r="AM110" s="190"/>
      <c r="AN110" s="190"/>
      <c r="AO110" s="190"/>
      <c r="AP110" s="190"/>
      <c r="AQ110" s="190"/>
      <c r="AR110" s="190"/>
      <c r="AS110" s="608"/>
    </row>
    <row r="111" ht="18.6" x14ac:dyDescent="0.25">
      <c r="B111" s="587"/>
      <c r="C111" s="190"/>
      <c r="D111" s="1211" t="s">
        <v>2157</v>
      </c>
      <c r="E111" s="1556">
        <f>E82+F92+F98+F103</f>
        <v>0</v>
      </c>
      <c r="F111" s="570"/>
      <c r="G111" s="570"/>
      <c r="H111" s="570"/>
      <c r="I111" s="190"/>
      <c r="J111" s="190"/>
      <c r="K111" s="190"/>
      <c r="L111" s="190"/>
      <c r="M111" s="190"/>
      <c r="N111" s="190"/>
      <c r="O111" s="190"/>
      <c r="P111" s="190"/>
      <c r="Q111" s="190"/>
      <c r="R111" s="190"/>
      <c r="S111" s="190"/>
      <c r="T111" s="190"/>
      <c r="U111" s="190"/>
      <c r="V111" s="190"/>
      <c r="W111" s="190"/>
      <c r="X111" s="190"/>
      <c r="Y111" s="190"/>
      <c r="Z111" s="190"/>
      <c r="AA111" s="190"/>
      <c r="AB111" s="190"/>
      <c r="AC111" s="190"/>
      <c r="AD111" s="190"/>
      <c r="AE111" s="190"/>
      <c r="AF111" s="190"/>
      <c r="AG111" s="190"/>
      <c r="AH111" s="190"/>
      <c r="AI111" s="190"/>
      <c r="AJ111" s="190"/>
      <c r="AK111" s="190"/>
      <c r="AL111" s="190"/>
      <c r="AM111" s="190"/>
      <c r="AN111" s="190"/>
      <c r="AO111" s="190"/>
      <c r="AP111" s="190"/>
      <c r="AQ111" s="190"/>
      <c r="AR111" s="190"/>
      <c r="AS111" s="608"/>
    </row>
    <row r="112" ht="19.2" thickBot="true" x14ac:dyDescent="0.3">
      <c r="B112" s="587"/>
      <c r="C112" s="190"/>
      <c r="D112" s="585" t="s">
        <v>2158</v>
      </c>
      <c r="E112" s="215">
        <f>E83+G92+G98+G103</f>
        <v>0</v>
      </c>
      <c r="F112" s="570"/>
      <c r="G112" s="570"/>
      <c r="H112" s="570"/>
      <c r="I112" s="190"/>
      <c r="J112" s="190"/>
      <c r="K112" s="190"/>
      <c r="L112" s="190"/>
      <c r="M112" s="190"/>
      <c r="N112" s="190"/>
      <c r="O112" s="190"/>
      <c r="P112" s="190"/>
      <c r="Q112" s="190"/>
      <c r="R112" s="190"/>
      <c r="S112" s="190"/>
      <c r="T112" s="190"/>
      <c r="U112" s="190"/>
      <c r="V112" s="190"/>
      <c r="W112" s="190"/>
      <c r="X112" s="190"/>
      <c r="Y112" s="190"/>
      <c r="Z112" s="190"/>
      <c r="AA112" s="190"/>
      <c r="AB112" s="190"/>
      <c r="AC112" s="190"/>
      <c r="AD112" s="190"/>
      <c r="AE112" s="190"/>
      <c r="AF112" s="190"/>
      <c r="AG112" s="190"/>
      <c r="AH112" s="190"/>
      <c r="AI112" s="190"/>
      <c r="AJ112" s="190"/>
      <c r="AK112" s="190"/>
      <c r="AL112" s="190"/>
      <c r="AM112" s="190"/>
      <c r="AN112" s="190"/>
      <c r="AO112" s="190"/>
      <c r="AP112" s="190"/>
      <c r="AQ112" s="190"/>
      <c r="AR112" s="190"/>
      <c r="AS112" s="608"/>
    </row>
    <row r="113" ht="15.6" thickBot="true" x14ac:dyDescent="0.3">
      <c r="B113" s="589"/>
      <c r="C113" s="590"/>
      <c r="D113" s="591"/>
      <c r="E113" s="591"/>
      <c r="F113" s="591"/>
      <c r="G113" s="591"/>
      <c r="H113" s="591"/>
      <c r="I113" s="590"/>
      <c r="J113" s="590"/>
      <c r="K113" s="590"/>
      <c r="L113" s="590"/>
      <c r="M113" s="590"/>
      <c r="N113" s="590"/>
      <c r="O113" s="590"/>
      <c r="P113" s="590"/>
      <c r="Q113" s="590"/>
      <c r="R113" s="590"/>
      <c r="S113" s="590"/>
      <c r="T113" s="590"/>
      <c r="U113" s="590"/>
      <c r="V113" s="590"/>
      <c r="W113" s="590"/>
      <c r="X113" s="590"/>
      <c r="Y113" s="590"/>
      <c r="Z113" s="590"/>
      <c r="AA113" s="590"/>
      <c r="AB113" s="590"/>
      <c r="AC113" s="590"/>
      <c r="AD113" s="590"/>
      <c r="AE113" s="590"/>
      <c r="AF113" s="590"/>
      <c r="AG113" s="590"/>
      <c r="AH113" s="590"/>
      <c r="AI113" s="590"/>
      <c r="AJ113" s="590"/>
      <c r="AK113" s="590"/>
      <c r="AL113" s="590"/>
      <c r="AM113" s="590"/>
      <c r="AN113" s="590"/>
      <c r="AO113" s="590"/>
      <c r="AP113" s="590"/>
      <c r="AQ113" s="590"/>
      <c r="AR113" s="590"/>
      <c r="AS113" s="609"/>
    </row>
    <row r="114" ht="15" x14ac:dyDescent="0.25">
      <c r="D114" s="62"/>
      <c r="E114" s="62"/>
      <c r="F114" s="62"/>
      <c r="G114" s="62"/>
      <c r="H114" s="62"/>
    </row>
    <row r="115" ht="15" x14ac:dyDescent="0.25">
      <c r="D115" s="62"/>
      <c r="E115" s="62"/>
      <c r="F115" s="62"/>
      <c r="G115" s="62"/>
      <c r="H115" s="62"/>
    </row>
    <row r="116" ht="15" x14ac:dyDescent="0.25">
      <c r="D116" s="62"/>
      <c r="E116" s="62"/>
      <c r="F116" s="62"/>
      <c r="G116" s="62"/>
      <c r="H116" s="62"/>
    </row>
  </sheetData>
  <sheetProtection sheet="true" objects="true" scenarios="true"/>
  <mergeCells count="1">
    <mergeCell ref="B4:I4"/>
  </mergeCells>
  <pageMargins left="0.7" right="0.7" top="0.75" bottom="0.75" header="0.3" footer="0.3"/>
  <pageSetup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0"/>
  <dimension ref="C1:BJ251"/>
  <sheetViews>
    <sheetView zoomScale="70" zoomScaleNormal="70" workbookViewId="0">
      <selection activeCell="G16" sqref="G16"/>
    </sheetView>
  </sheetViews>
  <sheetFormatPr defaultColWidth="9.109375" defaultRowHeight="15" x14ac:dyDescent="0.25"/>
  <cols>
    <col min="1" max="2" width="9.109375" style="62"/>
    <col min="3" max="3" width="15.109375" style="62" customWidth="true"/>
    <col min="4" max="4" width="24.33203125" style="62" customWidth="true"/>
    <col min="5" max="5" width="23.44140625" style="62" customWidth="true"/>
    <col min="6" max="6" width="26" style="62" customWidth="true"/>
    <col min="7" max="46" width="15.44140625" style="62" customWidth="true"/>
    <col min="47" max="48" width="10.44140625" style="62" customWidth="true"/>
    <col min="49" max="49" width="23" style="62" customWidth="true"/>
    <col min="50" max="51" width="10.44140625" style="62" customWidth="true"/>
    <col min="52" max="52" width="22.44140625" style="62" customWidth="true"/>
    <col min="53" max="16384" width="9.109375" style="62"/>
  </cols>
  <sheetData>
    <row r="1" ht="15.6" x14ac:dyDescent="0.3">
      <c r="C1" s="893"/>
    </row>
    <row r="2" ht="16.2" thickBot="true" x14ac:dyDescent="0.35">
      <c r="C2" s="893"/>
    </row>
    <row r="3" ht="32.25" customHeight="true" thickBot="true" x14ac:dyDescent="0.3">
      <c r="C3" s="1959" t="s">
        <v>2360</v>
      </c>
      <c r="D3" s="1882"/>
      <c r="E3" s="1882"/>
      <c r="F3" s="1882"/>
      <c r="G3" s="1882"/>
      <c r="H3" s="1882"/>
      <c r="I3" s="1882"/>
      <c r="J3" s="1883"/>
      <c r="K3" s="595"/>
      <c r="L3" s="595"/>
      <c r="M3" s="595"/>
      <c r="N3" s="595"/>
      <c r="O3" s="595"/>
      <c r="P3" s="595"/>
      <c r="Q3" s="595"/>
      <c r="R3" s="595"/>
      <c r="S3" s="595"/>
      <c r="T3" s="595"/>
      <c r="U3" s="595"/>
      <c r="V3" s="595"/>
      <c r="W3" s="595"/>
      <c r="X3" s="595"/>
      <c r="Y3" s="595"/>
      <c r="Z3" s="595"/>
      <c r="AA3" s="595"/>
      <c r="AB3" s="595"/>
      <c r="AC3" s="595"/>
      <c r="AD3" s="595"/>
      <c r="AE3" s="595"/>
      <c r="AF3" s="595"/>
      <c r="AG3" s="595"/>
      <c r="AH3" s="595"/>
      <c r="AI3" s="595"/>
      <c r="AJ3" s="595"/>
      <c r="AK3" s="595"/>
      <c r="AL3" s="595"/>
      <c r="AM3" s="595"/>
      <c r="AN3" s="595"/>
      <c r="AO3" s="595"/>
      <c r="AP3" s="595"/>
      <c r="AQ3" s="595"/>
      <c r="AR3" s="595"/>
      <c r="AS3" s="595"/>
      <c r="AT3" s="595"/>
      <c r="AU3" s="596"/>
    </row>
    <row r="4" ht="15.6" thickBot="true" x14ac:dyDescent="0.3">
      <c r="C4" s="597"/>
      <c r="D4" s="570"/>
      <c r="E4" s="570"/>
      <c r="F4" s="570"/>
      <c r="G4" s="570"/>
      <c r="H4" s="570"/>
      <c r="I4" s="570"/>
      <c r="J4" s="570"/>
      <c r="K4" s="570"/>
      <c r="L4" s="570"/>
      <c r="M4" s="570"/>
      <c r="N4" s="570"/>
      <c r="O4" s="570"/>
      <c r="P4" s="570"/>
      <c r="Q4" s="570"/>
      <c r="R4" s="570"/>
      <c r="S4" s="570"/>
      <c r="T4" s="570"/>
      <c r="U4" s="570"/>
      <c r="V4" s="570"/>
      <c r="W4" s="570"/>
      <c r="X4" s="570"/>
      <c r="Y4" s="570"/>
      <c r="Z4" s="570"/>
      <c r="AA4" s="570"/>
      <c r="AB4" s="570"/>
      <c r="AC4" s="570"/>
      <c r="AD4" s="570"/>
      <c r="AE4" s="570"/>
      <c r="AF4" s="570"/>
      <c r="AG4" s="570"/>
      <c r="AH4" s="570"/>
      <c r="AI4" s="570"/>
      <c r="AJ4" s="570"/>
      <c r="AK4" s="570"/>
      <c r="AL4" s="570"/>
      <c r="AM4" s="570"/>
      <c r="AN4" s="570"/>
      <c r="AO4" s="570"/>
      <c r="AP4" s="570"/>
      <c r="AQ4" s="570"/>
      <c r="AR4" s="570"/>
      <c r="AS4" s="570"/>
      <c r="AT4" s="570"/>
      <c r="AU4" s="588"/>
    </row>
    <row r="5" s="128" customFormat="true" ht="18.75" customHeight="true" x14ac:dyDescent="0.4">
      <c r="C5" s="598"/>
      <c r="D5" s="581"/>
      <c r="E5" s="581"/>
      <c r="F5" s="567" t="s">
        <v>1872</v>
      </c>
      <c r="G5" s="183">
        <f>'I. Stream &amp; Compound Data'!F20+273</f>
        <v>298</v>
      </c>
      <c r="H5" s="581"/>
      <c r="I5" s="581"/>
      <c r="J5" s="581"/>
      <c r="K5" s="581"/>
      <c r="L5" s="581"/>
      <c r="M5" s="581"/>
      <c r="N5" s="581"/>
      <c r="O5" s="581"/>
      <c r="P5" s="581"/>
      <c r="Q5" s="581"/>
      <c r="R5" s="581"/>
      <c r="S5" s="581"/>
      <c r="T5" s="581"/>
      <c r="U5" s="581"/>
      <c r="V5" s="581"/>
      <c r="W5" s="581"/>
      <c r="X5" s="581"/>
      <c r="Y5" s="581"/>
      <c r="Z5" s="581"/>
      <c r="AA5" s="581"/>
      <c r="AB5" s="581"/>
      <c r="AC5" s="581"/>
      <c r="AD5" s="581"/>
      <c r="AE5" s="581"/>
      <c r="AF5" s="581"/>
      <c r="AG5" s="581"/>
      <c r="AH5" s="581"/>
      <c r="AI5" s="581"/>
      <c r="AJ5" s="581"/>
      <c r="AK5" s="581"/>
      <c r="AL5" s="581"/>
      <c r="AM5" s="581"/>
      <c r="AN5" s="581"/>
      <c r="AO5" s="581"/>
      <c r="AP5" s="581"/>
      <c r="AQ5" s="581"/>
      <c r="AR5" s="581"/>
      <c r="AS5" s="581"/>
      <c r="AT5" s="581"/>
      <c r="AU5" s="599"/>
    </row>
    <row r="6" ht="15.6" thickBot="true" x14ac:dyDescent="0.3">
      <c r="C6" s="597"/>
      <c r="D6" s="570"/>
      <c r="E6" s="570"/>
      <c r="F6" s="218" t="s">
        <v>1630</v>
      </c>
      <c r="G6" s="1567">
        <f>'I. Stream &amp; Compound Data'!F22</f>
        <v>8.3140000000000002E-3</v>
      </c>
      <c r="H6" s="570"/>
      <c r="I6" s="570"/>
      <c r="J6" s="570"/>
      <c r="K6" s="570"/>
      <c r="L6" s="570"/>
      <c r="M6" s="570"/>
      <c r="N6" s="570"/>
      <c r="O6" s="570"/>
      <c r="P6" s="570"/>
      <c r="Q6" s="570"/>
      <c r="R6" s="570"/>
      <c r="S6" s="570"/>
      <c r="T6" s="570"/>
      <c r="U6" s="570"/>
      <c r="V6" s="570"/>
      <c r="W6" s="570"/>
      <c r="X6" s="570"/>
      <c r="Y6" s="570"/>
      <c r="Z6" s="570"/>
      <c r="AA6" s="570"/>
      <c r="AB6" s="570"/>
      <c r="AC6" s="570"/>
      <c r="AD6" s="570"/>
      <c r="AE6" s="570"/>
      <c r="AF6" s="570"/>
      <c r="AG6" s="570"/>
      <c r="AH6" s="570"/>
      <c r="AI6" s="570"/>
      <c r="AJ6" s="570"/>
      <c r="AK6" s="570"/>
      <c r="AL6" s="570"/>
      <c r="AM6" s="570"/>
      <c r="AN6" s="570"/>
      <c r="AO6" s="570"/>
      <c r="AP6" s="570"/>
      <c r="AQ6" s="570"/>
      <c r="AR6" s="570"/>
      <c r="AS6" s="570"/>
      <c r="AT6" s="570"/>
      <c r="AU6" s="588"/>
    </row>
    <row r="7" x14ac:dyDescent="0.25">
      <c r="C7" s="597"/>
      <c r="D7" s="570"/>
      <c r="E7" s="570"/>
      <c r="F7" s="570"/>
      <c r="G7" s="570"/>
      <c r="H7" s="570"/>
      <c r="I7" s="570"/>
      <c r="J7" s="570"/>
      <c r="K7" s="570"/>
      <c r="L7" s="570"/>
      <c r="M7" s="570"/>
      <c r="N7" s="570"/>
      <c r="O7" s="570"/>
      <c r="P7" s="570"/>
      <c r="Q7" s="570"/>
      <c r="R7" s="570"/>
      <c r="S7" s="570"/>
      <c r="T7" s="570"/>
      <c r="U7" s="570"/>
      <c r="V7" s="570"/>
      <c r="W7" s="570"/>
      <c r="X7" s="570"/>
      <c r="Y7" s="570"/>
      <c r="Z7" s="570"/>
      <c r="AA7" s="570"/>
      <c r="AB7" s="570"/>
      <c r="AC7" s="570"/>
      <c r="AD7" s="570"/>
      <c r="AE7" s="570"/>
      <c r="AF7" s="570"/>
      <c r="AG7" s="570"/>
      <c r="AH7" s="570"/>
      <c r="AI7" s="570"/>
      <c r="AJ7" s="570"/>
      <c r="AK7" s="570"/>
      <c r="AL7" s="570"/>
      <c r="AM7" s="570"/>
      <c r="AN7" s="570"/>
      <c r="AO7" s="570"/>
      <c r="AP7" s="570"/>
      <c r="AQ7" s="570"/>
      <c r="AR7" s="570"/>
      <c r="AS7" s="570"/>
      <c r="AT7" s="570"/>
      <c r="AU7" s="588"/>
    </row>
    <row r="8" ht="15" customHeight="true" x14ac:dyDescent="0.25">
      <c r="C8" s="597"/>
      <c r="D8" s="570"/>
      <c r="E8" s="570"/>
      <c r="F8" s="570"/>
      <c r="G8" s="570"/>
      <c r="H8" s="570"/>
      <c r="I8" s="570"/>
      <c r="J8" s="570"/>
      <c r="K8" s="570"/>
      <c r="L8" s="570"/>
      <c r="M8" s="570"/>
      <c r="N8" s="570"/>
      <c r="O8" s="570"/>
      <c r="P8" s="570"/>
      <c r="Q8" s="570"/>
      <c r="R8" s="570"/>
      <c r="S8" s="570"/>
      <c r="T8" s="570"/>
      <c r="U8" s="570"/>
      <c r="V8" s="570"/>
      <c r="W8" s="570"/>
      <c r="X8" s="570"/>
      <c r="Y8" s="1188"/>
      <c r="Z8" s="570"/>
      <c r="AA8" s="570"/>
      <c r="AB8" s="570"/>
      <c r="AC8" s="570"/>
      <c r="AD8" s="570"/>
      <c r="AE8" s="570"/>
      <c r="AF8" s="570"/>
      <c r="AG8" s="570"/>
      <c r="AH8" s="570"/>
      <c r="AI8" s="570"/>
      <c r="AJ8" s="570"/>
      <c r="AK8" s="570"/>
      <c r="AL8" s="570"/>
      <c r="AM8" s="570"/>
      <c r="AN8" s="570"/>
      <c r="AO8" s="570"/>
      <c r="AP8" s="570"/>
      <c r="AQ8" s="570"/>
      <c r="AR8" s="570"/>
      <c r="AS8" s="570"/>
      <c r="AT8" s="570"/>
      <c r="AU8" s="588"/>
    </row>
    <row r="9" ht="15" customHeight="true" x14ac:dyDescent="0.25">
      <c r="C9" s="597"/>
      <c r="D9" s="570"/>
      <c r="E9" s="570"/>
      <c r="F9" s="570"/>
      <c r="G9" s="570"/>
      <c r="H9" s="570"/>
      <c r="I9" s="570"/>
      <c r="J9" s="570"/>
      <c r="K9" s="570"/>
      <c r="L9" s="570"/>
      <c r="M9" s="570"/>
      <c r="N9" s="570"/>
      <c r="O9" s="570"/>
      <c r="P9" s="570"/>
      <c r="Q9" s="570"/>
      <c r="R9" s="570"/>
      <c r="S9" s="570"/>
      <c r="T9" s="570"/>
      <c r="U9" s="570"/>
      <c r="V9" s="570"/>
      <c r="W9" s="570"/>
      <c r="X9" s="570"/>
      <c r="Y9" s="1188"/>
      <c r="Z9" s="592"/>
      <c r="AA9" s="592"/>
      <c r="AB9" s="592"/>
      <c r="AC9" s="592"/>
      <c r="AD9" s="592"/>
      <c r="AE9" s="592"/>
      <c r="AF9" s="592"/>
      <c r="AG9" s="592"/>
      <c r="AH9" s="592"/>
      <c r="AI9" s="592"/>
      <c r="AJ9" s="570"/>
      <c r="AK9" s="570"/>
      <c r="AL9" s="570"/>
      <c r="AM9" s="570"/>
      <c r="AN9" s="570"/>
      <c r="AO9" s="570"/>
      <c r="AP9" s="570"/>
      <c r="AQ9" s="570"/>
      <c r="AR9" s="570"/>
      <c r="AS9" s="570"/>
      <c r="AT9" s="570"/>
      <c r="AU9" s="588"/>
    </row>
    <row r="10" s="126" customFormat="true" ht="29.25" customHeight="true" thickBot="true" x14ac:dyDescent="0.55000000000000004">
      <c r="C10" s="600"/>
      <c r="D10" s="1188"/>
      <c r="E10" s="2176" t="s">
        <v>2315</v>
      </c>
      <c r="F10" s="2176"/>
      <c r="G10" s="1187"/>
      <c r="H10" s="1187"/>
      <c r="I10" s="1187"/>
      <c r="J10" s="1187"/>
      <c r="K10" s="1187"/>
      <c r="L10" s="1187"/>
      <c r="M10" s="1187"/>
      <c r="N10" s="1187"/>
      <c r="O10" s="1187"/>
      <c r="P10" s="1187"/>
      <c r="Q10" s="570"/>
      <c r="R10" s="570"/>
      <c r="S10" s="570"/>
      <c r="T10" s="570"/>
      <c r="U10" s="570"/>
      <c r="V10" s="570"/>
      <c r="W10" s="1188"/>
      <c r="X10" s="1188"/>
      <c r="Y10" s="570"/>
      <c r="Z10" s="570"/>
      <c r="AA10" s="570"/>
      <c r="AB10" s="570"/>
      <c r="AC10" s="570"/>
      <c r="AD10" s="570"/>
      <c r="AE10" s="570"/>
      <c r="AF10" s="570"/>
      <c r="AG10" s="570"/>
      <c r="AH10" s="570"/>
      <c r="AI10" s="570"/>
      <c r="AJ10" s="570"/>
      <c r="AK10" s="570"/>
      <c r="AL10" s="1188"/>
      <c r="AM10" s="1188"/>
      <c r="AN10" s="1188"/>
      <c r="AO10" s="1188"/>
      <c r="AP10" s="1188"/>
      <c r="AQ10" s="1188"/>
      <c r="AR10" s="1188"/>
      <c r="AS10" s="1188"/>
      <c r="AT10" s="1188"/>
      <c r="AU10" s="601"/>
      <c r="AW10" s="62"/>
      <c r="AX10" s="62"/>
      <c r="AY10" s="62"/>
      <c r="AZ10" s="62"/>
      <c r="BA10" s="62"/>
    </row>
    <row r="11" s="126" customFormat="true" ht="29.25" customHeight="true" x14ac:dyDescent="0.25">
      <c r="C11" s="600"/>
      <c r="D11" s="1188"/>
      <c r="E11" s="570"/>
      <c r="F11" s="593"/>
      <c r="G11" s="260">
        <v>1</v>
      </c>
      <c r="H11" s="261">
        <f>G11+1</f>
        <v>2</v>
      </c>
      <c r="I11" s="261">
        <f t="shared" ref="I11:AT11" si="0">H11+1</f>
        <v>3</v>
      </c>
      <c r="J11" s="261">
        <f t="shared" si="0"/>
        <v>4</v>
      </c>
      <c r="K11" s="261">
        <f t="shared" si="0"/>
        <v>5</v>
      </c>
      <c r="L11" s="261">
        <f t="shared" si="0"/>
        <v>6</v>
      </c>
      <c r="M11" s="261">
        <f t="shared" si="0"/>
        <v>7</v>
      </c>
      <c r="N11" s="261">
        <f t="shared" si="0"/>
        <v>8</v>
      </c>
      <c r="O11" s="261">
        <f t="shared" si="0"/>
        <v>9</v>
      </c>
      <c r="P11" s="261">
        <f t="shared" si="0"/>
        <v>10</v>
      </c>
      <c r="Q11" s="261">
        <f t="shared" si="0"/>
        <v>11</v>
      </c>
      <c r="R11" s="261">
        <f t="shared" si="0"/>
        <v>12</v>
      </c>
      <c r="S11" s="261">
        <f t="shared" si="0"/>
        <v>13</v>
      </c>
      <c r="T11" s="261">
        <f t="shared" si="0"/>
        <v>14</v>
      </c>
      <c r="U11" s="261">
        <f t="shared" si="0"/>
        <v>15</v>
      </c>
      <c r="V11" s="261">
        <f t="shared" si="0"/>
        <v>16</v>
      </c>
      <c r="W11" s="261">
        <f t="shared" si="0"/>
        <v>17</v>
      </c>
      <c r="X11" s="261">
        <f t="shared" si="0"/>
        <v>18</v>
      </c>
      <c r="Y11" s="261">
        <f t="shared" si="0"/>
        <v>19</v>
      </c>
      <c r="Z11" s="261">
        <f t="shared" si="0"/>
        <v>20</v>
      </c>
      <c r="AA11" s="261">
        <f t="shared" si="0"/>
        <v>21</v>
      </c>
      <c r="AB11" s="261">
        <f t="shared" si="0"/>
        <v>22</v>
      </c>
      <c r="AC11" s="261">
        <f t="shared" si="0"/>
        <v>23</v>
      </c>
      <c r="AD11" s="261">
        <f t="shared" si="0"/>
        <v>24</v>
      </c>
      <c r="AE11" s="261">
        <f t="shared" si="0"/>
        <v>25</v>
      </c>
      <c r="AF11" s="261">
        <f t="shared" si="0"/>
        <v>26</v>
      </c>
      <c r="AG11" s="261">
        <f t="shared" si="0"/>
        <v>27</v>
      </c>
      <c r="AH11" s="261">
        <f t="shared" si="0"/>
        <v>28</v>
      </c>
      <c r="AI11" s="261">
        <f t="shared" si="0"/>
        <v>29</v>
      </c>
      <c r="AJ11" s="261">
        <f t="shared" si="0"/>
        <v>30</v>
      </c>
      <c r="AK11" s="261">
        <f t="shared" si="0"/>
        <v>31</v>
      </c>
      <c r="AL11" s="261">
        <f t="shared" si="0"/>
        <v>32</v>
      </c>
      <c r="AM11" s="261">
        <f t="shared" si="0"/>
        <v>33</v>
      </c>
      <c r="AN11" s="261">
        <f t="shared" si="0"/>
        <v>34</v>
      </c>
      <c r="AO11" s="261">
        <f t="shared" si="0"/>
        <v>35</v>
      </c>
      <c r="AP11" s="261">
        <f t="shared" si="0"/>
        <v>36</v>
      </c>
      <c r="AQ11" s="261">
        <f t="shared" si="0"/>
        <v>37</v>
      </c>
      <c r="AR11" s="261">
        <f t="shared" si="0"/>
        <v>38</v>
      </c>
      <c r="AS11" s="261">
        <f t="shared" si="0"/>
        <v>39</v>
      </c>
      <c r="AT11" s="1221">
        <f t="shared" si="0"/>
        <v>40</v>
      </c>
      <c r="AU11" s="602"/>
      <c r="AV11" s="45"/>
      <c r="AW11" s="45"/>
      <c r="AX11" s="45"/>
      <c r="AY11" s="62"/>
      <c r="AZ11" s="62"/>
      <c r="BA11" s="62"/>
    </row>
    <row r="12" ht="20.25" customHeight="true" x14ac:dyDescent="0.25">
      <c r="C12" s="597"/>
      <c r="D12" s="570"/>
      <c r="E12" s="570"/>
      <c r="F12" s="495" t="s">
        <v>76</v>
      </c>
      <c r="G12" s="202" t="str">
        <f t="array" ref="G12:AT12">TRANSPOSE(IN_stream_number)</f>
        <v>S2</v>
      </c>
      <c r="H12" s="202" t="str">
        <v/>
      </c>
      <c r="I12" s="202" t="str">
        <v/>
      </c>
      <c r="J12" s="202" t="str">
        <v/>
      </c>
      <c r="K12" s="202" t="str">
        <v/>
      </c>
      <c r="L12" s="202" t="str">
        <v/>
      </c>
      <c r="M12" s="202" t="str">
        <v/>
      </c>
      <c r="N12" s="202" t="str">
        <v/>
      </c>
      <c r="O12" s="202" t="str">
        <v/>
      </c>
      <c r="P12" s="202" t="str">
        <v/>
      </c>
      <c r="Q12" s="202" t="str">
        <v/>
      </c>
      <c r="R12" s="202" t="str">
        <v/>
      </c>
      <c r="S12" s="202" t="str">
        <v/>
      </c>
      <c r="T12" s="202" t="str">
        <v/>
      </c>
      <c r="U12" s="202" t="str">
        <v/>
      </c>
      <c r="V12" s="202" t="str">
        <v/>
      </c>
      <c r="W12" s="202" t="str">
        <v/>
      </c>
      <c r="X12" s="202" t="str">
        <v/>
      </c>
      <c r="Y12" s="202" t="str">
        <v/>
      </c>
      <c r="Z12" s="202" t="str">
        <v/>
      </c>
      <c r="AA12" s="202" t="str">
        <v/>
      </c>
      <c r="AB12" s="202" t="str">
        <v/>
      </c>
      <c r="AC12" s="202" t="str">
        <v/>
      </c>
      <c r="AD12" s="202" t="str">
        <v/>
      </c>
      <c r="AE12" s="202" t="str">
        <v/>
      </c>
      <c r="AF12" s="202" t="str">
        <v/>
      </c>
      <c r="AG12" s="202" t="str">
        <v/>
      </c>
      <c r="AH12" s="202" t="str">
        <v/>
      </c>
      <c r="AI12" s="202" t="str">
        <v/>
      </c>
      <c r="AJ12" s="202" t="str">
        <v/>
      </c>
      <c r="AK12" s="202" t="str">
        <v/>
      </c>
      <c r="AL12" s="202" t="str">
        <v/>
      </c>
      <c r="AM12" s="202" t="str">
        <v/>
      </c>
      <c r="AN12" s="202" t="str">
        <v/>
      </c>
      <c r="AO12" s="202" t="str">
        <v/>
      </c>
      <c r="AP12" s="202" t="str">
        <v/>
      </c>
      <c r="AQ12" s="202" t="str">
        <v/>
      </c>
      <c r="AR12" s="202" t="str">
        <v/>
      </c>
      <c r="AS12" s="202" t="str">
        <v/>
      </c>
      <c r="AT12" s="262" t="str">
        <v/>
      </c>
      <c r="AU12" s="588"/>
    </row>
    <row r="13" ht="20.25" customHeight="true" x14ac:dyDescent="0.25">
      <c r="C13" s="597"/>
      <c r="D13" s="570"/>
      <c r="E13" s="570"/>
      <c r="F13" s="1211" t="s">
        <v>2294</v>
      </c>
      <c r="G13" s="202">
        <f t="array" ref="G13:AT13">TRANSPOSE(IN_Enthalpy_MJ_h)</f>
        <v>-8184519.7560000001</v>
      </c>
      <c r="H13" s="202" t="str">
        <v/>
      </c>
      <c r="I13" s="202" t="str">
        <v/>
      </c>
      <c r="J13" s="202" t="str">
        <v/>
      </c>
      <c r="K13" s="202" t="str">
        <v/>
      </c>
      <c r="L13" s="202" t="str">
        <v/>
      </c>
      <c r="M13" s="202" t="str">
        <v/>
      </c>
      <c r="N13" s="202" t="str">
        <v/>
      </c>
      <c r="O13" s="202" t="str">
        <v/>
      </c>
      <c r="P13" s="202" t="str">
        <v/>
      </c>
      <c r="Q13" s="202" t="str">
        <v/>
      </c>
      <c r="R13" s="202" t="str">
        <v/>
      </c>
      <c r="S13" s="202" t="str">
        <v/>
      </c>
      <c r="T13" s="202" t="str">
        <v/>
      </c>
      <c r="U13" s="202" t="str">
        <v/>
      </c>
      <c r="V13" s="202" t="str">
        <v/>
      </c>
      <c r="W13" s="202" t="str">
        <v/>
      </c>
      <c r="X13" s="202" t="str">
        <v/>
      </c>
      <c r="Y13" s="202" t="str">
        <v/>
      </c>
      <c r="Z13" s="202" t="str">
        <v/>
      </c>
      <c r="AA13" s="202" t="str">
        <v/>
      </c>
      <c r="AB13" s="202" t="str">
        <v/>
      </c>
      <c r="AC13" s="202" t="str">
        <v/>
      </c>
      <c r="AD13" s="202" t="str">
        <v/>
      </c>
      <c r="AE13" s="202" t="str">
        <v/>
      </c>
      <c r="AF13" s="202" t="str">
        <v/>
      </c>
      <c r="AG13" s="202" t="str">
        <v/>
      </c>
      <c r="AH13" s="202" t="str">
        <v/>
      </c>
      <c r="AI13" s="202" t="str">
        <v/>
      </c>
      <c r="AJ13" s="202" t="str">
        <v/>
      </c>
      <c r="AK13" s="202" t="str">
        <v/>
      </c>
      <c r="AL13" s="202" t="str">
        <v/>
      </c>
      <c r="AM13" s="202" t="str">
        <v/>
      </c>
      <c r="AN13" s="202" t="str">
        <v/>
      </c>
      <c r="AO13" s="202" t="str">
        <v/>
      </c>
      <c r="AP13" s="202" t="str">
        <v/>
      </c>
      <c r="AQ13" s="202" t="str">
        <v/>
      </c>
      <c r="AR13" s="202" t="str">
        <v/>
      </c>
      <c r="AS13" s="202" t="str">
        <v/>
      </c>
      <c r="AT13" s="262" t="str">
        <v/>
      </c>
      <c r="AU13" s="588"/>
    </row>
    <row r="14" ht="20.25" customHeight="true" x14ac:dyDescent="0.25">
      <c r="C14" s="597"/>
      <c r="D14" s="570"/>
      <c r="E14" s="570"/>
      <c r="F14" s="1211" t="s">
        <v>2295</v>
      </c>
      <c r="G14" s="202">
        <f t="array" ref="G14:AT14">TRANSPOSE(IN_Entropy_MJ_h_K)</f>
        <v>-17.838678213498213</v>
      </c>
      <c r="H14" s="202" t="str">
        <v/>
      </c>
      <c r="I14" s="202" t="str">
        <v/>
      </c>
      <c r="J14" s="202" t="str">
        <v/>
      </c>
      <c r="K14" s="202" t="str">
        <v/>
      </c>
      <c r="L14" s="202" t="str">
        <v/>
      </c>
      <c r="M14" s="202" t="str">
        <v/>
      </c>
      <c r="N14" s="202" t="str">
        <v/>
      </c>
      <c r="O14" s="202" t="str">
        <v/>
      </c>
      <c r="P14" s="202" t="str">
        <v/>
      </c>
      <c r="Q14" s="202" t="str">
        <v/>
      </c>
      <c r="R14" s="202" t="str">
        <v/>
      </c>
      <c r="S14" s="202" t="str">
        <v/>
      </c>
      <c r="T14" s="202" t="str">
        <v/>
      </c>
      <c r="U14" s="202" t="str">
        <v/>
      </c>
      <c r="V14" s="202" t="str">
        <v/>
      </c>
      <c r="W14" s="202" t="str">
        <v/>
      </c>
      <c r="X14" s="202" t="str">
        <v/>
      </c>
      <c r="Y14" s="202" t="str">
        <v/>
      </c>
      <c r="Z14" s="202" t="str">
        <v/>
      </c>
      <c r="AA14" s="202" t="str">
        <v/>
      </c>
      <c r="AB14" s="202" t="str">
        <v/>
      </c>
      <c r="AC14" s="202" t="str">
        <v/>
      </c>
      <c r="AD14" s="202" t="str">
        <v/>
      </c>
      <c r="AE14" s="202" t="str">
        <v/>
      </c>
      <c r="AF14" s="202" t="str">
        <v/>
      </c>
      <c r="AG14" s="202" t="str">
        <v/>
      </c>
      <c r="AH14" s="202" t="str">
        <v/>
      </c>
      <c r="AI14" s="202" t="str">
        <v/>
      </c>
      <c r="AJ14" s="202" t="str">
        <v/>
      </c>
      <c r="AK14" s="202" t="str">
        <v/>
      </c>
      <c r="AL14" s="202" t="str">
        <v/>
      </c>
      <c r="AM14" s="202" t="str">
        <v/>
      </c>
      <c r="AN14" s="202" t="str">
        <v/>
      </c>
      <c r="AO14" s="202" t="str">
        <v/>
      </c>
      <c r="AP14" s="202" t="str">
        <v/>
      </c>
      <c r="AQ14" s="202" t="str">
        <v/>
      </c>
      <c r="AR14" s="202" t="str">
        <v/>
      </c>
      <c r="AS14" s="202" t="str">
        <v/>
      </c>
      <c r="AT14" s="262" t="str">
        <v/>
      </c>
      <c r="AU14" s="588"/>
    </row>
    <row r="15" ht="20.25" customHeight="true" x14ac:dyDescent="0.25">
      <c r="C15" s="597"/>
      <c r="D15" s="570"/>
      <c r="E15" s="570"/>
      <c r="F15" s="495" t="s">
        <v>2298</v>
      </c>
      <c r="G15" s="202">
        <f t="array" ref="G15:AT15">TRANSPOSE(IN_flow_rates__kg_h)</f>
        <v>6778.7792000553327</v>
      </c>
      <c r="H15" s="202" t="str">
        <v/>
      </c>
      <c r="I15" s="202" t="str">
        <v/>
      </c>
      <c r="J15" s="202" t="str">
        <v/>
      </c>
      <c r="K15" s="202" t="str">
        <v/>
      </c>
      <c r="L15" s="202" t="str">
        <v/>
      </c>
      <c r="M15" s="202" t="str">
        <v/>
      </c>
      <c r="N15" s="202" t="str">
        <v/>
      </c>
      <c r="O15" s="202" t="str">
        <v/>
      </c>
      <c r="P15" s="202" t="str">
        <v/>
      </c>
      <c r="Q15" s="202" t="str">
        <v/>
      </c>
      <c r="R15" s="202" t="str">
        <v/>
      </c>
      <c r="S15" s="202" t="str">
        <v/>
      </c>
      <c r="T15" s="202" t="str">
        <v/>
      </c>
      <c r="U15" s="202" t="str">
        <v/>
      </c>
      <c r="V15" s="202" t="str">
        <v/>
      </c>
      <c r="W15" s="202" t="str">
        <v/>
      </c>
      <c r="X15" s="202" t="str">
        <v/>
      </c>
      <c r="Y15" s="202" t="str">
        <v/>
      </c>
      <c r="Z15" s="202" t="str">
        <v/>
      </c>
      <c r="AA15" s="202" t="str">
        <v/>
      </c>
      <c r="AB15" s="202" t="str">
        <v/>
      </c>
      <c r="AC15" s="202" t="str">
        <v/>
      </c>
      <c r="AD15" s="202" t="str">
        <v/>
      </c>
      <c r="AE15" s="202" t="str">
        <v/>
      </c>
      <c r="AF15" s="202" t="str">
        <v/>
      </c>
      <c r="AG15" s="202" t="str">
        <v/>
      </c>
      <c r="AH15" s="202" t="str">
        <v/>
      </c>
      <c r="AI15" s="202" t="str">
        <v/>
      </c>
      <c r="AJ15" s="202" t="str">
        <v/>
      </c>
      <c r="AK15" s="202" t="str">
        <v/>
      </c>
      <c r="AL15" s="202" t="str">
        <v/>
      </c>
      <c r="AM15" s="202" t="str">
        <v/>
      </c>
      <c r="AN15" s="202" t="str">
        <v/>
      </c>
      <c r="AO15" s="202" t="str">
        <v/>
      </c>
      <c r="AP15" s="202" t="str">
        <v/>
      </c>
      <c r="AQ15" s="202" t="str">
        <v/>
      </c>
      <c r="AR15" s="202" t="str">
        <v/>
      </c>
      <c r="AS15" s="202" t="str">
        <v/>
      </c>
      <c r="AT15" s="262" t="str">
        <v/>
      </c>
      <c r="AU15" s="588"/>
    </row>
    <row r="16" ht="20.25" customHeight="true" x14ac:dyDescent="0.25">
      <c r="C16" s="597"/>
      <c r="D16" s="570"/>
      <c r="E16" s="570"/>
      <c r="F16" s="1211" t="s">
        <v>2296</v>
      </c>
      <c r="G16" s="202">
        <f>IF(G12="","",SUMPRODUCT('I. Stream &amp; Compound Data'!H32:H81,H°_MJ_kg_1atm_25°C))</f>
        <v>-81742.052322000003</v>
      </c>
      <c r="H16" s="202" t="str">
        <f>IF(H12="","",SUMPRODUCT('I. Stream &amp; Compound Data'!K32:K81,H°_MJ_kg_1atm_25°C))</f>
        <v/>
      </c>
      <c r="I16" s="202" t="str">
        <f>IF(I12="","",SUMPRODUCT('I. Stream &amp; Compound Data'!N32:N81,H°_MJ_kg_1atm_25°C))</f>
        <v/>
      </c>
      <c r="J16" s="202" t="str">
        <f>IF(J12="","",SUMPRODUCT('I. Stream &amp; Compound Data'!Q32:Q81,H°_MJ_kg_1atm_25°C))</f>
        <v/>
      </c>
      <c r="K16" s="202" t="str">
        <f>IF(K12="","",SUMPRODUCT('I. Stream &amp; Compound Data'!T32:T81,H°_MJ_kg_1atm_25°C))</f>
        <v/>
      </c>
      <c r="L16" s="202" t="str">
        <f>IF(L12="","",SUMPRODUCT('I. Stream &amp; Compound Data'!W32:W81,H°_MJ_kg_1atm_25°C))</f>
        <v/>
      </c>
      <c r="M16" s="202" t="str">
        <f>IF(M12="","",SUMPRODUCT('I. Stream &amp; Compound Data'!Z32:Z81,H°_MJ_kg_1atm_25°C))</f>
        <v/>
      </c>
      <c r="N16" s="202" t="str">
        <f>IF(N12="","",SUMPRODUCT('I. Stream &amp; Compound Data'!AC32:AC81,H°_MJ_kg_1atm_25°C))</f>
        <v/>
      </c>
      <c r="O16" s="202" t="str">
        <f>IF(O12="","",SUMPRODUCT('I. Stream &amp; Compound Data'!AF32:AF81,H°_MJ_kg_1atm_25°C))</f>
        <v/>
      </c>
      <c r="P16" s="202" t="str">
        <f>IF(P12="","",SUMPRODUCT('I. Stream &amp; Compound Data'!AI32:AI81,H°_MJ_kg_1atm_25°C))</f>
        <v/>
      </c>
      <c r="Q16" s="202" t="str">
        <f>IF(Q12="","",SUMPRODUCT('I. Stream &amp; Compound Data'!AL32:AL81,H°_MJ_kg_1atm_25°C))</f>
        <v/>
      </c>
      <c r="R16" s="202" t="str">
        <f>IF(R12="","",SUMPRODUCT('I. Stream &amp; Compound Data'!AO32:AO81,H°_MJ_kg_1atm_25°C))</f>
        <v/>
      </c>
      <c r="S16" s="202" t="str">
        <f>IF(S12="","",SUMPRODUCT('I. Stream &amp; Compound Data'!AR32:AR81,H°_MJ_kg_1atm_25°C))</f>
        <v/>
      </c>
      <c r="T16" s="202" t="str">
        <f>IF(T12="","",SUMPRODUCT('I. Stream &amp; Compound Data'!AU32:AU81,H°_MJ_kg_1atm_25°C))</f>
        <v/>
      </c>
      <c r="U16" s="202" t="str">
        <f>IF(U12="","",SUMPRODUCT('I. Stream &amp; Compound Data'!AX32:AX81,H°_MJ_kg_1atm_25°C))</f>
        <v/>
      </c>
      <c r="V16" s="202" t="str">
        <f>IF(V12="","",SUMPRODUCT('I. Stream &amp; Compound Data'!BA32:BA81,H°_MJ_kg_1atm_25°C))</f>
        <v/>
      </c>
      <c r="W16" s="202" t="str">
        <f>IF(W12="","",SUMPRODUCT('I. Stream &amp; Compound Data'!BD32:BD81,H°_MJ_kg_1atm_25°C))</f>
        <v/>
      </c>
      <c r="X16" s="202" t="str">
        <f>IF(X12="","",SUMPRODUCT('I. Stream &amp; Compound Data'!BG32:BG81,H°_MJ_kg_1atm_25°C))</f>
        <v/>
      </c>
      <c r="Y16" s="202" t="str">
        <f>IF(Y12="","",SUMPRODUCT('I. Stream &amp; Compound Data'!BJ32:BJ81,H°_MJ_kg_1atm_25°C))</f>
        <v/>
      </c>
      <c r="Z16" s="202" t="str">
        <f>IF(Z12="","",SUMPRODUCT('I. Stream &amp; Compound Data'!BM32:BM81,H°_MJ_kg_1atm_25°C))</f>
        <v/>
      </c>
      <c r="AA16" s="202" t="str">
        <f>IF(AA12="","",SUMPRODUCT('I. Stream &amp; Compound Data'!BP32:BP81,H°_MJ_kg_1atm_25°C))</f>
        <v/>
      </c>
      <c r="AB16" s="202" t="str">
        <f>IF(AB12="","",SUMPRODUCT('I. Stream &amp; Compound Data'!BS32:BS81,H°_MJ_kg_1atm_25°C))</f>
        <v/>
      </c>
      <c r="AC16" s="202" t="str">
        <f>IF(AC12="","",SUMPRODUCT('I. Stream &amp; Compound Data'!BV32:BV81,H°_MJ_kg_1atm_25°C))</f>
        <v/>
      </c>
      <c r="AD16" s="202" t="str">
        <f>IF(AD12="","",SUMPRODUCT('I. Stream &amp; Compound Data'!BY32:BY81,H°_MJ_kg_1atm_25°C))</f>
        <v/>
      </c>
      <c r="AE16" s="202" t="str">
        <f>IF(AE12="","",SUMPRODUCT('I. Stream &amp; Compound Data'!CB32:CB81,H°_MJ_kg_1atm_25°C))</f>
        <v/>
      </c>
      <c r="AF16" s="202" t="str">
        <f>IF(AF12="","",SUMPRODUCT('I. Stream &amp; Compound Data'!CE32:CE81,H°_MJ_kg_1atm_25°C))</f>
        <v/>
      </c>
      <c r="AG16" s="202" t="str">
        <f>IF(AG12="","",SUMPRODUCT('I. Stream &amp; Compound Data'!CH32:CH81,H°_MJ_kg_1atm_25°C))</f>
        <v/>
      </c>
      <c r="AH16" s="202" t="str">
        <f>IF(AH12="","",SUMPRODUCT('I. Stream &amp; Compound Data'!CK32:CK81,H°_MJ_kg_1atm_25°C))</f>
        <v/>
      </c>
      <c r="AI16" s="202" t="str">
        <f>IF(AI12="","",SUMPRODUCT('I. Stream &amp; Compound Data'!CN32:CN81,H°_MJ_kg_1atm_25°C))</f>
        <v/>
      </c>
      <c r="AJ16" s="202" t="str">
        <f>IF(AJ12="","",SUMPRODUCT('I. Stream &amp; Compound Data'!CQ32:CQ81,H°_MJ_kg_1atm_25°C))</f>
        <v/>
      </c>
      <c r="AK16" s="202" t="str">
        <f>IF(AK12="","",SUMPRODUCT('I. Stream &amp; Compound Data'!CT32:CT81,H°_MJ_kg_1atm_25°C))</f>
        <v/>
      </c>
      <c r="AL16" s="202" t="str">
        <f>IF(AL12="","",SUMPRODUCT('I. Stream &amp; Compound Data'!CW32:CW81,H°_MJ_kg_1atm_25°C))</f>
        <v/>
      </c>
      <c r="AM16" s="202" t="str">
        <f>IF(AM12="","",SUMPRODUCT('I. Stream &amp; Compound Data'!CZ32:CZ81,H°_MJ_kg_1atm_25°C))</f>
        <v/>
      </c>
      <c r="AN16" s="202" t="str">
        <f>IF(AN12="","",SUMPRODUCT('I. Stream &amp; Compound Data'!DC32:DC81,H°_MJ_kg_1atm_25°C))</f>
        <v/>
      </c>
      <c r="AO16" s="202" t="str">
        <f>IF(AO12="","",SUMPRODUCT('I. Stream &amp; Compound Data'!DF32:DF81,H°_MJ_kg_1atm_25°C))</f>
        <v/>
      </c>
      <c r="AP16" s="202" t="str">
        <f>IF(AP12="","",SUMPRODUCT('I. Stream &amp; Compound Data'!DI32:DI81,H°_MJ_kg_1atm_25°C))</f>
        <v/>
      </c>
      <c r="AQ16" s="202" t="str">
        <f>IF(AQ12="","",SUMPRODUCT('I. Stream &amp; Compound Data'!DL32:DL81,H°_MJ_kg_1atm_25°C))</f>
        <v/>
      </c>
      <c r="AR16" s="202" t="str">
        <f>IF(AR12="","",SUMPRODUCT('I. Stream &amp; Compound Data'!DO32:DO81,H°_MJ_kg_1atm_25°C))</f>
        <v/>
      </c>
      <c r="AS16" s="202" t="str">
        <f>IF(AS12="","",SUMPRODUCT('I. Stream &amp; Compound Data'!DR32:DR81,H°_MJ_kg_1atm_25°C))</f>
        <v/>
      </c>
      <c r="AT16" s="262" t="str">
        <f>IF(AT12="","",SUMPRODUCT('I. Stream &amp; Compound Data'!DU32:DU81,H°_MJ_kg_1atm_25°C))</f>
        <v/>
      </c>
      <c r="AU16" s="588"/>
    </row>
    <row r="17" ht="20.25" customHeight="true" x14ac:dyDescent="0.25">
      <c r="C17" s="597"/>
      <c r="D17" s="570"/>
      <c r="E17" s="570"/>
      <c r="F17" s="1211" t="s">
        <v>2297</v>
      </c>
      <c r="G17" s="202">
        <f>IF(G12="","",SUMPRODUCT('I. Stream &amp; Compound Data'!H32:H81,S°_MJ_kg_K_1atm_25°C))</f>
        <v>6292.0181131111112</v>
      </c>
      <c r="H17" s="202" t="str">
        <f>IF(H12="","",SUMPRODUCT('I. Stream &amp; Compound Data'!K32:K81,S°_MJ_kg_K_1atm_25°C))</f>
        <v/>
      </c>
      <c r="I17" s="202" t="str">
        <f>IF(I12="","",SUMPRODUCT('I. Stream &amp; Compound Data'!N32:N81,S°_MJ_kg_K_1atm_25°C))</f>
        <v/>
      </c>
      <c r="J17" s="202" t="str">
        <f>IF(J12="","",SUMPRODUCT('I. Stream &amp; Compound Data'!Q32:Q81,S°_MJ_kg_K_1atm_25°C))</f>
        <v/>
      </c>
      <c r="K17" s="202" t="str">
        <f>IF(K12="","",SUMPRODUCT('I. Stream &amp; Compound Data'!T32:T81,S°_MJ_kg_K_1atm_25°C))</f>
        <v/>
      </c>
      <c r="L17" s="202" t="str">
        <f>IF(L12="","",SUMPRODUCT('I. Stream &amp; Compound Data'!W32:W81,S°_MJ_kg_K_1atm_25°C))</f>
        <v/>
      </c>
      <c r="M17" s="202" t="str">
        <f>IF(M12="","",SUMPRODUCT('I. Stream &amp; Compound Data'!Z32:Z81,S°_MJ_kg_K_1atm_25°C))</f>
        <v/>
      </c>
      <c r="N17" s="202" t="str">
        <f>IF(N12="","",SUMPRODUCT('I. Stream &amp; Compound Data'!AC32:AC81,S°_MJ_kg_K_1atm_25°C))</f>
        <v/>
      </c>
      <c r="O17" s="202" t="str">
        <f>IF(O12="","",SUMPRODUCT('I. Stream &amp; Compound Data'!AF32:AF81,S°_MJ_kg_K_1atm_25°C))</f>
        <v/>
      </c>
      <c r="P17" s="202" t="str">
        <f>IF(P12="","",SUMPRODUCT('I. Stream &amp; Compound Data'!AI32:AI81,S°_MJ_kg_K_1atm_25°C))</f>
        <v/>
      </c>
      <c r="Q17" s="202" t="str">
        <f>IF(Q12="","",SUMPRODUCT('I. Stream &amp; Compound Data'!AL32:AL81,S°_MJ_kg_K_1atm_25°C))</f>
        <v/>
      </c>
      <c r="R17" s="202" t="str">
        <f>IF(R12="","",SUMPRODUCT('I. Stream &amp; Compound Data'!AO32:AO81,S°_MJ_kg_K_1atm_25°C))</f>
        <v/>
      </c>
      <c r="S17" s="202" t="str">
        <f>IF(S12="","",SUMPRODUCT('I. Stream &amp; Compound Data'!AR32:AR81,S°_MJ_kg_K_1atm_25°C))</f>
        <v/>
      </c>
      <c r="T17" s="202" t="str">
        <f>IF(T12="","",SUMPRODUCT('I. Stream &amp; Compound Data'!AU32:AU81,S°_MJ_kg_K_1atm_25°C))</f>
        <v/>
      </c>
      <c r="U17" s="202" t="str">
        <f>IF(U12="","",SUMPRODUCT('I. Stream &amp; Compound Data'!AX32:AX81,S°_MJ_kg_K_1atm_25°C))</f>
        <v/>
      </c>
      <c r="V17" s="202" t="str">
        <f>IF(V12="","",SUMPRODUCT('I. Stream &amp; Compound Data'!BA32:BA81,S°_MJ_kg_K_1atm_25°C))</f>
        <v/>
      </c>
      <c r="W17" s="202" t="str">
        <f>IF(W12="","",SUMPRODUCT('I. Stream &amp; Compound Data'!BD32:BD81,S°_MJ_kg_K_1atm_25°C))</f>
        <v/>
      </c>
      <c r="X17" s="202" t="str">
        <f>IF(X12="","",SUMPRODUCT('I. Stream &amp; Compound Data'!BG32:BG81,S°_MJ_kg_K_1atm_25°C))</f>
        <v/>
      </c>
      <c r="Y17" s="202" t="str">
        <f>IF(Y12="","",SUMPRODUCT('I. Stream &amp; Compound Data'!BJ32:BJ81,S°_MJ_kg_K_1atm_25°C))</f>
        <v/>
      </c>
      <c r="Z17" s="202" t="str">
        <f>IF(Z12="","",SUMPRODUCT('I. Stream &amp; Compound Data'!BM32:BM81,S°_MJ_kg_K_1atm_25°C))</f>
        <v/>
      </c>
      <c r="AA17" s="202" t="str">
        <f>IF(AA12="","",SUMPRODUCT('I. Stream &amp; Compound Data'!BP32:BP81,S°_MJ_kg_K_1atm_25°C))</f>
        <v/>
      </c>
      <c r="AB17" s="202" t="str">
        <f>IF(AB12="","",SUMPRODUCT('I. Stream &amp; Compound Data'!BS32:BS81,S°_MJ_kg_K_1atm_25°C))</f>
        <v/>
      </c>
      <c r="AC17" s="202" t="str">
        <f>IF(AC12="","",SUMPRODUCT('I. Stream &amp; Compound Data'!BV32:BV81,S°_MJ_kg_K_1atm_25°C))</f>
        <v/>
      </c>
      <c r="AD17" s="202" t="str">
        <f>IF(AD12="","",SUMPRODUCT('I. Stream &amp; Compound Data'!BY32:BY81,S°_MJ_kg_K_1atm_25°C))</f>
        <v/>
      </c>
      <c r="AE17" s="202" t="str">
        <f>IF(AE12="","",SUMPRODUCT('I. Stream &amp; Compound Data'!CB32:CB81,S°_MJ_kg_K_1atm_25°C))</f>
        <v/>
      </c>
      <c r="AF17" s="202" t="str">
        <f>IF(AF12="","",SUMPRODUCT('I. Stream &amp; Compound Data'!CE32:CE81,S°_MJ_kg_K_1atm_25°C))</f>
        <v/>
      </c>
      <c r="AG17" s="202" t="str">
        <f>IF(AG12="","",SUMPRODUCT('I. Stream &amp; Compound Data'!CH32:CH81,S°_MJ_kg_K_1atm_25°C))</f>
        <v/>
      </c>
      <c r="AH17" s="202" t="str">
        <f>IF(AH12="","",SUMPRODUCT('I. Stream &amp; Compound Data'!CK32:CK81,S°_MJ_kg_K_1atm_25°C))</f>
        <v/>
      </c>
      <c r="AI17" s="202" t="str">
        <f>IF(AI12="","",SUMPRODUCT('I. Stream &amp; Compound Data'!CN32:CN81,S°_MJ_kg_K_1atm_25°C))</f>
        <v/>
      </c>
      <c r="AJ17" s="202" t="str">
        <f>IF(AJ12="","",SUMPRODUCT('I. Stream &amp; Compound Data'!CQ32:CQ81,S°_MJ_kg_K_1atm_25°C))</f>
        <v/>
      </c>
      <c r="AK17" s="202" t="str">
        <f>IF(AK12="","",SUMPRODUCT('I. Stream &amp; Compound Data'!CT32:CT81,S°_MJ_kg_K_1atm_25°C))</f>
        <v/>
      </c>
      <c r="AL17" s="202" t="str">
        <f>IF(AL12="","",SUMPRODUCT('I. Stream &amp; Compound Data'!CW32:CW81,S°_MJ_kg_K_1atm_25°C))</f>
        <v/>
      </c>
      <c r="AM17" s="202" t="str">
        <f>IF(AM12="","",SUMPRODUCT('I. Stream &amp; Compound Data'!CZ32:CZ81,S°_MJ_kg_K_1atm_25°C))</f>
        <v/>
      </c>
      <c r="AN17" s="202" t="str">
        <f>IF(AN12="","",SUMPRODUCT('I. Stream &amp; Compound Data'!DC32:DC81,S°_MJ_kg_K_1atm_25°C))</f>
        <v/>
      </c>
      <c r="AO17" s="202" t="str">
        <f>IF(AO12="","",SUMPRODUCT('I. Stream &amp; Compound Data'!DF32:DF81,S°_MJ_kg_K_1atm_25°C))</f>
        <v/>
      </c>
      <c r="AP17" s="202" t="str">
        <f>IF(AP12="","",SUMPRODUCT('I. Stream &amp; Compound Data'!DI32:DI81,S°_MJ_kg_K_1atm_25°C))</f>
        <v/>
      </c>
      <c r="AQ17" s="202" t="str">
        <f>IF(AQ12="","",SUMPRODUCT('I. Stream &amp; Compound Data'!DL32:DL81,S°_MJ_kg_K_1atm_25°C))</f>
        <v/>
      </c>
      <c r="AR17" s="202" t="str">
        <f>IF(AR12="","",SUMPRODUCT('I. Stream &amp; Compound Data'!DO32:DO81,S°_MJ_kg_K_1atm_25°C))</f>
        <v/>
      </c>
      <c r="AS17" s="202" t="str">
        <f>IF(AS12="","",SUMPRODUCT('I. Stream &amp; Compound Data'!DR32:DR81,S°_MJ_kg_K_1atm_25°C))</f>
        <v/>
      </c>
      <c r="AT17" s="262" t="str">
        <f>IF(AT12="","",SUMPRODUCT('I. Stream &amp; Compound Data'!DU32:DU81,S°_MJ_kg_K_1atm_25°C))</f>
        <v/>
      </c>
      <c r="AU17" s="588"/>
    </row>
    <row r="18" ht="20.25" customHeight="true" x14ac:dyDescent="0.25">
      <c r="C18" s="597"/>
      <c r="D18" s="570"/>
      <c r="E18" s="570"/>
      <c r="F18" s="1170"/>
      <c r="G18" s="202"/>
      <c r="H18" s="202"/>
      <c r="I18" s="202"/>
      <c r="J18" s="202"/>
      <c r="K18" s="202"/>
      <c r="L18" s="202"/>
      <c r="M18" s="202"/>
      <c r="N18" s="202"/>
      <c r="O18" s="202"/>
      <c r="P18" s="202"/>
      <c r="Q18" s="202"/>
      <c r="R18" s="202"/>
      <c r="S18" s="202"/>
      <c r="T18" s="202"/>
      <c r="U18" s="202"/>
      <c r="V18" s="202"/>
      <c r="W18" s="202"/>
      <c r="X18" s="202"/>
      <c r="Y18" s="202"/>
      <c r="Z18" s="202"/>
      <c r="AA18" s="202"/>
      <c r="AB18" s="202"/>
      <c r="AC18" s="202"/>
      <c r="AD18" s="202"/>
      <c r="AE18" s="202"/>
      <c r="AF18" s="202"/>
      <c r="AG18" s="202"/>
      <c r="AH18" s="202"/>
      <c r="AI18" s="202"/>
      <c r="AJ18" s="202"/>
      <c r="AK18" s="202"/>
      <c r="AL18" s="202"/>
      <c r="AM18" s="202"/>
      <c r="AN18" s="202"/>
      <c r="AO18" s="202"/>
      <c r="AP18" s="202"/>
      <c r="AQ18" s="202"/>
      <c r="AR18" s="202"/>
      <c r="AS18" s="202"/>
      <c r="AT18" s="262"/>
      <c r="AU18" s="588"/>
    </row>
    <row r="19" ht="20.25" customHeight="true" x14ac:dyDescent="0.25">
      <c r="C19" s="597"/>
      <c r="D19" s="570"/>
      <c r="E19" s="570"/>
      <c r="F19" s="1211" t="s">
        <v>1865</v>
      </c>
      <c r="G19" s="202">
        <f>IF(G12="","",(G13-G16))</f>
        <v>-8102777.7036779998</v>
      </c>
      <c r="H19" s="202" t="str">
        <f t="shared" ref="H19:P19" si="1">IF(H12="","",(H13-H16))</f>
        <v/>
      </c>
      <c r="I19" s="202" t="str">
        <f t="shared" si="1"/>
        <v/>
      </c>
      <c r="J19" s="202" t="str">
        <f t="shared" si="1"/>
        <v/>
      </c>
      <c r="K19" s="202" t="str">
        <f>IF(K12="","",(K13-K16))</f>
        <v/>
      </c>
      <c r="L19" s="202" t="str">
        <f t="shared" si="1"/>
        <v/>
      </c>
      <c r="M19" s="202" t="str">
        <f t="shared" si="1"/>
        <v/>
      </c>
      <c r="N19" s="202" t="str">
        <f t="shared" si="1"/>
        <v/>
      </c>
      <c r="O19" s="202" t="str">
        <f t="shared" si="1"/>
        <v/>
      </c>
      <c r="P19" s="202" t="str">
        <f t="shared" si="1"/>
        <v/>
      </c>
      <c r="Q19" s="202" t="str">
        <f t="shared" ref="Q19:AS19" si="2">IF(Q12="","",(Q13-Q16))</f>
        <v/>
      </c>
      <c r="R19" s="202" t="str">
        <f t="shared" si="2"/>
        <v/>
      </c>
      <c r="S19" s="202" t="str">
        <f t="shared" si="2"/>
        <v/>
      </c>
      <c r="T19" s="202" t="str">
        <f t="shared" si="2"/>
        <v/>
      </c>
      <c r="U19" s="202" t="str">
        <f t="shared" si="2"/>
        <v/>
      </c>
      <c r="V19" s="202" t="str">
        <f t="shared" si="2"/>
        <v/>
      </c>
      <c r="W19" s="202" t="str">
        <f t="shared" si="2"/>
        <v/>
      </c>
      <c r="X19" s="202" t="str">
        <f t="shared" si="2"/>
        <v/>
      </c>
      <c r="Y19" s="202" t="str">
        <f t="shared" si="2"/>
        <v/>
      </c>
      <c r="Z19" s="202" t="str">
        <f t="shared" si="2"/>
        <v/>
      </c>
      <c r="AA19" s="202" t="str">
        <f t="shared" si="2"/>
        <v/>
      </c>
      <c r="AB19" s="202" t="str">
        <f t="shared" si="2"/>
        <v/>
      </c>
      <c r="AC19" s="202" t="str">
        <f t="shared" si="2"/>
        <v/>
      </c>
      <c r="AD19" s="202" t="str">
        <f t="shared" si="2"/>
        <v/>
      </c>
      <c r="AE19" s="202" t="str">
        <f t="shared" si="2"/>
        <v/>
      </c>
      <c r="AF19" s="202" t="str">
        <f t="shared" si="2"/>
        <v/>
      </c>
      <c r="AG19" s="202" t="str">
        <f t="shared" si="2"/>
        <v/>
      </c>
      <c r="AH19" s="202" t="str">
        <f t="shared" si="2"/>
        <v/>
      </c>
      <c r="AI19" s="202" t="str">
        <f t="shared" si="2"/>
        <v/>
      </c>
      <c r="AJ19" s="202" t="str">
        <f t="shared" si="2"/>
        <v/>
      </c>
      <c r="AK19" s="202" t="str">
        <f t="shared" si="2"/>
        <v/>
      </c>
      <c r="AL19" s="202" t="str">
        <f t="shared" si="2"/>
        <v/>
      </c>
      <c r="AM19" s="202" t="str">
        <f t="shared" si="2"/>
        <v/>
      </c>
      <c r="AN19" s="202" t="str">
        <f t="shared" si="2"/>
        <v/>
      </c>
      <c r="AO19" s="202" t="str">
        <f t="shared" si="2"/>
        <v/>
      </c>
      <c r="AP19" s="202" t="str">
        <f t="shared" si="2"/>
        <v/>
      </c>
      <c r="AQ19" s="202" t="str">
        <f t="shared" si="2"/>
        <v/>
      </c>
      <c r="AR19" s="202" t="str">
        <f t="shared" si="2"/>
        <v/>
      </c>
      <c r="AS19" s="202" t="str">
        <f t="shared" si="2"/>
        <v/>
      </c>
      <c r="AT19" s="262" t="str">
        <f>IF(AT12="","",(AT13-AT16))</f>
        <v/>
      </c>
      <c r="AU19" s="588"/>
    </row>
    <row r="20" ht="20.25" customHeight="true" thickBot="true" x14ac:dyDescent="0.3">
      <c r="C20" s="597"/>
      <c r="D20" s="570"/>
      <c r="E20" s="570"/>
      <c r="F20" s="585" t="s">
        <v>1866</v>
      </c>
      <c r="G20" s="263">
        <f>IF(G12="","",(G14-G17))</f>
        <v>-6309.8567913246097</v>
      </c>
      <c r="H20" s="263" t="str">
        <f t="shared" ref="H20:P20" si="3">IF(H12="","",(H14-H17))</f>
        <v/>
      </c>
      <c r="I20" s="263" t="str">
        <f t="shared" si="3"/>
        <v/>
      </c>
      <c r="J20" s="263" t="str">
        <f t="shared" si="3"/>
        <v/>
      </c>
      <c r="K20" s="263" t="str">
        <f t="shared" si="3"/>
        <v/>
      </c>
      <c r="L20" s="263" t="str">
        <f t="shared" si="3"/>
        <v/>
      </c>
      <c r="M20" s="263" t="str">
        <f t="shared" si="3"/>
        <v/>
      </c>
      <c r="N20" s="263" t="str">
        <f t="shared" si="3"/>
        <v/>
      </c>
      <c r="O20" s="263" t="str">
        <f t="shared" si="3"/>
        <v/>
      </c>
      <c r="P20" s="263" t="str">
        <f t="shared" si="3"/>
        <v/>
      </c>
      <c r="Q20" s="263" t="str">
        <f t="shared" ref="Q20:AT20" si="4">IF(Q12="","",(Q14-Q17))</f>
        <v/>
      </c>
      <c r="R20" s="263" t="str">
        <f t="shared" si="4"/>
        <v/>
      </c>
      <c r="S20" s="263" t="str">
        <f t="shared" si="4"/>
        <v/>
      </c>
      <c r="T20" s="263" t="str">
        <f t="shared" si="4"/>
        <v/>
      </c>
      <c r="U20" s="263" t="str">
        <f t="shared" si="4"/>
        <v/>
      </c>
      <c r="V20" s="263" t="str">
        <f t="shared" si="4"/>
        <v/>
      </c>
      <c r="W20" s="263" t="str">
        <f t="shared" si="4"/>
        <v/>
      </c>
      <c r="X20" s="263" t="str">
        <f t="shared" si="4"/>
        <v/>
      </c>
      <c r="Y20" s="263" t="str">
        <f t="shared" si="4"/>
        <v/>
      </c>
      <c r="Z20" s="263" t="str">
        <f t="shared" si="4"/>
        <v/>
      </c>
      <c r="AA20" s="263" t="str">
        <f t="shared" si="4"/>
        <v/>
      </c>
      <c r="AB20" s="263" t="str">
        <f t="shared" si="4"/>
        <v/>
      </c>
      <c r="AC20" s="263" t="str">
        <f t="shared" si="4"/>
        <v/>
      </c>
      <c r="AD20" s="263" t="str">
        <f t="shared" si="4"/>
        <v/>
      </c>
      <c r="AE20" s="263" t="str">
        <f t="shared" si="4"/>
        <v/>
      </c>
      <c r="AF20" s="263" t="str">
        <f t="shared" si="4"/>
        <v/>
      </c>
      <c r="AG20" s="263" t="str">
        <f t="shared" si="4"/>
        <v/>
      </c>
      <c r="AH20" s="263" t="str">
        <f t="shared" si="4"/>
        <v/>
      </c>
      <c r="AI20" s="263" t="str">
        <f t="shared" si="4"/>
        <v/>
      </c>
      <c r="AJ20" s="263" t="str">
        <f t="shared" si="4"/>
        <v/>
      </c>
      <c r="AK20" s="263" t="str">
        <f t="shared" si="4"/>
        <v/>
      </c>
      <c r="AL20" s="263" t="str">
        <f t="shared" si="4"/>
        <v/>
      </c>
      <c r="AM20" s="263" t="str">
        <f t="shared" si="4"/>
        <v/>
      </c>
      <c r="AN20" s="263" t="str">
        <f t="shared" si="4"/>
        <v/>
      </c>
      <c r="AO20" s="263" t="str">
        <f t="shared" si="4"/>
        <v/>
      </c>
      <c r="AP20" s="263" t="str">
        <f t="shared" si="4"/>
        <v/>
      </c>
      <c r="AQ20" s="263" t="str">
        <f t="shared" si="4"/>
        <v/>
      </c>
      <c r="AR20" s="263" t="str">
        <f t="shared" si="4"/>
        <v/>
      </c>
      <c r="AS20" s="263" t="str">
        <f t="shared" si="4"/>
        <v/>
      </c>
      <c r="AT20" s="1227" t="str">
        <f t="shared" si="4"/>
        <v/>
      </c>
      <c r="AU20" s="588"/>
    </row>
    <row r="21" ht="20.25" customHeight="true" x14ac:dyDescent="0.25">
      <c r="C21" s="597"/>
      <c r="D21" s="570"/>
      <c r="E21" s="570"/>
      <c r="F21" s="1188"/>
      <c r="G21" s="570"/>
      <c r="H21" s="570"/>
      <c r="I21" s="570"/>
      <c r="J21" s="570"/>
      <c r="K21" s="570"/>
      <c r="L21" s="570"/>
      <c r="M21" s="570"/>
      <c r="N21" s="570"/>
      <c r="O21" s="570"/>
      <c r="P21" s="570"/>
      <c r="Q21" s="570"/>
      <c r="R21" s="570"/>
      <c r="S21" s="570"/>
      <c r="T21" s="570"/>
      <c r="U21" s="570"/>
      <c r="V21" s="570"/>
      <c r="W21" s="570"/>
      <c r="X21" s="570"/>
      <c r="Y21" s="570"/>
      <c r="Z21" s="570"/>
      <c r="AA21" s="570"/>
      <c r="AB21" s="570"/>
      <c r="AC21" s="570"/>
      <c r="AD21" s="570"/>
      <c r="AE21" s="570"/>
      <c r="AF21" s="570"/>
      <c r="AG21" s="570"/>
      <c r="AH21" s="570"/>
      <c r="AI21" s="570"/>
      <c r="AJ21" s="570"/>
      <c r="AK21" s="570"/>
      <c r="AL21" s="570"/>
      <c r="AM21" s="570"/>
      <c r="AN21" s="570"/>
      <c r="AO21" s="570"/>
      <c r="AP21" s="570"/>
      <c r="AQ21" s="570"/>
      <c r="AR21" s="570"/>
      <c r="AS21" s="570"/>
      <c r="AT21" s="570"/>
      <c r="AU21" s="588"/>
    </row>
    <row r="22" ht="20.25" customHeight="true" x14ac:dyDescent="0.25">
      <c r="C22" s="597"/>
      <c r="D22" s="570"/>
      <c r="E22" s="570"/>
      <c r="F22" s="1188"/>
      <c r="G22" s="570"/>
      <c r="H22" s="570"/>
      <c r="I22" s="570"/>
      <c r="J22" s="570"/>
      <c r="K22" s="570"/>
      <c r="L22" s="570"/>
      <c r="M22" s="570"/>
      <c r="N22" s="570"/>
      <c r="O22" s="570"/>
      <c r="P22" s="570"/>
      <c r="Q22" s="570"/>
      <c r="R22" s="570"/>
      <c r="S22" s="570"/>
      <c r="T22" s="570"/>
      <c r="U22" s="570"/>
      <c r="V22" s="570"/>
      <c r="W22" s="570"/>
      <c r="X22" s="570"/>
      <c r="Y22" s="570"/>
      <c r="Z22" s="570"/>
      <c r="AA22" s="570"/>
      <c r="AB22" s="570"/>
      <c r="AC22" s="570"/>
      <c r="AD22" s="570"/>
      <c r="AE22" s="570"/>
      <c r="AF22" s="570"/>
      <c r="AG22" s="570"/>
      <c r="AH22" s="570"/>
      <c r="AI22" s="570"/>
      <c r="AJ22" s="570"/>
      <c r="AK22" s="570"/>
      <c r="AL22" s="570"/>
      <c r="AM22" s="570"/>
      <c r="AN22" s="570"/>
      <c r="AO22" s="570"/>
      <c r="AP22" s="570"/>
      <c r="AQ22" s="570"/>
      <c r="AR22" s="570"/>
      <c r="AS22" s="570"/>
      <c r="AT22" s="570"/>
      <c r="AU22" s="588"/>
    </row>
    <row r="23" ht="20.25" customHeight="true" x14ac:dyDescent="0.25">
      <c r="C23" s="597"/>
      <c r="D23" s="570"/>
      <c r="E23" s="570"/>
      <c r="F23" s="570"/>
      <c r="G23" s="570"/>
      <c r="H23" s="570"/>
      <c r="I23" s="570"/>
      <c r="J23" s="570"/>
      <c r="K23" s="570"/>
      <c r="L23" s="570"/>
      <c r="M23" s="570"/>
      <c r="N23" s="570"/>
      <c r="O23" s="570"/>
      <c r="P23" s="570"/>
      <c r="Q23" s="570"/>
      <c r="R23" s="570"/>
      <c r="S23" s="570"/>
      <c r="T23" s="570"/>
      <c r="U23" s="570"/>
      <c r="V23" s="570"/>
      <c r="W23" s="570"/>
      <c r="X23" s="570"/>
      <c r="Y23" s="570"/>
      <c r="Z23" s="570"/>
      <c r="AA23" s="570"/>
      <c r="AB23" s="570"/>
      <c r="AC23" s="570"/>
      <c r="AD23" s="570"/>
      <c r="AE23" s="570"/>
      <c r="AF23" s="570"/>
      <c r="AG23" s="570"/>
      <c r="AH23" s="570"/>
      <c r="AI23" s="570"/>
      <c r="AJ23" s="570"/>
      <c r="AK23" s="570"/>
      <c r="AL23" s="570"/>
      <c r="AM23" s="570"/>
      <c r="AN23" s="570"/>
      <c r="AO23" s="570"/>
      <c r="AP23" s="570"/>
      <c r="AQ23" s="570"/>
      <c r="AR23" s="570"/>
      <c r="AS23" s="570"/>
      <c r="AT23" s="570"/>
      <c r="AU23" s="588"/>
    </row>
    <row r="24" ht="21.75" customHeight="true" x14ac:dyDescent="0.25">
      <c r="C24" s="597"/>
      <c r="D24" s="570"/>
      <c r="E24" s="1843"/>
      <c r="F24" s="1843"/>
      <c r="G24" s="202">
        <v>1</v>
      </c>
      <c r="H24" s="202">
        <f>1+G24</f>
        <v>2</v>
      </c>
      <c r="I24" s="202">
        <f t="shared" ref="I24:AT24" si="5">1+H24</f>
        <v>3</v>
      </c>
      <c r="J24" s="202">
        <f t="shared" si="5"/>
        <v>4</v>
      </c>
      <c r="K24" s="202">
        <f t="shared" si="5"/>
        <v>5</v>
      </c>
      <c r="L24" s="202">
        <f t="shared" si="5"/>
        <v>6</v>
      </c>
      <c r="M24" s="202">
        <f t="shared" si="5"/>
        <v>7</v>
      </c>
      <c r="N24" s="202">
        <f t="shared" si="5"/>
        <v>8</v>
      </c>
      <c r="O24" s="202">
        <f t="shared" si="5"/>
        <v>9</v>
      </c>
      <c r="P24" s="202">
        <f t="shared" si="5"/>
        <v>10</v>
      </c>
      <c r="Q24" s="202">
        <f t="shared" si="5"/>
        <v>11</v>
      </c>
      <c r="R24" s="202">
        <f t="shared" si="5"/>
        <v>12</v>
      </c>
      <c r="S24" s="202">
        <f t="shared" si="5"/>
        <v>13</v>
      </c>
      <c r="T24" s="202">
        <f t="shared" si="5"/>
        <v>14</v>
      </c>
      <c r="U24" s="202">
        <f t="shared" si="5"/>
        <v>15</v>
      </c>
      <c r="V24" s="202">
        <f t="shared" si="5"/>
        <v>16</v>
      </c>
      <c r="W24" s="202">
        <f t="shared" si="5"/>
        <v>17</v>
      </c>
      <c r="X24" s="202">
        <f t="shared" si="5"/>
        <v>18</v>
      </c>
      <c r="Y24" s="202">
        <f t="shared" si="5"/>
        <v>19</v>
      </c>
      <c r="Z24" s="202">
        <f t="shared" si="5"/>
        <v>20</v>
      </c>
      <c r="AA24" s="202">
        <f t="shared" si="5"/>
        <v>21</v>
      </c>
      <c r="AB24" s="202">
        <f t="shared" si="5"/>
        <v>22</v>
      </c>
      <c r="AC24" s="202">
        <f t="shared" si="5"/>
        <v>23</v>
      </c>
      <c r="AD24" s="202">
        <f t="shared" si="5"/>
        <v>24</v>
      </c>
      <c r="AE24" s="202">
        <f t="shared" si="5"/>
        <v>25</v>
      </c>
      <c r="AF24" s="202">
        <f t="shared" si="5"/>
        <v>26</v>
      </c>
      <c r="AG24" s="202">
        <f t="shared" si="5"/>
        <v>27</v>
      </c>
      <c r="AH24" s="202">
        <f t="shared" si="5"/>
        <v>28</v>
      </c>
      <c r="AI24" s="202">
        <f t="shared" si="5"/>
        <v>29</v>
      </c>
      <c r="AJ24" s="202">
        <f t="shared" si="5"/>
        <v>30</v>
      </c>
      <c r="AK24" s="202">
        <f t="shared" si="5"/>
        <v>31</v>
      </c>
      <c r="AL24" s="202">
        <f t="shared" si="5"/>
        <v>32</v>
      </c>
      <c r="AM24" s="202">
        <f t="shared" si="5"/>
        <v>33</v>
      </c>
      <c r="AN24" s="202">
        <f t="shared" si="5"/>
        <v>34</v>
      </c>
      <c r="AO24" s="202">
        <f t="shared" si="5"/>
        <v>35</v>
      </c>
      <c r="AP24" s="202">
        <f t="shared" si="5"/>
        <v>36</v>
      </c>
      <c r="AQ24" s="202">
        <f t="shared" si="5"/>
        <v>37</v>
      </c>
      <c r="AR24" s="202">
        <f t="shared" si="5"/>
        <v>38</v>
      </c>
      <c r="AS24" s="202">
        <f t="shared" si="5"/>
        <v>39</v>
      </c>
      <c r="AT24" s="202">
        <f t="shared" si="5"/>
        <v>40</v>
      </c>
      <c r="AU24" s="588"/>
    </row>
    <row r="25" ht="21.75" customHeight="true" thickBot="true" x14ac:dyDescent="0.3">
      <c r="C25" s="597"/>
      <c r="D25" s="570"/>
      <c r="E25" s="2167" t="s">
        <v>76</v>
      </c>
      <c r="F25" s="2167"/>
      <c r="G25" s="319" t="str">
        <f>IF('VI. Energy'!F35="","",'VI. Energy'!F35)</f>
        <v>S2</v>
      </c>
      <c r="H25" s="319" t="str">
        <f>IF('VI. Energy'!G35="","",'VI. Energy'!G35)</f>
        <v/>
      </c>
      <c r="I25" s="319" t="str">
        <f>IF('VI. Energy'!H35="","",'VI. Energy'!H35)</f>
        <v/>
      </c>
      <c r="J25" s="319" t="str">
        <f>IF('VI. Energy'!I35="","",'VI. Energy'!I35)</f>
        <v/>
      </c>
      <c r="K25" s="319" t="str">
        <f>IF('VI. Energy'!J35="","",'VI. Energy'!J35)</f>
        <v/>
      </c>
      <c r="L25" s="319" t="str">
        <f>IF('VI. Energy'!K35="","",'VI. Energy'!K35)</f>
        <v/>
      </c>
      <c r="M25" s="319" t="str">
        <f>IF('VI. Energy'!L35="","",'VI. Energy'!L35)</f>
        <v/>
      </c>
      <c r="N25" s="319" t="str">
        <f>IF('VI. Energy'!M35="","",'VI. Energy'!M35)</f>
        <v/>
      </c>
      <c r="O25" s="319" t="str">
        <f>IF('VI. Energy'!N35="","",'VI. Energy'!N35)</f>
        <v/>
      </c>
      <c r="P25" s="319" t="str">
        <f>IF('VI. Energy'!O35="","",'VI. Energy'!O35)</f>
        <v/>
      </c>
      <c r="Q25" s="319" t="str">
        <f>IF('VI. Energy'!P35="","",'VI. Energy'!P35)</f>
        <v/>
      </c>
      <c r="R25" s="319" t="str">
        <f>IF('VI. Energy'!Q35="","",'VI. Energy'!Q35)</f>
        <v/>
      </c>
      <c r="S25" s="319" t="str">
        <f>IF('VI. Energy'!R35="","",'VI. Energy'!R35)</f>
        <v/>
      </c>
      <c r="T25" s="319" t="str">
        <f>IF('VI. Energy'!S35="","",'VI. Energy'!S35)</f>
        <v/>
      </c>
      <c r="U25" s="319" t="str">
        <f>IF('VI. Energy'!T35="","",'VI. Energy'!T35)</f>
        <v/>
      </c>
      <c r="V25" s="319" t="str">
        <f>IF('VI. Energy'!U35="","",'VI. Energy'!U35)</f>
        <v/>
      </c>
      <c r="W25" s="319" t="str">
        <f>IF('VI. Energy'!V35="","",'VI. Energy'!V35)</f>
        <v/>
      </c>
      <c r="X25" s="319" t="str">
        <f>IF('VI. Energy'!W35="","",'VI. Energy'!W35)</f>
        <v/>
      </c>
      <c r="Y25" s="319" t="str">
        <f>IF('VI. Energy'!X35="","",'VI. Energy'!X35)</f>
        <v/>
      </c>
      <c r="Z25" s="319" t="str">
        <f>IF('VI. Energy'!Y35="","",'VI. Energy'!Y35)</f>
        <v/>
      </c>
      <c r="AA25" s="319" t="str">
        <f>IF('VI. Energy'!Z35="","",'VI. Energy'!Z35)</f>
        <v/>
      </c>
      <c r="AB25" s="319" t="str">
        <f>IF('VI. Energy'!AA35="","",'VI. Energy'!AA35)</f>
        <v/>
      </c>
      <c r="AC25" s="319" t="str">
        <f>IF('VI. Energy'!AB35="","",'VI. Energy'!AB35)</f>
        <v/>
      </c>
      <c r="AD25" s="319" t="str">
        <f>IF('VI. Energy'!AC35="","",'VI. Energy'!AC35)</f>
        <v/>
      </c>
      <c r="AE25" s="319" t="str">
        <f>IF('VI. Energy'!AD35="","",'VI. Energy'!AD35)</f>
        <v/>
      </c>
      <c r="AF25" s="319" t="str">
        <f>IF('VI. Energy'!AE35="","",'VI. Energy'!AE35)</f>
        <v/>
      </c>
      <c r="AG25" s="319" t="str">
        <f>IF('VI. Energy'!AF35="","",'VI. Energy'!AF35)</f>
        <v/>
      </c>
      <c r="AH25" s="319" t="str">
        <f>IF('VI. Energy'!AG35="","",'VI. Energy'!AG35)</f>
        <v/>
      </c>
      <c r="AI25" s="319" t="str">
        <f>IF('VI. Energy'!AH35="","",'VI. Energy'!AH35)</f>
        <v/>
      </c>
      <c r="AJ25" s="319" t="str">
        <f>IF('VI. Energy'!AI35="","",'VI. Energy'!AI35)</f>
        <v/>
      </c>
      <c r="AK25" s="319" t="str">
        <f>IF('VI. Energy'!AJ35="","",'VI. Energy'!AJ35)</f>
        <v/>
      </c>
      <c r="AL25" s="319" t="str">
        <f>IF('VI. Energy'!AK35="","",'VI. Energy'!AK35)</f>
        <v/>
      </c>
      <c r="AM25" s="319" t="str">
        <f>IF('VI. Energy'!AL35="","",'VI. Energy'!AL35)</f>
        <v/>
      </c>
      <c r="AN25" s="319" t="str">
        <f>IF('VI. Energy'!AM35="","",'VI. Energy'!AM35)</f>
        <v/>
      </c>
      <c r="AO25" s="319" t="str">
        <f>IF('VI. Energy'!AN35="","",'VI. Energy'!AN35)</f>
        <v/>
      </c>
      <c r="AP25" s="319" t="str">
        <f>IF('VI. Energy'!AO35="","",'VI. Energy'!AO35)</f>
        <v/>
      </c>
      <c r="AQ25" s="319" t="str">
        <f>IF('VI. Energy'!AP35="","",'VI. Energy'!AP35)</f>
        <v/>
      </c>
      <c r="AR25" s="319" t="str">
        <f>IF('VI. Energy'!AQ35="","",'VI. Energy'!AQ35)</f>
        <v/>
      </c>
      <c r="AS25" s="319" t="str">
        <f>IF('VI. Energy'!AR35="","",'VI. Energy'!AR35)</f>
        <v/>
      </c>
      <c r="AT25" s="319" t="str">
        <f>IF('VI. Energy'!AS35="","",'VI. Energy'!AS35)</f>
        <v/>
      </c>
      <c r="AU25" s="588"/>
    </row>
    <row r="26" ht="21.75" customHeight="true" x14ac:dyDescent="0.25">
      <c r="C26" s="597"/>
      <c r="D26" s="567" t="s">
        <v>1469</v>
      </c>
      <c r="E26" s="283" t="s">
        <v>252</v>
      </c>
      <c r="F26" s="182" t="s">
        <v>1140</v>
      </c>
      <c r="G26" s="182" t="s">
        <v>1631</v>
      </c>
      <c r="H26" s="182" t="s">
        <v>1631</v>
      </c>
      <c r="I26" s="182" t="s">
        <v>1631</v>
      </c>
      <c r="J26" s="182" t="s">
        <v>1631</v>
      </c>
      <c r="K26" s="182" t="s">
        <v>1631</v>
      </c>
      <c r="L26" s="182" t="s">
        <v>1631</v>
      </c>
      <c r="M26" s="182" t="s">
        <v>1631</v>
      </c>
      <c r="N26" s="182" t="s">
        <v>1631</v>
      </c>
      <c r="O26" s="182" t="s">
        <v>1631</v>
      </c>
      <c r="P26" s="182" t="s">
        <v>1631</v>
      </c>
      <c r="Q26" s="182" t="s">
        <v>1631</v>
      </c>
      <c r="R26" s="182" t="s">
        <v>1631</v>
      </c>
      <c r="S26" s="182" t="s">
        <v>1631</v>
      </c>
      <c r="T26" s="182" t="s">
        <v>1631</v>
      </c>
      <c r="U26" s="182" t="s">
        <v>1631</v>
      </c>
      <c r="V26" s="182" t="s">
        <v>1631</v>
      </c>
      <c r="W26" s="182" t="s">
        <v>1631</v>
      </c>
      <c r="X26" s="182" t="s">
        <v>1631</v>
      </c>
      <c r="Y26" s="182" t="s">
        <v>1631</v>
      </c>
      <c r="Z26" s="182" t="s">
        <v>1631</v>
      </c>
      <c r="AA26" s="182" t="s">
        <v>1631</v>
      </c>
      <c r="AB26" s="182" t="s">
        <v>1631</v>
      </c>
      <c r="AC26" s="182" t="s">
        <v>1631</v>
      </c>
      <c r="AD26" s="182" t="s">
        <v>1631</v>
      </c>
      <c r="AE26" s="182" t="s">
        <v>1631</v>
      </c>
      <c r="AF26" s="182" t="s">
        <v>1631</v>
      </c>
      <c r="AG26" s="182" t="s">
        <v>1631</v>
      </c>
      <c r="AH26" s="182" t="s">
        <v>1631</v>
      </c>
      <c r="AI26" s="182" t="s">
        <v>1631</v>
      </c>
      <c r="AJ26" s="182" t="s">
        <v>1631</v>
      </c>
      <c r="AK26" s="182" t="s">
        <v>1631</v>
      </c>
      <c r="AL26" s="182" t="s">
        <v>1631</v>
      </c>
      <c r="AM26" s="182" t="s">
        <v>1631</v>
      </c>
      <c r="AN26" s="182" t="s">
        <v>1631</v>
      </c>
      <c r="AO26" s="182" t="s">
        <v>1631</v>
      </c>
      <c r="AP26" s="182" t="s">
        <v>1631</v>
      </c>
      <c r="AQ26" s="182" t="s">
        <v>1631</v>
      </c>
      <c r="AR26" s="182" t="s">
        <v>1631</v>
      </c>
      <c r="AS26" s="182" t="s">
        <v>1631</v>
      </c>
      <c r="AT26" s="184" t="s">
        <v>1631</v>
      </c>
      <c r="AU26" s="588"/>
    </row>
    <row r="27" ht="21.75" customHeight="true" x14ac:dyDescent="0.25">
      <c r="C27" s="597"/>
      <c r="D27" s="594">
        <v>1</v>
      </c>
      <c r="E27" s="202" t="str">
        <f t="array" ref="E27:E76">IF(Compound_name="","",Compound_name)</f>
        <v>Carbon Dioxide</v>
      </c>
      <c r="F27" s="202">
        <f t="array" ref="F27:F76">IF(E27:E76="","",Ex°_ch_MJ_kmol)</f>
        <v>19.87</v>
      </c>
      <c r="G27" s="202">
        <f t="array" ref="G27:G76">IF(G25="","",IF('I. Stream &amp; Compound Data'!J32:J81="","",IF('I. Stream &amp; Compound Data'!J32:J81=0,0,LN('I. Stream &amp; Compound Data'!J32:J81))))</f>
        <v>0</v>
      </c>
      <c r="H27" s="202" t="str">
        <f t="array" ref="H27:H76">IF(H25="","",IF('I. Stream &amp; Compound Data'!M32:M81="","",IF('I. Stream &amp; Compound Data'!M32:M81=0,0,LN('I. Stream &amp; Compound Data'!M32:M81))))</f>
        <v/>
      </c>
      <c r="I27" s="202" t="str">
        <f t="array" ref="I27:I76">IF(I25="","",IF('I. Stream &amp; Compound Data'!P32:P81="","",IF('I. Stream &amp; Compound Data'!P32:P81=0,0,LN('I. Stream &amp; Compound Data'!P32:P81))))</f>
        <v/>
      </c>
      <c r="J27" s="202" t="str">
        <f t="array" ref="J27:J76">IF(J25="","",IF('I. Stream &amp; Compound Data'!S32:S81="","",IF('I. Stream &amp; Compound Data'!S32:S81=0,0,LN('I. Stream &amp; Compound Data'!S32:S81))))</f>
        <v/>
      </c>
      <c r="K27" s="202" t="str">
        <f t="array" ref="K27:K76">IF(K25="","",IF('I. Stream &amp; Compound Data'!V32:V81="","",IF('I. Stream &amp; Compound Data'!V32:V81=0,0,LN('I. Stream &amp; Compound Data'!V32:V81))))</f>
        <v/>
      </c>
      <c r="L27" s="202" t="str">
        <f t="array" ref="L27:L76">IF(L25="","",IF('I. Stream &amp; Compound Data'!Y32:Y81="","",IF('I. Stream &amp; Compound Data'!Y32:Y81=0,0,LN('I. Stream &amp; Compound Data'!Y32:Y81))))</f>
        <v/>
      </c>
      <c r="M27" s="202" t="str">
        <f t="array" ref="M27:M76">IF(M25="","",IF('I. Stream &amp; Compound Data'!AB32:AB81="","",IF('I. Stream &amp; Compound Data'!AB32:AB81=0,0,LN('I. Stream &amp; Compound Data'!AB32:AB81))))</f>
        <v/>
      </c>
      <c r="N27" s="202" t="str">
        <f t="array" ref="N27:N76">IF(N25="","",IF('I. Stream &amp; Compound Data'!AE32:AE81="","",IF('I. Stream &amp; Compound Data'!AE32:AE81=0,0,LN('I. Stream &amp; Compound Data'!AE32:AE81))))</f>
        <v/>
      </c>
      <c r="O27" s="202" t="str">
        <f t="array" ref="O27:O76">IF(O25="","",IF('I. Stream &amp; Compound Data'!AH32:AH81="","",IF('I. Stream &amp; Compound Data'!AH32:AH81=0,0,LN('I. Stream &amp; Compound Data'!AH32:AH81))))</f>
        <v/>
      </c>
      <c r="P27" s="202" t="str">
        <f t="array" ref="P27:P76">IF(P25="","",IF('I. Stream &amp; Compound Data'!AK32:AK81="","",IF('I. Stream &amp; Compound Data'!AK32:AK81=0,0,LN('I. Stream &amp; Compound Data'!AK32:AK81))))</f>
        <v/>
      </c>
      <c r="Q27" s="202" t="str">
        <f t="array" ref="Q27:Q76">IF(Q25="","",IF('I. Stream &amp; Compound Data'!AN32:AN81="","",IF('I. Stream &amp; Compound Data'!AN32:AN81=0,0,LN('I. Stream &amp; Compound Data'!AN32:AN81))))</f>
        <v/>
      </c>
      <c r="R27" s="202" t="str">
        <f t="array" ref="R27:R76">IF(R25="","",IF('I. Stream &amp; Compound Data'!AQ32:AQ81="","",IF('I. Stream &amp; Compound Data'!AQ32:AQ81=0,0,LN('I. Stream &amp; Compound Data'!AQ32:AQ81))))</f>
        <v/>
      </c>
      <c r="S27" s="202" t="str">
        <f t="array" ref="S27:S76">IF(S25="","",IF('I. Stream &amp; Compound Data'!AT32:AT81="","",IF('I. Stream &amp; Compound Data'!AT32:AT81=0,0,LN('I. Stream &amp; Compound Data'!AT32:AT81))))</f>
        <v/>
      </c>
      <c r="T27" s="202" t="str">
        <f t="array" ref="T27:T76">IF(T25="","",IF('I. Stream &amp; Compound Data'!AW32:AW81="","",IF('I. Stream &amp; Compound Data'!AW32:AW81=0,0,LN('I. Stream &amp; Compound Data'!AW32:AW81))))</f>
        <v/>
      </c>
      <c r="U27" s="202" t="str">
        <f t="array" ref="U27:U76">IF(U25="","",IF('I. Stream &amp; Compound Data'!AZ32:AZ81="","",IF('I. Stream &amp; Compound Data'!AZ32:AZ81=0,0,LN('I. Stream &amp; Compound Data'!AZ32:AZ81))))</f>
        <v/>
      </c>
      <c r="V27" s="202" t="str">
        <f t="array" ref="V27:V76">IF(V25="","",IF('I. Stream &amp; Compound Data'!BC32:BC81="","",IF('I. Stream &amp; Compound Data'!BC32:BC81=0,0,LN('I. Stream &amp; Compound Data'!BC32:BC81))))</f>
        <v/>
      </c>
      <c r="W27" s="202" t="str">
        <f t="array" ref="W27:W76">IF(W25="","",IF('I. Stream &amp; Compound Data'!BF32:BF81="","",IF('I. Stream &amp; Compound Data'!BF32:BF81=0,0,LN('I. Stream &amp; Compound Data'!BF32:BF81))))</f>
        <v/>
      </c>
      <c r="X27" s="202" t="str">
        <f t="array" ref="X27:X76">IF(X25="","",IF('I. Stream &amp; Compound Data'!BI32:BI81="","",IF('I. Stream &amp; Compound Data'!BI32:BI81=0,0,LN('I. Stream &amp; Compound Data'!BI32:BI81))))</f>
        <v/>
      </c>
      <c r="Y27" s="202" t="str">
        <f t="array" ref="Y27:Y76">IF(Y25="","",IF('I. Stream &amp; Compound Data'!BL32:BL81="","",IF('I. Stream &amp; Compound Data'!BL32:BL81=0,0,LN('I. Stream &amp; Compound Data'!BL32:BL81))))</f>
        <v/>
      </c>
      <c r="Z27" s="202" t="str">
        <f t="array" ref="Z27:Z76">IF(Z25="","",IF('I. Stream &amp; Compound Data'!BO32:BO81="","",IF('I. Stream &amp; Compound Data'!BO32:BO81=0,0,LN('I. Stream &amp; Compound Data'!BO32:BO81))))</f>
        <v/>
      </c>
      <c r="AA27" s="202" t="str">
        <f t="array" ref="AA27:AA76">IF(AA25="","",IF('I. Stream &amp; Compound Data'!BR32:BR81="","",IF('I. Stream &amp; Compound Data'!BR32:BR81=0,0,LN('I. Stream &amp; Compound Data'!BR32:BR81))))</f>
        <v/>
      </c>
      <c r="AB27" s="202" t="str">
        <f t="array" ref="AB27:AB76">IF(AB25="","",IF('I. Stream &amp; Compound Data'!BU32:BU81="","",IF('I. Stream &amp; Compound Data'!BU32:BU81=0,0,LN('I. Stream &amp; Compound Data'!BU32:BU81))))</f>
        <v/>
      </c>
      <c r="AC27" s="202" t="str">
        <f t="array" ref="AC27:AC76">IF(AC25="","",IF('I. Stream &amp; Compound Data'!BX32:BX81="","",IF('I. Stream &amp; Compound Data'!BX32:BX81=0,0,LN('I. Stream &amp; Compound Data'!BX32:BX81))))</f>
        <v/>
      </c>
      <c r="AD27" s="202" t="str">
        <f t="array" ref="AD27:AD76">IF(AD25="","",IF('I. Stream &amp; Compound Data'!CA32:CA81="","",IF('I. Stream &amp; Compound Data'!CA32:CA81=0,0,LN('I. Stream &amp; Compound Data'!CA32:CA81))))</f>
        <v/>
      </c>
      <c r="AE27" s="202" t="str">
        <f t="array" ref="AE27:AE76">IF(AE25="","",IF('I. Stream &amp; Compound Data'!CD32:CD81="","",IF('I. Stream &amp; Compound Data'!CD32:CD81=0,0,LN('I. Stream &amp; Compound Data'!CD32:CD81))))</f>
        <v/>
      </c>
      <c r="AF27" s="202" t="str">
        <f t="array" ref="AF27:AF76">IF(AF25="","",IF('I. Stream &amp; Compound Data'!CG32:CG81="","",IF('I. Stream &amp; Compound Data'!CG32:CG81=0,0,LN('I. Stream &amp; Compound Data'!CG32:CG81))))</f>
        <v/>
      </c>
      <c r="AG27" s="202" t="str">
        <f t="array" ref="AG27:AG76">IF(AG25="","",IF('I. Stream &amp; Compound Data'!CJ32:CJ81="","",IF('I. Stream &amp; Compound Data'!CJ32:CJ81=0,0,LN('I. Stream &amp; Compound Data'!CJ32:CJ81))))</f>
        <v/>
      </c>
      <c r="AH27" s="202" t="str">
        <f t="array" ref="AH27:AH76">IF(AH25="","",IF('I. Stream &amp; Compound Data'!CM32:CM81="","",IF('I. Stream &amp; Compound Data'!CM32:CM81=0,0,LN('I. Stream &amp; Compound Data'!CM32:CM81))))</f>
        <v/>
      </c>
      <c r="AI27" s="202" t="str">
        <f t="array" ref="AI27:AI76">IF(AI25="","",IF('I. Stream &amp; Compound Data'!CP32:CP81="","",IF('I. Stream &amp; Compound Data'!CP32:CP81=0,0,LN('I. Stream &amp; Compound Data'!CP32:CP81))))</f>
        <v/>
      </c>
      <c r="AJ27" s="202" t="str">
        <f t="array" ref="AJ27:AJ76">IF(AJ25="","",IF('I. Stream &amp; Compound Data'!CS32:CS81="","",IF('I. Stream &amp; Compound Data'!CS32:CS81=0,0,LN('I. Stream &amp; Compound Data'!CS32:CS81))))</f>
        <v/>
      </c>
      <c r="AK27" s="202" t="str">
        <f t="array" ref="AK27:AK76">IF(AK25="","",IF('I. Stream &amp; Compound Data'!CV32:CV81="","",IF('I. Stream &amp; Compound Data'!CV32:CV81=0,0,LN('I. Stream &amp; Compound Data'!CV32:CV81))))</f>
        <v/>
      </c>
      <c r="AL27" s="202" t="str">
        <f t="array" ref="AL27:AL76">IF(AL25="","",IF('I. Stream &amp; Compound Data'!CY32:CY81="","",IF('I. Stream &amp; Compound Data'!CY32:CY81=0,0,LN('I. Stream &amp; Compound Data'!CY32:CY81))))</f>
        <v/>
      </c>
      <c r="AM27" s="202" t="str">
        <f t="array" ref="AM27:AM76">IF(AM25="","",IF('I. Stream &amp; Compound Data'!DB32:DB81="","",IF('I. Stream &amp; Compound Data'!DB32:DB81=0,0,LN('I. Stream &amp; Compound Data'!DB32:DB81))))</f>
        <v/>
      </c>
      <c r="AN27" s="202" t="str">
        <f t="array" ref="AN27:AN76">IF(AN25="","",IF('I. Stream &amp; Compound Data'!DE32:DE81="","",IF('I. Stream &amp; Compound Data'!DE32:DE81=0,0,LN('I. Stream &amp; Compound Data'!DE32:DE81))))</f>
        <v/>
      </c>
      <c r="AO27" s="202" t="str">
        <f t="array" ref="AO27:AO76">IF(AO25="","",IF('I. Stream &amp; Compound Data'!DH32:DH81="","",IF('I. Stream &amp; Compound Data'!DH32:DH81=0,0,LN('I. Stream &amp; Compound Data'!DH32:DH81))))</f>
        <v/>
      </c>
      <c r="AP27" s="202" t="str">
        <f t="array" ref="AP27:AP76">IF(AP25="","",IF('I. Stream &amp; Compound Data'!DK32:DK81="","",IF('I. Stream &amp; Compound Data'!DK32:DK81=0,0,LN('I. Stream &amp; Compound Data'!DK32:DK81))))</f>
        <v/>
      </c>
      <c r="AQ27" s="202" t="str">
        <f t="array" ref="AQ27:AQ76">IF(AQ25="","",IF('I. Stream &amp; Compound Data'!DN32:DN81="","",IF('I. Stream &amp; Compound Data'!DN32:DN81=0,0,LN('I. Stream &amp; Compound Data'!DN32:DN81))))</f>
        <v/>
      </c>
      <c r="AR27" s="202" t="str">
        <f t="array" ref="AR27:AR76">IF(AR25="","",IF('I. Stream &amp; Compound Data'!DQ32:DQ81="","",IF('I. Stream &amp; Compound Data'!DQ32:DQ81=0,0,LN('I. Stream &amp; Compound Data'!DQ32:DQ81))))</f>
        <v/>
      </c>
      <c r="AS27" s="202" t="str">
        <f t="array" ref="AS27:AS76">IF(AS25="","",IF('I. Stream &amp; Compound Data'!DT32:DT81="","",IF('I. Stream &amp; Compound Data'!DT32:DT81=0,0,LN('I. Stream &amp; Compound Data'!DT32:DT81))))</f>
        <v/>
      </c>
      <c r="AT27" s="262" t="str">
        <f t="array" ref="AT27:AT76">IF(AT25="","",IF('I. Stream &amp; Compound Data'!DW32:DW81="","",IF('I. Stream &amp; Compound Data'!DW32:DW81=0,0,LN('I. Stream &amp; Compound Data'!DW32:DW81))))</f>
        <v/>
      </c>
      <c r="AU27" s="588"/>
    </row>
    <row r="28" ht="21.75" customHeight="true" x14ac:dyDescent="0.25">
      <c r="C28" s="597"/>
      <c r="D28" s="594">
        <f>D27+1</f>
        <v>2</v>
      </c>
      <c r="E28" s="202" t="str">
        <v>Water</v>
      </c>
      <c r="F28" s="202">
        <v>9.5</v>
      </c>
      <c r="G28" s="202">
        <v>0</v>
      </c>
      <c r="H28" s="202" t="str">
        <v/>
      </c>
      <c r="I28" s="202" t="str">
        <v/>
      </c>
      <c r="J28" s="202" t="str">
        <v/>
      </c>
      <c r="K28" s="202" t="str">
        <v/>
      </c>
      <c r="L28" s="202" t="str">
        <v/>
      </c>
      <c r="M28" s="202" t="str">
        <v/>
      </c>
      <c r="N28" s="202" t="str">
        <v/>
      </c>
      <c r="O28" s="202" t="str">
        <v/>
      </c>
      <c r="P28" s="202" t="str">
        <v/>
      </c>
      <c r="Q28" s="202" t="str">
        <v/>
      </c>
      <c r="R28" s="202" t="str">
        <v/>
      </c>
      <c r="S28" s="202" t="str">
        <v/>
      </c>
      <c r="T28" s="202" t="str">
        <v/>
      </c>
      <c r="U28" s="202" t="str">
        <v/>
      </c>
      <c r="V28" s="202" t="str">
        <v/>
      </c>
      <c r="W28" s="202" t="str">
        <v/>
      </c>
      <c r="X28" s="202" t="str">
        <v/>
      </c>
      <c r="Y28" s="202" t="str">
        <v/>
      </c>
      <c r="Z28" s="202" t="str">
        <v/>
      </c>
      <c r="AA28" s="202" t="str">
        <v/>
      </c>
      <c r="AB28" s="202" t="str">
        <v/>
      </c>
      <c r="AC28" s="202" t="str">
        <v/>
      </c>
      <c r="AD28" s="202" t="str">
        <v/>
      </c>
      <c r="AE28" s="202" t="str">
        <v/>
      </c>
      <c r="AF28" s="202" t="str">
        <v/>
      </c>
      <c r="AG28" s="202" t="str">
        <v/>
      </c>
      <c r="AH28" s="202" t="str">
        <v/>
      </c>
      <c r="AI28" s="202" t="str">
        <v/>
      </c>
      <c r="AJ28" s="202" t="str">
        <v/>
      </c>
      <c r="AK28" s="202" t="str">
        <v/>
      </c>
      <c r="AL28" s="202" t="str">
        <v/>
      </c>
      <c r="AM28" s="202" t="str">
        <v/>
      </c>
      <c r="AN28" s="202" t="str">
        <v/>
      </c>
      <c r="AO28" s="202" t="str">
        <v/>
      </c>
      <c r="AP28" s="202" t="str">
        <v/>
      </c>
      <c r="AQ28" s="202" t="str">
        <v/>
      </c>
      <c r="AR28" s="202" t="str">
        <v/>
      </c>
      <c r="AS28" s="202" t="str">
        <v/>
      </c>
      <c r="AT28" s="262" t="str">
        <v/>
      </c>
      <c r="AU28" s="588"/>
    </row>
    <row r="29" ht="21.75" customHeight="true" x14ac:dyDescent="0.25">
      <c r="C29" s="597"/>
      <c r="D29" s="594">
        <f t="shared" ref="D29:D76" si="6">D28+1</f>
        <v>3</v>
      </c>
      <c r="E29" s="202" t="str">
        <v>Calcium Oxide</v>
      </c>
      <c r="F29" s="202">
        <v>0.11020000000000001</v>
      </c>
      <c r="G29" s="202">
        <v>0</v>
      </c>
      <c r="H29" s="202" t="str">
        <v/>
      </c>
      <c r="I29" s="202" t="str">
        <v/>
      </c>
      <c r="J29" s="202" t="str">
        <v/>
      </c>
      <c r="K29" s="202" t="str">
        <v/>
      </c>
      <c r="L29" s="202" t="str">
        <v/>
      </c>
      <c r="M29" s="202" t="str">
        <v/>
      </c>
      <c r="N29" s="202" t="str">
        <v/>
      </c>
      <c r="O29" s="202" t="str">
        <v/>
      </c>
      <c r="P29" s="202" t="str">
        <v/>
      </c>
      <c r="Q29" s="202" t="str">
        <v/>
      </c>
      <c r="R29" s="202" t="str">
        <v/>
      </c>
      <c r="S29" s="202" t="str">
        <v/>
      </c>
      <c r="T29" s="202" t="str">
        <v/>
      </c>
      <c r="U29" s="202" t="str">
        <v/>
      </c>
      <c r="V29" s="202" t="str">
        <v/>
      </c>
      <c r="W29" s="202" t="str">
        <v/>
      </c>
      <c r="X29" s="202" t="str">
        <v/>
      </c>
      <c r="Y29" s="202" t="str">
        <v/>
      </c>
      <c r="Z29" s="202" t="str">
        <v/>
      </c>
      <c r="AA29" s="202" t="str">
        <v/>
      </c>
      <c r="AB29" s="202" t="str">
        <v/>
      </c>
      <c r="AC29" s="202" t="str">
        <v/>
      </c>
      <c r="AD29" s="202" t="str">
        <v/>
      </c>
      <c r="AE29" s="202" t="str">
        <v/>
      </c>
      <c r="AF29" s="202" t="str">
        <v/>
      </c>
      <c r="AG29" s="202" t="str">
        <v/>
      </c>
      <c r="AH29" s="202" t="str">
        <v/>
      </c>
      <c r="AI29" s="202" t="str">
        <v/>
      </c>
      <c r="AJ29" s="202" t="str">
        <v/>
      </c>
      <c r="AK29" s="202" t="str">
        <v/>
      </c>
      <c r="AL29" s="202" t="str">
        <v/>
      </c>
      <c r="AM29" s="202" t="str">
        <v/>
      </c>
      <c r="AN29" s="202" t="str">
        <v/>
      </c>
      <c r="AO29" s="202" t="str">
        <v/>
      </c>
      <c r="AP29" s="202" t="str">
        <v/>
      </c>
      <c r="AQ29" s="202" t="str">
        <v/>
      </c>
      <c r="AR29" s="202" t="str">
        <v/>
      </c>
      <c r="AS29" s="202" t="str">
        <v/>
      </c>
      <c r="AT29" s="262" t="str">
        <v/>
      </c>
      <c r="AU29" s="588"/>
    </row>
    <row r="30" ht="21.75" customHeight="true" x14ac:dyDescent="0.25">
      <c r="C30" s="597"/>
      <c r="D30" s="594">
        <f t="shared" si="6"/>
        <v>4</v>
      </c>
      <c r="E30" s="202" t="str">
        <v>Calcium Carbonate</v>
      </c>
      <c r="F30" s="202">
        <v>1E-3</v>
      </c>
      <c r="G30" s="202">
        <v>0</v>
      </c>
      <c r="H30" s="202" t="str">
        <v/>
      </c>
      <c r="I30" s="202" t="str">
        <v/>
      </c>
      <c r="J30" s="202" t="str">
        <v/>
      </c>
      <c r="K30" s="202" t="str">
        <v/>
      </c>
      <c r="L30" s="202" t="str">
        <v/>
      </c>
      <c r="M30" s="202" t="str">
        <v/>
      </c>
      <c r="N30" s="202" t="str">
        <v/>
      </c>
      <c r="O30" s="202" t="str">
        <v/>
      </c>
      <c r="P30" s="202" t="str">
        <v/>
      </c>
      <c r="Q30" s="202" t="str">
        <v/>
      </c>
      <c r="R30" s="202" t="str">
        <v/>
      </c>
      <c r="S30" s="202" t="str">
        <v/>
      </c>
      <c r="T30" s="202" t="str">
        <v/>
      </c>
      <c r="U30" s="202" t="str">
        <v/>
      </c>
      <c r="V30" s="202" t="str">
        <v/>
      </c>
      <c r="W30" s="202" t="str">
        <v/>
      </c>
      <c r="X30" s="202" t="str">
        <v/>
      </c>
      <c r="Y30" s="202" t="str">
        <v/>
      </c>
      <c r="Z30" s="202" t="str">
        <v/>
      </c>
      <c r="AA30" s="202" t="str">
        <v/>
      </c>
      <c r="AB30" s="202" t="str">
        <v/>
      </c>
      <c r="AC30" s="202" t="str">
        <v/>
      </c>
      <c r="AD30" s="202" t="str">
        <v/>
      </c>
      <c r="AE30" s="202" t="str">
        <v/>
      </c>
      <c r="AF30" s="202" t="str">
        <v/>
      </c>
      <c r="AG30" s="202" t="str">
        <v/>
      </c>
      <c r="AH30" s="202" t="str">
        <v/>
      </c>
      <c r="AI30" s="202" t="str">
        <v/>
      </c>
      <c r="AJ30" s="202" t="str">
        <v/>
      </c>
      <c r="AK30" s="202" t="str">
        <v/>
      </c>
      <c r="AL30" s="202" t="str">
        <v/>
      </c>
      <c r="AM30" s="202" t="str">
        <v/>
      </c>
      <c r="AN30" s="202" t="str">
        <v/>
      </c>
      <c r="AO30" s="202" t="str">
        <v/>
      </c>
      <c r="AP30" s="202" t="str">
        <v/>
      </c>
      <c r="AQ30" s="202" t="str">
        <v/>
      </c>
      <c r="AR30" s="202" t="str">
        <v/>
      </c>
      <c r="AS30" s="202" t="str">
        <v/>
      </c>
      <c r="AT30" s="262" t="str">
        <v/>
      </c>
      <c r="AU30" s="588"/>
    </row>
    <row r="31" ht="21.75" customHeight="true" x14ac:dyDescent="0.25">
      <c r="C31" s="597"/>
      <c r="D31" s="594">
        <f t="shared" si="6"/>
        <v>5</v>
      </c>
      <c r="E31" s="202" t="str">
        <v/>
      </c>
      <c r="F31" s="202" t="str">
        <v/>
      </c>
      <c r="G31" s="202" t="str">
        <v/>
      </c>
      <c r="H31" s="202" t="str">
        <v/>
      </c>
      <c r="I31" s="202" t="str">
        <v/>
      </c>
      <c r="J31" s="202" t="str">
        <v/>
      </c>
      <c r="K31" s="202" t="str">
        <v/>
      </c>
      <c r="L31" s="202" t="str">
        <v/>
      </c>
      <c r="M31" s="202" t="str">
        <v/>
      </c>
      <c r="N31" s="202" t="str">
        <v/>
      </c>
      <c r="O31" s="202" t="str">
        <v/>
      </c>
      <c r="P31" s="202" t="str">
        <v/>
      </c>
      <c r="Q31" s="202" t="str">
        <v/>
      </c>
      <c r="R31" s="202" t="str">
        <v/>
      </c>
      <c r="S31" s="202" t="str">
        <v/>
      </c>
      <c r="T31" s="202" t="str">
        <v/>
      </c>
      <c r="U31" s="202" t="str">
        <v/>
      </c>
      <c r="V31" s="202" t="str">
        <v/>
      </c>
      <c r="W31" s="202" t="str">
        <v/>
      </c>
      <c r="X31" s="202" t="str">
        <v/>
      </c>
      <c r="Y31" s="202" t="str">
        <v/>
      </c>
      <c r="Z31" s="202" t="str">
        <v/>
      </c>
      <c r="AA31" s="202" t="str">
        <v/>
      </c>
      <c r="AB31" s="202" t="str">
        <v/>
      </c>
      <c r="AC31" s="202" t="str">
        <v/>
      </c>
      <c r="AD31" s="202" t="str">
        <v/>
      </c>
      <c r="AE31" s="202" t="str">
        <v/>
      </c>
      <c r="AF31" s="202" t="str">
        <v/>
      </c>
      <c r="AG31" s="202" t="str">
        <v/>
      </c>
      <c r="AH31" s="202" t="str">
        <v/>
      </c>
      <c r="AI31" s="202" t="str">
        <v/>
      </c>
      <c r="AJ31" s="202" t="str">
        <v/>
      </c>
      <c r="AK31" s="202" t="str">
        <v/>
      </c>
      <c r="AL31" s="202" t="str">
        <v/>
      </c>
      <c r="AM31" s="202" t="str">
        <v/>
      </c>
      <c r="AN31" s="202" t="str">
        <v/>
      </c>
      <c r="AO31" s="202" t="str">
        <v/>
      </c>
      <c r="AP31" s="202" t="str">
        <v/>
      </c>
      <c r="AQ31" s="202" t="str">
        <v/>
      </c>
      <c r="AR31" s="202" t="str">
        <v/>
      </c>
      <c r="AS31" s="202" t="str">
        <v/>
      </c>
      <c r="AT31" s="262" t="str">
        <v/>
      </c>
      <c r="AU31" s="588"/>
    </row>
    <row r="32" ht="21.75" customHeight="true" x14ac:dyDescent="0.25">
      <c r="C32" s="597"/>
      <c r="D32" s="594">
        <f t="shared" si="6"/>
        <v>6</v>
      </c>
      <c r="E32" s="202" t="str">
        <v/>
      </c>
      <c r="F32" s="202" t="str">
        <v/>
      </c>
      <c r="G32" s="202" t="str">
        <v/>
      </c>
      <c r="H32" s="202" t="str">
        <v/>
      </c>
      <c r="I32" s="202" t="str">
        <v/>
      </c>
      <c r="J32" s="202" t="str">
        <v/>
      </c>
      <c r="K32" s="202" t="str">
        <v/>
      </c>
      <c r="L32" s="202" t="str">
        <v/>
      </c>
      <c r="M32" s="202" t="str">
        <v/>
      </c>
      <c r="N32" s="202" t="str">
        <v/>
      </c>
      <c r="O32" s="202" t="str">
        <v/>
      </c>
      <c r="P32" s="202" t="str">
        <v/>
      </c>
      <c r="Q32" s="202" t="str">
        <v/>
      </c>
      <c r="R32" s="202" t="str">
        <v/>
      </c>
      <c r="S32" s="202" t="str">
        <v/>
      </c>
      <c r="T32" s="202" t="str">
        <v/>
      </c>
      <c r="U32" s="202" t="str">
        <v/>
      </c>
      <c r="V32" s="202" t="str">
        <v/>
      </c>
      <c r="W32" s="202" t="str">
        <v/>
      </c>
      <c r="X32" s="202" t="str">
        <v/>
      </c>
      <c r="Y32" s="202" t="str">
        <v/>
      </c>
      <c r="Z32" s="202" t="str">
        <v/>
      </c>
      <c r="AA32" s="202" t="str">
        <v/>
      </c>
      <c r="AB32" s="202" t="str">
        <v/>
      </c>
      <c r="AC32" s="202" t="str">
        <v/>
      </c>
      <c r="AD32" s="202" t="str">
        <v/>
      </c>
      <c r="AE32" s="202" t="str">
        <v/>
      </c>
      <c r="AF32" s="202" t="str">
        <v/>
      </c>
      <c r="AG32" s="202" t="str">
        <v/>
      </c>
      <c r="AH32" s="202" t="str">
        <v/>
      </c>
      <c r="AI32" s="202" t="str">
        <v/>
      </c>
      <c r="AJ32" s="202" t="str">
        <v/>
      </c>
      <c r="AK32" s="202" t="str">
        <v/>
      </c>
      <c r="AL32" s="202" t="str">
        <v/>
      </c>
      <c r="AM32" s="202" t="str">
        <v/>
      </c>
      <c r="AN32" s="202" t="str">
        <v/>
      </c>
      <c r="AO32" s="202" t="str">
        <v/>
      </c>
      <c r="AP32" s="202" t="str">
        <v/>
      </c>
      <c r="AQ32" s="202" t="str">
        <v/>
      </c>
      <c r="AR32" s="202" t="str">
        <v/>
      </c>
      <c r="AS32" s="202" t="str">
        <v/>
      </c>
      <c r="AT32" s="262" t="str">
        <v/>
      </c>
      <c r="AU32" s="588"/>
    </row>
    <row r="33" ht="21.75" customHeight="true" x14ac:dyDescent="0.25">
      <c r="C33" s="597"/>
      <c r="D33" s="594">
        <f t="shared" si="6"/>
        <v>7</v>
      </c>
      <c r="E33" s="202" t="str">
        <v/>
      </c>
      <c r="F33" s="202" t="str">
        <v/>
      </c>
      <c r="G33" s="202" t="str">
        <v/>
      </c>
      <c r="H33" s="202" t="str">
        <v/>
      </c>
      <c r="I33" s="202" t="str">
        <v/>
      </c>
      <c r="J33" s="202" t="str">
        <v/>
      </c>
      <c r="K33" s="202" t="str">
        <v/>
      </c>
      <c r="L33" s="202" t="str">
        <v/>
      </c>
      <c r="M33" s="202" t="str">
        <v/>
      </c>
      <c r="N33" s="202" t="str">
        <v/>
      </c>
      <c r="O33" s="202" t="str">
        <v/>
      </c>
      <c r="P33" s="202" t="str">
        <v/>
      </c>
      <c r="Q33" s="202" t="str">
        <v/>
      </c>
      <c r="R33" s="202" t="str">
        <v/>
      </c>
      <c r="S33" s="202" t="str">
        <v/>
      </c>
      <c r="T33" s="202" t="str">
        <v/>
      </c>
      <c r="U33" s="202" t="str">
        <v/>
      </c>
      <c r="V33" s="202" t="str">
        <v/>
      </c>
      <c r="W33" s="202" t="str">
        <v/>
      </c>
      <c r="X33" s="202" t="str">
        <v/>
      </c>
      <c r="Y33" s="202" t="str">
        <v/>
      </c>
      <c r="Z33" s="202" t="str">
        <v/>
      </c>
      <c r="AA33" s="202" t="str">
        <v/>
      </c>
      <c r="AB33" s="202" t="str">
        <v/>
      </c>
      <c r="AC33" s="202" t="str">
        <v/>
      </c>
      <c r="AD33" s="202" t="str">
        <v/>
      </c>
      <c r="AE33" s="202" t="str">
        <v/>
      </c>
      <c r="AF33" s="202" t="str">
        <v/>
      </c>
      <c r="AG33" s="202" t="str">
        <v/>
      </c>
      <c r="AH33" s="202" t="str">
        <v/>
      </c>
      <c r="AI33" s="202" t="str">
        <v/>
      </c>
      <c r="AJ33" s="202" t="str">
        <v/>
      </c>
      <c r="AK33" s="202" t="str">
        <v/>
      </c>
      <c r="AL33" s="202" t="str">
        <v/>
      </c>
      <c r="AM33" s="202" t="str">
        <v/>
      </c>
      <c r="AN33" s="202" t="str">
        <v/>
      </c>
      <c r="AO33" s="202" t="str">
        <v/>
      </c>
      <c r="AP33" s="202" t="str">
        <v/>
      </c>
      <c r="AQ33" s="202" t="str">
        <v/>
      </c>
      <c r="AR33" s="202" t="str">
        <v/>
      </c>
      <c r="AS33" s="202" t="str">
        <v/>
      </c>
      <c r="AT33" s="262" t="str">
        <v/>
      </c>
      <c r="AU33" s="588"/>
    </row>
    <row r="34" ht="21.75" customHeight="true" x14ac:dyDescent="0.25">
      <c r="C34" s="597"/>
      <c r="D34" s="594">
        <f t="shared" si="6"/>
        <v>8</v>
      </c>
      <c r="E34" s="202" t="str">
        <v/>
      </c>
      <c r="F34" s="202" t="str">
        <v/>
      </c>
      <c r="G34" s="202" t="str">
        <v/>
      </c>
      <c r="H34" s="202" t="str">
        <v/>
      </c>
      <c r="I34" s="202" t="str">
        <v/>
      </c>
      <c r="J34" s="202" t="str">
        <v/>
      </c>
      <c r="K34" s="202" t="str">
        <v/>
      </c>
      <c r="L34" s="202" t="str">
        <v/>
      </c>
      <c r="M34" s="202" t="str">
        <v/>
      </c>
      <c r="N34" s="202" t="str">
        <v/>
      </c>
      <c r="O34" s="202" t="str">
        <v/>
      </c>
      <c r="P34" s="202" t="str">
        <v/>
      </c>
      <c r="Q34" s="202" t="str">
        <v/>
      </c>
      <c r="R34" s="202" t="str">
        <v/>
      </c>
      <c r="S34" s="202" t="str">
        <v/>
      </c>
      <c r="T34" s="202" t="str">
        <v/>
      </c>
      <c r="U34" s="202" t="str">
        <v/>
      </c>
      <c r="V34" s="202" t="str">
        <v/>
      </c>
      <c r="W34" s="202" t="str">
        <v/>
      </c>
      <c r="X34" s="202" t="str">
        <v/>
      </c>
      <c r="Y34" s="202" t="str">
        <v/>
      </c>
      <c r="Z34" s="202" t="str">
        <v/>
      </c>
      <c r="AA34" s="202" t="str">
        <v/>
      </c>
      <c r="AB34" s="202" t="str">
        <v/>
      </c>
      <c r="AC34" s="202" t="str">
        <v/>
      </c>
      <c r="AD34" s="202" t="str">
        <v/>
      </c>
      <c r="AE34" s="202" t="str">
        <v/>
      </c>
      <c r="AF34" s="202" t="str">
        <v/>
      </c>
      <c r="AG34" s="202" t="str">
        <v/>
      </c>
      <c r="AH34" s="202" t="str">
        <v/>
      </c>
      <c r="AI34" s="202" t="str">
        <v/>
      </c>
      <c r="AJ34" s="202" t="str">
        <v/>
      </c>
      <c r="AK34" s="202" t="str">
        <v/>
      </c>
      <c r="AL34" s="202" t="str">
        <v/>
      </c>
      <c r="AM34" s="202" t="str">
        <v/>
      </c>
      <c r="AN34" s="202" t="str">
        <v/>
      </c>
      <c r="AO34" s="202" t="str">
        <v/>
      </c>
      <c r="AP34" s="202" t="str">
        <v/>
      </c>
      <c r="AQ34" s="202" t="str">
        <v/>
      </c>
      <c r="AR34" s="202" t="str">
        <v/>
      </c>
      <c r="AS34" s="202" t="str">
        <v/>
      </c>
      <c r="AT34" s="262" t="str">
        <v/>
      </c>
      <c r="AU34" s="588"/>
    </row>
    <row r="35" ht="21.75" customHeight="true" x14ac:dyDescent="0.25">
      <c r="C35" s="597"/>
      <c r="D35" s="594">
        <f t="shared" si="6"/>
        <v>9</v>
      </c>
      <c r="E35" s="202" t="str">
        <v/>
      </c>
      <c r="F35" s="202" t="str">
        <v/>
      </c>
      <c r="G35" s="202" t="str">
        <v/>
      </c>
      <c r="H35" s="202" t="str">
        <v/>
      </c>
      <c r="I35" s="202" t="str">
        <v/>
      </c>
      <c r="J35" s="202" t="str">
        <v/>
      </c>
      <c r="K35" s="202" t="str">
        <v/>
      </c>
      <c r="L35" s="202" t="str">
        <v/>
      </c>
      <c r="M35" s="202" t="str">
        <v/>
      </c>
      <c r="N35" s="202" t="str">
        <v/>
      </c>
      <c r="O35" s="202" t="str">
        <v/>
      </c>
      <c r="P35" s="202" t="str">
        <v/>
      </c>
      <c r="Q35" s="202" t="str">
        <v/>
      </c>
      <c r="R35" s="202" t="str">
        <v/>
      </c>
      <c r="S35" s="202" t="str">
        <v/>
      </c>
      <c r="T35" s="202" t="str">
        <v/>
      </c>
      <c r="U35" s="202" t="str">
        <v/>
      </c>
      <c r="V35" s="202" t="str">
        <v/>
      </c>
      <c r="W35" s="202" t="str">
        <v/>
      </c>
      <c r="X35" s="202" t="str">
        <v/>
      </c>
      <c r="Y35" s="202" t="str">
        <v/>
      </c>
      <c r="Z35" s="202" t="str">
        <v/>
      </c>
      <c r="AA35" s="202" t="str">
        <v/>
      </c>
      <c r="AB35" s="202" t="str">
        <v/>
      </c>
      <c r="AC35" s="202" t="str">
        <v/>
      </c>
      <c r="AD35" s="202" t="str">
        <v/>
      </c>
      <c r="AE35" s="202" t="str">
        <v/>
      </c>
      <c r="AF35" s="202" t="str">
        <v/>
      </c>
      <c r="AG35" s="202" t="str">
        <v/>
      </c>
      <c r="AH35" s="202" t="str">
        <v/>
      </c>
      <c r="AI35" s="202" t="str">
        <v/>
      </c>
      <c r="AJ35" s="202" t="str">
        <v/>
      </c>
      <c r="AK35" s="202" t="str">
        <v/>
      </c>
      <c r="AL35" s="202" t="str">
        <v/>
      </c>
      <c r="AM35" s="202" t="str">
        <v/>
      </c>
      <c r="AN35" s="202" t="str">
        <v/>
      </c>
      <c r="AO35" s="202" t="str">
        <v/>
      </c>
      <c r="AP35" s="202" t="str">
        <v/>
      </c>
      <c r="AQ35" s="202" t="str">
        <v/>
      </c>
      <c r="AR35" s="202" t="str">
        <v/>
      </c>
      <c r="AS35" s="202" t="str">
        <v/>
      </c>
      <c r="AT35" s="262" t="str">
        <v/>
      </c>
      <c r="AU35" s="588"/>
    </row>
    <row r="36" ht="21.75" customHeight="true" x14ac:dyDescent="0.25">
      <c r="C36" s="597"/>
      <c r="D36" s="594">
        <f t="shared" si="6"/>
        <v>10</v>
      </c>
      <c r="E36" s="202" t="str">
        <v/>
      </c>
      <c r="F36" s="202" t="str">
        <v/>
      </c>
      <c r="G36" s="202" t="str">
        <v/>
      </c>
      <c r="H36" s="202" t="str">
        <v/>
      </c>
      <c r="I36" s="202" t="str">
        <v/>
      </c>
      <c r="J36" s="202" t="str">
        <v/>
      </c>
      <c r="K36" s="202" t="str">
        <v/>
      </c>
      <c r="L36" s="202" t="str">
        <v/>
      </c>
      <c r="M36" s="202" t="str">
        <v/>
      </c>
      <c r="N36" s="202" t="str">
        <v/>
      </c>
      <c r="O36" s="202" t="str">
        <v/>
      </c>
      <c r="P36" s="202" t="str">
        <v/>
      </c>
      <c r="Q36" s="202" t="str">
        <v/>
      </c>
      <c r="R36" s="202" t="str">
        <v/>
      </c>
      <c r="S36" s="202" t="str">
        <v/>
      </c>
      <c r="T36" s="202" t="str">
        <v/>
      </c>
      <c r="U36" s="202" t="str">
        <v/>
      </c>
      <c r="V36" s="202" t="str">
        <v/>
      </c>
      <c r="W36" s="202" t="str">
        <v/>
      </c>
      <c r="X36" s="202" t="str">
        <v/>
      </c>
      <c r="Y36" s="202" t="str">
        <v/>
      </c>
      <c r="Z36" s="202" t="str">
        <v/>
      </c>
      <c r="AA36" s="202" t="str">
        <v/>
      </c>
      <c r="AB36" s="202" t="str">
        <v/>
      </c>
      <c r="AC36" s="202" t="str">
        <v/>
      </c>
      <c r="AD36" s="202" t="str">
        <v/>
      </c>
      <c r="AE36" s="202" t="str">
        <v/>
      </c>
      <c r="AF36" s="202" t="str">
        <v/>
      </c>
      <c r="AG36" s="202" t="str">
        <v/>
      </c>
      <c r="AH36" s="202" t="str">
        <v/>
      </c>
      <c r="AI36" s="202" t="str">
        <v/>
      </c>
      <c r="AJ36" s="202" t="str">
        <v/>
      </c>
      <c r="AK36" s="202" t="str">
        <v/>
      </c>
      <c r="AL36" s="202" t="str">
        <v/>
      </c>
      <c r="AM36" s="202" t="str">
        <v/>
      </c>
      <c r="AN36" s="202" t="str">
        <v/>
      </c>
      <c r="AO36" s="202" t="str">
        <v/>
      </c>
      <c r="AP36" s="202" t="str">
        <v/>
      </c>
      <c r="AQ36" s="202" t="str">
        <v/>
      </c>
      <c r="AR36" s="202" t="str">
        <v/>
      </c>
      <c r="AS36" s="202" t="str">
        <v/>
      </c>
      <c r="AT36" s="262" t="str">
        <v/>
      </c>
      <c r="AU36" s="588"/>
    </row>
    <row r="37" ht="21.75" customHeight="true" x14ac:dyDescent="0.25">
      <c r="C37" s="597"/>
      <c r="D37" s="594">
        <f t="shared" si="6"/>
        <v>11</v>
      </c>
      <c r="E37" s="202" t="str">
        <v/>
      </c>
      <c r="F37" s="202" t="str">
        <v/>
      </c>
      <c r="G37" s="202" t="str">
        <v/>
      </c>
      <c r="H37" s="202" t="str">
        <v/>
      </c>
      <c r="I37" s="202" t="str">
        <v/>
      </c>
      <c r="J37" s="202" t="str">
        <v/>
      </c>
      <c r="K37" s="202" t="str">
        <v/>
      </c>
      <c r="L37" s="202" t="str">
        <v/>
      </c>
      <c r="M37" s="202" t="str">
        <v/>
      </c>
      <c r="N37" s="202" t="str">
        <v/>
      </c>
      <c r="O37" s="202" t="str">
        <v/>
      </c>
      <c r="P37" s="202" t="str">
        <v/>
      </c>
      <c r="Q37" s="202" t="str">
        <v/>
      </c>
      <c r="R37" s="202" t="str">
        <v/>
      </c>
      <c r="S37" s="202" t="str">
        <v/>
      </c>
      <c r="T37" s="202" t="str">
        <v/>
      </c>
      <c r="U37" s="202" t="str">
        <v/>
      </c>
      <c r="V37" s="202" t="str">
        <v/>
      </c>
      <c r="W37" s="202" t="str">
        <v/>
      </c>
      <c r="X37" s="202" t="str">
        <v/>
      </c>
      <c r="Y37" s="202" t="str">
        <v/>
      </c>
      <c r="Z37" s="202" t="str">
        <v/>
      </c>
      <c r="AA37" s="202" t="str">
        <v/>
      </c>
      <c r="AB37" s="202" t="str">
        <v/>
      </c>
      <c r="AC37" s="202" t="str">
        <v/>
      </c>
      <c r="AD37" s="202" t="str">
        <v/>
      </c>
      <c r="AE37" s="202" t="str">
        <v/>
      </c>
      <c r="AF37" s="202" t="str">
        <v/>
      </c>
      <c r="AG37" s="202" t="str">
        <v/>
      </c>
      <c r="AH37" s="202" t="str">
        <v/>
      </c>
      <c r="AI37" s="202" t="str">
        <v/>
      </c>
      <c r="AJ37" s="202" t="str">
        <v/>
      </c>
      <c r="AK37" s="202" t="str">
        <v/>
      </c>
      <c r="AL37" s="202" t="str">
        <v/>
      </c>
      <c r="AM37" s="202" t="str">
        <v/>
      </c>
      <c r="AN37" s="202" t="str">
        <v/>
      </c>
      <c r="AO37" s="202" t="str">
        <v/>
      </c>
      <c r="AP37" s="202" t="str">
        <v/>
      </c>
      <c r="AQ37" s="202" t="str">
        <v/>
      </c>
      <c r="AR37" s="202" t="str">
        <v/>
      </c>
      <c r="AS37" s="202" t="str">
        <v/>
      </c>
      <c r="AT37" s="262" t="str">
        <v/>
      </c>
      <c r="AU37" s="588"/>
    </row>
    <row r="38" ht="21.75" customHeight="true" x14ac:dyDescent="0.25">
      <c r="C38" s="597"/>
      <c r="D38" s="594">
        <f t="shared" si="6"/>
        <v>12</v>
      </c>
      <c r="E38" s="202" t="str">
        <v/>
      </c>
      <c r="F38" s="202" t="str">
        <v/>
      </c>
      <c r="G38" s="202" t="str">
        <v/>
      </c>
      <c r="H38" s="202" t="str">
        <v/>
      </c>
      <c r="I38" s="202" t="str">
        <v/>
      </c>
      <c r="J38" s="202" t="str">
        <v/>
      </c>
      <c r="K38" s="202" t="str">
        <v/>
      </c>
      <c r="L38" s="202" t="str">
        <v/>
      </c>
      <c r="M38" s="202" t="str">
        <v/>
      </c>
      <c r="N38" s="202" t="str">
        <v/>
      </c>
      <c r="O38" s="202" t="str">
        <v/>
      </c>
      <c r="P38" s="202" t="str">
        <v/>
      </c>
      <c r="Q38" s="202" t="str">
        <v/>
      </c>
      <c r="R38" s="202" t="str">
        <v/>
      </c>
      <c r="S38" s="202" t="str">
        <v/>
      </c>
      <c r="T38" s="202" t="str">
        <v/>
      </c>
      <c r="U38" s="202" t="str">
        <v/>
      </c>
      <c r="V38" s="202" t="str">
        <v/>
      </c>
      <c r="W38" s="202" t="str">
        <v/>
      </c>
      <c r="X38" s="202" t="str">
        <v/>
      </c>
      <c r="Y38" s="202" t="str">
        <v/>
      </c>
      <c r="Z38" s="202" t="str">
        <v/>
      </c>
      <c r="AA38" s="202" t="str">
        <v/>
      </c>
      <c r="AB38" s="202" t="str">
        <v/>
      </c>
      <c r="AC38" s="202" t="str">
        <v/>
      </c>
      <c r="AD38" s="202" t="str">
        <v/>
      </c>
      <c r="AE38" s="202" t="str">
        <v/>
      </c>
      <c r="AF38" s="202" t="str">
        <v/>
      </c>
      <c r="AG38" s="202" t="str">
        <v/>
      </c>
      <c r="AH38" s="202" t="str">
        <v/>
      </c>
      <c r="AI38" s="202" t="str">
        <v/>
      </c>
      <c r="AJ38" s="202" t="str">
        <v/>
      </c>
      <c r="AK38" s="202" t="str">
        <v/>
      </c>
      <c r="AL38" s="202" t="str">
        <v/>
      </c>
      <c r="AM38" s="202" t="str">
        <v/>
      </c>
      <c r="AN38" s="202" t="str">
        <v/>
      </c>
      <c r="AO38" s="202" t="str">
        <v/>
      </c>
      <c r="AP38" s="202" t="str">
        <v/>
      </c>
      <c r="AQ38" s="202" t="str">
        <v/>
      </c>
      <c r="AR38" s="202" t="str">
        <v/>
      </c>
      <c r="AS38" s="202" t="str">
        <v/>
      </c>
      <c r="AT38" s="262" t="str">
        <v/>
      </c>
      <c r="AU38" s="588"/>
    </row>
    <row r="39" x14ac:dyDescent="0.25">
      <c r="C39" s="597"/>
      <c r="D39" s="594">
        <f t="shared" si="6"/>
        <v>13</v>
      </c>
      <c r="E39" s="202" t="str">
        <v/>
      </c>
      <c r="F39" s="202" t="str">
        <v/>
      </c>
      <c r="G39" s="202" t="str">
        <v/>
      </c>
      <c r="H39" s="202" t="str">
        <v/>
      </c>
      <c r="I39" s="202" t="str">
        <v/>
      </c>
      <c r="J39" s="202" t="str">
        <v/>
      </c>
      <c r="K39" s="202" t="str">
        <v/>
      </c>
      <c r="L39" s="202" t="str">
        <v/>
      </c>
      <c r="M39" s="202" t="str">
        <v/>
      </c>
      <c r="N39" s="202" t="str">
        <v/>
      </c>
      <c r="O39" s="202" t="str">
        <v/>
      </c>
      <c r="P39" s="202" t="str">
        <v/>
      </c>
      <c r="Q39" s="202" t="str">
        <v/>
      </c>
      <c r="R39" s="202" t="str">
        <v/>
      </c>
      <c r="S39" s="202" t="str">
        <v/>
      </c>
      <c r="T39" s="202" t="str">
        <v/>
      </c>
      <c r="U39" s="202" t="str">
        <v/>
      </c>
      <c r="V39" s="202" t="str">
        <v/>
      </c>
      <c r="W39" s="202" t="str">
        <v/>
      </c>
      <c r="X39" s="202" t="str">
        <v/>
      </c>
      <c r="Y39" s="202" t="str">
        <v/>
      </c>
      <c r="Z39" s="202" t="str">
        <v/>
      </c>
      <c r="AA39" s="202" t="str">
        <v/>
      </c>
      <c r="AB39" s="202" t="str">
        <v/>
      </c>
      <c r="AC39" s="202" t="str">
        <v/>
      </c>
      <c r="AD39" s="202" t="str">
        <v/>
      </c>
      <c r="AE39" s="202" t="str">
        <v/>
      </c>
      <c r="AF39" s="202" t="str">
        <v/>
      </c>
      <c r="AG39" s="202" t="str">
        <v/>
      </c>
      <c r="AH39" s="202" t="str">
        <v/>
      </c>
      <c r="AI39" s="202" t="str">
        <v/>
      </c>
      <c r="AJ39" s="202" t="str">
        <v/>
      </c>
      <c r="AK39" s="202" t="str">
        <v/>
      </c>
      <c r="AL39" s="202" t="str">
        <v/>
      </c>
      <c r="AM39" s="202" t="str">
        <v/>
      </c>
      <c r="AN39" s="202" t="str">
        <v/>
      </c>
      <c r="AO39" s="202" t="str">
        <v/>
      </c>
      <c r="AP39" s="202" t="str">
        <v/>
      </c>
      <c r="AQ39" s="202" t="str">
        <v/>
      </c>
      <c r="AR39" s="202" t="str">
        <v/>
      </c>
      <c r="AS39" s="202" t="str">
        <v/>
      </c>
      <c r="AT39" s="262" t="str">
        <v/>
      </c>
      <c r="AU39" s="588"/>
    </row>
    <row r="40" ht="19.5" customHeight="true" x14ac:dyDescent="0.25">
      <c r="C40" s="597"/>
      <c r="D40" s="594">
        <f t="shared" si="6"/>
        <v>14</v>
      </c>
      <c r="E40" s="202" t="str">
        <v/>
      </c>
      <c r="F40" s="202" t="str">
        <v/>
      </c>
      <c r="G40" s="202" t="str">
        <v/>
      </c>
      <c r="H40" s="202" t="str">
        <v/>
      </c>
      <c r="I40" s="202" t="str">
        <v/>
      </c>
      <c r="J40" s="202" t="str">
        <v/>
      </c>
      <c r="K40" s="202" t="str">
        <v/>
      </c>
      <c r="L40" s="202" t="str">
        <v/>
      </c>
      <c r="M40" s="202" t="str">
        <v/>
      </c>
      <c r="N40" s="202" t="str">
        <v/>
      </c>
      <c r="O40" s="202" t="str">
        <v/>
      </c>
      <c r="P40" s="202" t="str">
        <v/>
      </c>
      <c r="Q40" s="202" t="str">
        <v/>
      </c>
      <c r="R40" s="202" t="str">
        <v/>
      </c>
      <c r="S40" s="202" t="str">
        <v/>
      </c>
      <c r="T40" s="202" t="str">
        <v/>
      </c>
      <c r="U40" s="202" t="str">
        <v/>
      </c>
      <c r="V40" s="202" t="str">
        <v/>
      </c>
      <c r="W40" s="202" t="str">
        <v/>
      </c>
      <c r="X40" s="202" t="str">
        <v/>
      </c>
      <c r="Y40" s="202" t="str">
        <v/>
      </c>
      <c r="Z40" s="202" t="str">
        <v/>
      </c>
      <c r="AA40" s="202" t="str">
        <v/>
      </c>
      <c r="AB40" s="202" t="str">
        <v/>
      </c>
      <c r="AC40" s="202" t="str">
        <v/>
      </c>
      <c r="AD40" s="202" t="str">
        <v/>
      </c>
      <c r="AE40" s="202" t="str">
        <v/>
      </c>
      <c r="AF40" s="202" t="str">
        <v/>
      </c>
      <c r="AG40" s="202" t="str">
        <v/>
      </c>
      <c r="AH40" s="202" t="str">
        <v/>
      </c>
      <c r="AI40" s="202" t="str">
        <v/>
      </c>
      <c r="AJ40" s="202" t="str">
        <v/>
      </c>
      <c r="AK40" s="202" t="str">
        <v/>
      </c>
      <c r="AL40" s="202" t="str">
        <v/>
      </c>
      <c r="AM40" s="202" t="str">
        <v/>
      </c>
      <c r="AN40" s="202" t="str">
        <v/>
      </c>
      <c r="AO40" s="202" t="str">
        <v/>
      </c>
      <c r="AP40" s="202" t="str">
        <v/>
      </c>
      <c r="AQ40" s="202" t="str">
        <v/>
      </c>
      <c r="AR40" s="202" t="str">
        <v/>
      </c>
      <c r="AS40" s="202" t="str">
        <v/>
      </c>
      <c r="AT40" s="262" t="str">
        <v/>
      </c>
      <c r="AU40" s="588"/>
    </row>
    <row r="41" ht="15.75" customHeight="true" x14ac:dyDescent="0.25">
      <c r="C41" s="597"/>
      <c r="D41" s="594">
        <f t="shared" si="6"/>
        <v>15</v>
      </c>
      <c r="E41" s="202" t="str">
        <v/>
      </c>
      <c r="F41" s="202" t="str">
        <v/>
      </c>
      <c r="G41" s="202" t="str">
        <v/>
      </c>
      <c r="H41" s="202" t="str">
        <v/>
      </c>
      <c r="I41" s="202" t="str">
        <v/>
      </c>
      <c r="J41" s="202" t="str">
        <v/>
      </c>
      <c r="K41" s="202" t="str">
        <v/>
      </c>
      <c r="L41" s="202" t="str">
        <v/>
      </c>
      <c r="M41" s="202" t="str">
        <v/>
      </c>
      <c r="N41" s="202" t="str">
        <v/>
      </c>
      <c r="O41" s="202" t="str">
        <v/>
      </c>
      <c r="P41" s="202" t="str">
        <v/>
      </c>
      <c r="Q41" s="202" t="str">
        <v/>
      </c>
      <c r="R41" s="202" t="str">
        <v/>
      </c>
      <c r="S41" s="202" t="str">
        <v/>
      </c>
      <c r="T41" s="202" t="str">
        <v/>
      </c>
      <c r="U41" s="202" t="str">
        <v/>
      </c>
      <c r="V41" s="202" t="str">
        <v/>
      </c>
      <c r="W41" s="202" t="str">
        <v/>
      </c>
      <c r="X41" s="202" t="str">
        <v/>
      </c>
      <c r="Y41" s="202" t="str">
        <v/>
      </c>
      <c r="Z41" s="202" t="str">
        <v/>
      </c>
      <c r="AA41" s="202" t="str">
        <v/>
      </c>
      <c r="AB41" s="202" t="str">
        <v/>
      </c>
      <c r="AC41" s="202" t="str">
        <v/>
      </c>
      <c r="AD41" s="202" t="str">
        <v/>
      </c>
      <c r="AE41" s="202" t="str">
        <v/>
      </c>
      <c r="AF41" s="202" t="str">
        <v/>
      </c>
      <c r="AG41" s="202" t="str">
        <v/>
      </c>
      <c r="AH41" s="202" t="str">
        <v/>
      </c>
      <c r="AI41" s="202" t="str">
        <v/>
      </c>
      <c r="AJ41" s="202" t="str">
        <v/>
      </c>
      <c r="AK41" s="202" t="str">
        <v/>
      </c>
      <c r="AL41" s="202" t="str">
        <v/>
      </c>
      <c r="AM41" s="202" t="str">
        <v/>
      </c>
      <c r="AN41" s="202" t="str">
        <v/>
      </c>
      <c r="AO41" s="202" t="str">
        <v/>
      </c>
      <c r="AP41" s="202" t="str">
        <v/>
      </c>
      <c r="AQ41" s="202" t="str">
        <v/>
      </c>
      <c r="AR41" s="202" t="str">
        <v/>
      </c>
      <c r="AS41" s="202" t="str">
        <v/>
      </c>
      <c r="AT41" s="262" t="str">
        <v/>
      </c>
      <c r="AU41" s="588"/>
    </row>
    <row r="42" ht="21" customHeight="true" x14ac:dyDescent="0.25">
      <c r="C42" s="597"/>
      <c r="D42" s="594">
        <f t="shared" si="6"/>
        <v>16</v>
      </c>
      <c r="E42" s="202" t="str">
        <v/>
      </c>
      <c r="F42" s="202" t="str">
        <v/>
      </c>
      <c r="G42" s="202" t="str">
        <v/>
      </c>
      <c r="H42" s="202" t="str">
        <v/>
      </c>
      <c r="I42" s="202" t="str">
        <v/>
      </c>
      <c r="J42" s="202" t="str">
        <v/>
      </c>
      <c r="K42" s="202" t="str">
        <v/>
      </c>
      <c r="L42" s="202" t="str">
        <v/>
      </c>
      <c r="M42" s="202" t="str">
        <v/>
      </c>
      <c r="N42" s="202" t="str">
        <v/>
      </c>
      <c r="O42" s="202" t="str">
        <v/>
      </c>
      <c r="P42" s="202" t="str">
        <v/>
      </c>
      <c r="Q42" s="202" t="str">
        <v/>
      </c>
      <c r="R42" s="202" t="str">
        <v/>
      </c>
      <c r="S42" s="202" t="str">
        <v/>
      </c>
      <c r="T42" s="202" t="str">
        <v/>
      </c>
      <c r="U42" s="202" t="str">
        <v/>
      </c>
      <c r="V42" s="202" t="str">
        <v/>
      </c>
      <c r="W42" s="202" t="str">
        <v/>
      </c>
      <c r="X42" s="202" t="str">
        <v/>
      </c>
      <c r="Y42" s="202" t="str">
        <v/>
      </c>
      <c r="Z42" s="202" t="str">
        <v/>
      </c>
      <c r="AA42" s="202" t="str">
        <v/>
      </c>
      <c r="AB42" s="202" t="str">
        <v/>
      </c>
      <c r="AC42" s="202" t="str">
        <v/>
      </c>
      <c r="AD42" s="202" t="str">
        <v/>
      </c>
      <c r="AE42" s="202" t="str">
        <v/>
      </c>
      <c r="AF42" s="202" t="str">
        <v/>
      </c>
      <c r="AG42" s="202" t="str">
        <v/>
      </c>
      <c r="AH42" s="202" t="str">
        <v/>
      </c>
      <c r="AI42" s="202" t="str">
        <v/>
      </c>
      <c r="AJ42" s="202" t="str">
        <v/>
      </c>
      <c r="AK42" s="202" t="str">
        <v/>
      </c>
      <c r="AL42" s="202" t="str">
        <v/>
      </c>
      <c r="AM42" s="202" t="str">
        <v/>
      </c>
      <c r="AN42" s="202" t="str">
        <v/>
      </c>
      <c r="AO42" s="202" t="str">
        <v/>
      </c>
      <c r="AP42" s="202" t="str">
        <v/>
      </c>
      <c r="AQ42" s="202" t="str">
        <v/>
      </c>
      <c r="AR42" s="202" t="str">
        <v/>
      </c>
      <c r="AS42" s="202" t="str">
        <v/>
      </c>
      <c r="AT42" s="262" t="str">
        <v/>
      </c>
      <c r="AU42" s="588"/>
    </row>
    <row r="43" ht="21" customHeight="true" x14ac:dyDescent="0.25">
      <c r="C43" s="597"/>
      <c r="D43" s="594">
        <f t="shared" si="6"/>
        <v>17</v>
      </c>
      <c r="E43" s="202" t="str">
        <v/>
      </c>
      <c r="F43" s="202" t="str">
        <v/>
      </c>
      <c r="G43" s="202" t="str">
        <v/>
      </c>
      <c r="H43" s="202" t="str">
        <v/>
      </c>
      <c r="I43" s="202" t="str">
        <v/>
      </c>
      <c r="J43" s="202" t="str">
        <v/>
      </c>
      <c r="K43" s="202" t="str">
        <v/>
      </c>
      <c r="L43" s="202" t="str">
        <v/>
      </c>
      <c r="M43" s="202" t="str">
        <v/>
      </c>
      <c r="N43" s="202" t="str">
        <v/>
      </c>
      <c r="O43" s="202" t="str">
        <v/>
      </c>
      <c r="P43" s="202" t="str">
        <v/>
      </c>
      <c r="Q43" s="202" t="str">
        <v/>
      </c>
      <c r="R43" s="202" t="str">
        <v/>
      </c>
      <c r="S43" s="202" t="str">
        <v/>
      </c>
      <c r="T43" s="202" t="str">
        <v/>
      </c>
      <c r="U43" s="202" t="str">
        <v/>
      </c>
      <c r="V43" s="202" t="str">
        <v/>
      </c>
      <c r="W43" s="202" t="str">
        <v/>
      </c>
      <c r="X43" s="202" t="str">
        <v/>
      </c>
      <c r="Y43" s="202" t="str">
        <v/>
      </c>
      <c r="Z43" s="202" t="str">
        <v/>
      </c>
      <c r="AA43" s="202" t="str">
        <v/>
      </c>
      <c r="AB43" s="202" t="str">
        <v/>
      </c>
      <c r="AC43" s="202" t="str">
        <v/>
      </c>
      <c r="AD43" s="202" t="str">
        <v/>
      </c>
      <c r="AE43" s="202" t="str">
        <v/>
      </c>
      <c r="AF43" s="202" t="str">
        <v/>
      </c>
      <c r="AG43" s="202" t="str">
        <v/>
      </c>
      <c r="AH43" s="202" t="str">
        <v/>
      </c>
      <c r="AI43" s="202" t="str">
        <v/>
      </c>
      <c r="AJ43" s="202" t="str">
        <v/>
      </c>
      <c r="AK43" s="202" t="str">
        <v/>
      </c>
      <c r="AL43" s="202" t="str">
        <v/>
      </c>
      <c r="AM43" s="202" t="str">
        <v/>
      </c>
      <c r="AN43" s="202" t="str">
        <v/>
      </c>
      <c r="AO43" s="202" t="str">
        <v/>
      </c>
      <c r="AP43" s="202" t="str">
        <v/>
      </c>
      <c r="AQ43" s="202" t="str">
        <v/>
      </c>
      <c r="AR43" s="202" t="str">
        <v/>
      </c>
      <c r="AS43" s="202" t="str">
        <v/>
      </c>
      <c r="AT43" s="262" t="str">
        <v/>
      </c>
      <c r="AU43" s="588"/>
    </row>
    <row r="44" ht="21" customHeight="true" x14ac:dyDescent="0.25">
      <c r="C44" s="597"/>
      <c r="D44" s="594">
        <f t="shared" si="6"/>
        <v>18</v>
      </c>
      <c r="E44" s="202" t="str">
        <v/>
      </c>
      <c r="F44" s="202" t="str">
        <v/>
      </c>
      <c r="G44" s="202" t="str">
        <v/>
      </c>
      <c r="H44" s="202" t="str">
        <v/>
      </c>
      <c r="I44" s="202" t="str">
        <v/>
      </c>
      <c r="J44" s="202" t="str">
        <v/>
      </c>
      <c r="K44" s="202" t="str">
        <v/>
      </c>
      <c r="L44" s="202" t="str">
        <v/>
      </c>
      <c r="M44" s="202" t="str">
        <v/>
      </c>
      <c r="N44" s="202" t="str">
        <v/>
      </c>
      <c r="O44" s="202" t="str">
        <v/>
      </c>
      <c r="P44" s="202" t="str">
        <v/>
      </c>
      <c r="Q44" s="202" t="str">
        <v/>
      </c>
      <c r="R44" s="202" t="str">
        <v/>
      </c>
      <c r="S44" s="202" t="str">
        <v/>
      </c>
      <c r="T44" s="202" t="str">
        <v/>
      </c>
      <c r="U44" s="202" t="str">
        <v/>
      </c>
      <c r="V44" s="202" t="str">
        <v/>
      </c>
      <c r="W44" s="202" t="str">
        <v/>
      </c>
      <c r="X44" s="202" t="str">
        <v/>
      </c>
      <c r="Y44" s="202" t="str">
        <v/>
      </c>
      <c r="Z44" s="202" t="str">
        <v/>
      </c>
      <c r="AA44" s="202" t="str">
        <v/>
      </c>
      <c r="AB44" s="202" t="str">
        <v/>
      </c>
      <c r="AC44" s="202" t="str">
        <v/>
      </c>
      <c r="AD44" s="202" t="str">
        <v/>
      </c>
      <c r="AE44" s="202" t="str">
        <v/>
      </c>
      <c r="AF44" s="202" t="str">
        <v/>
      </c>
      <c r="AG44" s="202" t="str">
        <v/>
      </c>
      <c r="AH44" s="202" t="str">
        <v/>
      </c>
      <c r="AI44" s="202" t="str">
        <v/>
      </c>
      <c r="AJ44" s="202" t="str">
        <v/>
      </c>
      <c r="AK44" s="202" t="str">
        <v/>
      </c>
      <c r="AL44" s="202" t="str">
        <v/>
      </c>
      <c r="AM44" s="202" t="str">
        <v/>
      </c>
      <c r="AN44" s="202" t="str">
        <v/>
      </c>
      <c r="AO44" s="202" t="str">
        <v/>
      </c>
      <c r="AP44" s="202" t="str">
        <v/>
      </c>
      <c r="AQ44" s="202" t="str">
        <v/>
      </c>
      <c r="AR44" s="202" t="str">
        <v/>
      </c>
      <c r="AS44" s="202" t="str">
        <v/>
      </c>
      <c r="AT44" s="262" t="str">
        <v/>
      </c>
      <c r="AU44" s="588"/>
    </row>
    <row r="45" ht="21" customHeight="true" x14ac:dyDescent="0.25">
      <c r="C45" s="597"/>
      <c r="D45" s="594">
        <f t="shared" si="6"/>
        <v>19</v>
      </c>
      <c r="E45" s="202" t="str">
        <v/>
      </c>
      <c r="F45" s="202" t="str">
        <v/>
      </c>
      <c r="G45" s="202" t="str">
        <v/>
      </c>
      <c r="H45" s="202" t="str">
        <v/>
      </c>
      <c r="I45" s="202" t="str">
        <v/>
      </c>
      <c r="J45" s="202" t="str">
        <v/>
      </c>
      <c r="K45" s="202" t="str">
        <v/>
      </c>
      <c r="L45" s="202" t="str">
        <v/>
      </c>
      <c r="M45" s="202" t="str">
        <v/>
      </c>
      <c r="N45" s="202" t="str">
        <v/>
      </c>
      <c r="O45" s="202" t="str">
        <v/>
      </c>
      <c r="P45" s="202" t="str">
        <v/>
      </c>
      <c r="Q45" s="202" t="str">
        <v/>
      </c>
      <c r="R45" s="202" t="str">
        <v/>
      </c>
      <c r="S45" s="202" t="str">
        <v/>
      </c>
      <c r="T45" s="202" t="str">
        <v/>
      </c>
      <c r="U45" s="202" t="str">
        <v/>
      </c>
      <c r="V45" s="202" t="str">
        <v/>
      </c>
      <c r="W45" s="202" t="str">
        <v/>
      </c>
      <c r="X45" s="202" t="str">
        <v/>
      </c>
      <c r="Y45" s="202" t="str">
        <v/>
      </c>
      <c r="Z45" s="202" t="str">
        <v/>
      </c>
      <c r="AA45" s="202" t="str">
        <v/>
      </c>
      <c r="AB45" s="202" t="str">
        <v/>
      </c>
      <c r="AC45" s="202" t="str">
        <v/>
      </c>
      <c r="AD45" s="202" t="str">
        <v/>
      </c>
      <c r="AE45" s="202" t="str">
        <v/>
      </c>
      <c r="AF45" s="202" t="str">
        <v/>
      </c>
      <c r="AG45" s="202" t="str">
        <v/>
      </c>
      <c r="AH45" s="202" t="str">
        <v/>
      </c>
      <c r="AI45" s="202" t="str">
        <v/>
      </c>
      <c r="AJ45" s="202" t="str">
        <v/>
      </c>
      <c r="AK45" s="202" t="str">
        <v/>
      </c>
      <c r="AL45" s="202" t="str">
        <v/>
      </c>
      <c r="AM45" s="202" t="str">
        <v/>
      </c>
      <c r="AN45" s="202" t="str">
        <v/>
      </c>
      <c r="AO45" s="202" t="str">
        <v/>
      </c>
      <c r="AP45" s="202" t="str">
        <v/>
      </c>
      <c r="AQ45" s="202" t="str">
        <v/>
      </c>
      <c r="AR45" s="202" t="str">
        <v/>
      </c>
      <c r="AS45" s="202" t="str">
        <v/>
      </c>
      <c r="AT45" s="262" t="str">
        <v/>
      </c>
      <c r="AU45" s="588"/>
    </row>
    <row r="46" ht="21" customHeight="true" x14ac:dyDescent="0.25">
      <c r="C46" s="597"/>
      <c r="D46" s="594">
        <f t="shared" si="6"/>
        <v>20</v>
      </c>
      <c r="E46" s="202" t="str">
        <v/>
      </c>
      <c r="F46" s="202" t="str">
        <v/>
      </c>
      <c r="G46" s="202" t="str">
        <v/>
      </c>
      <c r="H46" s="202" t="str">
        <v/>
      </c>
      <c r="I46" s="202" t="str">
        <v/>
      </c>
      <c r="J46" s="202" t="str">
        <v/>
      </c>
      <c r="K46" s="202" t="str">
        <v/>
      </c>
      <c r="L46" s="202" t="str">
        <v/>
      </c>
      <c r="M46" s="202" t="str">
        <v/>
      </c>
      <c r="N46" s="202" t="str">
        <v/>
      </c>
      <c r="O46" s="202" t="str">
        <v/>
      </c>
      <c r="P46" s="202" t="str">
        <v/>
      </c>
      <c r="Q46" s="202" t="str">
        <v/>
      </c>
      <c r="R46" s="202" t="str">
        <v/>
      </c>
      <c r="S46" s="202" t="str">
        <v/>
      </c>
      <c r="T46" s="202" t="str">
        <v/>
      </c>
      <c r="U46" s="202" t="str">
        <v/>
      </c>
      <c r="V46" s="202" t="str">
        <v/>
      </c>
      <c r="W46" s="202" t="str">
        <v/>
      </c>
      <c r="X46" s="202" t="str">
        <v/>
      </c>
      <c r="Y46" s="202" t="str">
        <v/>
      </c>
      <c r="Z46" s="202" t="str">
        <v/>
      </c>
      <c r="AA46" s="202" t="str">
        <v/>
      </c>
      <c r="AB46" s="202" t="str">
        <v/>
      </c>
      <c r="AC46" s="202" t="str">
        <v/>
      </c>
      <c r="AD46" s="202" t="str">
        <v/>
      </c>
      <c r="AE46" s="202" t="str">
        <v/>
      </c>
      <c r="AF46" s="202" t="str">
        <v/>
      </c>
      <c r="AG46" s="202" t="str">
        <v/>
      </c>
      <c r="AH46" s="202" t="str">
        <v/>
      </c>
      <c r="AI46" s="202" t="str">
        <v/>
      </c>
      <c r="AJ46" s="202" t="str">
        <v/>
      </c>
      <c r="AK46" s="202" t="str">
        <v/>
      </c>
      <c r="AL46" s="202" t="str">
        <v/>
      </c>
      <c r="AM46" s="202" t="str">
        <v/>
      </c>
      <c r="AN46" s="202" t="str">
        <v/>
      </c>
      <c r="AO46" s="202" t="str">
        <v/>
      </c>
      <c r="AP46" s="202" t="str">
        <v/>
      </c>
      <c r="AQ46" s="202" t="str">
        <v/>
      </c>
      <c r="AR46" s="202" t="str">
        <v/>
      </c>
      <c r="AS46" s="202" t="str">
        <v/>
      </c>
      <c r="AT46" s="262" t="str">
        <v/>
      </c>
      <c r="AU46" s="588"/>
    </row>
    <row r="47" ht="21" customHeight="true" x14ac:dyDescent="0.25">
      <c r="C47" s="597"/>
      <c r="D47" s="594">
        <f t="shared" si="6"/>
        <v>21</v>
      </c>
      <c r="E47" s="202" t="str">
        <v/>
      </c>
      <c r="F47" s="202" t="str">
        <v/>
      </c>
      <c r="G47" s="202" t="str">
        <v/>
      </c>
      <c r="H47" s="202" t="str">
        <v/>
      </c>
      <c r="I47" s="202" t="str">
        <v/>
      </c>
      <c r="J47" s="202" t="str">
        <v/>
      </c>
      <c r="K47" s="202" t="str">
        <v/>
      </c>
      <c r="L47" s="202" t="str">
        <v/>
      </c>
      <c r="M47" s="202" t="str">
        <v/>
      </c>
      <c r="N47" s="202" t="str">
        <v/>
      </c>
      <c r="O47" s="202" t="str">
        <v/>
      </c>
      <c r="P47" s="202" t="str">
        <v/>
      </c>
      <c r="Q47" s="202" t="str">
        <v/>
      </c>
      <c r="R47" s="202" t="str">
        <v/>
      </c>
      <c r="S47" s="202" t="str">
        <v/>
      </c>
      <c r="T47" s="202" t="str">
        <v/>
      </c>
      <c r="U47" s="202" t="str">
        <v/>
      </c>
      <c r="V47" s="202" t="str">
        <v/>
      </c>
      <c r="W47" s="202" t="str">
        <v/>
      </c>
      <c r="X47" s="202" t="str">
        <v/>
      </c>
      <c r="Y47" s="202" t="str">
        <v/>
      </c>
      <c r="Z47" s="202" t="str">
        <v/>
      </c>
      <c r="AA47" s="202" t="str">
        <v/>
      </c>
      <c r="AB47" s="202" t="str">
        <v/>
      </c>
      <c r="AC47" s="202" t="str">
        <v/>
      </c>
      <c r="AD47" s="202" t="str">
        <v/>
      </c>
      <c r="AE47" s="202" t="str">
        <v/>
      </c>
      <c r="AF47" s="202" t="str">
        <v/>
      </c>
      <c r="AG47" s="202" t="str">
        <v/>
      </c>
      <c r="AH47" s="202" t="str">
        <v/>
      </c>
      <c r="AI47" s="202" t="str">
        <v/>
      </c>
      <c r="AJ47" s="202" t="str">
        <v/>
      </c>
      <c r="AK47" s="202" t="str">
        <v/>
      </c>
      <c r="AL47" s="202" t="str">
        <v/>
      </c>
      <c r="AM47" s="202" t="str">
        <v/>
      </c>
      <c r="AN47" s="202" t="str">
        <v/>
      </c>
      <c r="AO47" s="202" t="str">
        <v/>
      </c>
      <c r="AP47" s="202" t="str">
        <v/>
      </c>
      <c r="AQ47" s="202" t="str">
        <v/>
      </c>
      <c r="AR47" s="202" t="str">
        <v/>
      </c>
      <c r="AS47" s="202" t="str">
        <v/>
      </c>
      <c r="AT47" s="262" t="str">
        <v/>
      </c>
      <c r="AU47" s="588"/>
    </row>
    <row r="48" ht="21" customHeight="true" x14ac:dyDescent="0.25">
      <c r="C48" s="597"/>
      <c r="D48" s="594">
        <f t="shared" si="6"/>
        <v>22</v>
      </c>
      <c r="E48" s="202" t="str">
        <v/>
      </c>
      <c r="F48" s="202" t="str">
        <v/>
      </c>
      <c r="G48" s="202" t="str">
        <v/>
      </c>
      <c r="H48" s="202" t="str">
        <v/>
      </c>
      <c r="I48" s="202" t="str">
        <v/>
      </c>
      <c r="J48" s="202" t="str">
        <v/>
      </c>
      <c r="K48" s="202" t="str">
        <v/>
      </c>
      <c r="L48" s="202" t="str">
        <v/>
      </c>
      <c r="M48" s="202" t="str">
        <v/>
      </c>
      <c r="N48" s="202" t="str">
        <v/>
      </c>
      <c r="O48" s="202" t="str">
        <v/>
      </c>
      <c r="P48" s="202" t="str">
        <v/>
      </c>
      <c r="Q48" s="202" t="str">
        <v/>
      </c>
      <c r="R48" s="202" t="str">
        <v/>
      </c>
      <c r="S48" s="202" t="str">
        <v/>
      </c>
      <c r="T48" s="202" t="str">
        <v/>
      </c>
      <c r="U48" s="202" t="str">
        <v/>
      </c>
      <c r="V48" s="202" t="str">
        <v/>
      </c>
      <c r="W48" s="202" t="str">
        <v/>
      </c>
      <c r="X48" s="202" t="str">
        <v/>
      </c>
      <c r="Y48" s="202" t="str">
        <v/>
      </c>
      <c r="Z48" s="202" t="str">
        <v/>
      </c>
      <c r="AA48" s="202" t="str">
        <v/>
      </c>
      <c r="AB48" s="202" t="str">
        <v/>
      </c>
      <c r="AC48" s="202" t="str">
        <v/>
      </c>
      <c r="AD48" s="202" t="str">
        <v/>
      </c>
      <c r="AE48" s="202" t="str">
        <v/>
      </c>
      <c r="AF48" s="202" t="str">
        <v/>
      </c>
      <c r="AG48" s="202" t="str">
        <v/>
      </c>
      <c r="AH48" s="202" t="str">
        <v/>
      </c>
      <c r="AI48" s="202" t="str">
        <v/>
      </c>
      <c r="AJ48" s="202" t="str">
        <v/>
      </c>
      <c r="AK48" s="202" t="str">
        <v/>
      </c>
      <c r="AL48" s="202" t="str">
        <v/>
      </c>
      <c r="AM48" s="202" t="str">
        <v/>
      </c>
      <c r="AN48" s="202" t="str">
        <v/>
      </c>
      <c r="AO48" s="202" t="str">
        <v/>
      </c>
      <c r="AP48" s="202" t="str">
        <v/>
      </c>
      <c r="AQ48" s="202" t="str">
        <v/>
      </c>
      <c r="AR48" s="202" t="str">
        <v/>
      </c>
      <c r="AS48" s="202" t="str">
        <v/>
      </c>
      <c r="AT48" s="262" t="str">
        <v/>
      </c>
      <c r="AU48" s="588"/>
    </row>
    <row r="49" ht="21" customHeight="true" x14ac:dyDescent="0.25">
      <c r="C49" s="597"/>
      <c r="D49" s="594">
        <f t="shared" si="6"/>
        <v>23</v>
      </c>
      <c r="E49" s="202" t="str">
        <v/>
      </c>
      <c r="F49" s="202" t="str">
        <v/>
      </c>
      <c r="G49" s="202" t="str">
        <v/>
      </c>
      <c r="H49" s="202" t="str">
        <v/>
      </c>
      <c r="I49" s="202" t="str">
        <v/>
      </c>
      <c r="J49" s="202" t="str">
        <v/>
      </c>
      <c r="K49" s="202" t="str">
        <v/>
      </c>
      <c r="L49" s="202" t="str">
        <v/>
      </c>
      <c r="M49" s="202" t="str">
        <v/>
      </c>
      <c r="N49" s="202" t="str">
        <v/>
      </c>
      <c r="O49" s="202" t="str">
        <v/>
      </c>
      <c r="P49" s="202" t="str">
        <v/>
      </c>
      <c r="Q49" s="202" t="str">
        <v/>
      </c>
      <c r="R49" s="202" t="str">
        <v/>
      </c>
      <c r="S49" s="202" t="str">
        <v/>
      </c>
      <c r="T49" s="202" t="str">
        <v/>
      </c>
      <c r="U49" s="202" t="str">
        <v/>
      </c>
      <c r="V49" s="202" t="str">
        <v/>
      </c>
      <c r="W49" s="202" t="str">
        <v/>
      </c>
      <c r="X49" s="202" t="str">
        <v/>
      </c>
      <c r="Y49" s="202" t="str">
        <v/>
      </c>
      <c r="Z49" s="202" t="str">
        <v/>
      </c>
      <c r="AA49" s="202" t="str">
        <v/>
      </c>
      <c r="AB49" s="202" t="str">
        <v/>
      </c>
      <c r="AC49" s="202" t="str">
        <v/>
      </c>
      <c r="AD49" s="202" t="str">
        <v/>
      </c>
      <c r="AE49" s="202" t="str">
        <v/>
      </c>
      <c r="AF49" s="202" t="str">
        <v/>
      </c>
      <c r="AG49" s="202" t="str">
        <v/>
      </c>
      <c r="AH49" s="202" t="str">
        <v/>
      </c>
      <c r="AI49" s="202" t="str">
        <v/>
      </c>
      <c r="AJ49" s="202" t="str">
        <v/>
      </c>
      <c r="AK49" s="202" t="str">
        <v/>
      </c>
      <c r="AL49" s="202" t="str">
        <v/>
      </c>
      <c r="AM49" s="202" t="str">
        <v/>
      </c>
      <c r="AN49" s="202" t="str">
        <v/>
      </c>
      <c r="AO49" s="202" t="str">
        <v/>
      </c>
      <c r="AP49" s="202" t="str">
        <v/>
      </c>
      <c r="AQ49" s="202" t="str">
        <v/>
      </c>
      <c r="AR49" s="202" t="str">
        <v/>
      </c>
      <c r="AS49" s="202" t="str">
        <v/>
      </c>
      <c r="AT49" s="262" t="str">
        <v/>
      </c>
      <c r="AU49" s="588"/>
    </row>
    <row r="50" ht="21" customHeight="true" x14ac:dyDescent="0.25">
      <c r="C50" s="597"/>
      <c r="D50" s="594">
        <f t="shared" si="6"/>
        <v>24</v>
      </c>
      <c r="E50" s="202" t="str">
        <v/>
      </c>
      <c r="F50" s="202" t="str">
        <v/>
      </c>
      <c r="G50" s="202" t="str">
        <v/>
      </c>
      <c r="H50" s="202" t="str">
        <v/>
      </c>
      <c r="I50" s="202" t="str">
        <v/>
      </c>
      <c r="J50" s="202" t="str">
        <v/>
      </c>
      <c r="K50" s="202" t="str">
        <v/>
      </c>
      <c r="L50" s="202" t="str">
        <v/>
      </c>
      <c r="M50" s="202" t="str">
        <v/>
      </c>
      <c r="N50" s="202" t="str">
        <v/>
      </c>
      <c r="O50" s="202" t="str">
        <v/>
      </c>
      <c r="P50" s="202" t="str">
        <v/>
      </c>
      <c r="Q50" s="202" t="str">
        <v/>
      </c>
      <c r="R50" s="202" t="str">
        <v/>
      </c>
      <c r="S50" s="202" t="str">
        <v/>
      </c>
      <c r="T50" s="202" t="str">
        <v/>
      </c>
      <c r="U50" s="202" t="str">
        <v/>
      </c>
      <c r="V50" s="202" t="str">
        <v/>
      </c>
      <c r="W50" s="202" t="str">
        <v/>
      </c>
      <c r="X50" s="202" t="str">
        <v/>
      </c>
      <c r="Y50" s="202" t="str">
        <v/>
      </c>
      <c r="Z50" s="202" t="str">
        <v/>
      </c>
      <c r="AA50" s="202" t="str">
        <v/>
      </c>
      <c r="AB50" s="202" t="str">
        <v/>
      </c>
      <c r="AC50" s="202" t="str">
        <v/>
      </c>
      <c r="AD50" s="202" t="str">
        <v/>
      </c>
      <c r="AE50" s="202" t="str">
        <v/>
      </c>
      <c r="AF50" s="202" t="str">
        <v/>
      </c>
      <c r="AG50" s="202" t="str">
        <v/>
      </c>
      <c r="AH50" s="202" t="str">
        <v/>
      </c>
      <c r="AI50" s="202" t="str">
        <v/>
      </c>
      <c r="AJ50" s="202" t="str">
        <v/>
      </c>
      <c r="AK50" s="202" t="str">
        <v/>
      </c>
      <c r="AL50" s="202" t="str">
        <v/>
      </c>
      <c r="AM50" s="202" t="str">
        <v/>
      </c>
      <c r="AN50" s="202" t="str">
        <v/>
      </c>
      <c r="AO50" s="202" t="str">
        <v/>
      </c>
      <c r="AP50" s="202" t="str">
        <v/>
      </c>
      <c r="AQ50" s="202" t="str">
        <v/>
      </c>
      <c r="AR50" s="202" t="str">
        <v/>
      </c>
      <c r="AS50" s="202" t="str">
        <v/>
      </c>
      <c r="AT50" s="262" t="str">
        <v/>
      </c>
      <c r="AU50" s="588"/>
    </row>
    <row r="51" ht="21" customHeight="true" x14ac:dyDescent="0.25">
      <c r="C51" s="597"/>
      <c r="D51" s="594">
        <f t="shared" si="6"/>
        <v>25</v>
      </c>
      <c r="E51" s="202" t="str">
        <v/>
      </c>
      <c r="F51" s="202" t="str">
        <v/>
      </c>
      <c r="G51" s="202" t="str">
        <v/>
      </c>
      <c r="H51" s="202" t="str">
        <v/>
      </c>
      <c r="I51" s="202" t="str">
        <v/>
      </c>
      <c r="J51" s="202" t="str">
        <v/>
      </c>
      <c r="K51" s="202" t="str">
        <v/>
      </c>
      <c r="L51" s="202" t="str">
        <v/>
      </c>
      <c r="M51" s="202" t="str">
        <v/>
      </c>
      <c r="N51" s="202" t="str">
        <v/>
      </c>
      <c r="O51" s="202" t="str">
        <v/>
      </c>
      <c r="P51" s="202" t="str">
        <v/>
      </c>
      <c r="Q51" s="202" t="str">
        <v/>
      </c>
      <c r="R51" s="202" t="str">
        <v/>
      </c>
      <c r="S51" s="202" t="str">
        <v/>
      </c>
      <c r="T51" s="202" t="str">
        <v/>
      </c>
      <c r="U51" s="202" t="str">
        <v/>
      </c>
      <c r="V51" s="202" t="str">
        <v/>
      </c>
      <c r="W51" s="202" t="str">
        <v/>
      </c>
      <c r="X51" s="202" t="str">
        <v/>
      </c>
      <c r="Y51" s="202" t="str">
        <v/>
      </c>
      <c r="Z51" s="202" t="str">
        <v/>
      </c>
      <c r="AA51" s="202" t="str">
        <v/>
      </c>
      <c r="AB51" s="202" t="str">
        <v/>
      </c>
      <c r="AC51" s="202" t="str">
        <v/>
      </c>
      <c r="AD51" s="202" t="str">
        <v/>
      </c>
      <c r="AE51" s="202" t="str">
        <v/>
      </c>
      <c r="AF51" s="202" t="str">
        <v/>
      </c>
      <c r="AG51" s="202" t="str">
        <v/>
      </c>
      <c r="AH51" s="202" t="str">
        <v/>
      </c>
      <c r="AI51" s="202" t="str">
        <v/>
      </c>
      <c r="AJ51" s="202" t="str">
        <v/>
      </c>
      <c r="AK51" s="202" t="str">
        <v/>
      </c>
      <c r="AL51" s="202" t="str">
        <v/>
      </c>
      <c r="AM51" s="202" t="str">
        <v/>
      </c>
      <c r="AN51" s="202" t="str">
        <v/>
      </c>
      <c r="AO51" s="202" t="str">
        <v/>
      </c>
      <c r="AP51" s="202" t="str">
        <v/>
      </c>
      <c r="AQ51" s="202" t="str">
        <v/>
      </c>
      <c r="AR51" s="202" t="str">
        <v/>
      </c>
      <c r="AS51" s="202" t="str">
        <v/>
      </c>
      <c r="AT51" s="262" t="str">
        <v/>
      </c>
      <c r="AU51" s="588"/>
    </row>
    <row r="52" ht="21" customHeight="true" x14ac:dyDescent="0.25">
      <c r="C52" s="597"/>
      <c r="D52" s="594">
        <f t="shared" si="6"/>
        <v>26</v>
      </c>
      <c r="E52" s="202" t="str">
        <v/>
      </c>
      <c r="F52" s="202" t="str">
        <v/>
      </c>
      <c r="G52" s="202" t="str">
        <v/>
      </c>
      <c r="H52" s="202" t="str">
        <v/>
      </c>
      <c r="I52" s="202" t="str">
        <v/>
      </c>
      <c r="J52" s="202" t="str">
        <v/>
      </c>
      <c r="K52" s="202" t="str">
        <v/>
      </c>
      <c r="L52" s="202" t="str">
        <v/>
      </c>
      <c r="M52" s="202" t="str">
        <v/>
      </c>
      <c r="N52" s="202" t="str">
        <v/>
      </c>
      <c r="O52" s="202" t="str">
        <v/>
      </c>
      <c r="P52" s="202" t="str">
        <v/>
      </c>
      <c r="Q52" s="202" t="str">
        <v/>
      </c>
      <c r="R52" s="202" t="str">
        <v/>
      </c>
      <c r="S52" s="202" t="str">
        <v/>
      </c>
      <c r="T52" s="202" t="str">
        <v/>
      </c>
      <c r="U52" s="202" t="str">
        <v/>
      </c>
      <c r="V52" s="202" t="str">
        <v/>
      </c>
      <c r="W52" s="202" t="str">
        <v/>
      </c>
      <c r="X52" s="202" t="str">
        <v/>
      </c>
      <c r="Y52" s="202" t="str">
        <v/>
      </c>
      <c r="Z52" s="202" t="str">
        <v/>
      </c>
      <c r="AA52" s="202" t="str">
        <v/>
      </c>
      <c r="AB52" s="202" t="str">
        <v/>
      </c>
      <c r="AC52" s="202" t="str">
        <v/>
      </c>
      <c r="AD52" s="202" t="str">
        <v/>
      </c>
      <c r="AE52" s="202" t="str">
        <v/>
      </c>
      <c r="AF52" s="202" t="str">
        <v/>
      </c>
      <c r="AG52" s="202" t="str">
        <v/>
      </c>
      <c r="AH52" s="202" t="str">
        <v/>
      </c>
      <c r="AI52" s="202" t="str">
        <v/>
      </c>
      <c r="AJ52" s="202" t="str">
        <v/>
      </c>
      <c r="AK52" s="202" t="str">
        <v/>
      </c>
      <c r="AL52" s="202" t="str">
        <v/>
      </c>
      <c r="AM52" s="202" t="str">
        <v/>
      </c>
      <c r="AN52" s="202" t="str">
        <v/>
      </c>
      <c r="AO52" s="202" t="str">
        <v/>
      </c>
      <c r="AP52" s="202" t="str">
        <v/>
      </c>
      <c r="AQ52" s="202" t="str">
        <v/>
      </c>
      <c r="AR52" s="202" t="str">
        <v/>
      </c>
      <c r="AS52" s="202" t="str">
        <v/>
      </c>
      <c r="AT52" s="262" t="str">
        <v/>
      </c>
      <c r="AU52" s="588"/>
    </row>
    <row r="53" ht="21" customHeight="true" x14ac:dyDescent="0.25">
      <c r="C53" s="597"/>
      <c r="D53" s="594">
        <f t="shared" si="6"/>
        <v>27</v>
      </c>
      <c r="E53" s="202" t="str">
        <v/>
      </c>
      <c r="F53" s="202" t="str">
        <v/>
      </c>
      <c r="G53" s="202" t="str">
        <v/>
      </c>
      <c r="H53" s="202" t="str">
        <v/>
      </c>
      <c r="I53" s="202" t="str">
        <v/>
      </c>
      <c r="J53" s="202" t="str">
        <v/>
      </c>
      <c r="K53" s="202" t="str">
        <v/>
      </c>
      <c r="L53" s="202" t="str">
        <v/>
      </c>
      <c r="M53" s="202" t="str">
        <v/>
      </c>
      <c r="N53" s="202" t="str">
        <v/>
      </c>
      <c r="O53" s="202" t="str">
        <v/>
      </c>
      <c r="P53" s="202" t="str">
        <v/>
      </c>
      <c r="Q53" s="202" t="str">
        <v/>
      </c>
      <c r="R53" s="202" t="str">
        <v/>
      </c>
      <c r="S53" s="202" t="str">
        <v/>
      </c>
      <c r="T53" s="202" t="str">
        <v/>
      </c>
      <c r="U53" s="202" t="str">
        <v/>
      </c>
      <c r="V53" s="202" t="str">
        <v/>
      </c>
      <c r="W53" s="202" t="str">
        <v/>
      </c>
      <c r="X53" s="202" t="str">
        <v/>
      </c>
      <c r="Y53" s="202" t="str">
        <v/>
      </c>
      <c r="Z53" s="202" t="str">
        <v/>
      </c>
      <c r="AA53" s="202" t="str">
        <v/>
      </c>
      <c r="AB53" s="202" t="str">
        <v/>
      </c>
      <c r="AC53" s="202" t="str">
        <v/>
      </c>
      <c r="AD53" s="202" t="str">
        <v/>
      </c>
      <c r="AE53" s="202" t="str">
        <v/>
      </c>
      <c r="AF53" s="202" t="str">
        <v/>
      </c>
      <c r="AG53" s="202" t="str">
        <v/>
      </c>
      <c r="AH53" s="202" t="str">
        <v/>
      </c>
      <c r="AI53" s="202" t="str">
        <v/>
      </c>
      <c r="AJ53" s="202" t="str">
        <v/>
      </c>
      <c r="AK53" s="202" t="str">
        <v/>
      </c>
      <c r="AL53" s="202" t="str">
        <v/>
      </c>
      <c r="AM53" s="202" t="str">
        <v/>
      </c>
      <c r="AN53" s="202" t="str">
        <v/>
      </c>
      <c r="AO53" s="202" t="str">
        <v/>
      </c>
      <c r="AP53" s="202" t="str">
        <v/>
      </c>
      <c r="AQ53" s="202" t="str">
        <v/>
      </c>
      <c r="AR53" s="202" t="str">
        <v/>
      </c>
      <c r="AS53" s="202" t="str">
        <v/>
      </c>
      <c r="AT53" s="262" t="str">
        <v/>
      </c>
      <c r="AU53" s="588"/>
    </row>
    <row r="54" ht="21" customHeight="true" x14ac:dyDescent="0.25">
      <c r="C54" s="597"/>
      <c r="D54" s="594">
        <f t="shared" si="6"/>
        <v>28</v>
      </c>
      <c r="E54" s="202" t="str">
        <v/>
      </c>
      <c r="F54" s="202" t="str">
        <v/>
      </c>
      <c r="G54" s="202" t="str">
        <v/>
      </c>
      <c r="H54" s="202" t="str">
        <v/>
      </c>
      <c r="I54" s="202" t="str">
        <v/>
      </c>
      <c r="J54" s="202" t="str">
        <v/>
      </c>
      <c r="K54" s="202" t="str">
        <v/>
      </c>
      <c r="L54" s="202" t="str">
        <v/>
      </c>
      <c r="M54" s="202" t="str">
        <v/>
      </c>
      <c r="N54" s="202" t="str">
        <v/>
      </c>
      <c r="O54" s="202" t="str">
        <v/>
      </c>
      <c r="P54" s="202" t="str">
        <v/>
      </c>
      <c r="Q54" s="202" t="str">
        <v/>
      </c>
      <c r="R54" s="202" t="str">
        <v/>
      </c>
      <c r="S54" s="202" t="str">
        <v/>
      </c>
      <c r="T54" s="202" t="str">
        <v/>
      </c>
      <c r="U54" s="202" t="str">
        <v/>
      </c>
      <c r="V54" s="202" t="str">
        <v/>
      </c>
      <c r="W54" s="202" t="str">
        <v/>
      </c>
      <c r="X54" s="202" t="str">
        <v/>
      </c>
      <c r="Y54" s="202" t="str">
        <v/>
      </c>
      <c r="Z54" s="202" t="str">
        <v/>
      </c>
      <c r="AA54" s="202" t="str">
        <v/>
      </c>
      <c r="AB54" s="202" t="str">
        <v/>
      </c>
      <c r="AC54" s="202" t="str">
        <v/>
      </c>
      <c r="AD54" s="202" t="str">
        <v/>
      </c>
      <c r="AE54" s="202" t="str">
        <v/>
      </c>
      <c r="AF54" s="202" t="str">
        <v/>
      </c>
      <c r="AG54" s="202" t="str">
        <v/>
      </c>
      <c r="AH54" s="202" t="str">
        <v/>
      </c>
      <c r="AI54" s="202" t="str">
        <v/>
      </c>
      <c r="AJ54" s="202" t="str">
        <v/>
      </c>
      <c r="AK54" s="202" t="str">
        <v/>
      </c>
      <c r="AL54" s="202" t="str">
        <v/>
      </c>
      <c r="AM54" s="202" t="str">
        <v/>
      </c>
      <c r="AN54" s="202" t="str">
        <v/>
      </c>
      <c r="AO54" s="202" t="str">
        <v/>
      </c>
      <c r="AP54" s="202" t="str">
        <v/>
      </c>
      <c r="AQ54" s="202" t="str">
        <v/>
      </c>
      <c r="AR54" s="202" t="str">
        <v/>
      </c>
      <c r="AS54" s="202" t="str">
        <v/>
      </c>
      <c r="AT54" s="262" t="str">
        <v/>
      </c>
      <c r="AU54" s="588"/>
    </row>
    <row r="55" ht="21" customHeight="true" x14ac:dyDescent="0.25">
      <c r="C55" s="597"/>
      <c r="D55" s="594">
        <f t="shared" si="6"/>
        <v>29</v>
      </c>
      <c r="E55" s="202" t="str">
        <v/>
      </c>
      <c r="F55" s="202" t="str">
        <v/>
      </c>
      <c r="G55" s="202" t="str">
        <v/>
      </c>
      <c r="H55" s="202" t="str">
        <v/>
      </c>
      <c r="I55" s="202" t="str">
        <v/>
      </c>
      <c r="J55" s="202" t="str">
        <v/>
      </c>
      <c r="K55" s="202" t="str">
        <v/>
      </c>
      <c r="L55" s="202" t="str">
        <v/>
      </c>
      <c r="M55" s="202" t="str">
        <v/>
      </c>
      <c r="N55" s="202" t="str">
        <v/>
      </c>
      <c r="O55" s="202" t="str">
        <v/>
      </c>
      <c r="P55" s="202" t="str">
        <v/>
      </c>
      <c r="Q55" s="202" t="str">
        <v/>
      </c>
      <c r="R55" s="202" t="str">
        <v/>
      </c>
      <c r="S55" s="202" t="str">
        <v/>
      </c>
      <c r="T55" s="202" t="str">
        <v/>
      </c>
      <c r="U55" s="202" t="str">
        <v/>
      </c>
      <c r="V55" s="202" t="str">
        <v/>
      </c>
      <c r="W55" s="202" t="str">
        <v/>
      </c>
      <c r="X55" s="202" t="str">
        <v/>
      </c>
      <c r="Y55" s="202" t="str">
        <v/>
      </c>
      <c r="Z55" s="202" t="str">
        <v/>
      </c>
      <c r="AA55" s="202" t="str">
        <v/>
      </c>
      <c r="AB55" s="202" t="str">
        <v/>
      </c>
      <c r="AC55" s="202" t="str">
        <v/>
      </c>
      <c r="AD55" s="202" t="str">
        <v/>
      </c>
      <c r="AE55" s="202" t="str">
        <v/>
      </c>
      <c r="AF55" s="202" t="str">
        <v/>
      </c>
      <c r="AG55" s="202" t="str">
        <v/>
      </c>
      <c r="AH55" s="202" t="str">
        <v/>
      </c>
      <c r="AI55" s="202" t="str">
        <v/>
      </c>
      <c r="AJ55" s="202" t="str">
        <v/>
      </c>
      <c r="AK55" s="202" t="str">
        <v/>
      </c>
      <c r="AL55" s="202" t="str">
        <v/>
      </c>
      <c r="AM55" s="202" t="str">
        <v/>
      </c>
      <c r="AN55" s="202" t="str">
        <v/>
      </c>
      <c r="AO55" s="202" t="str">
        <v/>
      </c>
      <c r="AP55" s="202" t="str">
        <v/>
      </c>
      <c r="AQ55" s="202" t="str">
        <v/>
      </c>
      <c r="AR55" s="202" t="str">
        <v/>
      </c>
      <c r="AS55" s="202" t="str">
        <v/>
      </c>
      <c r="AT55" s="262" t="str">
        <v/>
      </c>
      <c r="AU55" s="588"/>
    </row>
    <row r="56" ht="21" customHeight="true" x14ac:dyDescent="0.25">
      <c r="C56" s="597"/>
      <c r="D56" s="594">
        <f t="shared" si="6"/>
        <v>30</v>
      </c>
      <c r="E56" s="202" t="str">
        <v/>
      </c>
      <c r="F56" s="202" t="str">
        <v/>
      </c>
      <c r="G56" s="202" t="str">
        <v/>
      </c>
      <c r="H56" s="202" t="str">
        <v/>
      </c>
      <c r="I56" s="202" t="str">
        <v/>
      </c>
      <c r="J56" s="202" t="str">
        <v/>
      </c>
      <c r="K56" s="202" t="str">
        <v/>
      </c>
      <c r="L56" s="202" t="str">
        <v/>
      </c>
      <c r="M56" s="202" t="str">
        <v/>
      </c>
      <c r="N56" s="202" t="str">
        <v/>
      </c>
      <c r="O56" s="202" t="str">
        <v/>
      </c>
      <c r="P56" s="202" t="str">
        <v/>
      </c>
      <c r="Q56" s="202" t="str">
        <v/>
      </c>
      <c r="R56" s="202" t="str">
        <v/>
      </c>
      <c r="S56" s="202" t="str">
        <v/>
      </c>
      <c r="T56" s="202" t="str">
        <v/>
      </c>
      <c r="U56" s="202" t="str">
        <v/>
      </c>
      <c r="V56" s="202" t="str">
        <v/>
      </c>
      <c r="W56" s="202" t="str">
        <v/>
      </c>
      <c r="X56" s="202" t="str">
        <v/>
      </c>
      <c r="Y56" s="202" t="str">
        <v/>
      </c>
      <c r="Z56" s="202" t="str">
        <v/>
      </c>
      <c r="AA56" s="202" t="str">
        <v/>
      </c>
      <c r="AB56" s="202" t="str">
        <v/>
      </c>
      <c r="AC56" s="202" t="str">
        <v/>
      </c>
      <c r="AD56" s="202" t="str">
        <v/>
      </c>
      <c r="AE56" s="202" t="str">
        <v/>
      </c>
      <c r="AF56" s="202" t="str">
        <v/>
      </c>
      <c r="AG56" s="202" t="str">
        <v/>
      </c>
      <c r="AH56" s="202" t="str">
        <v/>
      </c>
      <c r="AI56" s="202" t="str">
        <v/>
      </c>
      <c r="AJ56" s="202" t="str">
        <v/>
      </c>
      <c r="AK56" s="202" t="str">
        <v/>
      </c>
      <c r="AL56" s="202" t="str">
        <v/>
      </c>
      <c r="AM56" s="202" t="str">
        <v/>
      </c>
      <c r="AN56" s="202" t="str">
        <v/>
      </c>
      <c r="AO56" s="202" t="str">
        <v/>
      </c>
      <c r="AP56" s="202" t="str">
        <v/>
      </c>
      <c r="AQ56" s="202" t="str">
        <v/>
      </c>
      <c r="AR56" s="202" t="str">
        <v/>
      </c>
      <c r="AS56" s="202" t="str">
        <v/>
      </c>
      <c r="AT56" s="262" t="str">
        <v/>
      </c>
      <c r="AU56" s="588"/>
    </row>
    <row r="57" ht="21" customHeight="true" x14ac:dyDescent="0.25">
      <c r="C57" s="597"/>
      <c r="D57" s="594">
        <f t="shared" si="6"/>
        <v>31</v>
      </c>
      <c r="E57" s="202" t="str">
        <v/>
      </c>
      <c r="F57" s="202" t="str">
        <v/>
      </c>
      <c r="G57" s="202" t="str">
        <v/>
      </c>
      <c r="H57" s="202" t="str">
        <v/>
      </c>
      <c r="I57" s="202" t="str">
        <v/>
      </c>
      <c r="J57" s="202" t="str">
        <v/>
      </c>
      <c r="K57" s="202" t="str">
        <v/>
      </c>
      <c r="L57" s="202" t="str">
        <v/>
      </c>
      <c r="M57" s="202" t="str">
        <v/>
      </c>
      <c r="N57" s="202" t="str">
        <v/>
      </c>
      <c r="O57" s="202" t="str">
        <v/>
      </c>
      <c r="P57" s="202" t="str">
        <v/>
      </c>
      <c r="Q57" s="202" t="str">
        <v/>
      </c>
      <c r="R57" s="202" t="str">
        <v/>
      </c>
      <c r="S57" s="202" t="str">
        <v/>
      </c>
      <c r="T57" s="202" t="str">
        <v/>
      </c>
      <c r="U57" s="202" t="str">
        <v/>
      </c>
      <c r="V57" s="202" t="str">
        <v/>
      </c>
      <c r="W57" s="202" t="str">
        <v/>
      </c>
      <c r="X57" s="202" t="str">
        <v/>
      </c>
      <c r="Y57" s="202" t="str">
        <v/>
      </c>
      <c r="Z57" s="202" t="str">
        <v/>
      </c>
      <c r="AA57" s="202" t="str">
        <v/>
      </c>
      <c r="AB57" s="202" t="str">
        <v/>
      </c>
      <c r="AC57" s="202" t="str">
        <v/>
      </c>
      <c r="AD57" s="202" t="str">
        <v/>
      </c>
      <c r="AE57" s="202" t="str">
        <v/>
      </c>
      <c r="AF57" s="202" t="str">
        <v/>
      </c>
      <c r="AG57" s="202" t="str">
        <v/>
      </c>
      <c r="AH57" s="202" t="str">
        <v/>
      </c>
      <c r="AI57" s="202" t="str">
        <v/>
      </c>
      <c r="AJ57" s="202" t="str">
        <v/>
      </c>
      <c r="AK57" s="202" t="str">
        <v/>
      </c>
      <c r="AL57" s="202" t="str">
        <v/>
      </c>
      <c r="AM57" s="202" t="str">
        <v/>
      </c>
      <c r="AN57" s="202" t="str">
        <v/>
      </c>
      <c r="AO57" s="202" t="str">
        <v/>
      </c>
      <c r="AP57" s="202" t="str">
        <v/>
      </c>
      <c r="AQ57" s="202" t="str">
        <v/>
      </c>
      <c r="AR57" s="202" t="str">
        <v/>
      </c>
      <c r="AS57" s="202" t="str">
        <v/>
      </c>
      <c r="AT57" s="262" t="str">
        <v/>
      </c>
      <c r="AU57" s="588"/>
    </row>
    <row r="58" ht="21" customHeight="true" x14ac:dyDescent="0.25">
      <c r="C58" s="597"/>
      <c r="D58" s="594">
        <f t="shared" si="6"/>
        <v>32</v>
      </c>
      <c r="E58" s="202" t="str">
        <v/>
      </c>
      <c r="F58" s="202" t="str">
        <v/>
      </c>
      <c r="G58" s="202" t="str">
        <v/>
      </c>
      <c r="H58" s="202" t="str">
        <v/>
      </c>
      <c r="I58" s="202" t="str">
        <v/>
      </c>
      <c r="J58" s="202" t="str">
        <v/>
      </c>
      <c r="K58" s="202" t="str">
        <v/>
      </c>
      <c r="L58" s="202" t="str">
        <v/>
      </c>
      <c r="M58" s="202" t="str">
        <v/>
      </c>
      <c r="N58" s="202" t="str">
        <v/>
      </c>
      <c r="O58" s="202" t="str">
        <v/>
      </c>
      <c r="P58" s="202" t="str">
        <v/>
      </c>
      <c r="Q58" s="202" t="str">
        <v/>
      </c>
      <c r="R58" s="202" t="str">
        <v/>
      </c>
      <c r="S58" s="202" t="str">
        <v/>
      </c>
      <c r="T58" s="202" t="str">
        <v/>
      </c>
      <c r="U58" s="202" t="str">
        <v/>
      </c>
      <c r="V58" s="202" t="str">
        <v/>
      </c>
      <c r="W58" s="202" t="str">
        <v/>
      </c>
      <c r="X58" s="202" t="str">
        <v/>
      </c>
      <c r="Y58" s="202" t="str">
        <v/>
      </c>
      <c r="Z58" s="202" t="str">
        <v/>
      </c>
      <c r="AA58" s="202" t="str">
        <v/>
      </c>
      <c r="AB58" s="202" t="str">
        <v/>
      </c>
      <c r="AC58" s="202" t="str">
        <v/>
      </c>
      <c r="AD58" s="202" t="str">
        <v/>
      </c>
      <c r="AE58" s="202" t="str">
        <v/>
      </c>
      <c r="AF58" s="202" t="str">
        <v/>
      </c>
      <c r="AG58" s="202" t="str">
        <v/>
      </c>
      <c r="AH58" s="202" t="str">
        <v/>
      </c>
      <c r="AI58" s="202" t="str">
        <v/>
      </c>
      <c r="AJ58" s="202" t="str">
        <v/>
      </c>
      <c r="AK58" s="202" t="str">
        <v/>
      </c>
      <c r="AL58" s="202" t="str">
        <v/>
      </c>
      <c r="AM58" s="202" t="str">
        <v/>
      </c>
      <c r="AN58" s="202" t="str">
        <v/>
      </c>
      <c r="AO58" s="202" t="str">
        <v/>
      </c>
      <c r="AP58" s="202" t="str">
        <v/>
      </c>
      <c r="AQ58" s="202" t="str">
        <v/>
      </c>
      <c r="AR58" s="202" t="str">
        <v/>
      </c>
      <c r="AS58" s="202" t="str">
        <v/>
      </c>
      <c r="AT58" s="262" t="str">
        <v/>
      </c>
      <c r="AU58" s="588"/>
    </row>
    <row r="59" ht="21" customHeight="true" x14ac:dyDescent="0.25">
      <c r="C59" s="597"/>
      <c r="D59" s="594">
        <f t="shared" si="6"/>
        <v>33</v>
      </c>
      <c r="E59" s="202" t="str">
        <v/>
      </c>
      <c r="F59" s="202" t="str">
        <v/>
      </c>
      <c r="G59" s="202" t="str">
        <v/>
      </c>
      <c r="H59" s="202" t="str">
        <v/>
      </c>
      <c r="I59" s="202" t="str">
        <v/>
      </c>
      <c r="J59" s="202" t="str">
        <v/>
      </c>
      <c r="K59" s="202" t="str">
        <v/>
      </c>
      <c r="L59" s="202" t="str">
        <v/>
      </c>
      <c r="M59" s="202" t="str">
        <v/>
      </c>
      <c r="N59" s="202" t="str">
        <v/>
      </c>
      <c r="O59" s="202" t="str">
        <v/>
      </c>
      <c r="P59" s="202" t="str">
        <v/>
      </c>
      <c r="Q59" s="202" t="str">
        <v/>
      </c>
      <c r="R59" s="202" t="str">
        <v/>
      </c>
      <c r="S59" s="202" t="str">
        <v/>
      </c>
      <c r="T59" s="202" t="str">
        <v/>
      </c>
      <c r="U59" s="202" t="str">
        <v/>
      </c>
      <c r="V59" s="202" t="str">
        <v/>
      </c>
      <c r="W59" s="202" t="str">
        <v/>
      </c>
      <c r="X59" s="202" t="str">
        <v/>
      </c>
      <c r="Y59" s="202" t="str">
        <v/>
      </c>
      <c r="Z59" s="202" t="str">
        <v/>
      </c>
      <c r="AA59" s="202" t="str">
        <v/>
      </c>
      <c r="AB59" s="202" t="str">
        <v/>
      </c>
      <c r="AC59" s="202" t="str">
        <v/>
      </c>
      <c r="AD59" s="202" t="str">
        <v/>
      </c>
      <c r="AE59" s="202" t="str">
        <v/>
      </c>
      <c r="AF59" s="202" t="str">
        <v/>
      </c>
      <c r="AG59" s="202" t="str">
        <v/>
      </c>
      <c r="AH59" s="202" t="str">
        <v/>
      </c>
      <c r="AI59" s="202" t="str">
        <v/>
      </c>
      <c r="AJ59" s="202" t="str">
        <v/>
      </c>
      <c r="AK59" s="202" t="str">
        <v/>
      </c>
      <c r="AL59" s="202" t="str">
        <v/>
      </c>
      <c r="AM59" s="202" t="str">
        <v/>
      </c>
      <c r="AN59" s="202" t="str">
        <v/>
      </c>
      <c r="AO59" s="202" t="str">
        <v/>
      </c>
      <c r="AP59" s="202" t="str">
        <v/>
      </c>
      <c r="AQ59" s="202" t="str">
        <v/>
      </c>
      <c r="AR59" s="202" t="str">
        <v/>
      </c>
      <c r="AS59" s="202" t="str">
        <v/>
      </c>
      <c r="AT59" s="262" t="str">
        <v/>
      </c>
      <c r="AU59" s="588"/>
    </row>
    <row r="60" ht="21" customHeight="true" x14ac:dyDescent="0.25">
      <c r="C60" s="597"/>
      <c r="D60" s="594">
        <f t="shared" si="6"/>
        <v>34</v>
      </c>
      <c r="E60" s="202" t="str">
        <v/>
      </c>
      <c r="F60" s="202" t="str">
        <v/>
      </c>
      <c r="G60" s="202" t="str">
        <v/>
      </c>
      <c r="H60" s="202" t="str">
        <v/>
      </c>
      <c r="I60" s="202" t="str">
        <v/>
      </c>
      <c r="J60" s="202" t="str">
        <v/>
      </c>
      <c r="K60" s="202" t="str">
        <v/>
      </c>
      <c r="L60" s="202" t="str">
        <v/>
      </c>
      <c r="M60" s="202" t="str">
        <v/>
      </c>
      <c r="N60" s="202" t="str">
        <v/>
      </c>
      <c r="O60" s="202" t="str">
        <v/>
      </c>
      <c r="P60" s="202" t="str">
        <v/>
      </c>
      <c r="Q60" s="202" t="str">
        <v/>
      </c>
      <c r="R60" s="202" t="str">
        <v/>
      </c>
      <c r="S60" s="202" t="str">
        <v/>
      </c>
      <c r="T60" s="202" t="str">
        <v/>
      </c>
      <c r="U60" s="202" t="str">
        <v/>
      </c>
      <c r="V60" s="202" t="str">
        <v/>
      </c>
      <c r="W60" s="202" t="str">
        <v/>
      </c>
      <c r="X60" s="202" t="str">
        <v/>
      </c>
      <c r="Y60" s="202" t="str">
        <v/>
      </c>
      <c r="Z60" s="202" t="str">
        <v/>
      </c>
      <c r="AA60" s="202" t="str">
        <v/>
      </c>
      <c r="AB60" s="202" t="str">
        <v/>
      </c>
      <c r="AC60" s="202" t="str">
        <v/>
      </c>
      <c r="AD60" s="202" t="str">
        <v/>
      </c>
      <c r="AE60" s="202" t="str">
        <v/>
      </c>
      <c r="AF60" s="202" t="str">
        <v/>
      </c>
      <c r="AG60" s="202" t="str">
        <v/>
      </c>
      <c r="AH60" s="202" t="str">
        <v/>
      </c>
      <c r="AI60" s="202" t="str">
        <v/>
      </c>
      <c r="AJ60" s="202" t="str">
        <v/>
      </c>
      <c r="AK60" s="202" t="str">
        <v/>
      </c>
      <c r="AL60" s="202" t="str">
        <v/>
      </c>
      <c r="AM60" s="202" t="str">
        <v/>
      </c>
      <c r="AN60" s="202" t="str">
        <v/>
      </c>
      <c r="AO60" s="202" t="str">
        <v/>
      </c>
      <c r="AP60" s="202" t="str">
        <v/>
      </c>
      <c r="AQ60" s="202" t="str">
        <v/>
      </c>
      <c r="AR60" s="202" t="str">
        <v/>
      </c>
      <c r="AS60" s="202" t="str">
        <v/>
      </c>
      <c r="AT60" s="262" t="str">
        <v/>
      </c>
      <c r="AU60" s="588"/>
    </row>
    <row r="61" ht="21" customHeight="true" x14ac:dyDescent="0.25">
      <c r="C61" s="597"/>
      <c r="D61" s="594">
        <f t="shared" si="6"/>
        <v>35</v>
      </c>
      <c r="E61" s="202" t="str">
        <v/>
      </c>
      <c r="F61" s="202" t="str">
        <v/>
      </c>
      <c r="G61" s="202" t="str">
        <v/>
      </c>
      <c r="H61" s="202" t="str">
        <v/>
      </c>
      <c r="I61" s="202" t="str">
        <v/>
      </c>
      <c r="J61" s="202" t="str">
        <v/>
      </c>
      <c r="K61" s="202" t="str">
        <v/>
      </c>
      <c r="L61" s="202" t="str">
        <v/>
      </c>
      <c r="M61" s="202" t="str">
        <v/>
      </c>
      <c r="N61" s="202" t="str">
        <v/>
      </c>
      <c r="O61" s="202" t="str">
        <v/>
      </c>
      <c r="P61" s="202" t="str">
        <v/>
      </c>
      <c r="Q61" s="202" t="str">
        <v/>
      </c>
      <c r="R61" s="202" t="str">
        <v/>
      </c>
      <c r="S61" s="202" t="str">
        <v/>
      </c>
      <c r="T61" s="202" t="str">
        <v/>
      </c>
      <c r="U61" s="202" t="str">
        <v/>
      </c>
      <c r="V61" s="202" t="str">
        <v/>
      </c>
      <c r="W61" s="202" t="str">
        <v/>
      </c>
      <c r="X61" s="202" t="str">
        <v/>
      </c>
      <c r="Y61" s="202" t="str">
        <v/>
      </c>
      <c r="Z61" s="202" t="str">
        <v/>
      </c>
      <c r="AA61" s="202" t="str">
        <v/>
      </c>
      <c r="AB61" s="202" t="str">
        <v/>
      </c>
      <c r="AC61" s="202" t="str">
        <v/>
      </c>
      <c r="AD61" s="202" t="str">
        <v/>
      </c>
      <c r="AE61" s="202" t="str">
        <v/>
      </c>
      <c r="AF61" s="202" t="str">
        <v/>
      </c>
      <c r="AG61" s="202" t="str">
        <v/>
      </c>
      <c r="AH61" s="202" t="str">
        <v/>
      </c>
      <c r="AI61" s="202" t="str">
        <v/>
      </c>
      <c r="AJ61" s="202" t="str">
        <v/>
      </c>
      <c r="AK61" s="202" t="str">
        <v/>
      </c>
      <c r="AL61" s="202" t="str">
        <v/>
      </c>
      <c r="AM61" s="202" t="str">
        <v/>
      </c>
      <c r="AN61" s="202" t="str">
        <v/>
      </c>
      <c r="AO61" s="202" t="str">
        <v/>
      </c>
      <c r="AP61" s="202" t="str">
        <v/>
      </c>
      <c r="AQ61" s="202" t="str">
        <v/>
      </c>
      <c r="AR61" s="202" t="str">
        <v/>
      </c>
      <c r="AS61" s="202" t="str">
        <v/>
      </c>
      <c r="AT61" s="262" t="str">
        <v/>
      </c>
      <c r="AU61" s="588"/>
    </row>
    <row r="62" ht="21" customHeight="true" x14ac:dyDescent="0.25">
      <c r="C62" s="597"/>
      <c r="D62" s="594">
        <f t="shared" si="6"/>
        <v>36</v>
      </c>
      <c r="E62" s="202" t="str">
        <v/>
      </c>
      <c r="F62" s="202" t="str">
        <v/>
      </c>
      <c r="G62" s="202" t="str">
        <v/>
      </c>
      <c r="H62" s="202" t="str">
        <v/>
      </c>
      <c r="I62" s="202" t="str">
        <v/>
      </c>
      <c r="J62" s="202" t="str">
        <v/>
      </c>
      <c r="K62" s="202" t="str">
        <v/>
      </c>
      <c r="L62" s="202" t="str">
        <v/>
      </c>
      <c r="M62" s="202" t="str">
        <v/>
      </c>
      <c r="N62" s="202" t="str">
        <v/>
      </c>
      <c r="O62" s="202" t="str">
        <v/>
      </c>
      <c r="P62" s="202" t="str">
        <v/>
      </c>
      <c r="Q62" s="202" t="str">
        <v/>
      </c>
      <c r="R62" s="202" t="str">
        <v/>
      </c>
      <c r="S62" s="202" t="str">
        <v/>
      </c>
      <c r="T62" s="202" t="str">
        <v/>
      </c>
      <c r="U62" s="202" t="str">
        <v/>
      </c>
      <c r="V62" s="202" t="str">
        <v/>
      </c>
      <c r="W62" s="202" t="str">
        <v/>
      </c>
      <c r="X62" s="202" t="str">
        <v/>
      </c>
      <c r="Y62" s="202" t="str">
        <v/>
      </c>
      <c r="Z62" s="202" t="str">
        <v/>
      </c>
      <c r="AA62" s="202" t="str">
        <v/>
      </c>
      <c r="AB62" s="202" t="str">
        <v/>
      </c>
      <c r="AC62" s="202" t="str">
        <v/>
      </c>
      <c r="AD62" s="202" t="str">
        <v/>
      </c>
      <c r="AE62" s="202" t="str">
        <v/>
      </c>
      <c r="AF62" s="202" t="str">
        <v/>
      </c>
      <c r="AG62" s="202" t="str">
        <v/>
      </c>
      <c r="AH62" s="202" t="str">
        <v/>
      </c>
      <c r="AI62" s="202" t="str">
        <v/>
      </c>
      <c r="AJ62" s="202" t="str">
        <v/>
      </c>
      <c r="AK62" s="202" t="str">
        <v/>
      </c>
      <c r="AL62" s="202" t="str">
        <v/>
      </c>
      <c r="AM62" s="202" t="str">
        <v/>
      </c>
      <c r="AN62" s="202" t="str">
        <v/>
      </c>
      <c r="AO62" s="202" t="str">
        <v/>
      </c>
      <c r="AP62" s="202" t="str">
        <v/>
      </c>
      <c r="AQ62" s="202" t="str">
        <v/>
      </c>
      <c r="AR62" s="202" t="str">
        <v/>
      </c>
      <c r="AS62" s="202" t="str">
        <v/>
      </c>
      <c r="AT62" s="262" t="str">
        <v/>
      </c>
      <c r="AU62" s="588"/>
    </row>
    <row r="63" ht="21" customHeight="true" x14ac:dyDescent="0.25">
      <c r="C63" s="597"/>
      <c r="D63" s="594">
        <f t="shared" si="6"/>
        <v>37</v>
      </c>
      <c r="E63" s="202" t="str">
        <v/>
      </c>
      <c r="F63" s="202" t="str">
        <v/>
      </c>
      <c r="G63" s="202" t="str">
        <v/>
      </c>
      <c r="H63" s="202" t="str">
        <v/>
      </c>
      <c r="I63" s="202" t="str">
        <v/>
      </c>
      <c r="J63" s="202" t="str">
        <v/>
      </c>
      <c r="K63" s="202" t="str">
        <v/>
      </c>
      <c r="L63" s="202" t="str">
        <v/>
      </c>
      <c r="M63" s="202" t="str">
        <v/>
      </c>
      <c r="N63" s="202" t="str">
        <v/>
      </c>
      <c r="O63" s="202" t="str">
        <v/>
      </c>
      <c r="P63" s="202" t="str">
        <v/>
      </c>
      <c r="Q63" s="202" t="str">
        <v/>
      </c>
      <c r="R63" s="202" t="str">
        <v/>
      </c>
      <c r="S63" s="202" t="str">
        <v/>
      </c>
      <c r="T63" s="202" t="str">
        <v/>
      </c>
      <c r="U63" s="202" t="str">
        <v/>
      </c>
      <c r="V63" s="202" t="str">
        <v/>
      </c>
      <c r="W63" s="202" t="str">
        <v/>
      </c>
      <c r="X63" s="202" t="str">
        <v/>
      </c>
      <c r="Y63" s="202" t="str">
        <v/>
      </c>
      <c r="Z63" s="202" t="str">
        <v/>
      </c>
      <c r="AA63" s="202" t="str">
        <v/>
      </c>
      <c r="AB63" s="202" t="str">
        <v/>
      </c>
      <c r="AC63" s="202" t="str">
        <v/>
      </c>
      <c r="AD63" s="202" t="str">
        <v/>
      </c>
      <c r="AE63" s="202" t="str">
        <v/>
      </c>
      <c r="AF63" s="202" t="str">
        <v/>
      </c>
      <c r="AG63" s="202" t="str">
        <v/>
      </c>
      <c r="AH63" s="202" t="str">
        <v/>
      </c>
      <c r="AI63" s="202" t="str">
        <v/>
      </c>
      <c r="AJ63" s="202" t="str">
        <v/>
      </c>
      <c r="AK63" s="202" t="str">
        <v/>
      </c>
      <c r="AL63" s="202" t="str">
        <v/>
      </c>
      <c r="AM63" s="202" t="str">
        <v/>
      </c>
      <c r="AN63" s="202" t="str">
        <v/>
      </c>
      <c r="AO63" s="202" t="str">
        <v/>
      </c>
      <c r="AP63" s="202" t="str">
        <v/>
      </c>
      <c r="AQ63" s="202" t="str">
        <v/>
      </c>
      <c r="AR63" s="202" t="str">
        <v/>
      </c>
      <c r="AS63" s="202" t="str">
        <v/>
      </c>
      <c r="AT63" s="262" t="str">
        <v/>
      </c>
      <c r="AU63" s="588"/>
    </row>
    <row r="64" ht="21" customHeight="true" x14ac:dyDescent="0.25">
      <c r="C64" s="597"/>
      <c r="D64" s="594">
        <f t="shared" si="6"/>
        <v>38</v>
      </c>
      <c r="E64" s="202" t="str">
        <v/>
      </c>
      <c r="F64" s="202" t="str">
        <v/>
      </c>
      <c r="G64" s="202" t="str">
        <v/>
      </c>
      <c r="H64" s="202" t="str">
        <v/>
      </c>
      <c r="I64" s="202" t="str">
        <v/>
      </c>
      <c r="J64" s="202" t="str">
        <v/>
      </c>
      <c r="K64" s="202" t="str">
        <v/>
      </c>
      <c r="L64" s="202" t="str">
        <v/>
      </c>
      <c r="M64" s="202" t="str">
        <v/>
      </c>
      <c r="N64" s="202" t="str">
        <v/>
      </c>
      <c r="O64" s="202" t="str">
        <v/>
      </c>
      <c r="P64" s="202" t="str">
        <v/>
      </c>
      <c r="Q64" s="202" t="str">
        <v/>
      </c>
      <c r="R64" s="202" t="str">
        <v/>
      </c>
      <c r="S64" s="202" t="str">
        <v/>
      </c>
      <c r="T64" s="202" t="str">
        <v/>
      </c>
      <c r="U64" s="202" t="str">
        <v/>
      </c>
      <c r="V64" s="202" t="str">
        <v/>
      </c>
      <c r="W64" s="202" t="str">
        <v/>
      </c>
      <c r="X64" s="202" t="str">
        <v/>
      </c>
      <c r="Y64" s="202" t="str">
        <v/>
      </c>
      <c r="Z64" s="202" t="str">
        <v/>
      </c>
      <c r="AA64" s="202" t="str">
        <v/>
      </c>
      <c r="AB64" s="202" t="str">
        <v/>
      </c>
      <c r="AC64" s="202" t="str">
        <v/>
      </c>
      <c r="AD64" s="202" t="str">
        <v/>
      </c>
      <c r="AE64" s="202" t="str">
        <v/>
      </c>
      <c r="AF64" s="202" t="str">
        <v/>
      </c>
      <c r="AG64" s="202" t="str">
        <v/>
      </c>
      <c r="AH64" s="202" t="str">
        <v/>
      </c>
      <c r="AI64" s="202" t="str">
        <v/>
      </c>
      <c r="AJ64" s="202" t="str">
        <v/>
      </c>
      <c r="AK64" s="202" t="str">
        <v/>
      </c>
      <c r="AL64" s="202" t="str">
        <v/>
      </c>
      <c r="AM64" s="202" t="str">
        <v/>
      </c>
      <c r="AN64" s="202" t="str">
        <v/>
      </c>
      <c r="AO64" s="202" t="str">
        <v/>
      </c>
      <c r="AP64" s="202" t="str">
        <v/>
      </c>
      <c r="AQ64" s="202" t="str">
        <v/>
      </c>
      <c r="AR64" s="202" t="str">
        <v/>
      </c>
      <c r="AS64" s="202" t="str">
        <v/>
      </c>
      <c r="AT64" s="262" t="str">
        <v/>
      </c>
      <c r="AU64" s="588"/>
    </row>
    <row r="65" ht="21" customHeight="true" x14ac:dyDescent="0.25">
      <c r="C65" s="597"/>
      <c r="D65" s="594">
        <f t="shared" si="6"/>
        <v>39</v>
      </c>
      <c r="E65" s="202" t="str">
        <v/>
      </c>
      <c r="F65" s="202" t="str">
        <v/>
      </c>
      <c r="G65" s="202" t="str">
        <v/>
      </c>
      <c r="H65" s="202" t="str">
        <v/>
      </c>
      <c r="I65" s="202" t="str">
        <v/>
      </c>
      <c r="J65" s="202" t="str">
        <v/>
      </c>
      <c r="K65" s="202" t="str">
        <v/>
      </c>
      <c r="L65" s="202" t="str">
        <v/>
      </c>
      <c r="M65" s="202" t="str">
        <v/>
      </c>
      <c r="N65" s="202" t="str">
        <v/>
      </c>
      <c r="O65" s="202" t="str">
        <v/>
      </c>
      <c r="P65" s="202" t="str">
        <v/>
      </c>
      <c r="Q65" s="202" t="str">
        <v/>
      </c>
      <c r="R65" s="202" t="str">
        <v/>
      </c>
      <c r="S65" s="202" t="str">
        <v/>
      </c>
      <c r="T65" s="202" t="str">
        <v/>
      </c>
      <c r="U65" s="202" t="str">
        <v/>
      </c>
      <c r="V65" s="202" t="str">
        <v/>
      </c>
      <c r="W65" s="202" t="str">
        <v/>
      </c>
      <c r="X65" s="202" t="str">
        <v/>
      </c>
      <c r="Y65" s="202" t="str">
        <v/>
      </c>
      <c r="Z65" s="202" t="str">
        <v/>
      </c>
      <c r="AA65" s="202" t="str">
        <v/>
      </c>
      <c r="AB65" s="202" t="str">
        <v/>
      </c>
      <c r="AC65" s="202" t="str">
        <v/>
      </c>
      <c r="AD65" s="202" t="str">
        <v/>
      </c>
      <c r="AE65" s="202" t="str">
        <v/>
      </c>
      <c r="AF65" s="202" t="str">
        <v/>
      </c>
      <c r="AG65" s="202" t="str">
        <v/>
      </c>
      <c r="AH65" s="202" t="str">
        <v/>
      </c>
      <c r="AI65" s="202" t="str">
        <v/>
      </c>
      <c r="AJ65" s="202" t="str">
        <v/>
      </c>
      <c r="AK65" s="202" t="str">
        <v/>
      </c>
      <c r="AL65" s="202" t="str">
        <v/>
      </c>
      <c r="AM65" s="202" t="str">
        <v/>
      </c>
      <c r="AN65" s="202" t="str">
        <v/>
      </c>
      <c r="AO65" s="202" t="str">
        <v/>
      </c>
      <c r="AP65" s="202" t="str">
        <v/>
      </c>
      <c r="AQ65" s="202" t="str">
        <v/>
      </c>
      <c r="AR65" s="202" t="str">
        <v/>
      </c>
      <c r="AS65" s="202" t="str">
        <v/>
      </c>
      <c r="AT65" s="262" t="str">
        <v/>
      </c>
      <c r="AU65" s="588"/>
    </row>
    <row r="66" ht="21" customHeight="true" x14ac:dyDescent="0.25">
      <c r="C66" s="597"/>
      <c r="D66" s="594">
        <f t="shared" si="6"/>
        <v>40</v>
      </c>
      <c r="E66" s="202" t="str">
        <v/>
      </c>
      <c r="F66" s="202" t="str">
        <v/>
      </c>
      <c r="G66" s="202" t="str">
        <v/>
      </c>
      <c r="H66" s="202" t="str">
        <v/>
      </c>
      <c r="I66" s="202" t="str">
        <v/>
      </c>
      <c r="J66" s="202" t="str">
        <v/>
      </c>
      <c r="K66" s="202" t="str">
        <v/>
      </c>
      <c r="L66" s="202" t="str">
        <v/>
      </c>
      <c r="M66" s="202" t="str">
        <v/>
      </c>
      <c r="N66" s="202" t="str">
        <v/>
      </c>
      <c r="O66" s="202" t="str">
        <v/>
      </c>
      <c r="P66" s="202" t="str">
        <v/>
      </c>
      <c r="Q66" s="202" t="str">
        <v/>
      </c>
      <c r="R66" s="202" t="str">
        <v/>
      </c>
      <c r="S66" s="202" t="str">
        <v/>
      </c>
      <c r="T66" s="202" t="str">
        <v/>
      </c>
      <c r="U66" s="202" t="str">
        <v/>
      </c>
      <c r="V66" s="202" t="str">
        <v/>
      </c>
      <c r="W66" s="202" t="str">
        <v/>
      </c>
      <c r="X66" s="202" t="str">
        <v/>
      </c>
      <c r="Y66" s="202" t="str">
        <v/>
      </c>
      <c r="Z66" s="202" t="str">
        <v/>
      </c>
      <c r="AA66" s="202" t="str">
        <v/>
      </c>
      <c r="AB66" s="202" t="str">
        <v/>
      </c>
      <c r="AC66" s="202" t="str">
        <v/>
      </c>
      <c r="AD66" s="202" t="str">
        <v/>
      </c>
      <c r="AE66" s="202" t="str">
        <v/>
      </c>
      <c r="AF66" s="202" t="str">
        <v/>
      </c>
      <c r="AG66" s="202" t="str">
        <v/>
      </c>
      <c r="AH66" s="202" t="str">
        <v/>
      </c>
      <c r="AI66" s="202" t="str">
        <v/>
      </c>
      <c r="AJ66" s="202" t="str">
        <v/>
      </c>
      <c r="AK66" s="202" t="str">
        <v/>
      </c>
      <c r="AL66" s="202" t="str">
        <v/>
      </c>
      <c r="AM66" s="202" t="str">
        <v/>
      </c>
      <c r="AN66" s="202" t="str">
        <v/>
      </c>
      <c r="AO66" s="202" t="str">
        <v/>
      </c>
      <c r="AP66" s="202" t="str">
        <v/>
      </c>
      <c r="AQ66" s="202" t="str">
        <v/>
      </c>
      <c r="AR66" s="202" t="str">
        <v/>
      </c>
      <c r="AS66" s="202" t="str">
        <v/>
      </c>
      <c r="AT66" s="262" t="str">
        <v/>
      </c>
      <c r="AU66" s="588"/>
    </row>
    <row r="67" ht="21" customHeight="true" x14ac:dyDescent="0.25">
      <c r="C67" s="597"/>
      <c r="D67" s="594">
        <f t="shared" si="6"/>
        <v>41</v>
      </c>
      <c r="E67" s="202" t="str">
        <v/>
      </c>
      <c r="F67" s="202" t="str">
        <v/>
      </c>
      <c r="G67" s="202" t="str">
        <v/>
      </c>
      <c r="H67" s="202" t="str">
        <v/>
      </c>
      <c r="I67" s="202" t="str">
        <v/>
      </c>
      <c r="J67" s="202" t="str">
        <v/>
      </c>
      <c r="K67" s="202" t="str">
        <v/>
      </c>
      <c r="L67" s="202" t="str">
        <v/>
      </c>
      <c r="M67" s="202" t="str">
        <v/>
      </c>
      <c r="N67" s="202" t="str">
        <v/>
      </c>
      <c r="O67" s="202" t="str">
        <v/>
      </c>
      <c r="P67" s="202" t="str">
        <v/>
      </c>
      <c r="Q67" s="202" t="str">
        <v/>
      </c>
      <c r="R67" s="202" t="str">
        <v/>
      </c>
      <c r="S67" s="202" t="str">
        <v/>
      </c>
      <c r="T67" s="202" t="str">
        <v/>
      </c>
      <c r="U67" s="202" t="str">
        <v/>
      </c>
      <c r="V67" s="202" t="str">
        <v/>
      </c>
      <c r="W67" s="202" t="str">
        <v/>
      </c>
      <c r="X67" s="202" t="str">
        <v/>
      </c>
      <c r="Y67" s="202" t="str">
        <v/>
      </c>
      <c r="Z67" s="202" t="str">
        <v/>
      </c>
      <c r="AA67" s="202" t="str">
        <v/>
      </c>
      <c r="AB67" s="202" t="str">
        <v/>
      </c>
      <c r="AC67" s="202" t="str">
        <v/>
      </c>
      <c r="AD67" s="202" t="str">
        <v/>
      </c>
      <c r="AE67" s="202" t="str">
        <v/>
      </c>
      <c r="AF67" s="202" t="str">
        <v/>
      </c>
      <c r="AG67" s="202" t="str">
        <v/>
      </c>
      <c r="AH67" s="202" t="str">
        <v/>
      </c>
      <c r="AI67" s="202" t="str">
        <v/>
      </c>
      <c r="AJ67" s="202" t="str">
        <v/>
      </c>
      <c r="AK67" s="202" t="str">
        <v/>
      </c>
      <c r="AL67" s="202" t="str">
        <v/>
      </c>
      <c r="AM67" s="202" t="str">
        <v/>
      </c>
      <c r="AN67" s="202" t="str">
        <v/>
      </c>
      <c r="AO67" s="202" t="str">
        <v/>
      </c>
      <c r="AP67" s="202" t="str">
        <v/>
      </c>
      <c r="AQ67" s="202" t="str">
        <v/>
      </c>
      <c r="AR67" s="202" t="str">
        <v/>
      </c>
      <c r="AS67" s="202" t="str">
        <v/>
      </c>
      <c r="AT67" s="262" t="str">
        <v/>
      </c>
      <c r="AU67" s="588"/>
    </row>
    <row r="68" ht="21" customHeight="true" x14ac:dyDescent="0.25">
      <c r="C68" s="597"/>
      <c r="D68" s="594">
        <f t="shared" si="6"/>
        <v>42</v>
      </c>
      <c r="E68" s="202" t="str">
        <v/>
      </c>
      <c r="F68" s="202" t="str">
        <v/>
      </c>
      <c r="G68" s="202" t="str">
        <v/>
      </c>
      <c r="H68" s="202" t="str">
        <v/>
      </c>
      <c r="I68" s="202" t="str">
        <v/>
      </c>
      <c r="J68" s="202" t="str">
        <v/>
      </c>
      <c r="K68" s="202" t="str">
        <v/>
      </c>
      <c r="L68" s="202" t="str">
        <v/>
      </c>
      <c r="M68" s="202" t="str">
        <v/>
      </c>
      <c r="N68" s="202" t="str">
        <v/>
      </c>
      <c r="O68" s="202" t="str">
        <v/>
      </c>
      <c r="P68" s="202" t="str">
        <v/>
      </c>
      <c r="Q68" s="202" t="str">
        <v/>
      </c>
      <c r="R68" s="202" t="str">
        <v/>
      </c>
      <c r="S68" s="202" t="str">
        <v/>
      </c>
      <c r="T68" s="202" t="str">
        <v/>
      </c>
      <c r="U68" s="202" t="str">
        <v/>
      </c>
      <c r="V68" s="202" t="str">
        <v/>
      </c>
      <c r="W68" s="202" t="str">
        <v/>
      </c>
      <c r="X68" s="202" t="str">
        <v/>
      </c>
      <c r="Y68" s="202" t="str">
        <v/>
      </c>
      <c r="Z68" s="202" t="str">
        <v/>
      </c>
      <c r="AA68" s="202" t="str">
        <v/>
      </c>
      <c r="AB68" s="202" t="str">
        <v/>
      </c>
      <c r="AC68" s="202" t="str">
        <v/>
      </c>
      <c r="AD68" s="202" t="str">
        <v/>
      </c>
      <c r="AE68" s="202" t="str">
        <v/>
      </c>
      <c r="AF68" s="202" t="str">
        <v/>
      </c>
      <c r="AG68" s="202" t="str">
        <v/>
      </c>
      <c r="AH68" s="202" t="str">
        <v/>
      </c>
      <c r="AI68" s="202" t="str">
        <v/>
      </c>
      <c r="AJ68" s="202" t="str">
        <v/>
      </c>
      <c r="AK68" s="202" t="str">
        <v/>
      </c>
      <c r="AL68" s="202" t="str">
        <v/>
      </c>
      <c r="AM68" s="202" t="str">
        <v/>
      </c>
      <c r="AN68" s="202" t="str">
        <v/>
      </c>
      <c r="AO68" s="202" t="str">
        <v/>
      </c>
      <c r="AP68" s="202" t="str">
        <v/>
      </c>
      <c r="AQ68" s="202" t="str">
        <v/>
      </c>
      <c r="AR68" s="202" t="str">
        <v/>
      </c>
      <c r="AS68" s="202" t="str">
        <v/>
      </c>
      <c r="AT68" s="262" t="str">
        <v/>
      </c>
      <c r="AU68" s="588"/>
    </row>
    <row r="69" ht="21" customHeight="true" x14ac:dyDescent="0.25">
      <c r="C69" s="597"/>
      <c r="D69" s="594">
        <f t="shared" si="6"/>
        <v>43</v>
      </c>
      <c r="E69" s="202" t="str">
        <v/>
      </c>
      <c r="F69" s="202" t="str">
        <v/>
      </c>
      <c r="G69" s="202" t="str">
        <v/>
      </c>
      <c r="H69" s="202" t="str">
        <v/>
      </c>
      <c r="I69" s="202" t="str">
        <v/>
      </c>
      <c r="J69" s="202" t="str">
        <v/>
      </c>
      <c r="K69" s="202" t="str">
        <v/>
      </c>
      <c r="L69" s="202" t="str">
        <v/>
      </c>
      <c r="M69" s="202" t="str">
        <v/>
      </c>
      <c r="N69" s="202" t="str">
        <v/>
      </c>
      <c r="O69" s="202" t="str">
        <v/>
      </c>
      <c r="P69" s="202" t="str">
        <v/>
      </c>
      <c r="Q69" s="202" t="str">
        <v/>
      </c>
      <c r="R69" s="202" t="str">
        <v/>
      </c>
      <c r="S69" s="202" t="str">
        <v/>
      </c>
      <c r="T69" s="202" t="str">
        <v/>
      </c>
      <c r="U69" s="202" t="str">
        <v/>
      </c>
      <c r="V69" s="202" t="str">
        <v/>
      </c>
      <c r="W69" s="202" t="str">
        <v/>
      </c>
      <c r="X69" s="202" t="str">
        <v/>
      </c>
      <c r="Y69" s="202" t="str">
        <v/>
      </c>
      <c r="Z69" s="202" t="str">
        <v/>
      </c>
      <c r="AA69" s="202" t="str">
        <v/>
      </c>
      <c r="AB69" s="202" t="str">
        <v/>
      </c>
      <c r="AC69" s="202" t="str">
        <v/>
      </c>
      <c r="AD69" s="202" t="str">
        <v/>
      </c>
      <c r="AE69" s="202" t="str">
        <v/>
      </c>
      <c r="AF69" s="202" t="str">
        <v/>
      </c>
      <c r="AG69" s="202" t="str">
        <v/>
      </c>
      <c r="AH69" s="202" t="str">
        <v/>
      </c>
      <c r="AI69" s="202" t="str">
        <v/>
      </c>
      <c r="AJ69" s="202" t="str">
        <v/>
      </c>
      <c r="AK69" s="202" t="str">
        <v/>
      </c>
      <c r="AL69" s="202" t="str">
        <v/>
      </c>
      <c r="AM69" s="202" t="str">
        <v/>
      </c>
      <c r="AN69" s="202" t="str">
        <v/>
      </c>
      <c r="AO69" s="202" t="str">
        <v/>
      </c>
      <c r="AP69" s="202" t="str">
        <v/>
      </c>
      <c r="AQ69" s="202" t="str">
        <v/>
      </c>
      <c r="AR69" s="202" t="str">
        <v/>
      </c>
      <c r="AS69" s="202" t="str">
        <v/>
      </c>
      <c r="AT69" s="262" t="str">
        <v/>
      </c>
      <c r="AU69" s="588"/>
    </row>
    <row r="70" ht="21" customHeight="true" x14ac:dyDescent="0.25">
      <c r="C70" s="597"/>
      <c r="D70" s="594">
        <f t="shared" si="6"/>
        <v>44</v>
      </c>
      <c r="E70" s="202" t="str">
        <v/>
      </c>
      <c r="F70" s="202" t="str">
        <v/>
      </c>
      <c r="G70" s="202" t="str">
        <v/>
      </c>
      <c r="H70" s="202" t="str">
        <v/>
      </c>
      <c r="I70" s="202" t="str">
        <v/>
      </c>
      <c r="J70" s="202" t="str">
        <v/>
      </c>
      <c r="K70" s="202" t="str">
        <v/>
      </c>
      <c r="L70" s="202" t="str">
        <v/>
      </c>
      <c r="M70" s="202" t="str">
        <v/>
      </c>
      <c r="N70" s="202" t="str">
        <v/>
      </c>
      <c r="O70" s="202" t="str">
        <v/>
      </c>
      <c r="P70" s="202" t="str">
        <v/>
      </c>
      <c r="Q70" s="202" t="str">
        <v/>
      </c>
      <c r="R70" s="202" t="str">
        <v/>
      </c>
      <c r="S70" s="202" t="str">
        <v/>
      </c>
      <c r="T70" s="202" t="str">
        <v/>
      </c>
      <c r="U70" s="202" t="str">
        <v/>
      </c>
      <c r="V70" s="202" t="str">
        <v/>
      </c>
      <c r="W70" s="202" t="str">
        <v/>
      </c>
      <c r="X70" s="202" t="str">
        <v/>
      </c>
      <c r="Y70" s="202" t="str">
        <v/>
      </c>
      <c r="Z70" s="202" t="str">
        <v/>
      </c>
      <c r="AA70" s="202" t="str">
        <v/>
      </c>
      <c r="AB70" s="202" t="str">
        <v/>
      </c>
      <c r="AC70" s="202" t="str">
        <v/>
      </c>
      <c r="AD70" s="202" t="str">
        <v/>
      </c>
      <c r="AE70" s="202" t="str">
        <v/>
      </c>
      <c r="AF70" s="202" t="str">
        <v/>
      </c>
      <c r="AG70" s="202" t="str">
        <v/>
      </c>
      <c r="AH70" s="202" t="str">
        <v/>
      </c>
      <c r="AI70" s="202" t="str">
        <v/>
      </c>
      <c r="AJ70" s="202" t="str">
        <v/>
      </c>
      <c r="AK70" s="202" t="str">
        <v/>
      </c>
      <c r="AL70" s="202" t="str">
        <v/>
      </c>
      <c r="AM70" s="202" t="str">
        <v/>
      </c>
      <c r="AN70" s="202" t="str">
        <v/>
      </c>
      <c r="AO70" s="202" t="str">
        <v/>
      </c>
      <c r="AP70" s="202" t="str">
        <v/>
      </c>
      <c r="AQ70" s="202" t="str">
        <v/>
      </c>
      <c r="AR70" s="202" t="str">
        <v/>
      </c>
      <c r="AS70" s="202" t="str">
        <v/>
      </c>
      <c r="AT70" s="262" t="str">
        <v/>
      </c>
      <c r="AU70" s="588"/>
    </row>
    <row r="71" ht="21" customHeight="true" x14ac:dyDescent="0.25">
      <c r="C71" s="597"/>
      <c r="D71" s="594">
        <f t="shared" si="6"/>
        <v>45</v>
      </c>
      <c r="E71" s="202" t="str">
        <v/>
      </c>
      <c r="F71" s="202" t="str">
        <v/>
      </c>
      <c r="G71" s="202" t="str">
        <v/>
      </c>
      <c r="H71" s="202" t="str">
        <v/>
      </c>
      <c r="I71" s="202" t="str">
        <v/>
      </c>
      <c r="J71" s="202" t="str">
        <v/>
      </c>
      <c r="K71" s="202" t="str">
        <v/>
      </c>
      <c r="L71" s="202" t="str">
        <v/>
      </c>
      <c r="M71" s="202" t="str">
        <v/>
      </c>
      <c r="N71" s="202" t="str">
        <v/>
      </c>
      <c r="O71" s="202" t="str">
        <v/>
      </c>
      <c r="P71" s="202" t="str">
        <v/>
      </c>
      <c r="Q71" s="202" t="str">
        <v/>
      </c>
      <c r="R71" s="202" t="str">
        <v/>
      </c>
      <c r="S71" s="202" t="str">
        <v/>
      </c>
      <c r="T71" s="202" t="str">
        <v/>
      </c>
      <c r="U71" s="202" t="str">
        <v/>
      </c>
      <c r="V71" s="202" t="str">
        <v/>
      </c>
      <c r="W71" s="202" t="str">
        <v/>
      </c>
      <c r="X71" s="202" t="str">
        <v/>
      </c>
      <c r="Y71" s="202" t="str">
        <v/>
      </c>
      <c r="Z71" s="202" t="str">
        <v/>
      </c>
      <c r="AA71" s="202" t="str">
        <v/>
      </c>
      <c r="AB71" s="202" t="str">
        <v/>
      </c>
      <c r="AC71" s="202" t="str">
        <v/>
      </c>
      <c r="AD71" s="202" t="str">
        <v/>
      </c>
      <c r="AE71" s="202" t="str">
        <v/>
      </c>
      <c r="AF71" s="202" t="str">
        <v/>
      </c>
      <c r="AG71" s="202" t="str">
        <v/>
      </c>
      <c r="AH71" s="202" t="str">
        <v/>
      </c>
      <c r="AI71" s="202" t="str">
        <v/>
      </c>
      <c r="AJ71" s="202" t="str">
        <v/>
      </c>
      <c r="AK71" s="202" t="str">
        <v/>
      </c>
      <c r="AL71" s="202" t="str">
        <v/>
      </c>
      <c r="AM71" s="202" t="str">
        <v/>
      </c>
      <c r="AN71" s="202" t="str">
        <v/>
      </c>
      <c r="AO71" s="202" t="str">
        <v/>
      </c>
      <c r="AP71" s="202" t="str">
        <v/>
      </c>
      <c r="AQ71" s="202" t="str">
        <v/>
      </c>
      <c r="AR71" s="202" t="str">
        <v/>
      </c>
      <c r="AS71" s="202" t="str">
        <v/>
      </c>
      <c r="AT71" s="262" t="str">
        <v/>
      </c>
      <c r="AU71" s="588"/>
    </row>
    <row r="72" ht="21" customHeight="true" x14ac:dyDescent="0.25">
      <c r="C72" s="597"/>
      <c r="D72" s="594">
        <f t="shared" si="6"/>
        <v>46</v>
      </c>
      <c r="E72" s="202" t="str">
        <v/>
      </c>
      <c r="F72" s="202" t="str">
        <v/>
      </c>
      <c r="G72" s="202" t="str">
        <v/>
      </c>
      <c r="H72" s="202" t="str">
        <v/>
      </c>
      <c r="I72" s="202" t="str">
        <v/>
      </c>
      <c r="J72" s="202" t="str">
        <v/>
      </c>
      <c r="K72" s="202" t="str">
        <v/>
      </c>
      <c r="L72" s="202" t="str">
        <v/>
      </c>
      <c r="M72" s="202" t="str">
        <v/>
      </c>
      <c r="N72" s="202" t="str">
        <v/>
      </c>
      <c r="O72" s="202" t="str">
        <v/>
      </c>
      <c r="P72" s="202" t="str">
        <v/>
      </c>
      <c r="Q72" s="202" t="str">
        <v/>
      </c>
      <c r="R72" s="202" t="str">
        <v/>
      </c>
      <c r="S72" s="202" t="str">
        <v/>
      </c>
      <c r="T72" s="202" t="str">
        <v/>
      </c>
      <c r="U72" s="202" t="str">
        <v/>
      </c>
      <c r="V72" s="202" t="str">
        <v/>
      </c>
      <c r="W72" s="202" t="str">
        <v/>
      </c>
      <c r="X72" s="202" t="str">
        <v/>
      </c>
      <c r="Y72" s="202" t="str">
        <v/>
      </c>
      <c r="Z72" s="202" t="str">
        <v/>
      </c>
      <c r="AA72" s="202" t="str">
        <v/>
      </c>
      <c r="AB72" s="202" t="str">
        <v/>
      </c>
      <c r="AC72" s="202" t="str">
        <v/>
      </c>
      <c r="AD72" s="202" t="str">
        <v/>
      </c>
      <c r="AE72" s="202" t="str">
        <v/>
      </c>
      <c r="AF72" s="202" t="str">
        <v/>
      </c>
      <c r="AG72" s="202" t="str">
        <v/>
      </c>
      <c r="AH72" s="202" t="str">
        <v/>
      </c>
      <c r="AI72" s="202" t="str">
        <v/>
      </c>
      <c r="AJ72" s="202" t="str">
        <v/>
      </c>
      <c r="AK72" s="202" t="str">
        <v/>
      </c>
      <c r="AL72" s="202" t="str">
        <v/>
      </c>
      <c r="AM72" s="202" t="str">
        <v/>
      </c>
      <c r="AN72" s="202" t="str">
        <v/>
      </c>
      <c r="AO72" s="202" t="str">
        <v/>
      </c>
      <c r="AP72" s="202" t="str">
        <v/>
      </c>
      <c r="AQ72" s="202" t="str">
        <v/>
      </c>
      <c r="AR72" s="202" t="str">
        <v/>
      </c>
      <c r="AS72" s="202" t="str">
        <v/>
      </c>
      <c r="AT72" s="262" t="str">
        <v/>
      </c>
      <c r="AU72" s="588"/>
    </row>
    <row r="73" ht="21" customHeight="true" x14ac:dyDescent="0.25">
      <c r="C73" s="597"/>
      <c r="D73" s="594">
        <f t="shared" si="6"/>
        <v>47</v>
      </c>
      <c r="E73" s="202" t="str">
        <v/>
      </c>
      <c r="F73" s="202" t="str">
        <v/>
      </c>
      <c r="G73" s="202" t="str">
        <v/>
      </c>
      <c r="H73" s="202" t="str">
        <v/>
      </c>
      <c r="I73" s="202" t="str">
        <v/>
      </c>
      <c r="J73" s="202" t="str">
        <v/>
      </c>
      <c r="K73" s="202" t="str">
        <v/>
      </c>
      <c r="L73" s="202" t="str">
        <v/>
      </c>
      <c r="M73" s="202" t="str">
        <v/>
      </c>
      <c r="N73" s="202" t="str">
        <v/>
      </c>
      <c r="O73" s="202" t="str">
        <v/>
      </c>
      <c r="P73" s="202" t="str">
        <v/>
      </c>
      <c r="Q73" s="202" t="str">
        <v/>
      </c>
      <c r="R73" s="202" t="str">
        <v/>
      </c>
      <c r="S73" s="202" t="str">
        <v/>
      </c>
      <c r="T73" s="202" t="str">
        <v/>
      </c>
      <c r="U73" s="202" t="str">
        <v/>
      </c>
      <c r="V73" s="202" t="str">
        <v/>
      </c>
      <c r="W73" s="202" t="str">
        <v/>
      </c>
      <c r="X73" s="202" t="str">
        <v/>
      </c>
      <c r="Y73" s="202" t="str">
        <v/>
      </c>
      <c r="Z73" s="202" t="str">
        <v/>
      </c>
      <c r="AA73" s="202" t="str">
        <v/>
      </c>
      <c r="AB73" s="202" t="str">
        <v/>
      </c>
      <c r="AC73" s="202" t="str">
        <v/>
      </c>
      <c r="AD73" s="202" t="str">
        <v/>
      </c>
      <c r="AE73" s="202" t="str">
        <v/>
      </c>
      <c r="AF73" s="202" t="str">
        <v/>
      </c>
      <c r="AG73" s="202" t="str">
        <v/>
      </c>
      <c r="AH73" s="202" t="str">
        <v/>
      </c>
      <c r="AI73" s="202" t="str">
        <v/>
      </c>
      <c r="AJ73" s="202" t="str">
        <v/>
      </c>
      <c r="AK73" s="202" t="str">
        <v/>
      </c>
      <c r="AL73" s="202" t="str">
        <v/>
      </c>
      <c r="AM73" s="202" t="str">
        <v/>
      </c>
      <c r="AN73" s="202" t="str">
        <v/>
      </c>
      <c r="AO73" s="202" t="str">
        <v/>
      </c>
      <c r="AP73" s="202" t="str">
        <v/>
      </c>
      <c r="AQ73" s="202" t="str">
        <v/>
      </c>
      <c r="AR73" s="202" t="str">
        <v/>
      </c>
      <c r="AS73" s="202" t="str">
        <v/>
      </c>
      <c r="AT73" s="262" t="str">
        <v/>
      </c>
      <c r="AU73" s="588"/>
    </row>
    <row r="74" ht="21" customHeight="true" x14ac:dyDescent="0.25">
      <c r="C74" s="597"/>
      <c r="D74" s="594">
        <f t="shared" si="6"/>
        <v>48</v>
      </c>
      <c r="E74" s="202" t="str">
        <v/>
      </c>
      <c r="F74" s="202" t="str">
        <v/>
      </c>
      <c r="G74" s="202" t="str">
        <v/>
      </c>
      <c r="H74" s="202" t="str">
        <v/>
      </c>
      <c r="I74" s="202" t="str">
        <v/>
      </c>
      <c r="J74" s="202" t="str">
        <v/>
      </c>
      <c r="K74" s="202" t="str">
        <v/>
      </c>
      <c r="L74" s="202" t="str">
        <v/>
      </c>
      <c r="M74" s="202" t="str">
        <v/>
      </c>
      <c r="N74" s="202" t="str">
        <v/>
      </c>
      <c r="O74" s="202" t="str">
        <v/>
      </c>
      <c r="P74" s="202" t="str">
        <v/>
      </c>
      <c r="Q74" s="202" t="str">
        <v/>
      </c>
      <c r="R74" s="202" t="str">
        <v/>
      </c>
      <c r="S74" s="202" t="str">
        <v/>
      </c>
      <c r="T74" s="202" t="str">
        <v/>
      </c>
      <c r="U74" s="202" t="str">
        <v/>
      </c>
      <c r="V74" s="202" t="str">
        <v/>
      </c>
      <c r="W74" s="202" t="str">
        <v/>
      </c>
      <c r="X74" s="202" t="str">
        <v/>
      </c>
      <c r="Y74" s="202" t="str">
        <v/>
      </c>
      <c r="Z74" s="202" t="str">
        <v/>
      </c>
      <c r="AA74" s="202" t="str">
        <v/>
      </c>
      <c r="AB74" s="202" t="str">
        <v/>
      </c>
      <c r="AC74" s="202" t="str">
        <v/>
      </c>
      <c r="AD74" s="202" t="str">
        <v/>
      </c>
      <c r="AE74" s="202" t="str">
        <v/>
      </c>
      <c r="AF74" s="202" t="str">
        <v/>
      </c>
      <c r="AG74" s="202" t="str">
        <v/>
      </c>
      <c r="AH74" s="202" t="str">
        <v/>
      </c>
      <c r="AI74" s="202" t="str">
        <v/>
      </c>
      <c r="AJ74" s="202" t="str">
        <v/>
      </c>
      <c r="AK74" s="202" t="str">
        <v/>
      </c>
      <c r="AL74" s="202" t="str">
        <v/>
      </c>
      <c r="AM74" s="202" t="str">
        <v/>
      </c>
      <c r="AN74" s="202" t="str">
        <v/>
      </c>
      <c r="AO74" s="202" t="str">
        <v/>
      </c>
      <c r="AP74" s="202" t="str">
        <v/>
      </c>
      <c r="AQ74" s="202" t="str">
        <v/>
      </c>
      <c r="AR74" s="202" t="str">
        <v/>
      </c>
      <c r="AS74" s="202" t="str">
        <v/>
      </c>
      <c r="AT74" s="262" t="str">
        <v/>
      </c>
      <c r="AU74" s="588"/>
    </row>
    <row r="75" ht="21" customHeight="true" x14ac:dyDescent="0.25">
      <c r="C75" s="597"/>
      <c r="D75" s="594">
        <f t="shared" si="6"/>
        <v>49</v>
      </c>
      <c r="E75" s="202" t="str">
        <v/>
      </c>
      <c r="F75" s="202" t="str">
        <v/>
      </c>
      <c r="G75" s="202" t="str">
        <v/>
      </c>
      <c r="H75" s="202" t="str">
        <v/>
      </c>
      <c r="I75" s="202" t="str">
        <v/>
      </c>
      <c r="J75" s="202" t="str">
        <v/>
      </c>
      <c r="K75" s="202" t="str">
        <v/>
      </c>
      <c r="L75" s="202" t="str">
        <v/>
      </c>
      <c r="M75" s="202" t="str">
        <v/>
      </c>
      <c r="N75" s="202" t="str">
        <v/>
      </c>
      <c r="O75" s="202" t="str">
        <v/>
      </c>
      <c r="P75" s="202" t="str">
        <v/>
      </c>
      <c r="Q75" s="202" t="str">
        <v/>
      </c>
      <c r="R75" s="202" t="str">
        <v/>
      </c>
      <c r="S75" s="202" t="str">
        <v/>
      </c>
      <c r="T75" s="202" t="str">
        <v/>
      </c>
      <c r="U75" s="202" t="str">
        <v/>
      </c>
      <c r="V75" s="202" t="str">
        <v/>
      </c>
      <c r="W75" s="202" t="str">
        <v/>
      </c>
      <c r="X75" s="202" t="str">
        <v/>
      </c>
      <c r="Y75" s="202" t="str">
        <v/>
      </c>
      <c r="Z75" s="202" t="str">
        <v/>
      </c>
      <c r="AA75" s="202" t="str">
        <v/>
      </c>
      <c r="AB75" s="202" t="str">
        <v/>
      </c>
      <c r="AC75" s="202" t="str">
        <v/>
      </c>
      <c r="AD75" s="202" t="str">
        <v/>
      </c>
      <c r="AE75" s="202" t="str">
        <v/>
      </c>
      <c r="AF75" s="202" t="str">
        <v/>
      </c>
      <c r="AG75" s="202" t="str">
        <v/>
      </c>
      <c r="AH75" s="202" t="str">
        <v/>
      </c>
      <c r="AI75" s="202" t="str">
        <v/>
      </c>
      <c r="AJ75" s="202" t="str">
        <v/>
      </c>
      <c r="AK75" s="202" t="str">
        <v/>
      </c>
      <c r="AL75" s="202" t="str">
        <v/>
      </c>
      <c r="AM75" s="202" t="str">
        <v/>
      </c>
      <c r="AN75" s="202" t="str">
        <v/>
      </c>
      <c r="AO75" s="202" t="str">
        <v/>
      </c>
      <c r="AP75" s="202" t="str">
        <v/>
      </c>
      <c r="AQ75" s="202" t="str">
        <v/>
      </c>
      <c r="AR75" s="202" t="str">
        <v/>
      </c>
      <c r="AS75" s="202" t="str">
        <v/>
      </c>
      <c r="AT75" s="262" t="str">
        <v/>
      </c>
      <c r="AU75" s="588"/>
    </row>
    <row r="76" ht="21" customHeight="true" thickBot="true" x14ac:dyDescent="0.3">
      <c r="C76" s="597"/>
      <c r="D76" s="1568">
        <f t="shared" si="6"/>
        <v>50</v>
      </c>
      <c r="E76" s="263" t="str">
        <v/>
      </c>
      <c r="F76" s="263" t="str">
        <v/>
      </c>
      <c r="G76" s="263" t="str">
        <v/>
      </c>
      <c r="H76" s="263" t="str">
        <v/>
      </c>
      <c r="I76" s="263" t="str">
        <v/>
      </c>
      <c r="J76" s="263" t="str">
        <v/>
      </c>
      <c r="K76" s="263" t="str">
        <v/>
      </c>
      <c r="L76" s="263" t="str">
        <v/>
      </c>
      <c r="M76" s="263" t="str">
        <v/>
      </c>
      <c r="N76" s="263" t="str">
        <v/>
      </c>
      <c r="O76" s="263" t="str">
        <v/>
      </c>
      <c r="P76" s="263" t="str">
        <v/>
      </c>
      <c r="Q76" s="263" t="str">
        <v/>
      </c>
      <c r="R76" s="263" t="str">
        <v/>
      </c>
      <c r="S76" s="263" t="str">
        <v/>
      </c>
      <c r="T76" s="263" t="str">
        <v/>
      </c>
      <c r="U76" s="263" t="str">
        <v/>
      </c>
      <c r="V76" s="263" t="str">
        <v/>
      </c>
      <c r="W76" s="263" t="str">
        <v/>
      </c>
      <c r="X76" s="263" t="str">
        <v/>
      </c>
      <c r="Y76" s="263" t="str">
        <v/>
      </c>
      <c r="Z76" s="263" t="str">
        <v/>
      </c>
      <c r="AA76" s="263" t="str">
        <v/>
      </c>
      <c r="AB76" s="263" t="str">
        <v/>
      </c>
      <c r="AC76" s="263" t="str">
        <v/>
      </c>
      <c r="AD76" s="263" t="str">
        <v/>
      </c>
      <c r="AE76" s="263" t="str">
        <v/>
      </c>
      <c r="AF76" s="263" t="str">
        <v/>
      </c>
      <c r="AG76" s="263" t="str">
        <v/>
      </c>
      <c r="AH76" s="263" t="str">
        <v/>
      </c>
      <c r="AI76" s="263" t="str">
        <v/>
      </c>
      <c r="AJ76" s="263" t="str">
        <v/>
      </c>
      <c r="AK76" s="263" t="str">
        <v/>
      </c>
      <c r="AL76" s="263" t="str">
        <v/>
      </c>
      <c r="AM76" s="263" t="str">
        <v/>
      </c>
      <c r="AN76" s="263" t="str">
        <v/>
      </c>
      <c r="AO76" s="263" t="str">
        <v/>
      </c>
      <c r="AP76" s="263" t="str">
        <v/>
      </c>
      <c r="AQ76" s="263" t="str">
        <v/>
      </c>
      <c r="AR76" s="263" t="str">
        <v/>
      </c>
      <c r="AS76" s="263" t="str">
        <v/>
      </c>
      <c r="AT76" s="1227" t="str">
        <v/>
      </c>
      <c r="AU76" s="588"/>
    </row>
    <row r="77" ht="21" customHeight="true" x14ac:dyDescent="0.25">
      <c r="C77" s="597"/>
      <c r="D77" s="570"/>
      <c r="E77" s="2180" t="s">
        <v>1867</v>
      </c>
      <c r="F77" s="2181"/>
      <c r="G77" s="1569">
        <f>IF(G25="","",SUMPRODUCT('I. Stream &amp; Compound Data'!J32:J81,Exergy!$F$27:$F$76)+Exergy!$G$6*Exergy!$G$5*SUMPRODUCT('I. Stream &amp; Compound Data'!J32:J81,G27:G76))</f>
        <v>1E-3</v>
      </c>
      <c r="H77" s="1569" t="str">
        <f>IF(H25="","",SUMPRODUCT('I. Stream &amp; Compound Data'!M32:M81,Exergy!$F$27:$F$76)+Exergy!$G$6*Exergy!$G$5*SUMPRODUCT('I. Stream &amp; Compound Data'!M32:M81,H27:H76))</f>
        <v/>
      </c>
      <c r="I77" s="1569" t="str">
        <f>IF(I25="","",SUMPRODUCT('I. Stream &amp; Compound Data'!P32:P81,Exergy!$F$27:$F$76)+Exergy!$G$6*Exergy!$G$5*SUMPRODUCT('I. Stream &amp; Compound Data'!P32:P81,I27:I76))</f>
        <v/>
      </c>
      <c r="J77" s="1569" t="str">
        <f>IF(J25="","",SUMPRODUCT('I. Stream &amp; Compound Data'!S32:S81,Exergy!$F$27:$F$76)+Exergy!$G$6*Exergy!$G$5*SUMPRODUCT('I. Stream &amp; Compound Data'!S32:S81,J27:J76))</f>
        <v/>
      </c>
      <c r="K77" s="1569" t="str">
        <f>IF(K25="","",SUMPRODUCT('I. Stream &amp; Compound Data'!V32:V81,Exergy!$F$27:$F$76)+Exergy!$G$6*Exergy!$G$5*SUMPRODUCT('I. Stream &amp; Compound Data'!V32:V81,K27:K76))</f>
        <v/>
      </c>
      <c r="L77" s="1569" t="str">
        <f>IF(L25="","",SUMPRODUCT('I. Stream &amp; Compound Data'!Y32:Y81,Exergy!$F$27:$F$76)+Exergy!$G$6*Exergy!$G$5*SUMPRODUCT('I. Stream &amp; Compound Data'!Y32:Y81,L27:L76))</f>
        <v/>
      </c>
      <c r="M77" s="1569" t="str">
        <f>IF(M25="","",SUMPRODUCT('I. Stream &amp; Compound Data'!AB32:AB81,Exergy!$F$27:$F$76)+Exergy!$G$6*Exergy!$G$5*SUMPRODUCT('I. Stream &amp; Compound Data'!AB32:AB81,M27:M76))</f>
        <v/>
      </c>
      <c r="N77" s="1569" t="str">
        <f>IF(N25="","",SUMPRODUCT('I. Stream &amp; Compound Data'!AE32:AE81,Exergy!$F$27:$F$76)+Exergy!$G$6*Exergy!$G$5*SUMPRODUCT('I. Stream &amp; Compound Data'!AE32:AE81,N27:N76))</f>
        <v/>
      </c>
      <c r="O77" s="1569" t="str">
        <f>IF(O25="","",SUMPRODUCT('I. Stream &amp; Compound Data'!AH32:AH81,Exergy!$F$27:$F$76)+Exergy!$G$6*Exergy!$G$5*SUMPRODUCT('I. Stream &amp; Compound Data'!AH32:AH81,O27:O76))</f>
        <v/>
      </c>
      <c r="P77" s="1569" t="str">
        <f>IF(P25="","",SUMPRODUCT('I. Stream &amp; Compound Data'!AK32:AK81,Exergy!$F$27:$F$76)+Exergy!$G$6*Exergy!$G$5*SUMPRODUCT('I. Stream &amp; Compound Data'!AK32:AK81,P27:P76))</f>
        <v/>
      </c>
      <c r="Q77" s="1569" t="str">
        <f>IF(Q25="","",SUMPRODUCT('I. Stream &amp; Compound Data'!AN32:AN81,Exergy!$F$27:$F$76)+Exergy!$G$6*Exergy!$G$5*SUMPRODUCT('I. Stream &amp; Compound Data'!AN32:AN81,Q27:Q76))</f>
        <v/>
      </c>
      <c r="R77" s="1569" t="str">
        <f>IF(R25="","",SUMPRODUCT('I. Stream &amp; Compound Data'!AQ32:AQ81,Exergy!$F$27:$F$76)+Exergy!$G$6*Exergy!$G$5*SUMPRODUCT('I. Stream &amp; Compound Data'!AQ32:AQ81,R27:R76))</f>
        <v/>
      </c>
      <c r="S77" s="1569" t="str">
        <f>IF(S25="","",SUMPRODUCT('I. Stream &amp; Compound Data'!AT32:AT81,Exergy!$F$27:$F$76)+Exergy!$G$6*Exergy!$G$5*SUMPRODUCT('I. Stream &amp; Compound Data'!AT32:AT81,S27:S76))</f>
        <v/>
      </c>
      <c r="T77" s="1569" t="str">
        <f>IF(T25="","",SUMPRODUCT('I. Stream &amp; Compound Data'!AW32:AW81,Exergy!$F$27:$F$76)+Exergy!$G$6*Exergy!$G$5*SUMPRODUCT('I. Stream &amp; Compound Data'!AW32:AW81,T27:T76))</f>
        <v/>
      </c>
      <c r="U77" s="1569" t="str">
        <f>IF(U25="","",SUMPRODUCT('I. Stream &amp; Compound Data'!AZ32:AZ81,Exergy!$F$27:$F$76)+Exergy!$G$6*Exergy!$G$5*SUMPRODUCT('I. Stream &amp; Compound Data'!AZ32:AZ81,U27:U76))</f>
        <v/>
      </c>
      <c r="V77" s="1569" t="str">
        <f>IF(V25="","",SUMPRODUCT('I. Stream &amp; Compound Data'!BC32:BC81,Exergy!$F$27:$F$76)+Exergy!$G$6*Exergy!$G$5*SUMPRODUCT('I. Stream &amp; Compound Data'!BC32:BC81,V27:V76))</f>
        <v/>
      </c>
      <c r="W77" s="1569" t="str">
        <f>IF(W25="","",SUMPRODUCT('I. Stream &amp; Compound Data'!BF32:BF81,Exergy!$F$27:$F$76)+Exergy!$G$6*Exergy!$G$5*SUMPRODUCT('I. Stream &amp; Compound Data'!BF32:BF81,W27:W76))</f>
        <v/>
      </c>
      <c r="X77" s="1569" t="str">
        <f>IF(X25="","",SUMPRODUCT('I. Stream &amp; Compound Data'!BI32:BI81,Exergy!$F$27:$F$76)+Exergy!$G$6*Exergy!$G$5*SUMPRODUCT('I. Stream &amp; Compound Data'!BI32:BI81,X27:X76))</f>
        <v/>
      </c>
      <c r="Y77" s="1569" t="str">
        <f>IF(Y25="","",SUMPRODUCT('I. Stream &amp; Compound Data'!BL32:BL81,Exergy!$F$27:$F$76)+Exergy!$G$6*Exergy!$G$5*SUMPRODUCT('I. Stream &amp; Compound Data'!BL32:BL81,Y27:Y76))</f>
        <v/>
      </c>
      <c r="Z77" s="1569" t="str">
        <f>IF(Z25="","",SUMPRODUCT('I. Stream &amp; Compound Data'!BO32:BO81,Exergy!$F$27:$F$76)+Exergy!$G$6*Exergy!$G$5*SUMPRODUCT('I. Stream &amp; Compound Data'!BO32:BO81,Z27:Z76))</f>
        <v/>
      </c>
      <c r="AA77" s="1569" t="str">
        <f>IF(AA25="","",SUMPRODUCT('I. Stream &amp; Compound Data'!BR32:BR81,Exergy!$F$27:$F$76)+Exergy!$G$6*Exergy!$G$5*SUMPRODUCT('I. Stream &amp; Compound Data'!BR32:BR81,AA27:AA76))</f>
        <v/>
      </c>
      <c r="AB77" s="1569" t="str">
        <f>IF(AB25="","",SUMPRODUCT('I. Stream &amp; Compound Data'!BU32:BU81,Exergy!$F$27:$F$76)+Exergy!$G$6*Exergy!$G$5*SUMPRODUCT('I. Stream &amp; Compound Data'!BU32:BU81,AB27:AB76))</f>
        <v/>
      </c>
      <c r="AC77" s="1569" t="str">
        <f>IF(AC25="","",SUMPRODUCT('I. Stream &amp; Compound Data'!BX32:BX81,Exergy!$F$27:$F$76)+Exergy!$G$6*Exergy!$G$5*SUMPRODUCT('I. Stream &amp; Compound Data'!BX32:BX81,AC27:AC76))</f>
        <v/>
      </c>
      <c r="AD77" s="1569" t="str">
        <f>IF(AD25="","",SUMPRODUCT('I. Stream &amp; Compound Data'!CA32:CA81,Exergy!$F$27:$F$76)+Exergy!$G$6*Exergy!$G$5*SUMPRODUCT('I. Stream &amp; Compound Data'!CA32:CA81,AD27:AD76))</f>
        <v/>
      </c>
      <c r="AE77" s="1569" t="str">
        <f>IF(AE25="","",SUMPRODUCT('I. Stream &amp; Compound Data'!CD32:CD81,Exergy!$F$27:$F$76)+Exergy!$G$6*Exergy!$G$5*SUMPRODUCT('I. Stream &amp; Compound Data'!CD32:CD81,AE27:AE76))</f>
        <v/>
      </c>
      <c r="AF77" s="1569" t="str">
        <f>IF(AF25="","",SUMPRODUCT('I. Stream &amp; Compound Data'!CG32:CG81,Exergy!$F$27:$F$76)+Exergy!$G$6*Exergy!$G$5*SUMPRODUCT('I. Stream &amp; Compound Data'!CG32:CG81,AF27:AF76))</f>
        <v/>
      </c>
      <c r="AG77" s="1569" t="str">
        <f>IF(AG25="","",SUMPRODUCT('I. Stream &amp; Compound Data'!CJ32:CJ81,Exergy!$F$27:$F$76)+Exergy!$G$6*Exergy!$G$5*SUMPRODUCT('I. Stream &amp; Compound Data'!CJ32:CJ81,AG27:AG76))</f>
        <v/>
      </c>
      <c r="AH77" s="1569" t="str">
        <f>IF(AH25="","",SUMPRODUCT('I. Stream &amp; Compound Data'!CM32:CM81,Exergy!$F$27:$F$76)+Exergy!$G$6*Exergy!$G$5*SUMPRODUCT('I. Stream &amp; Compound Data'!CM32:CM81,AH27:AH76))</f>
        <v/>
      </c>
      <c r="AI77" s="1569" t="str">
        <f>IF(AI25="","",SUMPRODUCT('I. Stream &amp; Compound Data'!CP32:CP81,Exergy!$F$27:$F$76)+Exergy!$G$6*Exergy!$G$5*SUMPRODUCT('I. Stream &amp; Compound Data'!CP32:CP81,AI27:AI76))</f>
        <v/>
      </c>
      <c r="AJ77" s="1569" t="str">
        <f>IF(AJ25="","",SUMPRODUCT('I. Stream &amp; Compound Data'!CS32:CS81,Exergy!$F$27:$F$76)+Exergy!$G$6*Exergy!$G$5*SUMPRODUCT('I. Stream &amp; Compound Data'!CS32:CS81,AJ27:AJ76))</f>
        <v/>
      </c>
      <c r="AK77" s="1569" t="str">
        <f>IF(AK25="","",SUMPRODUCT('I. Stream &amp; Compound Data'!CV32:CV81,Exergy!$F$27:$F$76)+Exergy!$G$6*Exergy!$G$5*SUMPRODUCT('I. Stream &amp; Compound Data'!CV32:CV81,AK27:AK76))</f>
        <v/>
      </c>
      <c r="AL77" s="1569" t="str">
        <f>IF(AL25="","",SUMPRODUCT('I. Stream &amp; Compound Data'!CY32:CY81,Exergy!$F$27:$F$76)+Exergy!$G$6*Exergy!$G$5*SUMPRODUCT('I. Stream &amp; Compound Data'!CY32:CY81,AL27:AL76))</f>
        <v/>
      </c>
      <c r="AM77" s="1569" t="str">
        <f>IF(AM25="","",SUMPRODUCT('I. Stream &amp; Compound Data'!DB32:DB81,Exergy!$F$27:$F$76)+Exergy!$G$6*Exergy!$G$5*SUMPRODUCT('I. Stream &amp; Compound Data'!DB32:DB81,AM27:AM76))</f>
        <v/>
      </c>
      <c r="AN77" s="1569" t="str">
        <f>IF(AN25="","",SUMPRODUCT('I. Stream &amp; Compound Data'!DE32:DE81,Exergy!$F$27:$F$76)+Exergy!$G$6*Exergy!$G$5*SUMPRODUCT('I. Stream &amp; Compound Data'!DE32:DE81,AN27:AN76))</f>
        <v/>
      </c>
      <c r="AO77" s="1569" t="str">
        <f>IF(AO25="","",SUMPRODUCT('I. Stream &amp; Compound Data'!DH32:DH81,Exergy!$F$27:$F$76)+Exergy!$G$6*Exergy!$G$5*SUMPRODUCT('I. Stream &amp; Compound Data'!DH32:DH81,AO27:AO76))</f>
        <v/>
      </c>
      <c r="AP77" s="1569" t="str">
        <f>IF(AP25="","",SUMPRODUCT('I. Stream &amp; Compound Data'!DK32:DK81,Exergy!$F$27:$F$76)+Exergy!$G$6*Exergy!$G$5*SUMPRODUCT('I. Stream &amp; Compound Data'!DK32:DK81,AP27:AP76))</f>
        <v/>
      </c>
      <c r="AQ77" s="1569" t="str">
        <f>IF(AQ25="","",SUMPRODUCT('I. Stream &amp; Compound Data'!DN32:DN81,Exergy!$F$27:$F$76)+Exergy!$G$6*Exergy!$G$5*SUMPRODUCT('I. Stream &amp; Compound Data'!DN32:DN81,AQ27:AQ76))</f>
        <v/>
      </c>
      <c r="AR77" s="1569" t="str">
        <f>IF(AR25="","",SUMPRODUCT('I. Stream &amp; Compound Data'!DQ32:DQ81,Exergy!$F$27:$F$76)+Exergy!$G$6*Exergy!$G$5*SUMPRODUCT('I. Stream &amp; Compound Data'!DQ32:DQ81,AR27:AR76))</f>
        <v/>
      </c>
      <c r="AS77" s="1569" t="str">
        <f>IF(AS25="","",SUMPRODUCT('I. Stream &amp; Compound Data'!DT32:DT81,Exergy!$F$27:$F$76)+Exergy!$G$6*Exergy!$G$5*SUMPRODUCT('I. Stream &amp; Compound Data'!DT32:DT81,AS27:AS76))</f>
        <v/>
      </c>
      <c r="AT77" s="1570" t="str">
        <f>IF(AT25="","",SUMPRODUCT('I. Stream &amp; Compound Data'!DW32:DW81,Exergy!$F$27:$F$76)+Exergy!$G$6*Exergy!$G$5*SUMPRODUCT('I. Stream &amp; Compound Data'!DW32:DW81,AT27:AT76))</f>
        <v/>
      </c>
      <c r="AU77" s="588"/>
    </row>
    <row r="78" ht="21" customHeight="true" x14ac:dyDescent="0.25">
      <c r="C78" s="597"/>
      <c r="D78" s="570"/>
      <c r="E78" s="2174" t="s">
        <v>1141</v>
      </c>
      <c r="F78" s="2175"/>
      <c r="G78" s="1571">
        <f t="array" ref="G78:AT78">TRANSPOSE(IN_Molar_flow__kmol_h)</f>
        <v>67.728867885492946</v>
      </c>
      <c r="H78" s="1571" t="str">
        <v/>
      </c>
      <c r="I78" s="1571" t="str">
        <v/>
      </c>
      <c r="J78" s="1571" t="str">
        <v/>
      </c>
      <c r="K78" s="1571" t="str">
        <v/>
      </c>
      <c r="L78" s="202" t="str">
        <v/>
      </c>
      <c r="M78" s="202" t="str">
        <v/>
      </c>
      <c r="N78" s="202" t="str">
        <v/>
      </c>
      <c r="O78" s="202" t="str">
        <v/>
      </c>
      <c r="P78" s="202" t="str">
        <v/>
      </c>
      <c r="Q78" s="202" t="str">
        <v/>
      </c>
      <c r="R78" s="202" t="str">
        <v/>
      </c>
      <c r="S78" s="202" t="str">
        <v/>
      </c>
      <c r="T78" s="202" t="str">
        <v/>
      </c>
      <c r="U78" s="202" t="str">
        <v/>
      </c>
      <c r="V78" s="202" t="str">
        <v/>
      </c>
      <c r="W78" s="202" t="str">
        <v/>
      </c>
      <c r="X78" s="202" t="str">
        <v/>
      </c>
      <c r="Y78" s="202" t="str">
        <v/>
      </c>
      <c r="Z78" s="202" t="str">
        <v/>
      </c>
      <c r="AA78" s="202" t="str">
        <v/>
      </c>
      <c r="AB78" s="202" t="str">
        <v/>
      </c>
      <c r="AC78" s="202" t="str">
        <v/>
      </c>
      <c r="AD78" s="202" t="str">
        <v/>
      </c>
      <c r="AE78" s="202" t="str">
        <v/>
      </c>
      <c r="AF78" s="202" t="str">
        <v/>
      </c>
      <c r="AG78" s="202" t="str">
        <v/>
      </c>
      <c r="AH78" s="202" t="str">
        <v/>
      </c>
      <c r="AI78" s="202" t="str">
        <v/>
      </c>
      <c r="AJ78" s="202" t="str">
        <v/>
      </c>
      <c r="AK78" s="202" t="str">
        <v/>
      </c>
      <c r="AL78" s="202" t="str">
        <v/>
      </c>
      <c r="AM78" s="202" t="str">
        <v/>
      </c>
      <c r="AN78" s="202" t="str">
        <v/>
      </c>
      <c r="AO78" s="202" t="str">
        <v/>
      </c>
      <c r="AP78" s="202" t="str">
        <v/>
      </c>
      <c r="AQ78" s="202" t="str">
        <v/>
      </c>
      <c r="AR78" s="202" t="str">
        <v/>
      </c>
      <c r="AS78" s="202" t="str">
        <v/>
      </c>
      <c r="AT78" s="262" t="str">
        <v/>
      </c>
      <c r="AU78" s="588"/>
      <c r="BA78" s="894"/>
      <c r="BB78" s="894"/>
      <c r="BC78" s="894"/>
      <c r="BD78" s="894"/>
      <c r="BE78" s="894"/>
    </row>
    <row r="79" ht="21" customHeight="true" x14ac:dyDescent="0.25">
      <c r="C79" s="597"/>
      <c r="D79" s="570"/>
      <c r="E79" s="2174" t="s">
        <v>1139</v>
      </c>
      <c r="F79" s="2175"/>
      <c r="G79" s="1441">
        <f t="shared" ref="G79:P79" si="7">IF(G25="","",G77*G78)</f>
        <v>6.7728867885492941E-2</v>
      </c>
      <c r="H79" s="1571" t="str">
        <f t="shared" si="7"/>
        <v/>
      </c>
      <c r="I79" s="1571" t="str">
        <f t="shared" si="7"/>
        <v/>
      </c>
      <c r="J79" s="1571" t="str">
        <f t="shared" si="7"/>
        <v/>
      </c>
      <c r="K79" s="1571" t="str">
        <f t="shared" si="7"/>
        <v/>
      </c>
      <c r="L79" s="202" t="str">
        <f t="shared" si="7"/>
        <v/>
      </c>
      <c r="M79" s="202" t="str">
        <f t="shared" si="7"/>
        <v/>
      </c>
      <c r="N79" s="202" t="str">
        <f t="shared" si="7"/>
        <v/>
      </c>
      <c r="O79" s="202" t="str">
        <f t="shared" si="7"/>
        <v/>
      </c>
      <c r="P79" s="202" t="str">
        <f t="shared" si="7"/>
        <v/>
      </c>
      <c r="Q79" s="202" t="str">
        <f t="shared" ref="Q79:AT79" si="8">IF(Q25="","",Q77*Q78)</f>
        <v/>
      </c>
      <c r="R79" s="202" t="str">
        <f t="shared" si="8"/>
        <v/>
      </c>
      <c r="S79" s="202" t="str">
        <f t="shared" si="8"/>
        <v/>
      </c>
      <c r="T79" s="202" t="str">
        <f t="shared" si="8"/>
        <v/>
      </c>
      <c r="U79" s="202" t="str">
        <f t="shared" si="8"/>
        <v/>
      </c>
      <c r="V79" s="202" t="str">
        <f t="shared" si="8"/>
        <v/>
      </c>
      <c r="W79" s="202" t="str">
        <f t="shared" si="8"/>
        <v/>
      </c>
      <c r="X79" s="202" t="str">
        <f t="shared" si="8"/>
        <v/>
      </c>
      <c r="Y79" s="202" t="str">
        <f t="shared" si="8"/>
        <v/>
      </c>
      <c r="Z79" s="202" t="str">
        <f t="shared" si="8"/>
        <v/>
      </c>
      <c r="AA79" s="202" t="str">
        <f t="shared" si="8"/>
        <v/>
      </c>
      <c r="AB79" s="202" t="str">
        <f t="shared" si="8"/>
        <v/>
      </c>
      <c r="AC79" s="202" t="str">
        <f t="shared" si="8"/>
        <v/>
      </c>
      <c r="AD79" s="202" t="str">
        <f t="shared" si="8"/>
        <v/>
      </c>
      <c r="AE79" s="202" t="str">
        <f t="shared" si="8"/>
        <v/>
      </c>
      <c r="AF79" s="202" t="str">
        <f t="shared" si="8"/>
        <v/>
      </c>
      <c r="AG79" s="202" t="str">
        <f t="shared" si="8"/>
        <v/>
      </c>
      <c r="AH79" s="202" t="str">
        <f t="shared" si="8"/>
        <v/>
      </c>
      <c r="AI79" s="202" t="str">
        <f t="shared" si="8"/>
        <v/>
      </c>
      <c r="AJ79" s="202" t="str">
        <f t="shared" si="8"/>
        <v/>
      </c>
      <c r="AK79" s="202" t="str">
        <f t="shared" si="8"/>
        <v/>
      </c>
      <c r="AL79" s="202" t="str">
        <f t="shared" si="8"/>
        <v/>
      </c>
      <c r="AM79" s="202" t="str">
        <f t="shared" si="8"/>
        <v/>
      </c>
      <c r="AN79" s="202" t="str">
        <f t="shared" si="8"/>
        <v/>
      </c>
      <c r="AO79" s="202" t="str">
        <f t="shared" si="8"/>
        <v/>
      </c>
      <c r="AP79" s="202" t="str">
        <f t="shared" si="8"/>
        <v/>
      </c>
      <c r="AQ79" s="202" t="str">
        <f t="shared" si="8"/>
        <v/>
      </c>
      <c r="AR79" s="202" t="str">
        <f t="shared" si="8"/>
        <v/>
      </c>
      <c r="AS79" s="202" t="str">
        <f t="shared" si="8"/>
        <v/>
      </c>
      <c r="AT79" s="262" t="str">
        <f t="shared" si="8"/>
        <v/>
      </c>
      <c r="AU79" s="588"/>
    </row>
    <row r="80" ht="21" customHeight="true" x14ac:dyDescent="0.25">
      <c r="C80" s="597"/>
      <c r="D80" s="570"/>
      <c r="E80" s="2174" t="s">
        <v>1865</v>
      </c>
      <c r="F80" s="2175"/>
      <c r="G80" s="202">
        <f t="shared" ref="G80:AT80" si="9">G19</f>
        <v>-8102777.7036779998</v>
      </c>
      <c r="H80" s="202" t="str">
        <f t="shared" si="9"/>
        <v/>
      </c>
      <c r="I80" s="202" t="str">
        <f t="shared" si="9"/>
        <v/>
      </c>
      <c r="J80" s="202" t="str">
        <f t="shared" si="9"/>
        <v/>
      </c>
      <c r="K80" s="202" t="str">
        <f t="shared" si="9"/>
        <v/>
      </c>
      <c r="L80" s="202" t="str">
        <f t="shared" si="9"/>
        <v/>
      </c>
      <c r="M80" s="202" t="str">
        <f t="shared" si="9"/>
        <v/>
      </c>
      <c r="N80" s="202" t="str">
        <f t="shared" si="9"/>
        <v/>
      </c>
      <c r="O80" s="202" t="str">
        <f t="shared" si="9"/>
        <v/>
      </c>
      <c r="P80" s="202" t="str">
        <f t="shared" si="9"/>
        <v/>
      </c>
      <c r="Q80" s="202" t="str">
        <f t="shared" si="9"/>
        <v/>
      </c>
      <c r="R80" s="202" t="str">
        <f t="shared" si="9"/>
        <v/>
      </c>
      <c r="S80" s="202" t="str">
        <f t="shared" si="9"/>
        <v/>
      </c>
      <c r="T80" s="202" t="str">
        <f t="shared" si="9"/>
        <v/>
      </c>
      <c r="U80" s="202" t="str">
        <f t="shared" si="9"/>
        <v/>
      </c>
      <c r="V80" s="202" t="str">
        <f t="shared" si="9"/>
        <v/>
      </c>
      <c r="W80" s="202" t="str">
        <f t="shared" si="9"/>
        <v/>
      </c>
      <c r="X80" s="202" t="str">
        <f t="shared" si="9"/>
        <v/>
      </c>
      <c r="Y80" s="202" t="str">
        <f t="shared" si="9"/>
        <v/>
      </c>
      <c r="Z80" s="202" t="str">
        <f t="shared" si="9"/>
        <v/>
      </c>
      <c r="AA80" s="202" t="str">
        <f t="shared" si="9"/>
        <v/>
      </c>
      <c r="AB80" s="202" t="str">
        <f t="shared" si="9"/>
        <v/>
      </c>
      <c r="AC80" s="202" t="str">
        <f t="shared" si="9"/>
        <v/>
      </c>
      <c r="AD80" s="202" t="str">
        <f t="shared" si="9"/>
        <v/>
      </c>
      <c r="AE80" s="202" t="str">
        <f t="shared" si="9"/>
        <v/>
      </c>
      <c r="AF80" s="202" t="str">
        <f t="shared" si="9"/>
        <v/>
      </c>
      <c r="AG80" s="202" t="str">
        <f t="shared" si="9"/>
        <v/>
      </c>
      <c r="AH80" s="202" t="str">
        <f t="shared" si="9"/>
        <v/>
      </c>
      <c r="AI80" s="202" t="str">
        <f t="shared" si="9"/>
        <v/>
      </c>
      <c r="AJ80" s="202" t="str">
        <f t="shared" si="9"/>
        <v/>
      </c>
      <c r="AK80" s="202" t="str">
        <f t="shared" si="9"/>
        <v/>
      </c>
      <c r="AL80" s="202" t="str">
        <f t="shared" si="9"/>
        <v/>
      </c>
      <c r="AM80" s="202" t="str">
        <f t="shared" si="9"/>
        <v/>
      </c>
      <c r="AN80" s="202" t="str">
        <f t="shared" si="9"/>
        <v/>
      </c>
      <c r="AO80" s="202" t="str">
        <f t="shared" si="9"/>
        <v/>
      </c>
      <c r="AP80" s="202" t="str">
        <f t="shared" si="9"/>
        <v/>
      </c>
      <c r="AQ80" s="202" t="str">
        <f t="shared" si="9"/>
        <v/>
      </c>
      <c r="AR80" s="202" t="str">
        <f t="shared" si="9"/>
        <v/>
      </c>
      <c r="AS80" s="202" t="str">
        <f t="shared" si="9"/>
        <v/>
      </c>
      <c r="AT80" s="262" t="str">
        <f t="shared" si="9"/>
        <v/>
      </c>
      <c r="AU80" s="588"/>
    </row>
    <row r="81" ht="21" customHeight="true" x14ac:dyDescent="0.25">
      <c r="C81" s="597"/>
      <c r="D81" s="570"/>
      <c r="E81" s="2174" t="s">
        <v>1866</v>
      </c>
      <c r="F81" s="2175"/>
      <c r="G81" s="202">
        <f t="shared" ref="G81:AT81" si="10">G20</f>
        <v>-6309.8567913246097</v>
      </c>
      <c r="H81" s="202" t="str">
        <f t="shared" si="10"/>
        <v/>
      </c>
      <c r="I81" s="202" t="str">
        <f t="shared" si="10"/>
        <v/>
      </c>
      <c r="J81" s="202" t="str">
        <f t="shared" si="10"/>
        <v/>
      </c>
      <c r="K81" s="202" t="str">
        <f t="shared" si="10"/>
        <v/>
      </c>
      <c r="L81" s="202" t="str">
        <f t="shared" si="10"/>
        <v/>
      </c>
      <c r="M81" s="202" t="str">
        <f t="shared" si="10"/>
        <v/>
      </c>
      <c r="N81" s="202" t="str">
        <f t="shared" si="10"/>
        <v/>
      </c>
      <c r="O81" s="202" t="str">
        <f t="shared" si="10"/>
        <v/>
      </c>
      <c r="P81" s="202" t="str">
        <f t="shared" si="10"/>
        <v/>
      </c>
      <c r="Q81" s="202" t="str">
        <f t="shared" si="10"/>
        <v/>
      </c>
      <c r="R81" s="202" t="str">
        <f t="shared" si="10"/>
        <v/>
      </c>
      <c r="S81" s="202" t="str">
        <f t="shared" si="10"/>
        <v/>
      </c>
      <c r="T81" s="202" t="str">
        <f t="shared" si="10"/>
        <v/>
      </c>
      <c r="U81" s="202" t="str">
        <f t="shared" si="10"/>
        <v/>
      </c>
      <c r="V81" s="202" t="str">
        <f t="shared" si="10"/>
        <v/>
      </c>
      <c r="W81" s="202" t="str">
        <f t="shared" si="10"/>
        <v/>
      </c>
      <c r="X81" s="202" t="str">
        <f t="shared" si="10"/>
        <v/>
      </c>
      <c r="Y81" s="202" t="str">
        <f t="shared" si="10"/>
        <v/>
      </c>
      <c r="Z81" s="202" t="str">
        <f t="shared" si="10"/>
        <v/>
      </c>
      <c r="AA81" s="202" t="str">
        <f t="shared" si="10"/>
        <v/>
      </c>
      <c r="AB81" s="202" t="str">
        <f t="shared" si="10"/>
        <v/>
      </c>
      <c r="AC81" s="202" t="str">
        <f t="shared" si="10"/>
        <v/>
      </c>
      <c r="AD81" s="202" t="str">
        <f t="shared" si="10"/>
        <v/>
      </c>
      <c r="AE81" s="202" t="str">
        <f t="shared" si="10"/>
        <v/>
      </c>
      <c r="AF81" s="202" t="str">
        <f t="shared" si="10"/>
        <v/>
      </c>
      <c r="AG81" s="202" t="str">
        <f t="shared" si="10"/>
        <v/>
      </c>
      <c r="AH81" s="202" t="str">
        <f t="shared" si="10"/>
        <v/>
      </c>
      <c r="AI81" s="202" t="str">
        <f t="shared" si="10"/>
        <v/>
      </c>
      <c r="AJ81" s="202" t="str">
        <f t="shared" si="10"/>
        <v/>
      </c>
      <c r="AK81" s="202" t="str">
        <f t="shared" si="10"/>
        <v/>
      </c>
      <c r="AL81" s="202" t="str">
        <f t="shared" si="10"/>
        <v/>
      </c>
      <c r="AM81" s="202" t="str">
        <f t="shared" si="10"/>
        <v/>
      </c>
      <c r="AN81" s="202" t="str">
        <f t="shared" si="10"/>
        <v/>
      </c>
      <c r="AO81" s="202" t="str">
        <f t="shared" si="10"/>
        <v/>
      </c>
      <c r="AP81" s="202" t="str">
        <f t="shared" si="10"/>
        <v/>
      </c>
      <c r="AQ81" s="202" t="str">
        <f t="shared" si="10"/>
        <v/>
      </c>
      <c r="AR81" s="202" t="str">
        <f t="shared" si="10"/>
        <v/>
      </c>
      <c r="AS81" s="202" t="str">
        <f t="shared" si="10"/>
        <v/>
      </c>
      <c r="AT81" s="262" t="str">
        <f t="shared" si="10"/>
        <v/>
      </c>
      <c r="AU81" s="588"/>
    </row>
    <row r="82" ht="21" customHeight="true" x14ac:dyDescent="0.25">
      <c r="C82" s="597"/>
      <c r="D82" s="570"/>
      <c r="E82" s="2174" t="s">
        <v>1138</v>
      </c>
      <c r="F82" s="2175"/>
      <c r="G82" s="202">
        <f t="shared" ref="G82:P82" si="11">IF(G25="","",G80-$G$5*G81)</f>
        <v>-6222440.3798632659</v>
      </c>
      <c r="H82" s="202" t="str">
        <f t="shared" si="11"/>
        <v/>
      </c>
      <c r="I82" s="202" t="str">
        <f t="shared" si="11"/>
        <v/>
      </c>
      <c r="J82" s="202" t="str">
        <f t="shared" si="11"/>
        <v/>
      </c>
      <c r="K82" s="202" t="str">
        <f t="shared" si="11"/>
        <v/>
      </c>
      <c r="L82" s="202" t="str">
        <f t="shared" si="11"/>
        <v/>
      </c>
      <c r="M82" s="202" t="str">
        <f t="shared" si="11"/>
        <v/>
      </c>
      <c r="N82" s="202" t="str">
        <f t="shared" si="11"/>
        <v/>
      </c>
      <c r="O82" s="202" t="str">
        <f t="shared" si="11"/>
        <v/>
      </c>
      <c r="P82" s="202" t="str">
        <f t="shared" si="11"/>
        <v/>
      </c>
      <c r="Q82" s="202" t="str">
        <f t="shared" ref="Q82:AT82" si="12">IF(Q25="","",Q80-$G$5*Q81)</f>
        <v/>
      </c>
      <c r="R82" s="202" t="str">
        <f t="shared" si="12"/>
        <v/>
      </c>
      <c r="S82" s="202" t="str">
        <f t="shared" si="12"/>
        <v/>
      </c>
      <c r="T82" s="202" t="str">
        <f t="shared" si="12"/>
        <v/>
      </c>
      <c r="U82" s="202" t="str">
        <f t="shared" si="12"/>
        <v/>
      </c>
      <c r="V82" s="202" t="str">
        <f t="shared" si="12"/>
        <v/>
      </c>
      <c r="W82" s="202" t="str">
        <f t="shared" si="12"/>
        <v/>
      </c>
      <c r="X82" s="202" t="str">
        <f t="shared" si="12"/>
        <v/>
      </c>
      <c r="Y82" s="202" t="str">
        <f t="shared" si="12"/>
        <v/>
      </c>
      <c r="Z82" s="202" t="str">
        <f t="shared" si="12"/>
        <v/>
      </c>
      <c r="AA82" s="202" t="str">
        <f t="shared" si="12"/>
        <v/>
      </c>
      <c r="AB82" s="202" t="str">
        <f t="shared" si="12"/>
        <v/>
      </c>
      <c r="AC82" s="202" t="str">
        <f t="shared" si="12"/>
        <v/>
      </c>
      <c r="AD82" s="202" t="str">
        <f t="shared" si="12"/>
        <v/>
      </c>
      <c r="AE82" s="202" t="str">
        <f t="shared" si="12"/>
        <v/>
      </c>
      <c r="AF82" s="202" t="str">
        <f t="shared" si="12"/>
        <v/>
      </c>
      <c r="AG82" s="202" t="str">
        <f t="shared" si="12"/>
        <v/>
      </c>
      <c r="AH82" s="202" t="str">
        <f t="shared" si="12"/>
        <v/>
      </c>
      <c r="AI82" s="202" t="str">
        <f t="shared" si="12"/>
        <v/>
      </c>
      <c r="AJ82" s="202" t="str">
        <f t="shared" si="12"/>
        <v/>
      </c>
      <c r="AK82" s="202" t="str">
        <f t="shared" si="12"/>
        <v/>
      </c>
      <c r="AL82" s="202" t="str">
        <f t="shared" si="12"/>
        <v/>
      </c>
      <c r="AM82" s="202" t="str">
        <f t="shared" si="12"/>
        <v/>
      </c>
      <c r="AN82" s="202" t="str">
        <f t="shared" si="12"/>
        <v/>
      </c>
      <c r="AO82" s="202" t="str">
        <f t="shared" si="12"/>
        <v/>
      </c>
      <c r="AP82" s="202" t="str">
        <f t="shared" si="12"/>
        <v/>
      </c>
      <c r="AQ82" s="202" t="str">
        <f t="shared" si="12"/>
        <v/>
      </c>
      <c r="AR82" s="202" t="str">
        <f t="shared" si="12"/>
        <v/>
      </c>
      <c r="AS82" s="202" t="str">
        <f t="shared" si="12"/>
        <v/>
      </c>
      <c r="AT82" s="262" t="str">
        <f t="shared" si="12"/>
        <v/>
      </c>
      <c r="AU82" s="588"/>
    </row>
    <row r="83" ht="21" customHeight="true" x14ac:dyDescent="0.25">
      <c r="C83" s="597"/>
      <c r="D83" s="570"/>
      <c r="E83" s="2174" t="s">
        <v>1142</v>
      </c>
      <c r="F83" s="2175"/>
      <c r="G83" s="202">
        <f t="shared" ref="G83:P83" si="13">IF(G25="","",G79+G82)</f>
        <v>-6222440.3121343981</v>
      </c>
      <c r="H83" s="202" t="str">
        <f t="shared" si="13"/>
        <v/>
      </c>
      <c r="I83" s="202" t="str">
        <f t="shared" si="13"/>
        <v/>
      </c>
      <c r="J83" s="202" t="str">
        <f t="shared" si="13"/>
        <v/>
      </c>
      <c r="K83" s="202" t="str">
        <f t="shared" si="13"/>
        <v/>
      </c>
      <c r="L83" s="202" t="str">
        <f t="shared" si="13"/>
        <v/>
      </c>
      <c r="M83" s="202" t="str">
        <f t="shared" si="13"/>
        <v/>
      </c>
      <c r="N83" s="202" t="str">
        <f t="shared" si="13"/>
        <v/>
      </c>
      <c r="O83" s="202" t="str">
        <f t="shared" si="13"/>
        <v/>
      </c>
      <c r="P83" s="202" t="str">
        <f t="shared" si="13"/>
        <v/>
      </c>
      <c r="Q83" s="202" t="str">
        <f t="shared" ref="Q83:AS83" si="14">IF(Q25="","",Q79+Q82)</f>
        <v/>
      </c>
      <c r="R83" s="202" t="str">
        <f t="shared" si="14"/>
        <v/>
      </c>
      <c r="S83" s="202" t="str">
        <f t="shared" si="14"/>
        <v/>
      </c>
      <c r="T83" s="202" t="str">
        <f t="shared" si="14"/>
        <v/>
      </c>
      <c r="U83" s="202" t="str">
        <f t="shared" si="14"/>
        <v/>
      </c>
      <c r="V83" s="202" t="str">
        <f t="shared" si="14"/>
        <v/>
      </c>
      <c r="W83" s="202" t="str">
        <f t="shared" si="14"/>
        <v/>
      </c>
      <c r="X83" s="202" t="str">
        <f t="shared" si="14"/>
        <v/>
      </c>
      <c r="Y83" s="202" t="str">
        <f t="shared" si="14"/>
        <v/>
      </c>
      <c r="Z83" s="202" t="str">
        <f t="shared" si="14"/>
        <v/>
      </c>
      <c r="AA83" s="202" t="str">
        <f t="shared" si="14"/>
        <v/>
      </c>
      <c r="AB83" s="202" t="str">
        <f t="shared" si="14"/>
        <v/>
      </c>
      <c r="AC83" s="202" t="str">
        <f t="shared" si="14"/>
        <v/>
      </c>
      <c r="AD83" s="202" t="str">
        <f t="shared" si="14"/>
        <v/>
      </c>
      <c r="AE83" s="202" t="str">
        <f t="shared" si="14"/>
        <v/>
      </c>
      <c r="AF83" s="202" t="str">
        <f t="shared" si="14"/>
        <v/>
      </c>
      <c r="AG83" s="202" t="str">
        <f t="shared" si="14"/>
        <v/>
      </c>
      <c r="AH83" s="202" t="str">
        <f t="shared" si="14"/>
        <v/>
      </c>
      <c r="AI83" s="202" t="str">
        <f t="shared" si="14"/>
        <v/>
      </c>
      <c r="AJ83" s="202" t="str">
        <f t="shared" si="14"/>
        <v/>
      </c>
      <c r="AK83" s="202" t="str">
        <f t="shared" si="14"/>
        <v/>
      </c>
      <c r="AL83" s="202" t="str">
        <f t="shared" si="14"/>
        <v/>
      </c>
      <c r="AM83" s="202" t="str">
        <f t="shared" si="14"/>
        <v/>
      </c>
      <c r="AN83" s="202" t="str">
        <f t="shared" si="14"/>
        <v/>
      </c>
      <c r="AO83" s="202" t="str">
        <f t="shared" si="14"/>
        <v/>
      </c>
      <c r="AP83" s="202" t="str">
        <f t="shared" si="14"/>
        <v/>
      </c>
      <c r="AQ83" s="202" t="str">
        <f t="shared" si="14"/>
        <v/>
      </c>
      <c r="AR83" s="202" t="str">
        <f t="shared" si="14"/>
        <v/>
      </c>
      <c r="AS83" s="202" t="str">
        <f t="shared" si="14"/>
        <v/>
      </c>
      <c r="AT83" s="262" t="str">
        <f>IF(AT25="","",AT79+AT82)</f>
        <v/>
      </c>
      <c r="AU83" s="588"/>
    </row>
    <row r="84" ht="21" customHeight="true" x14ac:dyDescent="0.25">
      <c r="C84" s="597"/>
      <c r="D84" s="570"/>
      <c r="E84" s="2174" t="s">
        <v>1143</v>
      </c>
      <c r="F84" s="2175"/>
      <c r="G84" s="1571">
        <f t="shared" ref="G84:P84" si="15">IF(G25="","",G83/3600)</f>
        <v>-1728.4556422595551</v>
      </c>
      <c r="H84" s="1571" t="str">
        <f t="shared" si="15"/>
        <v/>
      </c>
      <c r="I84" s="1571" t="str">
        <f t="shared" si="15"/>
        <v/>
      </c>
      <c r="J84" s="1571" t="str">
        <f t="shared" si="15"/>
        <v/>
      </c>
      <c r="K84" s="1571" t="str">
        <f t="shared" si="15"/>
        <v/>
      </c>
      <c r="L84" s="202" t="str">
        <f t="shared" si="15"/>
        <v/>
      </c>
      <c r="M84" s="202" t="str">
        <f t="shared" si="15"/>
        <v/>
      </c>
      <c r="N84" s="202" t="str">
        <f t="shared" si="15"/>
        <v/>
      </c>
      <c r="O84" s="202" t="str">
        <f t="shared" si="15"/>
        <v/>
      </c>
      <c r="P84" s="202" t="str">
        <f t="shared" si="15"/>
        <v/>
      </c>
      <c r="Q84" s="202" t="str">
        <f t="shared" ref="Q84:AS84" si="16">IF(Q25="","",Q83/3600)</f>
        <v/>
      </c>
      <c r="R84" s="202" t="str">
        <f t="shared" si="16"/>
        <v/>
      </c>
      <c r="S84" s="202" t="str">
        <f t="shared" si="16"/>
        <v/>
      </c>
      <c r="T84" s="202" t="str">
        <f t="shared" si="16"/>
        <v/>
      </c>
      <c r="U84" s="202" t="str">
        <f t="shared" si="16"/>
        <v/>
      </c>
      <c r="V84" s="202" t="str">
        <f t="shared" si="16"/>
        <v/>
      </c>
      <c r="W84" s="202" t="str">
        <f t="shared" si="16"/>
        <v/>
      </c>
      <c r="X84" s="202" t="str">
        <f t="shared" si="16"/>
        <v/>
      </c>
      <c r="Y84" s="202" t="str">
        <f t="shared" si="16"/>
        <v/>
      </c>
      <c r="Z84" s="202" t="str">
        <f t="shared" si="16"/>
        <v/>
      </c>
      <c r="AA84" s="202" t="str">
        <f t="shared" si="16"/>
        <v/>
      </c>
      <c r="AB84" s="202" t="str">
        <f t="shared" si="16"/>
        <v/>
      </c>
      <c r="AC84" s="202" t="str">
        <f t="shared" si="16"/>
        <v/>
      </c>
      <c r="AD84" s="202" t="str">
        <f t="shared" si="16"/>
        <v/>
      </c>
      <c r="AE84" s="202" t="str">
        <f t="shared" si="16"/>
        <v/>
      </c>
      <c r="AF84" s="202" t="str">
        <f t="shared" si="16"/>
        <v/>
      </c>
      <c r="AG84" s="202" t="str">
        <f t="shared" si="16"/>
        <v/>
      </c>
      <c r="AH84" s="202" t="str">
        <f t="shared" si="16"/>
        <v/>
      </c>
      <c r="AI84" s="202" t="str">
        <f t="shared" si="16"/>
        <v/>
      </c>
      <c r="AJ84" s="202" t="str">
        <f t="shared" si="16"/>
        <v/>
      </c>
      <c r="AK84" s="202" t="str">
        <f t="shared" si="16"/>
        <v/>
      </c>
      <c r="AL84" s="202" t="str">
        <f t="shared" si="16"/>
        <v/>
      </c>
      <c r="AM84" s="202" t="str">
        <f t="shared" si="16"/>
        <v/>
      </c>
      <c r="AN84" s="202" t="str">
        <f t="shared" si="16"/>
        <v/>
      </c>
      <c r="AO84" s="202" t="str">
        <f t="shared" si="16"/>
        <v/>
      </c>
      <c r="AP84" s="202" t="str">
        <f t="shared" si="16"/>
        <v/>
      </c>
      <c r="AQ84" s="202" t="str">
        <f t="shared" si="16"/>
        <v/>
      </c>
      <c r="AR84" s="202" t="str">
        <f t="shared" si="16"/>
        <v/>
      </c>
      <c r="AS84" s="202" t="str">
        <f t="shared" si="16"/>
        <v/>
      </c>
      <c r="AT84" s="262" t="str">
        <f>IF(AT25="","",AT83/3600)</f>
        <v/>
      </c>
      <c r="AU84" s="588"/>
    </row>
    <row r="85" ht="21" customHeight="true" thickBot="true" x14ac:dyDescent="0.3">
      <c r="C85" s="597"/>
      <c r="D85" s="570"/>
      <c r="E85" s="2178" t="s">
        <v>1162</v>
      </c>
      <c r="F85" s="2179"/>
      <c r="G85" s="263">
        <f>IF(G25="","",IF('VI. Energy'!F36="yes",1,0))</f>
        <v>0</v>
      </c>
      <c r="H85" s="263" t="str">
        <f>IF(H25="","",IF('VI. Energy'!G36="yes",1,0))</f>
        <v/>
      </c>
      <c r="I85" s="263" t="str">
        <f>IF(I25="","",IF('VI. Energy'!H36="yes",1,0))</f>
        <v/>
      </c>
      <c r="J85" s="263" t="str">
        <f>IF(J25="","",IF('VI. Energy'!I36="yes",1,0))</f>
        <v/>
      </c>
      <c r="K85" s="263" t="str">
        <f>IF(K25="","",IF('VI. Energy'!J36="yes",1,0))</f>
        <v/>
      </c>
      <c r="L85" s="263" t="str">
        <f>IF(L25="","",IF('VI. Energy'!K36="yes",1,0))</f>
        <v/>
      </c>
      <c r="M85" s="263" t="str">
        <f>IF(M25="","",IF('VI. Energy'!L36="yes",1,0))</f>
        <v/>
      </c>
      <c r="N85" s="263" t="str">
        <f>IF(N25="","",IF('VI. Energy'!M36="yes",1,0))</f>
        <v/>
      </c>
      <c r="O85" s="263" t="str">
        <f>IF(O25="","",IF('VI. Energy'!N36="yes",1,0))</f>
        <v/>
      </c>
      <c r="P85" s="263" t="str">
        <f>IF(P25="","",IF('VI. Energy'!O36="yes",1,0))</f>
        <v/>
      </c>
      <c r="Q85" s="263" t="str">
        <f>IF(Q25="","",IF('VI. Energy'!P36="yes",1,0))</f>
        <v/>
      </c>
      <c r="R85" s="263" t="str">
        <f>IF(R25="","",IF('VI. Energy'!Q36="yes",1,0))</f>
        <v/>
      </c>
      <c r="S85" s="263" t="str">
        <f>IF(S25="","",IF('VI. Energy'!R36="yes",1,0))</f>
        <v/>
      </c>
      <c r="T85" s="263" t="str">
        <f>IF(T25="","",IF('VI. Energy'!S36="yes",1,0))</f>
        <v/>
      </c>
      <c r="U85" s="263" t="str">
        <f>IF(U25="","",IF('VI. Energy'!T36="yes",1,0))</f>
        <v/>
      </c>
      <c r="V85" s="263" t="str">
        <f>IF(V25="","",IF('VI. Energy'!U36="yes",1,0))</f>
        <v/>
      </c>
      <c r="W85" s="263" t="str">
        <f>IF(W25="","",IF('VI. Energy'!V36="yes",1,0))</f>
        <v/>
      </c>
      <c r="X85" s="263" t="str">
        <f>IF(X25="","",IF('VI. Energy'!W36="yes",1,0))</f>
        <v/>
      </c>
      <c r="Y85" s="263" t="str">
        <f>IF(Y25="","",IF('VI. Energy'!X36="yes",1,0))</f>
        <v/>
      </c>
      <c r="Z85" s="263" t="str">
        <f>IF(Z25="","",IF('VI. Energy'!Y36="yes",1,0))</f>
        <v/>
      </c>
      <c r="AA85" s="263" t="str">
        <f>IF(AA25="","",IF('VI. Energy'!Z36="yes",1,0))</f>
        <v/>
      </c>
      <c r="AB85" s="263" t="str">
        <f>IF(AB25="","",IF('VI. Energy'!AA36="yes",1,0))</f>
        <v/>
      </c>
      <c r="AC85" s="263" t="str">
        <f>IF(AC25="","",IF('VI. Energy'!AB36="yes",1,0))</f>
        <v/>
      </c>
      <c r="AD85" s="263" t="str">
        <f>IF(AD25="","",IF('VI. Energy'!AC36="yes",1,0))</f>
        <v/>
      </c>
      <c r="AE85" s="263" t="str">
        <f>IF(AE25="","",IF('VI. Energy'!AD36="yes",1,0))</f>
        <v/>
      </c>
      <c r="AF85" s="263" t="str">
        <f>IF(AF25="","",IF('VI. Energy'!AE36="yes",1,0))</f>
        <v/>
      </c>
      <c r="AG85" s="263" t="str">
        <f>IF(AG25="","",IF('VI. Energy'!AF36="yes",1,0))</f>
        <v/>
      </c>
      <c r="AH85" s="263" t="str">
        <f>IF(AH25="","",IF('VI. Energy'!AG36="yes",1,0))</f>
        <v/>
      </c>
      <c r="AI85" s="263" t="str">
        <f>IF(AI25="","",IF('VI. Energy'!AH36="yes",1,0))</f>
        <v/>
      </c>
      <c r="AJ85" s="263" t="str">
        <f>IF(AJ25="","",IF('VI. Energy'!AI36="yes",1,0))</f>
        <v/>
      </c>
      <c r="AK85" s="263" t="str">
        <f>IF(AK25="","",IF('VI. Energy'!AJ36="yes",1,0))</f>
        <v/>
      </c>
      <c r="AL85" s="263" t="str">
        <f>IF(AL25="","",IF('VI. Energy'!AK36="yes",1,0))</f>
        <v/>
      </c>
      <c r="AM85" s="263" t="str">
        <f>IF(AM25="","",IF('VI. Energy'!AL36="yes",1,0))</f>
        <v/>
      </c>
      <c r="AN85" s="263" t="str">
        <f>IF(AN25="","",IF('VI. Energy'!AM36="yes",1,0))</f>
        <v/>
      </c>
      <c r="AO85" s="263" t="str">
        <f>IF(AO25="","",IF('VI. Energy'!AN36="yes",1,0))</f>
        <v/>
      </c>
      <c r="AP85" s="263" t="str">
        <f>IF(AP25="","",IF('VI. Energy'!AO36="yes",1,0))</f>
        <v/>
      </c>
      <c r="AQ85" s="263" t="str">
        <f>IF(AQ25="","",IF('VI. Energy'!AP36="yes",1,0))</f>
        <v/>
      </c>
      <c r="AR85" s="263" t="str">
        <f>IF(AR25="","",IF('VI. Energy'!AQ36="yes",1,0))</f>
        <v/>
      </c>
      <c r="AS85" s="263" t="str">
        <f>IF(AS25="","",IF('VI. Energy'!AR36="yes",1,0))</f>
        <v/>
      </c>
      <c r="AT85" s="1227" t="str">
        <f>IF(AT25="","",IF('VI. Energy'!AS36="yes",1,0))</f>
        <v/>
      </c>
      <c r="AU85" s="588"/>
    </row>
    <row r="86" ht="19.5" customHeight="true" x14ac:dyDescent="0.25">
      <c r="C86" s="597"/>
      <c r="D86" s="570"/>
      <c r="E86" s="570"/>
      <c r="F86" s="570"/>
      <c r="G86" s="570"/>
      <c r="H86" s="570"/>
      <c r="I86" s="570"/>
      <c r="J86" s="570"/>
      <c r="K86" s="570"/>
      <c r="L86" s="570"/>
      <c r="M86" s="570"/>
      <c r="N86" s="570"/>
      <c r="O86" s="570"/>
      <c r="P86" s="570"/>
      <c r="Q86" s="570"/>
      <c r="R86" s="570"/>
      <c r="S86" s="570"/>
      <c r="T86" s="570"/>
      <c r="U86" s="570"/>
      <c r="V86" s="570"/>
      <c r="W86" s="570"/>
      <c r="X86" s="570"/>
      <c r="Y86" s="570"/>
      <c r="Z86" s="570"/>
      <c r="AA86" s="570"/>
      <c r="AB86" s="570"/>
      <c r="AC86" s="570"/>
      <c r="AD86" s="570"/>
      <c r="AE86" s="570"/>
      <c r="AF86" s="570"/>
      <c r="AG86" s="570"/>
      <c r="AH86" s="570"/>
      <c r="AI86" s="570"/>
      <c r="AJ86" s="570"/>
      <c r="AK86" s="570"/>
      <c r="AL86" s="570"/>
      <c r="AM86" s="570"/>
      <c r="AN86" s="570"/>
      <c r="AO86" s="570"/>
      <c r="AP86" s="570"/>
      <c r="AQ86" s="570"/>
      <c r="AR86" s="570"/>
      <c r="AS86" s="570"/>
      <c r="AT86" s="570"/>
      <c r="AU86" s="588"/>
    </row>
    <row r="87" ht="19.5" customHeight="true" x14ac:dyDescent="0.25">
      <c r="C87" s="597"/>
      <c r="D87" s="570"/>
      <c r="E87" s="570"/>
      <c r="F87" s="570"/>
      <c r="G87" s="570"/>
      <c r="H87" s="570"/>
      <c r="I87" s="570"/>
      <c r="J87" s="570"/>
      <c r="K87" s="570"/>
      <c r="L87" s="570"/>
      <c r="M87" s="570"/>
      <c r="N87" s="570"/>
      <c r="O87" s="570"/>
      <c r="P87" s="570"/>
      <c r="Q87" s="570"/>
      <c r="R87" s="570"/>
      <c r="S87" s="570"/>
      <c r="T87" s="570"/>
      <c r="U87" s="570"/>
      <c r="V87" s="570"/>
      <c r="W87" s="570"/>
      <c r="X87" s="570"/>
      <c r="Y87" s="570"/>
      <c r="Z87" s="570"/>
      <c r="AA87" s="570"/>
      <c r="AB87" s="570"/>
      <c r="AC87" s="570"/>
      <c r="AD87" s="570"/>
      <c r="AE87" s="570"/>
      <c r="AF87" s="570"/>
      <c r="AG87" s="570"/>
      <c r="AH87" s="570"/>
      <c r="AI87" s="570"/>
      <c r="AJ87" s="570"/>
      <c r="AK87" s="570"/>
      <c r="AL87" s="570"/>
      <c r="AM87" s="570"/>
      <c r="AN87" s="570"/>
      <c r="AO87" s="570"/>
      <c r="AP87" s="570"/>
      <c r="AQ87" s="570"/>
      <c r="AR87" s="570"/>
      <c r="AS87" s="570"/>
      <c r="AT87" s="570"/>
      <c r="AU87" s="588"/>
    </row>
    <row r="88" ht="19.5" customHeight="true" x14ac:dyDescent="0.25">
      <c r="C88" s="597"/>
      <c r="D88" s="570"/>
      <c r="E88" s="570"/>
      <c r="F88" s="570"/>
      <c r="G88" s="570"/>
      <c r="H88" s="570"/>
      <c r="I88" s="570"/>
      <c r="J88" s="570"/>
      <c r="K88" s="570"/>
      <c r="L88" s="570"/>
      <c r="M88" s="570"/>
      <c r="N88" s="570"/>
      <c r="O88" s="570"/>
      <c r="P88" s="570"/>
      <c r="Q88" s="570"/>
      <c r="R88" s="570"/>
      <c r="S88" s="570"/>
      <c r="T88" s="570"/>
      <c r="U88" s="570"/>
      <c r="V88" s="570"/>
      <c r="W88" s="570"/>
      <c r="X88" s="570"/>
      <c r="Y88" s="570"/>
      <c r="Z88" s="570"/>
      <c r="AA88" s="570"/>
      <c r="AB88" s="570"/>
      <c r="AC88" s="570"/>
      <c r="AD88" s="570"/>
      <c r="AE88" s="570"/>
      <c r="AF88" s="570"/>
      <c r="AG88" s="570"/>
      <c r="AH88" s="570"/>
      <c r="AI88" s="570"/>
      <c r="AJ88" s="570"/>
      <c r="AK88" s="570"/>
      <c r="AL88" s="570"/>
      <c r="AM88" s="570"/>
      <c r="AN88" s="570"/>
      <c r="AO88" s="570"/>
      <c r="AP88" s="570"/>
      <c r="AQ88" s="570"/>
      <c r="AR88" s="570"/>
      <c r="AS88" s="570"/>
      <c r="AT88" s="570"/>
      <c r="AU88" s="588"/>
    </row>
    <row r="89" ht="19.5" customHeight="true" x14ac:dyDescent="0.25">
      <c r="C89" s="597"/>
      <c r="D89" s="570"/>
      <c r="E89" s="570"/>
      <c r="F89" s="570"/>
      <c r="G89" s="570"/>
      <c r="H89" s="570"/>
      <c r="I89" s="570"/>
      <c r="J89" s="570"/>
      <c r="K89" s="570"/>
      <c r="L89" s="570"/>
      <c r="M89" s="570"/>
      <c r="N89" s="570"/>
      <c r="O89" s="570"/>
      <c r="P89" s="570"/>
      <c r="Q89" s="570"/>
      <c r="R89" s="570"/>
      <c r="S89" s="570"/>
      <c r="T89" s="570"/>
      <c r="U89" s="570"/>
      <c r="V89" s="570"/>
      <c r="W89" s="570"/>
      <c r="X89" s="570"/>
      <c r="Y89" s="570"/>
      <c r="Z89" s="570"/>
      <c r="AA89" s="570"/>
      <c r="AB89" s="570"/>
      <c r="AC89" s="570"/>
      <c r="AD89" s="570"/>
      <c r="AE89" s="570"/>
      <c r="AF89" s="570"/>
      <c r="AG89" s="570"/>
      <c r="AH89" s="570"/>
      <c r="AI89" s="570"/>
      <c r="AJ89" s="570"/>
      <c r="AK89" s="570"/>
      <c r="AL89" s="570"/>
      <c r="AM89" s="570"/>
      <c r="AN89" s="570"/>
      <c r="AO89" s="570"/>
      <c r="AP89" s="570"/>
      <c r="AQ89" s="570"/>
      <c r="AR89" s="570"/>
      <c r="AS89" s="570"/>
      <c r="AT89" s="570"/>
      <c r="AU89" s="588"/>
    </row>
    <row r="90" ht="19.5" customHeight="true" x14ac:dyDescent="0.25">
      <c r="C90" s="597"/>
      <c r="D90" s="570"/>
      <c r="E90" s="570"/>
      <c r="F90" s="570"/>
      <c r="G90" s="570"/>
      <c r="H90" s="570"/>
      <c r="I90" s="570"/>
      <c r="J90" s="570"/>
      <c r="K90" s="570"/>
      <c r="L90" s="570"/>
      <c r="M90" s="570"/>
      <c r="N90" s="570"/>
      <c r="O90" s="570"/>
      <c r="P90" s="570"/>
      <c r="Q90" s="570"/>
      <c r="R90" s="570"/>
      <c r="S90" s="570"/>
      <c r="T90" s="570"/>
      <c r="U90" s="570"/>
      <c r="V90" s="570"/>
      <c r="W90" s="570"/>
      <c r="X90" s="570"/>
      <c r="Y90" s="570"/>
      <c r="Z90" s="570"/>
      <c r="AA90" s="570"/>
      <c r="AB90" s="570"/>
      <c r="AC90" s="570"/>
      <c r="AD90" s="570"/>
      <c r="AE90" s="570"/>
      <c r="AF90" s="570"/>
      <c r="AG90" s="570"/>
      <c r="AH90" s="570"/>
      <c r="AI90" s="570"/>
      <c r="AJ90" s="570"/>
      <c r="AK90" s="570"/>
      <c r="AL90" s="570"/>
      <c r="AM90" s="570"/>
      <c r="AN90" s="570"/>
      <c r="AO90" s="570"/>
      <c r="AP90" s="570"/>
      <c r="AQ90" s="570"/>
      <c r="AR90" s="570"/>
      <c r="AS90" s="570"/>
      <c r="AT90" s="570"/>
      <c r="AU90" s="588"/>
    </row>
    <row r="91" ht="32.25" customHeight="true" thickBot="true" x14ac:dyDescent="0.55000000000000004">
      <c r="C91" s="597"/>
      <c r="D91" s="570"/>
      <c r="E91" s="2176" t="s">
        <v>2314</v>
      </c>
      <c r="F91" s="2176"/>
      <c r="G91" s="1187"/>
      <c r="H91" s="1187"/>
      <c r="I91" s="1187"/>
      <c r="J91" s="1187"/>
      <c r="K91" s="1187"/>
      <c r="L91" s="1187"/>
      <c r="M91" s="1187"/>
      <c r="N91" s="1187"/>
      <c r="O91" s="1187"/>
      <c r="P91" s="1187"/>
      <c r="Q91" s="570"/>
      <c r="R91" s="570"/>
      <c r="S91" s="570"/>
      <c r="T91" s="570"/>
      <c r="U91" s="570"/>
      <c r="V91" s="570"/>
      <c r="W91" s="570"/>
      <c r="X91" s="570"/>
      <c r="Y91" s="570"/>
      <c r="Z91" s="570"/>
      <c r="AA91" s="570"/>
      <c r="AB91" s="570"/>
      <c r="AC91" s="570"/>
      <c r="AD91" s="570"/>
      <c r="AE91" s="570"/>
      <c r="AF91" s="570"/>
      <c r="AG91" s="570"/>
      <c r="AH91" s="570"/>
      <c r="AI91" s="570"/>
      <c r="AJ91" s="570"/>
      <c r="AK91" s="570"/>
      <c r="AL91" s="570"/>
      <c r="AM91" s="570"/>
      <c r="AN91" s="570"/>
      <c r="AO91" s="570"/>
      <c r="AP91" s="570"/>
      <c r="AQ91" s="570"/>
      <c r="AR91" s="570"/>
      <c r="AS91" s="570"/>
      <c r="AT91" s="570"/>
      <c r="AU91" s="588"/>
    </row>
    <row r="92" ht="22.5" customHeight="true" x14ac:dyDescent="0.4">
      <c r="C92" s="597"/>
      <c r="D92" s="570"/>
      <c r="E92" s="603"/>
      <c r="F92" s="593"/>
      <c r="G92" s="260">
        <v>1</v>
      </c>
      <c r="H92" s="261">
        <f>G92+1</f>
        <v>2</v>
      </c>
      <c r="I92" s="261">
        <f t="shared" ref="I92:AT92" si="17">H92+1</f>
        <v>3</v>
      </c>
      <c r="J92" s="261">
        <f t="shared" si="17"/>
        <v>4</v>
      </c>
      <c r="K92" s="261">
        <f t="shared" si="17"/>
        <v>5</v>
      </c>
      <c r="L92" s="261">
        <f t="shared" si="17"/>
        <v>6</v>
      </c>
      <c r="M92" s="261">
        <f t="shared" si="17"/>
        <v>7</v>
      </c>
      <c r="N92" s="261">
        <f t="shared" si="17"/>
        <v>8</v>
      </c>
      <c r="O92" s="261">
        <f t="shared" si="17"/>
        <v>9</v>
      </c>
      <c r="P92" s="261">
        <f t="shared" si="17"/>
        <v>10</v>
      </c>
      <c r="Q92" s="261">
        <f t="shared" si="17"/>
        <v>11</v>
      </c>
      <c r="R92" s="261">
        <f t="shared" si="17"/>
        <v>12</v>
      </c>
      <c r="S92" s="261">
        <f t="shared" si="17"/>
        <v>13</v>
      </c>
      <c r="T92" s="261">
        <f t="shared" si="17"/>
        <v>14</v>
      </c>
      <c r="U92" s="261">
        <f t="shared" si="17"/>
        <v>15</v>
      </c>
      <c r="V92" s="261">
        <f t="shared" si="17"/>
        <v>16</v>
      </c>
      <c r="W92" s="261">
        <f t="shared" si="17"/>
        <v>17</v>
      </c>
      <c r="X92" s="261">
        <f t="shared" si="17"/>
        <v>18</v>
      </c>
      <c r="Y92" s="261">
        <f t="shared" si="17"/>
        <v>19</v>
      </c>
      <c r="Z92" s="261">
        <f t="shared" si="17"/>
        <v>20</v>
      </c>
      <c r="AA92" s="261">
        <f t="shared" si="17"/>
        <v>21</v>
      </c>
      <c r="AB92" s="261">
        <f t="shared" si="17"/>
        <v>22</v>
      </c>
      <c r="AC92" s="261">
        <f t="shared" si="17"/>
        <v>23</v>
      </c>
      <c r="AD92" s="261">
        <f t="shared" si="17"/>
        <v>24</v>
      </c>
      <c r="AE92" s="261">
        <f t="shared" si="17"/>
        <v>25</v>
      </c>
      <c r="AF92" s="261">
        <f t="shared" si="17"/>
        <v>26</v>
      </c>
      <c r="AG92" s="261">
        <f t="shared" si="17"/>
        <v>27</v>
      </c>
      <c r="AH92" s="261">
        <f t="shared" si="17"/>
        <v>28</v>
      </c>
      <c r="AI92" s="261">
        <f t="shared" si="17"/>
        <v>29</v>
      </c>
      <c r="AJ92" s="261">
        <f t="shared" si="17"/>
        <v>30</v>
      </c>
      <c r="AK92" s="261">
        <f t="shared" si="17"/>
        <v>31</v>
      </c>
      <c r="AL92" s="261">
        <f t="shared" si="17"/>
        <v>32</v>
      </c>
      <c r="AM92" s="261">
        <f t="shared" si="17"/>
        <v>33</v>
      </c>
      <c r="AN92" s="261">
        <f t="shared" si="17"/>
        <v>34</v>
      </c>
      <c r="AO92" s="261">
        <f t="shared" si="17"/>
        <v>35</v>
      </c>
      <c r="AP92" s="261">
        <f t="shared" si="17"/>
        <v>36</v>
      </c>
      <c r="AQ92" s="261">
        <f t="shared" si="17"/>
        <v>37</v>
      </c>
      <c r="AR92" s="261">
        <f t="shared" si="17"/>
        <v>38</v>
      </c>
      <c r="AS92" s="261">
        <f t="shared" si="17"/>
        <v>39</v>
      </c>
      <c r="AT92" s="1221">
        <f t="shared" si="17"/>
        <v>40</v>
      </c>
      <c r="AU92" s="588"/>
    </row>
    <row r="93" ht="20.25" customHeight="true" x14ac:dyDescent="0.25">
      <c r="C93" s="597"/>
      <c r="D93" s="570"/>
      <c r="E93" s="570"/>
      <c r="F93" s="495" t="s">
        <v>76</v>
      </c>
      <c r="G93" s="202" t="str">
        <f t="array" ref="G93:AT93">TRANSPOSE(OUT_stream_Num)</f>
        <v>S1-2</v>
      </c>
      <c r="H93" s="202" t="str">
        <v>CO2</v>
      </c>
      <c r="I93" s="202" t="str">
        <v/>
      </c>
      <c r="J93" s="202" t="str">
        <v/>
      </c>
      <c r="K93" s="202" t="str">
        <v/>
      </c>
      <c r="L93" s="202">
        <v>303</v>
      </c>
      <c r="M93" s="202" t="str">
        <v/>
      </c>
      <c r="N93" s="202" t="str">
        <v/>
      </c>
      <c r="O93" s="202" t="str">
        <v/>
      </c>
      <c r="P93" s="202" t="str">
        <v/>
      </c>
      <c r="Q93" s="202" t="str">
        <v/>
      </c>
      <c r="R93" s="202" t="str">
        <v/>
      </c>
      <c r="S93" s="202" t="str">
        <v/>
      </c>
      <c r="T93" s="202" t="str">
        <v/>
      </c>
      <c r="U93" s="202" t="str">
        <v/>
      </c>
      <c r="V93" s="202" t="str">
        <v/>
      </c>
      <c r="W93" s="202" t="str">
        <v/>
      </c>
      <c r="X93" s="202" t="str">
        <v/>
      </c>
      <c r="Y93" s="202" t="str">
        <v/>
      </c>
      <c r="Z93" s="202" t="str">
        <v/>
      </c>
      <c r="AA93" s="202" t="str">
        <v/>
      </c>
      <c r="AB93" s="202" t="str">
        <v/>
      </c>
      <c r="AC93" s="202" t="str">
        <v/>
      </c>
      <c r="AD93" s="202" t="str">
        <v/>
      </c>
      <c r="AE93" s="202" t="str">
        <v/>
      </c>
      <c r="AF93" s="202" t="str">
        <v/>
      </c>
      <c r="AG93" s="202" t="str">
        <v/>
      </c>
      <c r="AH93" s="202" t="str">
        <v/>
      </c>
      <c r="AI93" s="202" t="str">
        <v/>
      </c>
      <c r="AJ93" s="202" t="str">
        <v/>
      </c>
      <c r="AK93" s="202" t="str">
        <v/>
      </c>
      <c r="AL93" s="202" t="str">
        <v/>
      </c>
      <c r="AM93" s="202" t="str">
        <v/>
      </c>
      <c r="AN93" s="202" t="str">
        <v/>
      </c>
      <c r="AO93" s="202" t="str">
        <v/>
      </c>
      <c r="AP93" s="202" t="str">
        <v/>
      </c>
      <c r="AQ93" s="202" t="str">
        <v/>
      </c>
      <c r="AR93" s="202" t="str">
        <v/>
      </c>
      <c r="AS93" s="202" t="str">
        <v/>
      </c>
      <c r="AT93" s="262" t="str">
        <v/>
      </c>
      <c r="AU93" s="588"/>
    </row>
    <row r="94" ht="20.25" customHeight="true" x14ac:dyDescent="0.25">
      <c r="C94" s="597"/>
      <c r="D94" s="570"/>
      <c r="E94" s="570"/>
      <c r="F94" s="1211" t="s">
        <v>2294</v>
      </c>
      <c r="G94" s="202">
        <f t="array" ref="G94:AT94">TRANSPOSE(OUT_Enthalpy__MJ_h)</f>
        <v>-4916954.2417169847</v>
      </c>
      <c r="H94" s="202">
        <v>-399821.58125213848</v>
      </c>
      <c r="I94" s="202" t="str">
        <v/>
      </c>
      <c r="J94" s="202" t="str">
        <v/>
      </c>
      <c r="K94" s="202" t="str">
        <v/>
      </c>
      <c r="L94" s="202">
        <v>0</v>
      </c>
      <c r="M94" s="202" t="str">
        <v/>
      </c>
      <c r="N94" s="202" t="str">
        <v/>
      </c>
      <c r="O94" s="202" t="str">
        <v/>
      </c>
      <c r="P94" s="202" t="str">
        <v/>
      </c>
      <c r="Q94" s="202" t="str">
        <v/>
      </c>
      <c r="R94" s="202" t="str">
        <v/>
      </c>
      <c r="S94" s="202" t="str">
        <v/>
      </c>
      <c r="T94" s="202" t="str">
        <v/>
      </c>
      <c r="U94" s="202" t="str">
        <v/>
      </c>
      <c r="V94" s="202" t="str">
        <v/>
      </c>
      <c r="W94" s="202" t="str">
        <v/>
      </c>
      <c r="X94" s="202" t="str">
        <v/>
      </c>
      <c r="Y94" s="202" t="str">
        <v/>
      </c>
      <c r="Z94" s="202" t="str">
        <v/>
      </c>
      <c r="AA94" s="202" t="str">
        <v/>
      </c>
      <c r="AB94" s="202" t="str">
        <v/>
      </c>
      <c r="AC94" s="202" t="str">
        <v/>
      </c>
      <c r="AD94" s="202" t="str">
        <v/>
      </c>
      <c r="AE94" s="202" t="str">
        <v/>
      </c>
      <c r="AF94" s="202" t="str">
        <v/>
      </c>
      <c r="AG94" s="202" t="str">
        <v/>
      </c>
      <c r="AH94" s="202" t="str">
        <v/>
      </c>
      <c r="AI94" s="202" t="str">
        <v/>
      </c>
      <c r="AJ94" s="202" t="str">
        <v/>
      </c>
      <c r="AK94" s="202" t="str">
        <v/>
      </c>
      <c r="AL94" s="202" t="str">
        <v/>
      </c>
      <c r="AM94" s="202" t="str">
        <v/>
      </c>
      <c r="AN94" s="202" t="str">
        <v/>
      </c>
      <c r="AO94" s="202" t="str">
        <v/>
      </c>
      <c r="AP94" s="202" t="str">
        <v/>
      </c>
      <c r="AQ94" s="202" t="str">
        <v/>
      </c>
      <c r="AR94" s="202" t="str">
        <v/>
      </c>
      <c r="AS94" s="202" t="str">
        <v/>
      </c>
      <c r="AT94" s="262" t="str">
        <v/>
      </c>
      <c r="AU94" s="588"/>
    </row>
    <row r="95" ht="20.25" customHeight="true" x14ac:dyDescent="0.25">
      <c r="C95" s="597"/>
      <c r="D95" s="570"/>
      <c r="E95" s="570"/>
      <c r="F95" s="1211" t="s">
        <v>2295</v>
      </c>
      <c r="G95" s="202">
        <f t="array" ref="G95:AT95">TRANSPOSE(OUT_Entropy__MJ_K_h)</f>
        <v>-9.7321236926486687</v>
      </c>
      <c r="H95" s="202">
        <v>0.19630744634537137</v>
      </c>
      <c r="I95" s="202" t="str">
        <v/>
      </c>
      <c r="J95" s="202" t="str">
        <v/>
      </c>
      <c r="K95" s="202" t="str">
        <v/>
      </c>
      <c r="L95" s="202">
        <v>0</v>
      </c>
      <c r="M95" s="202" t="str">
        <v/>
      </c>
      <c r="N95" s="202" t="str">
        <v/>
      </c>
      <c r="O95" s="202" t="str">
        <v/>
      </c>
      <c r="P95" s="202" t="str">
        <v/>
      </c>
      <c r="Q95" s="202" t="str">
        <v/>
      </c>
      <c r="R95" s="202" t="str">
        <v/>
      </c>
      <c r="S95" s="202" t="str">
        <v/>
      </c>
      <c r="T95" s="202" t="str">
        <v/>
      </c>
      <c r="U95" s="202" t="str">
        <v/>
      </c>
      <c r="V95" s="202" t="str">
        <v/>
      </c>
      <c r="W95" s="202" t="str">
        <v/>
      </c>
      <c r="X95" s="202" t="str">
        <v/>
      </c>
      <c r="Y95" s="202" t="str">
        <v/>
      </c>
      <c r="Z95" s="202" t="str">
        <v/>
      </c>
      <c r="AA95" s="202" t="str">
        <v/>
      </c>
      <c r="AB95" s="202" t="str">
        <v/>
      </c>
      <c r="AC95" s="202" t="str">
        <v/>
      </c>
      <c r="AD95" s="202" t="str">
        <v/>
      </c>
      <c r="AE95" s="202" t="str">
        <v/>
      </c>
      <c r="AF95" s="202" t="str">
        <v/>
      </c>
      <c r="AG95" s="202" t="str">
        <v/>
      </c>
      <c r="AH95" s="202" t="str">
        <v/>
      </c>
      <c r="AI95" s="202" t="str">
        <v/>
      </c>
      <c r="AJ95" s="202" t="str">
        <v/>
      </c>
      <c r="AK95" s="202" t="str">
        <v/>
      </c>
      <c r="AL95" s="202" t="str">
        <v/>
      </c>
      <c r="AM95" s="202" t="str">
        <v/>
      </c>
      <c r="AN95" s="202" t="str">
        <v/>
      </c>
      <c r="AO95" s="202" t="str">
        <v/>
      </c>
      <c r="AP95" s="202" t="str">
        <v/>
      </c>
      <c r="AQ95" s="202" t="str">
        <v/>
      </c>
      <c r="AR95" s="202" t="str">
        <v/>
      </c>
      <c r="AS95" s="202" t="str">
        <v/>
      </c>
      <c r="AT95" s="262" t="str">
        <v/>
      </c>
      <c r="AU95" s="588"/>
    </row>
    <row r="96" ht="20.25" customHeight="true" x14ac:dyDescent="0.25">
      <c r="C96" s="597"/>
      <c r="D96" s="570"/>
      <c r="E96" s="570"/>
      <c r="F96" s="495" t="s">
        <v>2298</v>
      </c>
      <c r="G96" s="202">
        <f t="array" ref="G96:AT96">TRANSPOSE(OUT_Current_flow_rate)</f>
        <v>4512.0151204088124</v>
      </c>
      <c r="H96" s="202">
        <v>2980.7504537999998</v>
      </c>
      <c r="I96" s="202" t="str">
        <v/>
      </c>
      <c r="J96" s="202" t="str">
        <v/>
      </c>
      <c r="K96" s="202" t="str">
        <v/>
      </c>
      <c r="L96" s="202">
        <v>0</v>
      </c>
      <c r="M96" s="202" t="str">
        <v/>
      </c>
      <c r="N96" s="202" t="str">
        <v/>
      </c>
      <c r="O96" s="202" t="str">
        <v/>
      </c>
      <c r="P96" s="202" t="str">
        <v/>
      </c>
      <c r="Q96" s="202" t="str">
        <v/>
      </c>
      <c r="R96" s="202" t="str">
        <v/>
      </c>
      <c r="S96" s="202" t="str">
        <v/>
      </c>
      <c r="T96" s="202" t="str">
        <v/>
      </c>
      <c r="U96" s="202" t="str">
        <v/>
      </c>
      <c r="V96" s="202" t="str">
        <v/>
      </c>
      <c r="W96" s="202" t="str">
        <v/>
      </c>
      <c r="X96" s="202" t="str">
        <v/>
      </c>
      <c r="Y96" s="202" t="str">
        <v/>
      </c>
      <c r="Z96" s="202" t="str">
        <v/>
      </c>
      <c r="AA96" s="202" t="str">
        <v/>
      </c>
      <c r="AB96" s="202" t="str">
        <v/>
      </c>
      <c r="AC96" s="202" t="str">
        <v/>
      </c>
      <c r="AD96" s="202" t="str">
        <v/>
      </c>
      <c r="AE96" s="202" t="str">
        <v/>
      </c>
      <c r="AF96" s="202" t="str">
        <v/>
      </c>
      <c r="AG96" s="202" t="str">
        <v/>
      </c>
      <c r="AH96" s="202" t="str">
        <v/>
      </c>
      <c r="AI96" s="202" t="str">
        <v/>
      </c>
      <c r="AJ96" s="202" t="str">
        <v/>
      </c>
      <c r="AK96" s="202" t="str">
        <v/>
      </c>
      <c r="AL96" s="202" t="str">
        <v/>
      </c>
      <c r="AM96" s="202" t="str">
        <v/>
      </c>
      <c r="AN96" s="202" t="str">
        <v/>
      </c>
      <c r="AO96" s="202" t="str">
        <v/>
      </c>
      <c r="AP96" s="202" t="str">
        <v/>
      </c>
      <c r="AQ96" s="202" t="str">
        <v/>
      </c>
      <c r="AR96" s="202" t="str">
        <v/>
      </c>
      <c r="AS96" s="202" t="str">
        <v/>
      </c>
      <c r="AT96" s="262" t="str">
        <v/>
      </c>
      <c r="AU96" s="588"/>
    </row>
    <row r="97" ht="20.25" customHeight="true" x14ac:dyDescent="0.25">
      <c r="C97" s="597"/>
      <c r="D97" s="570"/>
      <c r="E97" s="570"/>
      <c r="F97" s="1211" t="s">
        <v>2296</v>
      </c>
      <c r="G97" s="202">
        <f>IF(G93="","",SUMPRODUCT('I. Stream &amp; Compound Data'!H186:H235,H°_MJ_kg_1atm_25°C))</f>
        <v>-52290.499824226572</v>
      </c>
      <c r="H97" s="202">
        <f>IF(H93="","",SUMPRODUCT('I. Stream &amp; Compound Data'!K186:K235,H°_MJ_kg_1atm_25°C))</f>
        <v>-26652.993525929076</v>
      </c>
      <c r="I97" s="202" t="str">
        <f>IF(I93="","",SUMPRODUCT('I. Stream &amp; Compound Data'!N186:N235,H°_MJ_kg_1atm_25°C))</f>
        <v/>
      </c>
      <c r="J97" s="202" t="str">
        <f>IF(J93="","",SUMPRODUCT('I. Stream &amp; Compound Data'!Q186:Q235,H°_MJ_kg_1atm_25°C))</f>
        <v/>
      </c>
      <c r="K97" s="202" t="str">
        <f>IF(K93="","",SUMPRODUCT('I. Stream &amp; Compound Data'!T186:T235,H°_MJ_kg_1atm_25°C))</f>
        <v/>
      </c>
      <c r="L97" s="202">
        <f>IF(L93="","",SUMPRODUCT('I. Stream &amp; Compound Data'!W186:W235,H°_MJ_kg_1atm_25°C))</f>
        <v>0</v>
      </c>
      <c r="M97" s="202" t="str">
        <f>IF(M93="","",SUMPRODUCT('I. Stream &amp; Compound Data'!Z186:Z235,H°_MJ_kg_1atm_25°C))</f>
        <v/>
      </c>
      <c r="N97" s="202" t="str">
        <f>IF(N93="","",SUMPRODUCT('I. Stream &amp; Compound Data'!AC186:AC235,H°_MJ_kg_1atm_25°C))</f>
        <v/>
      </c>
      <c r="O97" s="202" t="str">
        <f>IF(O93="","",SUMPRODUCT('I. Stream &amp; Compound Data'!AF186:AF235,H°_MJ_kg_1atm_25°C))</f>
        <v/>
      </c>
      <c r="P97" s="202" t="str">
        <f>IF(P93="","",SUMPRODUCT('I. Stream &amp; Compound Data'!AI186:AI235,H°_MJ_kg_1atm_25°C))</f>
        <v/>
      </c>
      <c r="Q97" s="202" t="str">
        <f>IF(Q93="","",SUMPRODUCT('I. Stream &amp; Compound Data'!AL186:AL235,H°_MJ_kg_1atm_25°C))</f>
        <v/>
      </c>
      <c r="R97" s="202" t="str">
        <f>IF(R93="","",SUMPRODUCT('I. Stream &amp; Compound Data'!AO186:AO235,H°_MJ_kg_1atm_25°C))</f>
        <v/>
      </c>
      <c r="S97" s="202" t="str">
        <f>IF(S93="","",SUMPRODUCT('I. Stream &amp; Compound Data'!AR186:AR235,H°_MJ_kg_1atm_25°C))</f>
        <v/>
      </c>
      <c r="T97" s="202" t="str">
        <f>IF(T93="","",SUMPRODUCT('I. Stream &amp; Compound Data'!AU186:AU235,H°_MJ_kg_1atm_25°C))</f>
        <v/>
      </c>
      <c r="U97" s="202" t="str">
        <f>IF(U93="","",SUMPRODUCT('I. Stream &amp; Compound Data'!AX186:AX235,H°_MJ_kg_1atm_25°C))</f>
        <v/>
      </c>
      <c r="V97" s="202" t="str">
        <f>IF(V93="","",SUMPRODUCT('I. Stream &amp; Compound Data'!BA186:BA235,H°_MJ_kg_1atm_25°C))</f>
        <v/>
      </c>
      <c r="W97" s="202" t="str">
        <f>IF(W93="","",SUMPRODUCT('I. Stream &amp; Compound Data'!BD186:BD235,H°_MJ_kg_1atm_25°C))</f>
        <v/>
      </c>
      <c r="X97" s="202" t="str">
        <f>IF(X93="","",SUMPRODUCT('I. Stream &amp; Compound Data'!BG186:BG235,H°_MJ_kg_1atm_25°C))</f>
        <v/>
      </c>
      <c r="Y97" s="202" t="str">
        <f>IF(Y93="","",SUMPRODUCT('I. Stream &amp; Compound Data'!BJ186:BJ235,H°_MJ_kg_1atm_25°C))</f>
        <v/>
      </c>
      <c r="Z97" s="202" t="str">
        <f>IF(Z93="","",SUMPRODUCT('I. Stream &amp; Compound Data'!BM186:BM235,H°_MJ_kg_1atm_25°C))</f>
        <v/>
      </c>
      <c r="AA97" s="202" t="str">
        <f>IF(AA93="","",SUMPRODUCT('I. Stream &amp; Compound Data'!BP186:BP235,H°_MJ_kg_1atm_25°C))</f>
        <v/>
      </c>
      <c r="AB97" s="202" t="str">
        <f>IF(AB93="","",SUMPRODUCT('I. Stream &amp; Compound Data'!BS186:BS235,H°_MJ_kg_1atm_25°C))</f>
        <v/>
      </c>
      <c r="AC97" s="202" t="str">
        <f>IF(AC93="","",SUMPRODUCT('I. Stream &amp; Compound Data'!BV186:BV235,H°_MJ_kg_1atm_25°C))</f>
        <v/>
      </c>
      <c r="AD97" s="202" t="str">
        <f>IF(AD93="","",SUMPRODUCT('I. Stream &amp; Compound Data'!BY186:BY235,H°_MJ_kg_1atm_25°C))</f>
        <v/>
      </c>
      <c r="AE97" s="202" t="str">
        <f>IF(AE93="","",SUMPRODUCT('I. Stream &amp; Compound Data'!CB186:CB235,H°_MJ_kg_1atm_25°C))</f>
        <v/>
      </c>
      <c r="AF97" s="202" t="str">
        <f>IF(AF93="","",SUMPRODUCT('I. Stream &amp; Compound Data'!CE186:CE235,H°_MJ_kg_1atm_25°C))</f>
        <v/>
      </c>
      <c r="AG97" s="202" t="str">
        <f>IF(AG93="","",SUMPRODUCT('I. Stream &amp; Compound Data'!CH186:CH235,H°_MJ_kg_1atm_25°C))</f>
        <v/>
      </c>
      <c r="AH97" s="202" t="str">
        <f>IF(AH93="","",SUMPRODUCT('I. Stream &amp; Compound Data'!CK186:CK235,H°_MJ_kg_1atm_25°C))</f>
        <v/>
      </c>
      <c r="AI97" s="202" t="str">
        <f>IF(AI93="","",SUMPRODUCT('I. Stream &amp; Compound Data'!CN186:CN235,H°_MJ_kg_1atm_25°C))</f>
        <v/>
      </c>
      <c r="AJ97" s="202" t="str">
        <f>IF(AJ93="","",SUMPRODUCT('I. Stream &amp; Compound Data'!CQ186:CQ235,H°_MJ_kg_1atm_25°C))</f>
        <v/>
      </c>
      <c r="AK97" s="202" t="str">
        <f>IF(AK93="","",SUMPRODUCT('I. Stream &amp; Compound Data'!CT186:CT235,H°_MJ_kg_1atm_25°C))</f>
        <v/>
      </c>
      <c r="AL97" s="202" t="str">
        <f>IF(AL93="","",SUMPRODUCT('I. Stream &amp; Compound Data'!CW186:CW235,H°_MJ_kg_1atm_25°C))</f>
        <v/>
      </c>
      <c r="AM97" s="202" t="str">
        <f>IF(AM93="","",SUMPRODUCT('I. Stream &amp; Compound Data'!CZ186:CZ235,H°_MJ_kg_1atm_25°C))</f>
        <v/>
      </c>
      <c r="AN97" s="202" t="str">
        <f>IF(AN93="","",SUMPRODUCT('I. Stream &amp; Compound Data'!DC186:DC235,H°_MJ_kg_1atm_25°C))</f>
        <v/>
      </c>
      <c r="AO97" s="202" t="str">
        <f>IF(AO93="","",SUMPRODUCT('I. Stream &amp; Compound Data'!DF186:DF235,H°_MJ_kg_1atm_25°C))</f>
        <v/>
      </c>
      <c r="AP97" s="202" t="str">
        <f>IF(AP93="","",SUMPRODUCT('I. Stream &amp; Compound Data'!DI186:DI235,H°_MJ_kg_1atm_25°C))</f>
        <v/>
      </c>
      <c r="AQ97" s="202" t="str">
        <f>IF(AQ93="","",SUMPRODUCT('I. Stream &amp; Compound Data'!DL186:DL235,H°_MJ_kg_1atm_25°C))</f>
        <v/>
      </c>
      <c r="AR97" s="202" t="str">
        <f>IF(AR93="","",SUMPRODUCT('I. Stream &amp; Compound Data'!DO186:DO235,H°_MJ_kg_1atm_25°C))</f>
        <v/>
      </c>
      <c r="AS97" s="202" t="str">
        <f>IF(AS93="","",SUMPRODUCT('I. Stream &amp; Compound Data'!DR186:DR235,H°_MJ_kg_1atm_25°C))</f>
        <v/>
      </c>
      <c r="AT97" s="262" t="str">
        <f>IF(AT93="","",SUMPRODUCT('I. Stream &amp; Compound Data'!DU186:DU235,H°_MJ_kg_1atm_25°C))</f>
        <v/>
      </c>
      <c r="AU97" s="588"/>
    </row>
    <row r="98" ht="20.25" customHeight="true" x14ac:dyDescent="0.25">
      <c r="C98" s="597"/>
      <c r="D98" s="570"/>
      <c r="E98" s="570"/>
      <c r="F98" s="1211" t="s">
        <v>2297</v>
      </c>
      <c r="G98" s="202">
        <f>IF(G93="","",SUMPRODUCT('I. Stream &amp; Compound Data'!H186:H235,S°_MJ_kg_K_1atm_25°C))</f>
        <v>3469.4898969753549</v>
      </c>
      <c r="H98" s="202">
        <f>IF(H93="","",SUMPRODUCT('I. Stream &amp; Compound Data'!K186:K235,S°_MJ_kg_K_1atm_25°C))</f>
        <v>14479.933639734645</v>
      </c>
      <c r="I98" s="202" t="str">
        <f>IF(I93="","",SUMPRODUCT('I. Stream &amp; Compound Data'!N186:N235,S°_MJ_kg_K_1atm_25°C))</f>
        <v/>
      </c>
      <c r="J98" s="202" t="str">
        <f>IF(J93="","",SUMPRODUCT('I. Stream &amp; Compound Data'!Q186:Q235,S°_MJ_kg_K_1atm_25°C))</f>
        <v/>
      </c>
      <c r="K98" s="202" t="str">
        <f>IF(K93="","",SUMPRODUCT('I. Stream &amp; Compound Data'!T186:T235,S°_MJ_kg_K_1atm_25°C))</f>
        <v/>
      </c>
      <c r="L98" s="202">
        <f>IF(L93="","",SUMPRODUCT('I. Stream &amp; Compound Data'!W186:W235,S°_MJ_kg_K_1atm_25°C))</f>
        <v>0</v>
      </c>
      <c r="M98" s="202" t="str">
        <f>IF(M93="","",SUMPRODUCT('I. Stream &amp; Compound Data'!Z186:Z235,S°_MJ_kg_K_1atm_25°C))</f>
        <v/>
      </c>
      <c r="N98" s="202" t="str">
        <f>IF(N93="","",SUMPRODUCT('I. Stream &amp; Compound Data'!AC186:AC235,S°_MJ_kg_K_1atm_25°C))</f>
        <v/>
      </c>
      <c r="O98" s="202" t="str">
        <f>IF(O93="","",SUMPRODUCT('I. Stream &amp; Compound Data'!AF186:AF235,S°_MJ_kg_K_1atm_25°C))</f>
        <v/>
      </c>
      <c r="P98" s="202" t="str">
        <f>IF(P93="","",SUMPRODUCT('I. Stream &amp; Compound Data'!AI186:AI235,S°_MJ_kg_K_1atm_25°C))</f>
        <v/>
      </c>
      <c r="Q98" s="202" t="str">
        <f>IF(Q93="","",SUMPRODUCT('I. Stream &amp; Compound Data'!AL186:AL235,S°_MJ_kg_K_1atm_25°C))</f>
        <v/>
      </c>
      <c r="R98" s="202" t="str">
        <f>IF(R93="","",SUMPRODUCT('I. Stream &amp; Compound Data'!AO186:AO235,S°_MJ_kg_K_1atm_25°C))</f>
        <v/>
      </c>
      <c r="S98" s="202" t="str">
        <f>IF(S93="","",SUMPRODUCT('I. Stream &amp; Compound Data'!AR186:AR235,S°_MJ_kg_K_1atm_25°C))</f>
        <v/>
      </c>
      <c r="T98" s="202" t="str">
        <f>IF(T93="","",SUMPRODUCT('I. Stream &amp; Compound Data'!AU186:AU235,S°_MJ_kg_K_1atm_25°C))</f>
        <v/>
      </c>
      <c r="U98" s="202" t="str">
        <f>IF(U93="","",SUMPRODUCT('I. Stream &amp; Compound Data'!AX186:AX235,S°_MJ_kg_K_1atm_25°C))</f>
        <v/>
      </c>
      <c r="V98" s="202" t="str">
        <f>IF(V93="","",SUMPRODUCT('I. Stream &amp; Compound Data'!BA186:BA235,S°_MJ_kg_K_1atm_25°C))</f>
        <v/>
      </c>
      <c r="W98" s="202" t="str">
        <f>IF(W93="","",SUMPRODUCT('I. Stream &amp; Compound Data'!BD186:BD235,S°_MJ_kg_K_1atm_25°C))</f>
        <v/>
      </c>
      <c r="X98" s="202" t="str">
        <f>IF(X93="","",SUMPRODUCT('I. Stream &amp; Compound Data'!BG186:BG235,S°_MJ_kg_K_1atm_25°C))</f>
        <v/>
      </c>
      <c r="Y98" s="202" t="str">
        <f>IF(Y93="","",SUMPRODUCT('I. Stream &amp; Compound Data'!BJ186:BJ235,S°_MJ_kg_K_1atm_25°C))</f>
        <v/>
      </c>
      <c r="Z98" s="202" t="str">
        <f>IF(Z93="","",SUMPRODUCT('I. Stream &amp; Compound Data'!BM186:BM235,S°_MJ_kg_K_1atm_25°C))</f>
        <v/>
      </c>
      <c r="AA98" s="202" t="str">
        <f>IF(AA93="","",SUMPRODUCT('I. Stream &amp; Compound Data'!BP186:BP235,S°_MJ_kg_K_1atm_25°C))</f>
        <v/>
      </c>
      <c r="AB98" s="202" t="str">
        <f>IF(AB93="","",SUMPRODUCT('I. Stream &amp; Compound Data'!BS186:BS235,S°_MJ_kg_K_1atm_25°C))</f>
        <v/>
      </c>
      <c r="AC98" s="202" t="str">
        <f>IF(AC93="","",SUMPRODUCT('I. Stream &amp; Compound Data'!BV186:BV235,S°_MJ_kg_K_1atm_25°C))</f>
        <v/>
      </c>
      <c r="AD98" s="202" t="str">
        <f>IF(AD93="","",SUMPRODUCT('I. Stream &amp; Compound Data'!BY186:BY235,S°_MJ_kg_K_1atm_25°C))</f>
        <v/>
      </c>
      <c r="AE98" s="202" t="str">
        <f>IF(AE93="","",SUMPRODUCT('I. Stream &amp; Compound Data'!CB186:CB235,S°_MJ_kg_K_1atm_25°C))</f>
        <v/>
      </c>
      <c r="AF98" s="202" t="str">
        <f>IF(AF93="","",SUMPRODUCT('I. Stream &amp; Compound Data'!CE186:CE235,S°_MJ_kg_K_1atm_25°C))</f>
        <v/>
      </c>
      <c r="AG98" s="202" t="str">
        <f>IF(AG93="","",SUMPRODUCT('I. Stream &amp; Compound Data'!CH186:CH235,S°_MJ_kg_K_1atm_25°C))</f>
        <v/>
      </c>
      <c r="AH98" s="202" t="str">
        <f>IF(AH93="","",SUMPRODUCT('I. Stream &amp; Compound Data'!CK186:CK235,S°_MJ_kg_K_1atm_25°C))</f>
        <v/>
      </c>
      <c r="AI98" s="202" t="str">
        <f>IF(AI93="","",SUMPRODUCT('I. Stream &amp; Compound Data'!CN186:CN235,S°_MJ_kg_K_1atm_25°C))</f>
        <v/>
      </c>
      <c r="AJ98" s="202" t="str">
        <f>IF(AJ93="","",SUMPRODUCT('I. Stream &amp; Compound Data'!CQ186:CQ235,S°_MJ_kg_K_1atm_25°C))</f>
        <v/>
      </c>
      <c r="AK98" s="202" t="str">
        <f>IF(AK93="","",SUMPRODUCT('I. Stream &amp; Compound Data'!CT186:CT235,S°_MJ_kg_K_1atm_25°C))</f>
        <v/>
      </c>
      <c r="AL98" s="202" t="str">
        <f>IF(AL93="","",SUMPRODUCT('I. Stream &amp; Compound Data'!CW186:CW235,S°_MJ_kg_K_1atm_25°C))</f>
        <v/>
      </c>
      <c r="AM98" s="202" t="str">
        <f>IF(AM93="","",SUMPRODUCT('I. Stream &amp; Compound Data'!CZ186:CZ235,S°_MJ_kg_K_1atm_25°C))</f>
        <v/>
      </c>
      <c r="AN98" s="202" t="str">
        <f>IF(AN93="","",SUMPRODUCT('I. Stream &amp; Compound Data'!DC186:DC235,S°_MJ_kg_K_1atm_25°C))</f>
        <v/>
      </c>
      <c r="AO98" s="202" t="str">
        <f>IF(AO93="","",SUMPRODUCT('I. Stream &amp; Compound Data'!DF186:DF235,S°_MJ_kg_K_1atm_25°C))</f>
        <v/>
      </c>
      <c r="AP98" s="202" t="str">
        <f>IF(AP93="","",SUMPRODUCT('I. Stream &amp; Compound Data'!DI186:DI235,S°_MJ_kg_K_1atm_25°C))</f>
        <v/>
      </c>
      <c r="AQ98" s="202" t="str">
        <f>IF(AQ93="","",SUMPRODUCT('I. Stream &amp; Compound Data'!DL186:DL235,S°_MJ_kg_K_1atm_25°C))</f>
        <v/>
      </c>
      <c r="AR98" s="202" t="str">
        <f>IF(AR93="","",SUMPRODUCT('I. Stream &amp; Compound Data'!DO186:DO235,S°_MJ_kg_K_1atm_25°C))</f>
        <v/>
      </c>
      <c r="AS98" s="202" t="str">
        <f>IF(AS93="","",SUMPRODUCT('I. Stream &amp; Compound Data'!DR186:DR235,S°_MJ_kg_K_1atm_25°C))</f>
        <v/>
      </c>
      <c r="AT98" s="262" t="str">
        <f>IF(AT93="","",SUMPRODUCT('I. Stream &amp; Compound Data'!DU186:DU235,S°_MJ_kg_K_1atm_25°C))</f>
        <v/>
      </c>
      <c r="AU98" s="588"/>
    </row>
    <row r="99" ht="20.25" customHeight="true" x14ac:dyDescent="0.25">
      <c r="C99" s="597"/>
      <c r="D99" s="570"/>
      <c r="E99" s="570"/>
      <c r="F99" s="1170"/>
      <c r="G99" s="202"/>
      <c r="H99" s="202"/>
      <c r="I99" s="202"/>
      <c r="J99" s="202"/>
      <c r="K99" s="202"/>
      <c r="L99" s="202"/>
      <c r="M99" s="202"/>
      <c r="N99" s="202"/>
      <c r="O99" s="202"/>
      <c r="P99" s="202"/>
      <c r="Q99" s="202"/>
      <c r="R99" s="202"/>
      <c r="S99" s="202"/>
      <c r="T99" s="202"/>
      <c r="U99" s="202"/>
      <c r="V99" s="202"/>
      <c r="W99" s="202"/>
      <c r="X99" s="202"/>
      <c r="Y99" s="202"/>
      <c r="Z99" s="202"/>
      <c r="AA99" s="202"/>
      <c r="AB99" s="202"/>
      <c r="AC99" s="202"/>
      <c r="AD99" s="202"/>
      <c r="AE99" s="202"/>
      <c r="AF99" s="202"/>
      <c r="AG99" s="202"/>
      <c r="AH99" s="202"/>
      <c r="AI99" s="202"/>
      <c r="AJ99" s="202"/>
      <c r="AK99" s="202"/>
      <c r="AL99" s="202"/>
      <c r="AM99" s="202"/>
      <c r="AN99" s="202"/>
      <c r="AO99" s="202"/>
      <c r="AP99" s="202"/>
      <c r="AQ99" s="202"/>
      <c r="AR99" s="202"/>
      <c r="AS99" s="202"/>
      <c r="AT99" s="262"/>
      <c r="AU99" s="588"/>
    </row>
    <row r="100" ht="20.25" customHeight="true" x14ac:dyDescent="0.25">
      <c r="C100" s="597"/>
      <c r="D100" s="570"/>
      <c r="E100" s="570"/>
      <c r="F100" s="1211" t="s">
        <v>1865</v>
      </c>
      <c r="G100" s="202">
        <f>IF(G93="","",(G94-G97))</f>
        <v>-4864663.7418927578</v>
      </c>
      <c r="H100" s="202">
        <f t="shared" ref="H100:O100" si="18">IF(H93="","",(H94-H97))</f>
        <v>-373168.58772620943</v>
      </c>
      <c r="I100" s="202" t="str">
        <f t="shared" si="18"/>
        <v/>
      </c>
      <c r="J100" s="202" t="str">
        <f t="shared" si="18"/>
        <v/>
      </c>
      <c r="K100" s="202" t="str">
        <f t="shared" si="18"/>
        <v/>
      </c>
      <c r="L100" s="202">
        <f t="shared" si="18"/>
        <v>0</v>
      </c>
      <c r="M100" s="202" t="str">
        <f t="shared" si="18"/>
        <v/>
      </c>
      <c r="N100" s="202" t="str">
        <f t="shared" si="18"/>
        <v/>
      </c>
      <c r="O100" s="202" t="str">
        <f t="shared" si="18"/>
        <v/>
      </c>
      <c r="P100" s="202" t="str">
        <f>IF(P93="","",(P94-P97))</f>
        <v/>
      </c>
      <c r="Q100" s="202" t="str">
        <f t="shared" ref="Q100:AT100" si="19">IF(Q93="","",(Q94-Q97))</f>
        <v/>
      </c>
      <c r="R100" s="202" t="str">
        <f t="shared" si="19"/>
        <v/>
      </c>
      <c r="S100" s="202" t="str">
        <f t="shared" si="19"/>
        <v/>
      </c>
      <c r="T100" s="202" t="str">
        <f t="shared" si="19"/>
        <v/>
      </c>
      <c r="U100" s="202" t="str">
        <f t="shared" si="19"/>
        <v/>
      </c>
      <c r="V100" s="202" t="str">
        <f t="shared" si="19"/>
        <v/>
      </c>
      <c r="W100" s="202" t="str">
        <f t="shared" si="19"/>
        <v/>
      </c>
      <c r="X100" s="202" t="str">
        <f t="shared" si="19"/>
        <v/>
      </c>
      <c r="Y100" s="202" t="str">
        <f t="shared" si="19"/>
        <v/>
      </c>
      <c r="Z100" s="202" t="str">
        <f t="shared" si="19"/>
        <v/>
      </c>
      <c r="AA100" s="202" t="str">
        <f t="shared" si="19"/>
        <v/>
      </c>
      <c r="AB100" s="202" t="str">
        <f t="shared" si="19"/>
        <v/>
      </c>
      <c r="AC100" s="202" t="str">
        <f t="shared" si="19"/>
        <v/>
      </c>
      <c r="AD100" s="202" t="str">
        <f t="shared" si="19"/>
        <v/>
      </c>
      <c r="AE100" s="202" t="str">
        <f t="shared" si="19"/>
        <v/>
      </c>
      <c r="AF100" s="202" t="str">
        <f t="shared" si="19"/>
        <v/>
      </c>
      <c r="AG100" s="202" t="str">
        <f t="shared" si="19"/>
        <v/>
      </c>
      <c r="AH100" s="202" t="str">
        <f t="shared" si="19"/>
        <v/>
      </c>
      <c r="AI100" s="202" t="str">
        <f t="shared" si="19"/>
        <v/>
      </c>
      <c r="AJ100" s="202" t="str">
        <f t="shared" si="19"/>
        <v/>
      </c>
      <c r="AK100" s="202" t="str">
        <f t="shared" si="19"/>
        <v/>
      </c>
      <c r="AL100" s="202" t="str">
        <f t="shared" si="19"/>
        <v/>
      </c>
      <c r="AM100" s="202" t="str">
        <f t="shared" si="19"/>
        <v/>
      </c>
      <c r="AN100" s="202" t="str">
        <f t="shared" si="19"/>
        <v/>
      </c>
      <c r="AO100" s="202" t="str">
        <f t="shared" si="19"/>
        <v/>
      </c>
      <c r="AP100" s="202" t="str">
        <f t="shared" si="19"/>
        <v/>
      </c>
      <c r="AQ100" s="202" t="str">
        <f t="shared" si="19"/>
        <v/>
      </c>
      <c r="AR100" s="202" t="str">
        <f t="shared" si="19"/>
        <v/>
      </c>
      <c r="AS100" s="202" t="str">
        <f t="shared" si="19"/>
        <v/>
      </c>
      <c r="AT100" s="262" t="str">
        <f t="shared" si="19"/>
        <v/>
      </c>
      <c r="AU100" s="588"/>
    </row>
    <row r="101" ht="20.25" customHeight="true" thickBot="true" x14ac:dyDescent="0.3">
      <c r="C101" s="597"/>
      <c r="D101" s="570"/>
      <c r="E101" s="570"/>
      <c r="F101" s="585" t="s">
        <v>1866</v>
      </c>
      <c r="G101" s="263">
        <f>IF(G93="","",(G95-G98))</f>
        <v>-3479.2220206680036</v>
      </c>
      <c r="H101" s="263">
        <f t="shared" ref="H101:O101" si="20">IF(H93="","",(H95-H98))</f>
        <v>-14479.7373322883</v>
      </c>
      <c r="I101" s="263" t="str">
        <f t="shared" si="20"/>
        <v/>
      </c>
      <c r="J101" s="263" t="str">
        <f t="shared" si="20"/>
        <v/>
      </c>
      <c r="K101" s="263" t="str">
        <f t="shared" si="20"/>
        <v/>
      </c>
      <c r="L101" s="263">
        <f t="shared" si="20"/>
        <v>0</v>
      </c>
      <c r="M101" s="263" t="str">
        <f t="shared" si="20"/>
        <v/>
      </c>
      <c r="N101" s="263" t="str">
        <f t="shared" si="20"/>
        <v/>
      </c>
      <c r="O101" s="263" t="str">
        <f t="shared" si="20"/>
        <v/>
      </c>
      <c r="P101" s="263" t="str">
        <f>IF(P93="","",(P95-P98))</f>
        <v/>
      </c>
      <c r="Q101" s="263" t="str">
        <f t="shared" ref="Q101:AT101" si="21">IF(Q93="","",(Q95-Q98))</f>
        <v/>
      </c>
      <c r="R101" s="263" t="str">
        <f t="shared" si="21"/>
        <v/>
      </c>
      <c r="S101" s="263" t="str">
        <f t="shared" si="21"/>
        <v/>
      </c>
      <c r="T101" s="263" t="str">
        <f t="shared" si="21"/>
        <v/>
      </c>
      <c r="U101" s="263" t="str">
        <f t="shared" si="21"/>
        <v/>
      </c>
      <c r="V101" s="263" t="str">
        <f t="shared" si="21"/>
        <v/>
      </c>
      <c r="W101" s="263" t="str">
        <f t="shared" si="21"/>
        <v/>
      </c>
      <c r="X101" s="263" t="str">
        <f t="shared" si="21"/>
        <v/>
      </c>
      <c r="Y101" s="263" t="str">
        <f t="shared" si="21"/>
        <v/>
      </c>
      <c r="Z101" s="263" t="str">
        <f t="shared" si="21"/>
        <v/>
      </c>
      <c r="AA101" s="263" t="str">
        <f t="shared" si="21"/>
        <v/>
      </c>
      <c r="AB101" s="263" t="str">
        <f t="shared" si="21"/>
        <v/>
      </c>
      <c r="AC101" s="263" t="str">
        <f t="shared" si="21"/>
        <v/>
      </c>
      <c r="AD101" s="263" t="str">
        <f t="shared" si="21"/>
        <v/>
      </c>
      <c r="AE101" s="263" t="str">
        <f t="shared" si="21"/>
        <v/>
      </c>
      <c r="AF101" s="263" t="str">
        <f t="shared" si="21"/>
        <v/>
      </c>
      <c r="AG101" s="263" t="str">
        <f t="shared" si="21"/>
        <v/>
      </c>
      <c r="AH101" s="263" t="str">
        <f t="shared" si="21"/>
        <v/>
      </c>
      <c r="AI101" s="263" t="str">
        <f t="shared" si="21"/>
        <v/>
      </c>
      <c r="AJ101" s="263" t="str">
        <f t="shared" si="21"/>
        <v/>
      </c>
      <c r="AK101" s="263" t="str">
        <f t="shared" si="21"/>
        <v/>
      </c>
      <c r="AL101" s="263" t="str">
        <f t="shared" si="21"/>
        <v/>
      </c>
      <c r="AM101" s="263" t="str">
        <f t="shared" si="21"/>
        <v/>
      </c>
      <c r="AN101" s="263" t="str">
        <f t="shared" si="21"/>
        <v/>
      </c>
      <c r="AO101" s="263" t="str">
        <f t="shared" si="21"/>
        <v/>
      </c>
      <c r="AP101" s="263" t="str">
        <f t="shared" si="21"/>
        <v/>
      </c>
      <c r="AQ101" s="263" t="str">
        <f t="shared" si="21"/>
        <v/>
      </c>
      <c r="AR101" s="263" t="str">
        <f t="shared" si="21"/>
        <v/>
      </c>
      <c r="AS101" s="263" t="str">
        <f t="shared" si="21"/>
        <v/>
      </c>
      <c r="AT101" s="1227" t="str">
        <f t="shared" si="21"/>
        <v/>
      </c>
      <c r="AU101" s="588"/>
    </row>
    <row r="102" ht="20.25" customHeight="true" x14ac:dyDescent="0.25">
      <c r="C102" s="597"/>
      <c r="D102" s="570"/>
      <c r="E102" s="570"/>
      <c r="F102" s="1188"/>
      <c r="G102" s="570"/>
      <c r="H102" s="570"/>
      <c r="I102" s="570"/>
      <c r="J102" s="570"/>
      <c r="K102" s="570"/>
      <c r="L102" s="570"/>
      <c r="M102" s="570"/>
      <c r="N102" s="570"/>
      <c r="O102" s="570"/>
      <c r="P102" s="570"/>
      <c r="Q102" s="570"/>
      <c r="R102" s="570"/>
      <c r="S102" s="570"/>
      <c r="T102" s="570"/>
      <c r="U102" s="570"/>
      <c r="V102" s="570"/>
      <c r="W102" s="570"/>
      <c r="X102" s="570"/>
      <c r="Y102" s="570"/>
      <c r="Z102" s="570"/>
      <c r="AA102" s="570"/>
      <c r="AB102" s="570"/>
      <c r="AC102" s="570"/>
      <c r="AD102" s="570"/>
      <c r="AE102" s="570"/>
      <c r="AF102" s="570"/>
      <c r="AG102" s="570"/>
      <c r="AH102" s="570"/>
      <c r="AI102" s="570"/>
      <c r="AJ102" s="570"/>
      <c r="AK102" s="570"/>
      <c r="AL102" s="570"/>
      <c r="AM102" s="570"/>
      <c r="AN102" s="570"/>
      <c r="AO102" s="570"/>
      <c r="AP102" s="570"/>
      <c r="AQ102" s="570"/>
      <c r="AR102" s="570"/>
      <c r="AS102" s="570"/>
      <c r="AT102" s="570"/>
      <c r="AU102" s="588"/>
    </row>
    <row r="103" ht="20.25" customHeight="true" x14ac:dyDescent="0.25">
      <c r="C103" s="597"/>
      <c r="D103" s="570"/>
      <c r="E103" s="570"/>
      <c r="F103" s="1188"/>
      <c r="G103" s="570"/>
      <c r="H103" s="570"/>
      <c r="I103" s="570"/>
      <c r="J103" s="570"/>
      <c r="K103" s="570"/>
      <c r="L103" s="570"/>
      <c r="M103" s="570"/>
      <c r="N103" s="570"/>
      <c r="O103" s="570"/>
      <c r="P103" s="570"/>
      <c r="Q103" s="570"/>
      <c r="R103" s="570"/>
      <c r="S103" s="570"/>
      <c r="T103" s="570"/>
      <c r="U103" s="570"/>
      <c r="V103" s="570"/>
      <c r="W103" s="570"/>
      <c r="X103" s="570"/>
      <c r="Y103" s="570"/>
      <c r="Z103" s="570"/>
      <c r="AA103" s="570"/>
      <c r="AB103" s="570"/>
      <c r="AC103" s="570"/>
      <c r="AD103" s="570"/>
      <c r="AE103" s="570"/>
      <c r="AF103" s="570"/>
      <c r="AG103" s="570"/>
      <c r="AH103" s="570"/>
      <c r="AI103" s="570"/>
      <c r="AJ103" s="570"/>
      <c r="AK103" s="570"/>
      <c r="AL103" s="570"/>
      <c r="AM103" s="570"/>
      <c r="AN103" s="570"/>
      <c r="AO103" s="570"/>
      <c r="AP103" s="570"/>
      <c r="AQ103" s="570"/>
      <c r="AR103" s="570"/>
      <c r="AS103" s="570"/>
      <c r="AT103" s="570"/>
      <c r="AU103" s="588"/>
    </row>
    <row r="104" ht="20.25" customHeight="true" x14ac:dyDescent="0.25">
      <c r="C104" s="597"/>
      <c r="D104" s="570"/>
      <c r="E104" s="570"/>
      <c r="F104" s="195"/>
      <c r="G104" s="570"/>
      <c r="H104" s="570"/>
      <c r="I104" s="570"/>
      <c r="J104" s="570"/>
      <c r="K104" s="570"/>
      <c r="L104" s="570"/>
      <c r="M104" s="570"/>
      <c r="N104" s="570"/>
      <c r="O104" s="570"/>
      <c r="P104" s="570"/>
      <c r="Q104" s="570"/>
      <c r="R104" s="570"/>
      <c r="S104" s="570"/>
      <c r="T104" s="570"/>
      <c r="U104" s="570"/>
      <c r="V104" s="570"/>
      <c r="W104" s="570"/>
      <c r="X104" s="570"/>
      <c r="Y104" s="570"/>
      <c r="Z104" s="570"/>
      <c r="AA104" s="570"/>
      <c r="AB104" s="570"/>
      <c r="AC104" s="570"/>
      <c r="AD104" s="570"/>
      <c r="AE104" s="570"/>
      <c r="AF104" s="570"/>
      <c r="AG104" s="570"/>
      <c r="AH104" s="570"/>
      <c r="AI104" s="570"/>
      <c r="AJ104" s="570"/>
      <c r="AK104" s="570"/>
      <c r="AL104" s="570"/>
      <c r="AM104" s="570"/>
      <c r="AN104" s="570"/>
      <c r="AO104" s="570"/>
      <c r="AP104" s="570"/>
      <c r="AQ104" s="570"/>
      <c r="AR104" s="570"/>
      <c r="AS104" s="570"/>
      <c r="AT104" s="570"/>
      <c r="AU104" s="588"/>
    </row>
    <row r="105" ht="17.25" customHeight="true" x14ac:dyDescent="0.25">
      <c r="C105" s="597"/>
      <c r="D105" s="570"/>
      <c r="E105" s="1843"/>
      <c r="F105" s="1843"/>
      <c r="G105" s="202">
        <v>1</v>
      </c>
      <c r="H105" s="202">
        <f>1+G105</f>
        <v>2</v>
      </c>
      <c r="I105" s="202">
        <f t="shared" ref="I105:AT105" si="22">1+H105</f>
        <v>3</v>
      </c>
      <c r="J105" s="202">
        <f t="shared" si="22"/>
        <v>4</v>
      </c>
      <c r="K105" s="202">
        <f t="shared" si="22"/>
        <v>5</v>
      </c>
      <c r="L105" s="202">
        <f t="shared" si="22"/>
        <v>6</v>
      </c>
      <c r="M105" s="202">
        <f t="shared" si="22"/>
        <v>7</v>
      </c>
      <c r="N105" s="202">
        <f t="shared" si="22"/>
        <v>8</v>
      </c>
      <c r="O105" s="202">
        <f t="shared" si="22"/>
        <v>9</v>
      </c>
      <c r="P105" s="202">
        <f t="shared" si="22"/>
        <v>10</v>
      </c>
      <c r="Q105" s="202">
        <f t="shared" si="22"/>
        <v>11</v>
      </c>
      <c r="R105" s="202">
        <f t="shared" si="22"/>
        <v>12</v>
      </c>
      <c r="S105" s="202">
        <f t="shared" si="22"/>
        <v>13</v>
      </c>
      <c r="T105" s="202">
        <f t="shared" si="22"/>
        <v>14</v>
      </c>
      <c r="U105" s="202">
        <f t="shared" si="22"/>
        <v>15</v>
      </c>
      <c r="V105" s="202">
        <f t="shared" si="22"/>
        <v>16</v>
      </c>
      <c r="W105" s="202">
        <f t="shared" si="22"/>
        <v>17</v>
      </c>
      <c r="X105" s="202">
        <f t="shared" si="22"/>
        <v>18</v>
      </c>
      <c r="Y105" s="202">
        <f t="shared" si="22"/>
        <v>19</v>
      </c>
      <c r="Z105" s="202">
        <f t="shared" si="22"/>
        <v>20</v>
      </c>
      <c r="AA105" s="202">
        <f t="shared" si="22"/>
        <v>21</v>
      </c>
      <c r="AB105" s="202">
        <f t="shared" si="22"/>
        <v>22</v>
      </c>
      <c r="AC105" s="202">
        <f t="shared" si="22"/>
        <v>23</v>
      </c>
      <c r="AD105" s="202">
        <f t="shared" si="22"/>
        <v>24</v>
      </c>
      <c r="AE105" s="202">
        <f t="shared" si="22"/>
        <v>25</v>
      </c>
      <c r="AF105" s="202">
        <f t="shared" si="22"/>
        <v>26</v>
      </c>
      <c r="AG105" s="202">
        <f t="shared" si="22"/>
        <v>27</v>
      </c>
      <c r="AH105" s="202">
        <f t="shared" si="22"/>
        <v>28</v>
      </c>
      <c r="AI105" s="202">
        <f t="shared" si="22"/>
        <v>29</v>
      </c>
      <c r="AJ105" s="202">
        <f t="shared" si="22"/>
        <v>30</v>
      </c>
      <c r="AK105" s="202">
        <f t="shared" si="22"/>
        <v>31</v>
      </c>
      <c r="AL105" s="202">
        <f t="shared" si="22"/>
        <v>32</v>
      </c>
      <c r="AM105" s="202">
        <f t="shared" si="22"/>
        <v>33</v>
      </c>
      <c r="AN105" s="202">
        <f t="shared" si="22"/>
        <v>34</v>
      </c>
      <c r="AO105" s="202">
        <f t="shared" si="22"/>
        <v>35</v>
      </c>
      <c r="AP105" s="202">
        <f t="shared" si="22"/>
        <v>36</v>
      </c>
      <c r="AQ105" s="202">
        <f t="shared" si="22"/>
        <v>37</v>
      </c>
      <c r="AR105" s="202">
        <f t="shared" si="22"/>
        <v>38</v>
      </c>
      <c r="AS105" s="202">
        <f t="shared" si="22"/>
        <v>39</v>
      </c>
      <c r="AT105" s="202">
        <f t="shared" si="22"/>
        <v>40</v>
      </c>
      <c r="AU105" s="588"/>
    </row>
    <row r="106" ht="17.25" customHeight="true" thickBot="true" x14ac:dyDescent="0.3">
      <c r="C106" s="597"/>
      <c r="D106" s="570"/>
      <c r="E106" s="2167" t="s">
        <v>76</v>
      </c>
      <c r="F106" s="2167"/>
      <c r="G106" s="319" t="str">
        <f t="array" ref="G106:AT106">TRANSPOSE(OUT_stream_Num)</f>
        <v>S1-2</v>
      </c>
      <c r="H106" s="319" t="str">
        <v>CO2</v>
      </c>
      <c r="I106" s="319" t="str">
        <v/>
      </c>
      <c r="J106" s="319" t="str">
        <v/>
      </c>
      <c r="K106" s="319" t="str">
        <v/>
      </c>
      <c r="L106" s="319">
        <v>303</v>
      </c>
      <c r="M106" s="319" t="str">
        <v/>
      </c>
      <c r="N106" s="319" t="str">
        <v/>
      </c>
      <c r="O106" s="319" t="str">
        <v/>
      </c>
      <c r="P106" s="319" t="str">
        <v/>
      </c>
      <c r="Q106" s="319" t="str">
        <v/>
      </c>
      <c r="R106" s="319" t="str">
        <v/>
      </c>
      <c r="S106" s="319" t="str">
        <v/>
      </c>
      <c r="T106" s="319" t="str">
        <v/>
      </c>
      <c r="U106" s="319" t="str">
        <v/>
      </c>
      <c r="V106" s="319" t="str">
        <v/>
      </c>
      <c r="W106" s="319" t="str">
        <v/>
      </c>
      <c r="X106" s="319" t="str">
        <v/>
      </c>
      <c r="Y106" s="319" t="str">
        <v/>
      </c>
      <c r="Z106" s="319" t="str">
        <v/>
      </c>
      <c r="AA106" s="319" t="str">
        <v/>
      </c>
      <c r="AB106" s="319" t="str">
        <v/>
      </c>
      <c r="AC106" s="319" t="str">
        <v/>
      </c>
      <c r="AD106" s="319" t="str">
        <v/>
      </c>
      <c r="AE106" s="319" t="str">
        <v/>
      </c>
      <c r="AF106" s="319" t="str">
        <v/>
      </c>
      <c r="AG106" s="319" t="str">
        <v/>
      </c>
      <c r="AH106" s="319" t="str">
        <v/>
      </c>
      <c r="AI106" s="319" t="str">
        <v/>
      </c>
      <c r="AJ106" s="319" t="str">
        <v/>
      </c>
      <c r="AK106" s="319" t="str">
        <v/>
      </c>
      <c r="AL106" s="319" t="str">
        <v/>
      </c>
      <c r="AM106" s="319" t="str">
        <v/>
      </c>
      <c r="AN106" s="319" t="str">
        <v/>
      </c>
      <c r="AO106" s="319" t="str">
        <v/>
      </c>
      <c r="AP106" s="319" t="str">
        <v/>
      </c>
      <c r="AQ106" s="319" t="str">
        <v/>
      </c>
      <c r="AR106" s="319" t="str">
        <v/>
      </c>
      <c r="AS106" s="319" t="str">
        <v/>
      </c>
      <c r="AT106" s="319" t="str">
        <v/>
      </c>
      <c r="AU106" s="588"/>
    </row>
    <row r="107" ht="17.25" customHeight="true" x14ac:dyDescent="0.25">
      <c r="C107" s="597"/>
      <c r="D107" s="567" t="s">
        <v>1469</v>
      </c>
      <c r="E107" s="283" t="s">
        <v>252</v>
      </c>
      <c r="F107" s="182" t="s">
        <v>1140</v>
      </c>
      <c r="G107" s="182" t="s">
        <v>1631</v>
      </c>
      <c r="H107" s="182" t="s">
        <v>1631</v>
      </c>
      <c r="I107" s="182" t="s">
        <v>1631</v>
      </c>
      <c r="J107" s="182" t="s">
        <v>1631</v>
      </c>
      <c r="K107" s="182" t="s">
        <v>1631</v>
      </c>
      <c r="L107" s="182" t="s">
        <v>1631</v>
      </c>
      <c r="M107" s="182" t="s">
        <v>1631</v>
      </c>
      <c r="N107" s="182" t="s">
        <v>1631</v>
      </c>
      <c r="O107" s="182" t="s">
        <v>1631</v>
      </c>
      <c r="P107" s="182" t="s">
        <v>1631</v>
      </c>
      <c r="Q107" s="182" t="s">
        <v>1631</v>
      </c>
      <c r="R107" s="182" t="s">
        <v>1631</v>
      </c>
      <c r="S107" s="182" t="s">
        <v>1631</v>
      </c>
      <c r="T107" s="182" t="s">
        <v>1631</v>
      </c>
      <c r="U107" s="182" t="s">
        <v>1631</v>
      </c>
      <c r="V107" s="182" t="s">
        <v>1631</v>
      </c>
      <c r="W107" s="182" t="s">
        <v>1631</v>
      </c>
      <c r="X107" s="182" t="s">
        <v>1631</v>
      </c>
      <c r="Y107" s="182" t="s">
        <v>1631</v>
      </c>
      <c r="Z107" s="182" t="s">
        <v>1631</v>
      </c>
      <c r="AA107" s="182" t="s">
        <v>1631</v>
      </c>
      <c r="AB107" s="182" t="s">
        <v>1631</v>
      </c>
      <c r="AC107" s="182" t="s">
        <v>1631</v>
      </c>
      <c r="AD107" s="182" t="s">
        <v>1631</v>
      </c>
      <c r="AE107" s="182" t="s">
        <v>1631</v>
      </c>
      <c r="AF107" s="182" t="s">
        <v>1631</v>
      </c>
      <c r="AG107" s="182" t="s">
        <v>1631</v>
      </c>
      <c r="AH107" s="182" t="s">
        <v>1631</v>
      </c>
      <c r="AI107" s="182" t="s">
        <v>1631</v>
      </c>
      <c r="AJ107" s="182" t="s">
        <v>1631</v>
      </c>
      <c r="AK107" s="182" t="s">
        <v>1631</v>
      </c>
      <c r="AL107" s="182" t="s">
        <v>1631</v>
      </c>
      <c r="AM107" s="182" t="s">
        <v>1631</v>
      </c>
      <c r="AN107" s="182" t="s">
        <v>1631</v>
      </c>
      <c r="AO107" s="182" t="s">
        <v>1631</v>
      </c>
      <c r="AP107" s="182" t="s">
        <v>1631</v>
      </c>
      <c r="AQ107" s="182" t="s">
        <v>1631</v>
      </c>
      <c r="AR107" s="182" t="s">
        <v>1631</v>
      </c>
      <c r="AS107" s="182" t="s">
        <v>1631</v>
      </c>
      <c r="AT107" s="184" t="s">
        <v>1631</v>
      </c>
      <c r="AU107" s="588"/>
    </row>
    <row r="108" ht="17.25" customHeight="true" x14ac:dyDescent="0.25">
      <c r="C108" s="597"/>
      <c r="D108" s="594">
        <v>1</v>
      </c>
      <c r="E108" s="202" t="str">
        <f t="array" ref="E108:E157">IF(Compound_name="","",Compound_name)</f>
        <v>Carbon Dioxide</v>
      </c>
      <c r="F108" s="202">
        <f t="array" ref="F108:F157">IF(E108:E157="","",Ex°_ch_MJ_kmol)</f>
        <v>19.87</v>
      </c>
      <c r="G108" s="202">
        <f t="array" ref="G108:G157">IF(G106="","",IF('I. Stream &amp; Compound Data'!J186:J235="","",IF('I. Stream &amp; Compound Data'!J186:J235=0,0,LN('I. Stream &amp; Compound Data'!J186:J235))))</f>
        <v>0</v>
      </c>
      <c r="H108" s="202">
        <f t="array" ref="H108:H157">IF(H106="","",IF('I. Stream &amp; Compound Data'!M186:M235="","",IF('I. Stream &amp; Compound Data'!M186:M235=0,0,LN('I. Stream &amp; Compound Data'!M186:M235))))</f>
        <v>0</v>
      </c>
      <c r="I108" s="202" t="str">
        <f t="array" ref="I108:I157">IF(I106="","",IF('I. Stream &amp; Compound Data'!P186:P235="","",IF('I. Stream &amp; Compound Data'!P186:P235=0,0,LN('I. Stream &amp; Compound Data'!P186:P235))))</f>
        <v/>
      </c>
      <c r="J108" s="202" t="str">
        <f t="array" ref="J108:J157">IF(J106="","",IF('I. Stream &amp; Compound Data'!S186:S235="","",IF('I. Stream &amp; Compound Data'!S186:S235=0,0,LN('I. Stream &amp; Compound Data'!S186:S235))))</f>
        <v/>
      </c>
      <c r="K108" s="202" t="str">
        <f t="array" ref="K108:K157">IF(K106="","",IF('I. Stream &amp; Compound Data'!V186:V235="","",IF('I. Stream &amp; Compound Data'!V186:V235=0,0,LN('I. Stream &amp; Compound Data'!V186:V235))))</f>
        <v/>
      </c>
      <c r="L108" s="202">
        <f t="array" ref="L108:L157">IF(L106="","",IF('I. Stream &amp; Compound Data'!Y186:Y235="","",IF('I. Stream &amp; Compound Data'!Y186:Y235=0,0,LN('I. Stream &amp; Compound Data'!Y186:Y235))))</f>
        <v>0</v>
      </c>
      <c r="M108" s="202" t="str">
        <f t="array" ref="M108:M157">IF(M106="","",IF('I. Stream &amp; Compound Data'!AB186:AB235="","",IF('I. Stream &amp; Compound Data'!AB186:AB235=0,0,LN('I. Stream &amp; Compound Data'!AB186:AB235))))</f>
        <v/>
      </c>
      <c r="N108" s="202" t="str">
        <f t="array" ref="N108:N157">IF(N106="","",IF('I. Stream &amp; Compound Data'!AE186:AE235="","",IF('I. Stream &amp; Compound Data'!AE186:AE235=0,0,LN('I. Stream &amp; Compound Data'!AE186:AE235))))</f>
        <v/>
      </c>
      <c r="O108" s="202" t="str">
        <f t="array" ref="O108:O157">IF(O106="","",IF('I. Stream &amp; Compound Data'!AH186:AH235="","",IF('I. Stream &amp; Compound Data'!AH186:AH235=0,0,LN('I. Stream &amp; Compound Data'!AH186:AH235))))</f>
        <v/>
      </c>
      <c r="P108" s="202" t="str">
        <f t="array" ref="P108:P157">IF(P106="","",IF('I. Stream &amp; Compound Data'!AK186:AK235="","",IF('I. Stream &amp; Compound Data'!AK186:AK235=0,0,LN('I. Stream &amp; Compound Data'!AK186:AK235))))</f>
        <v/>
      </c>
      <c r="Q108" s="202" t="str">
        <f t="array" ref="Q108:Q157">IF(Q106="","",IF('I. Stream &amp; Compound Data'!AN186:AN235="","",IF('I. Stream &amp; Compound Data'!AN186:AN235=0,0,LN('I. Stream &amp; Compound Data'!AN186:AN235))))</f>
        <v/>
      </c>
      <c r="R108" s="202" t="str">
        <f t="array" ref="R108:R157">IF(R106="","",IF('I. Stream &amp; Compound Data'!AQ186:AQ235="","",IF('I. Stream &amp; Compound Data'!AQ186:AQ235=0,0,LN('I. Stream &amp; Compound Data'!AQ186:AQ235))))</f>
        <v/>
      </c>
      <c r="S108" s="202" t="str">
        <f t="array" ref="S108:S157">IF(S106="","",IF('I. Stream &amp; Compound Data'!AT186:AT235="","",IF('I. Stream &amp; Compound Data'!AT186:AT235=0,0,LN('I. Stream &amp; Compound Data'!AT186:AT235))))</f>
        <v/>
      </c>
      <c r="T108" s="202" t="str">
        <f t="array" ref="T108:T157">IF(T106="","",IF('I. Stream &amp; Compound Data'!AW186:AW235="","",IF('I. Stream &amp; Compound Data'!AW186:AW235=0,0,LN('I. Stream &amp; Compound Data'!AW186:AW235))))</f>
        <v/>
      </c>
      <c r="U108" s="202" t="str">
        <f t="array" ref="U108:U157">IF(U106="","",IF('I. Stream &amp; Compound Data'!AZ186:AZ235="","",IF('I. Stream &amp; Compound Data'!AZ186:AZ235=0,0,LN('I. Stream &amp; Compound Data'!AZ186:AZ235))))</f>
        <v/>
      </c>
      <c r="V108" s="202" t="str">
        <f t="array" ref="V108:V157">IF(V106="","",IF('I. Stream &amp; Compound Data'!BC186:BC235="","",IF('I. Stream &amp; Compound Data'!BC186:BC235=0,0,LN('I. Stream &amp; Compound Data'!BC186:BC235))))</f>
        <v/>
      </c>
      <c r="W108" s="202" t="str">
        <f t="array" ref="W108:W157">IF(W106="","",IF('I. Stream &amp; Compound Data'!BF186:BF235="","",IF('I. Stream &amp; Compound Data'!BF186:BF235=0,0,LN('I. Stream &amp; Compound Data'!BF186:BF235))))</f>
        <v/>
      </c>
      <c r="X108" s="202" t="str">
        <f t="array" ref="X108:X157">IF(X106="","",IF('I. Stream &amp; Compound Data'!BI186:BI235="","",IF('I. Stream &amp; Compound Data'!BI186:BI235=0,0,LN('I. Stream &amp; Compound Data'!BI186:BI235))))</f>
        <v/>
      </c>
      <c r="Y108" s="202" t="str">
        <f t="array" ref="Y108:Y157">IF(Y106="","",IF('I. Stream &amp; Compound Data'!BL186:BL235="","",IF('I. Stream &amp; Compound Data'!BL186:BL235=0,0,LN('I. Stream &amp; Compound Data'!BL186:BL235))))</f>
        <v/>
      </c>
      <c r="Z108" s="202" t="str">
        <f t="array" ref="Z108:Z157">IF(Z106="","",IF('I. Stream &amp; Compound Data'!BO186:BO235="","",IF('I. Stream &amp; Compound Data'!BO186:BO235=0,0,LN('I. Stream &amp; Compound Data'!BO186:BO235))))</f>
        <v/>
      </c>
      <c r="AA108" s="202" t="str">
        <f t="array" ref="AA108:AA157">IF(AA106="","",IF('I. Stream &amp; Compound Data'!BR186:BR235="","",IF('I. Stream &amp; Compound Data'!BR186:BR235=0,0,LN('I. Stream &amp; Compound Data'!BR186:BR235))))</f>
        <v/>
      </c>
      <c r="AB108" s="202" t="str">
        <f t="array" ref="AB108:AB157">IF(AB106="","",IF('I. Stream &amp; Compound Data'!BU186:BU235="","",IF('I. Stream &amp; Compound Data'!BU186:BU235=0,0,LN('I. Stream &amp; Compound Data'!BU186:BU235))))</f>
        <v/>
      </c>
      <c r="AC108" s="202" t="str">
        <f t="array" ref="AC108:AC157">IF(AC106="","",IF('I. Stream &amp; Compound Data'!BX186:BX235="","",IF('I. Stream &amp; Compound Data'!BX186:BX235=0,0,LN('I. Stream &amp; Compound Data'!BX186:BX235))))</f>
        <v/>
      </c>
      <c r="AD108" s="202" t="str">
        <f t="array" ref="AD108:AD157">IF(AD106="","",IF('I. Stream &amp; Compound Data'!CA186:CA235="","",IF('I. Stream &amp; Compound Data'!CA186:CA235=0,0,LN('I. Stream &amp; Compound Data'!CA186:CA235))))</f>
        <v/>
      </c>
      <c r="AE108" s="202" t="str">
        <f t="array" ref="AE108:AE157">IF(AE106="","",IF('I. Stream &amp; Compound Data'!CD186:CD235="","",IF('I. Stream &amp; Compound Data'!CD186:CD235=0,0,LN('I. Stream &amp; Compound Data'!CD186:CD235))))</f>
        <v/>
      </c>
      <c r="AF108" s="202" t="str">
        <f t="array" ref="AF108:AF157">IF(AF106="","",IF('I. Stream &amp; Compound Data'!CG186:CG235="","",IF('I. Stream &amp; Compound Data'!CG186:CG235=0,0,LN('I. Stream &amp; Compound Data'!CG186:CG235))))</f>
        <v/>
      </c>
      <c r="AG108" s="202" t="str">
        <f t="array" ref="AG108:AG157">IF(AG106="","",IF('I. Stream &amp; Compound Data'!CJ186:CJ235="","",IF('I. Stream &amp; Compound Data'!CJ186:CJ235=0,0,LN('I. Stream &amp; Compound Data'!CJ186:CJ235))))</f>
        <v/>
      </c>
      <c r="AH108" s="202" t="str">
        <f t="array" ref="AH108:AH157">IF(AH106="","",IF('I. Stream &amp; Compound Data'!CM186:CM235="","",IF('I. Stream &amp; Compound Data'!CM186:CM235=0,0,LN('I. Stream &amp; Compound Data'!CM186:CM235))))</f>
        <v/>
      </c>
      <c r="AI108" s="202" t="str">
        <f t="array" ref="AI108:AI157">IF(AI106="","",IF('I. Stream &amp; Compound Data'!CP186:CP235="","",IF('I. Stream &amp; Compound Data'!CP186:CP235=0,0,LN('I. Stream &amp; Compound Data'!CP186:CP235))))</f>
        <v/>
      </c>
      <c r="AJ108" s="202" t="str">
        <f t="array" ref="AJ108:AJ157">IF(AJ106="","",IF('I. Stream &amp; Compound Data'!CS186:CS235="","",IF('I. Stream &amp; Compound Data'!CS186:CS235=0,0,LN('I. Stream &amp; Compound Data'!CS186:CS235))))</f>
        <v/>
      </c>
      <c r="AK108" s="202" t="str">
        <f t="array" ref="AK108:AK157">IF(AK106="","",IF('I. Stream &amp; Compound Data'!CV186:CV235="","",IF('I. Stream &amp; Compound Data'!CV186:CV235=0,0,LN('I. Stream &amp; Compound Data'!CV186:CV235))))</f>
        <v/>
      </c>
      <c r="AL108" s="202" t="str">
        <f t="array" ref="AL108:AL157">IF(AL106="","",IF('I. Stream &amp; Compound Data'!CY186:CY235="","",IF('I. Stream &amp; Compound Data'!CY186:CY235=0,0,LN('I. Stream &amp; Compound Data'!CY186:CY235))))</f>
        <v/>
      </c>
      <c r="AM108" s="202" t="str">
        <f t="array" ref="AM108:AM157">IF(AM106="","",IF('I. Stream &amp; Compound Data'!DB186:DB235="","",IF('I. Stream &amp; Compound Data'!DB186:DB235=0,0,LN('I. Stream &amp; Compound Data'!DB186:DB235))))</f>
        <v/>
      </c>
      <c r="AN108" s="202" t="str">
        <f t="array" ref="AN108:AN157">IF(AN106="","",IF('I. Stream &amp; Compound Data'!DE186:DE235="","",IF('I. Stream &amp; Compound Data'!DE186:DE235=0,0,LN('I. Stream &amp; Compound Data'!DE186:DE235))))</f>
        <v/>
      </c>
      <c r="AO108" s="202" t="str">
        <f t="array" ref="AO108:AO157">IF(AO106="","",IF('I. Stream &amp; Compound Data'!DH186:DH235="","",IF('I. Stream &amp; Compound Data'!DH186:DH235=0,0,LN('I. Stream &amp; Compound Data'!DH186:DH235))))</f>
        <v/>
      </c>
      <c r="AP108" s="202" t="str">
        <f t="array" ref="AP108:AP157">IF(AP106="","",IF('I. Stream &amp; Compound Data'!DK186:DK235="","",IF('I. Stream &amp; Compound Data'!DK186:DK235=0,0,LN('I. Stream &amp; Compound Data'!DK186:DK235))))</f>
        <v/>
      </c>
      <c r="AQ108" s="202" t="str">
        <f t="array" ref="AQ108:AQ157">IF(AQ106="","",IF('I. Stream &amp; Compound Data'!DN186:DN235="","",IF('I. Stream &amp; Compound Data'!DN186:DN235=0,0,LN('I. Stream &amp; Compound Data'!DN186:DN235))))</f>
        <v/>
      </c>
      <c r="AR108" s="202" t="str">
        <f t="array" ref="AR108:AR157">IF(AR106="","",IF('I. Stream &amp; Compound Data'!DQ186:DQ235="","",IF('I. Stream &amp; Compound Data'!DQ186:DQ235=0,0,LN('I. Stream &amp; Compound Data'!DQ186:DQ235))))</f>
        <v/>
      </c>
      <c r="AS108" s="202" t="str">
        <f t="array" ref="AS108:AS157">IF(AS106="","",IF('I. Stream &amp; Compound Data'!DT186:DT235="","",IF('I. Stream &amp; Compound Data'!DT186:DT235=0,0,LN('I. Stream &amp; Compound Data'!DT186:DT235))))</f>
        <v/>
      </c>
      <c r="AT108" s="262" t="str">
        <f t="array" ref="AT108:AT157">IF(AT106="","",IF('I. Stream &amp; Compound Data'!DW186:DW235="","",IF('I. Stream &amp; Compound Data'!DW186:DW235=0,0,LN('I. Stream &amp; Compound Data'!DW186:DW235))))</f>
        <v/>
      </c>
      <c r="AU108" s="588"/>
    </row>
    <row r="109" ht="17.25" customHeight="true" x14ac:dyDescent="0.25">
      <c r="C109" s="597"/>
      <c r="D109" s="594">
        <f>D108+1</f>
        <v>2</v>
      </c>
      <c r="E109" s="202" t="str">
        <v>Water</v>
      </c>
      <c r="F109" s="202">
        <v>9.5</v>
      </c>
      <c r="G109" s="202">
        <v>0</v>
      </c>
      <c r="H109" s="202">
        <v>0</v>
      </c>
      <c r="I109" s="202" t="str">
        <v/>
      </c>
      <c r="J109" s="202" t="str">
        <v/>
      </c>
      <c r="K109" s="202" t="str">
        <v/>
      </c>
      <c r="L109" s="202">
        <v>0</v>
      </c>
      <c r="M109" s="202" t="str">
        <v/>
      </c>
      <c r="N109" s="202" t="str">
        <v/>
      </c>
      <c r="O109" s="202" t="str">
        <v/>
      </c>
      <c r="P109" s="202" t="str">
        <v/>
      </c>
      <c r="Q109" s="202" t="str">
        <v/>
      </c>
      <c r="R109" s="202" t="str">
        <v/>
      </c>
      <c r="S109" s="202" t="str">
        <v/>
      </c>
      <c r="T109" s="202" t="str">
        <v/>
      </c>
      <c r="U109" s="202" t="str">
        <v/>
      </c>
      <c r="V109" s="202" t="str">
        <v/>
      </c>
      <c r="W109" s="202" t="str">
        <v/>
      </c>
      <c r="X109" s="202" t="str">
        <v/>
      </c>
      <c r="Y109" s="202" t="str">
        <v/>
      </c>
      <c r="Z109" s="202" t="str">
        <v/>
      </c>
      <c r="AA109" s="202" t="str">
        <v/>
      </c>
      <c r="AB109" s="202" t="str">
        <v/>
      </c>
      <c r="AC109" s="202" t="str">
        <v/>
      </c>
      <c r="AD109" s="202" t="str">
        <v/>
      </c>
      <c r="AE109" s="202" t="str">
        <v/>
      </c>
      <c r="AF109" s="202" t="str">
        <v/>
      </c>
      <c r="AG109" s="202" t="str">
        <v/>
      </c>
      <c r="AH109" s="202" t="str">
        <v/>
      </c>
      <c r="AI109" s="202" t="str">
        <v/>
      </c>
      <c r="AJ109" s="202" t="str">
        <v/>
      </c>
      <c r="AK109" s="202" t="str">
        <v/>
      </c>
      <c r="AL109" s="202" t="str">
        <v/>
      </c>
      <c r="AM109" s="202" t="str">
        <v/>
      </c>
      <c r="AN109" s="202" t="str">
        <v/>
      </c>
      <c r="AO109" s="202" t="str">
        <v/>
      </c>
      <c r="AP109" s="202" t="str">
        <v/>
      </c>
      <c r="AQ109" s="202" t="str">
        <v/>
      </c>
      <c r="AR109" s="202" t="str">
        <v/>
      </c>
      <c r="AS109" s="202" t="str">
        <v/>
      </c>
      <c r="AT109" s="262" t="str">
        <v/>
      </c>
      <c r="AU109" s="588"/>
    </row>
    <row r="110" ht="17.25" customHeight="true" x14ac:dyDescent="0.25">
      <c r="C110" s="597"/>
      <c r="D110" s="594">
        <f t="shared" ref="D110:D157" si="23">D109+1</f>
        <v>3</v>
      </c>
      <c r="E110" s="202" t="str">
        <v>Calcium Oxide</v>
      </c>
      <c r="F110" s="202">
        <v>0.11020000000000001</v>
      </c>
      <c r="G110" s="202">
        <v>-0.27380849108517535</v>
      </c>
      <c r="H110" s="202">
        <v>0</v>
      </c>
      <c r="I110" s="202" t="str">
        <v/>
      </c>
      <c r="J110" s="202" t="str">
        <v/>
      </c>
      <c r="K110" s="202" t="str">
        <v/>
      </c>
      <c r="L110" s="202">
        <v>0</v>
      </c>
      <c r="M110" s="202" t="str">
        <v/>
      </c>
      <c r="N110" s="202" t="str">
        <v/>
      </c>
      <c r="O110" s="202" t="str">
        <v/>
      </c>
      <c r="P110" s="202" t="str">
        <v/>
      </c>
      <c r="Q110" s="202" t="str">
        <v/>
      </c>
      <c r="R110" s="202" t="str">
        <v/>
      </c>
      <c r="S110" s="202" t="str">
        <v/>
      </c>
      <c r="T110" s="202" t="str">
        <v/>
      </c>
      <c r="U110" s="202" t="str">
        <v/>
      </c>
      <c r="V110" s="202" t="str">
        <v/>
      </c>
      <c r="W110" s="202" t="str">
        <v/>
      </c>
      <c r="X110" s="202" t="str">
        <v/>
      </c>
      <c r="Y110" s="202" t="str">
        <v/>
      </c>
      <c r="Z110" s="202" t="str">
        <v/>
      </c>
      <c r="AA110" s="202" t="str">
        <v/>
      </c>
      <c r="AB110" s="202" t="str">
        <v/>
      </c>
      <c r="AC110" s="202" t="str">
        <v/>
      </c>
      <c r="AD110" s="202" t="str">
        <v/>
      </c>
      <c r="AE110" s="202" t="str">
        <v/>
      </c>
      <c r="AF110" s="202" t="str">
        <v/>
      </c>
      <c r="AG110" s="202" t="str">
        <v/>
      </c>
      <c r="AH110" s="202" t="str">
        <v/>
      </c>
      <c r="AI110" s="202" t="str">
        <v/>
      </c>
      <c r="AJ110" s="202" t="str">
        <v/>
      </c>
      <c r="AK110" s="202" t="str">
        <v/>
      </c>
      <c r="AL110" s="202" t="str">
        <v/>
      </c>
      <c r="AM110" s="202" t="str">
        <v/>
      </c>
      <c r="AN110" s="202" t="str">
        <v/>
      </c>
      <c r="AO110" s="202" t="str">
        <v/>
      </c>
      <c r="AP110" s="202" t="str">
        <v/>
      </c>
      <c r="AQ110" s="202" t="str">
        <v/>
      </c>
      <c r="AR110" s="202" t="str">
        <v/>
      </c>
      <c r="AS110" s="202" t="str">
        <v/>
      </c>
      <c r="AT110" s="262" t="str">
        <v/>
      </c>
      <c r="AU110" s="588"/>
    </row>
    <row r="111" ht="17.25" customHeight="true" x14ac:dyDescent="0.25">
      <c r="C111" s="597"/>
      <c r="D111" s="594">
        <f t="shared" si="23"/>
        <v>4</v>
      </c>
      <c r="E111" s="202" t="str">
        <v>Calcium Carbonate</v>
      </c>
      <c r="F111" s="202">
        <v>1E-3</v>
      </c>
      <c r="G111" s="202">
        <v>-1.4291087540452072</v>
      </c>
      <c r="H111" s="202">
        <v>0</v>
      </c>
      <c r="I111" s="202" t="str">
        <v/>
      </c>
      <c r="J111" s="202" t="str">
        <v/>
      </c>
      <c r="K111" s="202" t="str">
        <v/>
      </c>
      <c r="L111" s="202">
        <v>0</v>
      </c>
      <c r="M111" s="202" t="str">
        <v/>
      </c>
      <c r="N111" s="202" t="str">
        <v/>
      </c>
      <c r="O111" s="202" t="str">
        <v/>
      </c>
      <c r="P111" s="202" t="str">
        <v/>
      </c>
      <c r="Q111" s="202" t="str">
        <v/>
      </c>
      <c r="R111" s="202" t="str">
        <v/>
      </c>
      <c r="S111" s="202" t="str">
        <v/>
      </c>
      <c r="T111" s="202" t="str">
        <v/>
      </c>
      <c r="U111" s="202" t="str">
        <v/>
      </c>
      <c r="V111" s="202" t="str">
        <v/>
      </c>
      <c r="W111" s="202" t="str">
        <v/>
      </c>
      <c r="X111" s="202" t="str">
        <v/>
      </c>
      <c r="Y111" s="202" t="str">
        <v/>
      </c>
      <c r="Z111" s="202" t="str">
        <v/>
      </c>
      <c r="AA111" s="202" t="str">
        <v/>
      </c>
      <c r="AB111" s="202" t="str">
        <v/>
      </c>
      <c r="AC111" s="202" t="str">
        <v/>
      </c>
      <c r="AD111" s="202" t="str">
        <v/>
      </c>
      <c r="AE111" s="202" t="str">
        <v/>
      </c>
      <c r="AF111" s="202" t="str">
        <v/>
      </c>
      <c r="AG111" s="202" t="str">
        <v/>
      </c>
      <c r="AH111" s="202" t="str">
        <v/>
      </c>
      <c r="AI111" s="202" t="str">
        <v/>
      </c>
      <c r="AJ111" s="202" t="str">
        <v/>
      </c>
      <c r="AK111" s="202" t="str">
        <v/>
      </c>
      <c r="AL111" s="202" t="str">
        <v/>
      </c>
      <c r="AM111" s="202" t="str">
        <v/>
      </c>
      <c r="AN111" s="202" t="str">
        <v/>
      </c>
      <c r="AO111" s="202" t="str">
        <v/>
      </c>
      <c r="AP111" s="202" t="str">
        <v/>
      </c>
      <c r="AQ111" s="202" t="str">
        <v/>
      </c>
      <c r="AR111" s="202" t="str">
        <v/>
      </c>
      <c r="AS111" s="202" t="str">
        <v/>
      </c>
      <c r="AT111" s="262" t="str">
        <v/>
      </c>
      <c r="AU111" s="588"/>
    </row>
    <row r="112" ht="17.25" customHeight="true" x14ac:dyDescent="0.25">
      <c r="C112" s="597"/>
      <c r="D112" s="594">
        <f t="shared" si="23"/>
        <v>5</v>
      </c>
      <c r="E112" s="202" t="str">
        <v/>
      </c>
      <c r="F112" s="202" t="str">
        <v/>
      </c>
      <c r="G112" s="202" t="str">
        <v/>
      </c>
      <c r="H112" s="202" t="str">
        <v/>
      </c>
      <c r="I112" s="202" t="str">
        <v/>
      </c>
      <c r="J112" s="202" t="str">
        <v/>
      </c>
      <c r="K112" s="202" t="str">
        <v/>
      </c>
      <c r="L112" s="202" t="str">
        <v/>
      </c>
      <c r="M112" s="202" t="str">
        <v/>
      </c>
      <c r="N112" s="202" t="str">
        <v/>
      </c>
      <c r="O112" s="202" t="str">
        <v/>
      </c>
      <c r="P112" s="202" t="str">
        <v/>
      </c>
      <c r="Q112" s="202" t="str">
        <v/>
      </c>
      <c r="R112" s="202" t="str">
        <v/>
      </c>
      <c r="S112" s="202" t="str">
        <v/>
      </c>
      <c r="T112" s="202" t="str">
        <v/>
      </c>
      <c r="U112" s="202" t="str">
        <v/>
      </c>
      <c r="V112" s="202" t="str">
        <v/>
      </c>
      <c r="W112" s="202" t="str">
        <v/>
      </c>
      <c r="X112" s="202" t="str">
        <v/>
      </c>
      <c r="Y112" s="202" t="str">
        <v/>
      </c>
      <c r="Z112" s="202" t="str">
        <v/>
      </c>
      <c r="AA112" s="202" t="str">
        <v/>
      </c>
      <c r="AB112" s="202" t="str">
        <v/>
      </c>
      <c r="AC112" s="202" t="str">
        <v/>
      </c>
      <c r="AD112" s="202" t="str">
        <v/>
      </c>
      <c r="AE112" s="202" t="str">
        <v/>
      </c>
      <c r="AF112" s="202" t="str">
        <v/>
      </c>
      <c r="AG112" s="202" t="str">
        <v/>
      </c>
      <c r="AH112" s="202" t="str">
        <v/>
      </c>
      <c r="AI112" s="202" t="str">
        <v/>
      </c>
      <c r="AJ112" s="202" t="str">
        <v/>
      </c>
      <c r="AK112" s="202" t="str">
        <v/>
      </c>
      <c r="AL112" s="202" t="str">
        <v/>
      </c>
      <c r="AM112" s="202" t="str">
        <v/>
      </c>
      <c r="AN112" s="202" t="str">
        <v/>
      </c>
      <c r="AO112" s="202" t="str">
        <v/>
      </c>
      <c r="AP112" s="202" t="str">
        <v/>
      </c>
      <c r="AQ112" s="202" t="str">
        <v/>
      </c>
      <c r="AR112" s="202" t="str">
        <v/>
      </c>
      <c r="AS112" s="202" t="str">
        <v/>
      </c>
      <c r="AT112" s="262" t="str">
        <v/>
      </c>
      <c r="AU112" s="588"/>
    </row>
    <row r="113" ht="17.25" customHeight="true" x14ac:dyDescent="0.25">
      <c r="C113" s="597"/>
      <c r="D113" s="594">
        <f t="shared" si="23"/>
        <v>6</v>
      </c>
      <c r="E113" s="202" t="str">
        <v/>
      </c>
      <c r="F113" s="202" t="str">
        <v/>
      </c>
      <c r="G113" s="202" t="str">
        <v/>
      </c>
      <c r="H113" s="202" t="str">
        <v/>
      </c>
      <c r="I113" s="202" t="str">
        <v/>
      </c>
      <c r="J113" s="202" t="str">
        <v/>
      </c>
      <c r="K113" s="202" t="str">
        <v/>
      </c>
      <c r="L113" s="202" t="str">
        <v/>
      </c>
      <c r="M113" s="202" t="str">
        <v/>
      </c>
      <c r="N113" s="202" t="str">
        <v/>
      </c>
      <c r="O113" s="202" t="str">
        <v/>
      </c>
      <c r="P113" s="202" t="str">
        <v/>
      </c>
      <c r="Q113" s="202" t="str">
        <v/>
      </c>
      <c r="R113" s="202" t="str">
        <v/>
      </c>
      <c r="S113" s="202" t="str">
        <v/>
      </c>
      <c r="T113" s="202" t="str">
        <v/>
      </c>
      <c r="U113" s="202" t="str">
        <v/>
      </c>
      <c r="V113" s="202" t="str">
        <v/>
      </c>
      <c r="W113" s="202" t="str">
        <v/>
      </c>
      <c r="X113" s="202" t="str">
        <v/>
      </c>
      <c r="Y113" s="202" t="str">
        <v/>
      </c>
      <c r="Z113" s="202" t="str">
        <v/>
      </c>
      <c r="AA113" s="202" t="str">
        <v/>
      </c>
      <c r="AB113" s="202" t="str">
        <v/>
      </c>
      <c r="AC113" s="202" t="str">
        <v/>
      </c>
      <c r="AD113" s="202" t="str">
        <v/>
      </c>
      <c r="AE113" s="202" t="str">
        <v/>
      </c>
      <c r="AF113" s="202" t="str">
        <v/>
      </c>
      <c r="AG113" s="202" t="str">
        <v/>
      </c>
      <c r="AH113" s="202" t="str">
        <v/>
      </c>
      <c r="AI113" s="202" t="str">
        <v/>
      </c>
      <c r="AJ113" s="202" t="str">
        <v/>
      </c>
      <c r="AK113" s="202" t="str">
        <v/>
      </c>
      <c r="AL113" s="202" t="str">
        <v/>
      </c>
      <c r="AM113" s="202" t="str">
        <v/>
      </c>
      <c r="AN113" s="202" t="str">
        <v/>
      </c>
      <c r="AO113" s="202" t="str">
        <v/>
      </c>
      <c r="AP113" s="202" t="str">
        <v/>
      </c>
      <c r="AQ113" s="202" t="str">
        <v/>
      </c>
      <c r="AR113" s="202" t="str">
        <v/>
      </c>
      <c r="AS113" s="202" t="str">
        <v/>
      </c>
      <c r="AT113" s="262" t="str">
        <v/>
      </c>
      <c r="AU113" s="588"/>
    </row>
    <row r="114" x14ac:dyDescent="0.25">
      <c r="C114" s="597"/>
      <c r="D114" s="594">
        <f t="shared" si="23"/>
        <v>7</v>
      </c>
      <c r="E114" s="202" t="str">
        <v/>
      </c>
      <c r="F114" s="202" t="str">
        <v/>
      </c>
      <c r="G114" s="202" t="str">
        <v/>
      </c>
      <c r="H114" s="202" t="str">
        <v/>
      </c>
      <c r="I114" s="202" t="str">
        <v/>
      </c>
      <c r="J114" s="202" t="str">
        <v/>
      </c>
      <c r="K114" s="202" t="str">
        <v/>
      </c>
      <c r="L114" s="202" t="str">
        <v/>
      </c>
      <c r="M114" s="202" t="str">
        <v/>
      </c>
      <c r="N114" s="202" t="str">
        <v/>
      </c>
      <c r="O114" s="202" t="str">
        <v/>
      </c>
      <c r="P114" s="202" t="str">
        <v/>
      </c>
      <c r="Q114" s="202" t="str">
        <v/>
      </c>
      <c r="R114" s="202" t="str">
        <v/>
      </c>
      <c r="S114" s="202" t="str">
        <v/>
      </c>
      <c r="T114" s="202" t="str">
        <v/>
      </c>
      <c r="U114" s="202" t="str">
        <v/>
      </c>
      <c r="V114" s="202" t="str">
        <v/>
      </c>
      <c r="W114" s="202" t="str">
        <v/>
      </c>
      <c r="X114" s="202" t="str">
        <v/>
      </c>
      <c r="Y114" s="202" t="str">
        <v/>
      </c>
      <c r="Z114" s="202" t="str">
        <v/>
      </c>
      <c r="AA114" s="202" t="str">
        <v/>
      </c>
      <c r="AB114" s="202" t="str">
        <v/>
      </c>
      <c r="AC114" s="202" t="str">
        <v/>
      </c>
      <c r="AD114" s="202" t="str">
        <v/>
      </c>
      <c r="AE114" s="202" t="str">
        <v/>
      </c>
      <c r="AF114" s="202" t="str">
        <v/>
      </c>
      <c r="AG114" s="202" t="str">
        <v/>
      </c>
      <c r="AH114" s="202" t="str">
        <v/>
      </c>
      <c r="AI114" s="202" t="str">
        <v/>
      </c>
      <c r="AJ114" s="202" t="str">
        <v/>
      </c>
      <c r="AK114" s="202" t="str">
        <v/>
      </c>
      <c r="AL114" s="202" t="str">
        <v/>
      </c>
      <c r="AM114" s="202" t="str">
        <v/>
      </c>
      <c r="AN114" s="202" t="str">
        <v/>
      </c>
      <c r="AO114" s="202" t="str">
        <v/>
      </c>
      <c r="AP114" s="202" t="str">
        <v/>
      </c>
      <c r="AQ114" s="202" t="str">
        <v/>
      </c>
      <c r="AR114" s="202" t="str">
        <v/>
      </c>
      <c r="AS114" s="202" t="str">
        <v/>
      </c>
      <c r="AT114" s="262" t="str">
        <v/>
      </c>
      <c r="AU114" s="588"/>
    </row>
    <row r="115" x14ac:dyDescent="0.25">
      <c r="C115" s="597"/>
      <c r="D115" s="594">
        <f t="shared" si="23"/>
        <v>8</v>
      </c>
      <c r="E115" s="202" t="str">
        <v/>
      </c>
      <c r="F115" s="202" t="str">
        <v/>
      </c>
      <c r="G115" s="202" t="str">
        <v/>
      </c>
      <c r="H115" s="202" t="str">
        <v/>
      </c>
      <c r="I115" s="202" t="str">
        <v/>
      </c>
      <c r="J115" s="202" t="str">
        <v/>
      </c>
      <c r="K115" s="202" t="str">
        <v/>
      </c>
      <c r="L115" s="202" t="str">
        <v/>
      </c>
      <c r="M115" s="202" t="str">
        <v/>
      </c>
      <c r="N115" s="202" t="str">
        <v/>
      </c>
      <c r="O115" s="202" t="str">
        <v/>
      </c>
      <c r="P115" s="202" t="str">
        <v/>
      </c>
      <c r="Q115" s="202" t="str">
        <v/>
      </c>
      <c r="R115" s="202" t="str">
        <v/>
      </c>
      <c r="S115" s="202" t="str">
        <v/>
      </c>
      <c r="T115" s="202" t="str">
        <v/>
      </c>
      <c r="U115" s="202" t="str">
        <v/>
      </c>
      <c r="V115" s="202" t="str">
        <v/>
      </c>
      <c r="W115" s="202" t="str">
        <v/>
      </c>
      <c r="X115" s="202" t="str">
        <v/>
      </c>
      <c r="Y115" s="202" t="str">
        <v/>
      </c>
      <c r="Z115" s="202" t="str">
        <v/>
      </c>
      <c r="AA115" s="202" t="str">
        <v/>
      </c>
      <c r="AB115" s="202" t="str">
        <v/>
      </c>
      <c r="AC115" s="202" t="str">
        <v/>
      </c>
      <c r="AD115" s="202" t="str">
        <v/>
      </c>
      <c r="AE115" s="202" t="str">
        <v/>
      </c>
      <c r="AF115" s="202" t="str">
        <v/>
      </c>
      <c r="AG115" s="202" t="str">
        <v/>
      </c>
      <c r="AH115" s="202" t="str">
        <v/>
      </c>
      <c r="AI115" s="202" t="str">
        <v/>
      </c>
      <c r="AJ115" s="202" t="str">
        <v/>
      </c>
      <c r="AK115" s="202" t="str">
        <v/>
      </c>
      <c r="AL115" s="202" t="str">
        <v/>
      </c>
      <c r="AM115" s="202" t="str">
        <v/>
      </c>
      <c r="AN115" s="202" t="str">
        <v/>
      </c>
      <c r="AO115" s="202" t="str">
        <v/>
      </c>
      <c r="AP115" s="202" t="str">
        <v/>
      </c>
      <c r="AQ115" s="202" t="str">
        <v/>
      </c>
      <c r="AR115" s="202" t="str">
        <v/>
      </c>
      <c r="AS115" s="202" t="str">
        <v/>
      </c>
      <c r="AT115" s="262" t="str">
        <v/>
      </c>
      <c r="AU115" s="588"/>
    </row>
    <row r="116" x14ac:dyDescent="0.25">
      <c r="C116" s="597"/>
      <c r="D116" s="594">
        <f t="shared" si="23"/>
        <v>9</v>
      </c>
      <c r="E116" s="202" t="str">
        <v/>
      </c>
      <c r="F116" s="202" t="str">
        <v/>
      </c>
      <c r="G116" s="202" t="str">
        <v/>
      </c>
      <c r="H116" s="202" t="str">
        <v/>
      </c>
      <c r="I116" s="202" t="str">
        <v/>
      </c>
      <c r="J116" s="202" t="str">
        <v/>
      </c>
      <c r="K116" s="202" t="str">
        <v/>
      </c>
      <c r="L116" s="202" t="str">
        <v/>
      </c>
      <c r="M116" s="202" t="str">
        <v/>
      </c>
      <c r="N116" s="202" t="str">
        <v/>
      </c>
      <c r="O116" s="202" t="str">
        <v/>
      </c>
      <c r="P116" s="202" t="str">
        <v/>
      </c>
      <c r="Q116" s="202" t="str">
        <v/>
      </c>
      <c r="R116" s="202" t="str">
        <v/>
      </c>
      <c r="S116" s="202" t="str">
        <v/>
      </c>
      <c r="T116" s="202" t="str">
        <v/>
      </c>
      <c r="U116" s="202" t="str">
        <v/>
      </c>
      <c r="V116" s="202" t="str">
        <v/>
      </c>
      <c r="W116" s="202" t="str">
        <v/>
      </c>
      <c r="X116" s="202" t="str">
        <v/>
      </c>
      <c r="Y116" s="202" t="str">
        <v/>
      </c>
      <c r="Z116" s="202" t="str">
        <v/>
      </c>
      <c r="AA116" s="202" t="str">
        <v/>
      </c>
      <c r="AB116" s="202" t="str">
        <v/>
      </c>
      <c r="AC116" s="202" t="str">
        <v/>
      </c>
      <c r="AD116" s="202" t="str">
        <v/>
      </c>
      <c r="AE116" s="202" t="str">
        <v/>
      </c>
      <c r="AF116" s="202" t="str">
        <v/>
      </c>
      <c r="AG116" s="202" t="str">
        <v/>
      </c>
      <c r="AH116" s="202" t="str">
        <v/>
      </c>
      <c r="AI116" s="202" t="str">
        <v/>
      </c>
      <c r="AJ116" s="202" t="str">
        <v/>
      </c>
      <c r="AK116" s="202" t="str">
        <v/>
      </c>
      <c r="AL116" s="202" t="str">
        <v/>
      </c>
      <c r="AM116" s="202" t="str">
        <v/>
      </c>
      <c r="AN116" s="202" t="str">
        <v/>
      </c>
      <c r="AO116" s="202" t="str">
        <v/>
      </c>
      <c r="AP116" s="202" t="str">
        <v/>
      </c>
      <c r="AQ116" s="202" t="str">
        <v/>
      </c>
      <c r="AR116" s="202" t="str">
        <v/>
      </c>
      <c r="AS116" s="202" t="str">
        <v/>
      </c>
      <c r="AT116" s="262" t="str">
        <v/>
      </c>
      <c r="AU116" s="588"/>
    </row>
    <row r="117" x14ac:dyDescent="0.25">
      <c r="C117" s="597"/>
      <c r="D117" s="594">
        <f t="shared" si="23"/>
        <v>10</v>
      </c>
      <c r="E117" s="202" t="str">
        <v/>
      </c>
      <c r="F117" s="202" t="str">
        <v/>
      </c>
      <c r="G117" s="202" t="str">
        <v/>
      </c>
      <c r="H117" s="202" t="str">
        <v/>
      </c>
      <c r="I117" s="202" t="str">
        <v/>
      </c>
      <c r="J117" s="202" t="str">
        <v/>
      </c>
      <c r="K117" s="202" t="str">
        <v/>
      </c>
      <c r="L117" s="202" t="str">
        <v/>
      </c>
      <c r="M117" s="202" t="str">
        <v/>
      </c>
      <c r="N117" s="202" t="str">
        <v/>
      </c>
      <c r="O117" s="202" t="str">
        <v/>
      </c>
      <c r="P117" s="202" t="str">
        <v/>
      </c>
      <c r="Q117" s="202" t="str">
        <v/>
      </c>
      <c r="R117" s="202" t="str">
        <v/>
      </c>
      <c r="S117" s="202" t="str">
        <v/>
      </c>
      <c r="T117" s="202" t="str">
        <v/>
      </c>
      <c r="U117" s="202" t="str">
        <v/>
      </c>
      <c r="V117" s="202" t="str">
        <v/>
      </c>
      <c r="W117" s="202" t="str">
        <v/>
      </c>
      <c r="X117" s="202" t="str">
        <v/>
      </c>
      <c r="Y117" s="202" t="str">
        <v/>
      </c>
      <c r="Z117" s="202" t="str">
        <v/>
      </c>
      <c r="AA117" s="202" t="str">
        <v/>
      </c>
      <c r="AB117" s="202" t="str">
        <v/>
      </c>
      <c r="AC117" s="202" t="str">
        <v/>
      </c>
      <c r="AD117" s="202" t="str">
        <v/>
      </c>
      <c r="AE117" s="202" t="str">
        <v/>
      </c>
      <c r="AF117" s="202" t="str">
        <v/>
      </c>
      <c r="AG117" s="202" t="str">
        <v/>
      </c>
      <c r="AH117" s="202" t="str">
        <v/>
      </c>
      <c r="AI117" s="202" t="str">
        <v/>
      </c>
      <c r="AJ117" s="202" t="str">
        <v/>
      </c>
      <c r="AK117" s="202" t="str">
        <v/>
      </c>
      <c r="AL117" s="202" t="str">
        <v/>
      </c>
      <c r="AM117" s="202" t="str">
        <v/>
      </c>
      <c r="AN117" s="202" t="str">
        <v/>
      </c>
      <c r="AO117" s="202" t="str">
        <v/>
      </c>
      <c r="AP117" s="202" t="str">
        <v/>
      </c>
      <c r="AQ117" s="202" t="str">
        <v/>
      </c>
      <c r="AR117" s="202" t="str">
        <v/>
      </c>
      <c r="AS117" s="202" t="str">
        <v/>
      </c>
      <c r="AT117" s="262" t="str">
        <v/>
      </c>
      <c r="AU117" s="588"/>
    </row>
    <row r="118" x14ac:dyDescent="0.25">
      <c r="C118" s="597"/>
      <c r="D118" s="594">
        <f t="shared" si="23"/>
        <v>11</v>
      </c>
      <c r="E118" s="202" t="str">
        <v/>
      </c>
      <c r="F118" s="202" t="str">
        <v/>
      </c>
      <c r="G118" s="202" t="str">
        <v/>
      </c>
      <c r="H118" s="202" t="str">
        <v/>
      </c>
      <c r="I118" s="202" t="str">
        <v/>
      </c>
      <c r="J118" s="202" t="str">
        <v/>
      </c>
      <c r="K118" s="202" t="str">
        <v/>
      </c>
      <c r="L118" s="202" t="str">
        <v/>
      </c>
      <c r="M118" s="202" t="str">
        <v/>
      </c>
      <c r="N118" s="202" t="str">
        <v/>
      </c>
      <c r="O118" s="202" t="str">
        <v/>
      </c>
      <c r="P118" s="202" t="str">
        <v/>
      </c>
      <c r="Q118" s="202" t="str">
        <v/>
      </c>
      <c r="R118" s="202" t="str">
        <v/>
      </c>
      <c r="S118" s="202" t="str">
        <v/>
      </c>
      <c r="T118" s="202" t="str">
        <v/>
      </c>
      <c r="U118" s="202" t="str">
        <v/>
      </c>
      <c r="V118" s="202" t="str">
        <v/>
      </c>
      <c r="W118" s="202" t="str">
        <v/>
      </c>
      <c r="X118" s="202" t="str">
        <v/>
      </c>
      <c r="Y118" s="202" t="str">
        <v/>
      </c>
      <c r="Z118" s="202" t="str">
        <v/>
      </c>
      <c r="AA118" s="202" t="str">
        <v/>
      </c>
      <c r="AB118" s="202" t="str">
        <v/>
      </c>
      <c r="AC118" s="202" t="str">
        <v/>
      </c>
      <c r="AD118" s="202" t="str">
        <v/>
      </c>
      <c r="AE118" s="202" t="str">
        <v/>
      </c>
      <c r="AF118" s="202" t="str">
        <v/>
      </c>
      <c r="AG118" s="202" t="str">
        <v/>
      </c>
      <c r="AH118" s="202" t="str">
        <v/>
      </c>
      <c r="AI118" s="202" t="str">
        <v/>
      </c>
      <c r="AJ118" s="202" t="str">
        <v/>
      </c>
      <c r="AK118" s="202" t="str">
        <v/>
      </c>
      <c r="AL118" s="202" t="str">
        <v/>
      </c>
      <c r="AM118" s="202" t="str">
        <v/>
      </c>
      <c r="AN118" s="202" t="str">
        <v/>
      </c>
      <c r="AO118" s="202" t="str">
        <v/>
      </c>
      <c r="AP118" s="202" t="str">
        <v/>
      </c>
      <c r="AQ118" s="202" t="str">
        <v/>
      </c>
      <c r="AR118" s="202" t="str">
        <v/>
      </c>
      <c r="AS118" s="202" t="str">
        <v/>
      </c>
      <c r="AT118" s="262" t="str">
        <v/>
      </c>
      <c r="AU118" s="588"/>
    </row>
    <row r="119" x14ac:dyDescent="0.25">
      <c r="C119" s="597"/>
      <c r="D119" s="594">
        <f t="shared" si="23"/>
        <v>12</v>
      </c>
      <c r="E119" s="202" t="str">
        <v/>
      </c>
      <c r="F119" s="202" t="str">
        <v/>
      </c>
      <c r="G119" s="202" t="str">
        <v/>
      </c>
      <c r="H119" s="202" t="str">
        <v/>
      </c>
      <c r="I119" s="202" t="str">
        <v/>
      </c>
      <c r="J119" s="202" t="str">
        <v/>
      </c>
      <c r="K119" s="202" t="str">
        <v/>
      </c>
      <c r="L119" s="202" t="str">
        <v/>
      </c>
      <c r="M119" s="202" t="str">
        <v/>
      </c>
      <c r="N119" s="202" t="str">
        <v/>
      </c>
      <c r="O119" s="202" t="str">
        <v/>
      </c>
      <c r="P119" s="202" t="str">
        <v/>
      </c>
      <c r="Q119" s="202" t="str">
        <v/>
      </c>
      <c r="R119" s="202" t="str">
        <v/>
      </c>
      <c r="S119" s="202" t="str">
        <v/>
      </c>
      <c r="T119" s="202" t="str">
        <v/>
      </c>
      <c r="U119" s="202" t="str">
        <v/>
      </c>
      <c r="V119" s="202" t="str">
        <v/>
      </c>
      <c r="W119" s="202" t="str">
        <v/>
      </c>
      <c r="X119" s="202" t="str">
        <v/>
      </c>
      <c r="Y119" s="202" t="str">
        <v/>
      </c>
      <c r="Z119" s="202" t="str">
        <v/>
      </c>
      <c r="AA119" s="202" t="str">
        <v/>
      </c>
      <c r="AB119" s="202" t="str">
        <v/>
      </c>
      <c r="AC119" s="202" t="str">
        <v/>
      </c>
      <c r="AD119" s="202" t="str">
        <v/>
      </c>
      <c r="AE119" s="202" t="str">
        <v/>
      </c>
      <c r="AF119" s="202" t="str">
        <v/>
      </c>
      <c r="AG119" s="202" t="str">
        <v/>
      </c>
      <c r="AH119" s="202" t="str">
        <v/>
      </c>
      <c r="AI119" s="202" t="str">
        <v/>
      </c>
      <c r="AJ119" s="202" t="str">
        <v/>
      </c>
      <c r="AK119" s="202" t="str">
        <v/>
      </c>
      <c r="AL119" s="202" t="str">
        <v/>
      </c>
      <c r="AM119" s="202" t="str">
        <v/>
      </c>
      <c r="AN119" s="202" t="str">
        <v/>
      </c>
      <c r="AO119" s="202" t="str">
        <v/>
      </c>
      <c r="AP119" s="202" t="str">
        <v/>
      </c>
      <c r="AQ119" s="202" t="str">
        <v/>
      </c>
      <c r="AR119" s="202" t="str">
        <v/>
      </c>
      <c r="AS119" s="202" t="str">
        <v/>
      </c>
      <c r="AT119" s="262" t="str">
        <v/>
      </c>
      <c r="AU119" s="588"/>
    </row>
    <row r="120" x14ac:dyDescent="0.25">
      <c r="C120" s="597"/>
      <c r="D120" s="594">
        <f t="shared" si="23"/>
        <v>13</v>
      </c>
      <c r="E120" s="202" t="str">
        <v/>
      </c>
      <c r="F120" s="202" t="str">
        <v/>
      </c>
      <c r="G120" s="202" t="str">
        <v/>
      </c>
      <c r="H120" s="202" t="str">
        <v/>
      </c>
      <c r="I120" s="202" t="str">
        <v/>
      </c>
      <c r="J120" s="202" t="str">
        <v/>
      </c>
      <c r="K120" s="202" t="str">
        <v/>
      </c>
      <c r="L120" s="202" t="str">
        <v/>
      </c>
      <c r="M120" s="202" t="str">
        <v/>
      </c>
      <c r="N120" s="202" t="str">
        <v/>
      </c>
      <c r="O120" s="202" t="str">
        <v/>
      </c>
      <c r="P120" s="202" t="str">
        <v/>
      </c>
      <c r="Q120" s="202" t="str">
        <v/>
      </c>
      <c r="R120" s="202" t="str">
        <v/>
      </c>
      <c r="S120" s="202" t="str">
        <v/>
      </c>
      <c r="T120" s="202" t="str">
        <v/>
      </c>
      <c r="U120" s="202" t="str">
        <v/>
      </c>
      <c r="V120" s="202" t="str">
        <v/>
      </c>
      <c r="W120" s="202" t="str">
        <v/>
      </c>
      <c r="X120" s="202" t="str">
        <v/>
      </c>
      <c r="Y120" s="202" t="str">
        <v/>
      </c>
      <c r="Z120" s="202" t="str">
        <v/>
      </c>
      <c r="AA120" s="202" t="str">
        <v/>
      </c>
      <c r="AB120" s="202" t="str">
        <v/>
      </c>
      <c r="AC120" s="202" t="str">
        <v/>
      </c>
      <c r="AD120" s="202" t="str">
        <v/>
      </c>
      <c r="AE120" s="202" t="str">
        <v/>
      </c>
      <c r="AF120" s="202" t="str">
        <v/>
      </c>
      <c r="AG120" s="202" t="str">
        <v/>
      </c>
      <c r="AH120" s="202" t="str">
        <v/>
      </c>
      <c r="AI120" s="202" t="str">
        <v/>
      </c>
      <c r="AJ120" s="202" t="str">
        <v/>
      </c>
      <c r="AK120" s="202" t="str">
        <v/>
      </c>
      <c r="AL120" s="202" t="str">
        <v/>
      </c>
      <c r="AM120" s="202" t="str">
        <v/>
      </c>
      <c r="AN120" s="202" t="str">
        <v/>
      </c>
      <c r="AO120" s="202" t="str">
        <v/>
      </c>
      <c r="AP120" s="202" t="str">
        <v/>
      </c>
      <c r="AQ120" s="202" t="str">
        <v/>
      </c>
      <c r="AR120" s="202" t="str">
        <v/>
      </c>
      <c r="AS120" s="202" t="str">
        <v/>
      </c>
      <c r="AT120" s="262" t="str">
        <v/>
      </c>
      <c r="AU120" s="588"/>
    </row>
    <row r="121" ht="21" customHeight="true" x14ac:dyDescent="0.25">
      <c r="C121" s="597"/>
      <c r="D121" s="594">
        <f t="shared" si="23"/>
        <v>14</v>
      </c>
      <c r="E121" s="202" t="str">
        <v/>
      </c>
      <c r="F121" s="202" t="str">
        <v/>
      </c>
      <c r="G121" s="202" t="str">
        <v/>
      </c>
      <c r="H121" s="202" t="str">
        <v/>
      </c>
      <c r="I121" s="202" t="str">
        <v/>
      </c>
      <c r="J121" s="202" t="str">
        <v/>
      </c>
      <c r="K121" s="202" t="str">
        <v/>
      </c>
      <c r="L121" s="202" t="str">
        <v/>
      </c>
      <c r="M121" s="202" t="str">
        <v/>
      </c>
      <c r="N121" s="202" t="str">
        <v/>
      </c>
      <c r="O121" s="202" t="str">
        <v/>
      </c>
      <c r="P121" s="202" t="str">
        <v/>
      </c>
      <c r="Q121" s="202" t="str">
        <v/>
      </c>
      <c r="R121" s="202" t="str">
        <v/>
      </c>
      <c r="S121" s="202" t="str">
        <v/>
      </c>
      <c r="T121" s="202" t="str">
        <v/>
      </c>
      <c r="U121" s="202" t="str">
        <v/>
      </c>
      <c r="V121" s="202" t="str">
        <v/>
      </c>
      <c r="W121" s="202" t="str">
        <v/>
      </c>
      <c r="X121" s="202" t="str">
        <v/>
      </c>
      <c r="Y121" s="202" t="str">
        <v/>
      </c>
      <c r="Z121" s="202" t="str">
        <v/>
      </c>
      <c r="AA121" s="202" t="str">
        <v/>
      </c>
      <c r="AB121" s="202" t="str">
        <v/>
      </c>
      <c r="AC121" s="202" t="str">
        <v/>
      </c>
      <c r="AD121" s="202" t="str">
        <v/>
      </c>
      <c r="AE121" s="202" t="str">
        <v/>
      </c>
      <c r="AF121" s="202" t="str">
        <v/>
      </c>
      <c r="AG121" s="202" t="str">
        <v/>
      </c>
      <c r="AH121" s="202" t="str">
        <v/>
      </c>
      <c r="AI121" s="202" t="str">
        <v/>
      </c>
      <c r="AJ121" s="202" t="str">
        <v/>
      </c>
      <c r="AK121" s="202" t="str">
        <v/>
      </c>
      <c r="AL121" s="202" t="str">
        <v/>
      </c>
      <c r="AM121" s="202" t="str">
        <v/>
      </c>
      <c r="AN121" s="202" t="str">
        <v/>
      </c>
      <c r="AO121" s="202" t="str">
        <v/>
      </c>
      <c r="AP121" s="202" t="str">
        <v/>
      </c>
      <c r="AQ121" s="202" t="str">
        <v/>
      </c>
      <c r="AR121" s="202" t="str">
        <v/>
      </c>
      <c r="AS121" s="202" t="str">
        <v/>
      </c>
      <c r="AT121" s="262" t="str">
        <v/>
      </c>
      <c r="AU121" s="588"/>
    </row>
    <row r="122" ht="21" customHeight="true" x14ac:dyDescent="0.25">
      <c r="C122" s="597"/>
      <c r="D122" s="594">
        <f t="shared" si="23"/>
        <v>15</v>
      </c>
      <c r="E122" s="202" t="str">
        <v/>
      </c>
      <c r="F122" s="202" t="str">
        <v/>
      </c>
      <c r="G122" s="202" t="str">
        <v/>
      </c>
      <c r="H122" s="202" t="str">
        <v/>
      </c>
      <c r="I122" s="202" t="str">
        <v/>
      </c>
      <c r="J122" s="202" t="str">
        <v/>
      </c>
      <c r="K122" s="202" t="str">
        <v/>
      </c>
      <c r="L122" s="202" t="str">
        <v/>
      </c>
      <c r="M122" s="202" t="str">
        <v/>
      </c>
      <c r="N122" s="202" t="str">
        <v/>
      </c>
      <c r="O122" s="202" t="str">
        <v/>
      </c>
      <c r="P122" s="202" t="str">
        <v/>
      </c>
      <c r="Q122" s="202" t="str">
        <v/>
      </c>
      <c r="R122" s="202" t="str">
        <v/>
      </c>
      <c r="S122" s="202" t="str">
        <v/>
      </c>
      <c r="T122" s="202" t="str">
        <v/>
      </c>
      <c r="U122" s="202" t="str">
        <v/>
      </c>
      <c r="V122" s="202" t="str">
        <v/>
      </c>
      <c r="W122" s="202" t="str">
        <v/>
      </c>
      <c r="X122" s="202" t="str">
        <v/>
      </c>
      <c r="Y122" s="202" t="str">
        <v/>
      </c>
      <c r="Z122" s="202" t="str">
        <v/>
      </c>
      <c r="AA122" s="202" t="str">
        <v/>
      </c>
      <c r="AB122" s="202" t="str">
        <v/>
      </c>
      <c r="AC122" s="202" t="str">
        <v/>
      </c>
      <c r="AD122" s="202" t="str">
        <v/>
      </c>
      <c r="AE122" s="202" t="str">
        <v/>
      </c>
      <c r="AF122" s="202" t="str">
        <v/>
      </c>
      <c r="AG122" s="202" t="str">
        <v/>
      </c>
      <c r="AH122" s="202" t="str">
        <v/>
      </c>
      <c r="AI122" s="202" t="str">
        <v/>
      </c>
      <c r="AJ122" s="202" t="str">
        <v/>
      </c>
      <c r="AK122" s="202" t="str">
        <v/>
      </c>
      <c r="AL122" s="202" t="str">
        <v/>
      </c>
      <c r="AM122" s="202" t="str">
        <v/>
      </c>
      <c r="AN122" s="202" t="str">
        <v/>
      </c>
      <c r="AO122" s="202" t="str">
        <v/>
      </c>
      <c r="AP122" s="202" t="str">
        <v/>
      </c>
      <c r="AQ122" s="202" t="str">
        <v/>
      </c>
      <c r="AR122" s="202" t="str">
        <v/>
      </c>
      <c r="AS122" s="202" t="str">
        <v/>
      </c>
      <c r="AT122" s="262" t="str">
        <v/>
      </c>
      <c r="AU122" s="588"/>
    </row>
    <row r="123" ht="27.75" customHeight="true" x14ac:dyDescent="0.25">
      <c r="C123" s="597"/>
      <c r="D123" s="594">
        <f t="shared" si="23"/>
        <v>16</v>
      </c>
      <c r="E123" s="202" t="str">
        <v/>
      </c>
      <c r="F123" s="202" t="str">
        <v/>
      </c>
      <c r="G123" s="202" t="str">
        <v/>
      </c>
      <c r="H123" s="202" t="str">
        <v/>
      </c>
      <c r="I123" s="202" t="str">
        <v/>
      </c>
      <c r="J123" s="202" t="str">
        <v/>
      </c>
      <c r="K123" s="202" t="str">
        <v/>
      </c>
      <c r="L123" s="202" t="str">
        <v/>
      </c>
      <c r="M123" s="202" t="str">
        <v/>
      </c>
      <c r="N123" s="202" t="str">
        <v/>
      </c>
      <c r="O123" s="202" t="str">
        <v/>
      </c>
      <c r="P123" s="202" t="str">
        <v/>
      </c>
      <c r="Q123" s="202" t="str">
        <v/>
      </c>
      <c r="R123" s="202" t="str">
        <v/>
      </c>
      <c r="S123" s="202" t="str">
        <v/>
      </c>
      <c r="T123" s="202" t="str">
        <v/>
      </c>
      <c r="U123" s="202" t="str">
        <v/>
      </c>
      <c r="V123" s="202" t="str">
        <v/>
      </c>
      <c r="W123" s="202" t="str">
        <v/>
      </c>
      <c r="X123" s="202" t="str">
        <v/>
      </c>
      <c r="Y123" s="202" t="str">
        <v/>
      </c>
      <c r="Z123" s="202" t="str">
        <v/>
      </c>
      <c r="AA123" s="202" t="str">
        <v/>
      </c>
      <c r="AB123" s="202" t="str">
        <v/>
      </c>
      <c r="AC123" s="202" t="str">
        <v/>
      </c>
      <c r="AD123" s="202" t="str">
        <v/>
      </c>
      <c r="AE123" s="202" t="str">
        <v/>
      </c>
      <c r="AF123" s="202" t="str">
        <v/>
      </c>
      <c r="AG123" s="202" t="str">
        <v/>
      </c>
      <c r="AH123" s="202" t="str">
        <v/>
      </c>
      <c r="AI123" s="202" t="str">
        <v/>
      </c>
      <c r="AJ123" s="202" t="str">
        <v/>
      </c>
      <c r="AK123" s="202" t="str">
        <v/>
      </c>
      <c r="AL123" s="202" t="str">
        <v/>
      </c>
      <c r="AM123" s="202" t="str">
        <v/>
      </c>
      <c r="AN123" s="202" t="str">
        <v/>
      </c>
      <c r="AO123" s="202" t="str">
        <v/>
      </c>
      <c r="AP123" s="202" t="str">
        <v/>
      </c>
      <c r="AQ123" s="202" t="str">
        <v/>
      </c>
      <c r="AR123" s="202" t="str">
        <v/>
      </c>
      <c r="AS123" s="202" t="str">
        <v/>
      </c>
      <c r="AT123" s="262" t="str">
        <v/>
      </c>
      <c r="AU123" s="588"/>
    </row>
    <row r="124" ht="21" customHeight="true" x14ac:dyDescent="0.25">
      <c r="C124" s="597"/>
      <c r="D124" s="594">
        <f t="shared" si="23"/>
        <v>17</v>
      </c>
      <c r="E124" s="202" t="str">
        <v/>
      </c>
      <c r="F124" s="202" t="str">
        <v/>
      </c>
      <c r="G124" s="202" t="str">
        <v/>
      </c>
      <c r="H124" s="202" t="str">
        <v/>
      </c>
      <c r="I124" s="202" t="str">
        <v/>
      </c>
      <c r="J124" s="202" t="str">
        <v/>
      </c>
      <c r="K124" s="202" t="str">
        <v/>
      </c>
      <c r="L124" s="202" t="str">
        <v/>
      </c>
      <c r="M124" s="202" t="str">
        <v/>
      </c>
      <c r="N124" s="202" t="str">
        <v/>
      </c>
      <c r="O124" s="202" t="str">
        <v/>
      </c>
      <c r="P124" s="202" t="str">
        <v/>
      </c>
      <c r="Q124" s="202" t="str">
        <v/>
      </c>
      <c r="R124" s="202" t="str">
        <v/>
      </c>
      <c r="S124" s="202" t="str">
        <v/>
      </c>
      <c r="T124" s="202" t="str">
        <v/>
      </c>
      <c r="U124" s="202" t="str">
        <v/>
      </c>
      <c r="V124" s="202" t="str">
        <v/>
      </c>
      <c r="W124" s="202" t="str">
        <v/>
      </c>
      <c r="X124" s="202" t="str">
        <v/>
      </c>
      <c r="Y124" s="202" t="str">
        <v/>
      </c>
      <c r="Z124" s="202" t="str">
        <v/>
      </c>
      <c r="AA124" s="202" t="str">
        <v/>
      </c>
      <c r="AB124" s="202" t="str">
        <v/>
      </c>
      <c r="AC124" s="202" t="str">
        <v/>
      </c>
      <c r="AD124" s="202" t="str">
        <v/>
      </c>
      <c r="AE124" s="202" t="str">
        <v/>
      </c>
      <c r="AF124" s="202" t="str">
        <v/>
      </c>
      <c r="AG124" s="202" t="str">
        <v/>
      </c>
      <c r="AH124" s="202" t="str">
        <v/>
      </c>
      <c r="AI124" s="202" t="str">
        <v/>
      </c>
      <c r="AJ124" s="202" t="str">
        <v/>
      </c>
      <c r="AK124" s="202" t="str">
        <v/>
      </c>
      <c r="AL124" s="202" t="str">
        <v/>
      </c>
      <c r="AM124" s="202" t="str">
        <v/>
      </c>
      <c r="AN124" s="202" t="str">
        <v/>
      </c>
      <c r="AO124" s="202" t="str">
        <v/>
      </c>
      <c r="AP124" s="202" t="str">
        <v/>
      </c>
      <c r="AQ124" s="202" t="str">
        <v/>
      </c>
      <c r="AR124" s="202" t="str">
        <v/>
      </c>
      <c r="AS124" s="202" t="str">
        <v/>
      </c>
      <c r="AT124" s="262" t="str">
        <v/>
      </c>
      <c r="AU124" s="588"/>
    </row>
    <row r="125" ht="21" customHeight="true" x14ac:dyDescent="0.25">
      <c r="C125" s="597"/>
      <c r="D125" s="594">
        <f t="shared" si="23"/>
        <v>18</v>
      </c>
      <c r="E125" s="202" t="str">
        <v/>
      </c>
      <c r="F125" s="202" t="str">
        <v/>
      </c>
      <c r="G125" s="202" t="str">
        <v/>
      </c>
      <c r="H125" s="202" t="str">
        <v/>
      </c>
      <c r="I125" s="202" t="str">
        <v/>
      </c>
      <c r="J125" s="202" t="str">
        <v/>
      </c>
      <c r="K125" s="202" t="str">
        <v/>
      </c>
      <c r="L125" s="202" t="str">
        <v/>
      </c>
      <c r="M125" s="202" t="str">
        <v/>
      </c>
      <c r="N125" s="202" t="str">
        <v/>
      </c>
      <c r="O125" s="202" t="str">
        <v/>
      </c>
      <c r="P125" s="202" t="str">
        <v/>
      </c>
      <c r="Q125" s="202" t="str">
        <v/>
      </c>
      <c r="R125" s="202" t="str">
        <v/>
      </c>
      <c r="S125" s="202" t="str">
        <v/>
      </c>
      <c r="T125" s="202" t="str">
        <v/>
      </c>
      <c r="U125" s="202" t="str">
        <v/>
      </c>
      <c r="V125" s="202" t="str">
        <v/>
      </c>
      <c r="W125" s="202" t="str">
        <v/>
      </c>
      <c r="X125" s="202" t="str">
        <v/>
      </c>
      <c r="Y125" s="202" t="str">
        <v/>
      </c>
      <c r="Z125" s="202" t="str">
        <v/>
      </c>
      <c r="AA125" s="202" t="str">
        <v/>
      </c>
      <c r="AB125" s="202" t="str">
        <v/>
      </c>
      <c r="AC125" s="202" t="str">
        <v/>
      </c>
      <c r="AD125" s="202" t="str">
        <v/>
      </c>
      <c r="AE125" s="202" t="str">
        <v/>
      </c>
      <c r="AF125" s="202" t="str">
        <v/>
      </c>
      <c r="AG125" s="202" t="str">
        <v/>
      </c>
      <c r="AH125" s="202" t="str">
        <v/>
      </c>
      <c r="AI125" s="202" t="str">
        <v/>
      </c>
      <c r="AJ125" s="202" t="str">
        <v/>
      </c>
      <c r="AK125" s="202" t="str">
        <v/>
      </c>
      <c r="AL125" s="202" t="str">
        <v/>
      </c>
      <c r="AM125" s="202" t="str">
        <v/>
      </c>
      <c r="AN125" s="202" t="str">
        <v/>
      </c>
      <c r="AO125" s="202" t="str">
        <v/>
      </c>
      <c r="AP125" s="202" t="str">
        <v/>
      </c>
      <c r="AQ125" s="202" t="str">
        <v/>
      </c>
      <c r="AR125" s="202" t="str">
        <v/>
      </c>
      <c r="AS125" s="202" t="str">
        <v/>
      </c>
      <c r="AT125" s="262" t="str">
        <v/>
      </c>
      <c r="AU125" s="588"/>
    </row>
    <row r="126" ht="21" customHeight="true" x14ac:dyDescent="0.25">
      <c r="C126" s="597"/>
      <c r="D126" s="594">
        <f t="shared" si="23"/>
        <v>19</v>
      </c>
      <c r="E126" s="202" t="str">
        <v/>
      </c>
      <c r="F126" s="202" t="str">
        <v/>
      </c>
      <c r="G126" s="202" t="str">
        <v/>
      </c>
      <c r="H126" s="202" t="str">
        <v/>
      </c>
      <c r="I126" s="202" t="str">
        <v/>
      </c>
      <c r="J126" s="202" t="str">
        <v/>
      </c>
      <c r="K126" s="202" t="str">
        <v/>
      </c>
      <c r="L126" s="202" t="str">
        <v/>
      </c>
      <c r="M126" s="202" t="str">
        <v/>
      </c>
      <c r="N126" s="202" t="str">
        <v/>
      </c>
      <c r="O126" s="202" t="str">
        <v/>
      </c>
      <c r="P126" s="202" t="str">
        <v/>
      </c>
      <c r="Q126" s="202" t="str">
        <v/>
      </c>
      <c r="R126" s="202" t="str">
        <v/>
      </c>
      <c r="S126" s="202" t="str">
        <v/>
      </c>
      <c r="T126" s="202" t="str">
        <v/>
      </c>
      <c r="U126" s="202" t="str">
        <v/>
      </c>
      <c r="V126" s="202" t="str">
        <v/>
      </c>
      <c r="W126" s="202" t="str">
        <v/>
      </c>
      <c r="X126" s="202" t="str">
        <v/>
      </c>
      <c r="Y126" s="202" t="str">
        <v/>
      </c>
      <c r="Z126" s="202" t="str">
        <v/>
      </c>
      <c r="AA126" s="202" t="str">
        <v/>
      </c>
      <c r="AB126" s="202" t="str">
        <v/>
      </c>
      <c r="AC126" s="202" t="str">
        <v/>
      </c>
      <c r="AD126" s="202" t="str">
        <v/>
      </c>
      <c r="AE126" s="202" t="str">
        <v/>
      </c>
      <c r="AF126" s="202" t="str">
        <v/>
      </c>
      <c r="AG126" s="202" t="str">
        <v/>
      </c>
      <c r="AH126" s="202" t="str">
        <v/>
      </c>
      <c r="AI126" s="202" t="str">
        <v/>
      </c>
      <c r="AJ126" s="202" t="str">
        <v/>
      </c>
      <c r="AK126" s="202" t="str">
        <v/>
      </c>
      <c r="AL126" s="202" t="str">
        <v/>
      </c>
      <c r="AM126" s="202" t="str">
        <v/>
      </c>
      <c r="AN126" s="202" t="str">
        <v/>
      </c>
      <c r="AO126" s="202" t="str">
        <v/>
      </c>
      <c r="AP126" s="202" t="str">
        <v/>
      </c>
      <c r="AQ126" s="202" t="str">
        <v/>
      </c>
      <c r="AR126" s="202" t="str">
        <v/>
      </c>
      <c r="AS126" s="202" t="str">
        <v/>
      </c>
      <c r="AT126" s="262" t="str">
        <v/>
      </c>
      <c r="AU126" s="588"/>
    </row>
    <row r="127" ht="21" customHeight="true" x14ac:dyDescent="0.25">
      <c r="C127" s="597"/>
      <c r="D127" s="594">
        <f t="shared" si="23"/>
        <v>20</v>
      </c>
      <c r="E127" s="202" t="str">
        <v/>
      </c>
      <c r="F127" s="202" t="str">
        <v/>
      </c>
      <c r="G127" s="202" t="str">
        <v/>
      </c>
      <c r="H127" s="202" t="str">
        <v/>
      </c>
      <c r="I127" s="202" t="str">
        <v/>
      </c>
      <c r="J127" s="202" t="str">
        <v/>
      </c>
      <c r="K127" s="202" t="str">
        <v/>
      </c>
      <c r="L127" s="202" t="str">
        <v/>
      </c>
      <c r="M127" s="202" t="str">
        <v/>
      </c>
      <c r="N127" s="202" t="str">
        <v/>
      </c>
      <c r="O127" s="202" t="str">
        <v/>
      </c>
      <c r="P127" s="202" t="str">
        <v/>
      </c>
      <c r="Q127" s="202" t="str">
        <v/>
      </c>
      <c r="R127" s="202" t="str">
        <v/>
      </c>
      <c r="S127" s="202" t="str">
        <v/>
      </c>
      <c r="T127" s="202" t="str">
        <v/>
      </c>
      <c r="U127" s="202" t="str">
        <v/>
      </c>
      <c r="V127" s="202" t="str">
        <v/>
      </c>
      <c r="W127" s="202" t="str">
        <v/>
      </c>
      <c r="X127" s="202" t="str">
        <v/>
      </c>
      <c r="Y127" s="202" t="str">
        <v/>
      </c>
      <c r="Z127" s="202" t="str">
        <v/>
      </c>
      <c r="AA127" s="202" t="str">
        <v/>
      </c>
      <c r="AB127" s="202" t="str">
        <v/>
      </c>
      <c r="AC127" s="202" t="str">
        <v/>
      </c>
      <c r="AD127" s="202" t="str">
        <v/>
      </c>
      <c r="AE127" s="202" t="str">
        <v/>
      </c>
      <c r="AF127" s="202" t="str">
        <v/>
      </c>
      <c r="AG127" s="202" t="str">
        <v/>
      </c>
      <c r="AH127" s="202" t="str">
        <v/>
      </c>
      <c r="AI127" s="202" t="str">
        <v/>
      </c>
      <c r="AJ127" s="202" t="str">
        <v/>
      </c>
      <c r="AK127" s="202" t="str">
        <v/>
      </c>
      <c r="AL127" s="202" t="str">
        <v/>
      </c>
      <c r="AM127" s="202" t="str">
        <v/>
      </c>
      <c r="AN127" s="202" t="str">
        <v/>
      </c>
      <c r="AO127" s="202" t="str">
        <v/>
      </c>
      <c r="AP127" s="202" t="str">
        <v/>
      </c>
      <c r="AQ127" s="202" t="str">
        <v/>
      </c>
      <c r="AR127" s="202" t="str">
        <v/>
      </c>
      <c r="AS127" s="202" t="str">
        <v/>
      </c>
      <c r="AT127" s="262" t="str">
        <v/>
      </c>
      <c r="AU127" s="588"/>
    </row>
    <row r="128" ht="21" customHeight="true" x14ac:dyDescent="0.25">
      <c r="C128" s="597"/>
      <c r="D128" s="594">
        <f t="shared" si="23"/>
        <v>21</v>
      </c>
      <c r="E128" s="202" t="str">
        <v/>
      </c>
      <c r="F128" s="202" t="str">
        <v/>
      </c>
      <c r="G128" s="202" t="str">
        <v/>
      </c>
      <c r="H128" s="202" t="str">
        <v/>
      </c>
      <c r="I128" s="202" t="str">
        <v/>
      </c>
      <c r="J128" s="202" t="str">
        <v/>
      </c>
      <c r="K128" s="202" t="str">
        <v/>
      </c>
      <c r="L128" s="202" t="str">
        <v/>
      </c>
      <c r="M128" s="202" t="str">
        <v/>
      </c>
      <c r="N128" s="202" t="str">
        <v/>
      </c>
      <c r="O128" s="202" t="str">
        <v/>
      </c>
      <c r="P128" s="202" t="str">
        <v/>
      </c>
      <c r="Q128" s="202" t="str">
        <v/>
      </c>
      <c r="R128" s="202" t="str">
        <v/>
      </c>
      <c r="S128" s="202" t="str">
        <v/>
      </c>
      <c r="T128" s="202" t="str">
        <v/>
      </c>
      <c r="U128" s="202" t="str">
        <v/>
      </c>
      <c r="V128" s="202" t="str">
        <v/>
      </c>
      <c r="W128" s="202" t="str">
        <v/>
      </c>
      <c r="X128" s="202" t="str">
        <v/>
      </c>
      <c r="Y128" s="202" t="str">
        <v/>
      </c>
      <c r="Z128" s="202" t="str">
        <v/>
      </c>
      <c r="AA128" s="202" t="str">
        <v/>
      </c>
      <c r="AB128" s="202" t="str">
        <v/>
      </c>
      <c r="AC128" s="202" t="str">
        <v/>
      </c>
      <c r="AD128" s="202" t="str">
        <v/>
      </c>
      <c r="AE128" s="202" t="str">
        <v/>
      </c>
      <c r="AF128" s="202" t="str">
        <v/>
      </c>
      <c r="AG128" s="202" t="str">
        <v/>
      </c>
      <c r="AH128" s="202" t="str">
        <v/>
      </c>
      <c r="AI128" s="202" t="str">
        <v/>
      </c>
      <c r="AJ128" s="202" t="str">
        <v/>
      </c>
      <c r="AK128" s="202" t="str">
        <v/>
      </c>
      <c r="AL128" s="202" t="str">
        <v/>
      </c>
      <c r="AM128" s="202" t="str">
        <v/>
      </c>
      <c r="AN128" s="202" t="str">
        <v/>
      </c>
      <c r="AO128" s="202" t="str">
        <v/>
      </c>
      <c r="AP128" s="202" t="str">
        <v/>
      </c>
      <c r="AQ128" s="202" t="str">
        <v/>
      </c>
      <c r="AR128" s="202" t="str">
        <v/>
      </c>
      <c r="AS128" s="202" t="str">
        <v/>
      </c>
      <c r="AT128" s="262" t="str">
        <v/>
      </c>
      <c r="AU128" s="588"/>
    </row>
    <row r="129" ht="21" customHeight="true" x14ac:dyDescent="0.25">
      <c r="C129" s="597"/>
      <c r="D129" s="594">
        <f t="shared" si="23"/>
        <v>22</v>
      </c>
      <c r="E129" s="202" t="str">
        <v/>
      </c>
      <c r="F129" s="202" t="str">
        <v/>
      </c>
      <c r="G129" s="202" t="str">
        <v/>
      </c>
      <c r="H129" s="202" t="str">
        <v/>
      </c>
      <c r="I129" s="202" t="str">
        <v/>
      </c>
      <c r="J129" s="202" t="str">
        <v/>
      </c>
      <c r="K129" s="202" t="str">
        <v/>
      </c>
      <c r="L129" s="202" t="str">
        <v/>
      </c>
      <c r="M129" s="202" t="str">
        <v/>
      </c>
      <c r="N129" s="202" t="str">
        <v/>
      </c>
      <c r="O129" s="202" t="str">
        <v/>
      </c>
      <c r="P129" s="202" t="str">
        <v/>
      </c>
      <c r="Q129" s="202" t="str">
        <v/>
      </c>
      <c r="R129" s="202" t="str">
        <v/>
      </c>
      <c r="S129" s="202" t="str">
        <v/>
      </c>
      <c r="T129" s="202" t="str">
        <v/>
      </c>
      <c r="U129" s="202" t="str">
        <v/>
      </c>
      <c r="V129" s="202" t="str">
        <v/>
      </c>
      <c r="W129" s="202" t="str">
        <v/>
      </c>
      <c r="X129" s="202" t="str">
        <v/>
      </c>
      <c r="Y129" s="202" t="str">
        <v/>
      </c>
      <c r="Z129" s="202" t="str">
        <v/>
      </c>
      <c r="AA129" s="202" t="str">
        <v/>
      </c>
      <c r="AB129" s="202" t="str">
        <v/>
      </c>
      <c r="AC129" s="202" t="str">
        <v/>
      </c>
      <c r="AD129" s="202" t="str">
        <v/>
      </c>
      <c r="AE129" s="202" t="str">
        <v/>
      </c>
      <c r="AF129" s="202" t="str">
        <v/>
      </c>
      <c r="AG129" s="202" t="str">
        <v/>
      </c>
      <c r="AH129" s="202" t="str">
        <v/>
      </c>
      <c r="AI129" s="202" t="str">
        <v/>
      </c>
      <c r="AJ129" s="202" t="str">
        <v/>
      </c>
      <c r="AK129" s="202" t="str">
        <v/>
      </c>
      <c r="AL129" s="202" t="str">
        <v/>
      </c>
      <c r="AM129" s="202" t="str">
        <v/>
      </c>
      <c r="AN129" s="202" t="str">
        <v/>
      </c>
      <c r="AO129" s="202" t="str">
        <v/>
      </c>
      <c r="AP129" s="202" t="str">
        <v/>
      </c>
      <c r="AQ129" s="202" t="str">
        <v/>
      </c>
      <c r="AR129" s="202" t="str">
        <v/>
      </c>
      <c r="AS129" s="202" t="str">
        <v/>
      </c>
      <c r="AT129" s="262" t="str">
        <v/>
      </c>
      <c r="AU129" s="588"/>
    </row>
    <row r="130" ht="21" customHeight="true" x14ac:dyDescent="0.25">
      <c r="C130" s="597"/>
      <c r="D130" s="594">
        <f t="shared" si="23"/>
        <v>23</v>
      </c>
      <c r="E130" s="202" t="str">
        <v/>
      </c>
      <c r="F130" s="202" t="str">
        <v/>
      </c>
      <c r="G130" s="202" t="str">
        <v/>
      </c>
      <c r="H130" s="202" t="str">
        <v/>
      </c>
      <c r="I130" s="202" t="str">
        <v/>
      </c>
      <c r="J130" s="202" t="str">
        <v/>
      </c>
      <c r="K130" s="202" t="str">
        <v/>
      </c>
      <c r="L130" s="202" t="str">
        <v/>
      </c>
      <c r="M130" s="202" t="str">
        <v/>
      </c>
      <c r="N130" s="202" t="str">
        <v/>
      </c>
      <c r="O130" s="202" t="str">
        <v/>
      </c>
      <c r="P130" s="202" t="str">
        <v/>
      </c>
      <c r="Q130" s="202" t="str">
        <v/>
      </c>
      <c r="R130" s="202" t="str">
        <v/>
      </c>
      <c r="S130" s="202" t="str">
        <v/>
      </c>
      <c r="T130" s="202" t="str">
        <v/>
      </c>
      <c r="U130" s="202" t="str">
        <v/>
      </c>
      <c r="V130" s="202" t="str">
        <v/>
      </c>
      <c r="W130" s="202" t="str">
        <v/>
      </c>
      <c r="X130" s="202" t="str">
        <v/>
      </c>
      <c r="Y130" s="202" t="str">
        <v/>
      </c>
      <c r="Z130" s="202" t="str">
        <v/>
      </c>
      <c r="AA130" s="202" t="str">
        <v/>
      </c>
      <c r="AB130" s="202" t="str">
        <v/>
      </c>
      <c r="AC130" s="202" t="str">
        <v/>
      </c>
      <c r="AD130" s="202" t="str">
        <v/>
      </c>
      <c r="AE130" s="202" t="str">
        <v/>
      </c>
      <c r="AF130" s="202" t="str">
        <v/>
      </c>
      <c r="AG130" s="202" t="str">
        <v/>
      </c>
      <c r="AH130" s="202" t="str">
        <v/>
      </c>
      <c r="AI130" s="202" t="str">
        <v/>
      </c>
      <c r="AJ130" s="202" t="str">
        <v/>
      </c>
      <c r="AK130" s="202" t="str">
        <v/>
      </c>
      <c r="AL130" s="202" t="str">
        <v/>
      </c>
      <c r="AM130" s="202" t="str">
        <v/>
      </c>
      <c r="AN130" s="202" t="str">
        <v/>
      </c>
      <c r="AO130" s="202" t="str">
        <v/>
      </c>
      <c r="AP130" s="202" t="str">
        <v/>
      </c>
      <c r="AQ130" s="202" t="str">
        <v/>
      </c>
      <c r="AR130" s="202" t="str">
        <v/>
      </c>
      <c r="AS130" s="202" t="str">
        <v/>
      </c>
      <c r="AT130" s="262" t="str">
        <v/>
      </c>
      <c r="AU130" s="588"/>
    </row>
    <row r="131" ht="21" customHeight="true" x14ac:dyDescent="0.25">
      <c r="C131" s="597"/>
      <c r="D131" s="594">
        <f t="shared" si="23"/>
        <v>24</v>
      </c>
      <c r="E131" s="202" t="str">
        <v/>
      </c>
      <c r="F131" s="202" t="str">
        <v/>
      </c>
      <c r="G131" s="202" t="str">
        <v/>
      </c>
      <c r="H131" s="202" t="str">
        <v/>
      </c>
      <c r="I131" s="202" t="str">
        <v/>
      </c>
      <c r="J131" s="202" t="str">
        <v/>
      </c>
      <c r="K131" s="202" t="str">
        <v/>
      </c>
      <c r="L131" s="202" t="str">
        <v/>
      </c>
      <c r="M131" s="202" t="str">
        <v/>
      </c>
      <c r="N131" s="202" t="str">
        <v/>
      </c>
      <c r="O131" s="202" t="str">
        <v/>
      </c>
      <c r="P131" s="202" t="str">
        <v/>
      </c>
      <c r="Q131" s="202" t="str">
        <v/>
      </c>
      <c r="R131" s="202" t="str">
        <v/>
      </c>
      <c r="S131" s="202" t="str">
        <v/>
      </c>
      <c r="T131" s="202" t="str">
        <v/>
      </c>
      <c r="U131" s="202" t="str">
        <v/>
      </c>
      <c r="V131" s="202" t="str">
        <v/>
      </c>
      <c r="W131" s="202" t="str">
        <v/>
      </c>
      <c r="X131" s="202" t="str">
        <v/>
      </c>
      <c r="Y131" s="202" t="str">
        <v/>
      </c>
      <c r="Z131" s="202" t="str">
        <v/>
      </c>
      <c r="AA131" s="202" t="str">
        <v/>
      </c>
      <c r="AB131" s="202" t="str">
        <v/>
      </c>
      <c r="AC131" s="202" t="str">
        <v/>
      </c>
      <c r="AD131" s="202" t="str">
        <v/>
      </c>
      <c r="AE131" s="202" t="str">
        <v/>
      </c>
      <c r="AF131" s="202" t="str">
        <v/>
      </c>
      <c r="AG131" s="202" t="str">
        <v/>
      </c>
      <c r="AH131" s="202" t="str">
        <v/>
      </c>
      <c r="AI131" s="202" t="str">
        <v/>
      </c>
      <c r="AJ131" s="202" t="str">
        <v/>
      </c>
      <c r="AK131" s="202" t="str">
        <v/>
      </c>
      <c r="AL131" s="202" t="str">
        <v/>
      </c>
      <c r="AM131" s="202" t="str">
        <v/>
      </c>
      <c r="AN131" s="202" t="str">
        <v/>
      </c>
      <c r="AO131" s="202" t="str">
        <v/>
      </c>
      <c r="AP131" s="202" t="str">
        <v/>
      </c>
      <c r="AQ131" s="202" t="str">
        <v/>
      </c>
      <c r="AR131" s="202" t="str">
        <v/>
      </c>
      <c r="AS131" s="202" t="str">
        <v/>
      </c>
      <c r="AT131" s="262" t="str">
        <v/>
      </c>
      <c r="AU131" s="588"/>
    </row>
    <row r="132" ht="21" customHeight="true" x14ac:dyDescent="0.25">
      <c r="C132" s="597"/>
      <c r="D132" s="594">
        <f t="shared" si="23"/>
        <v>25</v>
      </c>
      <c r="E132" s="202" t="str">
        <v/>
      </c>
      <c r="F132" s="202" t="str">
        <v/>
      </c>
      <c r="G132" s="202" t="str">
        <v/>
      </c>
      <c r="H132" s="202" t="str">
        <v/>
      </c>
      <c r="I132" s="202" t="str">
        <v/>
      </c>
      <c r="J132" s="202" t="str">
        <v/>
      </c>
      <c r="K132" s="202" t="str">
        <v/>
      </c>
      <c r="L132" s="202" t="str">
        <v/>
      </c>
      <c r="M132" s="202" t="str">
        <v/>
      </c>
      <c r="N132" s="202" t="str">
        <v/>
      </c>
      <c r="O132" s="202" t="str">
        <v/>
      </c>
      <c r="P132" s="202" t="str">
        <v/>
      </c>
      <c r="Q132" s="202" t="str">
        <v/>
      </c>
      <c r="R132" s="202" t="str">
        <v/>
      </c>
      <c r="S132" s="202" t="str">
        <v/>
      </c>
      <c r="T132" s="202" t="str">
        <v/>
      </c>
      <c r="U132" s="202" t="str">
        <v/>
      </c>
      <c r="V132" s="202" t="str">
        <v/>
      </c>
      <c r="W132" s="202" t="str">
        <v/>
      </c>
      <c r="X132" s="202" t="str">
        <v/>
      </c>
      <c r="Y132" s="202" t="str">
        <v/>
      </c>
      <c r="Z132" s="202" t="str">
        <v/>
      </c>
      <c r="AA132" s="202" t="str">
        <v/>
      </c>
      <c r="AB132" s="202" t="str">
        <v/>
      </c>
      <c r="AC132" s="202" t="str">
        <v/>
      </c>
      <c r="AD132" s="202" t="str">
        <v/>
      </c>
      <c r="AE132" s="202" t="str">
        <v/>
      </c>
      <c r="AF132" s="202" t="str">
        <v/>
      </c>
      <c r="AG132" s="202" t="str">
        <v/>
      </c>
      <c r="AH132" s="202" t="str">
        <v/>
      </c>
      <c r="AI132" s="202" t="str">
        <v/>
      </c>
      <c r="AJ132" s="202" t="str">
        <v/>
      </c>
      <c r="AK132" s="202" t="str">
        <v/>
      </c>
      <c r="AL132" s="202" t="str">
        <v/>
      </c>
      <c r="AM132" s="202" t="str">
        <v/>
      </c>
      <c r="AN132" s="202" t="str">
        <v/>
      </c>
      <c r="AO132" s="202" t="str">
        <v/>
      </c>
      <c r="AP132" s="202" t="str">
        <v/>
      </c>
      <c r="AQ132" s="202" t="str">
        <v/>
      </c>
      <c r="AR132" s="202" t="str">
        <v/>
      </c>
      <c r="AS132" s="202" t="str">
        <v/>
      </c>
      <c r="AT132" s="262" t="str">
        <v/>
      </c>
      <c r="AU132" s="588"/>
    </row>
    <row r="133" ht="21" customHeight="true" x14ac:dyDescent="0.25">
      <c r="C133" s="597"/>
      <c r="D133" s="594">
        <f t="shared" si="23"/>
        <v>26</v>
      </c>
      <c r="E133" s="202" t="str">
        <v/>
      </c>
      <c r="F133" s="202" t="str">
        <v/>
      </c>
      <c r="G133" s="202" t="str">
        <v/>
      </c>
      <c r="H133" s="202" t="str">
        <v/>
      </c>
      <c r="I133" s="202" t="str">
        <v/>
      </c>
      <c r="J133" s="202" t="str">
        <v/>
      </c>
      <c r="K133" s="202" t="str">
        <v/>
      </c>
      <c r="L133" s="202" t="str">
        <v/>
      </c>
      <c r="M133" s="202" t="str">
        <v/>
      </c>
      <c r="N133" s="202" t="str">
        <v/>
      </c>
      <c r="O133" s="202" t="str">
        <v/>
      </c>
      <c r="P133" s="202" t="str">
        <v/>
      </c>
      <c r="Q133" s="202" t="str">
        <v/>
      </c>
      <c r="R133" s="202" t="str">
        <v/>
      </c>
      <c r="S133" s="202" t="str">
        <v/>
      </c>
      <c r="T133" s="202" t="str">
        <v/>
      </c>
      <c r="U133" s="202" t="str">
        <v/>
      </c>
      <c r="V133" s="202" t="str">
        <v/>
      </c>
      <c r="W133" s="202" t="str">
        <v/>
      </c>
      <c r="X133" s="202" t="str">
        <v/>
      </c>
      <c r="Y133" s="202" t="str">
        <v/>
      </c>
      <c r="Z133" s="202" t="str">
        <v/>
      </c>
      <c r="AA133" s="202" t="str">
        <v/>
      </c>
      <c r="AB133" s="202" t="str">
        <v/>
      </c>
      <c r="AC133" s="202" t="str">
        <v/>
      </c>
      <c r="AD133" s="202" t="str">
        <v/>
      </c>
      <c r="AE133" s="202" t="str">
        <v/>
      </c>
      <c r="AF133" s="202" t="str">
        <v/>
      </c>
      <c r="AG133" s="202" t="str">
        <v/>
      </c>
      <c r="AH133" s="202" t="str">
        <v/>
      </c>
      <c r="AI133" s="202" t="str">
        <v/>
      </c>
      <c r="AJ133" s="202" t="str">
        <v/>
      </c>
      <c r="AK133" s="202" t="str">
        <v/>
      </c>
      <c r="AL133" s="202" t="str">
        <v/>
      </c>
      <c r="AM133" s="202" t="str">
        <v/>
      </c>
      <c r="AN133" s="202" t="str">
        <v/>
      </c>
      <c r="AO133" s="202" t="str">
        <v/>
      </c>
      <c r="AP133" s="202" t="str">
        <v/>
      </c>
      <c r="AQ133" s="202" t="str">
        <v/>
      </c>
      <c r="AR133" s="202" t="str">
        <v/>
      </c>
      <c r="AS133" s="202" t="str">
        <v/>
      </c>
      <c r="AT133" s="262" t="str">
        <v/>
      </c>
      <c r="AU133" s="588"/>
    </row>
    <row r="134" ht="21" customHeight="true" x14ac:dyDescent="0.25">
      <c r="C134" s="597"/>
      <c r="D134" s="594">
        <f t="shared" si="23"/>
        <v>27</v>
      </c>
      <c r="E134" s="202" t="str">
        <v/>
      </c>
      <c r="F134" s="202" t="str">
        <v/>
      </c>
      <c r="G134" s="202" t="str">
        <v/>
      </c>
      <c r="H134" s="202" t="str">
        <v/>
      </c>
      <c r="I134" s="202" t="str">
        <v/>
      </c>
      <c r="J134" s="202" t="str">
        <v/>
      </c>
      <c r="K134" s="202" t="str">
        <v/>
      </c>
      <c r="L134" s="202" t="str">
        <v/>
      </c>
      <c r="M134" s="202" t="str">
        <v/>
      </c>
      <c r="N134" s="202" t="str">
        <v/>
      </c>
      <c r="O134" s="202" t="str">
        <v/>
      </c>
      <c r="P134" s="202" t="str">
        <v/>
      </c>
      <c r="Q134" s="202" t="str">
        <v/>
      </c>
      <c r="R134" s="202" t="str">
        <v/>
      </c>
      <c r="S134" s="202" t="str">
        <v/>
      </c>
      <c r="T134" s="202" t="str">
        <v/>
      </c>
      <c r="U134" s="202" t="str">
        <v/>
      </c>
      <c r="V134" s="202" t="str">
        <v/>
      </c>
      <c r="W134" s="202" t="str">
        <v/>
      </c>
      <c r="X134" s="202" t="str">
        <v/>
      </c>
      <c r="Y134" s="202" t="str">
        <v/>
      </c>
      <c r="Z134" s="202" t="str">
        <v/>
      </c>
      <c r="AA134" s="202" t="str">
        <v/>
      </c>
      <c r="AB134" s="202" t="str">
        <v/>
      </c>
      <c r="AC134" s="202" t="str">
        <v/>
      </c>
      <c r="AD134" s="202" t="str">
        <v/>
      </c>
      <c r="AE134" s="202" t="str">
        <v/>
      </c>
      <c r="AF134" s="202" t="str">
        <v/>
      </c>
      <c r="AG134" s="202" t="str">
        <v/>
      </c>
      <c r="AH134" s="202" t="str">
        <v/>
      </c>
      <c r="AI134" s="202" t="str">
        <v/>
      </c>
      <c r="AJ134" s="202" t="str">
        <v/>
      </c>
      <c r="AK134" s="202" t="str">
        <v/>
      </c>
      <c r="AL134" s="202" t="str">
        <v/>
      </c>
      <c r="AM134" s="202" t="str">
        <v/>
      </c>
      <c r="AN134" s="202" t="str">
        <v/>
      </c>
      <c r="AO134" s="202" t="str">
        <v/>
      </c>
      <c r="AP134" s="202" t="str">
        <v/>
      </c>
      <c r="AQ134" s="202" t="str">
        <v/>
      </c>
      <c r="AR134" s="202" t="str">
        <v/>
      </c>
      <c r="AS134" s="202" t="str">
        <v/>
      </c>
      <c r="AT134" s="262" t="str">
        <v/>
      </c>
      <c r="AU134" s="588"/>
    </row>
    <row r="135" ht="21" customHeight="true" x14ac:dyDescent="0.25">
      <c r="C135" s="597"/>
      <c r="D135" s="594">
        <f t="shared" si="23"/>
        <v>28</v>
      </c>
      <c r="E135" s="202" t="str">
        <v/>
      </c>
      <c r="F135" s="202" t="str">
        <v/>
      </c>
      <c r="G135" s="202" t="str">
        <v/>
      </c>
      <c r="H135" s="202" t="str">
        <v/>
      </c>
      <c r="I135" s="202" t="str">
        <v/>
      </c>
      <c r="J135" s="202" t="str">
        <v/>
      </c>
      <c r="K135" s="202" t="str">
        <v/>
      </c>
      <c r="L135" s="202" t="str">
        <v/>
      </c>
      <c r="M135" s="202" t="str">
        <v/>
      </c>
      <c r="N135" s="202" t="str">
        <v/>
      </c>
      <c r="O135" s="202" t="str">
        <v/>
      </c>
      <c r="P135" s="202" t="str">
        <v/>
      </c>
      <c r="Q135" s="202" t="str">
        <v/>
      </c>
      <c r="R135" s="202" t="str">
        <v/>
      </c>
      <c r="S135" s="202" t="str">
        <v/>
      </c>
      <c r="T135" s="202" t="str">
        <v/>
      </c>
      <c r="U135" s="202" t="str">
        <v/>
      </c>
      <c r="V135" s="202" t="str">
        <v/>
      </c>
      <c r="W135" s="202" t="str">
        <v/>
      </c>
      <c r="X135" s="202" t="str">
        <v/>
      </c>
      <c r="Y135" s="202" t="str">
        <v/>
      </c>
      <c r="Z135" s="202" t="str">
        <v/>
      </c>
      <c r="AA135" s="202" t="str">
        <v/>
      </c>
      <c r="AB135" s="202" t="str">
        <v/>
      </c>
      <c r="AC135" s="202" t="str">
        <v/>
      </c>
      <c r="AD135" s="202" t="str">
        <v/>
      </c>
      <c r="AE135" s="202" t="str">
        <v/>
      </c>
      <c r="AF135" s="202" t="str">
        <v/>
      </c>
      <c r="AG135" s="202" t="str">
        <v/>
      </c>
      <c r="AH135" s="202" t="str">
        <v/>
      </c>
      <c r="AI135" s="202" t="str">
        <v/>
      </c>
      <c r="AJ135" s="202" t="str">
        <v/>
      </c>
      <c r="AK135" s="202" t="str">
        <v/>
      </c>
      <c r="AL135" s="202" t="str">
        <v/>
      </c>
      <c r="AM135" s="202" t="str">
        <v/>
      </c>
      <c r="AN135" s="202" t="str">
        <v/>
      </c>
      <c r="AO135" s="202" t="str">
        <v/>
      </c>
      <c r="AP135" s="202" t="str">
        <v/>
      </c>
      <c r="AQ135" s="202" t="str">
        <v/>
      </c>
      <c r="AR135" s="202" t="str">
        <v/>
      </c>
      <c r="AS135" s="202" t="str">
        <v/>
      </c>
      <c r="AT135" s="262" t="str">
        <v/>
      </c>
      <c r="AU135" s="588"/>
    </row>
    <row r="136" ht="21" customHeight="true" x14ac:dyDescent="0.25">
      <c r="C136" s="597"/>
      <c r="D136" s="594">
        <f t="shared" si="23"/>
        <v>29</v>
      </c>
      <c r="E136" s="202" t="str">
        <v/>
      </c>
      <c r="F136" s="202" t="str">
        <v/>
      </c>
      <c r="G136" s="202" t="str">
        <v/>
      </c>
      <c r="H136" s="202" t="str">
        <v/>
      </c>
      <c r="I136" s="202" t="str">
        <v/>
      </c>
      <c r="J136" s="202" t="str">
        <v/>
      </c>
      <c r="K136" s="202" t="str">
        <v/>
      </c>
      <c r="L136" s="202" t="str">
        <v/>
      </c>
      <c r="M136" s="202" t="str">
        <v/>
      </c>
      <c r="N136" s="202" t="str">
        <v/>
      </c>
      <c r="O136" s="202" t="str">
        <v/>
      </c>
      <c r="P136" s="202" t="str">
        <v/>
      </c>
      <c r="Q136" s="202" t="str">
        <v/>
      </c>
      <c r="R136" s="202" t="str">
        <v/>
      </c>
      <c r="S136" s="202" t="str">
        <v/>
      </c>
      <c r="T136" s="202" t="str">
        <v/>
      </c>
      <c r="U136" s="202" t="str">
        <v/>
      </c>
      <c r="V136" s="202" t="str">
        <v/>
      </c>
      <c r="W136" s="202" t="str">
        <v/>
      </c>
      <c r="X136" s="202" t="str">
        <v/>
      </c>
      <c r="Y136" s="202" t="str">
        <v/>
      </c>
      <c r="Z136" s="202" t="str">
        <v/>
      </c>
      <c r="AA136" s="202" t="str">
        <v/>
      </c>
      <c r="AB136" s="202" t="str">
        <v/>
      </c>
      <c r="AC136" s="202" t="str">
        <v/>
      </c>
      <c r="AD136" s="202" t="str">
        <v/>
      </c>
      <c r="AE136" s="202" t="str">
        <v/>
      </c>
      <c r="AF136" s="202" t="str">
        <v/>
      </c>
      <c r="AG136" s="202" t="str">
        <v/>
      </c>
      <c r="AH136" s="202" t="str">
        <v/>
      </c>
      <c r="AI136" s="202" t="str">
        <v/>
      </c>
      <c r="AJ136" s="202" t="str">
        <v/>
      </c>
      <c r="AK136" s="202" t="str">
        <v/>
      </c>
      <c r="AL136" s="202" t="str">
        <v/>
      </c>
      <c r="AM136" s="202" t="str">
        <v/>
      </c>
      <c r="AN136" s="202" t="str">
        <v/>
      </c>
      <c r="AO136" s="202" t="str">
        <v/>
      </c>
      <c r="AP136" s="202" t="str">
        <v/>
      </c>
      <c r="AQ136" s="202" t="str">
        <v/>
      </c>
      <c r="AR136" s="202" t="str">
        <v/>
      </c>
      <c r="AS136" s="202" t="str">
        <v/>
      </c>
      <c r="AT136" s="262" t="str">
        <v/>
      </c>
      <c r="AU136" s="588"/>
    </row>
    <row r="137" ht="21" customHeight="true" x14ac:dyDescent="0.25">
      <c r="C137" s="597"/>
      <c r="D137" s="594">
        <f t="shared" si="23"/>
        <v>30</v>
      </c>
      <c r="E137" s="202" t="str">
        <v/>
      </c>
      <c r="F137" s="202" t="str">
        <v/>
      </c>
      <c r="G137" s="202" t="str">
        <v/>
      </c>
      <c r="H137" s="202" t="str">
        <v/>
      </c>
      <c r="I137" s="202" t="str">
        <v/>
      </c>
      <c r="J137" s="202" t="str">
        <v/>
      </c>
      <c r="K137" s="202" t="str">
        <v/>
      </c>
      <c r="L137" s="202" t="str">
        <v/>
      </c>
      <c r="M137" s="202" t="str">
        <v/>
      </c>
      <c r="N137" s="202" t="str">
        <v/>
      </c>
      <c r="O137" s="202" t="str">
        <v/>
      </c>
      <c r="P137" s="202" t="str">
        <v/>
      </c>
      <c r="Q137" s="202" t="str">
        <v/>
      </c>
      <c r="R137" s="202" t="str">
        <v/>
      </c>
      <c r="S137" s="202" t="str">
        <v/>
      </c>
      <c r="T137" s="202" t="str">
        <v/>
      </c>
      <c r="U137" s="202" t="str">
        <v/>
      </c>
      <c r="V137" s="202" t="str">
        <v/>
      </c>
      <c r="W137" s="202" t="str">
        <v/>
      </c>
      <c r="X137" s="202" t="str">
        <v/>
      </c>
      <c r="Y137" s="202" t="str">
        <v/>
      </c>
      <c r="Z137" s="202" t="str">
        <v/>
      </c>
      <c r="AA137" s="202" t="str">
        <v/>
      </c>
      <c r="AB137" s="202" t="str">
        <v/>
      </c>
      <c r="AC137" s="202" t="str">
        <v/>
      </c>
      <c r="AD137" s="202" t="str">
        <v/>
      </c>
      <c r="AE137" s="202" t="str">
        <v/>
      </c>
      <c r="AF137" s="202" t="str">
        <v/>
      </c>
      <c r="AG137" s="202" t="str">
        <v/>
      </c>
      <c r="AH137" s="202" t="str">
        <v/>
      </c>
      <c r="AI137" s="202" t="str">
        <v/>
      </c>
      <c r="AJ137" s="202" t="str">
        <v/>
      </c>
      <c r="AK137" s="202" t="str">
        <v/>
      </c>
      <c r="AL137" s="202" t="str">
        <v/>
      </c>
      <c r="AM137" s="202" t="str">
        <v/>
      </c>
      <c r="AN137" s="202" t="str">
        <v/>
      </c>
      <c r="AO137" s="202" t="str">
        <v/>
      </c>
      <c r="AP137" s="202" t="str">
        <v/>
      </c>
      <c r="AQ137" s="202" t="str">
        <v/>
      </c>
      <c r="AR137" s="202" t="str">
        <v/>
      </c>
      <c r="AS137" s="202" t="str">
        <v/>
      </c>
      <c r="AT137" s="262" t="str">
        <v/>
      </c>
      <c r="AU137" s="588"/>
    </row>
    <row r="138" ht="21" customHeight="true" x14ac:dyDescent="0.25">
      <c r="C138" s="597"/>
      <c r="D138" s="594">
        <f t="shared" si="23"/>
        <v>31</v>
      </c>
      <c r="E138" s="202" t="str">
        <v/>
      </c>
      <c r="F138" s="202" t="str">
        <v/>
      </c>
      <c r="G138" s="202" t="str">
        <v/>
      </c>
      <c r="H138" s="202" t="str">
        <v/>
      </c>
      <c r="I138" s="202" t="str">
        <v/>
      </c>
      <c r="J138" s="202" t="str">
        <v/>
      </c>
      <c r="K138" s="202" t="str">
        <v/>
      </c>
      <c r="L138" s="202" t="str">
        <v/>
      </c>
      <c r="M138" s="202" t="str">
        <v/>
      </c>
      <c r="N138" s="202" t="str">
        <v/>
      </c>
      <c r="O138" s="202" t="str">
        <v/>
      </c>
      <c r="P138" s="202" t="str">
        <v/>
      </c>
      <c r="Q138" s="202" t="str">
        <v/>
      </c>
      <c r="R138" s="202" t="str">
        <v/>
      </c>
      <c r="S138" s="202" t="str">
        <v/>
      </c>
      <c r="T138" s="202" t="str">
        <v/>
      </c>
      <c r="U138" s="202" t="str">
        <v/>
      </c>
      <c r="V138" s="202" t="str">
        <v/>
      </c>
      <c r="W138" s="202" t="str">
        <v/>
      </c>
      <c r="X138" s="202" t="str">
        <v/>
      </c>
      <c r="Y138" s="202" t="str">
        <v/>
      </c>
      <c r="Z138" s="202" t="str">
        <v/>
      </c>
      <c r="AA138" s="202" t="str">
        <v/>
      </c>
      <c r="AB138" s="202" t="str">
        <v/>
      </c>
      <c r="AC138" s="202" t="str">
        <v/>
      </c>
      <c r="AD138" s="202" t="str">
        <v/>
      </c>
      <c r="AE138" s="202" t="str">
        <v/>
      </c>
      <c r="AF138" s="202" t="str">
        <v/>
      </c>
      <c r="AG138" s="202" t="str">
        <v/>
      </c>
      <c r="AH138" s="202" t="str">
        <v/>
      </c>
      <c r="AI138" s="202" t="str">
        <v/>
      </c>
      <c r="AJ138" s="202" t="str">
        <v/>
      </c>
      <c r="AK138" s="202" t="str">
        <v/>
      </c>
      <c r="AL138" s="202" t="str">
        <v/>
      </c>
      <c r="AM138" s="202" t="str">
        <v/>
      </c>
      <c r="AN138" s="202" t="str">
        <v/>
      </c>
      <c r="AO138" s="202" t="str">
        <v/>
      </c>
      <c r="AP138" s="202" t="str">
        <v/>
      </c>
      <c r="AQ138" s="202" t="str">
        <v/>
      </c>
      <c r="AR138" s="202" t="str">
        <v/>
      </c>
      <c r="AS138" s="202" t="str">
        <v/>
      </c>
      <c r="AT138" s="262" t="str">
        <v/>
      </c>
      <c r="AU138" s="588"/>
    </row>
    <row r="139" ht="21" customHeight="true" x14ac:dyDescent="0.25">
      <c r="C139" s="597"/>
      <c r="D139" s="594">
        <f t="shared" si="23"/>
        <v>32</v>
      </c>
      <c r="E139" s="202" t="str">
        <v/>
      </c>
      <c r="F139" s="202" t="str">
        <v/>
      </c>
      <c r="G139" s="202" t="str">
        <v/>
      </c>
      <c r="H139" s="202" t="str">
        <v/>
      </c>
      <c r="I139" s="202" t="str">
        <v/>
      </c>
      <c r="J139" s="202" t="str">
        <v/>
      </c>
      <c r="K139" s="202" t="str">
        <v/>
      </c>
      <c r="L139" s="202" t="str">
        <v/>
      </c>
      <c r="M139" s="202" t="str">
        <v/>
      </c>
      <c r="N139" s="202" t="str">
        <v/>
      </c>
      <c r="O139" s="202" t="str">
        <v/>
      </c>
      <c r="P139" s="202" t="str">
        <v/>
      </c>
      <c r="Q139" s="202" t="str">
        <v/>
      </c>
      <c r="R139" s="202" t="str">
        <v/>
      </c>
      <c r="S139" s="202" t="str">
        <v/>
      </c>
      <c r="T139" s="202" t="str">
        <v/>
      </c>
      <c r="U139" s="202" t="str">
        <v/>
      </c>
      <c r="V139" s="202" t="str">
        <v/>
      </c>
      <c r="W139" s="202" t="str">
        <v/>
      </c>
      <c r="X139" s="202" t="str">
        <v/>
      </c>
      <c r="Y139" s="202" t="str">
        <v/>
      </c>
      <c r="Z139" s="202" t="str">
        <v/>
      </c>
      <c r="AA139" s="202" t="str">
        <v/>
      </c>
      <c r="AB139" s="202" t="str">
        <v/>
      </c>
      <c r="AC139" s="202" t="str">
        <v/>
      </c>
      <c r="AD139" s="202" t="str">
        <v/>
      </c>
      <c r="AE139" s="202" t="str">
        <v/>
      </c>
      <c r="AF139" s="202" t="str">
        <v/>
      </c>
      <c r="AG139" s="202" t="str">
        <v/>
      </c>
      <c r="AH139" s="202" t="str">
        <v/>
      </c>
      <c r="AI139" s="202" t="str">
        <v/>
      </c>
      <c r="AJ139" s="202" t="str">
        <v/>
      </c>
      <c r="AK139" s="202" t="str">
        <v/>
      </c>
      <c r="AL139" s="202" t="str">
        <v/>
      </c>
      <c r="AM139" s="202" t="str">
        <v/>
      </c>
      <c r="AN139" s="202" t="str">
        <v/>
      </c>
      <c r="AO139" s="202" t="str">
        <v/>
      </c>
      <c r="AP139" s="202" t="str">
        <v/>
      </c>
      <c r="AQ139" s="202" t="str">
        <v/>
      </c>
      <c r="AR139" s="202" t="str">
        <v/>
      </c>
      <c r="AS139" s="202" t="str">
        <v/>
      </c>
      <c r="AT139" s="262" t="str">
        <v/>
      </c>
      <c r="AU139" s="588"/>
    </row>
    <row r="140" ht="21" customHeight="true" x14ac:dyDescent="0.25">
      <c r="C140" s="597"/>
      <c r="D140" s="594">
        <f t="shared" si="23"/>
        <v>33</v>
      </c>
      <c r="E140" s="202" t="str">
        <v/>
      </c>
      <c r="F140" s="202" t="str">
        <v/>
      </c>
      <c r="G140" s="202" t="str">
        <v/>
      </c>
      <c r="H140" s="202" t="str">
        <v/>
      </c>
      <c r="I140" s="202" t="str">
        <v/>
      </c>
      <c r="J140" s="202" t="str">
        <v/>
      </c>
      <c r="K140" s="202" t="str">
        <v/>
      </c>
      <c r="L140" s="202" t="str">
        <v/>
      </c>
      <c r="M140" s="202" t="str">
        <v/>
      </c>
      <c r="N140" s="202" t="str">
        <v/>
      </c>
      <c r="O140" s="202" t="str">
        <v/>
      </c>
      <c r="P140" s="202" t="str">
        <v/>
      </c>
      <c r="Q140" s="202" t="str">
        <v/>
      </c>
      <c r="R140" s="202" t="str">
        <v/>
      </c>
      <c r="S140" s="202" t="str">
        <v/>
      </c>
      <c r="T140" s="202" t="str">
        <v/>
      </c>
      <c r="U140" s="202" t="str">
        <v/>
      </c>
      <c r="V140" s="202" t="str">
        <v/>
      </c>
      <c r="W140" s="202" t="str">
        <v/>
      </c>
      <c r="X140" s="202" t="str">
        <v/>
      </c>
      <c r="Y140" s="202" t="str">
        <v/>
      </c>
      <c r="Z140" s="202" t="str">
        <v/>
      </c>
      <c r="AA140" s="202" t="str">
        <v/>
      </c>
      <c r="AB140" s="202" t="str">
        <v/>
      </c>
      <c r="AC140" s="202" t="str">
        <v/>
      </c>
      <c r="AD140" s="202" t="str">
        <v/>
      </c>
      <c r="AE140" s="202" t="str">
        <v/>
      </c>
      <c r="AF140" s="202" t="str">
        <v/>
      </c>
      <c r="AG140" s="202" t="str">
        <v/>
      </c>
      <c r="AH140" s="202" t="str">
        <v/>
      </c>
      <c r="AI140" s="202" t="str">
        <v/>
      </c>
      <c r="AJ140" s="202" t="str">
        <v/>
      </c>
      <c r="AK140" s="202" t="str">
        <v/>
      </c>
      <c r="AL140" s="202" t="str">
        <v/>
      </c>
      <c r="AM140" s="202" t="str">
        <v/>
      </c>
      <c r="AN140" s="202" t="str">
        <v/>
      </c>
      <c r="AO140" s="202" t="str">
        <v/>
      </c>
      <c r="AP140" s="202" t="str">
        <v/>
      </c>
      <c r="AQ140" s="202" t="str">
        <v/>
      </c>
      <c r="AR140" s="202" t="str">
        <v/>
      </c>
      <c r="AS140" s="202" t="str">
        <v/>
      </c>
      <c r="AT140" s="262" t="str">
        <v/>
      </c>
      <c r="AU140" s="588"/>
    </row>
    <row r="141" ht="21" customHeight="true" x14ac:dyDescent="0.25">
      <c r="C141" s="597"/>
      <c r="D141" s="594">
        <f t="shared" si="23"/>
        <v>34</v>
      </c>
      <c r="E141" s="202" t="str">
        <v/>
      </c>
      <c r="F141" s="202" t="str">
        <v/>
      </c>
      <c r="G141" s="202" t="str">
        <v/>
      </c>
      <c r="H141" s="202" t="str">
        <v/>
      </c>
      <c r="I141" s="202" t="str">
        <v/>
      </c>
      <c r="J141" s="202" t="str">
        <v/>
      </c>
      <c r="K141" s="202" t="str">
        <v/>
      </c>
      <c r="L141" s="202" t="str">
        <v/>
      </c>
      <c r="M141" s="202" t="str">
        <v/>
      </c>
      <c r="N141" s="202" t="str">
        <v/>
      </c>
      <c r="O141" s="202" t="str">
        <v/>
      </c>
      <c r="P141" s="202" t="str">
        <v/>
      </c>
      <c r="Q141" s="202" t="str">
        <v/>
      </c>
      <c r="R141" s="202" t="str">
        <v/>
      </c>
      <c r="S141" s="202" t="str">
        <v/>
      </c>
      <c r="T141" s="202" t="str">
        <v/>
      </c>
      <c r="U141" s="202" t="str">
        <v/>
      </c>
      <c r="V141" s="202" t="str">
        <v/>
      </c>
      <c r="W141" s="202" t="str">
        <v/>
      </c>
      <c r="X141" s="202" t="str">
        <v/>
      </c>
      <c r="Y141" s="202" t="str">
        <v/>
      </c>
      <c r="Z141" s="202" t="str">
        <v/>
      </c>
      <c r="AA141" s="202" t="str">
        <v/>
      </c>
      <c r="AB141" s="202" t="str">
        <v/>
      </c>
      <c r="AC141" s="202" t="str">
        <v/>
      </c>
      <c r="AD141" s="202" t="str">
        <v/>
      </c>
      <c r="AE141" s="202" t="str">
        <v/>
      </c>
      <c r="AF141" s="202" t="str">
        <v/>
      </c>
      <c r="AG141" s="202" t="str">
        <v/>
      </c>
      <c r="AH141" s="202" t="str">
        <v/>
      </c>
      <c r="AI141" s="202" t="str">
        <v/>
      </c>
      <c r="AJ141" s="202" t="str">
        <v/>
      </c>
      <c r="AK141" s="202" t="str">
        <v/>
      </c>
      <c r="AL141" s="202" t="str">
        <v/>
      </c>
      <c r="AM141" s="202" t="str">
        <v/>
      </c>
      <c r="AN141" s="202" t="str">
        <v/>
      </c>
      <c r="AO141" s="202" t="str">
        <v/>
      </c>
      <c r="AP141" s="202" t="str">
        <v/>
      </c>
      <c r="AQ141" s="202" t="str">
        <v/>
      </c>
      <c r="AR141" s="202" t="str">
        <v/>
      </c>
      <c r="AS141" s="202" t="str">
        <v/>
      </c>
      <c r="AT141" s="262" t="str">
        <v/>
      </c>
      <c r="AU141" s="588"/>
    </row>
    <row r="142" ht="21" customHeight="true" x14ac:dyDescent="0.25">
      <c r="C142" s="597"/>
      <c r="D142" s="594">
        <f t="shared" si="23"/>
        <v>35</v>
      </c>
      <c r="E142" s="202" t="str">
        <v/>
      </c>
      <c r="F142" s="202" t="str">
        <v/>
      </c>
      <c r="G142" s="202" t="str">
        <v/>
      </c>
      <c r="H142" s="202" t="str">
        <v/>
      </c>
      <c r="I142" s="202" t="str">
        <v/>
      </c>
      <c r="J142" s="202" t="str">
        <v/>
      </c>
      <c r="K142" s="202" t="str">
        <v/>
      </c>
      <c r="L142" s="202" t="str">
        <v/>
      </c>
      <c r="M142" s="202" t="str">
        <v/>
      </c>
      <c r="N142" s="202" t="str">
        <v/>
      </c>
      <c r="O142" s="202" t="str">
        <v/>
      </c>
      <c r="P142" s="202" t="str">
        <v/>
      </c>
      <c r="Q142" s="202" t="str">
        <v/>
      </c>
      <c r="R142" s="202" t="str">
        <v/>
      </c>
      <c r="S142" s="202" t="str">
        <v/>
      </c>
      <c r="T142" s="202" t="str">
        <v/>
      </c>
      <c r="U142" s="202" t="str">
        <v/>
      </c>
      <c r="V142" s="202" t="str">
        <v/>
      </c>
      <c r="W142" s="202" t="str">
        <v/>
      </c>
      <c r="X142" s="202" t="str">
        <v/>
      </c>
      <c r="Y142" s="202" t="str">
        <v/>
      </c>
      <c r="Z142" s="202" t="str">
        <v/>
      </c>
      <c r="AA142" s="202" t="str">
        <v/>
      </c>
      <c r="AB142" s="202" t="str">
        <v/>
      </c>
      <c r="AC142" s="202" t="str">
        <v/>
      </c>
      <c r="AD142" s="202" t="str">
        <v/>
      </c>
      <c r="AE142" s="202" t="str">
        <v/>
      </c>
      <c r="AF142" s="202" t="str">
        <v/>
      </c>
      <c r="AG142" s="202" t="str">
        <v/>
      </c>
      <c r="AH142" s="202" t="str">
        <v/>
      </c>
      <c r="AI142" s="202" t="str">
        <v/>
      </c>
      <c r="AJ142" s="202" t="str">
        <v/>
      </c>
      <c r="AK142" s="202" t="str">
        <v/>
      </c>
      <c r="AL142" s="202" t="str">
        <v/>
      </c>
      <c r="AM142" s="202" t="str">
        <v/>
      </c>
      <c r="AN142" s="202" t="str">
        <v/>
      </c>
      <c r="AO142" s="202" t="str">
        <v/>
      </c>
      <c r="AP142" s="202" t="str">
        <v/>
      </c>
      <c r="AQ142" s="202" t="str">
        <v/>
      </c>
      <c r="AR142" s="202" t="str">
        <v/>
      </c>
      <c r="AS142" s="202" t="str">
        <v/>
      </c>
      <c r="AT142" s="262" t="str">
        <v/>
      </c>
      <c r="AU142" s="588"/>
    </row>
    <row r="143" ht="21" customHeight="true" x14ac:dyDescent="0.25">
      <c r="C143" s="597"/>
      <c r="D143" s="594">
        <f t="shared" si="23"/>
        <v>36</v>
      </c>
      <c r="E143" s="202" t="str">
        <v/>
      </c>
      <c r="F143" s="202" t="str">
        <v/>
      </c>
      <c r="G143" s="202" t="str">
        <v/>
      </c>
      <c r="H143" s="202" t="str">
        <v/>
      </c>
      <c r="I143" s="202" t="str">
        <v/>
      </c>
      <c r="J143" s="202" t="str">
        <v/>
      </c>
      <c r="K143" s="202" t="str">
        <v/>
      </c>
      <c r="L143" s="202" t="str">
        <v/>
      </c>
      <c r="M143" s="202" t="str">
        <v/>
      </c>
      <c r="N143" s="202" t="str">
        <v/>
      </c>
      <c r="O143" s="202" t="str">
        <v/>
      </c>
      <c r="P143" s="202" t="str">
        <v/>
      </c>
      <c r="Q143" s="202" t="str">
        <v/>
      </c>
      <c r="R143" s="202" t="str">
        <v/>
      </c>
      <c r="S143" s="202" t="str">
        <v/>
      </c>
      <c r="T143" s="202" t="str">
        <v/>
      </c>
      <c r="U143" s="202" t="str">
        <v/>
      </c>
      <c r="V143" s="202" t="str">
        <v/>
      </c>
      <c r="W143" s="202" t="str">
        <v/>
      </c>
      <c r="X143" s="202" t="str">
        <v/>
      </c>
      <c r="Y143" s="202" t="str">
        <v/>
      </c>
      <c r="Z143" s="202" t="str">
        <v/>
      </c>
      <c r="AA143" s="202" t="str">
        <v/>
      </c>
      <c r="AB143" s="202" t="str">
        <v/>
      </c>
      <c r="AC143" s="202" t="str">
        <v/>
      </c>
      <c r="AD143" s="202" t="str">
        <v/>
      </c>
      <c r="AE143" s="202" t="str">
        <v/>
      </c>
      <c r="AF143" s="202" t="str">
        <v/>
      </c>
      <c r="AG143" s="202" t="str">
        <v/>
      </c>
      <c r="AH143" s="202" t="str">
        <v/>
      </c>
      <c r="AI143" s="202" t="str">
        <v/>
      </c>
      <c r="AJ143" s="202" t="str">
        <v/>
      </c>
      <c r="AK143" s="202" t="str">
        <v/>
      </c>
      <c r="AL143" s="202" t="str">
        <v/>
      </c>
      <c r="AM143" s="202" t="str">
        <v/>
      </c>
      <c r="AN143" s="202" t="str">
        <v/>
      </c>
      <c r="AO143" s="202" t="str">
        <v/>
      </c>
      <c r="AP143" s="202" t="str">
        <v/>
      </c>
      <c r="AQ143" s="202" t="str">
        <v/>
      </c>
      <c r="AR143" s="202" t="str">
        <v/>
      </c>
      <c r="AS143" s="202" t="str">
        <v/>
      </c>
      <c r="AT143" s="262" t="str">
        <v/>
      </c>
      <c r="AU143" s="588"/>
    </row>
    <row r="144" ht="21" customHeight="true" x14ac:dyDescent="0.25">
      <c r="C144" s="597"/>
      <c r="D144" s="594">
        <f t="shared" si="23"/>
        <v>37</v>
      </c>
      <c r="E144" s="202" t="str">
        <v/>
      </c>
      <c r="F144" s="202" t="str">
        <v/>
      </c>
      <c r="G144" s="202" t="str">
        <v/>
      </c>
      <c r="H144" s="202" t="str">
        <v/>
      </c>
      <c r="I144" s="202" t="str">
        <v/>
      </c>
      <c r="J144" s="202" t="str">
        <v/>
      </c>
      <c r="K144" s="202" t="str">
        <v/>
      </c>
      <c r="L144" s="202" t="str">
        <v/>
      </c>
      <c r="M144" s="202" t="str">
        <v/>
      </c>
      <c r="N144" s="202" t="str">
        <v/>
      </c>
      <c r="O144" s="202" t="str">
        <v/>
      </c>
      <c r="P144" s="202" t="str">
        <v/>
      </c>
      <c r="Q144" s="202" t="str">
        <v/>
      </c>
      <c r="R144" s="202" t="str">
        <v/>
      </c>
      <c r="S144" s="202" t="str">
        <v/>
      </c>
      <c r="T144" s="202" t="str">
        <v/>
      </c>
      <c r="U144" s="202" t="str">
        <v/>
      </c>
      <c r="V144" s="202" t="str">
        <v/>
      </c>
      <c r="W144" s="202" t="str">
        <v/>
      </c>
      <c r="X144" s="202" t="str">
        <v/>
      </c>
      <c r="Y144" s="202" t="str">
        <v/>
      </c>
      <c r="Z144" s="202" t="str">
        <v/>
      </c>
      <c r="AA144" s="202" t="str">
        <v/>
      </c>
      <c r="AB144" s="202" t="str">
        <v/>
      </c>
      <c r="AC144" s="202" t="str">
        <v/>
      </c>
      <c r="AD144" s="202" t="str">
        <v/>
      </c>
      <c r="AE144" s="202" t="str">
        <v/>
      </c>
      <c r="AF144" s="202" t="str">
        <v/>
      </c>
      <c r="AG144" s="202" t="str">
        <v/>
      </c>
      <c r="AH144" s="202" t="str">
        <v/>
      </c>
      <c r="AI144" s="202" t="str">
        <v/>
      </c>
      <c r="AJ144" s="202" t="str">
        <v/>
      </c>
      <c r="AK144" s="202" t="str">
        <v/>
      </c>
      <c r="AL144" s="202" t="str">
        <v/>
      </c>
      <c r="AM144" s="202" t="str">
        <v/>
      </c>
      <c r="AN144" s="202" t="str">
        <v/>
      </c>
      <c r="AO144" s="202" t="str">
        <v/>
      </c>
      <c r="AP144" s="202" t="str">
        <v/>
      </c>
      <c r="AQ144" s="202" t="str">
        <v/>
      </c>
      <c r="AR144" s="202" t="str">
        <v/>
      </c>
      <c r="AS144" s="202" t="str">
        <v/>
      </c>
      <c r="AT144" s="262" t="str">
        <v/>
      </c>
      <c r="AU144" s="588"/>
    </row>
    <row r="145" ht="21" customHeight="true" x14ac:dyDescent="0.25">
      <c r="C145" s="597"/>
      <c r="D145" s="594">
        <f t="shared" si="23"/>
        <v>38</v>
      </c>
      <c r="E145" s="202" t="str">
        <v/>
      </c>
      <c r="F145" s="202" t="str">
        <v/>
      </c>
      <c r="G145" s="202" t="str">
        <v/>
      </c>
      <c r="H145" s="202" t="str">
        <v/>
      </c>
      <c r="I145" s="202" t="str">
        <v/>
      </c>
      <c r="J145" s="202" t="str">
        <v/>
      </c>
      <c r="K145" s="202" t="str">
        <v/>
      </c>
      <c r="L145" s="202" t="str">
        <v/>
      </c>
      <c r="M145" s="202" t="str">
        <v/>
      </c>
      <c r="N145" s="202" t="str">
        <v/>
      </c>
      <c r="O145" s="202" t="str">
        <v/>
      </c>
      <c r="P145" s="202" t="str">
        <v/>
      </c>
      <c r="Q145" s="202" t="str">
        <v/>
      </c>
      <c r="R145" s="202" t="str">
        <v/>
      </c>
      <c r="S145" s="202" t="str">
        <v/>
      </c>
      <c r="T145" s="202" t="str">
        <v/>
      </c>
      <c r="U145" s="202" t="str">
        <v/>
      </c>
      <c r="V145" s="202" t="str">
        <v/>
      </c>
      <c r="W145" s="202" t="str">
        <v/>
      </c>
      <c r="X145" s="202" t="str">
        <v/>
      </c>
      <c r="Y145" s="202" t="str">
        <v/>
      </c>
      <c r="Z145" s="202" t="str">
        <v/>
      </c>
      <c r="AA145" s="202" t="str">
        <v/>
      </c>
      <c r="AB145" s="202" t="str">
        <v/>
      </c>
      <c r="AC145" s="202" t="str">
        <v/>
      </c>
      <c r="AD145" s="202" t="str">
        <v/>
      </c>
      <c r="AE145" s="202" t="str">
        <v/>
      </c>
      <c r="AF145" s="202" t="str">
        <v/>
      </c>
      <c r="AG145" s="202" t="str">
        <v/>
      </c>
      <c r="AH145" s="202" t="str">
        <v/>
      </c>
      <c r="AI145" s="202" t="str">
        <v/>
      </c>
      <c r="AJ145" s="202" t="str">
        <v/>
      </c>
      <c r="AK145" s="202" t="str">
        <v/>
      </c>
      <c r="AL145" s="202" t="str">
        <v/>
      </c>
      <c r="AM145" s="202" t="str">
        <v/>
      </c>
      <c r="AN145" s="202" t="str">
        <v/>
      </c>
      <c r="AO145" s="202" t="str">
        <v/>
      </c>
      <c r="AP145" s="202" t="str">
        <v/>
      </c>
      <c r="AQ145" s="202" t="str">
        <v/>
      </c>
      <c r="AR145" s="202" t="str">
        <v/>
      </c>
      <c r="AS145" s="202" t="str">
        <v/>
      </c>
      <c r="AT145" s="262" t="str">
        <v/>
      </c>
      <c r="AU145" s="588"/>
    </row>
    <row r="146" ht="21" customHeight="true" x14ac:dyDescent="0.25">
      <c r="C146" s="597"/>
      <c r="D146" s="594">
        <f t="shared" si="23"/>
        <v>39</v>
      </c>
      <c r="E146" s="202" t="str">
        <v/>
      </c>
      <c r="F146" s="202" t="str">
        <v/>
      </c>
      <c r="G146" s="202" t="str">
        <v/>
      </c>
      <c r="H146" s="202" t="str">
        <v/>
      </c>
      <c r="I146" s="202" t="str">
        <v/>
      </c>
      <c r="J146" s="202" t="str">
        <v/>
      </c>
      <c r="K146" s="202" t="str">
        <v/>
      </c>
      <c r="L146" s="202" t="str">
        <v/>
      </c>
      <c r="M146" s="202" t="str">
        <v/>
      </c>
      <c r="N146" s="202" t="str">
        <v/>
      </c>
      <c r="O146" s="202" t="str">
        <v/>
      </c>
      <c r="P146" s="202" t="str">
        <v/>
      </c>
      <c r="Q146" s="202" t="str">
        <v/>
      </c>
      <c r="R146" s="202" t="str">
        <v/>
      </c>
      <c r="S146" s="202" t="str">
        <v/>
      </c>
      <c r="T146" s="202" t="str">
        <v/>
      </c>
      <c r="U146" s="202" t="str">
        <v/>
      </c>
      <c r="V146" s="202" t="str">
        <v/>
      </c>
      <c r="W146" s="202" t="str">
        <v/>
      </c>
      <c r="X146" s="202" t="str">
        <v/>
      </c>
      <c r="Y146" s="202" t="str">
        <v/>
      </c>
      <c r="Z146" s="202" t="str">
        <v/>
      </c>
      <c r="AA146" s="202" t="str">
        <v/>
      </c>
      <c r="AB146" s="202" t="str">
        <v/>
      </c>
      <c r="AC146" s="202" t="str">
        <v/>
      </c>
      <c r="AD146" s="202" t="str">
        <v/>
      </c>
      <c r="AE146" s="202" t="str">
        <v/>
      </c>
      <c r="AF146" s="202" t="str">
        <v/>
      </c>
      <c r="AG146" s="202" t="str">
        <v/>
      </c>
      <c r="AH146" s="202" t="str">
        <v/>
      </c>
      <c r="AI146" s="202" t="str">
        <v/>
      </c>
      <c r="AJ146" s="202" t="str">
        <v/>
      </c>
      <c r="AK146" s="202" t="str">
        <v/>
      </c>
      <c r="AL146" s="202" t="str">
        <v/>
      </c>
      <c r="AM146" s="202" t="str">
        <v/>
      </c>
      <c r="AN146" s="202" t="str">
        <v/>
      </c>
      <c r="AO146" s="202" t="str">
        <v/>
      </c>
      <c r="AP146" s="202" t="str">
        <v/>
      </c>
      <c r="AQ146" s="202" t="str">
        <v/>
      </c>
      <c r="AR146" s="202" t="str">
        <v/>
      </c>
      <c r="AS146" s="202" t="str">
        <v/>
      </c>
      <c r="AT146" s="262" t="str">
        <v/>
      </c>
      <c r="AU146" s="588"/>
    </row>
    <row r="147" ht="21" customHeight="true" x14ac:dyDescent="0.25">
      <c r="C147" s="597"/>
      <c r="D147" s="594">
        <f t="shared" si="23"/>
        <v>40</v>
      </c>
      <c r="E147" s="202" t="str">
        <v/>
      </c>
      <c r="F147" s="202" t="str">
        <v/>
      </c>
      <c r="G147" s="202" t="str">
        <v/>
      </c>
      <c r="H147" s="202" t="str">
        <v/>
      </c>
      <c r="I147" s="202" t="str">
        <v/>
      </c>
      <c r="J147" s="202" t="str">
        <v/>
      </c>
      <c r="K147" s="202" t="str">
        <v/>
      </c>
      <c r="L147" s="202" t="str">
        <v/>
      </c>
      <c r="M147" s="202" t="str">
        <v/>
      </c>
      <c r="N147" s="202" t="str">
        <v/>
      </c>
      <c r="O147" s="202" t="str">
        <v/>
      </c>
      <c r="P147" s="202" t="str">
        <v/>
      </c>
      <c r="Q147" s="202" t="str">
        <v/>
      </c>
      <c r="R147" s="202" t="str">
        <v/>
      </c>
      <c r="S147" s="202" t="str">
        <v/>
      </c>
      <c r="T147" s="202" t="str">
        <v/>
      </c>
      <c r="U147" s="202" t="str">
        <v/>
      </c>
      <c r="V147" s="202" t="str">
        <v/>
      </c>
      <c r="W147" s="202" t="str">
        <v/>
      </c>
      <c r="X147" s="202" t="str">
        <v/>
      </c>
      <c r="Y147" s="202" t="str">
        <v/>
      </c>
      <c r="Z147" s="202" t="str">
        <v/>
      </c>
      <c r="AA147" s="202" t="str">
        <v/>
      </c>
      <c r="AB147" s="202" t="str">
        <v/>
      </c>
      <c r="AC147" s="202" t="str">
        <v/>
      </c>
      <c r="AD147" s="202" t="str">
        <v/>
      </c>
      <c r="AE147" s="202" t="str">
        <v/>
      </c>
      <c r="AF147" s="202" t="str">
        <v/>
      </c>
      <c r="AG147" s="202" t="str">
        <v/>
      </c>
      <c r="AH147" s="202" t="str">
        <v/>
      </c>
      <c r="AI147" s="202" t="str">
        <v/>
      </c>
      <c r="AJ147" s="202" t="str">
        <v/>
      </c>
      <c r="AK147" s="202" t="str">
        <v/>
      </c>
      <c r="AL147" s="202" t="str">
        <v/>
      </c>
      <c r="AM147" s="202" t="str">
        <v/>
      </c>
      <c r="AN147" s="202" t="str">
        <v/>
      </c>
      <c r="AO147" s="202" t="str">
        <v/>
      </c>
      <c r="AP147" s="202" t="str">
        <v/>
      </c>
      <c r="AQ147" s="202" t="str">
        <v/>
      </c>
      <c r="AR147" s="202" t="str">
        <v/>
      </c>
      <c r="AS147" s="202" t="str">
        <v/>
      </c>
      <c r="AT147" s="262" t="str">
        <v/>
      </c>
      <c r="AU147" s="588"/>
    </row>
    <row r="148" ht="21" customHeight="true" x14ac:dyDescent="0.25">
      <c r="C148" s="597"/>
      <c r="D148" s="594">
        <f t="shared" si="23"/>
        <v>41</v>
      </c>
      <c r="E148" s="202" t="str">
        <v/>
      </c>
      <c r="F148" s="202" t="str">
        <v/>
      </c>
      <c r="G148" s="202" t="str">
        <v/>
      </c>
      <c r="H148" s="202" t="str">
        <v/>
      </c>
      <c r="I148" s="202" t="str">
        <v/>
      </c>
      <c r="J148" s="202" t="str">
        <v/>
      </c>
      <c r="K148" s="202" t="str">
        <v/>
      </c>
      <c r="L148" s="202" t="str">
        <v/>
      </c>
      <c r="M148" s="202" t="str">
        <v/>
      </c>
      <c r="N148" s="202" t="str">
        <v/>
      </c>
      <c r="O148" s="202" t="str">
        <v/>
      </c>
      <c r="P148" s="202" t="str">
        <v/>
      </c>
      <c r="Q148" s="202" t="str">
        <v/>
      </c>
      <c r="R148" s="202" t="str">
        <v/>
      </c>
      <c r="S148" s="202" t="str">
        <v/>
      </c>
      <c r="T148" s="202" t="str">
        <v/>
      </c>
      <c r="U148" s="202" t="str">
        <v/>
      </c>
      <c r="V148" s="202" t="str">
        <v/>
      </c>
      <c r="W148" s="202" t="str">
        <v/>
      </c>
      <c r="X148" s="202" t="str">
        <v/>
      </c>
      <c r="Y148" s="202" t="str">
        <v/>
      </c>
      <c r="Z148" s="202" t="str">
        <v/>
      </c>
      <c r="AA148" s="202" t="str">
        <v/>
      </c>
      <c r="AB148" s="202" t="str">
        <v/>
      </c>
      <c r="AC148" s="202" t="str">
        <v/>
      </c>
      <c r="AD148" s="202" t="str">
        <v/>
      </c>
      <c r="AE148" s="202" t="str">
        <v/>
      </c>
      <c r="AF148" s="202" t="str">
        <v/>
      </c>
      <c r="AG148" s="202" t="str">
        <v/>
      </c>
      <c r="AH148" s="202" t="str">
        <v/>
      </c>
      <c r="AI148" s="202" t="str">
        <v/>
      </c>
      <c r="AJ148" s="202" t="str">
        <v/>
      </c>
      <c r="AK148" s="202" t="str">
        <v/>
      </c>
      <c r="AL148" s="202" t="str">
        <v/>
      </c>
      <c r="AM148" s="202" t="str">
        <v/>
      </c>
      <c r="AN148" s="202" t="str">
        <v/>
      </c>
      <c r="AO148" s="202" t="str">
        <v/>
      </c>
      <c r="AP148" s="202" t="str">
        <v/>
      </c>
      <c r="AQ148" s="202" t="str">
        <v/>
      </c>
      <c r="AR148" s="202" t="str">
        <v/>
      </c>
      <c r="AS148" s="202" t="str">
        <v/>
      </c>
      <c r="AT148" s="262" t="str">
        <v/>
      </c>
      <c r="AU148" s="588"/>
    </row>
    <row r="149" ht="21" customHeight="true" x14ac:dyDescent="0.25">
      <c r="C149" s="597"/>
      <c r="D149" s="594">
        <f t="shared" si="23"/>
        <v>42</v>
      </c>
      <c r="E149" s="202" t="str">
        <v/>
      </c>
      <c r="F149" s="202" t="str">
        <v/>
      </c>
      <c r="G149" s="202" t="str">
        <v/>
      </c>
      <c r="H149" s="202" t="str">
        <v/>
      </c>
      <c r="I149" s="202" t="str">
        <v/>
      </c>
      <c r="J149" s="202" t="str">
        <v/>
      </c>
      <c r="K149" s="202" t="str">
        <v/>
      </c>
      <c r="L149" s="202" t="str">
        <v/>
      </c>
      <c r="M149" s="202" t="str">
        <v/>
      </c>
      <c r="N149" s="202" t="str">
        <v/>
      </c>
      <c r="O149" s="202" t="str">
        <v/>
      </c>
      <c r="P149" s="202" t="str">
        <v/>
      </c>
      <c r="Q149" s="202" t="str">
        <v/>
      </c>
      <c r="R149" s="202" t="str">
        <v/>
      </c>
      <c r="S149" s="202" t="str">
        <v/>
      </c>
      <c r="T149" s="202" t="str">
        <v/>
      </c>
      <c r="U149" s="202" t="str">
        <v/>
      </c>
      <c r="V149" s="202" t="str">
        <v/>
      </c>
      <c r="W149" s="202" t="str">
        <v/>
      </c>
      <c r="X149" s="202" t="str">
        <v/>
      </c>
      <c r="Y149" s="202" t="str">
        <v/>
      </c>
      <c r="Z149" s="202" t="str">
        <v/>
      </c>
      <c r="AA149" s="202" t="str">
        <v/>
      </c>
      <c r="AB149" s="202" t="str">
        <v/>
      </c>
      <c r="AC149" s="202" t="str">
        <v/>
      </c>
      <c r="AD149" s="202" t="str">
        <v/>
      </c>
      <c r="AE149" s="202" t="str">
        <v/>
      </c>
      <c r="AF149" s="202" t="str">
        <v/>
      </c>
      <c r="AG149" s="202" t="str">
        <v/>
      </c>
      <c r="AH149" s="202" t="str">
        <v/>
      </c>
      <c r="AI149" s="202" t="str">
        <v/>
      </c>
      <c r="AJ149" s="202" t="str">
        <v/>
      </c>
      <c r="AK149" s="202" t="str">
        <v/>
      </c>
      <c r="AL149" s="202" t="str">
        <v/>
      </c>
      <c r="AM149" s="202" t="str">
        <v/>
      </c>
      <c r="AN149" s="202" t="str">
        <v/>
      </c>
      <c r="AO149" s="202" t="str">
        <v/>
      </c>
      <c r="AP149" s="202" t="str">
        <v/>
      </c>
      <c r="AQ149" s="202" t="str">
        <v/>
      </c>
      <c r="AR149" s="202" t="str">
        <v/>
      </c>
      <c r="AS149" s="202" t="str">
        <v/>
      </c>
      <c r="AT149" s="262" t="str">
        <v/>
      </c>
      <c r="AU149" s="588"/>
    </row>
    <row r="150" ht="21" customHeight="true" x14ac:dyDescent="0.25">
      <c r="C150" s="597"/>
      <c r="D150" s="594">
        <f t="shared" si="23"/>
        <v>43</v>
      </c>
      <c r="E150" s="202" t="str">
        <v/>
      </c>
      <c r="F150" s="202" t="str">
        <v/>
      </c>
      <c r="G150" s="202" t="str">
        <v/>
      </c>
      <c r="H150" s="202" t="str">
        <v/>
      </c>
      <c r="I150" s="202" t="str">
        <v/>
      </c>
      <c r="J150" s="202" t="str">
        <v/>
      </c>
      <c r="K150" s="202" t="str">
        <v/>
      </c>
      <c r="L150" s="202" t="str">
        <v/>
      </c>
      <c r="M150" s="202" t="str">
        <v/>
      </c>
      <c r="N150" s="202" t="str">
        <v/>
      </c>
      <c r="O150" s="202" t="str">
        <v/>
      </c>
      <c r="P150" s="202" t="str">
        <v/>
      </c>
      <c r="Q150" s="202" t="str">
        <v/>
      </c>
      <c r="R150" s="202" t="str">
        <v/>
      </c>
      <c r="S150" s="202" t="str">
        <v/>
      </c>
      <c r="T150" s="202" t="str">
        <v/>
      </c>
      <c r="U150" s="202" t="str">
        <v/>
      </c>
      <c r="V150" s="202" t="str">
        <v/>
      </c>
      <c r="W150" s="202" t="str">
        <v/>
      </c>
      <c r="X150" s="202" t="str">
        <v/>
      </c>
      <c r="Y150" s="202" t="str">
        <v/>
      </c>
      <c r="Z150" s="202" t="str">
        <v/>
      </c>
      <c r="AA150" s="202" t="str">
        <v/>
      </c>
      <c r="AB150" s="202" t="str">
        <v/>
      </c>
      <c r="AC150" s="202" t="str">
        <v/>
      </c>
      <c r="AD150" s="202" t="str">
        <v/>
      </c>
      <c r="AE150" s="202" t="str">
        <v/>
      </c>
      <c r="AF150" s="202" t="str">
        <v/>
      </c>
      <c r="AG150" s="202" t="str">
        <v/>
      </c>
      <c r="AH150" s="202" t="str">
        <v/>
      </c>
      <c r="AI150" s="202" t="str">
        <v/>
      </c>
      <c r="AJ150" s="202" t="str">
        <v/>
      </c>
      <c r="AK150" s="202" t="str">
        <v/>
      </c>
      <c r="AL150" s="202" t="str">
        <v/>
      </c>
      <c r="AM150" s="202" t="str">
        <v/>
      </c>
      <c r="AN150" s="202" t="str">
        <v/>
      </c>
      <c r="AO150" s="202" t="str">
        <v/>
      </c>
      <c r="AP150" s="202" t="str">
        <v/>
      </c>
      <c r="AQ150" s="202" t="str">
        <v/>
      </c>
      <c r="AR150" s="202" t="str">
        <v/>
      </c>
      <c r="AS150" s="202" t="str">
        <v/>
      </c>
      <c r="AT150" s="262" t="str">
        <v/>
      </c>
      <c r="AU150" s="588"/>
    </row>
    <row r="151" ht="21" customHeight="true" x14ac:dyDescent="0.25">
      <c r="C151" s="597"/>
      <c r="D151" s="594">
        <f t="shared" si="23"/>
        <v>44</v>
      </c>
      <c r="E151" s="202" t="str">
        <v/>
      </c>
      <c r="F151" s="202" t="str">
        <v/>
      </c>
      <c r="G151" s="202" t="str">
        <v/>
      </c>
      <c r="H151" s="202" t="str">
        <v/>
      </c>
      <c r="I151" s="202" t="str">
        <v/>
      </c>
      <c r="J151" s="202" t="str">
        <v/>
      </c>
      <c r="K151" s="202" t="str">
        <v/>
      </c>
      <c r="L151" s="202" t="str">
        <v/>
      </c>
      <c r="M151" s="202" t="str">
        <v/>
      </c>
      <c r="N151" s="202" t="str">
        <v/>
      </c>
      <c r="O151" s="202" t="str">
        <v/>
      </c>
      <c r="P151" s="202" t="str">
        <v/>
      </c>
      <c r="Q151" s="202" t="str">
        <v/>
      </c>
      <c r="R151" s="202" t="str">
        <v/>
      </c>
      <c r="S151" s="202" t="str">
        <v/>
      </c>
      <c r="T151" s="202" t="str">
        <v/>
      </c>
      <c r="U151" s="202" t="str">
        <v/>
      </c>
      <c r="V151" s="202" t="str">
        <v/>
      </c>
      <c r="W151" s="202" t="str">
        <v/>
      </c>
      <c r="X151" s="202" t="str">
        <v/>
      </c>
      <c r="Y151" s="202" t="str">
        <v/>
      </c>
      <c r="Z151" s="202" t="str">
        <v/>
      </c>
      <c r="AA151" s="202" t="str">
        <v/>
      </c>
      <c r="AB151" s="202" t="str">
        <v/>
      </c>
      <c r="AC151" s="202" t="str">
        <v/>
      </c>
      <c r="AD151" s="202" t="str">
        <v/>
      </c>
      <c r="AE151" s="202" t="str">
        <v/>
      </c>
      <c r="AF151" s="202" t="str">
        <v/>
      </c>
      <c r="AG151" s="202" t="str">
        <v/>
      </c>
      <c r="AH151" s="202" t="str">
        <v/>
      </c>
      <c r="AI151" s="202" t="str">
        <v/>
      </c>
      <c r="AJ151" s="202" t="str">
        <v/>
      </c>
      <c r="AK151" s="202" t="str">
        <v/>
      </c>
      <c r="AL151" s="202" t="str">
        <v/>
      </c>
      <c r="AM151" s="202" t="str">
        <v/>
      </c>
      <c r="AN151" s="202" t="str">
        <v/>
      </c>
      <c r="AO151" s="202" t="str">
        <v/>
      </c>
      <c r="AP151" s="202" t="str">
        <v/>
      </c>
      <c r="AQ151" s="202" t="str">
        <v/>
      </c>
      <c r="AR151" s="202" t="str">
        <v/>
      </c>
      <c r="AS151" s="202" t="str">
        <v/>
      </c>
      <c r="AT151" s="262" t="str">
        <v/>
      </c>
      <c r="AU151" s="588"/>
    </row>
    <row r="152" ht="21" customHeight="true" x14ac:dyDescent="0.25">
      <c r="C152" s="597"/>
      <c r="D152" s="594">
        <f t="shared" si="23"/>
        <v>45</v>
      </c>
      <c r="E152" s="202" t="str">
        <v/>
      </c>
      <c r="F152" s="202" t="str">
        <v/>
      </c>
      <c r="G152" s="202" t="str">
        <v/>
      </c>
      <c r="H152" s="202" t="str">
        <v/>
      </c>
      <c r="I152" s="202" t="str">
        <v/>
      </c>
      <c r="J152" s="202" t="str">
        <v/>
      </c>
      <c r="K152" s="202" t="str">
        <v/>
      </c>
      <c r="L152" s="202" t="str">
        <v/>
      </c>
      <c r="M152" s="202" t="str">
        <v/>
      </c>
      <c r="N152" s="202" t="str">
        <v/>
      </c>
      <c r="O152" s="202" t="str">
        <v/>
      </c>
      <c r="P152" s="202" t="str">
        <v/>
      </c>
      <c r="Q152" s="202" t="str">
        <v/>
      </c>
      <c r="R152" s="202" t="str">
        <v/>
      </c>
      <c r="S152" s="202" t="str">
        <v/>
      </c>
      <c r="T152" s="202" t="str">
        <v/>
      </c>
      <c r="U152" s="202" t="str">
        <v/>
      </c>
      <c r="V152" s="202" t="str">
        <v/>
      </c>
      <c r="W152" s="202" t="str">
        <v/>
      </c>
      <c r="X152" s="202" t="str">
        <v/>
      </c>
      <c r="Y152" s="202" t="str">
        <v/>
      </c>
      <c r="Z152" s="202" t="str">
        <v/>
      </c>
      <c r="AA152" s="202" t="str">
        <v/>
      </c>
      <c r="AB152" s="202" t="str">
        <v/>
      </c>
      <c r="AC152" s="202" t="str">
        <v/>
      </c>
      <c r="AD152" s="202" t="str">
        <v/>
      </c>
      <c r="AE152" s="202" t="str">
        <v/>
      </c>
      <c r="AF152" s="202" t="str">
        <v/>
      </c>
      <c r="AG152" s="202" t="str">
        <v/>
      </c>
      <c r="AH152" s="202" t="str">
        <v/>
      </c>
      <c r="AI152" s="202" t="str">
        <v/>
      </c>
      <c r="AJ152" s="202" t="str">
        <v/>
      </c>
      <c r="AK152" s="202" t="str">
        <v/>
      </c>
      <c r="AL152" s="202" t="str">
        <v/>
      </c>
      <c r="AM152" s="202" t="str">
        <v/>
      </c>
      <c r="AN152" s="202" t="str">
        <v/>
      </c>
      <c r="AO152" s="202" t="str">
        <v/>
      </c>
      <c r="AP152" s="202" t="str">
        <v/>
      </c>
      <c r="AQ152" s="202" t="str">
        <v/>
      </c>
      <c r="AR152" s="202" t="str">
        <v/>
      </c>
      <c r="AS152" s="202" t="str">
        <v/>
      </c>
      <c r="AT152" s="262" t="str">
        <v/>
      </c>
      <c r="AU152" s="588"/>
    </row>
    <row r="153" ht="21" customHeight="true" x14ac:dyDescent="0.25">
      <c r="C153" s="597"/>
      <c r="D153" s="594">
        <f t="shared" si="23"/>
        <v>46</v>
      </c>
      <c r="E153" s="202" t="str">
        <v/>
      </c>
      <c r="F153" s="202" t="str">
        <v/>
      </c>
      <c r="G153" s="202" t="str">
        <v/>
      </c>
      <c r="H153" s="202" t="str">
        <v/>
      </c>
      <c r="I153" s="202" t="str">
        <v/>
      </c>
      <c r="J153" s="202" t="str">
        <v/>
      </c>
      <c r="K153" s="202" t="str">
        <v/>
      </c>
      <c r="L153" s="202" t="str">
        <v/>
      </c>
      <c r="M153" s="202" t="str">
        <v/>
      </c>
      <c r="N153" s="202" t="str">
        <v/>
      </c>
      <c r="O153" s="202" t="str">
        <v/>
      </c>
      <c r="P153" s="202" t="str">
        <v/>
      </c>
      <c r="Q153" s="202" t="str">
        <v/>
      </c>
      <c r="R153" s="202" t="str">
        <v/>
      </c>
      <c r="S153" s="202" t="str">
        <v/>
      </c>
      <c r="T153" s="202" t="str">
        <v/>
      </c>
      <c r="U153" s="202" t="str">
        <v/>
      </c>
      <c r="V153" s="202" t="str">
        <v/>
      </c>
      <c r="W153" s="202" t="str">
        <v/>
      </c>
      <c r="X153" s="202" t="str">
        <v/>
      </c>
      <c r="Y153" s="202" t="str">
        <v/>
      </c>
      <c r="Z153" s="202" t="str">
        <v/>
      </c>
      <c r="AA153" s="202" t="str">
        <v/>
      </c>
      <c r="AB153" s="202" t="str">
        <v/>
      </c>
      <c r="AC153" s="202" t="str">
        <v/>
      </c>
      <c r="AD153" s="202" t="str">
        <v/>
      </c>
      <c r="AE153" s="202" t="str">
        <v/>
      </c>
      <c r="AF153" s="202" t="str">
        <v/>
      </c>
      <c r="AG153" s="202" t="str">
        <v/>
      </c>
      <c r="AH153" s="202" t="str">
        <v/>
      </c>
      <c r="AI153" s="202" t="str">
        <v/>
      </c>
      <c r="AJ153" s="202" t="str">
        <v/>
      </c>
      <c r="AK153" s="202" t="str">
        <v/>
      </c>
      <c r="AL153" s="202" t="str">
        <v/>
      </c>
      <c r="AM153" s="202" t="str">
        <v/>
      </c>
      <c r="AN153" s="202" t="str">
        <v/>
      </c>
      <c r="AO153" s="202" t="str">
        <v/>
      </c>
      <c r="AP153" s="202" t="str">
        <v/>
      </c>
      <c r="AQ153" s="202" t="str">
        <v/>
      </c>
      <c r="AR153" s="202" t="str">
        <v/>
      </c>
      <c r="AS153" s="202" t="str">
        <v/>
      </c>
      <c r="AT153" s="262" t="str">
        <v/>
      </c>
      <c r="AU153" s="588"/>
    </row>
    <row r="154" ht="21" customHeight="true" x14ac:dyDescent="0.25">
      <c r="C154" s="597"/>
      <c r="D154" s="594">
        <f t="shared" si="23"/>
        <v>47</v>
      </c>
      <c r="E154" s="202" t="str">
        <v/>
      </c>
      <c r="F154" s="202" t="str">
        <v/>
      </c>
      <c r="G154" s="202" t="str">
        <v/>
      </c>
      <c r="H154" s="202" t="str">
        <v/>
      </c>
      <c r="I154" s="202" t="str">
        <v/>
      </c>
      <c r="J154" s="202" t="str">
        <v/>
      </c>
      <c r="K154" s="202" t="str">
        <v/>
      </c>
      <c r="L154" s="202" t="str">
        <v/>
      </c>
      <c r="M154" s="202" t="str">
        <v/>
      </c>
      <c r="N154" s="202" t="str">
        <v/>
      </c>
      <c r="O154" s="202" t="str">
        <v/>
      </c>
      <c r="P154" s="202" t="str">
        <v/>
      </c>
      <c r="Q154" s="202" t="str">
        <v/>
      </c>
      <c r="R154" s="202" t="str">
        <v/>
      </c>
      <c r="S154" s="202" t="str">
        <v/>
      </c>
      <c r="T154" s="202" t="str">
        <v/>
      </c>
      <c r="U154" s="202" t="str">
        <v/>
      </c>
      <c r="V154" s="202" t="str">
        <v/>
      </c>
      <c r="W154" s="202" t="str">
        <v/>
      </c>
      <c r="X154" s="202" t="str">
        <v/>
      </c>
      <c r="Y154" s="202" t="str">
        <v/>
      </c>
      <c r="Z154" s="202" t="str">
        <v/>
      </c>
      <c r="AA154" s="202" t="str">
        <v/>
      </c>
      <c r="AB154" s="202" t="str">
        <v/>
      </c>
      <c r="AC154" s="202" t="str">
        <v/>
      </c>
      <c r="AD154" s="202" t="str">
        <v/>
      </c>
      <c r="AE154" s="202" t="str">
        <v/>
      </c>
      <c r="AF154" s="202" t="str">
        <v/>
      </c>
      <c r="AG154" s="202" t="str">
        <v/>
      </c>
      <c r="AH154" s="202" t="str">
        <v/>
      </c>
      <c r="AI154" s="202" t="str">
        <v/>
      </c>
      <c r="AJ154" s="202" t="str">
        <v/>
      </c>
      <c r="AK154" s="202" t="str">
        <v/>
      </c>
      <c r="AL154" s="202" t="str">
        <v/>
      </c>
      <c r="AM154" s="202" t="str">
        <v/>
      </c>
      <c r="AN154" s="202" t="str">
        <v/>
      </c>
      <c r="AO154" s="202" t="str">
        <v/>
      </c>
      <c r="AP154" s="202" t="str">
        <v/>
      </c>
      <c r="AQ154" s="202" t="str">
        <v/>
      </c>
      <c r="AR154" s="202" t="str">
        <v/>
      </c>
      <c r="AS154" s="202" t="str">
        <v/>
      </c>
      <c r="AT154" s="262" t="str">
        <v/>
      </c>
      <c r="AU154" s="588"/>
    </row>
    <row r="155" ht="21" customHeight="true" x14ac:dyDescent="0.25">
      <c r="C155" s="597"/>
      <c r="D155" s="594">
        <f t="shared" si="23"/>
        <v>48</v>
      </c>
      <c r="E155" s="202" t="str">
        <v/>
      </c>
      <c r="F155" s="202" t="str">
        <v/>
      </c>
      <c r="G155" s="202" t="str">
        <v/>
      </c>
      <c r="H155" s="202" t="str">
        <v/>
      </c>
      <c r="I155" s="202" t="str">
        <v/>
      </c>
      <c r="J155" s="202" t="str">
        <v/>
      </c>
      <c r="K155" s="202" t="str">
        <v/>
      </c>
      <c r="L155" s="202" t="str">
        <v/>
      </c>
      <c r="M155" s="202" t="str">
        <v/>
      </c>
      <c r="N155" s="202" t="str">
        <v/>
      </c>
      <c r="O155" s="202" t="str">
        <v/>
      </c>
      <c r="P155" s="202" t="str">
        <v/>
      </c>
      <c r="Q155" s="202" t="str">
        <v/>
      </c>
      <c r="R155" s="202" t="str">
        <v/>
      </c>
      <c r="S155" s="202" t="str">
        <v/>
      </c>
      <c r="T155" s="202" t="str">
        <v/>
      </c>
      <c r="U155" s="202" t="str">
        <v/>
      </c>
      <c r="V155" s="202" t="str">
        <v/>
      </c>
      <c r="W155" s="202" t="str">
        <v/>
      </c>
      <c r="X155" s="202" t="str">
        <v/>
      </c>
      <c r="Y155" s="202" t="str">
        <v/>
      </c>
      <c r="Z155" s="202" t="str">
        <v/>
      </c>
      <c r="AA155" s="202" t="str">
        <v/>
      </c>
      <c r="AB155" s="202" t="str">
        <v/>
      </c>
      <c r="AC155" s="202" t="str">
        <v/>
      </c>
      <c r="AD155" s="202" t="str">
        <v/>
      </c>
      <c r="AE155" s="202" t="str">
        <v/>
      </c>
      <c r="AF155" s="202" t="str">
        <v/>
      </c>
      <c r="AG155" s="202" t="str">
        <v/>
      </c>
      <c r="AH155" s="202" t="str">
        <v/>
      </c>
      <c r="AI155" s="202" t="str">
        <v/>
      </c>
      <c r="AJ155" s="202" t="str">
        <v/>
      </c>
      <c r="AK155" s="202" t="str">
        <v/>
      </c>
      <c r="AL155" s="202" t="str">
        <v/>
      </c>
      <c r="AM155" s="202" t="str">
        <v/>
      </c>
      <c r="AN155" s="202" t="str">
        <v/>
      </c>
      <c r="AO155" s="202" t="str">
        <v/>
      </c>
      <c r="AP155" s="202" t="str">
        <v/>
      </c>
      <c r="AQ155" s="202" t="str">
        <v/>
      </c>
      <c r="AR155" s="202" t="str">
        <v/>
      </c>
      <c r="AS155" s="202" t="str">
        <v/>
      </c>
      <c r="AT155" s="262" t="str">
        <v/>
      </c>
      <c r="AU155" s="588"/>
    </row>
    <row r="156" ht="21" customHeight="true" x14ac:dyDescent="0.25">
      <c r="C156" s="597"/>
      <c r="D156" s="594">
        <f t="shared" si="23"/>
        <v>49</v>
      </c>
      <c r="E156" s="202" t="str">
        <v/>
      </c>
      <c r="F156" s="202" t="str">
        <v/>
      </c>
      <c r="G156" s="202" t="str">
        <v/>
      </c>
      <c r="H156" s="202" t="str">
        <v/>
      </c>
      <c r="I156" s="202" t="str">
        <v/>
      </c>
      <c r="J156" s="202" t="str">
        <v/>
      </c>
      <c r="K156" s="202" t="str">
        <v/>
      </c>
      <c r="L156" s="202" t="str">
        <v/>
      </c>
      <c r="M156" s="202" t="str">
        <v/>
      </c>
      <c r="N156" s="202" t="str">
        <v/>
      </c>
      <c r="O156" s="202" t="str">
        <v/>
      </c>
      <c r="P156" s="202" t="str">
        <v/>
      </c>
      <c r="Q156" s="202" t="str">
        <v/>
      </c>
      <c r="R156" s="202" t="str">
        <v/>
      </c>
      <c r="S156" s="202" t="str">
        <v/>
      </c>
      <c r="T156" s="202" t="str">
        <v/>
      </c>
      <c r="U156" s="202" t="str">
        <v/>
      </c>
      <c r="V156" s="202" t="str">
        <v/>
      </c>
      <c r="W156" s="202" t="str">
        <v/>
      </c>
      <c r="X156" s="202" t="str">
        <v/>
      </c>
      <c r="Y156" s="202" t="str">
        <v/>
      </c>
      <c r="Z156" s="202" t="str">
        <v/>
      </c>
      <c r="AA156" s="202" t="str">
        <v/>
      </c>
      <c r="AB156" s="202" t="str">
        <v/>
      </c>
      <c r="AC156" s="202" t="str">
        <v/>
      </c>
      <c r="AD156" s="202" t="str">
        <v/>
      </c>
      <c r="AE156" s="202" t="str">
        <v/>
      </c>
      <c r="AF156" s="202" t="str">
        <v/>
      </c>
      <c r="AG156" s="202" t="str">
        <v/>
      </c>
      <c r="AH156" s="202" t="str">
        <v/>
      </c>
      <c r="AI156" s="202" t="str">
        <v/>
      </c>
      <c r="AJ156" s="202" t="str">
        <v/>
      </c>
      <c r="AK156" s="202" t="str">
        <v/>
      </c>
      <c r="AL156" s="202" t="str">
        <v/>
      </c>
      <c r="AM156" s="202" t="str">
        <v/>
      </c>
      <c r="AN156" s="202" t="str">
        <v/>
      </c>
      <c r="AO156" s="202" t="str">
        <v/>
      </c>
      <c r="AP156" s="202" t="str">
        <v/>
      </c>
      <c r="AQ156" s="202" t="str">
        <v/>
      </c>
      <c r="AR156" s="202" t="str">
        <v/>
      </c>
      <c r="AS156" s="202" t="str">
        <v/>
      </c>
      <c r="AT156" s="262" t="str">
        <v/>
      </c>
      <c r="AU156" s="588"/>
    </row>
    <row r="157" ht="21" customHeight="true" thickBot="true" x14ac:dyDescent="0.3">
      <c r="C157" s="597"/>
      <c r="D157" s="1568">
        <f t="shared" si="23"/>
        <v>50</v>
      </c>
      <c r="E157" s="263" t="str">
        <v/>
      </c>
      <c r="F157" s="263" t="str">
        <v/>
      </c>
      <c r="G157" s="263" t="str">
        <v/>
      </c>
      <c r="H157" s="263" t="str">
        <v/>
      </c>
      <c r="I157" s="263" t="str">
        <v/>
      </c>
      <c r="J157" s="263" t="str">
        <v/>
      </c>
      <c r="K157" s="263" t="str">
        <v/>
      </c>
      <c r="L157" s="263" t="str">
        <v/>
      </c>
      <c r="M157" s="263" t="str">
        <v/>
      </c>
      <c r="N157" s="263" t="str">
        <v/>
      </c>
      <c r="O157" s="263" t="str">
        <v/>
      </c>
      <c r="P157" s="263" t="str">
        <v/>
      </c>
      <c r="Q157" s="263" t="str">
        <v/>
      </c>
      <c r="R157" s="263" t="str">
        <v/>
      </c>
      <c r="S157" s="263" t="str">
        <v/>
      </c>
      <c r="T157" s="263" t="str">
        <v/>
      </c>
      <c r="U157" s="263" t="str">
        <v/>
      </c>
      <c r="V157" s="263" t="str">
        <v/>
      </c>
      <c r="W157" s="263" t="str">
        <v/>
      </c>
      <c r="X157" s="263" t="str">
        <v/>
      </c>
      <c r="Y157" s="263" t="str">
        <v/>
      </c>
      <c r="Z157" s="263" t="str">
        <v/>
      </c>
      <c r="AA157" s="263" t="str">
        <v/>
      </c>
      <c r="AB157" s="263" t="str">
        <v/>
      </c>
      <c r="AC157" s="263" t="str">
        <v/>
      </c>
      <c r="AD157" s="263" t="str">
        <v/>
      </c>
      <c r="AE157" s="263" t="str">
        <v/>
      </c>
      <c r="AF157" s="263" t="str">
        <v/>
      </c>
      <c r="AG157" s="263" t="str">
        <v/>
      </c>
      <c r="AH157" s="263" t="str">
        <v/>
      </c>
      <c r="AI157" s="263" t="str">
        <v/>
      </c>
      <c r="AJ157" s="263" t="str">
        <v/>
      </c>
      <c r="AK157" s="263" t="str">
        <v/>
      </c>
      <c r="AL157" s="263" t="str">
        <v/>
      </c>
      <c r="AM157" s="263" t="str">
        <v/>
      </c>
      <c r="AN157" s="263" t="str">
        <v/>
      </c>
      <c r="AO157" s="263" t="str">
        <v/>
      </c>
      <c r="AP157" s="263" t="str">
        <v/>
      </c>
      <c r="AQ157" s="263" t="str">
        <v/>
      </c>
      <c r="AR157" s="263" t="str">
        <v/>
      </c>
      <c r="AS157" s="263" t="str">
        <v/>
      </c>
      <c r="AT157" s="1227" t="str">
        <v/>
      </c>
      <c r="AU157" s="588"/>
    </row>
    <row r="158" ht="21" customHeight="true" x14ac:dyDescent="0.3">
      <c r="C158" s="604"/>
      <c r="D158" s="570"/>
      <c r="E158" s="2170" t="s">
        <v>1867</v>
      </c>
      <c r="F158" s="2171"/>
      <c r="G158" s="1185">
        <f>IF(G106="","",SUMPRODUCT('I. Stream &amp; Compound Data'!J186:J235,Exergy!$F$27:$F$76)+Exergy!$G$6*Exergy!$G$5*SUMPRODUCT('I. Stream &amp; Compound Data'!J186:J235,G108:G157))</f>
        <v>-1.2799302476227612</v>
      </c>
      <c r="H158" s="1185">
        <f>IF(H106="","",SUMPRODUCT('I. Stream &amp; Compound Data'!M186:M235,Exergy!$F$27:$F$76)+Exergy!$G$6*Exergy!$G$5*SUMPRODUCT('I. Stream &amp; Compound Data'!M186:M235,H108:H157))</f>
        <v>19.87</v>
      </c>
      <c r="I158" s="1185" t="str">
        <f>IF(I106="","",SUMPRODUCT('I. Stream &amp; Compound Data'!P186:P235,Exergy!$F$27:$F$76)+Exergy!$G$6*Exergy!$G$5*SUMPRODUCT('I. Stream &amp; Compound Data'!P186:P235,I108:I157))</f>
        <v/>
      </c>
      <c r="J158" s="1185" t="str">
        <f>IF(J106="","",SUMPRODUCT('I. Stream &amp; Compound Data'!S186:S235,Exergy!$F$27:$F$76)+Exergy!$G$6*Exergy!$G$5*SUMPRODUCT('I. Stream &amp; Compound Data'!S186:S235,J108:J157))</f>
        <v/>
      </c>
      <c r="K158" s="1185" t="str">
        <f>IF(K106="","",SUMPRODUCT('I. Stream &amp; Compound Data'!V186:V235,Exergy!$F$27:$F$76)+Exergy!$G$6*Exergy!$G$5*SUMPRODUCT('I. Stream &amp; Compound Data'!V186:V235,K108:K157))</f>
        <v/>
      </c>
      <c r="L158" s="1185">
        <f>IF(L106="","",SUMPRODUCT('I. Stream &amp; Compound Data'!Y186:Y235,Exergy!$F$27:$F$76)+Exergy!$G$6*Exergy!$G$5*SUMPRODUCT('I. Stream &amp; Compound Data'!Y186:Y235,L108:L157))</f>
        <v>0</v>
      </c>
      <c r="M158" s="1185" t="str">
        <f>IF(M106="","",SUMPRODUCT('I. Stream &amp; Compound Data'!AB186:AB235,Exergy!$F$27:$F$76)+Exergy!$G$6*Exergy!$G$5*SUMPRODUCT('I. Stream &amp; Compound Data'!AB186:AB235,M108:M157))</f>
        <v/>
      </c>
      <c r="N158" s="1185" t="str">
        <f>IF(N106="","",SUMPRODUCT('I. Stream &amp; Compound Data'!AE186:AE235,Exergy!$F$27:$F$76)+Exergy!$G$6*Exergy!$G$5*SUMPRODUCT('I. Stream &amp; Compound Data'!AE186:AE235,N108:N157))</f>
        <v/>
      </c>
      <c r="O158" s="1185" t="str">
        <f>IF(O106="","",SUMPRODUCT('I. Stream &amp; Compound Data'!AH186:AH235,Exergy!$F$27:$F$76)+Exergy!$G$6*Exergy!$G$5*SUMPRODUCT('I. Stream &amp; Compound Data'!AH186:AH235,O108:O157))</f>
        <v/>
      </c>
      <c r="P158" s="1560" t="str">
        <f>IF(P106="","",SUMPRODUCT('I. Stream &amp; Compound Data'!AK186:AK235,Exergy!$F$27:$F$76)+Exergy!$G$6*Exergy!$G$5*SUMPRODUCT('I. Stream &amp; Compound Data'!AK186:AK235,P108:P157))</f>
        <v/>
      </c>
      <c r="Q158" s="1560" t="str">
        <f>IF(Q106="","",SUMPRODUCT('I. Stream &amp; Compound Data'!AN186:AN235,Exergy!$F$27:$F$76)+Exergy!$G$6*Exergy!$G$5*SUMPRODUCT('I. Stream &amp; Compound Data'!AL186:AL235,Q108:Q157))</f>
        <v/>
      </c>
      <c r="R158" s="1560" t="str">
        <f>IF(R106="","",SUMPRODUCT('I. Stream &amp; Compound Data'!AQ186:AQ235,Exergy!$F$27:$F$76)+Exergy!$G$6*Exergy!$G$5*SUMPRODUCT('I. Stream &amp; Compound Data'!AQ186:AQ235,R108:R157))</f>
        <v/>
      </c>
      <c r="S158" s="1560" t="str">
        <f>IF(S106="","",SUMPRODUCT('I. Stream &amp; Compound Data'!AT186:AT235,Exergy!$F$27:$F$76)+Exergy!$G$6*Exergy!$G$5*SUMPRODUCT('I. Stream &amp; Compound Data'!AT186:AT235,S108:S157))</f>
        <v/>
      </c>
      <c r="T158" s="1560" t="str">
        <f>IF(T106="","",SUMPRODUCT('I. Stream &amp; Compound Data'!AW186:AW235,Exergy!$F$27:$F$76)+Exergy!$G$6*Exergy!$G$5*SUMPRODUCT('I. Stream &amp; Compound Data'!AW186:AW235,T108:T157))</f>
        <v/>
      </c>
      <c r="U158" s="1560" t="str">
        <f>IF(U106="","",SUMPRODUCT('I. Stream &amp; Compound Data'!AZ186:AZ235,Exergy!$F$27:$F$76)+Exergy!$G$6*Exergy!$G$5*SUMPRODUCT('I. Stream &amp; Compound Data'!AZ186:AZ235,U108:U157))</f>
        <v/>
      </c>
      <c r="V158" s="1560" t="str">
        <f>IF(V106="","",SUMPRODUCT('I. Stream &amp; Compound Data'!BC186:BC235,Exergy!$F$27:$F$76)+Exergy!$G$6*Exergy!$G$5*SUMPRODUCT('I. Stream &amp; Compound Data'!BC186:BC235,V108:V157))</f>
        <v/>
      </c>
      <c r="W158" s="1560" t="str">
        <f>IF(W106="","",SUMPRODUCT('I. Stream &amp; Compound Data'!BF186:BF235,Exergy!$F$27:$F$76)+Exergy!$G$6*Exergy!$G$5*SUMPRODUCT('I. Stream &amp; Compound Data'!BF186:BF235,W108:W157))</f>
        <v/>
      </c>
      <c r="X158" s="1560" t="str">
        <f>IF(X106="","",SUMPRODUCT('I. Stream &amp; Compound Data'!BI186:BI235,Exergy!$F$27:$F$76)+Exergy!$G$6*Exergy!$G$5*SUMPRODUCT('I. Stream &amp; Compound Data'!BI186:BI235,X108:X157))</f>
        <v/>
      </c>
      <c r="Y158" s="1560" t="str">
        <f>IF(Y106="","",SUMPRODUCT('I. Stream &amp; Compound Data'!BL186:BL235,Exergy!$F$27:$F$76)+Exergy!$G$6*Exergy!$G$5*SUMPRODUCT('I. Stream &amp; Compound Data'!BL186:BL235,Y108:Y157))</f>
        <v/>
      </c>
      <c r="Z158" s="1560" t="str">
        <f>IF(Z106="","",SUMPRODUCT('I. Stream &amp; Compound Data'!BO186:BO235,Exergy!$F$27:$F$76)+Exergy!$G$6*Exergy!$G$5*SUMPRODUCT('I. Stream &amp; Compound Data'!BO186:BO235,Z108:Z157))</f>
        <v/>
      </c>
      <c r="AA158" s="1560" t="str">
        <f>IF(AA106="","",SUMPRODUCT('I. Stream &amp; Compound Data'!BR186:BR235,Exergy!$F$27:$F$76)+Exergy!$G$6*Exergy!$G$5*SUMPRODUCT('I. Stream &amp; Compound Data'!BR186:BR235,AA108:AA157))</f>
        <v/>
      </c>
      <c r="AB158" s="1560" t="str">
        <f>IF(AB106="","",SUMPRODUCT('I. Stream &amp; Compound Data'!BU186:BU235,Exergy!$F$27:$F$76)+Exergy!$G$6*Exergy!$G$5*SUMPRODUCT('I. Stream &amp; Compound Data'!BU186:BU235,AB108:AB157))</f>
        <v/>
      </c>
      <c r="AC158" s="1560" t="str">
        <f>IF(AC106="","",SUMPRODUCT('I. Stream &amp; Compound Data'!BX186:BX235,Exergy!$F$27:$F$76)+Exergy!$G$6*Exergy!$G$5*SUMPRODUCT('I. Stream &amp; Compound Data'!BX186:BX235,AC108:AC157))</f>
        <v/>
      </c>
      <c r="AD158" s="1560" t="str">
        <f>IF(AD106="","",SUMPRODUCT('I. Stream &amp; Compound Data'!CA186:CA235,Exergy!$F$27:$F$76)+Exergy!$G$6*Exergy!$G$5*SUMPRODUCT('I. Stream &amp; Compound Data'!CA186:CA235,AD108:AD157))</f>
        <v/>
      </c>
      <c r="AE158" s="1560" t="str">
        <f>IF(AE106="","",SUMPRODUCT('I. Stream &amp; Compound Data'!CD186:CD235,Exergy!$F$27:$F$76)+Exergy!$G$6*Exergy!$G$5*SUMPRODUCT('I. Stream &amp; Compound Data'!CD186:CD235,AE108:AE157))</f>
        <v/>
      </c>
      <c r="AF158" s="1560" t="str">
        <f>IF(AF106="","",SUMPRODUCT('I. Stream &amp; Compound Data'!CG186:CG235,Exergy!$F$27:$F$76)+Exergy!$G$6*Exergy!$G$5*SUMPRODUCT('I. Stream &amp; Compound Data'!CG186:CG235,AF108:AF157))</f>
        <v/>
      </c>
      <c r="AG158" s="1560" t="str">
        <f>IF(AG106="","",SUMPRODUCT('I. Stream &amp; Compound Data'!CJ186:CJ235,Exergy!$F$27:$F$76)+Exergy!$G$6*Exergy!$G$5*SUMPRODUCT('I. Stream &amp; Compound Data'!CJ186:CJ235,AG108:AG157))</f>
        <v/>
      </c>
      <c r="AH158" s="1560" t="str">
        <f>IF(AH106="","",SUMPRODUCT('I. Stream &amp; Compound Data'!CM186:CM235,Exergy!$F$27:$F$76)+Exergy!$G$6*Exergy!$G$5*SUMPRODUCT('I. Stream &amp; Compound Data'!CM186:CM235,AH108:AH157))</f>
        <v/>
      </c>
      <c r="AI158" s="1560" t="str">
        <f>IF(AI106="","",SUMPRODUCT('I. Stream &amp; Compound Data'!CP186:CP235,Exergy!$F$27:$F$76)+Exergy!$G$6*Exergy!$G$5*SUMPRODUCT('I. Stream &amp; Compound Data'!CP186:CP235,AI108:AI157))</f>
        <v/>
      </c>
      <c r="AJ158" s="1560" t="str">
        <f>IF(AJ106="","",SUMPRODUCT('I. Stream &amp; Compound Data'!CS186:CS235,Exergy!$F$27:$F$76)+Exergy!$G$6*Exergy!$G$5*SUMPRODUCT('I. Stream &amp; Compound Data'!CS186:CS235,AJ108:AJ157))</f>
        <v/>
      </c>
      <c r="AK158" s="1560" t="str">
        <f>IF(AK106="","",SUMPRODUCT('I. Stream &amp; Compound Data'!CV186:CV235,Exergy!$F$27:$F$76)+Exergy!$G$6*Exergy!$G$5*SUMPRODUCT('I. Stream &amp; Compound Data'!CV186:CV235,AK108:AK157))</f>
        <v/>
      </c>
      <c r="AL158" s="1560" t="str">
        <f>IF(AL106="","",SUMPRODUCT('I. Stream &amp; Compound Data'!CY186:CY235,Exergy!$F$27:$F$76)+Exergy!$G$6*Exergy!$G$5*SUMPRODUCT('I. Stream &amp; Compound Data'!CY186:CY235,AL108:AL157))</f>
        <v/>
      </c>
      <c r="AM158" s="1560" t="str">
        <f>IF(AM106="","",SUMPRODUCT('I. Stream &amp; Compound Data'!DB186:DB235,Exergy!$F$27:$F$76)+Exergy!$G$6*Exergy!$G$5*SUMPRODUCT('I. Stream &amp; Compound Data'!DB186:DB235,AM108:AM157))</f>
        <v/>
      </c>
      <c r="AN158" s="1560" t="str">
        <f>IF(AN106="","",SUMPRODUCT('I. Stream &amp; Compound Data'!DE186:DE235,Exergy!$F$27:$F$76)+Exergy!$G$6*Exergy!$G$5*SUMPRODUCT('I. Stream &amp; Compound Data'!DE186:DE235,AN108:AN157))</f>
        <v/>
      </c>
      <c r="AO158" s="1560" t="str">
        <f>IF(AO106="","",SUMPRODUCT('I. Stream &amp; Compound Data'!DH186:DH235,Exergy!$F$27:$F$76)+Exergy!$G$6*Exergy!$G$5*SUMPRODUCT('I. Stream &amp; Compound Data'!DH186:DH235,AO108:AO157))</f>
        <v/>
      </c>
      <c r="AP158" s="1560" t="str">
        <f>IF(AP106="","",SUMPRODUCT('I. Stream &amp; Compound Data'!DK186:DK235,Exergy!$F$27:$F$76)+Exergy!$G$6*Exergy!$G$5*SUMPRODUCT('I. Stream &amp; Compound Data'!DK186:DK235,AP108:AP157))</f>
        <v/>
      </c>
      <c r="AQ158" s="1560" t="str">
        <f>IF(AQ106="","",SUMPRODUCT('I. Stream &amp; Compound Data'!DN186:DN235,Exergy!$F$27:$F$76)+Exergy!$G$6*Exergy!$G$5*SUMPRODUCT('I. Stream &amp; Compound Data'!DN186:DN235,AQ108:AQ157))</f>
        <v/>
      </c>
      <c r="AR158" s="1560" t="str">
        <f>IF(AR106="","",SUMPRODUCT('I. Stream &amp; Compound Data'!DQ186:DQ235,Exergy!$F$27:$F$76)+Exergy!$G$6*Exergy!$G$5*SUMPRODUCT('I. Stream &amp; Compound Data'!DQ186:DQ235,AR108:AR157))</f>
        <v/>
      </c>
      <c r="AS158" s="1560" t="str">
        <f>IF(AS106="","",SUMPRODUCT('I. Stream &amp; Compound Data'!DT186:DT235,Exergy!$F$27:$F$76)+Exergy!$G$6*Exergy!$G$5*SUMPRODUCT('I. Stream &amp; Compound Data'!DT186:DT235,AS108:AS157))</f>
        <v/>
      </c>
      <c r="AT158" s="183" t="str">
        <f>IF(AT106="","",SUMPRODUCT('I. Stream &amp; Compound Data'!DW186:DW235,Exergy!$F$27:$F$76)+Exergy!$G$6*Exergy!$G$5*SUMPRODUCT('I. Stream &amp; Compound Data'!DW186:DW235,AT108:AT157))</f>
        <v/>
      </c>
      <c r="AU158" s="588"/>
    </row>
    <row r="159" ht="21" customHeight="true" x14ac:dyDescent="0.3">
      <c r="C159" s="604"/>
      <c r="D159" s="570"/>
      <c r="E159" s="2172" t="s">
        <v>1141</v>
      </c>
      <c r="F159" s="2173"/>
      <c r="G159" s="202">
        <f t="array" ref="G159:AT159">TRANSPOSE(OUT_Molar_flow_kmol_h)</f>
        <v>67.729286743544378</v>
      </c>
      <c r="H159" s="202">
        <v>67.729705036412582</v>
      </c>
      <c r="I159" s="202" t="str">
        <v/>
      </c>
      <c r="J159" s="202" t="str">
        <v/>
      </c>
      <c r="K159" s="202" t="str">
        <v/>
      </c>
      <c r="L159" s="202" t="e">
        <v>#DIV/0!</v>
      </c>
      <c r="M159" s="202" t="str">
        <v/>
      </c>
      <c r="N159" s="202" t="str">
        <v/>
      </c>
      <c r="O159" s="202" t="str">
        <v/>
      </c>
      <c r="P159" s="202" t="str">
        <v/>
      </c>
      <c r="Q159" s="202" t="str">
        <v/>
      </c>
      <c r="R159" s="202" t="str">
        <v/>
      </c>
      <c r="S159" s="202" t="str">
        <v/>
      </c>
      <c r="T159" s="202" t="str">
        <v/>
      </c>
      <c r="U159" s="202" t="str">
        <v/>
      </c>
      <c r="V159" s="202" t="str">
        <v/>
      </c>
      <c r="W159" s="202" t="str">
        <v/>
      </c>
      <c r="X159" s="202" t="str">
        <v/>
      </c>
      <c r="Y159" s="202" t="str">
        <v/>
      </c>
      <c r="Z159" s="202" t="str">
        <v/>
      </c>
      <c r="AA159" s="202" t="str">
        <v/>
      </c>
      <c r="AB159" s="202" t="str">
        <v/>
      </c>
      <c r="AC159" s="202" t="str">
        <v/>
      </c>
      <c r="AD159" s="202" t="str">
        <v/>
      </c>
      <c r="AE159" s="202" t="str">
        <v/>
      </c>
      <c r="AF159" s="202" t="str">
        <v/>
      </c>
      <c r="AG159" s="202" t="str">
        <v/>
      </c>
      <c r="AH159" s="202" t="str">
        <v/>
      </c>
      <c r="AI159" s="202" t="str">
        <v/>
      </c>
      <c r="AJ159" s="202" t="str">
        <v/>
      </c>
      <c r="AK159" s="202" t="str">
        <v/>
      </c>
      <c r="AL159" s="202" t="str">
        <v/>
      </c>
      <c r="AM159" s="202" t="str">
        <v/>
      </c>
      <c r="AN159" s="202" t="str">
        <v/>
      </c>
      <c r="AO159" s="202" t="str">
        <v/>
      </c>
      <c r="AP159" s="202" t="str">
        <v/>
      </c>
      <c r="AQ159" s="202" t="str">
        <v/>
      </c>
      <c r="AR159" s="202" t="str">
        <v/>
      </c>
      <c r="AS159" s="202" t="str">
        <v/>
      </c>
      <c r="AT159" s="262" t="str">
        <v/>
      </c>
      <c r="AU159" s="588"/>
    </row>
    <row r="160" ht="21" customHeight="true" x14ac:dyDescent="0.3">
      <c r="C160" s="604"/>
      <c r="D160" s="570"/>
      <c r="E160" s="2172" t="s">
        <v>1139</v>
      </c>
      <c r="F160" s="2173"/>
      <c r="G160" s="1569">
        <f>IF(G106="","",G158*G159)</f>
        <v>-86.688762752977752</v>
      </c>
      <c r="H160" s="1569">
        <f t="shared" ref="H160:P160" si="24">IF(H106="","",H158*H159)</f>
        <v>1345.789239073518</v>
      </c>
      <c r="I160" s="1569" t="str">
        <f t="shared" si="24"/>
        <v/>
      </c>
      <c r="J160" s="1569" t="str">
        <f t="shared" si="24"/>
        <v/>
      </c>
      <c r="K160" s="1569" t="str">
        <f t="shared" si="24"/>
        <v/>
      </c>
      <c r="L160" s="1569" t="e">
        <f t="shared" si="24"/>
        <v>#DIV/0!</v>
      </c>
      <c r="M160" s="1569" t="str">
        <f t="shared" si="24"/>
        <v/>
      </c>
      <c r="N160" s="1569" t="str">
        <f t="shared" si="24"/>
        <v/>
      </c>
      <c r="O160" s="1569" t="str">
        <f t="shared" si="24"/>
        <v/>
      </c>
      <c r="P160" s="1569" t="str">
        <f t="shared" si="24"/>
        <v/>
      </c>
      <c r="Q160" s="1569" t="str">
        <f t="shared" ref="Q160:AT160" si="25">IF(Q106="","",Q158*Q159)</f>
        <v/>
      </c>
      <c r="R160" s="1569" t="str">
        <f t="shared" si="25"/>
        <v/>
      </c>
      <c r="S160" s="1569" t="str">
        <f t="shared" si="25"/>
        <v/>
      </c>
      <c r="T160" s="1569" t="str">
        <f t="shared" si="25"/>
        <v/>
      </c>
      <c r="U160" s="1569" t="str">
        <f t="shared" si="25"/>
        <v/>
      </c>
      <c r="V160" s="1569" t="str">
        <f t="shared" si="25"/>
        <v/>
      </c>
      <c r="W160" s="1569" t="str">
        <f t="shared" si="25"/>
        <v/>
      </c>
      <c r="X160" s="1569" t="str">
        <f t="shared" si="25"/>
        <v/>
      </c>
      <c r="Y160" s="1569" t="str">
        <f t="shared" si="25"/>
        <v/>
      </c>
      <c r="Z160" s="1569" t="str">
        <f t="shared" si="25"/>
        <v/>
      </c>
      <c r="AA160" s="1569" t="str">
        <f t="shared" si="25"/>
        <v/>
      </c>
      <c r="AB160" s="1569" t="str">
        <f t="shared" si="25"/>
        <v/>
      </c>
      <c r="AC160" s="1569" t="str">
        <f t="shared" si="25"/>
        <v/>
      </c>
      <c r="AD160" s="1569" t="str">
        <f t="shared" si="25"/>
        <v/>
      </c>
      <c r="AE160" s="1569" t="str">
        <f t="shared" si="25"/>
        <v/>
      </c>
      <c r="AF160" s="1569" t="str">
        <f t="shared" si="25"/>
        <v/>
      </c>
      <c r="AG160" s="1569" t="str">
        <f t="shared" si="25"/>
        <v/>
      </c>
      <c r="AH160" s="1569" t="str">
        <f t="shared" si="25"/>
        <v/>
      </c>
      <c r="AI160" s="1569" t="str">
        <f t="shared" si="25"/>
        <v/>
      </c>
      <c r="AJ160" s="1569" t="str">
        <f t="shared" si="25"/>
        <v/>
      </c>
      <c r="AK160" s="1569" t="str">
        <f t="shared" si="25"/>
        <v/>
      </c>
      <c r="AL160" s="1569" t="str">
        <f t="shared" si="25"/>
        <v/>
      </c>
      <c r="AM160" s="1569" t="str">
        <f t="shared" si="25"/>
        <v/>
      </c>
      <c r="AN160" s="1569" t="str">
        <f t="shared" si="25"/>
        <v/>
      </c>
      <c r="AO160" s="1569" t="str">
        <f t="shared" si="25"/>
        <v/>
      </c>
      <c r="AP160" s="1569" t="str">
        <f t="shared" si="25"/>
        <v/>
      </c>
      <c r="AQ160" s="1569" t="str">
        <f t="shared" si="25"/>
        <v/>
      </c>
      <c r="AR160" s="1569" t="str">
        <f t="shared" si="25"/>
        <v/>
      </c>
      <c r="AS160" s="1569" t="str">
        <f t="shared" si="25"/>
        <v/>
      </c>
      <c r="AT160" s="1570" t="str">
        <f t="shared" si="25"/>
        <v/>
      </c>
      <c r="AU160" s="588"/>
    </row>
    <row r="161" ht="21" customHeight="true" x14ac:dyDescent="0.3">
      <c r="C161" s="604"/>
      <c r="D161" s="570"/>
      <c r="E161" s="2172" t="s">
        <v>1865</v>
      </c>
      <c r="F161" s="2173"/>
      <c r="G161" s="202">
        <f t="shared" ref="G161:P161" si="26">G100</f>
        <v>-4864663.7418927578</v>
      </c>
      <c r="H161" s="202">
        <f t="shared" si="26"/>
        <v>-373168.58772620943</v>
      </c>
      <c r="I161" s="202" t="str">
        <f t="shared" si="26"/>
        <v/>
      </c>
      <c r="J161" s="202" t="str">
        <f t="shared" si="26"/>
        <v/>
      </c>
      <c r="K161" s="202" t="str">
        <f t="shared" si="26"/>
        <v/>
      </c>
      <c r="L161" s="202">
        <f t="shared" si="26"/>
        <v>0</v>
      </c>
      <c r="M161" s="202" t="str">
        <f t="shared" si="26"/>
        <v/>
      </c>
      <c r="N161" s="202" t="str">
        <f t="shared" si="26"/>
        <v/>
      </c>
      <c r="O161" s="202" t="str">
        <f t="shared" si="26"/>
        <v/>
      </c>
      <c r="P161" s="202" t="str">
        <f t="shared" si="26"/>
        <v/>
      </c>
      <c r="Q161" s="202" t="str">
        <f t="shared" ref="Q161:AT161" si="27">Q100</f>
        <v/>
      </c>
      <c r="R161" s="202" t="str">
        <f t="shared" si="27"/>
        <v/>
      </c>
      <c r="S161" s="202" t="str">
        <f t="shared" si="27"/>
        <v/>
      </c>
      <c r="T161" s="202" t="str">
        <f t="shared" si="27"/>
        <v/>
      </c>
      <c r="U161" s="202" t="str">
        <f t="shared" si="27"/>
        <v/>
      </c>
      <c r="V161" s="202" t="str">
        <f t="shared" si="27"/>
        <v/>
      </c>
      <c r="W161" s="202" t="str">
        <f t="shared" si="27"/>
        <v/>
      </c>
      <c r="X161" s="202" t="str">
        <f t="shared" si="27"/>
        <v/>
      </c>
      <c r="Y161" s="202" t="str">
        <f t="shared" si="27"/>
        <v/>
      </c>
      <c r="Z161" s="202" t="str">
        <f t="shared" si="27"/>
        <v/>
      </c>
      <c r="AA161" s="202" t="str">
        <f t="shared" si="27"/>
        <v/>
      </c>
      <c r="AB161" s="202" t="str">
        <f t="shared" si="27"/>
        <v/>
      </c>
      <c r="AC161" s="202" t="str">
        <f t="shared" si="27"/>
        <v/>
      </c>
      <c r="AD161" s="202" t="str">
        <f t="shared" si="27"/>
        <v/>
      </c>
      <c r="AE161" s="202" t="str">
        <f t="shared" si="27"/>
        <v/>
      </c>
      <c r="AF161" s="202" t="str">
        <f t="shared" si="27"/>
        <v/>
      </c>
      <c r="AG161" s="202" t="str">
        <f t="shared" si="27"/>
        <v/>
      </c>
      <c r="AH161" s="202" t="str">
        <f t="shared" si="27"/>
        <v/>
      </c>
      <c r="AI161" s="202" t="str">
        <f t="shared" si="27"/>
        <v/>
      </c>
      <c r="AJ161" s="202" t="str">
        <f t="shared" si="27"/>
        <v/>
      </c>
      <c r="AK161" s="202" t="str">
        <f t="shared" si="27"/>
        <v/>
      </c>
      <c r="AL161" s="202" t="str">
        <f t="shared" si="27"/>
        <v/>
      </c>
      <c r="AM161" s="202" t="str">
        <f t="shared" si="27"/>
        <v/>
      </c>
      <c r="AN161" s="202" t="str">
        <f t="shared" si="27"/>
        <v/>
      </c>
      <c r="AO161" s="202" t="str">
        <f t="shared" si="27"/>
        <v/>
      </c>
      <c r="AP161" s="202" t="str">
        <f t="shared" si="27"/>
        <v/>
      </c>
      <c r="AQ161" s="202" t="str">
        <f t="shared" si="27"/>
        <v/>
      </c>
      <c r="AR161" s="202" t="str">
        <f t="shared" si="27"/>
        <v/>
      </c>
      <c r="AS161" s="202" t="str">
        <f t="shared" si="27"/>
        <v/>
      </c>
      <c r="AT161" s="262" t="str">
        <f t="shared" si="27"/>
        <v/>
      </c>
      <c r="AU161" s="588"/>
    </row>
    <row r="162" ht="21" customHeight="true" x14ac:dyDescent="0.3">
      <c r="C162" s="604"/>
      <c r="D162" s="570"/>
      <c r="E162" s="2172" t="s">
        <v>1866</v>
      </c>
      <c r="F162" s="2173"/>
      <c r="G162" s="202">
        <f t="shared" ref="G162:P162" si="28">G101</f>
        <v>-3479.2220206680036</v>
      </c>
      <c r="H162" s="202">
        <f t="shared" si="28"/>
        <v>-14479.7373322883</v>
      </c>
      <c r="I162" s="202" t="str">
        <f t="shared" si="28"/>
        <v/>
      </c>
      <c r="J162" s="202" t="str">
        <f t="shared" si="28"/>
        <v/>
      </c>
      <c r="K162" s="202" t="str">
        <f t="shared" si="28"/>
        <v/>
      </c>
      <c r="L162" s="202">
        <f t="shared" si="28"/>
        <v>0</v>
      </c>
      <c r="M162" s="202" t="str">
        <f t="shared" si="28"/>
        <v/>
      </c>
      <c r="N162" s="202" t="str">
        <f t="shared" si="28"/>
        <v/>
      </c>
      <c r="O162" s="202" t="str">
        <f t="shared" si="28"/>
        <v/>
      </c>
      <c r="P162" s="202" t="str">
        <f t="shared" si="28"/>
        <v/>
      </c>
      <c r="Q162" s="202" t="str">
        <f t="shared" ref="Q162:AS162" si="29">Q101</f>
        <v/>
      </c>
      <c r="R162" s="202" t="str">
        <f t="shared" si="29"/>
        <v/>
      </c>
      <c r="S162" s="202" t="str">
        <f t="shared" si="29"/>
        <v/>
      </c>
      <c r="T162" s="202" t="str">
        <f t="shared" si="29"/>
        <v/>
      </c>
      <c r="U162" s="202" t="str">
        <f t="shared" si="29"/>
        <v/>
      </c>
      <c r="V162" s="202" t="str">
        <f t="shared" si="29"/>
        <v/>
      </c>
      <c r="W162" s="202" t="str">
        <f t="shared" si="29"/>
        <v/>
      </c>
      <c r="X162" s="202" t="str">
        <f t="shared" si="29"/>
        <v/>
      </c>
      <c r="Y162" s="202" t="str">
        <f t="shared" si="29"/>
        <v/>
      </c>
      <c r="Z162" s="202" t="str">
        <f t="shared" si="29"/>
        <v/>
      </c>
      <c r="AA162" s="202" t="str">
        <f t="shared" si="29"/>
        <v/>
      </c>
      <c r="AB162" s="202" t="str">
        <f t="shared" si="29"/>
        <v/>
      </c>
      <c r="AC162" s="202" t="str">
        <f t="shared" si="29"/>
        <v/>
      </c>
      <c r="AD162" s="202" t="str">
        <f t="shared" si="29"/>
        <v/>
      </c>
      <c r="AE162" s="202" t="str">
        <f t="shared" si="29"/>
        <v/>
      </c>
      <c r="AF162" s="202" t="str">
        <f t="shared" si="29"/>
        <v/>
      </c>
      <c r="AG162" s="202" t="str">
        <f t="shared" si="29"/>
        <v/>
      </c>
      <c r="AH162" s="202" t="str">
        <f t="shared" si="29"/>
        <v/>
      </c>
      <c r="AI162" s="202" t="str">
        <f t="shared" si="29"/>
        <v/>
      </c>
      <c r="AJ162" s="202" t="str">
        <f t="shared" si="29"/>
        <v/>
      </c>
      <c r="AK162" s="202" t="str">
        <f t="shared" si="29"/>
        <v/>
      </c>
      <c r="AL162" s="202" t="str">
        <f t="shared" si="29"/>
        <v/>
      </c>
      <c r="AM162" s="202" t="str">
        <f t="shared" si="29"/>
        <v/>
      </c>
      <c r="AN162" s="202" t="str">
        <f t="shared" si="29"/>
        <v/>
      </c>
      <c r="AO162" s="202" t="str">
        <f t="shared" si="29"/>
        <v/>
      </c>
      <c r="AP162" s="202" t="str">
        <f t="shared" si="29"/>
        <v/>
      </c>
      <c r="AQ162" s="202" t="str">
        <f t="shared" si="29"/>
        <v/>
      </c>
      <c r="AR162" s="202" t="str">
        <f t="shared" si="29"/>
        <v/>
      </c>
      <c r="AS162" s="202" t="str">
        <f t="shared" si="29"/>
        <v/>
      </c>
      <c r="AT162" s="262" t="str">
        <f>AT101</f>
        <v/>
      </c>
      <c r="AU162" s="588"/>
    </row>
    <row r="163" ht="21" customHeight="true" x14ac:dyDescent="0.3">
      <c r="C163" s="604"/>
      <c r="D163" s="570"/>
      <c r="E163" s="2172" t="s">
        <v>1138</v>
      </c>
      <c r="F163" s="2173"/>
      <c r="G163" s="202">
        <f t="shared" ref="G163:P163" si="30">IF(G106="","",G161-$G$5*G162)</f>
        <v>-3827855.579733693</v>
      </c>
      <c r="H163" s="202">
        <f t="shared" si="30"/>
        <v>3941793.1372957043</v>
      </c>
      <c r="I163" s="202" t="str">
        <f t="shared" si="30"/>
        <v/>
      </c>
      <c r="J163" s="202" t="str">
        <f t="shared" si="30"/>
        <v/>
      </c>
      <c r="K163" s="202" t="str">
        <f t="shared" si="30"/>
        <v/>
      </c>
      <c r="L163" s="202">
        <f t="shared" si="30"/>
        <v>0</v>
      </c>
      <c r="M163" s="202" t="str">
        <f t="shared" si="30"/>
        <v/>
      </c>
      <c r="N163" s="202" t="str">
        <f t="shared" si="30"/>
        <v/>
      </c>
      <c r="O163" s="202" t="str">
        <f t="shared" si="30"/>
        <v/>
      </c>
      <c r="P163" s="202" t="str">
        <f t="shared" si="30"/>
        <v/>
      </c>
      <c r="Q163" s="202" t="str">
        <f t="shared" ref="Q163:AT163" si="31">IF(Q106="","",Q161-$G$5*Q162)</f>
        <v/>
      </c>
      <c r="R163" s="202" t="str">
        <f t="shared" si="31"/>
        <v/>
      </c>
      <c r="S163" s="202" t="str">
        <f t="shared" si="31"/>
        <v/>
      </c>
      <c r="T163" s="202" t="str">
        <f t="shared" si="31"/>
        <v/>
      </c>
      <c r="U163" s="202" t="str">
        <f t="shared" si="31"/>
        <v/>
      </c>
      <c r="V163" s="202" t="str">
        <f t="shared" si="31"/>
        <v/>
      </c>
      <c r="W163" s="202" t="str">
        <f t="shared" si="31"/>
        <v/>
      </c>
      <c r="X163" s="202" t="str">
        <f t="shared" si="31"/>
        <v/>
      </c>
      <c r="Y163" s="202" t="str">
        <f t="shared" si="31"/>
        <v/>
      </c>
      <c r="Z163" s="202" t="str">
        <f t="shared" si="31"/>
        <v/>
      </c>
      <c r="AA163" s="202" t="str">
        <f t="shared" si="31"/>
        <v/>
      </c>
      <c r="AB163" s="202" t="str">
        <f t="shared" si="31"/>
        <v/>
      </c>
      <c r="AC163" s="202" t="str">
        <f t="shared" si="31"/>
        <v/>
      </c>
      <c r="AD163" s="202" t="str">
        <f t="shared" si="31"/>
        <v/>
      </c>
      <c r="AE163" s="202" t="str">
        <f t="shared" si="31"/>
        <v/>
      </c>
      <c r="AF163" s="202" t="str">
        <f t="shared" si="31"/>
        <v/>
      </c>
      <c r="AG163" s="202" t="str">
        <f t="shared" si="31"/>
        <v/>
      </c>
      <c r="AH163" s="202" t="str">
        <f t="shared" si="31"/>
        <v/>
      </c>
      <c r="AI163" s="202" t="str">
        <f t="shared" si="31"/>
        <v/>
      </c>
      <c r="AJ163" s="202" t="str">
        <f t="shared" si="31"/>
        <v/>
      </c>
      <c r="AK163" s="202" t="str">
        <f t="shared" si="31"/>
        <v/>
      </c>
      <c r="AL163" s="202" t="str">
        <f t="shared" si="31"/>
        <v/>
      </c>
      <c r="AM163" s="202" t="str">
        <f t="shared" si="31"/>
        <v/>
      </c>
      <c r="AN163" s="202" t="str">
        <f t="shared" si="31"/>
        <v/>
      </c>
      <c r="AO163" s="202" t="str">
        <f t="shared" si="31"/>
        <v/>
      </c>
      <c r="AP163" s="202" t="str">
        <f t="shared" si="31"/>
        <v/>
      </c>
      <c r="AQ163" s="202" t="str">
        <f t="shared" si="31"/>
        <v/>
      </c>
      <c r="AR163" s="202" t="str">
        <f t="shared" si="31"/>
        <v/>
      </c>
      <c r="AS163" s="202" t="str">
        <f t="shared" si="31"/>
        <v/>
      </c>
      <c r="AT163" s="262" t="str">
        <f t="shared" si="31"/>
        <v/>
      </c>
      <c r="AU163" s="588"/>
    </row>
    <row r="164" ht="21" customHeight="true" x14ac:dyDescent="0.25">
      <c r="C164" s="597"/>
      <c r="D164" s="570"/>
      <c r="E164" s="2172" t="s">
        <v>1142</v>
      </c>
      <c r="F164" s="2173"/>
      <c r="G164" s="202">
        <f>IF(G106="","",G160+G163)</f>
        <v>-3827942.2684964458</v>
      </c>
      <c r="H164" s="202">
        <f t="shared" ref="H164:P164" si="32">IF(H106="","",H160+H163)</f>
        <v>3943138.926534778</v>
      </c>
      <c r="I164" s="202" t="str">
        <f t="shared" si="32"/>
        <v/>
      </c>
      <c r="J164" s="202" t="str">
        <f t="shared" si="32"/>
        <v/>
      </c>
      <c r="K164" s="202" t="str">
        <f t="shared" si="32"/>
        <v/>
      </c>
      <c r="L164" s="202" t="e">
        <f t="shared" si="32"/>
        <v>#DIV/0!</v>
      </c>
      <c r="M164" s="202" t="str">
        <f t="shared" si="32"/>
        <v/>
      </c>
      <c r="N164" s="202" t="str">
        <f t="shared" si="32"/>
        <v/>
      </c>
      <c r="O164" s="202" t="str">
        <f t="shared" si="32"/>
        <v/>
      </c>
      <c r="P164" s="202" t="str">
        <f t="shared" si="32"/>
        <v/>
      </c>
      <c r="Q164" s="202" t="str">
        <f t="shared" ref="Q164:AT164" si="33">IF(Q106="","",Q160+Q163)</f>
        <v/>
      </c>
      <c r="R164" s="202" t="str">
        <f t="shared" si="33"/>
        <v/>
      </c>
      <c r="S164" s="202" t="str">
        <f t="shared" si="33"/>
        <v/>
      </c>
      <c r="T164" s="202" t="str">
        <f t="shared" si="33"/>
        <v/>
      </c>
      <c r="U164" s="202" t="str">
        <f t="shared" si="33"/>
        <v/>
      </c>
      <c r="V164" s="202" t="str">
        <f t="shared" si="33"/>
        <v/>
      </c>
      <c r="W164" s="202" t="str">
        <f t="shared" si="33"/>
        <v/>
      </c>
      <c r="X164" s="202" t="str">
        <f t="shared" si="33"/>
        <v/>
      </c>
      <c r="Y164" s="202" t="str">
        <f t="shared" si="33"/>
        <v/>
      </c>
      <c r="Z164" s="202" t="str">
        <f t="shared" si="33"/>
        <v/>
      </c>
      <c r="AA164" s="202" t="str">
        <f t="shared" si="33"/>
        <v/>
      </c>
      <c r="AB164" s="202" t="str">
        <f t="shared" si="33"/>
        <v/>
      </c>
      <c r="AC164" s="202" t="str">
        <f t="shared" si="33"/>
        <v/>
      </c>
      <c r="AD164" s="202" t="str">
        <f t="shared" si="33"/>
        <v/>
      </c>
      <c r="AE164" s="202" t="str">
        <f t="shared" si="33"/>
        <v/>
      </c>
      <c r="AF164" s="202" t="str">
        <f t="shared" si="33"/>
        <v/>
      </c>
      <c r="AG164" s="202" t="str">
        <f t="shared" si="33"/>
        <v/>
      </c>
      <c r="AH164" s="202" t="str">
        <f t="shared" si="33"/>
        <v/>
      </c>
      <c r="AI164" s="202" t="str">
        <f t="shared" si="33"/>
        <v/>
      </c>
      <c r="AJ164" s="202" t="str">
        <f t="shared" si="33"/>
        <v/>
      </c>
      <c r="AK164" s="202" t="str">
        <f t="shared" si="33"/>
        <v/>
      </c>
      <c r="AL164" s="202" t="str">
        <f t="shared" si="33"/>
        <v/>
      </c>
      <c r="AM164" s="202" t="str">
        <f t="shared" si="33"/>
        <v/>
      </c>
      <c r="AN164" s="202" t="str">
        <f t="shared" si="33"/>
        <v/>
      </c>
      <c r="AO164" s="202" t="str">
        <f t="shared" si="33"/>
        <v/>
      </c>
      <c r="AP164" s="202" t="str">
        <f t="shared" si="33"/>
        <v/>
      </c>
      <c r="AQ164" s="202" t="str">
        <f t="shared" si="33"/>
        <v/>
      </c>
      <c r="AR164" s="202" t="str">
        <f t="shared" si="33"/>
        <v/>
      </c>
      <c r="AS164" s="202" t="str">
        <f t="shared" si="33"/>
        <v/>
      </c>
      <c r="AT164" s="262" t="str">
        <f t="shared" si="33"/>
        <v/>
      </c>
      <c r="AU164" s="588"/>
    </row>
    <row r="165" ht="21" customHeight="true" x14ac:dyDescent="0.25">
      <c r="C165" s="597"/>
      <c r="D165" s="570"/>
      <c r="E165" s="2172" t="s">
        <v>1143</v>
      </c>
      <c r="F165" s="2173"/>
      <c r="G165" s="202">
        <f>IF(G106="","",G164/3600)</f>
        <v>-1063.3172968045683</v>
      </c>
      <c r="H165" s="202">
        <f t="shared" ref="H165:P165" si="34">IF(H106="","",H164/3600)</f>
        <v>1095.3163684818828</v>
      </c>
      <c r="I165" s="202" t="str">
        <f t="shared" si="34"/>
        <v/>
      </c>
      <c r="J165" s="202" t="str">
        <f t="shared" si="34"/>
        <v/>
      </c>
      <c r="K165" s="202" t="str">
        <f t="shared" si="34"/>
        <v/>
      </c>
      <c r="L165" s="202" t="e">
        <f t="shared" si="34"/>
        <v>#DIV/0!</v>
      </c>
      <c r="M165" s="202" t="str">
        <f t="shared" si="34"/>
        <v/>
      </c>
      <c r="N165" s="202" t="str">
        <f t="shared" si="34"/>
        <v/>
      </c>
      <c r="O165" s="202" t="str">
        <f t="shared" si="34"/>
        <v/>
      </c>
      <c r="P165" s="202" t="str">
        <f t="shared" si="34"/>
        <v/>
      </c>
      <c r="Q165" s="202" t="str">
        <f t="shared" ref="Q165:AT165" si="35">IF(Q106="","",Q164/3600)</f>
        <v/>
      </c>
      <c r="R165" s="202" t="str">
        <f t="shared" si="35"/>
        <v/>
      </c>
      <c r="S165" s="202" t="str">
        <f t="shared" si="35"/>
        <v/>
      </c>
      <c r="T165" s="202" t="str">
        <f t="shared" si="35"/>
        <v/>
      </c>
      <c r="U165" s="202" t="str">
        <f t="shared" si="35"/>
        <v/>
      </c>
      <c r="V165" s="202" t="str">
        <f t="shared" si="35"/>
        <v/>
      </c>
      <c r="W165" s="202" t="str">
        <f t="shared" si="35"/>
        <v/>
      </c>
      <c r="X165" s="202" t="str">
        <f t="shared" si="35"/>
        <v/>
      </c>
      <c r="Y165" s="202" t="str">
        <f t="shared" si="35"/>
        <v/>
      </c>
      <c r="Z165" s="202" t="str">
        <f t="shared" si="35"/>
        <v/>
      </c>
      <c r="AA165" s="202" t="str">
        <f t="shared" si="35"/>
        <v/>
      </c>
      <c r="AB165" s="202" t="str">
        <f t="shared" si="35"/>
        <v/>
      </c>
      <c r="AC165" s="202" t="str">
        <f t="shared" si="35"/>
        <v/>
      </c>
      <c r="AD165" s="202" t="str">
        <f t="shared" si="35"/>
        <v/>
      </c>
      <c r="AE165" s="202" t="str">
        <f t="shared" si="35"/>
        <v/>
      </c>
      <c r="AF165" s="202" t="str">
        <f t="shared" si="35"/>
        <v/>
      </c>
      <c r="AG165" s="202" t="str">
        <f t="shared" si="35"/>
        <v/>
      </c>
      <c r="AH165" s="202" t="str">
        <f t="shared" si="35"/>
        <v/>
      </c>
      <c r="AI165" s="202" t="str">
        <f t="shared" si="35"/>
        <v/>
      </c>
      <c r="AJ165" s="202" t="str">
        <f t="shared" si="35"/>
        <v/>
      </c>
      <c r="AK165" s="202" t="str">
        <f t="shared" si="35"/>
        <v/>
      </c>
      <c r="AL165" s="202" t="str">
        <f t="shared" si="35"/>
        <v/>
      </c>
      <c r="AM165" s="202" t="str">
        <f t="shared" si="35"/>
        <v/>
      </c>
      <c r="AN165" s="202" t="str">
        <f t="shared" si="35"/>
        <v/>
      </c>
      <c r="AO165" s="202" t="str">
        <f t="shared" si="35"/>
        <v/>
      </c>
      <c r="AP165" s="202" t="str">
        <f t="shared" si="35"/>
        <v/>
      </c>
      <c r="AQ165" s="202" t="str">
        <f t="shared" si="35"/>
        <v/>
      </c>
      <c r="AR165" s="202" t="str">
        <f t="shared" si="35"/>
        <v/>
      </c>
      <c r="AS165" s="202" t="str">
        <f t="shared" si="35"/>
        <v/>
      </c>
      <c r="AT165" s="262" t="str">
        <f t="shared" si="35"/>
        <v/>
      </c>
      <c r="AU165" s="588"/>
    </row>
    <row r="166" ht="21" customHeight="true" thickBot="true" x14ac:dyDescent="0.3">
      <c r="C166" s="597"/>
      <c r="D166" s="570"/>
      <c r="E166" s="2168" t="s">
        <v>1481</v>
      </c>
      <c r="F166" s="2169"/>
      <c r="G166" s="263">
        <f t="array" ref="G166:AT166">TRANSPOSE(OUT_Product_1__waste_0)</f>
        <v>1</v>
      </c>
      <c r="H166" s="263">
        <v>0</v>
      </c>
      <c r="I166" s="263" t="str">
        <v/>
      </c>
      <c r="J166" s="263" t="str">
        <v/>
      </c>
      <c r="K166" s="263" t="str">
        <v/>
      </c>
      <c r="L166" s="263">
        <v>0</v>
      </c>
      <c r="M166" s="263" t="str">
        <v/>
      </c>
      <c r="N166" s="263" t="str">
        <v/>
      </c>
      <c r="O166" s="263" t="str">
        <v/>
      </c>
      <c r="P166" s="263" t="str">
        <v/>
      </c>
      <c r="Q166" s="263" t="str">
        <v/>
      </c>
      <c r="R166" s="263" t="str">
        <v/>
      </c>
      <c r="S166" s="263" t="str">
        <v/>
      </c>
      <c r="T166" s="263" t="str">
        <v/>
      </c>
      <c r="U166" s="263" t="str">
        <v/>
      </c>
      <c r="V166" s="263" t="str">
        <v/>
      </c>
      <c r="W166" s="263" t="str">
        <v/>
      </c>
      <c r="X166" s="263" t="str">
        <v/>
      </c>
      <c r="Y166" s="263" t="str">
        <v/>
      </c>
      <c r="Z166" s="263" t="str">
        <v/>
      </c>
      <c r="AA166" s="263" t="str">
        <v/>
      </c>
      <c r="AB166" s="263" t="str">
        <v/>
      </c>
      <c r="AC166" s="263" t="str">
        <v/>
      </c>
      <c r="AD166" s="263" t="str">
        <v/>
      </c>
      <c r="AE166" s="263" t="str">
        <v/>
      </c>
      <c r="AF166" s="263" t="str">
        <v/>
      </c>
      <c r="AG166" s="263" t="str">
        <v/>
      </c>
      <c r="AH166" s="263" t="str">
        <v/>
      </c>
      <c r="AI166" s="263" t="str">
        <v/>
      </c>
      <c r="AJ166" s="263" t="str">
        <v/>
      </c>
      <c r="AK166" s="263" t="str">
        <v/>
      </c>
      <c r="AL166" s="263" t="str">
        <v/>
      </c>
      <c r="AM166" s="263" t="str">
        <v/>
      </c>
      <c r="AN166" s="263" t="str">
        <v/>
      </c>
      <c r="AO166" s="263" t="str">
        <v/>
      </c>
      <c r="AP166" s="263" t="str">
        <v/>
      </c>
      <c r="AQ166" s="263" t="str">
        <v/>
      </c>
      <c r="AR166" s="263" t="str">
        <v/>
      </c>
      <c r="AS166" s="263" t="str">
        <v/>
      </c>
      <c r="AT166" s="1227" t="str">
        <v/>
      </c>
      <c r="AU166" s="588"/>
    </row>
    <row r="167" ht="21" customHeight="true" x14ac:dyDescent="0.25">
      <c r="C167" s="597"/>
      <c r="D167" s="570"/>
      <c r="E167" s="570"/>
      <c r="F167" s="570"/>
      <c r="G167" s="570"/>
      <c r="H167" s="570"/>
      <c r="I167" s="570"/>
      <c r="J167" s="570"/>
      <c r="K167" s="570"/>
      <c r="L167" s="570"/>
      <c r="M167" s="570"/>
      <c r="N167" s="570"/>
      <c r="O167" s="570"/>
      <c r="P167" s="570"/>
      <c r="Q167" s="570"/>
      <c r="R167" s="570"/>
      <c r="S167" s="570"/>
      <c r="T167" s="570"/>
      <c r="U167" s="570"/>
      <c r="V167" s="570"/>
      <c r="W167" s="570"/>
      <c r="X167" s="570"/>
      <c r="Y167" s="570"/>
      <c r="Z167" s="570"/>
      <c r="AA167" s="570"/>
      <c r="AB167" s="570"/>
      <c r="AC167" s="570"/>
      <c r="AD167" s="570"/>
      <c r="AE167" s="570"/>
      <c r="AF167" s="570"/>
      <c r="AG167" s="570"/>
      <c r="AH167" s="570"/>
      <c r="AI167" s="570"/>
      <c r="AJ167" s="570"/>
      <c r="AK167" s="570"/>
      <c r="AL167" s="570"/>
      <c r="AM167" s="570"/>
      <c r="AN167" s="570"/>
      <c r="AO167" s="570"/>
      <c r="AP167" s="570"/>
      <c r="AQ167" s="570"/>
      <c r="AR167" s="570"/>
      <c r="AS167" s="570"/>
      <c r="AT167" s="570"/>
      <c r="AU167" s="588"/>
    </row>
    <row r="168" ht="21" customHeight="true" x14ac:dyDescent="0.25">
      <c r="C168" s="597"/>
      <c r="D168" s="570"/>
      <c r="E168" s="570"/>
      <c r="F168" s="570"/>
      <c r="G168" s="570"/>
      <c r="H168" s="570"/>
      <c r="I168" s="570"/>
      <c r="J168" s="570"/>
      <c r="K168" s="570"/>
      <c r="L168" s="570"/>
      <c r="M168" s="570"/>
      <c r="N168" s="570"/>
      <c r="O168" s="570"/>
      <c r="P168" s="570"/>
      <c r="Q168" s="570"/>
      <c r="R168" s="570"/>
      <c r="S168" s="570"/>
      <c r="T168" s="570"/>
      <c r="U168" s="570"/>
      <c r="V168" s="570"/>
      <c r="W168" s="570"/>
      <c r="X168" s="570"/>
      <c r="Y168" s="570"/>
      <c r="Z168" s="570"/>
      <c r="AA168" s="570"/>
      <c r="AB168" s="570"/>
      <c r="AC168" s="570"/>
      <c r="AD168" s="570"/>
      <c r="AE168" s="570"/>
      <c r="AF168" s="570"/>
      <c r="AG168" s="570"/>
      <c r="AH168" s="570"/>
      <c r="AI168" s="570"/>
      <c r="AJ168" s="570"/>
      <c r="AK168" s="570"/>
      <c r="AL168" s="570"/>
      <c r="AM168" s="570"/>
      <c r="AN168" s="570"/>
      <c r="AO168" s="570"/>
      <c r="AP168" s="570"/>
      <c r="AQ168" s="570"/>
      <c r="AR168" s="570"/>
      <c r="AS168" s="570"/>
      <c r="AT168" s="570"/>
      <c r="AU168" s="588"/>
    </row>
    <row r="169" x14ac:dyDescent="0.25">
      <c r="C169" s="597"/>
      <c r="D169" s="570"/>
      <c r="E169" s="570"/>
      <c r="F169" s="570"/>
      <c r="G169" s="570"/>
      <c r="H169" s="570"/>
      <c r="I169" s="570"/>
      <c r="J169" s="570"/>
      <c r="K169" s="570"/>
      <c r="L169" s="570"/>
      <c r="M169" s="570"/>
      <c r="N169" s="570"/>
      <c r="O169" s="570"/>
      <c r="P169" s="570"/>
      <c r="Q169" s="570"/>
      <c r="R169" s="570"/>
      <c r="S169" s="570"/>
      <c r="T169" s="570"/>
      <c r="U169" s="570"/>
      <c r="V169" s="570"/>
      <c r="W169" s="570"/>
      <c r="X169" s="570"/>
      <c r="Y169" s="570"/>
      <c r="Z169" s="570"/>
      <c r="AA169" s="570"/>
      <c r="AB169" s="570"/>
      <c r="AC169" s="570"/>
      <c r="AD169" s="570"/>
      <c r="AE169" s="570"/>
      <c r="AF169" s="570"/>
      <c r="AG169" s="570"/>
      <c r="AH169" s="570"/>
      <c r="AI169" s="570"/>
      <c r="AJ169" s="570"/>
      <c r="AK169" s="570"/>
      <c r="AL169" s="570"/>
      <c r="AM169" s="570"/>
      <c r="AN169" s="570"/>
      <c r="AO169" s="570"/>
      <c r="AP169" s="570"/>
      <c r="AQ169" s="570"/>
      <c r="AR169" s="570"/>
      <c r="AS169" s="570"/>
      <c r="AT169" s="570"/>
      <c r="AU169" s="588"/>
    </row>
    <row r="170" x14ac:dyDescent="0.25">
      <c r="C170" s="597"/>
      <c r="D170" s="570"/>
      <c r="E170" s="570"/>
      <c r="F170" s="570"/>
      <c r="G170" s="570"/>
      <c r="H170" s="570"/>
      <c r="I170" s="570"/>
      <c r="J170" s="570"/>
      <c r="K170" s="570"/>
      <c r="L170" s="570"/>
      <c r="M170" s="570"/>
      <c r="N170" s="570"/>
      <c r="O170" s="570"/>
      <c r="P170" s="570"/>
      <c r="Q170" s="570"/>
      <c r="R170" s="570"/>
      <c r="S170" s="570"/>
      <c r="T170" s="570"/>
      <c r="U170" s="570"/>
      <c r="V170" s="570"/>
      <c r="W170" s="570"/>
      <c r="X170" s="570"/>
      <c r="Y170" s="570"/>
      <c r="Z170" s="570"/>
      <c r="AA170" s="570"/>
      <c r="AB170" s="570"/>
      <c r="AC170" s="570"/>
      <c r="AD170" s="570"/>
      <c r="AE170" s="570"/>
      <c r="AF170" s="570"/>
      <c r="AG170" s="570"/>
      <c r="AH170" s="570"/>
      <c r="AI170" s="570"/>
      <c r="AJ170" s="570"/>
      <c r="AK170" s="570"/>
      <c r="AL170" s="570"/>
      <c r="AM170" s="570"/>
      <c r="AN170" s="570"/>
      <c r="AO170" s="570"/>
      <c r="AP170" s="570"/>
      <c r="AQ170" s="570"/>
      <c r="AR170" s="570"/>
      <c r="AS170" s="570"/>
      <c r="AT170" s="570"/>
      <c r="AU170" s="588"/>
    </row>
    <row r="171" x14ac:dyDescent="0.25">
      <c r="C171" s="597"/>
      <c r="D171" s="570"/>
      <c r="E171" s="570"/>
      <c r="F171" s="570"/>
      <c r="G171" s="202" t="s">
        <v>78</v>
      </c>
      <c r="H171" s="202" t="s">
        <v>96</v>
      </c>
      <c r="I171" s="570"/>
      <c r="J171" s="570"/>
      <c r="K171" s="570"/>
      <c r="L171" s="570"/>
      <c r="M171" s="570"/>
      <c r="N171" s="570"/>
      <c r="O171" s="570"/>
      <c r="P171" s="570"/>
      <c r="Q171" s="570"/>
      <c r="R171" s="570"/>
      <c r="S171" s="570"/>
      <c r="T171" s="570"/>
      <c r="U171" s="570"/>
      <c r="V171" s="570"/>
      <c r="W171" s="570"/>
      <c r="X171" s="570"/>
      <c r="Y171" s="570"/>
      <c r="Z171" s="570"/>
      <c r="AA171" s="570"/>
      <c r="AB171" s="570"/>
      <c r="AC171" s="570"/>
      <c r="AD171" s="570"/>
      <c r="AE171" s="570"/>
      <c r="AF171" s="570"/>
      <c r="AG171" s="570"/>
      <c r="AH171" s="570"/>
      <c r="AI171" s="570"/>
      <c r="AJ171" s="570"/>
      <c r="AK171" s="570"/>
      <c r="AL171" s="570"/>
      <c r="AM171" s="570"/>
      <c r="AN171" s="570"/>
      <c r="AO171" s="570"/>
      <c r="AP171" s="570"/>
      <c r="AQ171" s="570"/>
      <c r="AR171" s="570"/>
      <c r="AS171" s="570"/>
      <c r="AT171" s="570"/>
      <c r="AU171" s="588"/>
    </row>
    <row r="172" ht="28.5" customHeight="true" x14ac:dyDescent="0.25">
      <c r="C172" s="597"/>
      <c r="D172" s="570"/>
      <c r="E172" s="2161" t="s">
        <v>1144</v>
      </c>
      <c r="F172" s="2161"/>
      <c r="G172" s="202">
        <f>SUMIF(G166:AT166,"=1",G164:AT164)</f>
        <v>-3827942.2684964458</v>
      </c>
      <c r="H172" s="202">
        <f>G172/3600</f>
        <v>-1063.3172968045683</v>
      </c>
      <c r="I172" s="570"/>
      <c r="J172" s="570"/>
      <c r="K172" s="570"/>
      <c r="L172" s="570"/>
      <c r="M172" s="570"/>
      <c r="N172" s="570"/>
      <c r="O172" s="570"/>
      <c r="P172" s="570"/>
      <c r="Q172" s="570"/>
      <c r="R172" s="570"/>
      <c r="S172" s="570"/>
      <c r="T172" s="570"/>
      <c r="U172" s="570"/>
      <c r="V172" s="570"/>
      <c r="W172" s="570"/>
      <c r="X172" s="570"/>
      <c r="Y172" s="570"/>
      <c r="Z172" s="570"/>
      <c r="AA172" s="570"/>
      <c r="AB172" s="570"/>
      <c r="AC172" s="570"/>
      <c r="AD172" s="570"/>
      <c r="AE172" s="570"/>
      <c r="AF172" s="570"/>
      <c r="AG172" s="570"/>
      <c r="AH172" s="570"/>
      <c r="AI172" s="570"/>
      <c r="AJ172" s="570"/>
      <c r="AK172" s="570"/>
      <c r="AL172" s="570"/>
      <c r="AM172" s="570"/>
      <c r="AN172" s="570"/>
      <c r="AO172" s="570"/>
      <c r="AP172" s="570"/>
      <c r="AQ172" s="570"/>
      <c r="AR172" s="570"/>
      <c r="AS172" s="570"/>
      <c r="AT172" s="570"/>
      <c r="AU172" s="588"/>
    </row>
    <row r="173" ht="28.5" customHeight="true" x14ac:dyDescent="0.25">
      <c r="C173" s="597"/>
      <c r="D173" s="570"/>
      <c r="E173" s="2161" t="s">
        <v>1160</v>
      </c>
      <c r="F173" s="2161"/>
      <c r="G173" s="202">
        <f>SUMIF(G85:AT85,"=1",G83:AT83)</f>
        <v>0</v>
      </c>
      <c r="H173" s="202">
        <f>G173/3600</f>
        <v>0</v>
      </c>
      <c r="I173" s="570"/>
      <c r="J173" s="570"/>
      <c r="K173" s="570"/>
      <c r="L173" s="570"/>
      <c r="M173" s="570"/>
      <c r="N173" s="570"/>
      <c r="O173" s="570"/>
      <c r="P173" s="570"/>
      <c r="Q173" s="570"/>
      <c r="R173" s="570"/>
      <c r="S173" s="570"/>
      <c r="T173" s="570"/>
      <c r="U173" s="570"/>
      <c r="V173" s="570"/>
      <c r="W173" s="570"/>
      <c r="X173" s="570"/>
      <c r="Y173" s="570"/>
      <c r="Z173" s="570"/>
      <c r="AA173" s="570"/>
      <c r="AB173" s="570"/>
      <c r="AC173" s="570"/>
      <c r="AD173" s="570"/>
      <c r="AE173" s="570"/>
      <c r="AF173" s="570"/>
      <c r="AG173" s="570"/>
      <c r="AH173" s="570"/>
      <c r="AI173" s="570"/>
      <c r="AJ173" s="570"/>
      <c r="AK173" s="570"/>
      <c r="AL173" s="570"/>
      <c r="AM173" s="570"/>
      <c r="AN173" s="570"/>
      <c r="AO173" s="570"/>
      <c r="AP173" s="570"/>
      <c r="AQ173" s="570"/>
      <c r="AR173" s="570"/>
      <c r="AS173" s="570"/>
      <c r="AT173" s="570"/>
      <c r="AU173" s="588"/>
    </row>
    <row r="174" x14ac:dyDescent="0.25">
      <c r="C174" s="597"/>
      <c r="D174" s="570"/>
      <c r="E174" s="2166" t="s">
        <v>1161</v>
      </c>
      <c r="F174" s="2166"/>
      <c r="G174" s="202">
        <f>SUMIF(G85:AT85,"=0",G83:AT83)</f>
        <v>-6222440.3121343981</v>
      </c>
      <c r="H174" s="202">
        <f>G174/3600</f>
        <v>-1728.4556422595551</v>
      </c>
      <c r="I174" s="570"/>
      <c r="J174" s="570"/>
      <c r="K174" s="570"/>
      <c r="L174" s="570"/>
      <c r="M174" s="570"/>
      <c r="N174" s="570"/>
      <c r="O174" s="570"/>
      <c r="P174" s="570"/>
      <c r="Q174" s="570"/>
      <c r="R174" s="570"/>
      <c r="S174" s="570"/>
      <c r="T174" s="570"/>
      <c r="U174" s="570"/>
      <c r="V174" s="570"/>
      <c r="W174" s="570"/>
      <c r="X174" s="570"/>
      <c r="Y174" s="570"/>
      <c r="Z174" s="570"/>
      <c r="AA174" s="570"/>
      <c r="AB174" s="570"/>
      <c r="AC174" s="570"/>
      <c r="AD174" s="570"/>
      <c r="AE174" s="570"/>
      <c r="AF174" s="570"/>
      <c r="AG174" s="570"/>
      <c r="AH174" s="570"/>
      <c r="AI174" s="570"/>
      <c r="AJ174" s="570"/>
      <c r="AK174" s="570"/>
      <c r="AL174" s="570"/>
      <c r="AM174" s="570"/>
      <c r="AN174" s="570"/>
      <c r="AO174" s="570"/>
      <c r="AP174" s="570"/>
      <c r="AQ174" s="570"/>
      <c r="AR174" s="570"/>
      <c r="AS174" s="570"/>
      <c r="AT174" s="570"/>
      <c r="AU174" s="588"/>
    </row>
    <row r="175" x14ac:dyDescent="0.25">
      <c r="C175" s="597"/>
      <c r="D175" s="570"/>
      <c r="E175" s="2161" t="s">
        <v>1154</v>
      </c>
      <c r="F175" s="2161"/>
      <c r="G175" s="202">
        <f>SUM(G83:AT83)</f>
        <v>-6222440.3121343981</v>
      </c>
      <c r="H175" s="202">
        <f>G175/3600</f>
        <v>-1728.4556422595551</v>
      </c>
      <c r="I175" s="570"/>
      <c r="J175" s="570"/>
      <c r="K175" s="570"/>
      <c r="L175" s="570"/>
      <c r="M175" s="570"/>
      <c r="N175" s="570"/>
      <c r="O175" s="570"/>
      <c r="P175" s="570"/>
      <c r="Q175" s="570"/>
      <c r="R175" s="570"/>
      <c r="S175" s="570"/>
      <c r="T175" s="570"/>
      <c r="U175" s="570"/>
      <c r="V175" s="570"/>
      <c r="W175" s="570"/>
      <c r="X175" s="570"/>
      <c r="Y175" s="570"/>
      <c r="Z175" s="570"/>
      <c r="AA175" s="570"/>
      <c r="AB175" s="570"/>
      <c r="AC175" s="570"/>
      <c r="AD175" s="570"/>
      <c r="AE175" s="570"/>
      <c r="AF175" s="570"/>
      <c r="AG175" s="570"/>
      <c r="AH175" s="570"/>
      <c r="AI175" s="570"/>
      <c r="AJ175" s="570"/>
      <c r="AK175" s="570"/>
      <c r="AL175" s="570"/>
      <c r="AM175" s="570"/>
      <c r="AN175" s="570"/>
      <c r="AO175" s="570"/>
      <c r="AP175" s="570"/>
      <c r="AQ175" s="570"/>
      <c r="AR175" s="570"/>
      <c r="AS175" s="570"/>
      <c r="AT175" s="570"/>
      <c r="AU175" s="588"/>
    </row>
    <row r="176" x14ac:dyDescent="0.25">
      <c r="C176" s="597"/>
      <c r="D176" s="570"/>
      <c r="E176" s="2166" t="s">
        <v>1155</v>
      </c>
      <c r="F176" s="2166"/>
      <c r="G176" s="202" t="e">
        <f>SUMIF(G166:AT166,"=0",G164:AT164)</f>
        <v>#DIV/0!</v>
      </c>
      <c r="H176" s="202" t="e">
        <f>G176/3600</f>
        <v>#DIV/0!</v>
      </c>
      <c r="I176" s="570"/>
      <c r="J176" s="570"/>
      <c r="K176" s="570"/>
      <c r="L176" s="570"/>
      <c r="M176" s="570"/>
      <c r="N176" s="570"/>
      <c r="O176" s="570"/>
      <c r="P176" s="570"/>
      <c r="Q176" s="570"/>
      <c r="R176" s="570"/>
      <c r="S176" s="570"/>
      <c r="T176" s="570"/>
      <c r="U176" s="570"/>
      <c r="V176" s="570"/>
      <c r="W176" s="570"/>
      <c r="X176" s="570"/>
      <c r="Y176" s="570"/>
      <c r="Z176" s="570"/>
      <c r="AA176" s="570"/>
      <c r="AB176" s="570"/>
      <c r="AC176" s="570"/>
      <c r="AD176" s="570"/>
      <c r="AE176" s="570"/>
      <c r="AF176" s="570"/>
      <c r="AG176" s="570"/>
      <c r="AH176" s="570"/>
      <c r="AI176" s="570"/>
      <c r="AJ176" s="570"/>
      <c r="AK176" s="570"/>
      <c r="AL176" s="570"/>
      <c r="AM176" s="570"/>
      <c r="AN176" s="570"/>
      <c r="AO176" s="570"/>
      <c r="AP176" s="570"/>
      <c r="AQ176" s="570"/>
      <c r="AR176" s="570"/>
      <c r="AS176" s="570"/>
      <c r="AT176" s="570"/>
      <c r="AU176" s="588"/>
    </row>
    <row r="177" x14ac:dyDescent="0.25">
      <c r="C177" s="597"/>
      <c r="D177" s="570"/>
      <c r="E177" s="570"/>
      <c r="F177" s="570"/>
      <c r="G177" s="570"/>
      <c r="H177" s="570"/>
      <c r="I177" s="570"/>
      <c r="J177" s="570"/>
      <c r="K177" s="570"/>
      <c r="L177" s="570"/>
      <c r="M177" s="570"/>
      <c r="N177" s="570"/>
      <c r="O177" s="570"/>
      <c r="P177" s="570"/>
      <c r="Q177" s="570"/>
      <c r="R177" s="570"/>
      <c r="S177" s="570"/>
      <c r="T177" s="570"/>
      <c r="U177" s="570"/>
      <c r="V177" s="570"/>
      <c r="W177" s="570"/>
      <c r="X177" s="570"/>
      <c r="Y177" s="570"/>
      <c r="Z177" s="570"/>
      <c r="AA177" s="570"/>
      <c r="AB177" s="570"/>
      <c r="AC177" s="570"/>
      <c r="AD177" s="570"/>
      <c r="AE177" s="570"/>
      <c r="AF177" s="570"/>
      <c r="AG177" s="570"/>
      <c r="AH177" s="570"/>
      <c r="AI177" s="570"/>
      <c r="AJ177" s="570"/>
      <c r="AK177" s="570"/>
      <c r="AL177" s="570"/>
      <c r="AM177" s="570"/>
      <c r="AN177" s="570"/>
      <c r="AO177" s="570"/>
      <c r="AP177" s="570"/>
      <c r="AQ177" s="570"/>
      <c r="AR177" s="570"/>
      <c r="AS177" s="570"/>
      <c r="AT177" s="570"/>
      <c r="AU177" s="588"/>
    </row>
    <row r="178" x14ac:dyDescent="0.25">
      <c r="C178" s="597"/>
      <c r="D178" s="570"/>
      <c r="E178" s="570"/>
      <c r="F178" s="570"/>
      <c r="G178" s="570"/>
      <c r="H178" s="570"/>
      <c r="I178" s="570"/>
      <c r="J178" s="570"/>
      <c r="K178" s="570"/>
      <c r="L178" s="570"/>
      <c r="M178" s="570"/>
      <c r="N178" s="570"/>
      <c r="O178" s="570"/>
      <c r="P178" s="570"/>
      <c r="Q178" s="570"/>
      <c r="R178" s="570"/>
      <c r="S178" s="570"/>
      <c r="T178" s="570"/>
      <c r="U178" s="570"/>
      <c r="V178" s="570"/>
      <c r="W178" s="570"/>
      <c r="X178" s="570"/>
      <c r="Y178" s="570"/>
      <c r="Z178" s="570"/>
      <c r="AA178" s="570"/>
      <c r="AB178" s="570"/>
      <c r="AC178" s="570"/>
      <c r="AD178" s="570"/>
      <c r="AE178" s="570"/>
      <c r="AF178" s="570"/>
      <c r="AG178" s="570"/>
      <c r="AH178" s="570"/>
      <c r="AI178" s="570"/>
      <c r="AJ178" s="570"/>
      <c r="AK178" s="570"/>
      <c r="AL178" s="570"/>
      <c r="AM178" s="570"/>
      <c r="AN178" s="570"/>
      <c r="AO178" s="570"/>
      <c r="AP178" s="570"/>
      <c r="AQ178" s="570"/>
      <c r="AR178" s="570"/>
      <c r="AS178" s="570"/>
      <c r="AT178" s="570"/>
      <c r="AU178" s="588"/>
    </row>
    <row r="179" x14ac:dyDescent="0.25">
      <c r="C179" s="597"/>
      <c r="D179" s="570"/>
      <c r="E179" s="2164" t="s">
        <v>1145</v>
      </c>
      <c r="F179" s="2164"/>
      <c r="G179" s="1197">
        <f>'III. Utility Data'!J46</f>
        <v>0</v>
      </c>
      <c r="H179" s="570"/>
      <c r="I179" s="570"/>
      <c r="J179" s="570"/>
      <c r="K179" s="570"/>
      <c r="L179" s="570"/>
      <c r="M179" s="570"/>
      <c r="N179" s="570"/>
      <c r="O179" s="570"/>
      <c r="P179" s="570"/>
      <c r="Q179" s="570"/>
      <c r="R179" s="570"/>
      <c r="S179" s="570"/>
      <c r="T179" s="570"/>
      <c r="U179" s="570"/>
      <c r="V179" s="570"/>
      <c r="W179" s="570"/>
      <c r="X179" s="570"/>
      <c r="Y179" s="570"/>
      <c r="Z179" s="570"/>
      <c r="AA179" s="570"/>
      <c r="AB179" s="570"/>
      <c r="AC179" s="570"/>
      <c r="AD179" s="570"/>
      <c r="AE179" s="570"/>
      <c r="AF179" s="570"/>
      <c r="AG179" s="570"/>
      <c r="AH179" s="570"/>
      <c r="AI179" s="570"/>
      <c r="AJ179" s="570"/>
      <c r="AK179" s="570"/>
      <c r="AL179" s="570"/>
      <c r="AM179" s="570"/>
      <c r="AN179" s="570"/>
      <c r="AO179" s="570"/>
      <c r="AP179" s="570"/>
      <c r="AQ179" s="570"/>
      <c r="AR179" s="570"/>
      <c r="AS179" s="570"/>
      <c r="AT179" s="570"/>
      <c r="AU179" s="588"/>
    </row>
    <row r="180" x14ac:dyDescent="0.25">
      <c r="C180" s="597"/>
      <c r="D180" s="570"/>
      <c r="E180" s="2164" t="s">
        <v>1146</v>
      </c>
      <c r="F180" s="2164"/>
      <c r="G180" s="1197">
        <f>'III. Utility Data'!F98</f>
        <v>3.6</v>
      </c>
      <c r="H180" s="570"/>
      <c r="I180" s="570"/>
      <c r="J180" s="570"/>
      <c r="K180" s="570"/>
      <c r="L180" s="570"/>
      <c r="M180" s="570"/>
      <c r="N180" s="570"/>
      <c r="O180" s="570"/>
      <c r="P180" s="570"/>
      <c r="Q180" s="570"/>
      <c r="R180" s="570"/>
      <c r="S180" s="570"/>
      <c r="T180" s="570"/>
      <c r="U180" s="570"/>
      <c r="V180" s="570"/>
      <c r="W180" s="570"/>
      <c r="X180" s="570"/>
      <c r="Y180" s="570"/>
      <c r="Z180" s="570"/>
      <c r="AA180" s="570"/>
      <c r="AB180" s="570"/>
      <c r="AC180" s="570"/>
      <c r="AD180" s="570"/>
      <c r="AE180" s="570"/>
      <c r="AF180" s="570"/>
      <c r="AG180" s="570"/>
      <c r="AH180" s="570"/>
      <c r="AI180" s="570"/>
      <c r="AJ180" s="570"/>
      <c r="AK180" s="570"/>
      <c r="AL180" s="570"/>
      <c r="AM180" s="570"/>
      <c r="AN180" s="570"/>
      <c r="AO180" s="570"/>
      <c r="AP180" s="570"/>
      <c r="AQ180" s="570"/>
      <c r="AR180" s="570"/>
      <c r="AS180" s="570"/>
      <c r="AT180" s="570"/>
      <c r="AU180" s="588"/>
    </row>
    <row r="181" x14ac:dyDescent="0.25">
      <c r="C181" s="597"/>
      <c r="D181" s="570"/>
      <c r="E181" s="2164" t="s">
        <v>1147</v>
      </c>
      <c r="F181" s="2164"/>
      <c r="G181" s="1197">
        <f>G179*G180</f>
        <v>0</v>
      </c>
      <c r="H181" s="570"/>
      <c r="I181" s="570"/>
      <c r="J181" s="570"/>
      <c r="K181" s="570"/>
      <c r="L181" s="570"/>
      <c r="M181" s="570"/>
      <c r="N181" s="570"/>
      <c r="O181" s="570"/>
      <c r="P181" s="570"/>
      <c r="Q181" s="570"/>
      <c r="R181" s="570"/>
      <c r="S181" s="570"/>
      <c r="T181" s="570"/>
      <c r="U181" s="570"/>
      <c r="V181" s="570"/>
      <c r="W181" s="570"/>
      <c r="X181" s="570"/>
      <c r="Y181" s="570"/>
      <c r="Z181" s="570"/>
      <c r="AA181" s="570"/>
      <c r="AB181" s="570"/>
      <c r="AC181" s="570"/>
      <c r="AD181" s="570"/>
      <c r="AE181" s="570"/>
      <c r="AF181" s="570"/>
      <c r="AG181" s="570"/>
      <c r="AH181" s="570"/>
      <c r="AI181" s="570"/>
      <c r="AJ181" s="570"/>
      <c r="AK181" s="570"/>
      <c r="AL181" s="570"/>
      <c r="AM181" s="570"/>
      <c r="AN181" s="570"/>
      <c r="AO181" s="570"/>
      <c r="AP181" s="570"/>
      <c r="AQ181" s="570"/>
      <c r="AR181" s="570"/>
      <c r="AS181" s="570"/>
      <c r="AT181" s="570"/>
      <c r="AU181" s="588"/>
    </row>
    <row r="182" ht="30" customHeight="true" x14ac:dyDescent="0.25">
      <c r="C182" s="597"/>
      <c r="D182" s="570"/>
      <c r="E182" s="2162" t="s">
        <v>1103</v>
      </c>
      <c r="F182" s="2162"/>
      <c r="G182" s="1572">
        <f>'III. Utility Data'!F95</f>
        <v>1</v>
      </c>
      <c r="H182" s="570"/>
      <c r="I182" s="570"/>
      <c r="J182" s="570"/>
      <c r="K182" s="570"/>
      <c r="L182" s="570"/>
      <c r="M182" s="570"/>
      <c r="N182" s="570"/>
      <c r="O182" s="570"/>
      <c r="P182" s="570"/>
      <c r="Q182" s="570"/>
      <c r="R182" s="570"/>
      <c r="S182" s="570"/>
      <c r="T182" s="570"/>
      <c r="U182" s="570"/>
      <c r="V182" s="570"/>
      <c r="W182" s="570"/>
      <c r="X182" s="570"/>
      <c r="Y182" s="570"/>
      <c r="Z182" s="570"/>
      <c r="AA182" s="570"/>
      <c r="AB182" s="570"/>
      <c r="AC182" s="570"/>
      <c r="AD182" s="570"/>
      <c r="AE182" s="570"/>
      <c r="AF182" s="570"/>
      <c r="AG182" s="570"/>
      <c r="AH182" s="570"/>
      <c r="AI182" s="570"/>
      <c r="AJ182" s="570"/>
      <c r="AK182" s="570"/>
      <c r="AL182" s="570"/>
      <c r="AM182" s="570"/>
      <c r="AN182" s="570"/>
      <c r="AO182" s="570"/>
      <c r="AP182" s="570"/>
      <c r="AQ182" s="570"/>
      <c r="AR182" s="570"/>
      <c r="AS182" s="570"/>
      <c r="AT182" s="570"/>
      <c r="AU182" s="588"/>
    </row>
    <row r="183" x14ac:dyDescent="0.25">
      <c r="C183" s="597"/>
      <c r="D183" s="570"/>
      <c r="E183" s="2161" t="s">
        <v>1640</v>
      </c>
      <c r="F183" s="2161"/>
      <c r="G183" s="202">
        <f>G182*G181</f>
        <v>0</v>
      </c>
      <c r="H183" s="570"/>
      <c r="I183" s="570"/>
      <c r="J183" s="570"/>
      <c r="K183" s="570"/>
      <c r="L183" s="570"/>
      <c r="M183" s="570"/>
      <c r="N183" s="570"/>
      <c r="O183" s="570"/>
      <c r="P183" s="570"/>
      <c r="Q183" s="570"/>
      <c r="R183" s="570"/>
      <c r="S183" s="570"/>
      <c r="T183" s="570"/>
      <c r="U183" s="570"/>
      <c r="V183" s="570"/>
      <c r="W183" s="570"/>
      <c r="X183" s="570"/>
      <c r="Y183" s="570"/>
      <c r="Z183" s="570"/>
      <c r="AA183" s="570"/>
      <c r="AB183" s="570"/>
      <c r="AC183" s="570"/>
      <c r="AD183" s="570"/>
      <c r="AE183" s="570"/>
      <c r="AF183" s="570"/>
      <c r="AG183" s="570"/>
      <c r="AH183" s="570"/>
      <c r="AI183" s="570"/>
      <c r="AJ183" s="570"/>
      <c r="AK183" s="570"/>
      <c r="AL183" s="570"/>
      <c r="AM183" s="570"/>
      <c r="AN183" s="570"/>
      <c r="AO183" s="570"/>
      <c r="AP183" s="570"/>
      <c r="AQ183" s="570"/>
      <c r="AR183" s="570"/>
      <c r="AS183" s="570"/>
      <c r="AT183" s="570"/>
      <c r="AU183" s="588"/>
    </row>
    <row r="184" x14ac:dyDescent="0.25">
      <c r="C184" s="597"/>
      <c r="D184" s="570"/>
      <c r="E184" s="2161" t="s">
        <v>1641</v>
      </c>
      <c r="F184" s="2161"/>
      <c r="G184" s="202">
        <f>G181-G183</f>
        <v>0</v>
      </c>
      <c r="H184" s="570"/>
      <c r="I184" s="570"/>
      <c r="J184" s="570"/>
      <c r="K184" s="570"/>
      <c r="L184" s="570"/>
      <c r="M184" s="570"/>
      <c r="N184" s="570"/>
      <c r="O184" s="570"/>
      <c r="P184" s="570"/>
      <c r="Q184" s="570"/>
      <c r="R184" s="570"/>
      <c r="S184" s="570"/>
      <c r="T184" s="570"/>
      <c r="U184" s="570"/>
      <c r="V184" s="570"/>
      <c r="W184" s="570"/>
      <c r="X184" s="570"/>
      <c r="Y184" s="570"/>
      <c r="Z184" s="570"/>
      <c r="AA184" s="570"/>
      <c r="AB184" s="570"/>
      <c r="AC184" s="570"/>
      <c r="AD184" s="570"/>
      <c r="AE184" s="570"/>
      <c r="AF184" s="570"/>
      <c r="AG184" s="570"/>
      <c r="AH184" s="570"/>
      <c r="AI184" s="570"/>
      <c r="AJ184" s="570"/>
      <c r="AK184" s="570"/>
      <c r="AL184" s="570"/>
      <c r="AM184" s="570"/>
      <c r="AN184" s="570"/>
      <c r="AO184" s="570"/>
      <c r="AP184" s="570"/>
      <c r="AQ184" s="570"/>
      <c r="AR184" s="570"/>
      <c r="AS184" s="570"/>
      <c r="AT184" s="570"/>
      <c r="AU184" s="588"/>
    </row>
    <row r="185" x14ac:dyDescent="0.25">
      <c r="C185" s="597"/>
      <c r="D185" s="570"/>
      <c r="E185" s="2163"/>
      <c r="F185" s="2163"/>
      <c r="G185" s="570"/>
      <c r="H185" s="570"/>
      <c r="I185" s="570"/>
      <c r="J185" s="570"/>
      <c r="K185" s="570"/>
      <c r="L185" s="570"/>
      <c r="M185" s="570"/>
      <c r="N185" s="570"/>
      <c r="O185" s="570"/>
      <c r="P185" s="570"/>
      <c r="Q185" s="570"/>
      <c r="R185" s="570"/>
      <c r="S185" s="570"/>
      <c r="T185" s="570"/>
      <c r="U185" s="570"/>
      <c r="V185" s="570"/>
      <c r="W185" s="570"/>
      <c r="X185" s="570"/>
      <c r="Y185" s="570"/>
      <c r="Z185" s="570"/>
      <c r="AA185" s="570"/>
      <c r="AB185" s="570"/>
      <c r="AC185" s="570"/>
      <c r="AD185" s="570"/>
      <c r="AE185" s="570"/>
      <c r="AF185" s="570"/>
      <c r="AG185" s="570"/>
      <c r="AH185" s="570"/>
      <c r="AI185" s="570"/>
      <c r="AJ185" s="570"/>
      <c r="AK185" s="570"/>
      <c r="AL185" s="570"/>
      <c r="AM185" s="570"/>
      <c r="AN185" s="570"/>
      <c r="AO185" s="570"/>
      <c r="AP185" s="570"/>
      <c r="AQ185" s="570"/>
      <c r="AR185" s="570"/>
      <c r="AS185" s="570"/>
      <c r="AT185" s="570"/>
      <c r="AU185" s="588"/>
    </row>
    <row r="186" x14ac:dyDescent="0.25">
      <c r="C186" s="597"/>
      <c r="D186" s="570"/>
      <c r="E186" s="2163"/>
      <c r="F186" s="2163"/>
      <c r="G186" s="570"/>
      <c r="H186" s="570"/>
      <c r="I186" s="570"/>
      <c r="J186" s="570"/>
      <c r="K186" s="570"/>
      <c r="L186" s="570"/>
      <c r="M186" s="570"/>
      <c r="N186" s="570"/>
      <c r="O186" s="570"/>
      <c r="P186" s="570"/>
      <c r="Q186" s="570"/>
      <c r="R186" s="570"/>
      <c r="S186" s="570"/>
      <c r="T186" s="570"/>
      <c r="U186" s="570"/>
      <c r="V186" s="570"/>
      <c r="W186" s="570"/>
      <c r="X186" s="570"/>
      <c r="Y186" s="570"/>
      <c r="Z186" s="570"/>
      <c r="AA186" s="570"/>
      <c r="AB186" s="570"/>
      <c r="AC186" s="570"/>
      <c r="AD186" s="570"/>
      <c r="AE186" s="570"/>
      <c r="AF186" s="570"/>
      <c r="AG186" s="570"/>
      <c r="AH186" s="570"/>
      <c r="AI186" s="570"/>
      <c r="AJ186" s="570"/>
      <c r="AK186" s="570"/>
      <c r="AL186" s="570"/>
      <c r="AM186" s="570"/>
      <c r="AN186" s="570"/>
      <c r="AO186" s="570"/>
      <c r="AP186" s="570"/>
      <c r="AQ186" s="570"/>
      <c r="AR186" s="570"/>
      <c r="AS186" s="570"/>
      <c r="AT186" s="570"/>
      <c r="AU186" s="588"/>
    </row>
    <row r="187" x14ac:dyDescent="0.25">
      <c r="C187" s="597"/>
      <c r="D187" s="570"/>
      <c r="E187" s="2164" t="s">
        <v>1148</v>
      </c>
      <c r="F187" s="2164"/>
      <c r="G187" s="1197">
        <f>'III. Utility Data'!J44</f>
        <v>0</v>
      </c>
      <c r="H187" s="570"/>
      <c r="I187" s="570"/>
      <c r="J187" s="570"/>
      <c r="K187" s="570"/>
      <c r="L187" s="570"/>
      <c r="M187" s="570"/>
      <c r="N187" s="570"/>
      <c r="O187" s="570"/>
      <c r="P187" s="570"/>
      <c r="Q187" s="570"/>
      <c r="R187" s="570"/>
      <c r="S187" s="570"/>
      <c r="T187" s="570"/>
      <c r="U187" s="570"/>
      <c r="V187" s="570"/>
      <c r="W187" s="570"/>
      <c r="X187" s="570"/>
      <c r="Y187" s="570"/>
      <c r="Z187" s="570"/>
      <c r="AA187" s="570"/>
      <c r="AB187" s="570"/>
      <c r="AC187" s="570"/>
      <c r="AD187" s="570"/>
      <c r="AE187" s="570"/>
      <c r="AF187" s="570"/>
      <c r="AG187" s="570"/>
      <c r="AH187" s="570"/>
      <c r="AI187" s="570"/>
      <c r="AJ187" s="570"/>
      <c r="AK187" s="570"/>
      <c r="AL187" s="570"/>
      <c r="AM187" s="570"/>
      <c r="AN187" s="570"/>
      <c r="AO187" s="570"/>
      <c r="AP187" s="570"/>
      <c r="AQ187" s="570"/>
      <c r="AR187" s="570"/>
      <c r="AS187" s="570"/>
      <c r="AT187" s="570"/>
      <c r="AU187" s="588"/>
    </row>
    <row r="188" x14ac:dyDescent="0.25">
      <c r="C188" s="597"/>
      <c r="D188" s="570"/>
      <c r="E188" s="2164" t="s">
        <v>1149</v>
      </c>
      <c r="F188" s="2164"/>
      <c r="G188" s="1197">
        <f>IF('III. Utility Data'!G44="High pressure steam",'III. Utility Data'!F68,IF('III. Utility Data'!G44="Medium pressure steam",'III. Utility Data'!G68,'III. Utility Data'!H68))</f>
        <v>0.52777777777777779</v>
      </c>
      <c r="H188" s="570"/>
      <c r="I188" s="570"/>
      <c r="J188" s="570"/>
      <c r="K188" s="570"/>
      <c r="L188" s="570"/>
      <c r="M188" s="570"/>
      <c r="N188" s="570"/>
      <c r="O188" s="570"/>
      <c r="P188" s="570"/>
      <c r="Q188" s="570"/>
      <c r="R188" s="570"/>
      <c r="S188" s="570"/>
      <c r="T188" s="570"/>
      <c r="U188" s="570"/>
      <c r="V188" s="570"/>
      <c r="W188" s="570"/>
      <c r="X188" s="570"/>
      <c r="Y188" s="570"/>
      <c r="Z188" s="570"/>
      <c r="AA188" s="570"/>
      <c r="AB188" s="570"/>
      <c r="AC188" s="570"/>
      <c r="AD188" s="570"/>
      <c r="AE188" s="570"/>
      <c r="AF188" s="570"/>
      <c r="AG188" s="570"/>
      <c r="AH188" s="570"/>
      <c r="AI188" s="570"/>
      <c r="AJ188" s="570"/>
      <c r="AK188" s="570"/>
      <c r="AL188" s="570"/>
      <c r="AM188" s="570"/>
      <c r="AN188" s="570"/>
      <c r="AO188" s="570"/>
      <c r="AP188" s="570"/>
      <c r="AQ188" s="570"/>
      <c r="AR188" s="570"/>
      <c r="AS188" s="570"/>
      <c r="AT188" s="570"/>
      <c r="AU188" s="588"/>
    </row>
    <row r="189" x14ac:dyDescent="0.25">
      <c r="C189" s="597"/>
      <c r="D189" s="570"/>
      <c r="E189" s="2164" t="s">
        <v>1150</v>
      </c>
      <c r="F189" s="2164"/>
      <c r="G189" s="1197">
        <f>IF('III. Utility Data'!G44="High pressure steam",'III. Utility Data'!F71,IF('III. Utility Data'!G44="Medium pressure steam",'III. Utility Data'!G71,'III. Utility Data'!H71))</f>
        <v>0.94025557539645344</v>
      </c>
      <c r="H189" s="570"/>
      <c r="I189" s="570"/>
      <c r="J189" s="570"/>
      <c r="K189" s="570"/>
      <c r="L189" s="570"/>
      <c r="M189" s="570"/>
      <c r="N189" s="570"/>
      <c r="O189" s="570"/>
      <c r="P189" s="570"/>
      <c r="Q189" s="570"/>
      <c r="R189" s="570"/>
      <c r="S189" s="570"/>
      <c r="T189" s="570"/>
      <c r="U189" s="570"/>
      <c r="V189" s="570"/>
      <c r="W189" s="570"/>
      <c r="X189" s="570"/>
      <c r="Y189" s="570"/>
      <c r="Z189" s="570"/>
      <c r="AA189" s="570"/>
      <c r="AB189" s="570"/>
      <c r="AC189" s="570"/>
      <c r="AD189" s="570"/>
      <c r="AE189" s="570"/>
      <c r="AF189" s="570"/>
      <c r="AG189" s="570"/>
      <c r="AH189" s="570"/>
      <c r="AI189" s="570"/>
      <c r="AJ189" s="570"/>
      <c r="AK189" s="570"/>
      <c r="AL189" s="570"/>
      <c r="AM189" s="570"/>
      <c r="AN189" s="570"/>
      <c r="AO189" s="570"/>
      <c r="AP189" s="570"/>
      <c r="AQ189" s="570"/>
      <c r="AR189" s="570"/>
      <c r="AS189" s="570"/>
      <c r="AT189" s="570"/>
      <c r="AU189" s="588"/>
    </row>
    <row r="190" ht="21.75" customHeight="true" x14ac:dyDescent="0.25">
      <c r="C190" s="597"/>
      <c r="D190" s="570"/>
      <c r="E190" s="2164" t="s">
        <v>1151</v>
      </c>
      <c r="F190" s="2164"/>
      <c r="G190" s="1197">
        <f>(G189+G188)*G187</f>
        <v>0</v>
      </c>
      <c r="H190" s="570"/>
      <c r="I190" s="570"/>
      <c r="J190" s="570"/>
      <c r="K190" s="570"/>
      <c r="L190" s="570"/>
      <c r="M190" s="570"/>
      <c r="N190" s="570"/>
      <c r="O190" s="570"/>
      <c r="P190" s="570"/>
      <c r="Q190" s="570"/>
      <c r="R190" s="570"/>
      <c r="S190" s="570"/>
      <c r="T190" s="570"/>
      <c r="U190" s="570"/>
      <c r="V190" s="570"/>
      <c r="W190" s="570"/>
      <c r="X190" s="570"/>
      <c r="Y190" s="570"/>
      <c r="Z190" s="570"/>
      <c r="AA190" s="570"/>
      <c r="AB190" s="570"/>
      <c r="AC190" s="570"/>
      <c r="AD190" s="570"/>
      <c r="AE190" s="570"/>
      <c r="AF190" s="570"/>
      <c r="AG190" s="570"/>
      <c r="AH190" s="570"/>
      <c r="AI190" s="570"/>
      <c r="AJ190" s="570"/>
      <c r="AK190" s="570"/>
      <c r="AL190" s="570"/>
      <c r="AM190" s="570"/>
      <c r="AN190" s="570"/>
      <c r="AO190" s="570"/>
      <c r="AP190" s="570"/>
      <c r="AQ190" s="570"/>
      <c r="AR190" s="570"/>
      <c r="AS190" s="570"/>
      <c r="AT190" s="570"/>
      <c r="AU190" s="588"/>
    </row>
    <row r="191" ht="30" customHeight="true" x14ac:dyDescent="0.25">
      <c r="C191" s="597"/>
      <c r="D191" s="570"/>
      <c r="E191" s="2162" t="s">
        <v>1103</v>
      </c>
      <c r="F191" s="2162"/>
      <c r="G191" s="1572">
        <f>IF('III. Utility Data'!G44="High pressure steam",'III. Utility Data'!F67,IF('III. Utility Data'!G44="Medium pressure steam",'III. Utility Data'!G67,'III. Utility Data'!H67))</f>
        <v>1</v>
      </c>
      <c r="H191" s="570"/>
      <c r="I191" s="570"/>
      <c r="J191" s="570"/>
      <c r="K191" s="570"/>
      <c r="L191" s="570"/>
      <c r="M191" s="570"/>
      <c r="N191" s="570"/>
      <c r="O191" s="570"/>
      <c r="P191" s="570"/>
      <c r="Q191" s="570"/>
      <c r="R191" s="570"/>
      <c r="S191" s="570"/>
      <c r="T191" s="570"/>
      <c r="U191" s="570"/>
      <c r="V191" s="570"/>
      <c r="W191" s="570"/>
      <c r="X191" s="570"/>
      <c r="Y191" s="570"/>
      <c r="Z191" s="570"/>
      <c r="AA191" s="570"/>
      <c r="AB191" s="570"/>
      <c r="AC191" s="570"/>
      <c r="AD191" s="570"/>
      <c r="AE191" s="570"/>
      <c r="AF191" s="570"/>
      <c r="AG191" s="570"/>
      <c r="AH191" s="570"/>
      <c r="AI191" s="570"/>
      <c r="AJ191" s="570"/>
      <c r="AK191" s="570"/>
      <c r="AL191" s="570"/>
      <c r="AM191" s="570"/>
      <c r="AN191" s="570"/>
      <c r="AO191" s="570"/>
      <c r="AP191" s="570"/>
      <c r="AQ191" s="570"/>
      <c r="AR191" s="570"/>
      <c r="AS191" s="570"/>
      <c r="AT191" s="570"/>
      <c r="AU191" s="588"/>
    </row>
    <row r="192" x14ac:dyDescent="0.25">
      <c r="C192" s="597"/>
      <c r="D192" s="570"/>
      <c r="E192" s="2161" t="s">
        <v>1640</v>
      </c>
      <c r="F192" s="2161"/>
      <c r="G192" s="202">
        <f>G191*G190</f>
        <v>0</v>
      </c>
      <c r="H192" s="570"/>
      <c r="I192" s="570"/>
      <c r="J192" s="570"/>
      <c r="K192" s="570"/>
      <c r="L192" s="570"/>
      <c r="M192" s="570"/>
      <c r="N192" s="570"/>
      <c r="O192" s="570"/>
      <c r="P192" s="570"/>
      <c r="Q192" s="570"/>
      <c r="R192" s="570"/>
      <c r="S192" s="570"/>
      <c r="T192" s="570"/>
      <c r="U192" s="570"/>
      <c r="V192" s="570"/>
      <c r="W192" s="570"/>
      <c r="X192" s="570"/>
      <c r="Y192" s="570"/>
      <c r="Z192" s="570"/>
      <c r="AA192" s="570"/>
      <c r="AB192" s="570"/>
      <c r="AC192" s="570"/>
      <c r="AD192" s="570"/>
      <c r="AE192" s="570"/>
      <c r="AF192" s="570"/>
      <c r="AG192" s="570"/>
      <c r="AH192" s="570"/>
      <c r="AI192" s="570"/>
      <c r="AJ192" s="570"/>
      <c r="AK192" s="570"/>
      <c r="AL192" s="570"/>
      <c r="AM192" s="570"/>
      <c r="AN192" s="570"/>
      <c r="AO192" s="570"/>
      <c r="AP192" s="570"/>
      <c r="AQ192" s="570"/>
      <c r="AR192" s="570"/>
      <c r="AS192" s="570"/>
      <c r="AT192" s="570"/>
      <c r="AU192" s="588"/>
      <c r="AY192" s="126"/>
      <c r="AZ192" s="126"/>
      <c r="BA192" s="126"/>
      <c r="BB192" s="126"/>
      <c r="BC192" s="126"/>
      <c r="BD192" s="126"/>
      <c r="BE192" s="126"/>
      <c r="BF192" s="126"/>
      <c r="BG192" s="126"/>
      <c r="BH192" s="126"/>
      <c r="BI192" s="126"/>
      <c r="BJ192" s="786"/>
    </row>
    <row r="193" x14ac:dyDescent="0.25">
      <c r="C193" s="597"/>
      <c r="D193" s="570"/>
      <c r="E193" s="2161" t="s">
        <v>1641</v>
      </c>
      <c r="F193" s="2161"/>
      <c r="G193" s="202">
        <f>G190-G192</f>
        <v>0</v>
      </c>
      <c r="H193" s="570"/>
      <c r="I193" s="570"/>
      <c r="J193" s="570"/>
      <c r="K193" s="570"/>
      <c r="L193" s="570"/>
      <c r="M193" s="570"/>
      <c r="N193" s="570"/>
      <c r="O193" s="570"/>
      <c r="P193" s="570"/>
      <c r="Q193" s="570"/>
      <c r="R193" s="570"/>
      <c r="S193" s="570"/>
      <c r="T193" s="570"/>
      <c r="U193" s="570"/>
      <c r="V193" s="570"/>
      <c r="W193" s="570"/>
      <c r="X193" s="570"/>
      <c r="Y193" s="570"/>
      <c r="Z193" s="570"/>
      <c r="AA193" s="570"/>
      <c r="AB193" s="570"/>
      <c r="AC193" s="570"/>
      <c r="AD193" s="570"/>
      <c r="AE193" s="570"/>
      <c r="AF193" s="570"/>
      <c r="AG193" s="570"/>
      <c r="AH193" s="570"/>
      <c r="AI193" s="570"/>
      <c r="AJ193" s="570"/>
      <c r="AK193" s="570"/>
      <c r="AL193" s="570"/>
      <c r="AM193" s="570"/>
      <c r="AN193" s="570"/>
      <c r="AO193" s="570"/>
      <c r="AP193" s="570"/>
      <c r="AQ193" s="570"/>
      <c r="AR193" s="570"/>
      <c r="AS193" s="570"/>
      <c r="AT193" s="570"/>
      <c r="AU193" s="588"/>
      <c r="BA193" s="8"/>
      <c r="BJ193" s="786"/>
    </row>
    <row r="194" x14ac:dyDescent="0.25">
      <c r="C194" s="597"/>
      <c r="D194" s="570"/>
      <c r="E194" s="570"/>
      <c r="F194" s="570"/>
      <c r="G194" s="570"/>
      <c r="H194" s="570"/>
      <c r="I194" s="570"/>
      <c r="J194" s="570"/>
      <c r="K194" s="570"/>
      <c r="L194" s="570"/>
      <c r="M194" s="570"/>
      <c r="N194" s="570"/>
      <c r="O194" s="570"/>
      <c r="P194" s="570"/>
      <c r="Q194" s="570"/>
      <c r="R194" s="570"/>
      <c r="S194" s="570"/>
      <c r="T194" s="570"/>
      <c r="U194" s="570"/>
      <c r="V194" s="570"/>
      <c r="W194" s="570"/>
      <c r="X194" s="570"/>
      <c r="Y194" s="570"/>
      <c r="Z194" s="570"/>
      <c r="AA194" s="570"/>
      <c r="AB194" s="570"/>
      <c r="AC194" s="570"/>
      <c r="AD194" s="570"/>
      <c r="AE194" s="570"/>
      <c r="AF194" s="570"/>
      <c r="AG194" s="570"/>
      <c r="AH194" s="570"/>
      <c r="AI194" s="570"/>
      <c r="AJ194" s="570"/>
      <c r="AK194" s="570"/>
      <c r="AL194" s="570"/>
      <c r="AM194" s="570"/>
      <c r="AN194" s="570"/>
      <c r="AO194" s="570"/>
      <c r="AP194" s="570"/>
      <c r="AQ194" s="570"/>
      <c r="AR194" s="570"/>
      <c r="AS194" s="570"/>
      <c r="AT194" s="570"/>
      <c r="AU194" s="588"/>
      <c r="BA194" s="8"/>
      <c r="BJ194" s="786"/>
    </row>
    <row r="195" x14ac:dyDescent="0.25">
      <c r="C195" s="597"/>
      <c r="D195" s="570"/>
      <c r="E195" s="570"/>
      <c r="F195" s="570"/>
      <c r="G195" s="570"/>
      <c r="H195" s="570"/>
      <c r="I195" s="570"/>
      <c r="J195" s="570"/>
      <c r="K195" s="570"/>
      <c r="L195" s="570"/>
      <c r="M195" s="570"/>
      <c r="N195" s="570"/>
      <c r="O195" s="570"/>
      <c r="P195" s="570"/>
      <c r="Q195" s="570"/>
      <c r="R195" s="570"/>
      <c r="S195" s="570"/>
      <c r="T195" s="570"/>
      <c r="U195" s="570"/>
      <c r="V195" s="570"/>
      <c r="W195" s="570"/>
      <c r="X195" s="570"/>
      <c r="Y195" s="570"/>
      <c r="Z195" s="570"/>
      <c r="AA195" s="570"/>
      <c r="AB195" s="570"/>
      <c r="AC195" s="570"/>
      <c r="AD195" s="570"/>
      <c r="AE195" s="570"/>
      <c r="AF195" s="570"/>
      <c r="AG195" s="570"/>
      <c r="AH195" s="570"/>
      <c r="AI195" s="570"/>
      <c r="AJ195" s="570"/>
      <c r="AK195" s="570"/>
      <c r="AL195" s="570"/>
      <c r="AM195" s="570"/>
      <c r="AN195" s="570"/>
      <c r="AO195" s="570"/>
      <c r="AP195" s="570"/>
      <c r="AQ195" s="570"/>
      <c r="AR195" s="570"/>
      <c r="AS195" s="570"/>
      <c r="AT195" s="570"/>
      <c r="AU195" s="588"/>
      <c r="BA195" s="8"/>
      <c r="BJ195" s="786"/>
    </row>
    <row r="196" x14ac:dyDescent="0.25">
      <c r="C196" s="597"/>
      <c r="D196" s="570"/>
      <c r="E196" s="570"/>
      <c r="F196" s="570"/>
      <c r="G196" s="570"/>
      <c r="H196" s="570"/>
      <c r="I196" s="570"/>
      <c r="J196" s="570"/>
      <c r="K196" s="570"/>
      <c r="L196" s="570"/>
      <c r="M196" s="570"/>
      <c r="N196" s="570"/>
      <c r="O196" s="570"/>
      <c r="P196" s="570"/>
      <c r="Q196" s="570"/>
      <c r="R196" s="570"/>
      <c r="S196" s="570"/>
      <c r="T196" s="570"/>
      <c r="U196" s="570"/>
      <c r="V196" s="570"/>
      <c r="W196" s="570"/>
      <c r="X196" s="570"/>
      <c r="Y196" s="570"/>
      <c r="Z196" s="570"/>
      <c r="AA196" s="570"/>
      <c r="AB196" s="570"/>
      <c r="AC196" s="570"/>
      <c r="AD196" s="570"/>
      <c r="AE196" s="570"/>
      <c r="AF196" s="570"/>
      <c r="AG196" s="570"/>
      <c r="AH196" s="570"/>
      <c r="AI196" s="570"/>
      <c r="AJ196" s="570"/>
      <c r="AK196" s="570"/>
      <c r="AL196" s="570"/>
      <c r="AM196" s="570"/>
      <c r="AN196" s="570"/>
      <c r="AO196" s="570"/>
      <c r="AP196" s="570"/>
      <c r="AQ196" s="570"/>
      <c r="AR196" s="570"/>
      <c r="AS196" s="570"/>
      <c r="AT196" s="570"/>
      <c r="AU196" s="588"/>
      <c r="BA196" s="8"/>
      <c r="BJ196" s="786"/>
    </row>
    <row r="197" x14ac:dyDescent="0.25">
      <c r="C197" s="597"/>
      <c r="D197" s="570"/>
      <c r="E197" s="570"/>
      <c r="F197" s="570"/>
      <c r="G197" s="570"/>
      <c r="H197" s="570"/>
      <c r="I197" s="570"/>
      <c r="J197" s="570"/>
      <c r="K197" s="570"/>
      <c r="L197" s="570"/>
      <c r="M197" s="570"/>
      <c r="N197" s="570"/>
      <c r="O197" s="570"/>
      <c r="P197" s="570"/>
      <c r="Q197" s="570"/>
      <c r="R197" s="570"/>
      <c r="S197" s="570"/>
      <c r="T197" s="570"/>
      <c r="U197" s="570"/>
      <c r="V197" s="570"/>
      <c r="W197" s="570"/>
      <c r="X197" s="570"/>
      <c r="Y197" s="570"/>
      <c r="Z197" s="570"/>
      <c r="AA197" s="570"/>
      <c r="AB197" s="570"/>
      <c r="AC197" s="570"/>
      <c r="AD197" s="570"/>
      <c r="AE197" s="570"/>
      <c r="AF197" s="570"/>
      <c r="AG197" s="570"/>
      <c r="AH197" s="570"/>
      <c r="AI197" s="570"/>
      <c r="AJ197" s="570"/>
      <c r="AK197" s="570"/>
      <c r="AL197" s="570"/>
      <c r="AM197" s="570"/>
      <c r="AN197" s="570"/>
      <c r="AO197" s="570"/>
      <c r="AP197" s="570"/>
      <c r="AQ197" s="570"/>
      <c r="AR197" s="570"/>
      <c r="AS197" s="570"/>
      <c r="AT197" s="570"/>
      <c r="AU197" s="588"/>
      <c r="BA197" s="8"/>
      <c r="BJ197" s="786"/>
    </row>
    <row r="198" x14ac:dyDescent="0.25">
      <c r="C198" s="597"/>
      <c r="D198" s="570"/>
      <c r="E198" s="570"/>
      <c r="F198" s="570"/>
      <c r="G198" s="570"/>
      <c r="H198" s="570"/>
      <c r="I198" s="570"/>
      <c r="J198" s="570"/>
      <c r="K198" s="570"/>
      <c r="L198" s="570"/>
      <c r="M198" s="570"/>
      <c r="N198" s="570"/>
      <c r="O198" s="570"/>
      <c r="P198" s="570"/>
      <c r="Q198" s="570"/>
      <c r="R198" s="570"/>
      <c r="S198" s="570"/>
      <c r="T198" s="570"/>
      <c r="U198" s="570"/>
      <c r="V198" s="570"/>
      <c r="W198" s="570"/>
      <c r="X198" s="570"/>
      <c r="Y198" s="570"/>
      <c r="Z198" s="570"/>
      <c r="AA198" s="570"/>
      <c r="AB198" s="570"/>
      <c r="AC198" s="570"/>
      <c r="AD198" s="570"/>
      <c r="AE198" s="570"/>
      <c r="AF198" s="570"/>
      <c r="AG198" s="570"/>
      <c r="AH198" s="570"/>
      <c r="AI198" s="570"/>
      <c r="AJ198" s="570"/>
      <c r="AK198" s="570"/>
      <c r="AL198" s="570"/>
      <c r="AM198" s="570"/>
      <c r="AN198" s="570"/>
      <c r="AO198" s="570"/>
      <c r="AP198" s="570"/>
      <c r="AQ198" s="570"/>
      <c r="AR198" s="570"/>
      <c r="AS198" s="570"/>
      <c r="AT198" s="570"/>
      <c r="AU198" s="588"/>
      <c r="BA198" s="8"/>
      <c r="BJ198" s="786"/>
    </row>
    <row r="199" x14ac:dyDescent="0.25">
      <c r="C199" s="597"/>
      <c r="D199" s="570"/>
      <c r="E199" s="2164" t="s">
        <v>1642</v>
      </c>
      <c r="F199" s="2164"/>
      <c r="G199" s="202">
        <f>'III. Utility Data'!J45</f>
        <v>0</v>
      </c>
      <c r="H199" s="570"/>
      <c r="I199" s="570"/>
      <c r="J199" s="570"/>
      <c r="K199" s="570"/>
      <c r="L199" s="570"/>
      <c r="M199" s="570"/>
      <c r="N199" s="570"/>
      <c r="O199" s="570"/>
      <c r="P199" s="570"/>
      <c r="Q199" s="570"/>
      <c r="R199" s="570"/>
      <c r="S199" s="570"/>
      <c r="T199" s="570"/>
      <c r="U199" s="570"/>
      <c r="V199" s="570"/>
      <c r="W199" s="570"/>
      <c r="X199" s="570"/>
      <c r="Y199" s="570"/>
      <c r="Z199" s="570"/>
      <c r="AA199" s="570"/>
      <c r="AB199" s="570"/>
      <c r="AC199" s="570"/>
      <c r="AD199" s="570"/>
      <c r="AE199" s="570"/>
      <c r="AF199" s="570"/>
      <c r="AG199" s="570"/>
      <c r="AH199" s="570"/>
      <c r="AI199" s="570"/>
      <c r="AJ199" s="570"/>
      <c r="AK199" s="570"/>
      <c r="AL199" s="570"/>
      <c r="AM199" s="570"/>
      <c r="AN199" s="570"/>
      <c r="AO199" s="570"/>
      <c r="AP199" s="570"/>
      <c r="AQ199" s="570"/>
      <c r="AR199" s="570"/>
      <c r="AS199" s="570"/>
      <c r="AT199" s="570"/>
      <c r="AU199" s="588"/>
      <c r="BA199" s="8"/>
      <c r="BJ199" s="786"/>
    </row>
    <row r="200" x14ac:dyDescent="0.25">
      <c r="C200" s="597"/>
      <c r="D200" s="570"/>
      <c r="E200" s="2164" t="s">
        <v>1643</v>
      </c>
      <c r="F200" s="2164"/>
      <c r="G200" s="202">
        <f>'III. Utility Data'!F85</f>
        <v>5.0500000000000002E-4</v>
      </c>
      <c r="H200" s="570"/>
      <c r="I200" s="570"/>
      <c r="J200" s="570"/>
      <c r="K200" s="570"/>
      <c r="L200" s="570"/>
      <c r="M200" s="570"/>
      <c r="N200" s="570"/>
      <c r="O200" s="570"/>
      <c r="P200" s="570"/>
      <c r="Q200" s="570"/>
      <c r="R200" s="570"/>
      <c r="S200" s="570"/>
      <c r="T200" s="570"/>
      <c r="U200" s="570"/>
      <c r="V200" s="570"/>
      <c r="W200" s="570"/>
      <c r="X200" s="570"/>
      <c r="Y200" s="570"/>
      <c r="Z200" s="570"/>
      <c r="AA200" s="570"/>
      <c r="AB200" s="570"/>
      <c r="AC200" s="570"/>
      <c r="AD200" s="570"/>
      <c r="AE200" s="570"/>
      <c r="AF200" s="570"/>
      <c r="AG200" s="570"/>
      <c r="AH200" s="570"/>
      <c r="AI200" s="570"/>
      <c r="AJ200" s="570"/>
      <c r="AK200" s="570"/>
      <c r="AL200" s="570"/>
      <c r="AM200" s="570"/>
      <c r="AN200" s="570"/>
      <c r="AO200" s="570"/>
      <c r="AP200" s="570"/>
      <c r="AQ200" s="570"/>
      <c r="AR200" s="570"/>
      <c r="AS200" s="570"/>
      <c r="AT200" s="570"/>
      <c r="AU200" s="588"/>
      <c r="BA200" s="8"/>
      <c r="BJ200" s="786"/>
    </row>
    <row r="201" x14ac:dyDescent="0.25">
      <c r="C201" s="597"/>
      <c r="D201" s="570"/>
      <c r="E201" s="2164" t="s">
        <v>1646</v>
      </c>
      <c r="F201" s="2164"/>
      <c r="G201" s="202">
        <f>'III. Utility Data'!F88</f>
        <v>3.8440999999999892E-3</v>
      </c>
      <c r="H201" s="570"/>
      <c r="I201" s="570"/>
      <c r="J201" s="570"/>
      <c r="K201" s="570"/>
      <c r="L201" s="570"/>
      <c r="M201" s="570"/>
      <c r="N201" s="570"/>
      <c r="O201" s="570"/>
      <c r="P201" s="570"/>
      <c r="Q201" s="570"/>
      <c r="R201" s="570"/>
      <c r="S201" s="570"/>
      <c r="T201" s="570"/>
      <c r="U201" s="570"/>
      <c r="V201" s="570"/>
      <c r="W201" s="570"/>
      <c r="X201" s="570"/>
      <c r="Y201" s="570"/>
      <c r="Z201" s="570"/>
      <c r="AA201" s="570"/>
      <c r="AB201" s="570"/>
      <c r="AC201" s="570"/>
      <c r="AD201" s="570"/>
      <c r="AE201" s="570"/>
      <c r="AF201" s="570"/>
      <c r="AG201" s="570"/>
      <c r="AH201" s="570"/>
      <c r="AI201" s="570"/>
      <c r="AJ201" s="570"/>
      <c r="AK201" s="570"/>
      <c r="AL201" s="570"/>
      <c r="AM201" s="570"/>
      <c r="AN201" s="570"/>
      <c r="AO201" s="570"/>
      <c r="AP201" s="570"/>
      <c r="AQ201" s="570"/>
      <c r="AR201" s="570"/>
      <c r="AS201" s="570"/>
      <c r="AT201" s="570"/>
      <c r="AU201" s="588"/>
      <c r="BA201" s="8"/>
      <c r="BJ201" s="786"/>
    </row>
    <row r="202" x14ac:dyDescent="0.25">
      <c r="C202" s="597"/>
      <c r="D202" s="570"/>
      <c r="E202" s="2164" t="s">
        <v>1647</v>
      </c>
      <c r="F202" s="2164"/>
      <c r="G202" s="202">
        <f>(G200+G201)*G199</f>
        <v>0</v>
      </c>
      <c r="H202" s="570"/>
      <c r="I202" s="570"/>
      <c r="J202" s="570"/>
      <c r="K202" s="570"/>
      <c r="L202" s="570"/>
      <c r="M202" s="570"/>
      <c r="N202" s="570"/>
      <c r="O202" s="570"/>
      <c r="P202" s="570"/>
      <c r="Q202" s="570"/>
      <c r="R202" s="570"/>
      <c r="S202" s="570"/>
      <c r="T202" s="570"/>
      <c r="U202" s="570"/>
      <c r="V202" s="570"/>
      <c r="W202" s="570"/>
      <c r="X202" s="570"/>
      <c r="Y202" s="570"/>
      <c r="Z202" s="570"/>
      <c r="AA202" s="570"/>
      <c r="AB202" s="570"/>
      <c r="AC202" s="570"/>
      <c r="AD202" s="570"/>
      <c r="AE202" s="570"/>
      <c r="AF202" s="570"/>
      <c r="AG202" s="570"/>
      <c r="AH202" s="570"/>
      <c r="AI202" s="570"/>
      <c r="AJ202" s="570"/>
      <c r="AK202" s="570"/>
      <c r="AL202" s="570"/>
      <c r="AM202" s="570"/>
      <c r="AN202" s="570"/>
      <c r="AO202" s="570"/>
      <c r="AP202" s="570"/>
      <c r="AQ202" s="570"/>
      <c r="AR202" s="570"/>
      <c r="AS202" s="570"/>
      <c r="AT202" s="570"/>
      <c r="AU202" s="588"/>
      <c r="BA202" s="8"/>
      <c r="BJ202" s="786"/>
    </row>
    <row r="203" ht="31.5" customHeight="true" x14ac:dyDescent="0.25">
      <c r="C203" s="597"/>
      <c r="D203" s="570"/>
      <c r="E203" s="2162" t="s">
        <v>1103</v>
      </c>
      <c r="F203" s="2162"/>
      <c r="G203" s="1572">
        <f>'III. Utility Data'!F84</f>
        <v>1</v>
      </c>
      <c r="H203" s="570"/>
      <c r="I203" s="570"/>
      <c r="J203" s="570"/>
      <c r="K203" s="570"/>
      <c r="L203" s="570"/>
      <c r="M203" s="570"/>
      <c r="N203" s="570"/>
      <c r="O203" s="570"/>
      <c r="P203" s="570"/>
      <c r="Q203" s="570"/>
      <c r="R203" s="570"/>
      <c r="S203" s="570"/>
      <c r="T203" s="570"/>
      <c r="U203" s="570"/>
      <c r="V203" s="570"/>
      <c r="W203" s="570"/>
      <c r="X203" s="570"/>
      <c r="Y203" s="570"/>
      <c r="Z203" s="570"/>
      <c r="AA203" s="570"/>
      <c r="AB203" s="570"/>
      <c r="AC203" s="570"/>
      <c r="AD203" s="570"/>
      <c r="AE203" s="570"/>
      <c r="AF203" s="570"/>
      <c r="AG203" s="570"/>
      <c r="AH203" s="570"/>
      <c r="AI203" s="570"/>
      <c r="AJ203" s="570"/>
      <c r="AK203" s="570"/>
      <c r="AL203" s="570"/>
      <c r="AM203" s="570"/>
      <c r="AN203" s="570"/>
      <c r="AO203" s="570"/>
      <c r="AP203" s="570"/>
      <c r="AQ203" s="570"/>
      <c r="AR203" s="570"/>
      <c r="AS203" s="570"/>
      <c r="AT203" s="570"/>
      <c r="AU203" s="588"/>
      <c r="BA203" s="8"/>
      <c r="BJ203" s="786"/>
    </row>
    <row r="204" x14ac:dyDescent="0.25">
      <c r="C204" s="597"/>
      <c r="D204" s="570"/>
      <c r="E204" s="2161" t="s">
        <v>1640</v>
      </c>
      <c r="F204" s="2161"/>
      <c r="G204" s="202">
        <f>G203*G202</f>
        <v>0</v>
      </c>
      <c r="H204" s="570"/>
      <c r="I204" s="570"/>
      <c r="J204" s="570"/>
      <c r="K204" s="570"/>
      <c r="L204" s="570"/>
      <c r="M204" s="570"/>
      <c r="N204" s="570"/>
      <c r="O204" s="570"/>
      <c r="P204" s="570"/>
      <c r="Q204" s="570"/>
      <c r="R204" s="570"/>
      <c r="S204" s="570"/>
      <c r="T204" s="570"/>
      <c r="U204" s="570"/>
      <c r="V204" s="570"/>
      <c r="W204" s="570"/>
      <c r="X204" s="570"/>
      <c r="Y204" s="570"/>
      <c r="Z204" s="570"/>
      <c r="AA204" s="570"/>
      <c r="AB204" s="570"/>
      <c r="AC204" s="570"/>
      <c r="AD204" s="570"/>
      <c r="AE204" s="570"/>
      <c r="AF204" s="570"/>
      <c r="AG204" s="570"/>
      <c r="AH204" s="570"/>
      <c r="AI204" s="570"/>
      <c r="AJ204" s="570"/>
      <c r="AK204" s="570"/>
      <c r="AL204" s="570"/>
      <c r="AM204" s="570"/>
      <c r="AN204" s="570"/>
      <c r="AO204" s="570"/>
      <c r="AP204" s="570"/>
      <c r="AQ204" s="570"/>
      <c r="AR204" s="570"/>
      <c r="AS204" s="570"/>
      <c r="AT204" s="570"/>
      <c r="AU204" s="588"/>
      <c r="BA204" s="8"/>
      <c r="BJ204" s="786"/>
    </row>
    <row r="205" ht="15.6" x14ac:dyDescent="0.3">
      <c r="C205" s="597"/>
      <c r="D205" s="570"/>
      <c r="E205" s="2161" t="s">
        <v>1641</v>
      </c>
      <c r="F205" s="2161"/>
      <c r="G205" s="202">
        <f>G202-G204</f>
        <v>0</v>
      </c>
      <c r="H205" s="570"/>
      <c r="I205" s="570"/>
      <c r="J205" s="570"/>
      <c r="K205" s="570"/>
      <c r="L205" s="570"/>
      <c r="M205" s="570"/>
      <c r="N205" s="570"/>
      <c r="O205" s="570"/>
      <c r="P205" s="570"/>
      <c r="Q205" s="570"/>
      <c r="R205" s="570"/>
      <c r="S205" s="570"/>
      <c r="T205" s="570"/>
      <c r="U205" s="570"/>
      <c r="V205" s="570"/>
      <c r="W205" s="570"/>
      <c r="X205" s="570"/>
      <c r="Y205" s="570"/>
      <c r="Z205" s="570"/>
      <c r="AA205" s="570"/>
      <c r="AB205" s="570"/>
      <c r="AC205" s="570"/>
      <c r="AD205" s="570"/>
      <c r="AE205" s="570"/>
      <c r="AF205" s="570"/>
      <c r="AG205" s="570"/>
      <c r="AH205" s="570"/>
      <c r="AI205" s="570"/>
      <c r="AJ205" s="570"/>
      <c r="AK205" s="570"/>
      <c r="AL205" s="570"/>
      <c r="AM205" s="570"/>
      <c r="AN205" s="570"/>
      <c r="AO205" s="570"/>
      <c r="AP205" s="570"/>
      <c r="AQ205" s="570"/>
      <c r="AR205" s="570"/>
      <c r="AS205" s="570"/>
      <c r="AT205" s="570"/>
      <c r="AU205" s="588"/>
      <c r="AZ205" s="893"/>
      <c r="BA205" s="128"/>
    </row>
    <row r="206" ht="15.6" x14ac:dyDescent="0.3">
      <c r="C206" s="597"/>
      <c r="D206" s="570"/>
      <c r="E206" s="570"/>
      <c r="F206" s="570"/>
      <c r="G206" s="570"/>
      <c r="H206" s="570"/>
      <c r="I206" s="570"/>
      <c r="J206" s="570"/>
      <c r="K206" s="570"/>
      <c r="L206" s="570"/>
      <c r="M206" s="570"/>
      <c r="N206" s="570"/>
      <c r="O206" s="570"/>
      <c r="P206" s="570"/>
      <c r="Q206" s="570"/>
      <c r="R206" s="570"/>
      <c r="S206" s="570"/>
      <c r="T206" s="570"/>
      <c r="U206" s="570"/>
      <c r="V206" s="570"/>
      <c r="W206" s="570"/>
      <c r="X206" s="570"/>
      <c r="Y206" s="570"/>
      <c r="Z206" s="570"/>
      <c r="AA206" s="570"/>
      <c r="AB206" s="570"/>
      <c r="AC206" s="570"/>
      <c r="AD206" s="570"/>
      <c r="AE206" s="570"/>
      <c r="AF206" s="570"/>
      <c r="AG206" s="570"/>
      <c r="AH206" s="570"/>
      <c r="AI206" s="570"/>
      <c r="AJ206" s="570"/>
      <c r="AK206" s="570"/>
      <c r="AL206" s="570"/>
      <c r="AM206" s="570"/>
      <c r="AN206" s="570"/>
      <c r="AO206" s="570"/>
      <c r="AP206" s="570"/>
      <c r="AQ206" s="570"/>
      <c r="AR206" s="570"/>
      <c r="AS206" s="570"/>
      <c r="AT206" s="570"/>
      <c r="AU206" s="588"/>
      <c r="AZ206" s="893"/>
    </row>
    <row r="207" x14ac:dyDescent="0.25">
      <c r="C207" s="597"/>
      <c r="D207" s="570"/>
      <c r="E207" s="570"/>
      <c r="F207" s="570"/>
      <c r="G207" s="570"/>
      <c r="H207" s="570"/>
      <c r="I207" s="570"/>
      <c r="J207" s="570"/>
      <c r="K207" s="570"/>
      <c r="L207" s="570"/>
      <c r="M207" s="570"/>
      <c r="N207" s="570"/>
      <c r="O207" s="570"/>
      <c r="P207" s="570"/>
      <c r="Q207" s="570"/>
      <c r="R207" s="570"/>
      <c r="S207" s="570"/>
      <c r="T207" s="570"/>
      <c r="U207" s="570"/>
      <c r="V207" s="570"/>
      <c r="W207" s="570"/>
      <c r="X207" s="570"/>
      <c r="Y207" s="570"/>
      <c r="Z207" s="570"/>
      <c r="AA207" s="570"/>
      <c r="AB207" s="570"/>
      <c r="AC207" s="570"/>
      <c r="AD207" s="570"/>
      <c r="AE207" s="570"/>
      <c r="AF207" s="570"/>
      <c r="AG207" s="570"/>
      <c r="AH207" s="570"/>
      <c r="AI207" s="570"/>
      <c r="AJ207" s="570"/>
      <c r="AK207" s="570"/>
      <c r="AL207" s="570"/>
      <c r="AM207" s="570"/>
      <c r="AN207" s="570"/>
      <c r="AO207" s="570"/>
      <c r="AP207" s="570"/>
      <c r="AQ207" s="570"/>
      <c r="AR207" s="570"/>
      <c r="AS207" s="570"/>
      <c r="AT207" s="570"/>
      <c r="AU207" s="588"/>
    </row>
    <row r="208" x14ac:dyDescent="0.25">
      <c r="C208" s="597"/>
      <c r="D208" s="570"/>
      <c r="E208" s="570"/>
      <c r="F208" s="570"/>
      <c r="G208" s="570"/>
      <c r="H208" s="570"/>
      <c r="I208" s="570"/>
      <c r="J208" s="570"/>
      <c r="K208" s="570"/>
      <c r="L208" s="570"/>
      <c r="M208" s="570"/>
      <c r="N208" s="570"/>
      <c r="O208" s="570"/>
      <c r="P208" s="570"/>
      <c r="Q208" s="570"/>
      <c r="R208" s="570"/>
      <c r="S208" s="570"/>
      <c r="T208" s="570"/>
      <c r="U208" s="570"/>
      <c r="V208" s="570"/>
      <c r="W208" s="570"/>
      <c r="X208" s="570"/>
      <c r="Y208" s="570"/>
      <c r="Z208" s="570"/>
      <c r="AA208" s="570"/>
      <c r="AB208" s="570"/>
      <c r="AC208" s="570"/>
      <c r="AD208" s="570"/>
      <c r="AE208" s="570"/>
      <c r="AF208" s="570"/>
      <c r="AG208" s="570"/>
      <c r="AH208" s="570"/>
      <c r="AI208" s="570"/>
      <c r="AJ208" s="570"/>
      <c r="AK208" s="570"/>
      <c r="AL208" s="570"/>
      <c r="AM208" s="570"/>
      <c r="AN208" s="570"/>
      <c r="AO208" s="570"/>
      <c r="AP208" s="570"/>
      <c r="AQ208" s="570"/>
      <c r="AR208" s="570"/>
      <c r="AS208" s="570"/>
      <c r="AT208" s="570"/>
      <c r="AU208" s="588"/>
    </row>
    <row r="209" x14ac:dyDescent="0.25">
      <c r="C209" s="597"/>
      <c r="D209" s="570"/>
      <c r="E209" s="570"/>
      <c r="F209" s="570"/>
      <c r="G209" s="570"/>
      <c r="H209" s="570"/>
      <c r="I209" s="570"/>
      <c r="J209" s="570"/>
      <c r="K209" s="570"/>
      <c r="L209" s="570"/>
      <c r="M209" s="570"/>
      <c r="N209" s="570"/>
      <c r="O209" s="570"/>
      <c r="P209" s="570"/>
      <c r="Q209" s="570"/>
      <c r="R209" s="570"/>
      <c r="S209" s="570"/>
      <c r="T209" s="570"/>
      <c r="U209" s="570"/>
      <c r="V209" s="570"/>
      <c r="W209" s="570"/>
      <c r="X209" s="570"/>
      <c r="Y209" s="570"/>
      <c r="Z209" s="570"/>
      <c r="AA209" s="570"/>
      <c r="AB209" s="570"/>
      <c r="AC209" s="570"/>
      <c r="AD209" s="570"/>
      <c r="AE209" s="570"/>
      <c r="AF209" s="570"/>
      <c r="AG209" s="570"/>
      <c r="AH209" s="570"/>
      <c r="AI209" s="570"/>
      <c r="AJ209" s="570"/>
      <c r="AK209" s="570"/>
      <c r="AL209" s="570"/>
      <c r="AM209" s="570"/>
      <c r="AN209" s="570"/>
      <c r="AO209" s="570"/>
      <c r="AP209" s="570"/>
      <c r="AQ209" s="570"/>
      <c r="AR209" s="570"/>
      <c r="AS209" s="570"/>
      <c r="AT209" s="570"/>
      <c r="AU209" s="588"/>
    </row>
    <row r="210" ht="15.6" thickBot="true" x14ac:dyDescent="0.3">
      <c r="C210" s="597"/>
      <c r="D210" s="570"/>
      <c r="E210" s="570"/>
      <c r="F210" s="570"/>
      <c r="G210" s="570"/>
      <c r="H210" s="570"/>
      <c r="I210" s="570"/>
      <c r="J210" s="570"/>
      <c r="K210" s="570"/>
      <c r="L210" s="570"/>
      <c r="M210" s="570"/>
      <c r="N210" s="570"/>
      <c r="O210" s="570"/>
      <c r="P210" s="570"/>
      <c r="Q210" s="570"/>
      <c r="R210" s="570"/>
      <c r="S210" s="570"/>
      <c r="T210" s="570"/>
      <c r="U210" s="570"/>
      <c r="V210" s="570"/>
      <c r="W210" s="570"/>
      <c r="X210" s="570"/>
      <c r="Y210" s="570"/>
      <c r="Z210" s="570"/>
      <c r="AA210" s="570"/>
      <c r="AB210" s="570"/>
      <c r="AC210" s="570"/>
      <c r="AD210" s="570"/>
      <c r="AE210" s="570"/>
      <c r="AF210" s="570"/>
      <c r="AG210" s="570"/>
      <c r="AH210" s="570"/>
      <c r="AI210" s="570"/>
      <c r="AJ210" s="570"/>
      <c r="AK210" s="570"/>
      <c r="AL210" s="570"/>
      <c r="AM210" s="570"/>
      <c r="AN210" s="570"/>
      <c r="AO210" s="570"/>
      <c r="AP210" s="570"/>
      <c r="AQ210" s="570"/>
      <c r="AR210" s="570"/>
      <c r="AS210" s="570"/>
      <c r="AT210" s="570"/>
      <c r="AU210" s="588"/>
    </row>
    <row r="211" x14ac:dyDescent="0.25">
      <c r="C211" s="597"/>
      <c r="D211" s="570"/>
      <c r="E211" s="1880" t="s">
        <v>1632</v>
      </c>
      <c r="F211" s="1881"/>
      <c r="G211" s="1801" t="s">
        <v>1484</v>
      </c>
      <c r="H211" s="1801"/>
      <c r="I211" s="1185" t="s">
        <v>1637</v>
      </c>
      <c r="J211" s="183" t="s">
        <v>1636</v>
      </c>
      <c r="K211" s="570"/>
      <c r="L211" s="570"/>
      <c r="M211" s="570"/>
      <c r="N211" s="570"/>
      <c r="O211" s="570"/>
      <c r="P211" s="570"/>
      <c r="Q211" s="570"/>
      <c r="R211" s="570"/>
      <c r="S211" s="570"/>
      <c r="T211" s="570"/>
      <c r="U211" s="570"/>
      <c r="V211" s="570"/>
      <c r="W211" s="570"/>
      <c r="X211" s="570"/>
      <c r="Y211" s="570"/>
      <c r="Z211" s="570"/>
      <c r="AA211" s="570"/>
      <c r="AB211" s="570"/>
      <c r="AC211" s="570"/>
      <c r="AD211" s="570"/>
      <c r="AE211" s="570"/>
      <c r="AF211" s="570"/>
      <c r="AG211" s="570"/>
      <c r="AH211" s="570"/>
      <c r="AI211" s="570"/>
      <c r="AJ211" s="570"/>
      <c r="AK211" s="570"/>
      <c r="AL211" s="570"/>
      <c r="AM211" s="570"/>
      <c r="AN211" s="570"/>
      <c r="AO211" s="570"/>
      <c r="AP211" s="570"/>
      <c r="AQ211" s="570"/>
      <c r="AR211" s="570"/>
      <c r="AS211" s="570"/>
      <c r="AT211" s="570"/>
      <c r="AU211" s="588"/>
    </row>
    <row r="212" ht="30.75" customHeight="true" x14ac:dyDescent="0.25">
      <c r="C212" s="597"/>
      <c r="D212" s="570"/>
      <c r="E212" s="213" t="s">
        <v>1482</v>
      </c>
      <c r="F212" s="186">
        <f>'VI. Energy'!F61</f>
        <v>0</v>
      </c>
      <c r="G212" s="1974" t="str">
        <f>'III. Utility Data'!E10</f>
        <v>Medium pressure steam @10 barg 184°C, 1/kg</v>
      </c>
      <c r="H212" s="1974"/>
      <c r="I212" s="202">
        <f>'III. Utility Data'!G63+273</f>
        <v>457</v>
      </c>
      <c r="J212" s="262">
        <f>F212*(1-$G$5/I212)</f>
        <v>0</v>
      </c>
      <c r="K212" s="570"/>
      <c r="L212" s="570"/>
      <c r="M212" s="570"/>
      <c r="N212" s="570"/>
      <c r="O212" s="570"/>
      <c r="P212" s="570"/>
      <c r="Q212" s="570"/>
      <c r="R212" s="570"/>
      <c r="S212" s="570"/>
      <c r="T212" s="570"/>
      <c r="U212" s="570"/>
      <c r="V212" s="570"/>
      <c r="W212" s="570"/>
      <c r="X212" s="570"/>
      <c r="Y212" s="570"/>
      <c r="Z212" s="570"/>
      <c r="AA212" s="570"/>
      <c r="AB212" s="570"/>
      <c r="AC212" s="570"/>
      <c r="AD212" s="570"/>
      <c r="AE212" s="570"/>
      <c r="AF212" s="570"/>
      <c r="AG212" s="570"/>
      <c r="AH212" s="570"/>
      <c r="AI212" s="570"/>
      <c r="AJ212" s="570"/>
      <c r="AK212" s="570"/>
      <c r="AL212" s="570"/>
      <c r="AM212" s="570"/>
      <c r="AN212" s="570"/>
      <c r="AO212" s="570"/>
      <c r="AP212" s="570"/>
      <c r="AQ212" s="570"/>
      <c r="AR212" s="570"/>
      <c r="AS212" s="570"/>
      <c r="AT212" s="570"/>
      <c r="AU212" s="588"/>
    </row>
    <row r="213" ht="30.75" customHeight="true" x14ac:dyDescent="0.25">
      <c r="C213" s="597"/>
      <c r="D213" s="570"/>
      <c r="E213" s="1194" t="s">
        <v>1483</v>
      </c>
      <c r="F213" s="186">
        <f>'VI. Energy'!F62</f>
        <v>0</v>
      </c>
      <c r="G213" s="1974" t="str">
        <f>'III. Utility Data'!E11</f>
        <v>Moderately low T Refrigerated water, Tin = 5 °C Tout = 15°C, 1/kg</v>
      </c>
      <c r="H213" s="1974"/>
      <c r="I213" s="202">
        <f>'III. Utility Data'!F80+273</f>
        <v>278</v>
      </c>
      <c r="J213" s="262">
        <f>F213*(1-$G$5/I213)</f>
        <v>0</v>
      </c>
      <c r="K213" s="570"/>
      <c r="L213" s="570"/>
      <c r="M213" s="570"/>
      <c r="N213" s="570"/>
      <c r="O213" s="570"/>
      <c r="P213" s="570"/>
      <c r="Q213" s="570"/>
      <c r="R213" s="570"/>
      <c r="S213" s="570"/>
      <c r="T213" s="570"/>
      <c r="U213" s="570"/>
      <c r="V213" s="570"/>
      <c r="W213" s="570"/>
      <c r="X213" s="570"/>
      <c r="Y213" s="570"/>
      <c r="Z213" s="570"/>
      <c r="AA213" s="570"/>
      <c r="AB213" s="570"/>
      <c r="AC213" s="570"/>
      <c r="AD213" s="570"/>
      <c r="AE213" s="570"/>
      <c r="AF213" s="570"/>
      <c r="AG213" s="570"/>
      <c r="AH213" s="570"/>
      <c r="AI213" s="570"/>
      <c r="AJ213" s="570"/>
      <c r="AK213" s="570"/>
      <c r="AL213" s="570"/>
      <c r="AM213" s="570"/>
      <c r="AN213" s="570"/>
      <c r="AO213" s="570"/>
      <c r="AP213" s="570"/>
      <c r="AQ213" s="570"/>
      <c r="AR213" s="570"/>
      <c r="AS213" s="570"/>
      <c r="AT213" s="570"/>
      <c r="AU213" s="588"/>
    </row>
    <row r="214" ht="36" customHeight="true" thickBot="true" x14ac:dyDescent="0.3">
      <c r="C214" s="597"/>
      <c r="D214" s="570"/>
      <c r="E214" s="573" t="s">
        <v>1638</v>
      </c>
      <c r="F214" s="263">
        <f>'VI. Energy'!J71</f>
        <v>0</v>
      </c>
      <c r="G214" s="2177" t="s">
        <v>1485</v>
      </c>
      <c r="H214" s="2177"/>
      <c r="I214" s="263"/>
      <c r="J214" s="1227">
        <f>F214*G180</f>
        <v>0</v>
      </c>
      <c r="K214" s="570"/>
      <c r="L214" s="570"/>
      <c r="M214" s="570"/>
      <c r="N214" s="570"/>
      <c r="O214" s="570"/>
      <c r="P214" s="570"/>
      <c r="Q214" s="570"/>
      <c r="R214" s="570"/>
      <c r="S214" s="570"/>
      <c r="T214" s="570"/>
      <c r="U214" s="570"/>
      <c r="V214" s="570"/>
      <c r="W214" s="570"/>
      <c r="X214" s="570"/>
      <c r="Y214" s="570"/>
      <c r="Z214" s="570"/>
      <c r="AA214" s="570"/>
      <c r="AB214" s="570"/>
      <c r="AC214" s="570"/>
      <c r="AD214" s="570"/>
      <c r="AE214" s="570"/>
      <c r="AF214" s="570"/>
      <c r="AG214" s="570"/>
      <c r="AH214" s="570"/>
      <c r="AI214" s="570"/>
      <c r="AJ214" s="570"/>
      <c r="AK214" s="570"/>
      <c r="AL214" s="570"/>
      <c r="AM214" s="570"/>
      <c r="AN214" s="570"/>
      <c r="AO214" s="570"/>
      <c r="AP214" s="570"/>
      <c r="AQ214" s="570"/>
      <c r="AR214" s="570"/>
      <c r="AS214" s="570"/>
      <c r="AT214" s="570"/>
      <c r="AU214" s="588"/>
    </row>
    <row r="215" x14ac:dyDescent="0.25">
      <c r="C215" s="597"/>
      <c r="D215" s="570"/>
      <c r="E215" s="570"/>
      <c r="F215" s="570"/>
      <c r="G215" s="570"/>
      <c r="H215" s="570"/>
      <c r="I215" s="570"/>
      <c r="J215" s="570"/>
      <c r="K215" s="570"/>
      <c r="L215" s="570"/>
      <c r="M215" s="570"/>
      <c r="N215" s="570"/>
      <c r="O215" s="570"/>
      <c r="P215" s="570"/>
      <c r="Q215" s="570"/>
      <c r="R215" s="570"/>
      <c r="S215" s="570"/>
      <c r="T215" s="570"/>
      <c r="U215" s="570"/>
      <c r="V215" s="570"/>
      <c r="W215" s="570"/>
      <c r="X215" s="570"/>
      <c r="Y215" s="570"/>
      <c r="Z215" s="570"/>
      <c r="AA215" s="570"/>
      <c r="AB215" s="570"/>
      <c r="AC215" s="570"/>
      <c r="AD215" s="570"/>
      <c r="AE215" s="570"/>
      <c r="AF215" s="570"/>
      <c r="AG215" s="570"/>
      <c r="AH215" s="570"/>
      <c r="AI215" s="570"/>
      <c r="AJ215" s="570"/>
      <c r="AK215" s="570"/>
      <c r="AL215" s="570"/>
      <c r="AM215" s="570"/>
      <c r="AN215" s="570"/>
      <c r="AO215" s="570"/>
      <c r="AP215" s="570"/>
      <c r="AQ215" s="570"/>
      <c r="AR215" s="570"/>
      <c r="AS215" s="570"/>
      <c r="AT215" s="570"/>
      <c r="AU215" s="588"/>
    </row>
    <row r="216" x14ac:dyDescent="0.25">
      <c r="C216" s="597"/>
      <c r="D216" s="570"/>
      <c r="E216" s="570"/>
      <c r="F216" s="570"/>
      <c r="G216" s="570"/>
      <c r="H216" s="570"/>
      <c r="I216" s="570"/>
      <c r="J216" s="570"/>
      <c r="K216" s="570"/>
      <c r="L216" s="570"/>
      <c r="M216" s="570"/>
      <c r="N216" s="570"/>
      <c r="O216" s="570"/>
      <c r="P216" s="570"/>
      <c r="Q216" s="570"/>
      <c r="R216" s="570"/>
      <c r="S216" s="570"/>
      <c r="T216" s="570"/>
      <c r="U216" s="570"/>
      <c r="V216" s="570"/>
      <c r="W216" s="570"/>
      <c r="X216" s="570"/>
      <c r="Y216" s="570"/>
      <c r="Z216" s="570"/>
      <c r="AA216" s="570"/>
      <c r="AB216" s="570"/>
      <c r="AC216" s="570"/>
      <c r="AD216" s="570"/>
      <c r="AE216" s="570"/>
      <c r="AF216" s="570"/>
      <c r="AG216" s="570"/>
      <c r="AH216" s="570"/>
      <c r="AI216" s="570"/>
      <c r="AJ216" s="570"/>
      <c r="AK216" s="570"/>
      <c r="AL216" s="570"/>
      <c r="AM216" s="570"/>
      <c r="AN216" s="570"/>
      <c r="AO216" s="570"/>
      <c r="AP216" s="570"/>
      <c r="AQ216" s="570"/>
      <c r="AR216" s="570"/>
      <c r="AS216" s="570"/>
      <c r="AT216" s="570"/>
      <c r="AU216" s="588"/>
    </row>
    <row r="217" x14ac:dyDescent="0.25">
      <c r="C217" s="597"/>
      <c r="D217" s="570"/>
      <c r="E217" s="2165" t="s">
        <v>1868</v>
      </c>
      <c r="F217" s="2165"/>
      <c r="G217" s="1197">
        <f>SUM(G14:P14)</f>
        <v>-17.838678213498213</v>
      </c>
      <c r="H217" s="570"/>
      <c r="I217" s="570"/>
      <c r="J217" s="570"/>
      <c r="K217" s="570"/>
      <c r="L217" s="330"/>
      <c r="M217" s="570"/>
      <c r="N217" s="570"/>
      <c r="O217" s="570"/>
      <c r="P217" s="570"/>
      <c r="Q217" s="570"/>
      <c r="R217" s="570"/>
      <c r="S217" s="570"/>
      <c r="T217" s="570"/>
      <c r="U217" s="570"/>
      <c r="V217" s="570"/>
      <c r="W217" s="570"/>
      <c r="X217" s="570"/>
      <c r="Y217" s="570"/>
      <c r="Z217" s="570"/>
      <c r="AA217" s="570"/>
      <c r="AB217" s="570"/>
      <c r="AC217" s="570"/>
      <c r="AD217" s="570"/>
      <c r="AE217" s="570"/>
      <c r="AF217" s="570"/>
      <c r="AG217" s="570"/>
      <c r="AH217" s="570"/>
      <c r="AI217" s="570"/>
      <c r="AJ217" s="570"/>
      <c r="AK217" s="570"/>
      <c r="AL217" s="570"/>
      <c r="AM217" s="570"/>
      <c r="AN217" s="570"/>
      <c r="AO217" s="570"/>
      <c r="AP217" s="570"/>
      <c r="AQ217" s="570"/>
      <c r="AR217" s="570"/>
      <c r="AS217" s="570"/>
      <c r="AT217" s="570"/>
      <c r="AU217" s="588"/>
    </row>
    <row r="218" x14ac:dyDescent="0.25">
      <c r="C218" s="597"/>
      <c r="D218" s="570"/>
      <c r="E218" s="2165" t="s">
        <v>1869</v>
      </c>
      <c r="F218" s="2165"/>
      <c r="G218" s="1197">
        <f>SUM(G95:P95)</f>
        <v>-9.5358162463032965</v>
      </c>
      <c r="H218" s="570"/>
      <c r="I218" s="570"/>
      <c r="J218" s="570"/>
      <c r="K218" s="570"/>
      <c r="L218" s="330"/>
      <c r="M218" s="570"/>
      <c r="N218" s="570"/>
      <c r="O218" s="570"/>
      <c r="P218" s="570"/>
      <c r="Q218" s="570"/>
      <c r="R218" s="570"/>
      <c r="S218" s="570"/>
      <c r="T218" s="570"/>
      <c r="U218" s="570"/>
      <c r="V218" s="570"/>
      <c r="W218" s="570"/>
      <c r="X218" s="570"/>
      <c r="Y218" s="570"/>
      <c r="Z218" s="570"/>
      <c r="AA218" s="570"/>
      <c r="AB218" s="570"/>
      <c r="AC218" s="570"/>
      <c r="AD218" s="570"/>
      <c r="AE218" s="570"/>
      <c r="AF218" s="570"/>
      <c r="AG218" s="570"/>
      <c r="AH218" s="570"/>
      <c r="AI218" s="570"/>
      <c r="AJ218" s="570"/>
      <c r="AK218" s="570"/>
      <c r="AL218" s="570"/>
      <c r="AM218" s="570"/>
      <c r="AN218" s="570"/>
      <c r="AO218" s="570"/>
      <c r="AP218" s="570"/>
      <c r="AQ218" s="570"/>
      <c r="AR218" s="570"/>
      <c r="AS218" s="570"/>
      <c r="AT218" s="570"/>
      <c r="AU218" s="588"/>
    </row>
    <row r="219" x14ac:dyDescent="0.25">
      <c r="C219" s="597"/>
      <c r="D219" s="570"/>
      <c r="E219" s="2165" t="s">
        <v>1870</v>
      </c>
      <c r="F219" s="2165"/>
      <c r="G219" s="1197">
        <f>-(F212/I212+F213/I213)</f>
        <v>0</v>
      </c>
      <c r="H219" s="570"/>
      <c r="I219" s="570"/>
      <c r="J219" s="570"/>
      <c r="K219" s="570"/>
      <c r="L219" s="330"/>
      <c r="M219" s="570"/>
      <c r="N219" s="570"/>
      <c r="O219" s="570"/>
      <c r="P219" s="570"/>
      <c r="Q219" s="570"/>
      <c r="R219" s="570"/>
      <c r="S219" s="570"/>
      <c r="T219" s="570"/>
      <c r="U219" s="570"/>
      <c r="V219" s="570"/>
      <c r="W219" s="570"/>
      <c r="X219" s="570"/>
      <c r="Y219" s="570"/>
      <c r="Z219" s="570"/>
      <c r="AA219" s="570"/>
      <c r="AB219" s="570"/>
      <c r="AC219" s="570"/>
      <c r="AD219" s="570"/>
      <c r="AE219" s="570"/>
      <c r="AF219" s="570"/>
      <c r="AG219" s="570"/>
      <c r="AH219" s="570"/>
      <c r="AI219" s="570"/>
      <c r="AJ219" s="570"/>
      <c r="AK219" s="570"/>
      <c r="AL219" s="570"/>
      <c r="AM219" s="570"/>
      <c r="AN219" s="570"/>
      <c r="AO219" s="570"/>
      <c r="AP219" s="570"/>
      <c r="AQ219" s="570"/>
      <c r="AR219" s="570"/>
      <c r="AS219" s="570"/>
      <c r="AT219" s="570"/>
      <c r="AU219" s="588"/>
    </row>
    <row r="220" x14ac:dyDescent="0.25">
      <c r="C220" s="597"/>
      <c r="D220" s="570"/>
      <c r="E220" s="2164" t="s">
        <v>1157</v>
      </c>
      <c r="F220" s="2164"/>
      <c r="G220" s="1197">
        <f>G218-G217+G219</f>
        <v>8.3028619671949162</v>
      </c>
      <c r="H220" s="570"/>
      <c r="I220" s="570"/>
      <c r="J220" s="570"/>
      <c r="K220" s="570"/>
      <c r="L220" s="570"/>
      <c r="M220" s="570"/>
      <c r="N220" s="570"/>
      <c r="O220" s="570"/>
      <c r="P220" s="570"/>
      <c r="Q220" s="570"/>
      <c r="R220" s="570"/>
      <c r="S220" s="570"/>
      <c r="T220" s="570"/>
      <c r="U220" s="570"/>
      <c r="V220" s="570"/>
      <c r="W220" s="570"/>
      <c r="X220" s="570"/>
      <c r="Y220" s="570"/>
      <c r="Z220" s="570"/>
      <c r="AA220" s="570"/>
      <c r="AB220" s="570"/>
      <c r="AC220" s="570"/>
      <c r="AD220" s="570"/>
      <c r="AE220" s="570"/>
      <c r="AF220" s="570"/>
      <c r="AG220" s="570"/>
      <c r="AH220" s="570"/>
      <c r="AI220" s="570"/>
      <c r="AJ220" s="570"/>
      <c r="AK220" s="570"/>
      <c r="AL220" s="570"/>
      <c r="AM220" s="570"/>
      <c r="AN220" s="570"/>
      <c r="AO220" s="570"/>
      <c r="AP220" s="570"/>
      <c r="AQ220" s="570"/>
      <c r="AR220" s="570"/>
      <c r="AS220" s="570"/>
      <c r="AT220" s="570"/>
      <c r="AU220" s="588"/>
    </row>
    <row r="221" x14ac:dyDescent="0.25">
      <c r="C221" s="597"/>
      <c r="D221" s="570"/>
      <c r="E221" s="2165" t="s">
        <v>1156</v>
      </c>
      <c r="F221" s="2165"/>
      <c r="G221" s="1197">
        <f>$G$5*G220</f>
        <v>2474.2528662240852</v>
      </c>
      <c r="H221" s="570"/>
      <c r="I221" s="570"/>
      <c r="J221" s="570"/>
      <c r="K221" s="570"/>
      <c r="L221" s="570"/>
      <c r="M221" s="570"/>
      <c r="N221" s="570"/>
      <c r="O221" s="570"/>
      <c r="P221" s="570"/>
      <c r="Q221" s="570"/>
      <c r="R221" s="570"/>
      <c r="S221" s="570"/>
      <c r="T221" s="570"/>
      <c r="U221" s="570"/>
      <c r="V221" s="570"/>
      <c r="W221" s="570"/>
      <c r="X221" s="570"/>
      <c r="Y221" s="570"/>
      <c r="Z221" s="570"/>
      <c r="AA221" s="570"/>
      <c r="AB221" s="570"/>
      <c r="AC221" s="570"/>
      <c r="AD221" s="570"/>
      <c r="AE221" s="570"/>
      <c r="AF221" s="570"/>
      <c r="AG221" s="570"/>
      <c r="AH221" s="570"/>
      <c r="AI221" s="570"/>
      <c r="AJ221" s="570"/>
      <c r="AK221" s="570"/>
      <c r="AL221" s="570"/>
      <c r="AM221" s="570"/>
      <c r="AN221" s="570"/>
      <c r="AO221" s="570"/>
      <c r="AP221" s="570"/>
      <c r="AQ221" s="570"/>
      <c r="AR221" s="570"/>
      <c r="AS221" s="570"/>
      <c r="AT221" s="570"/>
      <c r="AU221" s="588"/>
    </row>
    <row r="222" ht="15.6" thickBot="true" x14ac:dyDescent="0.3">
      <c r="C222" s="605"/>
      <c r="D222" s="591"/>
      <c r="E222" s="591"/>
      <c r="F222" s="591"/>
      <c r="G222" s="591"/>
      <c r="H222" s="591"/>
      <c r="I222" s="591"/>
      <c r="J222" s="591"/>
      <c r="K222" s="591"/>
      <c r="L222" s="591"/>
      <c r="M222" s="591"/>
      <c r="N222" s="591"/>
      <c r="O222" s="591"/>
      <c r="P222" s="591"/>
      <c r="Q222" s="591"/>
      <c r="R222" s="591"/>
      <c r="S222" s="591"/>
      <c r="T222" s="591"/>
      <c r="U222" s="591"/>
      <c r="V222" s="591"/>
      <c r="W222" s="591"/>
      <c r="X222" s="591"/>
      <c r="Y222" s="591"/>
      <c r="Z222" s="591"/>
      <c r="AA222" s="591"/>
      <c r="AB222" s="591"/>
      <c r="AC222" s="591"/>
      <c r="AD222" s="591"/>
      <c r="AE222" s="591"/>
      <c r="AF222" s="591"/>
      <c r="AG222" s="591"/>
      <c r="AH222" s="591"/>
      <c r="AI222" s="591"/>
      <c r="AJ222" s="591"/>
      <c r="AK222" s="591"/>
      <c r="AL222" s="591"/>
      <c r="AM222" s="591"/>
      <c r="AN222" s="591"/>
      <c r="AO222" s="591"/>
      <c r="AP222" s="591"/>
      <c r="AQ222" s="591"/>
      <c r="AR222" s="591"/>
      <c r="AS222" s="591"/>
      <c r="AT222" s="591"/>
      <c r="AU222" s="606"/>
    </row>
    <row r="235" x14ac:dyDescent="0.25">
      <c r="BA235" s="895"/>
    </row>
    <row r="237" x14ac:dyDescent="0.25">
      <c r="BA237" s="895"/>
    </row>
    <row r="251" x14ac:dyDescent="0.25">
      <c r="BA251" s="126"/>
    </row>
  </sheetData>
  <sheetProtection sheet="true" objects="true" scenarios="true"/>
  <mergeCells count="62">
    <mergeCell ref="C3:J3"/>
    <mergeCell ref="E24:F24"/>
    <mergeCell ref="E91:F91"/>
    <mergeCell ref="E10:F10"/>
    <mergeCell ref="G214:H214"/>
    <mergeCell ref="E211:F211"/>
    <mergeCell ref="G211:H211"/>
    <mergeCell ref="G212:H212"/>
    <mergeCell ref="G213:H213"/>
    <mergeCell ref="E82:F82"/>
    <mergeCell ref="E83:F83"/>
    <mergeCell ref="E84:F84"/>
    <mergeCell ref="E85:F85"/>
    <mergeCell ref="E77:F77"/>
    <mergeCell ref="E78:F78"/>
    <mergeCell ref="E79:F79"/>
    <mergeCell ref="E80:F80"/>
    <mergeCell ref="E162:F162"/>
    <mergeCell ref="E163:F163"/>
    <mergeCell ref="E164:F164"/>
    <mergeCell ref="E165:F165"/>
    <mergeCell ref="E81:F81"/>
    <mergeCell ref="E106:F106"/>
    <mergeCell ref="E105:F105"/>
    <mergeCell ref="E181:F181"/>
    <mergeCell ref="E187:F187"/>
    <mergeCell ref="E188:F188"/>
    <mergeCell ref="E176:F176"/>
    <mergeCell ref="E25:F25"/>
    <mergeCell ref="E179:F179"/>
    <mergeCell ref="E180:F180"/>
    <mergeCell ref="E166:F166"/>
    <mergeCell ref="E172:F172"/>
    <mergeCell ref="E173:F173"/>
    <mergeCell ref="E174:F174"/>
    <mergeCell ref="E175:F175"/>
    <mergeCell ref="E158:F158"/>
    <mergeCell ref="E159:F159"/>
    <mergeCell ref="E160:F160"/>
    <mergeCell ref="E161:F161"/>
    <mergeCell ref="E220:F220"/>
    <mergeCell ref="E221:F221"/>
    <mergeCell ref="E189:F189"/>
    <mergeCell ref="E190:F190"/>
    <mergeCell ref="E217:F217"/>
    <mergeCell ref="E218:F218"/>
    <mergeCell ref="E219:F219"/>
    <mergeCell ref="E201:F201"/>
    <mergeCell ref="E202:F202"/>
    <mergeCell ref="E203:F203"/>
    <mergeCell ref="E204:F204"/>
    <mergeCell ref="E205:F205"/>
    <mergeCell ref="E199:F199"/>
    <mergeCell ref="E200:F200"/>
    <mergeCell ref="E191:F191"/>
    <mergeCell ref="E192:F192"/>
    <mergeCell ref="E193:F193"/>
    <mergeCell ref="E182:F182"/>
    <mergeCell ref="E183:F183"/>
    <mergeCell ref="E184:F184"/>
    <mergeCell ref="E185:F185"/>
    <mergeCell ref="E186:F186"/>
  </mergeCells>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14</vt:i4>
      </vt:variant>
      <vt:variant>
        <vt:lpstr>Named Ranges</vt:lpstr>
      </vt:variant>
      <vt:variant>
        <vt:i4>35</vt:i4>
      </vt:variant>
    </vt:vector>
  </HeadingPairs>
  <TitlesOfParts>
    <vt:vector size="49" baseType="lpstr">
      <vt:lpstr>I. Stream &amp; Compound Data</vt:lpstr>
      <vt:lpstr>II. Equipment &amp; Cost Data</vt:lpstr>
      <vt:lpstr>III. Utility Data</vt:lpstr>
      <vt:lpstr>IV. Material Efficiency</vt:lpstr>
      <vt:lpstr>V. Environmental</vt:lpstr>
      <vt:lpstr>VI. Energy</vt:lpstr>
      <vt:lpstr>VII. Economic</vt:lpstr>
      <vt:lpstr>VIII. Plots</vt:lpstr>
      <vt:lpstr>GREENSCOPE-LCI</vt:lpstr>
      <vt:lpstr>Solid Estimation</vt:lpstr>
      <vt:lpstr>Best&amp;Worst-Economics</vt:lpstr>
      <vt:lpstr>Potency Factors </vt:lpstr>
      <vt:lpstr>Emergy</vt:lpstr>
      <vt:lpstr>Exergy</vt:lpstr>
      <vt:lpstr>_r°__kg_m_3</vt:lpstr>
      <vt:lpstr>Compound_name</vt:lpstr>
      <vt:lpstr>Cp__kJ_kg_K</vt:lpstr>
      <vt:lpstr>DHv__kJ_kg</vt:lpstr>
      <vt:lpstr>Emergy_Transformity_MseJ_kg</vt:lpstr>
      <vt:lpstr>ERPG2_mg_m3</vt:lpstr>
      <vt:lpstr>ERPG3_mg_m3</vt:lpstr>
      <vt:lpstr>Ex°_ch_MJ_kmol</vt:lpstr>
      <vt:lpstr>H°_MJ_kg_1atm_25°C</vt:lpstr>
      <vt:lpstr>High_pressure</vt:lpstr>
      <vt:lpstr>IN_Enthalpy_MJ_h</vt:lpstr>
      <vt:lpstr>IN_Entropy_MJ_h_K</vt:lpstr>
      <vt:lpstr>IN_flow_rates__kg_h</vt:lpstr>
      <vt:lpstr>IN_Molar_flow__kmol_h</vt:lpstr>
      <vt:lpstr>IN_renewab</vt:lpstr>
      <vt:lpstr>IN_stream_number</vt:lpstr>
      <vt:lpstr>Low_pressure</vt:lpstr>
      <vt:lpstr>Mass_flow__kg_h</vt:lpstr>
      <vt:lpstr>Medium_pressure</vt:lpstr>
      <vt:lpstr>MW__kg_kmol</vt:lpstr>
      <vt:lpstr>OUT_Current_flow_rate</vt:lpstr>
      <vt:lpstr>OUT_Enthalpy__MJ_h</vt:lpstr>
      <vt:lpstr>OUT_Entropy__MJ_K_h</vt:lpstr>
      <vt:lpstr>OUT_Hazardous_1__nonhazardous_0</vt:lpstr>
      <vt:lpstr>OUT_Molar_flow_kmol_h</vt:lpstr>
      <vt:lpstr>OUT_Non_polluted_1__polluted_0</vt:lpstr>
      <vt:lpstr>OUT_Pressure__kPa</vt:lpstr>
      <vt:lpstr>OUT_Product_1__waste_0</vt:lpstr>
      <vt:lpstr>OUT_renewability</vt:lpstr>
      <vt:lpstr>OUT_stream_Num</vt:lpstr>
      <vt:lpstr>OUT_Temperature__°C</vt:lpstr>
      <vt:lpstr>OUT_Vapor_fraction</vt:lpstr>
      <vt:lpstr>OUT_Volumetric_flow__m_3_h</vt:lpstr>
      <vt:lpstr>S°_MJ_kg_K_1atm_25°C</vt:lpstr>
      <vt:lpstr>Tb__°C</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gruizmer</dc:creator>
  <cp:lastModifiedBy>RDias</cp:lastModifiedBy>
  <dcterms:created xsi:type="dcterms:W3CDTF">2010-05-26T22:51:11Z</dcterms:created>
  <dcterms:modified xsi:type="dcterms:W3CDTF">2023-01-25T14:47:37Z</dcterms:modified>
</cp:coreProperties>
</file>